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ESCOLA DE GOVERNO\"/>
    </mc:Choice>
  </mc:AlternateContent>
  <bookViews>
    <workbookView xWindow="-120" yWindow="-120" windowWidth="20730" windowHeight="11160" tabRatio="885" activeTab="10"/>
  </bookViews>
  <sheets>
    <sheet name="MEM CAL" sheetId="1" r:id="rId1"/>
    <sheet name="PLANILHA" sheetId="2" r:id="rId2"/>
    <sheet name="RESUMO" sheetId="5" r:id="rId3"/>
    <sheet name="CURVA ABC" sheetId="25" r:id="rId4"/>
    <sheet name="QCI" sheetId="19" state="hidden" r:id="rId5"/>
    <sheet name="MED CRON" sheetId="23" r:id="rId6"/>
    <sheet name="CRONOGRAMA" sheetId="6" r:id="rId7"/>
    <sheet name="BDI" sheetId="4" r:id="rId8"/>
    <sheet name="COMPOSIÇÕES" sheetId="3" r:id="rId9"/>
    <sheet name="PAISAGISMO" sheetId="20" state="hidden" r:id="rId10"/>
    <sheet name="MAPA COMPARATIVO" sheetId="15" r:id="rId11"/>
    <sheet name="NAO DESO" sheetId="13" state="hidden" r:id="rId12"/>
    <sheet name="DESON" sheetId="14" state="hidden" r:id="rId13"/>
    <sheet name="DESCRIÇÃO X VALORES" sheetId="24" state="hidden" r:id="rId14"/>
  </sheets>
  <externalReferences>
    <externalReference r:id="rId15"/>
    <externalReference r:id="rId16"/>
  </externalReferences>
  <definedNames>
    <definedName name="_xlnm._FilterDatabase" localSheetId="8" hidden="1">COMPOSIÇÕES!$C$1:$C$5235</definedName>
    <definedName name="_xlnm._FilterDatabase" localSheetId="10" hidden="1">'MAPA COMPARATIVO'!$B$1:$B$1572</definedName>
    <definedName name="_xlnm._FilterDatabase" localSheetId="0" hidden="1">'MEM CAL'!$A$1:$F$551</definedName>
    <definedName name="_xlnm._FilterDatabase" localSheetId="1" hidden="1">PLANILHA!$A$1:$L$630</definedName>
    <definedName name="_xlnm.Print_Area" localSheetId="7">BDI!$A$1:$E$268</definedName>
    <definedName name="_xlnm.Print_Area" localSheetId="8">COMPOSIÇÕES!$A$1:$J$5248</definedName>
    <definedName name="_xlnm.Print_Area" localSheetId="6">CRONOGRAMA!$A$1:$AD$36</definedName>
    <definedName name="_xlnm.Print_Area" localSheetId="10">'MAPA COMPARATIVO'!$A$1:$H$1581</definedName>
    <definedName name="_xlnm.Print_Area" localSheetId="5">'MED CRON'!$A$1:$AH$635</definedName>
    <definedName name="_xlnm.Print_Area" localSheetId="0">'MEM CAL'!$A$1:$F$558</definedName>
    <definedName name="_xlnm.Print_Area" localSheetId="9">PAISAGISMO!$A$1:$I$314</definedName>
    <definedName name="_xlnm.Print_Area" localSheetId="1">PLANILHA!$A$1:$L$631</definedName>
    <definedName name="_xlnm.Print_Area" localSheetId="4">QCI!$A$1:$E$178</definedName>
    <definedName name="_xlnm.Print_Area" localSheetId="2">RESUMO!$A$1:$F$104</definedName>
    <definedName name="BASE01">COMPOSIÇÕES!$A:$H</definedName>
    <definedName name="BASE02">COMPOSIÇÕES!$A:$J</definedName>
    <definedName name="COMPOSIÇÃO">COMPOSIÇÕES!$C:$D</definedName>
    <definedName name="COTAÇÃO">'MAPA COMPARATIVO'!$A:$E</definedName>
    <definedName name="MEMÓRIA">'MEM CAL'!$A:$F</definedName>
    <definedName name="PLANILHA">PLANILHA!$A:$L</definedName>
    <definedName name="UNIDADE">COMPOSIÇÕES!$C:$E</definedName>
  </definedNames>
  <calcPr calcId="152511"/>
  <pivotCaches>
    <pivotCache cacheId="8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6" l="1"/>
  <c r="AK21" i="23"/>
  <c r="AK25" i="23"/>
  <c r="AK36" i="23"/>
  <c r="AK43" i="23"/>
  <c r="AK52" i="23"/>
  <c r="AK59" i="23"/>
  <c r="AK63" i="23"/>
  <c r="AK70" i="23"/>
  <c r="AK76" i="23"/>
  <c r="AK86" i="23"/>
  <c r="AK88" i="23"/>
  <c r="AK92" i="23"/>
  <c r="AK94" i="23"/>
  <c r="AK96" i="23"/>
  <c r="AK104" i="23"/>
  <c r="AK109" i="23"/>
  <c r="AK121" i="23"/>
  <c r="AK130" i="23"/>
  <c r="AK136" i="23"/>
  <c r="AK138" i="23"/>
  <c r="AK145" i="23"/>
  <c r="AK150" i="23"/>
  <c r="AK156" i="23"/>
  <c r="AK164" i="23"/>
  <c r="AK173" i="23"/>
  <c r="AK175" i="23"/>
  <c r="AK185" i="23"/>
  <c r="AK199" i="23"/>
  <c r="AK216" i="23"/>
  <c r="AK230" i="23"/>
  <c r="AK238" i="23"/>
  <c r="AK249" i="23"/>
  <c r="AK254" i="23"/>
  <c r="AK256" i="23"/>
  <c r="AK272" i="23"/>
  <c r="AK282" i="23"/>
  <c r="AK283" i="23"/>
  <c r="AK291" i="23"/>
  <c r="AK292" i="23"/>
  <c r="AK338" i="23"/>
  <c r="AK366" i="23"/>
  <c r="AK368" i="23"/>
  <c r="AK370" i="23"/>
  <c r="AK391" i="23"/>
  <c r="AK402" i="23"/>
  <c r="AK422" i="23"/>
  <c r="AK430" i="23"/>
  <c r="AK442" i="23"/>
  <c r="AK443" i="23"/>
  <c r="AK448" i="23"/>
  <c r="AK454" i="23"/>
  <c r="AK461" i="23"/>
  <c r="AK475" i="23"/>
  <c r="AK483" i="23"/>
  <c r="AK490" i="23"/>
  <c r="AK497" i="23"/>
  <c r="AK508" i="23"/>
  <c r="AK523" i="23"/>
  <c r="AK525" i="23"/>
  <c r="AK530" i="23"/>
  <c r="AK536" i="23"/>
  <c r="AK542" i="23"/>
  <c r="AK551" i="23"/>
  <c r="AK558" i="23"/>
  <c r="AK560" i="23"/>
  <c r="AK569" i="23"/>
  <c r="AK577" i="23"/>
  <c r="AK589" i="23"/>
  <c r="AK594" i="23"/>
  <c r="AK595" i="23"/>
  <c r="AK603" i="23"/>
  <c r="AK613" i="23"/>
  <c r="AK625" i="23"/>
  <c r="AK632" i="23"/>
  <c r="F639" i="23"/>
  <c r="I591" i="2"/>
  <c r="I365" i="2"/>
  <c r="I143" i="2"/>
  <c r="C110" i="4" l="1"/>
  <c r="F11" i="23" l="1"/>
  <c r="G7" i="23" l="1"/>
  <c r="G6" i="23"/>
  <c r="E1377" i="15"/>
  <c r="E720" i="15"/>
  <c r="E16" i="15"/>
  <c r="E250" i="23" l="1"/>
  <c r="F531" i="23"/>
  <c r="AK531" i="23" s="1"/>
  <c r="F476" i="23"/>
  <c r="AK476" i="23" s="1"/>
  <c r="F449" i="23"/>
  <c r="AK449" i="23" s="1"/>
  <c r="F369" i="23"/>
  <c r="AK369" i="23" s="1"/>
  <c r="F257" i="23"/>
  <c r="AK257" i="23" s="1"/>
  <c r="F186" i="23"/>
  <c r="AK186" i="23" s="1"/>
  <c r="F177" i="23"/>
  <c r="AK177" i="23" s="1"/>
  <c r="F139" i="23"/>
  <c r="AK139" i="23" s="1"/>
  <c r="F71" i="23"/>
  <c r="AK71" i="23" s="1"/>
  <c r="F493" i="23"/>
  <c r="AK493" i="23" s="1"/>
  <c r="F484" i="23"/>
  <c r="AK484" i="23" s="1"/>
  <c r="F403" i="23"/>
  <c r="AK403" i="23" s="1"/>
  <c r="F273" i="23"/>
  <c r="AK273" i="23" s="1"/>
  <c r="F176" i="23"/>
  <c r="AK176" i="23" s="1"/>
  <c r="F157" i="23"/>
  <c r="AK157" i="23" s="1"/>
  <c r="F110" i="23"/>
  <c r="AK110" i="23" s="1"/>
  <c r="F60" i="23"/>
  <c r="AK60" i="23" s="1"/>
  <c r="F492" i="23"/>
  <c r="AK492" i="23" s="1"/>
  <c r="F456" i="23"/>
  <c r="AK456" i="23" s="1"/>
  <c r="F393" i="23"/>
  <c r="AK393" i="23" s="1"/>
  <c r="F165" i="23"/>
  <c r="AK165" i="23" s="1"/>
  <c r="F146" i="23"/>
  <c r="AK146" i="23" s="1"/>
  <c r="F22" i="23"/>
  <c r="AK22" i="23" s="1"/>
  <c r="F509" i="23"/>
  <c r="AK509" i="23" s="1"/>
  <c r="F491" i="23"/>
  <c r="AK491" i="23" s="1"/>
  <c r="F455" i="23"/>
  <c r="AK455" i="23" s="1"/>
  <c r="F392" i="23"/>
  <c r="AK392" i="23" s="1"/>
  <c r="F217" i="23"/>
  <c r="AK217" i="23" s="1"/>
  <c r="F200" i="23"/>
  <c r="AK200" i="23" s="1"/>
  <c r="F98" i="23"/>
  <c r="AK98" i="23" s="1"/>
  <c r="F77" i="23"/>
  <c r="AK77" i="23" s="1"/>
  <c r="F526" i="23"/>
  <c r="AK526" i="23" s="1"/>
  <c r="F444" i="23"/>
  <c r="AK444" i="23" s="1"/>
  <c r="F339" i="23"/>
  <c r="AK339" i="23" s="1"/>
  <c r="F97" i="23"/>
  <c r="AK97" i="23" s="1"/>
  <c r="F423" i="23"/>
  <c r="AK423" i="23" s="1"/>
  <c r="F231" i="23"/>
  <c r="AK231" i="23" s="1"/>
  <c r="F151" i="23"/>
  <c r="AK151" i="23" s="1"/>
  <c r="F131" i="23"/>
  <c r="AK131" i="23" s="1"/>
  <c r="F122" i="23"/>
  <c r="AK122" i="23" s="1"/>
  <c r="F64" i="23"/>
  <c r="AK64" i="23" s="1"/>
  <c r="F27" i="23"/>
  <c r="AK27" i="23" s="1"/>
  <c r="F431" i="23"/>
  <c r="AK431" i="23" s="1"/>
  <c r="F371" i="23"/>
  <c r="AK371" i="23" s="1"/>
  <c r="F258" i="23"/>
  <c r="AK258" i="23" s="1"/>
  <c r="F239" i="23"/>
  <c r="AK239" i="23" s="1"/>
  <c r="F140" i="23"/>
  <c r="AK140" i="23" s="1"/>
  <c r="F53" i="23"/>
  <c r="AK53" i="23" s="1"/>
  <c r="F44" i="23"/>
  <c r="AK44" i="23" s="1"/>
  <c r="F26" i="23"/>
  <c r="AK26" i="23" s="1"/>
  <c r="F37" i="23"/>
  <c r="AK37" i="23" s="1"/>
  <c r="F462" i="23"/>
  <c r="AK462" i="23" s="1"/>
  <c r="F250" i="23"/>
  <c r="AK250" i="23" s="1"/>
  <c r="F105" i="23"/>
  <c r="AK105" i="23" s="1"/>
  <c r="F524" i="23"/>
  <c r="AK524" i="23" s="1"/>
  <c r="F232" i="23"/>
  <c r="AK232" i="23" s="1"/>
  <c r="F498" i="23"/>
  <c r="AK498" i="23" s="1"/>
  <c r="F424" i="23"/>
  <c r="AK424" i="23" s="1"/>
  <c r="A692" i="15"/>
  <c r="E692" i="15"/>
  <c r="E1543" i="15" l="1"/>
  <c r="E1542" i="15"/>
  <c r="E1541" i="15"/>
  <c r="E1492" i="15"/>
  <c r="E1491" i="15"/>
  <c r="E1490" i="15"/>
  <c r="E1464" i="15"/>
  <c r="E1463" i="15"/>
  <c r="E1462" i="15"/>
  <c r="E1420" i="15"/>
  <c r="E1419" i="15"/>
  <c r="E1418" i="15"/>
  <c r="E1164" i="15" l="1"/>
  <c r="E1163" i="15"/>
  <c r="E1162" i="15"/>
  <c r="D703" i="15"/>
  <c r="E661" i="15"/>
  <c r="E659" i="15"/>
  <c r="E639" i="15"/>
  <c r="E507" i="15"/>
  <c r="E506" i="15"/>
  <c r="E479" i="15"/>
  <c r="E478" i="15"/>
  <c r="E245" i="15" l="1"/>
  <c r="E244" i="15"/>
  <c r="E239" i="15"/>
  <c r="E196" i="15"/>
  <c r="E195" i="15"/>
  <c r="E183" i="15"/>
  <c r="E182" i="15"/>
  <c r="E181" i="15"/>
  <c r="E162" i="15"/>
  <c r="E161" i="15"/>
  <c r="E160" i="15"/>
  <c r="E148" i="15"/>
  <c r="E147" i="15"/>
  <c r="E146" i="15"/>
  <c r="E28" i="15"/>
  <c r="E260" i="15" l="1"/>
  <c r="E259" i="15"/>
  <c r="E258" i="15"/>
  <c r="E261" i="15" s="1"/>
  <c r="E135" i="15"/>
  <c r="E1516" i="15" l="1"/>
  <c r="B218" i="1" l="1"/>
  <c r="A218" i="1"/>
  <c r="J250" i="2"/>
  <c r="D250" i="2"/>
  <c r="C218" i="1" s="1"/>
  <c r="B252" i="23" l="1"/>
  <c r="E250" i="2"/>
  <c r="G250" i="2"/>
  <c r="E1363" i="15"/>
  <c r="C252" i="23" l="1"/>
  <c r="D218" i="1"/>
  <c r="E69" i="25" l="1"/>
  <c r="E70" i="25"/>
  <c r="E71" i="25"/>
  <c r="E72" i="25"/>
  <c r="E73" i="25"/>
  <c r="E74" i="25"/>
  <c r="E75" i="25"/>
  <c r="E76" i="25"/>
  <c r="E77" i="25"/>
  <c r="E78" i="25"/>
  <c r="E79" i="25"/>
  <c r="E80" i="25"/>
  <c r="E81" i="25"/>
  <c r="E82" i="25"/>
  <c r="E83" i="25"/>
  <c r="A2617" i="3" l="1"/>
  <c r="A2616" i="3"/>
  <c r="I2615" i="3"/>
  <c r="J2615" i="3" s="1"/>
  <c r="G2615" i="3"/>
  <c r="H2615" i="3" s="1"/>
  <c r="E2615" i="3"/>
  <c r="D2615" i="3"/>
  <c r="I2614" i="3"/>
  <c r="J2614" i="3" s="1"/>
  <c r="G2614" i="3"/>
  <c r="H2614" i="3" s="1"/>
  <c r="E2614" i="3"/>
  <c r="D2614" i="3"/>
  <c r="I2613" i="3"/>
  <c r="J2613" i="3" s="1"/>
  <c r="G2613" i="3"/>
  <c r="H2613" i="3" s="1"/>
  <c r="E2613" i="3"/>
  <c r="D2613" i="3"/>
  <c r="I2612" i="3"/>
  <c r="J2612" i="3" s="1"/>
  <c r="G2612" i="3"/>
  <c r="H2612" i="3" s="1"/>
  <c r="E2612" i="3"/>
  <c r="D2612" i="3"/>
  <c r="A2607" i="3"/>
  <c r="A2606" i="3"/>
  <c r="I2605" i="3"/>
  <c r="J2605" i="3" s="1"/>
  <c r="G2605" i="3"/>
  <c r="H2605" i="3" s="1"/>
  <c r="E2605" i="3"/>
  <c r="D2605" i="3"/>
  <c r="I2604" i="3"/>
  <c r="J2604" i="3" s="1"/>
  <c r="G2604" i="3"/>
  <c r="H2604" i="3" s="1"/>
  <c r="E2604" i="3"/>
  <c r="D2604" i="3"/>
  <c r="I2603" i="3"/>
  <c r="J2603" i="3" s="1"/>
  <c r="G2603" i="3"/>
  <c r="H2603" i="3" s="1"/>
  <c r="E2603" i="3"/>
  <c r="D2603" i="3"/>
  <c r="I2602" i="3"/>
  <c r="J2602" i="3" s="1"/>
  <c r="G2602" i="3"/>
  <c r="H2602" i="3" s="1"/>
  <c r="E2602" i="3"/>
  <c r="D2602" i="3"/>
  <c r="E1572" i="15"/>
  <c r="A1572" i="15"/>
  <c r="E68" i="25" l="1"/>
  <c r="I5231" i="3"/>
  <c r="J5231" i="3" s="1"/>
  <c r="G5231" i="3"/>
  <c r="H5231" i="3" s="1"/>
  <c r="I5223" i="3"/>
  <c r="J5223" i="3" s="1"/>
  <c r="G5223" i="3"/>
  <c r="H5223" i="3" s="1"/>
  <c r="I5222" i="3"/>
  <c r="J5222" i="3" s="1"/>
  <c r="G5222" i="3"/>
  <c r="H5222" i="3" s="1"/>
  <c r="I5221" i="3"/>
  <c r="J5221" i="3" s="1"/>
  <c r="G5221" i="3"/>
  <c r="H5221" i="3" s="1"/>
  <c r="I5220" i="3"/>
  <c r="J5220" i="3" s="1"/>
  <c r="G5220" i="3"/>
  <c r="H5220" i="3" s="1"/>
  <c r="I5212" i="3"/>
  <c r="J5212" i="3" s="1"/>
  <c r="G5212" i="3"/>
  <c r="H5212" i="3" s="1"/>
  <c r="I5211" i="3"/>
  <c r="J5211" i="3" s="1"/>
  <c r="G5211" i="3"/>
  <c r="H5211" i="3" s="1"/>
  <c r="I5210" i="3"/>
  <c r="J5210" i="3" s="1"/>
  <c r="G5210" i="3"/>
  <c r="H5210" i="3" s="1"/>
  <c r="I5209" i="3"/>
  <c r="J5209" i="3" s="1"/>
  <c r="G5209" i="3"/>
  <c r="H5209" i="3" s="1"/>
  <c r="I5201" i="3"/>
  <c r="J5201" i="3" s="1"/>
  <c r="G5201" i="3"/>
  <c r="H5201" i="3" s="1"/>
  <c r="I5192" i="3"/>
  <c r="J5192" i="3" s="1"/>
  <c r="G5192" i="3"/>
  <c r="H5192" i="3" s="1"/>
  <c r="I5184" i="3"/>
  <c r="J5184" i="3" s="1"/>
  <c r="G5184" i="3"/>
  <c r="H5184" i="3" s="1"/>
  <c r="I5175" i="3"/>
  <c r="J5175" i="3" s="1"/>
  <c r="G5175" i="3"/>
  <c r="H5175" i="3" s="1"/>
  <c r="I5166" i="3"/>
  <c r="J5166" i="3" s="1"/>
  <c r="G5166" i="3"/>
  <c r="H5166" i="3" s="1"/>
  <c r="I5165" i="3"/>
  <c r="J5165" i="3" s="1"/>
  <c r="G5165" i="3"/>
  <c r="H5165" i="3" s="1"/>
  <c r="I5155" i="3"/>
  <c r="J5155" i="3" s="1"/>
  <c r="G5155" i="3"/>
  <c r="H5155" i="3" s="1"/>
  <c r="I5154" i="3"/>
  <c r="J5154" i="3" s="1"/>
  <c r="G5154" i="3"/>
  <c r="H5154" i="3" s="1"/>
  <c r="I5153" i="3"/>
  <c r="J5153" i="3" s="1"/>
  <c r="G5153" i="3"/>
  <c r="H5153" i="3" s="1"/>
  <c r="I5152" i="3"/>
  <c r="J5152" i="3" s="1"/>
  <c r="G5152" i="3"/>
  <c r="H5152" i="3" s="1"/>
  <c r="I5151" i="3"/>
  <c r="J5151" i="3" s="1"/>
  <c r="G5151" i="3"/>
  <c r="H5151" i="3" s="1"/>
  <c r="I5144" i="3"/>
  <c r="J5144" i="3" s="1"/>
  <c r="G5144" i="3"/>
  <c r="H5144" i="3" s="1"/>
  <c r="I5143" i="3"/>
  <c r="J5143" i="3" s="1"/>
  <c r="G5143" i="3"/>
  <c r="H5143" i="3" s="1"/>
  <c r="I5142" i="3"/>
  <c r="J5142" i="3" s="1"/>
  <c r="G5142" i="3"/>
  <c r="H5142" i="3" s="1"/>
  <c r="I5135" i="3"/>
  <c r="J5135" i="3" s="1"/>
  <c r="G5135" i="3"/>
  <c r="H5135" i="3" s="1"/>
  <c r="I5134" i="3"/>
  <c r="J5134" i="3" s="1"/>
  <c r="G5134" i="3"/>
  <c r="H5134" i="3" s="1"/>
  <c r="I5133" i="3"/>
  <c r="J5133" i="3" s="1"/>
  <c r="G5133" i="3"/>
  <c r="H5133" i="3" s="1"/>
  <c r="I5132" i="3"/>
  <c r="J5132" i="3" s="1"/>
  <c r="G5132" i="3"/>
  <c r="H5132" i="3" s="1"/>
  <c r="I5131" i="3"/>
  <c r="J5131" i="3" s="1"/>
  <c r="G5131" i="3"/>
  <c r="H5131" i="3" s="1"/>
  <c r="I5130" i="3"/>
  <c r="J5130" i="3" s="1"/>
  <c r="G5130" i="3"/>
  <c r="H5130" i="3" s="1"/>
  <c r="I5129" i="3"/>
  <c r="G5129" i="3"/>
  <c r="I5128" i="3"/>
  <c r="J5128" i="3" s="1"/>
  <c r="G5128" i="3"/>
  <c r="H5128" i="3" s="1"/>
  <c r="I5127" i="3"/>
  <c r="J5127" i="3" s="1"/>
  <c r="G5127" i="3"/>
  <c r="H5127" i="3" s="1"/>
  <c r="I5126" i="3"/>
  <c r="J5126" i="3" s="1"/>
  <c r="G5126" i="3"/>
  <c r="H5126" i="3" s="1"/>
  <c r="I5125" i="3"/>
  <c r="J5125" i="3" s="1"/>
  <c r="G5125" i="3"/>
  <c r="H5125" i="3" s="1"/>
  <c r="I5124" i="3"/>
  <c r="J5124" i="3" s="1"/>
  <c r="G5124" i="3"/>
  <c r="H5124" i="3" s="1"/>
  <c r="I5123" i="3"/>
  <c r="J5123" i="3" s="1"/>
  <c r="G5123" i="3"/>
  <c r="H5123" i="3" s="1"/>
  <c r="I5116" i="3"/>
  <c r="J5116" i="3" s="1"/>
  <c r="G5116" i="3"/>
  <c r="H5116" i="3" s="1"/>
  <c r="I5115" i="3"/>
  <c r="J5115" i="3" s="1"/>
  <c r="G5115" i="3"/>
  <c r="H5115" i="3" s="1"/>
  <c r="I5114" i="3"/>
  <c r="J5114" i="3" s="1"/>
  <c r="G5114" i="3"/>
  <c r="H5114" i="3" s="1"/>
  <c r="I5113" i="3"/>
  <c r="J5113" i="3" s="1"/>
  <c r="G5113" i="3"/>
  <c r="H5113" i="3" s="1"/>
  <c r="I5112" i="3"/>
  <c r="J5112" i="3" s="1"/>
  <c r="G5112" i="3"/>
  <c r="H5112" i="3" s="1"/>
  <c r="I5105" i="3"/>
  <c r="J5105" i="3" s="1"/>
  <c r="G5105" i="3"/>
  <c r="H5105" i="3" s="1"/>
  <c r="I5104" i="3"/>
  <c r="J5104" i="3" s="1"/>
  <c r="G5104" i="3"/>
  <c r="H5104" i="3" s="1"/>
  <c r="I5097" i="3"/>
  <c r="J5097" i="3" s="1"/>
  <c r="G5097" i="3"/>
  <c r="H5097" i="3" s="1"/>
  <c r="I5096" i="3"/>
  <c r="J5096" i="3" s="1"/>
  <c r="G5096" i="3"/>
  <c r="H5096" i="3" s="1"/>
  <c r="I5089" i="3"/>
  <c r="J5089" i="3" s="1"/>
  <c r="G5089" i="3"/>
  <c r="H5089" i="3" s="1"/>
  <c r="I5088" i="3"/>
  <c r="J5088" i="3" s="1"/>
  <c r="G5088" i="3"/>
  <c r="H5088" i="3" s="1"/>
  <c r="I5080" i="3"/>
  <c r="J5080" i="3" s="1"/>
  <c r="G5080" i="3"/>
  <c r="H5080" i="3" s="1"/>
  <c r="I5079" i="3"/>
  <c r="J5079" i="3" s="1"/>
  <c r="G5079" i="3"/>
  <c r="H5079" i="3" s="1"/>
  <c r="I5078" i="3"/>
  <c r="J5078" i="3" s="1"/>
  <c r="G5078" i="3"/>
  <c r="H5078" i="3" s="1"/>
  <c r="I5077" i="3"/>
  <c r="J5077" i="3" s="1"/>
  <c r="G5077" i="3"/>
  <c r="H5077" i="3" s="1"/>
  <c r="I5070" i="3"/>
  <c r="J5070" i="3" s="1"/>
  <c r="G5070" i="3"/>
  <c r="H5070" i="3" s="1"/>
  <c r="I5069" i="3"/>
  <c r="J5069" i="3" s="1"/>
  <c r="G5069" i="3"/>
  <c r="H5069" i="3" s="1"/>
  <c r="I5068" i="3"/>
  <c r="J5068" i="3" s="1"/>
  <c r="G5068" i="3"/>
  <c r="H5068" i="3" s="1"/>
  <c r="I5067" i="3"/>
  <c r="J5067" i="3" s="1"/>
  <c r="G5067" i="3"/>
  <c r="H5067" i="3" s="1"/>
  <c r="I5066" i="3"/>
  <c r="J5066" i="3" s="1"/>
  <c r="G5066" i="3"/>
  <c r="H5066" i="3" s="1"/>
  <c r="I5059" i="3"/>
  <c r="J5059" i="3" s="1"/>
  <c r="G5059" i="3"/>
  <c r="H5059" i="3" s="1"/>
  <c r="I5058" i="3"/>
  <c r="J5058" i="3" s="1"/>
  <c r="G5058" i="3"/>
  <c r="H5058" i="3" s="1"/>
  <c r="I5057" i="3"/>
  <c r="J5057" i="3" s="1"/>
  <c r="G5057" i="3"/>
  <c r="H5057" i="3" s="1"/>
  <c r="I5056" i="3"/>
  <c r="J5056" i="3" s="1"/>
  <c r="G5056" i="3"/>
  <c r="H5056" i="3" s="1"/>
  <c r="I5048" i="3"/>
  <c r="J5048" i="3" s="1"/>
  <c r="G5048" i="3"/>
  <c r="H5048" i="3" s="1"/>
  <c r="I5047" i="3"/>
  <c r="J5047" i="3" s="1"/>
  <c r="G5047" i="3"/>
  <c r="H5047" i="3" s="1"/>
  <c r="I5046" i="3"/>
  <c r="J5046" i="3" s="1"/>
  <c r="G5046" i="3"/>
  <c r="H5046" i="3" s="1"/>
  <c r="I5045" i="3"/>
  <c r="J5045" i="3" s="1"/>
  <c r="G5045" i="3"/>
  <c r="H5045" i="3" s="1"/>
  <c r="I5038" i="3"/>
  <c r="J5038" i="3" s="1"/>
  <c r="G5038" i="3"/>
  <c r="H5038" i="3" s="1"/>
  <c r="I5031" i="3"/>
  <c r="J5031" i="3" s="1"/>
  <c r="G5031" i="3"/>
  <c r="H5031" i="3" s="1"/>
  <c r="I5030" i="3"/>
  <c r="J5030" i="3" s="1"/>
  <c r="G5030" i="3"/>
  <c r="H5030" i="3" s="1"/>
  <c r="I5029" i="3"/>
  <c r="J5029" i="3" s="1"/>
  <c r="G5029" i="3"/>
  <c r="H5029" i="3" s="1"/>
  <c r="I5028" i="3"/>
  <c r="J5028" i="3" s="1"/>
  <c r="G5028" i="3"/>
  <c r="H5028" i="3" s="1"/>
  <c r="I5027" i="3"/>
  <c r="J5027" i="3" s="1"/>
  <c r="G5027" i="3"/>
  <c r="H5027" i="3" s="1"/>
  <c r="I5026" i="3"/>
  <c r="J5026" i="3" s="1"/>
  <c r="G5026" i="3"/>
  <c r="H5026" i="3" s="1"/>
  <c r="I5019" i="3"/>
  <c r="J5019" i="3" s="1"/>
  <c r="G5019" i="3"/>
  <c r="H5019" i="3" s="1"/>
  <c r="I5018" i="3"/>
  <c r="J5018" i="3" s="1"/>
  <c r="G5018" i="3"/>
  <c r="H5018" i="3" s="1"/>
  <c r="I5017" i="3"/>
  <c r="J5017" i="3" s="1"/>
  <c r="G5017" i="3"/>
  <c r="H5017" i="3" s="1"/>
  <c r="I5016" i="3"/>
  <c r="J5016" i="3" s="1"/>
  <c r="G5016" i="3"/>
  <c r="H5016" i="3" s="1"/>
  <c r="I5009" i="3"/>
  <c r="J5009" i="3" s="1"/>
  <c r="G5009" i="3"/>
  <c r="H5009" i="3" s="1"/>
  <c r="I5002" i="3"/>
  <c r="J5002" i="3" s="1"/>
  <c r="G5002" i="3"/>
  <c r="H5002" i="3" s="1"/>
  <c r="I4995" i="3"/>
  <c r="J4995" i="3" s="1"/>
  <c r="G4995" i="3"/>
  <c r="H4995" i="3" s="1"/>
  <c r="I4994" i="3"/>
  <c r="J4994" i="3" s="1"/>
  <c r="G4994" i="3"/>
  <c r="H4994" i="3" s="1"/>
  <c r="I4993" i="3"/>
  <c r="J4993" i="3" s="1"/>
  <c r="G4993" i="3"/>
  <c r="H4993" i="3" s="1"/>
  <c r="I4986" i="3"/>
  <c r="J4986" i="3" s="1"/>
  <c r="G4986" i="3"/>
  <c r="H4986" i="3" s="1"/>
  <c r="I4985" i="3"/>
  <c r="J4985" i="3" s="1"/>
  <c r="G4985" i="3"/>
  <c r="H4985" i="3" s="1"/>
  <c r="I4984" i="3"/>
  <c r="J4984" i="3" s="1"/>
  <c r="G4984" i="3"/>
  <c r="H4984" i="3" s="1"/>
  <c r="I4983" i="3"/>
  <c r="J4983" i="3" s="1"/>
  <c r="G4983" i="3"/>
  <c r="H4983" i="3" s="1"/>
  <c r="I4982" i="3"/>
  <c r="J4982" i="3" s="1"/>
  <c r="G4982" i="3"/>
  <c r="H4982" i="3" s="1"/>
  <c r="I4981" i="3"/>
  <c r="J4981" i="3" s="1"/>
  <c r="G4981" i="3"/>
  <c r="H4981" i="3" s="1"/>
  <c r="I4974" i="3"/>
  <c r="J4974" i="3" s="1"/>
  <c r="G4974" i="3"/>
  <c r="H4974" i="3" s="1"/>
  <c r="I4973" i="3"/>
  <c r="J4973" i="3" s="1"/>
  <c r="G4973" i="3"/>
  <c r="H4973" i="3" s="1"/>
  <c r="I4972" i="3"/>
  <c r="J4972" i="3" s="1"/>
  <c r="G4972" i="3"/>
  <c r="H4972" i="3" s="1"/>
  <c r="I4971" i="3"/>
  <c r="J4971" i="3" s="1"/>
  <c r="G4971" i="3"/>
  <c r="H4971" i="3" s="1"/>
  <c r="I4963" i="3"/>
  <c r="J4963" i="3" s="1"/>
  <c r="G4963" i="3"/>
  <c r="H4963" i="3" s="1"/>
  <c r="I4962" i="3"/>
  <c r="J4962" i="3" s="1"/>
  <c r="G4962" i="3"/>
  <c r="H4962" i="3" s="1"/>
  <c r="I4961" i="3"/>
  <c r="J4961" i="3" s="1"/>
  <c r="G4961" i="3"/>
  <c r="H4961" i="3" s="1"/>
  <c r="I4960" i="3"/>
  <c r="J4960" i="3" s="1"/>
  <c r="G4960" i="3"/>
  <c r="H4960" i="3" s="1"/>
  <c r="I4952" i="3"/>
  <c r="J4952" i="3" s="1"/>
  <c r="G4952" i="3"/>
  <c r="H4952" i="3" s="1"/>
  <c r="I4951" i="3"/>
  <c r="J4951" i="3" s="1"/>
  <c r="G4951" i="3"/>
  <c r="H4951" i="3" s="1"/>
  <c r="I4944" i="3"/>
  <c r="J4944" i="3" s="1"/>
  <c r="G4944" i="3"/>
  <c r="H4944" i="3" s="1"/>
  <c r="I4943" i="3"/>
  <c r="J4943" i="3" s="1"/>
  <c r="G4943" i="3"/>
  <c r="H4943" i="3" s="1"/>
  <c r="I4942" i="3"/>
  <c r="J4942" i="3" s="1"/>
  <c r="G4942" i="3"/>
  <c r="H4942" i="3" s="1"/>
  <c r="I4941" i="3"/>
  <c r="J4941" i="3" s="1"/>
  <c r="G4941" i="3"/>
  <c r="H4941" i="3" s="1"/>
  <c r="I4940" i="3"/>
  <c r="J4940" i="3" s="1"/>
  <c r="G4940" i="3"/>
  <c r="H4940" i="3" s="1"/>
  <c r="I4933" i="3"/>
  <c r="J4933" i="3" s="1"/>
  <c r="G4933" i="3"/>
  <c r="H4933" i="3" s="1"/>
  <c r="I4932" i="3"/>
  <c r="J4932" i="3" s="1"/>
  <c r="G4932" i="3"/>
  <c r="H4932" i="3" s="1"/>
  <c r="I4931" i="3"/>
  <c r="J4931" i="3" s="1"/>
  <c r="G4931" i="3"/>
  <c r="H4931" i="3" s="1"/>
  <c r="I4930" i="3"/>
  <c r="J4930" i="3" s="1"/>
  <c r="G4930" i="3"/>
  <c r="H4930" i="3" s="1"/>
  <c r="I4923" i="3"/>
  <c r="J4923" i="3" s="1"/>
  <c r="G4923" i="3"/>
  <c r="H4923" i="3" s="1"/>
  <c r="I4922" i="3"/>
  <c r="J4922" i="3" s="1"/>
  <c r="G4922" i="3"/>
  <c r="H4922" i="3" s="1"/>
  <c r="I4921" i="3"/>
  <c r="J4921" i="3" s="1"/>
  <c r="G4921" i="3"/>
  <c r="H4921" i="3" s="1"/>
  <c r="I4920" i="3"/>
  <c r="J4920" i="3" s="1"/>
  <c r="G4920" i="3"/>
  <c r="H4920" i="3" s="1"/>
  <c r="I4919" i="3"/>
  <c r="J4919" i="3" s="1"/>
  <c r="G4919" i="3"/>
  <c r="H4919" i="3" s="1"/>
  <c r="I4918" i="3"/>
  <c r="J4918" i="3" s="1"/>
  <c r="G4918" i="3"/>
  <c r="H4918" i="3" s="1"/>
  <c r="I4917" i="3"/>
  <c r="G4917" i="3"/>
  <c r="I4916" i="3"/>
  <c r="J4916" i="3" s="1"/>
  <c r="G4916" i="3"/>
  <c r="H4916" i="3" s="1"/>
  <c r="I4915" i="3"/>
  <c r="J4915" i="3" s="1"/>
  <c r="G4915" i="3"/>
  <c r="H4915" i="3" s="1"/>
  <c r="I4914" i="3"/>
  <c r="J4914" i="3" s="1"/>
  <c r="G4914" i="3"/>
  <c r="H4914" i="3" s="1"/>
  <c r="I4913" i="3"/>
  <c r="J4913" i="3" s="1"/>
  <c r="G4913" i="3"/>
  <c r="H4913" i="3" s="1"/>
  <c r="I4912" i="3"/>
  <c r="J4912" i="3" s="1"/>
  <c r="G4912" i="3"/>
  <c r="H4912" i="3" s="1"/>
  <c r="I4911" i="3"/>
  <c r="J4911" i="3" s="1"/>
  <c r="G4911" i="3"/>
  <c r="H4911" i="3" s="1"/>
  <c r="I4904" i="3"/>
  <c r="J4904" i="3" s="1"/>
  <c r="G4904" i="3"/>
  <c r="H4904" i="3" s="1"/>
  <c r="I4903" i="3"/>
  <c r="J4903" i="3" s="1"/>
  <c r="G4903" i="3"/>
  <c r="H4903" i="3" s="1"/>
  <c r="I4902" i="3"/>
  <c r="J4902" i="3" s="1"/>
  <c r="G4902" i="3"/>
  <c r="H4902" i="3" s="1"/>
  <c r="I4901" i="3"/>
  <c r="J4901" i="3" s="1"/>
  <c r="G4901" i="3"/>
  <c r="H4901" i="3" s="1"/>
  <c r="I4900" i="3"/>
  <c r="J4900" i="3" s="1"/>
  <c r="G4900" i="3"/>
  <c r="H4900" i="3" s="1"/>
  <c r="I4899" i="3"/>
  <c r="J4899" i="3" s="1"/>
  <c r="G4899" i="3"/>
  <c r="H4899" i="3" s="1"/>
  <c r="I4898" i="3"/>
  <c r="G4898" i="3"/>
  <c r="I4897" i="3"/>
  <c r="J4897" i="3" s="1"/>
  <c r="G4897" i="3"/>
  <c r="H4897" i="3" s="1"/>
  <c r="I4896" i="3"/>
  <c r="J4896" i="3" s="1"/>
  <c r="G4896" i="3"/>
  <c r="H4896" i="3" s="1"/>
  <c r="I4895" i="3"/>
  <c r="J4895" i="3" s="1"/>
  <c r="G4895" i="3"/>
  <c r="H4895" i="3" s="1"/>
  <c r="I4894" i="3"/>
  <c r="J4894" i="3" s="1"/>
  <c r="G4894" i="3"/>
  <c r="H4894" i="3" s="1"/>
  <c r="I4893" i="3"/>
  <c r="J4893" i="3" s="1"/>
  <c r="G4893" i="3"/>
  <c r="H4893" i="3" s="1"/>
  <c r="I4892" i="3"/>
  <c r="J4892" i="3" s="1"/>
  <c r="G4892" i="3"/>
  <c r="H4892" i="3" s="1"/>
  <c r="I4885" i="3"/>
  <c r="J4885" i="3" s="1"/>
  <c r="G4885" i="3"/>
  <c r="H4885" i="3" s="1"/>
  <c r="I4884" i="3"/>
  <c r="J4884" i="3" s="1"/>
  <c r="G4884" i="3"/>
  <c r="H4884" i="3" s="1"/>
  <c r="I4883" i="3"/>
  <c r="J4883" i="3" s="1"/>
  <c r="G4883" i="3"/>
  <c r="H4883" i="3" s="1"/>
  <c r="I4882" i="3"/>
  <c r="J4882" i="3" s="1"/>
  <c r="G4882" i="3"/>
  <c r="H4882" i="3" s="1"/>
  <c r="I4881" i="3"/>
  <c r="J4881" i="3" s="1"/>
  <c r="G4881" i="3"/>
  <c r="H4881" i="3" s="1"/>
  <c r="I4880" i="3"/>
  <c r="J4880" i="3" s="1"/>
  <c r="G4880" i="3"/>
  <c r="H4880" i="3" s="1"/>
  <c r="I4879" i="3"/>
  <c r="G4879" i="3"/>
  <c r="I4878" i="3"/>
  <c r="J4878" i="3" s="1"/>
  <c r="G4878" i="3"/>
  <c r="H4878" i="3" s="1"/>
  <c r="I4877" i="3"/>
  <c r="J4877" i="3" s="1"/>
  <c r="G4877" i="3"/>
  <c r="H4877" i="3" s="1"/>
  <c r="I4876" i="3"/>
  <c r="J4876" i="3" s="1"/>
  <c r="G4876" i="3"/>
  <c r="H4876" i="3" s="1"/>
  <c r="I4875" i="3"/>
  <c r="J4875" i="3" s="1"/>
  <c r="G4875" i="3"/>
  <c r="H4875" i="3" s="1"/>
  <c r="I4874" i="3"/>
  <c r="J4874" i="3" s="1"/>
  <c r="G4874" i="3"/>
  <c r="H4874" i="3" s="1"/>
  <c r="I4873" i="3"/>
  <c r="J4873" i="3" s="1"/>
  <c r="G4873" i="3"/>
  <c r="H4873" i="3" s="1"/>
  <c r="I4866" i="3"/>
  <c r="J4866" i="3" s="1"/>
  <c r="G4866" i="3"/>
  <c r="H4866" i="3" s="1"/>
  <c r="I4865" i="3"/>
  <c r="J4865" i="3" s="1"/>
  <c r="G4865" i="3"/>
  <c r="H4865" i="3" s="1"/>
  <c r="I4864" i="3"/>
  <c r="J4864" i="3" s="1"/>
  <c r="G4864" i="3"/>
  <c r="H4864" i="3" s="1"/>
  <c r="I4863" i="3"/>
  <c r="J4863" i="3" s="1"/>
  <c r="G4863" i="3"/>
  <c r="H4863" i="3" s="1"/>
  <c r="I4862" i="3"/>
  <c r="J4862" i="3" s="1"/>
  <c r="G4862" i="3"/>
  <c r="H4862" i="3" s="1"/>
  <c r="I4861" i="3"/>
  <c r="G4861" i="3"/>
  <c r="I4860" i="3"/>
  <c r="J4860" i="3" s="1"/>
  <c r="G4860" i="3"/>
  <c r="H4860" i="3" s="1"/>
  <c r="I4859" i="3"/>
  <c r="J4859" i="3" s="1"/>
  <c r="G4859" i="3"/>
  <c r="H4859" i="3" s="1"/>
  <c r="I4858" i="3"/>
  <c r="J4858" i="3" s="1"/>
  <c r="G4858" i="3"/>
  <c r="H4858" i="3" s="1"/>
  <c r="I4857" i="3"/>
  <c r="J4857" i="3" s="1"/>
  <c r="G4857" i="3"/>
  <c r="H4857" i="3" s="1"/>
  <c r="I4856" i="3"/>
  <c r="J4856" i="3" s="1"/>
  <c r="G4856" i="3"/>
  <c r="H4856" i="3" s="1"/>
  <c r="I4855" i="3"/>
  <c r="J4855" i="3" s="1"/>
  <c r="G4855" i="3"/>
  <c r="H4855" i="3" s="1"/>
  <c r="I4848" i="3"/>
  <c r="J4848" i="3" s="1"/>
  <c r="G4848" i="3"/>
  <c r="H4848" i="3" s="1"/>
  <c r="I4847" i="3"/>
  <c r="J4847" i="3" s="1"/>
  <c r="G4847" i="3"/>
  <c r="H4847" i="3" s="1"/>
  <c r="I4846" i="3"/>
  <c r="J4846" i="3" s="1"/>
  <c r="G4846" i="3"/>
  <c r="H4846" i="3" s="1"/>
  <c r="I4845" i="3"/>
  <c r="J4845" i="3" s="1"/>
  <c r="G4845" i="3"/>
  <c r="H4845" i="3" s="1"/>
  <c r="I4844" i="3"/>
  <c r="J4844" i="3" s="1"/>
  <c r="G4844" i="3"/>
  <c r="H4844" i="3" s="1"/>
  <c r="I4843" i="3"/>
  <c r="G4843" i="3"/>
  <c r="I4842" i="3"/>
  <c r="J4842" i="3" s="1"/>
  <c r="G4842" i="3"/>
  <c r="H4842" i="3" s="1"/>
  <c r="I4841" i="3"/>
  <c r="J4841" i="3" s="1"/>
  <c r="G4841" i="3"/>
  <c r="H4841" i="3" s="1"/>
  <c r="I4840" i="3"/>
  <c r="J4840" i="3" s="1"/>
  <c r="G4840" i="3"/>
  <c r="H4840" i="3" s="1"/>
  <c r="I4839" i="3"/>
  <c r="J4839" i="3" s="1"/>
  <c r="G4839" i="3"/>
  <c r="H4839" i="3" s="1"/>
  <c r="I4838" i="3"/>
  <c r="J4838" i="3" s="1"/>
  <c r="G4838" i="3"/>
  <c r="H4838" i="3" s="1"/>
  <c r="I4837" i="3"/>
  <c r="J4837" i="3" s="1"/>
  <c r="G4837" i="3"/>
  <c r="H4837" i="3" s="1"/>
  <c r="I4830" i="3"/>
  <c r="J4830" i="3" s="1"/>
  <c r="G4830" i="3"/>
  <c r="H4830" i="3" s="1"/>
  <c r="I4829" i="3"/>
  <c r="J4829" i="3" s="1"/>
  <c r="G4829" i="3"/>
  <c r="H4829" i="3" s="1"/>
  <c r="I4828" i="3"/>
  <c r="J4828" i="3" s="1"/>
  <c r="G4828" i="3"/>
  <c r="H4828" i="3" s="1"/>
  <c r="I4827" i="3"/>
  <c r="J4827" i="3" s="1"/>
  <c r="G4827" i="3"/>
  <c r="H4827" i="3" s="1"/>
  <c r="I4826" i="3"/>
  <c r="J4826" i="3" s="1"/>
  <c r="G4826" i="3"/>
  <c r="H4826" i="3" s="1"/>
  <c r="I4825" i="3"/>
  <c r="G4825" i="3"/>
  <c r="I4824" i="3"/>
  <c r="J4824" i="3" s="1"/>
  <c r="G4824" i="3"/>
  <c r="H4824" i="3" s="1"/>
  <c r="I4823" i="3"/>
  <c r="J4823" i="3" s="1"/>
  <c r="G4823" i="3"/>
  <c r="H4823" i="3" s="1"/>
  <c r="I4822" i="3"/>
  <c r="J4822" i="3" s="1"/>
  <c r="G4822" i="3"/>
  <c r="H4822" i="3" s="1"/>
  <c r="I4821" i="3"/>
  <c r="J4821" i="3" s="1"/>
  <c r="G4821" i="3"/>
  <c r="H4821" i="3" s="1"/>
  <c r="I4820" i="3"/>
  <c r="J4820" i="3" s="1"/>
  <c r="G4820" i="3"/>
  <c r="H4820" i="3" s="1"/>
  <c r="I4819" i="3"/>
  <c r="J4819" i="3" s="1"/>
  <c r="G4819" i="3"/>
  <c r="H4819" i="3" s="1"/>
  <c r="I4812" i="3"/>
  <c r="J4812" i="3" s="1"/>
  <c r="G4812" i="3"/>
  <c r="H4812" i="3" s="1"/>
  <c r="I4811" i="3"/>
  <c r="J4811" i="3" s="1"/>
  <c r="G4811" i="3"/>
  <c r="H4811" i="3" s="1"/>
  <c r="I4810" i="3"/>
  <c r="J4810" i="3" s="1"/>
  <c r="G4810" i="3"/>
  <c r="H4810" i="3" s="1"/>
  <c r="I4809" i="3"/>
  <c r="J4809" i="3" s="1"/>
  <c r="G4809" i="3"/>
  <c r="H4809" i="3" s="1"/>
  <c r="I4808" i="3"/>
  <c r="J4808" i="3" s="1"/>
  <c r="G4808" i="3"/>
  <c r="H4808" i="3" s="1"/>
  <c r="I4807" i="3"/>
  <c r="G4807" i="3"/>
  <c r="I4806" i="3"/>
  <c r="J4806" i="3" s="1"/>
  <c r="G4806" i="3"/>
  <c r="H4806" i="3" s="1"/>
  <c r="I4805" i="3"/>
  <c r="J4805" i="3" s="1"/>
  <c r="G4805" i="3"/>
  <c r="H4805" i="3" s="1"/>
  <c r="I4804" i="3"/>
  <c r="J4804" i="3" s="1"/>
  <c r="G4804" i="3"/>
  <c r="H4804" i="3" s="1"/>
  <c r="I4803" i="3"/>
  <c r="J4803" i="3" s="1"/>
  <c r="G4803" i="3"/>
  <c r="H4803" i="3" s="1"/>
  <c r="I4802" i="3"/>
  <c r="J4802" i="3" s="1"/>
  <c r="G4802" i="3"/>
  <c r="H4802" i="3" s="1"/>
  <c r="I4801" i="3"/>
  <c r="J4801" i="3" s="1"/>
  <c r="G4801" i="3"/>
  <c r="H4801" i="3" s="1"/>
  <c r="I4794" i="3"/>
  <c r="J4794" i="3" s="1"/>
  <c r="G4794" i="3"/>
  <c r="H4794" i="3" s="1"/>
  <c r="I4793" i="3"/>
  <c r="J4793" i="3" s="1"/>
  <c r="G4793" i="3"/>
  <c r="H4793" i="3" s="1"/>
  <c r="I4792" i="3"/>
  <c r="J4792" i="3" s="1"/>
  <c r="G4792" i="3"/>
  <c r="H4792" i="3" s="1"/>
  <c r="I4791" i="3"/>
  <c r="J4791" i="3" s="1"/>
  <c r="G4791" i="3"/>
  <c r="H4791" i="3" s="1"/>
  <c r="I4790" i="3"/>
  <c r="J4790" i="3" s="1"/>
  <c r="G4790" i="3"/>
  <c r="H4790" i="3" s="1"/>
  <c r="I4789" i="3"/>
  <c r="G4789" i="3"/>
  <c r="I4788" i="3"/>
  <c r="J4788" i="3" s="1"/>
  <c r="G4788" i="3"/>
  <c r="H4788" i="3" s="1"/>
  <c r="I4787" i="3"/>
  <c r="J4787" i="3" s="1"/>
  <c r="G4787" i="3"/>
  <c r="H4787" i="3" s="1"/>
  <c r="I4786" i="3"/>
  <c r="J4786" i="3" s="1"/>
  <c r="G4786" i="3"/>
  <c r="H4786" i="3" s="1"/>
  <c r="I4785" i="3"/>
  <c r="J4785" i="3" s="1"/>
  <c r="G4785" i="3"/>
  <c r="H4785" i="3" s="1"/>
  <c r="I4784" i="3"/>
  <c r="J4784" i="3" s="1"/>
  <c r="G4784" i="3"/>
  <c r="H4784" i="3" s="1"/>
  <c r="I4783" i="3"/>
  <c r="J4783" i="3" s="1"/>
  <c r="G4783" i="3"/>
  <c r="H4783" i="3" s="1"/>
  <c r="I4776" i="3"/>
  <c r="J4776" i="3" s="1"/>
  <c r="G4776" i="3"/>
  <c r="H4776" i="3" s="1"/>
  <c r="I4775" i="3"/>
  <c r="J4775" i="3" s="1"/>
  <c r="G4775" i="3"/>
  <c r="H4775" i="3" s="1"/>
  <c r="I4774" i="3"/>
  <c r="J4774" i="3" s="1"/>
  <c r="G4774" i="3"/>
  <c r="H4774" i="3" s="1"/>
  <c r="I4773" i="3"/>
  <c r="J4773" i="3" s="1"/>
  <c r="G4773" i="3"/>
  <c r="H4773" i="3" s="1"/>
  <c r="I4772" i="3"/>
  <c r="J4772" i="3" s="1"/>
  <c r="G4772" i="3"/>
  <c r="H4772" i="3" s="1"/>
  <c r="I4771" i="3"/>
  <c r="G4771" i="3"/>
  <c r="I4770" i="3"/>
  <c r="J4770" i="3" s="1"/>
  <c r="G4770" i="3"/>
  <c r="H4770" i="3" s="1"/>
  <c r="I4769" i="3"/>
  <c r="J4769" i="3" s="1"/>
  <c r="G4769" i="3"/>
  <c r="H4769" i="3" s="1"/>
  <c r="I4768" i="3"/>
  <c r="J4768" i="3" s="1"/>
  <c r="G4768" i="3"/>
  <c r="H4768" i="3" s="1"/>
  <c r="I4767" i="3"/>
  <c r="J4767" i="3" s="1"/>
  <c r="G4767" i="3"/>
  <c r="H4767" i="3" s="1"/>
  <c r="I4766" i="3"/>
  <c r="J4766" i="3" s="1"/>
  <c r="G4766" i="3"/>
  <c r="H4766" i="3" s="1"/>
  <c r="I4765" i="3"/>
  <c r="J4765" i="3" s="1"/>
  <c r="G4765" i="3"/>
  <c r="H4765" i="3" s="1"/>
  <c r="I4758" i="3"/>
  <c r="J4758" i="3" s="1"/>
  <c r="G4758" i="3"/>
  <c r="H4758" i="3" s="1"/>
  <c r="I4757" i="3"/>
  <c r="J4757" i="3" s="1"/>
  <c r="G4757" i="3"/>
  <c r="H4757" i="3" s="1"/>
  <c r="I4756" i="3"/>
  <c r="J4756" i="3" s="1"/>
  <c r="G4756" i="3"/>
  <c r="H4756" i="3" s="1"/>
  <c r="I4755" i="3"/>
  <c r="J4755" i="3" s="1"/>
  <c r="G4755" i="3"/>
  <c r="H4755" i="3" s="1"/>
  <c r="I4754" i="3"/>
  <c r="J4754" i="3" s="1"/>
  <c r="G4754" i="3"/>
  <c r="H4754" i="3" s="1"/>
  <c r="I4753" i="3"/>
  <c r="G4753" i="3"/>
  <c r="I4752" i="3"/>
  <c r="J4752" i="3" s="1"/>
  <c r="G4752" i="3"/>
  <c r="H4752" i="3" s="1"/>
  <c r="I4751" i="3"/>
  <c r="J4751" i="3" s="1"/>
  <c r="G4751" i="3"/>
  <c r="H4751" i="3" s="1"/>
  <c r="I4750" i="3"/>
  <c r="J4750" i="3" s="1"/>
  <c r="G4750" i="3"/>
  <c r="H4750" i="3" s="1"/>
  <c r="I4749" i="3"/>
  <c r="J4749" i="3" s="1"/>
  <c r="G4749" i="3"/>
  <c r="H4749" i="3" s="1"/>
  <c r="I4748" i="3"/>
  <c r="J4748" i="3" s="1"/>
  <c r="G4748" i="3"/>
  <c r="H4748" i="3" s="1"/>
  <c r="I4747" i="3"/>
  <c r="J4747" i="3" s="1"/>
  <c r="G4747" i="3"/>
  <c r="H4747" i="3" s="1"/>
  <c r="I4740" i="3"/>
  <c r="J4740" i="3" s="1"/>
  <c r="G4740" i="3"/>
  <c r="H4740" i="3" s="1"/>
  <c r="I4739" i="3"/>
  <c r="J4739" i="3" s="1"/>
  <c r="G4739" i="3"/>
  <c r="H4739" i="3" s="1"/>
  <c r="I4738" i="3"/>
  <c r="J4738" i="3" s="1"/>
  <c r="G4738" i="3"/>
  <c r="H4738" i="3" s="1"/>
  <c r="I4737" i="3"/>
  <c r="J4737" i="3" s="1"/>
  <c r="G4737" i="3"/>
  <c r="H4737" i="3" s="1"/>
  <c r="I4736" i="3"/>
  <c r="J4736" i="3" s="1"/>
  <c r="G4736" i="3"/>
  <c r="H4736" i="3" s="1"/>
  <c r="I4735" i="3"/>
  <c r="J4735" i="3" s="1"/>
  <c r="G4735" i="3"/>
  <c r="H4735" i="3" s="1"/>
  <c r="I4734" i="3"/>
  <c r="G4734" i="3"/>
  <c r="I4733" i="3"/>
  <c r="J4733" i="3" s="1"/>
  <c r="G4733" i="3"/>
  <c r="H4733" i="3" s="1"/>
  <c r="I4732" i="3"/>
  <c r="J4732" i="3" s="1"/>
  <c r="G4732" i="3"/>
  <c r="H4732" i="3" s="1"/>
  <c r="I4731" i="3"/>
  <c r="J4731" i="3" s="1"/>
  <c r="G4731" i="3"/>
  <c r="H4731" i="3" s="1"/>
  <c r="I4730" i="3"/>
  <c r="J4730" i="3" s="1"/>
  <c r="G4730" i="3"/>
  <c r="H4730" i="3" s="1"/>
  <c r="I4729" i="3"/>
  <c r="J4729" i="3" s="1"/>
  <c r="G4729" i="3"/>
  <c r="H4729" i="3" s="1"/>
  <c r="I4728" i="3"/>
  <c r="J4728" i="3" s="1"/>
  <c r="G4728" i="3"/>
  <c r="H4728" i="3" s="1"/>
  <c r="I4721" i="3"/>
  <c r="J4721" i="3" s="1"/>
  <c r="G4721" i="3"/>
  <c r="H4721" i="3" s="1"/>
  <c r="I4720" i="3"/>
  <c r="J4720" i="3" s="1"/>
  <c r="G4720" i="3"/>
  <c r="H4720" i="3" s="1"/>
  <c r="I4719" i="3"/>
  <c r="J4719" i="3" s="1"/>
  <c r="G4719" i="3"/>
  <c r="H4719" i="3" s="1"/>
  <c r="I4718" i="3"/>
  <c r="J4718" i="3" s="1"/>
  <c r="G4718" i="3"/>
  <c r="H4718" i="3" s="1"/>
  <c r="I4717" i="3"/>
  <c r="J4717" i="3" s="1"/>
  <c r="G4717" i="3"/>
  <c r="H4717" i="3" s="1"/>
  <c r="I4716" i="3"/>
  <c r="J4716" i="3" s="1"/>
  <c r="G4716" i="3"/>
  <c r="H4716" i="3" s="1"/>
  <c r="I4715" i="3"/>
  <c r="G4715" i="3"/>
  <c r="I4714" i="3"/>
  <c r="J4714" i="3" s="1"/>
  <c r="G4714" i="3"/>
  <c r="H4714" i="3" s="1"/>
  <c r="I4713" i="3"/>
  <c r="J4713" i="3" s="1"/>
  <c r="G4713" i="3"/>
  <c r="H4713" i="3" s="1"/>
  <c r="I4712" i="3"/>
  <c r="J4712" i="3" s="1"/>
  <c r="G4712" i="3"/>
  <c r="H4712" i="3" s="1"/>
  <c r="I4711" i="3"/>
  <c r="J4711" i="3" s="1"/>
  <c r="G4711" i="3"/>
  <c r="H4711" i="3" s="1"/>
  <c r="I4710" i="3"/>
  <c r="J4710" i="3" s="1"/>
  <c r="G4710" i="3"/>
  <c r="H4710" i="3" s="1"/>
  <c r="I4709" i="3"/>
  <c r="J4709" i="3" s="1"/>
  <c r="G4709" i="3"/>
  <c r="H4709" i="3" s="1"/>
  <c r="I4702" i="3"/>
  <c r="J4702" i="3" s="1"/>
  <c r="G4702" i="3"/>
  <c r="H4702" i="3" s="1"/>
  <c r="I4701" i="3"/>
  <c r="J4701" i="3" s="1"/>
  <c r="G4701" i="3"/>
  <c r="H4701" i="3" s="1"/>
  <c r="I4700" i="3"/>
  <c r="J4700" i="3" s="1"/>
  <c r="G4700" i="3"/>
  <c r="H4700" i="3" s="1"/>
  <c r="I4699" i="3"/>
  <c r="J4699" i="3" s="1"/>
  <c r="G4699" i="3"/>
  <c r="H4699" i="3" s="1"/>
  <c r="I4698" i="3"/>
  <c r="J4698" i="3" s="1"/>
  <c r="G4698" i="3"/>
  <c r="H4698" i="3" s="1"/>
  <c r="I4697" i="3"/>
  <c r="J4697" i="3" s="1"/>
  <c r="G4697" i="3"/>
  <c r="H4697" i="3" s="1"/>
  <c r="I4696" i="3"/>
  <c r="G4696" i="3"/>
  <c r="I4695" i="3"/>
  <c r="J4695" i="3" s="1"/>
  <c r="G4695" i="3"/>
  <c r="H4695" i="3" s="1"/>
  <c r="I4694" i="3"/>
  <c r="J4694" i="3" s="1"/>
  <c r="G4694" i="3"/>
  <c r="H4694" i="3" s="1"/>
  <c r="I4693" i="3"/>
  <c r="J4693" i="3" s="1"/>
  <c r="G4693" i="3"/>
  <c r="H4693" i="3" s="1"/>
  <c r="I4692" i="3"/>
  <c r="J4692" i="3" s="1"/>
  <c r="G4692" i="3"/>
  <c r="H4692" i="3" s="1"/>
  <c r="I4691" i="3"/>
  <c r="J4691" i="3" s="1"/>
  <c r="G4691" i="3"/>
  <c r="H4691" i="3" s="1"/>
  <c r="I4690" i="3"/>
  <c r="J4690" i="3" s="1"/>
  <c r="G4690" i="3"/>
  <c r="H4690" i="3" s="1"/>
  <c r="I4683" i="3"/>
  <c r="J4683" i="3" s="1"/>
  <c r="G4683" i="3"/>
  <c r="H4683" i="3" s="1"/>
  <c r="I4682" i="3"/>
  <c r="J4682" i="3" s="1"/>
  <c r="G4682" i="3"/>
  <c r="H4682" i="3" s="1"/>
  <c r="I4681" i="3"/>
  <c r="J4681" i="3" s="1"/>
  <c r="G4681" i="3"/>
  <c r="H4681" i="3" s="1"/>
  <c r="I4680" i="3"/>
  <c r="J4680" i="3" s="1"/>
  <c r="G4680" i="3"/>
  <c r="H4680" i="3" s="1"/>
  <c r="I4679" i="3"/>
  <c r="J4679" i="3" s="1"/>
  <c r="G4679" i="3"/>
  <c r="H4679" i="3" s="1"/>
  <c r="I4678" i="3"/>
  <c r="J4678" i="3" s="1"/>
  <c r="G4678" i="3"/>
  <c r="H4678" i="3" s="1"/>
  <c r="I4677" i="3"/>
  <c r="G4677" i="3"/>
  <c r="I4676" i="3"/>
  <c r="J4676" i="3" s="1"/>
  <c r="G4676" i="3"/>
  <c r="H4676" i="3" s="1"/>
  <c r="I4675" i="3"/>
  <c r="J4675" i="3" s="1"/>
  <c r="G4675" i="3"/>
  <c r="H4675" i="3" s="1"/>
  <c r="I4674" i="3"/>
  <c r="J4674" i="3" s="1"/>
  <c r="G4674" i="3"/>
  <c r="H4674" i="3" s="1"/>
  <c r="I4673" i="3"/>
  <c r="J4673" i="3" s="1"/>
  <c r="G4673" i="3"/>
  <c r="H4673" i="3" s="1"/>
  <c r="I4672" i="3"/>
  <c r="J4672" i="3" s="1"/>
  <c r="G4672" i="3"/>
  <c r="H4672" i="3" s="1"/>
  <c r="I4671" i="3"/>
  <c r="J4671" i="3" s="1"/>
  <c r="G4671" i="3"/>
  <c r="H4671" i="3" s="1"/>
  <c r="I4664" i="3"/>
  <c r="J4664" i="3" s="1"/>
  <c r="G4664" i="3"/>
  <c r="H4664" i="3" s="1"/>
  <c r="I4663" i="3"/>
  <c r="J4663" i="3" s="1"/>
  <c r="G4663" i="3"/>
  <c r="H4663" i="3" s="1"/>
  <c r="I4662" i="3"/>
  <c r="J4662" i="3" s="1"/>
  <c r="G4662" i="3"/>
  <c r="H4662" i="3" s="1"/>
  <c r="I4661" i="3"/>
  <c r="J4661" i="3" s="1"/>
  <c r="G4661" i="3"/>
  <c r="H4661" i="3" s="1"/>
  <c r="I4660" i="3"/>
  <c r="J4660" i="3" s="1"/>
  <c r="G4660" i="3"/>
  <c r="H4660" i="3" s="1"/>
  <c r="I4659" i="3"/>
  <c r="J4659" i="3" s="1"/>
  <c r="G4659" i="3"/>
  <c r="H4659" i="3" s="1"/>
  <c r="I4658" i="3"/>
  <c r="G4658" i="3"/>
  <c r="I4657" i="3"/>
  <c r="J4657" i="3" s="1"/>
  <c r="G4657" i="3"/>
  <c r="H4657" i="3" s="1"/>
  <c r="I4656" i="3"/>
  <c r="J4656" i="3" s="1"/>
  <c r="G4656" i="3"/>
  <c r="H4656" i="3" s="1"/>
  <c r="I4655" i="3"/>
  <c r="J4655" i="3" s="1"/>
  <c r="G4655" i="3"/>
  <c r="H4655" i="3" s="1"/>
  <c r="I4654" i="3"/>
  <c r="J4654" i="3" s="1"/>
  <c r="G4654" i="3"/>
  <c r="H4654" i="3" s="1"/>
  <c r="I4653" i="3"/>
  <c r="J4653" i="3" s="1"/>
  <c r="G4653" i="3"/>
  <c r="H4653" i="3" s="1"/>
  <c r="I4652" i="3"/>
  <c r="J4652" i="3" s="1"/>
  <c r="G4652" i="3"/>
  <c r="H4652" i="3" s="1"/>
  <c r="I4645" i="3"/>
  <c r="J4645" i="3" s="1"/>
  <c r="G4645" i="3"/>
  <c r="H4645" i="3" s="1"/>
  <c r="I4644" i="3"/>
  <c r="J4644" i="3" s="1"/>
  <c r="G4644" i="3"/>
  <c r="H4644" i="3" s="1"/>
  <c r="I4643" i="3"/>
  <c r="J4643" i="3" s="1"/>
  <c r="G4643" i="3"/>
  <c r="H4643" i="3" s="1"/>
  <c r="I4642" i="3"/>
  <c r="J4642" i="3" s="1"/>
  <c r="G4642" i="3"/>
  <c r="H4642" i="3" s="1"/>
  <c r="I4641" i="3"/>
  <c r="J4641" i="3" s="1"/>
  <c r="G4641" i="3"/>
  <c r="H4641" i="3" s="1"/>
  <c r="I4640" i="3"/>
  <c r="J4640" i="3" s="1"/>
  <c r="G4640" i="3"/>
  <c r="H4640" i="3" s="1"/>
  <c r="I4639" i="3"/>
  <c r="G4639" i="3"/>
  <c r="I4638" i="3"/>
  <c r="J4638" i="3" s="1"/>
  <c r="G4638" i="3"/>
  <c r="H4638" i="3" s="1"/>
  <c r="I4637" i="3"/>
  <c r="J4637" i="3" s="1"/>
  <c r="G4637" i="3"/>
  <c r="H4637" i="3" s="1"/>
  <c r="I4636" i="3"/>
  <c r="J4636" i="3" s="1"/>
  <c r="G4636" i="3"/>
  <c r="H4636" i="3" s="1"/>
  <c r="I4635" i="3"/>
  <c r="J4635" i="3" s="1"/>
  <c r="G4635" i="3"/>
  <c r="H4635" i="3" s="1"/>
  <c r="I4634" i="3"/>
  <c r="J4634" i="3" s="1"/>
  <c r="G4634" i="3"/>
  <c r="H4634" i="3" s="1"/>
  <c r="I4633" i="3"/>
  <c r="J4633" i="3" s="1"/>
  <c r="G4633" i="3"/>
  <c r="H4633" i="3" s="1"/>
  <c r="I4626" i="3"/>
  <c r="J4626" i="3" s="1"/>
  <c r="G4626" i="3"/>
  <c r="H4626" i="3" s="1"/>
  <c r="I4625" i="3"/>
  <c r="J4625" i="3" s="1"/>
  <c r="G4625" i="3"/>
  <c r="H4625" i="3" s="1"/>
  <c r="I4624" i="3"/>
  <c r="J4624" i="3" s="1"/>
  <c r="G4624" i="3"/>
  <c r="H4624" i="3" s="1"/>
  <c r="I4623" i="3"/>
  <c r="J4623" i="3" s="1"/>
  <c r="G4623" i="3"/>
  <c r="H4623" i="3" s="1"/>
  <c r="I4622" i="3"/>
  <c r="J4622" i="3" s="1"/>
  <c r="G4622" i="3"/>
  <c r="H4622" i="3" s="1"/>
  <c r="I4621" i="3"/>
  <c r="J4621" i="3" s="1"/>
  <c r="G4621" i="3"/>
  <c r="H4621" i="3" s="1"/>
  <c r="I4620" i="3"/>
  <c r="G4620" i="3"/>
  <c r="I4619" i="3"/>
  <c r="J4619" i="3" s="1"/>
  <c r="G4619" i="3"/>
  <c r="H4619" i="3" s="1"/>
  <c r="I4618" i="3"/>
  <c r="J4618" i="3" s="1"/>
  <c r="G4618" i="3"/>
  <c r="H4618" i="3" s="1"/>
  <c r="I4617" i="3"/>
  <c r="J4617" i="3" s="1"/>
  <c r="G4617" i="3"/>
  <c r="H4617" i="3" s="1"/>
  <c r="I4616" i="3"/>
  <c r="J4616" i="3" s="1"/>
  <c r="G4616" i="3"/>
  <c r="H4616" i="3" s="1"/>
  <c r="I4615" i="3"/>
  <c r="J4615" i="3" s="1"/>
  <c r="G4615" i="3"/>
  <c r="H4615" i="3" s="1"/>
  <c r="I4614" i="3"/>
  <c r="J4614" i="3" s="1"/>
  <c r="G4614" i="3"/>
  <c r="H4614" i="3" s="1"/>
  <c r="I4607" i="3"/>
  <c r="J4607" i="3" s="1"/>
  <c r="G4607" i="3"/>
  <c r="H4607" i="3" s="1"/>
  <c r="I4606" i="3"/>
  <c r="J4606" i="3" s="1"/>
  <c r="G4606" i="3"/>
  <c r="H4606" i="3" s="1"/>
  <c r="I4605" i="3"/>
  <c r="J4605" i="3" s="1"/>
  <c r="G4605" i="3"/>
  <c r="H4605" i="3" s="1"/>
  <c r="I4604" i="3"/>
  <c r="J4604" i="3" s="1"/>
  <c r="G4604" i="3"/>
  <c r="H4604" i="3" s="1"/>
  <c r="I4603" i="3"/>
  <c r="J4603" i="3" s="1"/>
  <c r="G4603" i="3"/>
  <c r="H4603" i="3" s="1"/>
  <c r="I4602" i="3"/>
  <c r="J4602" i="3" s="1"/>
  <c r="G4602" i="3"/>
  <c r="H4602" i="3" s="1"/>
  <c r="I4601" i="3"/>
  <c r="G4601" i="3"/>
  <c r="I4600" i="3"/>
  <c r="J4600" i="3" s="1"/>
  <c r="G4600" i="3"/>
  <c r="H4600" i="3" s="1"/>
  <c r="I4599" i="3"/>
  <c r="J4599" i="3" s="1"/>
  <c r="G4599" i="3"/>
  <c r="H4599" i="3" s="1"/>
  <c r="I4598" i="3"/>
  <c r="J4598" i="3" s="1"/>
  <c r="G4598" i="3"/>
  <c r="H4598" i="3" s="1"/>
  <c r="I4597" i="3"/>
  <c r="J4597" i="3" s="1"/>
  <c r="G4597" i="3"/>
  <c r="H4597" i="3" s="1"/>
  <c r="I4596" i="3"/>
  <c r="J4596" i="3" s="1"/>
  <c r="G4596" i="3"/>
  <c r="H4596" i="3" s="1"/>
  <c r="I4595" i="3"/>
  <c r="J4595" i="3" s="1"/>
  <c r="G4595" i="3"/>
  <c r="H4595" i="3" s="1"/>
  <c r="I4588" i="3"/>
  <c r="J4588" i="3" s="1"/>
  <c r="G4588" i="3"/>
  <c r="H4588" i="3" s="1"/>
  <c r="I4587" i="3"/>
  <c r="J4587" i="3" s="1"/>
  <c r="G4587" i="3"/>
  <c r="H4587" i="3" s="1"/>
  <c r="I4586" i="3"/>
  <c r="J4586" i="3" s="1"/>
  <c r="G4586" i="3"/>
  <c r="H4586" i="3" s="1"/>
  <c r="I4585" i="3"/>
  <c r="J4585" i="3" s="1"/>
  <c r="G4585" i="3"/>
  <c r="H4585" i="3" s="1"/>
  <c r="I4584" i="3"/>
  <c r="J4584" i="3" s="1"/>
  <c r="G4584" i="3"/>
  <c r="H4584" i="3" s="1"/>
  <c r="I4583" i="3"/>
  <c r="J4583" i="3" s="1"/>
  <c r="G4583" i="3"/>
  <c r="H4583" i="3" s="1"/>
  <c r="I4582" i="3"/>
  <c r="G4582" i="3"/>
  <c r="I4581" i="3"/>
  <c r="J4581" i="3" s="1"/>
  <c r="G4581" i="3"/>
  <c r="H4581" i="3" s="1"/>
  <c r="I4580" i="3"/>
  <c r="J4580" i="3" s="1"/>
  <c r="G4580" i="3"/>
  <c r="H4580" i="3" s="1"/>
  <c r="I4579" i="3"/>
  <c r="J4579" i="3" s="1"/>
  <c r="G4579" i="3"/>
  <c r="H4579" i="3" s="1"/>
  <c r="I4578" i="3"/>
  <c r="J4578" i="3" s="1"/>
  <c r="G4578" i="3"/>
  <c r="H4578" i="3" s="1"/>
  <c r="I4577" i="3"/>
  <c r="J4577" i="3" s="1"/>
  <c r="G4577" i="3"/>
  <c r="H4577" i="3" s="1"/>
  <c r="I4576" i="3"/>
  <c r="J4576" i="3" s="1"/>
  <c r="G4576" i="3"/>
  <c r="H4576" i="3" s="1"/>
  <c r="I4569" i="3"/>
  <c r="J4569" i="3" s="1"/>
  <c r="G4569" i="3"/>
  <c r="H4569" i="3" s="1"/>
  <c r="I4568" i="3"/>
  <c r="J4568" i="3" s="1"/>
  <c r="G4568" i="3"/>
  <c r="H4568" i="3" s="1"/>
  <c r="I4567" i="3"/>
  <c r="J4567" i="3" s="1"/>
  <c r="G4567" i="3"/>
  <c r="H4567" i="3" s="1"/>
  <c r="I4566" i="3"/>
  <c r="J4566" i="3" s="1"/>
  <c r="G4566" i="3"/>
  <c r="H4566" i="3" s="1"/>
  <c r="I4565" i="3"/>
  <c r="J4565" i="3" s="1"/>
  <c r="G4565" i="3"/>
  <c r="H4565" i="3" s="1"/>
  <c r="I4564" i="3"/>
  <c r="J4564" i="3" s="1"/>
  <c r="G4564" i="3"/>
  <c r="H4564" i="3" s="1"/>
  <c r="I4563" i="3"/>
  <c r="G4563" i="3"/>
  <c r="I4562" i="3"/>
  <c r="J4562" i="3" s="1"/>
  <c r="G4562" i="3"/>
  <c r="H4562" i="3" s="1"/>
  <c r="I4561" i="3"/>
  <c r="J4561" i="3" s="1"/>
  <c r="G4561" i="3"/>
  <c r="H4561" i="3" s="1"/>
  <c r="I4560" i="3"/>
  <c r="J4560" i="3" s="1"/>
  <c r="G4560" i="3"/>
  <c r="H4560" i="3" s="1"/>
  <c r="I4559" i="3"/>
  <c r="J4559" i="3" s="1"/>
  <c r="G4559" i="3"/>
  <c r="H4559" i="3" s="1"/>
  <c r="I4558" i="3"/>
  <c r="J4558" i="3" s="1"/>
  <c r="G4558" i="3"/>
  <c r="H4558" i="3" s="1"/>
  <c r="I4557" i="3"/>
  <c r="J4557" i="3" s="1"/>
  <c r="G4557" i="3"/>
  <c r="H4557" i="3" s="1"/>
  <c r="I4550" i="3"/>
  <c r="J4550" i="3" s="1"/>
  <c r="G4550" i="3"/>
  <c r="H4550" i="3" s="1"/>
  <c r="I4549" i="3"/>
  <c r="J4549" i="3" s="1"/>
  <c r="G4549" i="3"/>
  <c r="H4549" i="3" s="1"/>
  <c r="I4548" i="3"/>
  <c r="J4548" i="3" s="1"/>
  <c r="G4548" i="3"/>
  <c r="H4548" i="3" s="1"/>
  <c r="I4547" i="3"/>
  <c r="J4547" i="3" s="1"/>
  <c r="G4547" i="3"/>
  <c r="H4547" i="3" s="1"/>
  <c r="I4546" i="3"/>
  <c r="J4546" i="3" s="1"/>
  <c r="G4546" i="3"/>
  <c r="H4546" i="3" s="1"/>
  <c r="I4545" i="3"/>
  <c r="J4545" i="3" s="1"/>
  <c r="G4545" i="3"/>
  <c r="H4545" i="3" s="1"/>
  <c r="I4544" i="3"/>
  <c r="G4544" i="3"/>
  <c r="I4543" i="3"/>
  <c r="J4543" i="3" s="1"/>
  <c r="G4543" i="3"/>
  <c r="H4543" i="3" s="1"/>
  <c r="I4542" i="3"/>
  <c r="J4542" i="3" s="1"/>
  <c r="G4542" i="3"/>
  <c r="H4542" i="3" s="1"/>
  <c r="I4541" i="3"/>
  <c r="J4541" i="3" s="1"/>
  <c r="G4541" i="3"/>
  <c r="H4541" i="3" s="1"/>
  <c r="I4540" i="3"/>
  <c r="J4540" i="3" s="1"/>
  <c r="G4540" i="3"/>
  <c r="H4540" i="3" s="1"/>
  <c r="I4539" i="3"/>
  <c r="J4539" i="3" s="1"/>
  <c r="G4539" i="3"/>
  <c r="H4539" i="3" s="1"/>
  <c r="I4538" i="3"/>
  <c r="J4538" i="3" s="1"/>
  <c r="G4538" i="3"/>
  <c r="H4538" i="3" s="1"/>
  <c r="I4531" i="3"/>
  <c r="J4531" i="3" s="1"/>
  <c r="G4531" i="3"/>
  <c r="H4531" i="3" s="1"/>
  <c r="I4530" i="3"/>
  <c r="J4530" i="3" s="1"/>
  <c r="G4530" i="3"/>
  <c r="H4530" i="3" s="1"/>
  <c r="I4529" i="3"/>
  <c r="J4529" i="3" s="1"/>
  <c r="G4529" i="3"/>
  <c r="H4529" i="3" s="1"/>
  <c r="I4528" i="3"/>
  <c r="J4528" i="3" s="1"/>
  <c r="G4528" i="3"/>
  <c r="H4528" i="3" s="1"/>
  <c r="I4527" i="3"/>
  <c r="J4527" i="3" s="1"/>
  <c r="G4527" i="3"/>
  <c r="H4527" i="3" s="1"/>
  <c r="I4526" i="3"/>
  <c r="J4526" i="3" s="1"/>
  <c r="G4526" i="3"/>
  <c r="H4526" i="3" s="1"/>
  <c r="I4525" i="3"/>
  <c r="G4525" i="3"/>
  <c r="I4524" i="3"/>
  <c r="J4524" i="3" s="1"/>
  <c r="G4524" i="3"/>
  <c r="H4524" i="3" s="1"/>
  <c r="I4523" i="3"/>
  <c r="J4523" i="3" s="1"/>
  <c r="G4523" i="3"/>
  <c r="H4523" i="3" s="1"/>
  <c r="I4522" i="3"/>
  <c r="J4522" i="3" s="1"/>
  <c r="G4522" i="3"/>
  <c r="H4522" i="3" s="1"/>
  <c r="I4521" i="3"/>
  <c r="J4521" i="3" s="1"/>
  <c r="G4521" i="3"/>
  <c r="H4521" i="3" s="1"/>
  <c r="I4520" i="3"/>
  <c r="J4520" i="3" s="1"/>
  <c r="G4520" i="3"/>
  <c r="H4520" i="3" s="1"/>
  <c r="I4519" i="3"/>
  <c r="J4519" i="3" s="1"/>
  <c r="G4519" i="3"/>
  <c r="H4519" i="3" s="1"/>
  <c r="I4512" i="3"/>
  <c r="J4512" i="3" s="1"/>
  <c r="G4512" i="3"/>
  <c r="H4512" i="3" s="1"/>
  <c r="I4511" i="3"/>
  <c r="J4511" i="3" s="1"/>
  <c r="G4511" i="3"/>
  <c r="H4511" i="3" s="1"/>
  <c r="I4510" i="3"/>
  <c r="J4510" i="3" s="1"/>
  <c r="G4510" i="3"/>
  <c r="H4510" i="3" s="1"/>
  <c r="I4509" i="3"/>
  <c r="J4509" i="3" s="1"/>
  <c r="G4509" i="3"/>
  <c r="H4509" i="3" s="1"/>
  <c r="I4508" i="3"/>
  <c r="J4508" i="3" s="1"/>
  <c r="G4508" i="3"/>
  <c r="H4508" i="3" s="1"/>
  <c r="I4507" i="3"/>
  <c r="J4507" i="3" s="1"/>
  <c r="G4507" i="3"/>
  <c r="H4507" i="3" s="1"/>
  <c r="I4506" i="3"/>
  <c r="G4506" i="3"/>
  <c r="I4505" i="3"/>
  <c r="J4505" i="3" s="1"/>
  <c r="G4505" i="3"/>
  <c r="H4505" i="3" s="1"/>
  <c r="I4504" i="3"/>
  <c r="J4504" i="3" s="1"/>
  <c r="G4504" i="3"/>
  <c r="H4504" i="3" s="1"/>
  <c r="I4503" i="3"/>
  <c r="J4503" i="3" s="1"/>
  <c r="G4503" i="3"/>
  <c r="H4503" i="3" s="1"/>
  <c r="I4502" i="3"/>
  <c r="J4502" i="3" s="1"/>
  <c r="G4502" i="3"/>
  <c r="H4502" i="3" s="1"/>
  <c r="I4501" i="3"/>
  <c r="J4501" i="3" s="1"/>
  <c r="G4501" i="3"/>
  <c r="H4501" i="3" s="1"/>
  <c r="I4500" i="3"/>
  <c r="J4500" i="3" s="1"/>
  <c r="G4500" i="3"/>
  <c r="H4500" i="3" s="1"/>
  <c r="I4493" i="3"/>
  <c r="J4493" i="3" s="1"/>
  <c r="G4493" i="3"/>
  <c r="H4493" i="3" s="1"/>
  <c r="I4492" i="3"/>
  <c r="J4492" i="3" s="1"/>
  <c r="G4492" i="3"/>
  <c r="H4492" i="3" s="1"/>
  <c r="I4491" i="3"/>
  <c r="J4491" i="3" s="1"/>
  <c r="G4491" i="3"/>
  <c r="H4491" i="3" s="1"/>
  <c r="I4490" i="3"/>
  <c r="J4490" i="3" s="1"/>
  <c r="G4490" i="3"/>
  <c r="H4490" i="3" s="1"/>
  <c r="I4489" i="3"/>
  <c r="J4489" i="3" s="1"/>
  <c r="G4489" i="3"/>
  <c r="H4489" i="3" s="1"/>
  <c r="I4488" i="3"/>
  <c r="J4488" i="3" s="1"/>
  <c r="G4488" i="3"/>
  <c r="H4488" i="3" s="1"/>
  <c r="I4487" i="3"/>
  <c r="G4487" i="3"/>
  <c r="I4486" i="3"/>
  <c r="J4486" i="3" s="1"/>
  <c r="G4486" i="3"/>
  <c r="H4486" i="3" s="1"/>
  <c r="I4485" i="3"/>
  <c r="J4485" i="3" s="1"/>
  <c r="G4485" i="3"/>
  <c r="H4485" i="3" s="1"/>
  <c r="I4484" i="3"/>
  <c r="J4484" i="3" s="1"/>
  <c r="G4484" i="3"/>
  <c r="H4484" i="3" s="1"/>
  <c r="I4483" i="3"/>
  <c r="J4483" i="3" s="1"/>
  <c r="G4483" i="3"/>
  <c r="H4483" i="3" s="1"/>
  <c r="I4482" i="3"/>
  <c r="J4482" i="3" s="1"/>
  <c r="G4482" i="3"/>
  <c r="H4482" i="3" s="1"/>
  <c r="I4481" i="3"/>
  <c r="J4481" i="3" s="1"/>
  <c r="G4481" i="3"/>
  <c r="H4481" i="3" s="1"/>
  <c r="I4474" i="3"/>
  <c r="J4474" i="3" s="1"/>
  <c r="G4474" i="3"/>
  <c r="H4474" i="3" s="1"/>
  <c r="I4473" i="3"/>
  <c r="J4473" i="3" s="1"/>
  <c r="G4473" i="3"/>
  <c r="H4473" i="3" s="1"/>
  <c r="I4472" i="3"/>
  <c r="J4472" i="3" s="1"/>
  <c r="G4472" i="3"/>
  <c r="H4472" i="3" s="1"/>
  <c r="I4471" i="3"/>
  <c r="J4471" i="3" s="1"/>
  <c r="G4471" i="3"/>
  <c r="H4471" i="3" s="1"/>
  <c r="I4470" i="3"/>
  <c r="J4470" i="3" s="1"/>
  <c r="G4470" i="3"/>
  <c r="H4470" i="3" s="1"/>
  <c r="I4469" i="3"/>
  <c r="J4469" i="3" s="1"/>
  <c r="G4469" i="3"/>
  <c r="H4469" i="3" s="1"/>
  <c r="I4468" i="3"/>
  <c r="G4468" i="3"/>
  <c r="I4467" i="3"/>
  <c r="J4467" i="3" s="1"/>
  <c r="G4467" i="3"/>
  <c r="H4467" i="3" s="1"/>
  <c r="I4466" i="3"/>
  <c r="J4466" i="3" s="1"/>
  <c r="G4466" i="3"/>
  <c r="H4466" i="3" s="1"/>
  <c r="I4465" i="3"/>
  <c r="J4465" i="3" s="1"/>
  <c r="G4465" i="3"/>
  <c r="H4465" i="3" s="1"/>
  <c r="I4464" i="3"/>
  <c r="J4464" i="3" s="1"/>
  <c r="G4464" i="3"/>
  <c r="H4464" i="3" s="1"/>
  <c r="I4463" i="3"/>
  <c r="J4463" i="3" s="1"/>
  <c r="G4463" i="3"/>
  <c r="H4463" i="3" s="1"/>
  <c r="I4462" i="3"/>
  <c r="J4462" i="3" s="1"/>
  <c r="G4462" i="3"/>
  <c r="H4462" i="3" s="1"/>
  <c r="I4455" i="3"/>
  <c r="J4455" i="3" s="1"/>
  <c r="G4455" i="3"/>
  <c r="H4455" i="3" s="1"/>
  <c r="I4454" i="3"/>
  <c r="J4454" i="3" s="1"/>
  <c r="G4454" i="3"/>
  <c r="H4454" i="3" s="1"/>
  <c r="I4453" i="3"/>
  <c r="J4453" i="3" s="1"/>
  <c r="G4453" i="3"/>
  <c r="H4453" i="3" s="1"/>
  <c r="I4452" i="3"/>
  <c r="J4452" i="3" s="1"/>
  <c r="G4452" i="3"/>
  <c r="H4452" i="3" s="1"/>
  <c r="I4451" i="3"/>
  <c r="J4451" i="3" s="1"/>
  <c r="G4451" i="3"/>
  <c r="H4451" i="3" s="1"/>
  <c r="I4450" i="3"/>
  <c r="J4450" i="3" s="1"/>
  <c r="G4450" i="3"/>
  <c r="H4450" i="3" s="1"/>
  <c r="I4449" i="3"/>
  <c r="G4449" i="3"/>
  <c r="I4448" i="3"/>
  <c r="J4448" i="3" s="1"/>
  <c r="G4448" i="3"/>
  <c r="H4448" i="3" s="1"/>
  <c r="I4447" i="3"/>
  <c r="J4447" i="3" s="1"/>
  <c r="G4447" i="3"/>
  <c r="H4447" i="3" s="1"/>
  <c r="I4446" i="3"/>
  <c r="J4446" i="3" s="1"/>
  <c r="G4446" i="3"/>
  <c r="H4446" i="3" s="1"/>
  <c r="I4445" i="3"/>
  <c r="J4445" i="3" s="1"/>
  <c r="G4445" i="3"/>
  <c r="H4445" i="3" s="1"/>
  <c r="I4444" i="3"/>
  <c r="J4444" i="3" s="1"/>
  <c r="G4444" i="3"/>
  <c r="H4444" i="3" s="1"/>
  <c r="I4443" i="3"/>
  <c r="J4443" i="3" s="1"/>
  <c r="G4443" i="3"/>
  <c r="H4443" i="3" s="1"/>
  <c r="I4436" i="3"/>
  <c r="J4436" i="3" s="1"/>
  <c r="G4436" i="3"/>
  <c r="H4436" i="3" s="1"/>
  <c r="I4435" i="3"/>
  <c r="J4435" i="3" s="1"/>
  <c r="G4435" i="3"/>
  <c r="H4435" i="3" s="1"/>
  <c r="I4434" i="3"/>
  <c r="J4434" i="3" s="1"/>
  <c r="G4434" i="3"/>
  <c r="H4434" i="3" s="1"/>
  <c r="I4433" i="3"/>
  <c r="J4433" i="3" s="1"/>
  <c r="G4433" i="3"/>
  <c r="H4433" i="3" s="1"/>
  <c r="I4432" i="3"/>
  <c r="J4432" i="3" s="1"/>
  <c r="G4432" i="3"/>
  <c r="H4432" i="3" s="1"/>
  <c r="I4431" i="3"/>
  <c r="J4431" i="3" s="1"/>
  <c r="G4431" i="3"/>
  <c r="H4431" i="3" s="1"/>
  <c r="I4430" i="3"/>
  <c r="G4430" i="3"/>
  <c r="I4429" i="3"/>
  <c r="J4429" i="3" s="1"/>
  <c r="G4429" i="3"/>
  <c r="H4429" i="3" s="1"/>
  <c r="I4428" i="3"/>
  <c r="J4428" i="3" s="1"/>
  <c r="G4428" i="3"/>
  <c r="H4428" i="3" s="1"/>
  <c r="I4427" i="3"/>
  <c r="J4427" i="3" s="1"/>
  <c r="G4427" i="3"/>
  <c r="H4427" i="3" s="1"/>
  <c r="I4426" i="3"/>
  <c r="J4426" i="3" s="1"/>
  <c r="G4426" i="3"/>
  <c r="H4426" i="3" s="1"/>
  <c r="I4425" i="3"/>
  <c r="J4425" i="3" s="1"/>
  <c r="G4425" i="3"/>
  <c r="H4425" i="3" s="1"/>
  <c r="I4424" i="3"/>
  <c r="J4424" i="3" s="1"/>
  <c r="G4424" i="3"/>
  <c r="H4424" i="3" s="1"/>
  <c r="I4417" i="3"/>
  <c r="J4417" i="3" s="1"/>
  <c r="G4417" i="3"/>
  <c r="H4417" i="3" s="1"/>
  <c r="I4416" i="3"/>
  <c r="J4416" i="3" s="1"/>
  <c r="G4416" i="3"/>
  <c r="H4416" i="3" s="1"/>
  <c r="I4415" i="3"/>
  <c r="J4415" i="3" s="1"/>
  <c r="G4415" i="3"/>
  <c r="H4415" i="3" s="1"/>
  <c r="I4414" i="3"/>
  <c r="J4414" i="3" s="1"/>
  <c r="G4414" i="3"/>
  <c r="H4414" i="3" s="1"/>
  <c r="I4413" i="3"/>
  <c r="J4413" i="3" s="1"/>
  <c r="G4413" i="3"/>
  <c r="H4413" i="3" s="1"/>
  <c r="I4412" i="3"/>
  <c r="J4412" i="3" s="1"/>
  <c r="G4412" i="3"/>
  <c r="H4412" i="3" s="1"/>
  <c r="I4411" i="3"/>
  <c r="G4411" i="3"/>
  <c r="I4410" i="3"/>
  <c r="J4410" i="3" s="1"/>
  <c r="G4410" i="3"/>
  <c r="H4410" i="3" s="1"/>
  <c r="I4409" i="3"/>
  <c r="J4409" i="3" s="1"/>
  <c r="G4409" i="3"/>
  <c r="H4409" i="3" s="1"/>
  <c r="I4408" i="3"/>
  <c r="J4408" i="3" s="1"/>
  <c r="G4408" i="3"/>
  <c r="H4408" i="3" s="1"/>
  <c r="I4407" i="3"/>
  <c r="J4407" i="3" s="1"/>
  <c r="G4407" i="3"/>
  <c r="H4407" i="3" s="1"/>
  <c r="I4406" i="3"/>
  <c r="J4406" i="3" s="1"/>
  <c r="G4406" i="3"/>
  <c r="H4406" i="3" s="1"/>
  <c r="I4405" i="3"/>
  <c r="J4405" i="3" s="1"/>
  <c r="G4405" i="3"/>
  <c r="H4405" i="3" s="1"/>
  <c r="I4398" i="3"/>
  <c r="J4398" i="3" s="1"/>
  <c r="G4398" i="3"/>
  <c r="H4398" i="3" s="1"/>
  <c r="I4397" i="3"/>
  <c r="J4397" i="3" s="1"/>
  <c r="G4397" i="3"/>
  <c r="H4397" i="3" s="1"/>
  <c r="I4396" i="3"/>
  <c r="J4396" i="3" s="1"/>
  <c r="G4396" i="3"/>
  <c r="H4396" i="3" s="1"/>
  <c r="I4395" i="3"/>
  <c r="J4395" i="3" s="1"/>
  <c r="G4395" i="3"/>
  <c r="H4395" i="3" s="1"/>
  <c r="I4394" i="3"/>
  <c r="J4394" i="3" s="1"/>
  <c r="G4394" i="3"/>
  <c r="H4394" i="3" s="1"/>
  <c r="I4393" i="3"/>
  <c r="J4393" i="3" s="1"/>
  <c r="G4393" i="3"/>
  <c r="H4393" i="3" s="1"/>
  <c r="I4392" i="3"/>
  <c r="G4392" i="3"/>
  <c r="I4391" i="3"/>
  <c r="J4391" i="3" s="1"/>
  <c r="G4391" i="3"/>
  <c r="H4391" i="3" s="1"/>
  <c r="I4390" i="3"/>
  <c r="J4390" i="3" s="1"/>
  <c r="G4390" i="3"/>
  <c r="H4390" i="3" s="1"/>
  <c r="I4389" i="3"/>
  <c r="J4389" i="3" s="1"/>
  <c r="G4389" i="3"/>
  <c r="H4389" i="3" s="1"/>
  <c r="I4388" i="3"/>
  <c r="J4388" i="3" s="1"/>
  <c r="G4388" i="3"/>
  <c r="H4388" i="3" s="1"/>
  <c r="I4387" i="3"/>
  <c r="J4387" i="3" s="1"/>
  <c r="G4387" i="3"/>
  <c r="H4387" i="3" s="1"/>
  <c r="I4386" i="3"/>
  <c r="J4386" i="3" s="1"/>
  <c r="G4386" i="3"/>
  <c r="H4386" i="3" s="1"/>
  <c r="I4379" i="3"/>
  <c r="J4379" i="3" s="1"/>
  <c r="G4379" i="3"/>
  <c r="H4379" i="3" s="1"/>
  <c r="I4378" i="3"/>
  <c r="J4378" i="3" s="1"/>
  <c r="G4378" i="3"/>
  <c r="H4378" i="3" s="1"/>
  <c r="I4377" i="3"/>
  <c r="J4377" i="3" s="1"/>
  <c r="G4377" i="3"/>
  <c r="H4377" i="3" s="1"/>
  <c r="I4376" i="3"/>
  <c r="J4376" i="3" s="1"/>
  <c r="G4376" i="3"/>
  <c r="H4376" i="3" s="1"/>
  <c r="I4375" i="3"/>
  <c r="J4375" i="3" s="1"/>
  <c r="G4375" i="3"/>
  <c r="H4375" i="3" s="1"/>
  <c r="I4374" i="3"/>
  <c r="J4374" i="3" s="1"/>
  <c r="G4374" i="3"/>
  <c r="H4374" i="3" s="1"/>
  <c r="I4373" i="3"/>
  <c r="G4373" i="3"/>
  <c r="I4372" i="3"/>
  <c r="J4372" i="3" s="1"/>
  <c r="G4372" i="3"/>
  <c r="H4372" i="3" s="1"/>
  <c r="I4371" i="3"/>
  <c r="J4371" i="3" s="1"/>
  <c r="G4371" i="3"/>
  <c r="H4371" i="3" s="1"/>
  <c r="I4370" i="3"/>
  <c r="J4370" i="3" s="1"/>
  <c r="G4370" i="3"/>
  <c r="H4370" i="3" s="1"/>
  <c r="I4369" i="3"/>
  <c r="J4369" i="3" s="1"/>
  <c r="G4369" i="3"/>
  <c r="H4369" i="3" s="1"/>
  <c r="I4368" i="3"/>
  <c r="J4368" i="3" s="1"/>
  <c r="G4368" i="3"/>
  <c r="H4368" i="3" s="1"/>
  <c r="I4367" i="3"/>
  <c r="J4367" i="3" s="1"/>
  <c r="G4367" i="3"/>
  <c r="H4367" i="3" s="1"/>
  <c r="I4360" i="3"/>
  <c r="J4360" i="3" s="1"/>
  <c r="G4360" i="3"/>
  <c r="H4360" i="3" s="1"/>
  <c r="I4359" i="3"/>
  <c r="J4359" i="3" s="1"/>
  <c r="G4359" i="3"/>
  <c r="H4359" i="3" s="1"/>
  <c r="I4358" i="3"/>
  <c r="J4358" i="3" s="1"/>
  <c r="G4358" i="3"/>
  <c r="H4358" i="3" s="1"/>
  <c r="I4351" i="3"/>
  <c r="J4351" i="3" s="1"/>
  <c r="G4351" i="3"/>
  <c r="H4351" i="3" s="1"/>
  <c r="I4350" i="3"/>
  <c r="J4350" i="3" s="1"/>
  <c r="G4350" i="3"/>
  <c r="H4350" i="3" s="1"/>
  <c r="I4349" i="3"/>
  <c r="J4349" i="3" s="1"/>
  <c r="G4349" i="3"/>
  <c r="H4349" i="3" s="1"/>
  <c r="I4342" i="3"/>
  <c r="J4342" i="3" s="1"/>
  <c r="G4342" i="3"/>
  <c r="H4342" i="3" s="1"/>
  <c r="I4341" i="3"/>
  <c r="J4341" i="3" s="1"/>
  <c r="G4341" i="3"/>
  <c r="H4341" i="3" s="1"/>
  <c r="I4340" i="3"/>
  <c r="J4340" i="3" s="1"/>
  <c r="G4340" i="3"/>
  <c r="H4340" i="3" s="1"/>
  <c r="I4339" i="3"/>
  <c r="J4339" i="3" s="1"/>
  <c r="G4339" i="3"/>
  <c r="H4339" i="3" s="1"/>
  <c r="I4338" i="3"/>
  <c r="J4338" i="3" s="1"/>
  <c r="G4338" i="3"/>
  <c r="H4338" i="3" s="1"/>
  <c r="I4331" i="3"/>
  <c r="J4331" i="3" s="1"/>
  <c r="G4331" i="3"/>
  <c r="H4331" i="3" s="1"/>
  <c r="I4330" i="3"/>
  <c r="J4330" i="3" s="1"/>
  <c r="G4330" i="3"/>
  <c r="H4330" i="3" s="1"/>
  <c r="I4329" i="3"/>
  <c r="J4329" i="3" s="1"/>
  <c r="G4329" i="3"/>
  <c r="H4329" i="3" s="1"/>
  <c r="I4322" i="3"/>
  <c r="J4322" i="3" s="1"/>
  <c r="G4322" i="3"/>
  <c r="H4322" i="3" s="1"/>
  <c r="I4321" i="3"/>
  <c r="J4321" i="3" s="1"/>
  <c r="G4321" i="3"/>
  <c r="H4321" i="3" s="1"/>
  <c r="I4320" i="3"/>
  <c r="J4320" i="3" s="1"/>
  <c r="G4320" i="3"/>
  <c r="H4320" i="3" s="1"/>
  <c r="I4319" i="3"/>
  <c r="J4319" i="3" s="1"/>
  <c r="G4319" i="3"/>
  <c r="H4319" i="3" s="1"/>
  <c r="I4318" i="3"/>
  <c r="J4318" i="3" s="1"/>
  <c r="G4318" i="3"/>
  <c r="H4318" i="3" s="1"/>
  <c r="I4317" i="3"/>
  <c r="J4317" i="3" s="1"/>
  <c r="G4317" i="3"/>
  <c r="H4317" i="3" s="1"/>
  <c r="I4316" i="3"/>
  <c r="J4316" i="3" s="1"/>
  <c r="G4316" i="3"/>
  <c r="H4316" i="3" s="1"/>
  <c r="I4315" i="3"/>
  <c r="J4315" i="3" s="1"/>
  <c r="G4315" i="3"/>
  <c r="H4315" i="3" s="1"/>
  <c r="I4308" i="3"/>
  <c r="J4308" i="3" s="1"/>
  <c r="G4308" i="3"/>
  <c r="H4308" i="3" s="1"/>
  <c r="I4307" i="3"/>
  <c r="J4307" i="3" s="1"/>
  <c r="G4307" i="3"/>
  <c r="H4307" i="3" s="1"/>
  <c r="I4300" i="3"/>
  <c r="J4300" i="3" s="1"/>
  <c r="G4300" i="3"/>
  <c r="H4300" i="3" s="1"/>
  <c r="I4299" i="3"/>
  <c r="J4299" i="3" s="1"/>
  <c r="G4299" i="3"/>
  <c r="H4299" i="3" s="1"/>
  <c r="I4292" i="3"/>
  <c r="J4292" i="3" s="1"/>
  <c r="G4292" i="3"/>
  <c r="H4292" i="3" s="1"/>
  <c r="I4291" i="3"/>
  <c r="J4291" i="3" s="1"/>
  <c r="G4291" i="3"/>
  <c r="H4291" i="3" s="1"/>
  <c r="I4284" i="3"/>
  <c r="J4284" i="3" s="1"/>
  <c r="G4284" i="3"/>
  <c r="H4284" i="3" s="1"/>
  <c r="I4283" i="3"/>
  <c r="J4283" i="3" s="1"/>
  <c r="G4283" i="3"/>
  <c r="H4283" i="3" s="1"/>
  <c r="I4276" i="3"/>
  <c r="J4276" i="3" s="1"/>
  <c r="G4276" i="3"/>
  <c r="H4276" i="3" s="1"/>
  <c r="I4275" i="3"/>
  <c r="J4275" i="3" s="1"/>
  <c r="G4275" i="3"/>
  <c r="H4275" i="3" s="1"/>
  <c r="I4267" i="3"/>
  <c r="J4267" i="3" s="1"/>
  <c r="G4267" i="3"/>
  <c r="H4267" i="3" s="1"/>
  <c r="I4266" i="3"/>
  <c r="J4266" i="3" s="1"/>
  <c r="G4266" i="3"/>
  <c r="H4266" i="3" s="1"/>
  <c r="I4258" i="3"/>
  <c r="J4258" i="3" s="1"/>
  <c r="G4258" i="3"/>
  <c r="H4258" i="3" s="1"/>
  <c r="I4257" i="3"/>
  <c r="J4257" i="3" s="1"/>
  <c r="G4257" i="3"/>
  <c r="H4257" i="3" s="1"/>
  <c r="I4249" i="3"/>
  <c r="J4249" i="3" s="1"/>
  <c r="G4249" i="3"/>
  <c r="H4249" i="3" s="1"/>
  <c r="I4248" i="3"/>
  <c r="J4248" i="3" s="1"/>
  <c r="G4248" i="3"/>
  <c r="H4248" i="3" s="1"/>
  <c r="I4247" i="3"/>
  <c r="J4247" i="3" s="1"/>
  <c r="G4247" i="3"/>
  <c r="H4247" i="3" s="1"/>
  <c r="I4246" i="3"/>
  <c r="J4246" i="3" s="1"/>
  <c r="G4246" i="3"/>
  <c r="H4246" i="3" s="1"/>
  <c r="I4245" i="3"/>
  <c r="J4245" i="3" s="1"/>
  <c r="G4245" i="3"/>
  <c r="H4245" i="3" s="1"/>
  <c r="I4238" i="3"/>
  <c r="J4238" i="3" s="1"/>
  <c r="G4238" i="3"/>
  <c r="H4238" i="3" s="1"/>
  <c r="I4237" i="3"/>
  <c r="J4237" i="3" s="1"/>
  <c r="G4237" i="3"/>
  <c r="H4237" i="3" s="1"/>
  <c r="I4236" i="3"/>
  <c r="J4236" i="3" s="1"/>
  <c r="G4236" i="3"/>
  <c r="H4236" i="3" s="1"/>
  <c r="I4235" i="3"/>
  <c r="J4235" i="3" s="1"/>
  <c r="G4235" i="3"/>
  <c r="H4235" i="3" s="1"/>
  <c r="I4234" i="3"/>
  <c r="J4234" i="3" s="1"/>
  <c r="G4234" i="3"/>
  <c r="H4234" i="3" s="1"/>
  <c r="I4227" i="3"/>
  <c r="J4227" i="3" s="1"/>
  <c r="G4227" i="3"/>
  <c r="H4227" i="3" s="1"/>
  <c r="I4226" i="3"/>
  <c r="J4226" i="3" s="1"/>
  <c r="G4226" i="3"/>
  <c r="H4226" i="3" s="1"/>
  <c r="I4225" i="3"/>
  <c r="J4225" i="3" s="1"/>
  <c r="G4225" i="3"/>
  <c r="H4225" i="3" s="1"/>
  <c r="I4224" i="3"/>
  <c r="J4224" i="3" s="1"/>
  <c r="G4224" i="3"/>
  <c r="H4224" i="3" s="1"/>
  <c r="I4223" i="3"/>
  <c r="J4223" i="3" s="1"/>
  <c r="G4223" i="3"/>
  <c r="H4223" i="3" s="1"/>
  <c r="I4216" i="3"/>
  <c r="J4216" i="3" s="1"/>
  <c r="G4216" i="3"/>
  <c r="H4216" i="3" s="1"/>
  <c r="I4215" i="3"/>
  <c r="J4215" i="3" s="1"/>
  <c r="G4215" i="3"/>
  <c r="H4215" i="3" s="1"/>
  <c r="I4214" i="3"/>
  <c r="J4214" i="3" s="1"/>
  <c r="G4214" i="3"/>
  <c r="H4214" i="3" s="1"/>
  <c r="I4213" i="3"/>
  <c r="J4213" i="3" s="1"/>
  <c r="G4213" i="3"/>
  <c r="H4213" i="3" s="1"/>
  <c r="I4212" i="3"/>
  <c r="J4212" i="3" s="1"/>
  <c r="G4212" i="3"/>
  <c r="H4212" i="3" s="1"/>
  <c r="I4205" i="3"/>
  <c r="J4205" i="3" s="1"/>
  <c r="G4205" i="3"/>
  <c r="H4205" i="3" s="1"/>
  <c r="I4204" i="3"/>
  <c r="J4204" i="3" s="1"/>
  <c r="G4204" i="3"/>
  <c r="H4204" i="3" s="1"/>
  <c r="I4203" i="3"/>
  <c r="J4203" i="3" s="1"/>
  <c r="G4203" i="3"/>
  <c r="H4203" i="3" s="1"/>
  <c r="I4202" i="3"/>
  <c r="J4202" i="3" s="1"/>
  <c r="G4202" i="3"/>
  <c r="H4202" i="3" s="1"/>
  <c r="I4201" i="3"/>
  <c r="J4201" i="3" s="1"/>
  <c r="G4201" i="3"/>
  <c r="H4201" i="3" s="1"/>
  <c r="I4194" i="3"/>
  <c r="J4194" i="3" s="1"/>
  <c r="G4194" i="3"/>
  <c r="H4194" i="3" s="1"/>
  <c r="I4193" i="3"/>
  <c r="J4193" i="3" s="1"/>
  <c r="G4193" i="3"/>
  <c r="H4193" i="3" s="1"/>
  <c r="I4192" i="3"/>
  <c r="J4192" i="3" s="1"/>
  <c r="G4192" i="3"/>
  <c r="H4192" i="3" s="1"/>
  <c r="I4191" i="3"/>
  <c r="J4191" i="3" s="1"/>
  <c r="G4191" i="3"/>
  <c r="H4191" i="3" s="1"/>
  <c r="I4190" i="3"/>
  <c r="J4190" i="3" s="1"/>
  <c r="G4190" i="3"/>
  <c r="H4190" i="3" s="1"/>
  <c r="I4178" i="3"/>
  <c r="J4178" i="3" s="1"/>
  <c r="G4178" i="3"/>
  <c r="H4178" i="3" s="1"/>
  <c r="I4177" i="3"/>
  <c r="J4177" i="3" s="1"/>
  <c r="G4177" i="3"/>
  <c r="H4177" i="3" s="1"/>
  <c r="I4169" i="3"/>
  <c r="J4169" i="3" s="1"/>
  <c r="G4169" i="3"/>
  <c r="H4169" i="3" s="1"/>
  <c r="I4168" i="3"/>
  <c r="J4168" i="3" s="1"/>
  <c r="G4168" i="3"/>
  <c r="H4168" i="3" s="1"/>
  <c r="I4162" i="3"/>
  <c r="J4162" i="3" s="1"/>
  <c r="G4162" i="3"/>
  <c r="H4162" i="3" s="1"/>
  <c r="I4155" i="3"/>
  <c r="J4155" i="3" s="1"/>
  <c r="G4155" i="3"/>
  <c r="H4155" i="3" s="1"/>
  <c r="I4154" i="3"/>
  <c r="J4154" i="3" s="1"/>
  <c r="G4154" i="3"/>
  <c r="H4154" i="3" s="1"/>
  <c r="I4146" i="3"/>
  <c r="J4146" i="3" s="1"/>
  <c r="G4146" i="3"/>
  <c r="H4146" i="3" s="1"/>
  <c r="I4145" i="3"/>
  <c r="J4145" i="3" s="1"/>
  <c r="G4145" i="3"/>
  <c r="H4145" i="3" s="1"/>
  <c r="I4137" i="3"/>
  <c r="J4137" i="3" s="1"/>
  <c r="G4137" i="3"/>
  <c r="H4137" i="3" s="1"/>
  <c r="I4136" i="3"/>
  <c r="J4136" i="3" s="1"/>
  <c r="G4136" i="3"/>
  <c r="H4136" i="3" s="1"/>
  <c r="I4128" i="3"/>
  <c r="J4128" i="3" s="1"/>
  <c r="G4128" i="3"/>
  <c r="H4128" i="3" s="1"/>
  <c r="I4127" i="3"/>
  <c r="J4127" i="3" s="1"/>
  <c r="G4127" i="3"/>
  <c r="H4127" i="3" s="1"/>
  <c r="I4117" i="3"/>
  <c r="J4117" i="3" s="1"/>
  <c r="G4117" i="3"/>
  <c r="H4117" i="3" s="1"/>
  <c r="I4116" i="3"/>
  <c r="J4116" i="3" s="1"/>
  <c r="G4116" i="3"/>
  <c r="H4116" i="3" s="1"/>
  <c r="I4109" i="3"/>
  <c r="J4109" i="3" s="1"/>
  <c r="G4109" i="3"/>
  <c r="H4109" i="3" s="1"/>
  <c r="I4108" i="3"/>
  <c r="J4108" i="3" s="1"/>
  <c r="G4108" i="3"/>
  <c r="H4108" i="3" s="1"/>
  <c r="I4107" i="3"/>
  <c r="J4107" i="3" s="1"/>
  <c r="G4107" i="3"/>
  <c r="H4107" i="3" s="1"/>
  <c r="I4106" i="3"/>
  <c r="J4106" i="3" s="1"/>
  <c r="G4106" i="3"/>
  <c r="H4106" i="3" s="1"/>
  <c r="I4105" i="3"/>
  <c r="J4105" i="3" s="1"/>
  <c r="G4105" i="3"/>
  <c r="H4105" i="3" s="1"/>
  <c r="I4098" i="3"/>
  <c r="J4098" i="3" s="1"/>
  <c r="G4098" i="3"/>
  <c r="H4098" i="3" s="1"/>
  <c r="I4097" i="3"/>
  <c r="J4097" i="3" s="1"/>
  <c r="G4097" i="3"/>
  <c r="H4097" i="3" s="1"/>
  <c r="I4096" i="3"/>
  <c r="J4096" i="3" s="1"/>
  <c r="G4096" i="3"/>
  <c r="H4096" i="3" s="1"/>
  <c r="I4089" i="3"/>
  <c r="J4089" i="3" s="1"/>
  <c r="G4089" i="3"/>
  <c r="H4089" i="3" s="1"/>
  <c r="I4088" i="3"/>
  <c r="J4088" i="3" s="1"/>
  <c r="G4088" i="3"/>
  <c r="H4088" i="3" s="1"/>
  <c r="I4087" i="3"/>
  <c r="J4087" i="3" s="1"/>
  <c r="G4087" i="3"/>
  <c r="H4087" i="3" s="1"/>
  <c r="I4079" i="3"/>
  <c r="J4079" i="3" s="1"/>
  <c r="G4079" i="3"/>
  <c r="H4079" i="3" s="1"/>
  <c r="I4078" i="3"/>
  <c r="J4078" i="3" s="1"/>
  <c r="G4078" i="3"/>
  <c r="H4078" i="3" s="1"/>
  <c r="I4070" i="3"/>
  <c r="J4070" i="3" s="1"/>
  <c r="G4070" i="3"/>
  <c r="H4070" i="3" s="1"/>
  <c r="I4069" i="3"/>
  <c r="J4069" i="3" s="1"/>
  <c r="G4069" i="3"/>
  <c r="H4069" i="3" s="1"/>
  <c r="I4068" i="3"/>
  <c r="J4068" i="3" s="1"/>
  <c r="G4068" i="3"/>
  <c r="H4068" i="3" s="1"/>
  <c r="I4060" i="3"/>
  <c r="J4060" i="3" s="1"/>
  <c r="G4060" i="3"/>
  <c r="H4060" i="3" s="1"/>
  <c r="I4059" i="3"/>
  <c r="J4059" i="3" s="1"/>
  <c r="G4059" i="3"/>
  <c r="H4059" i="3" s="1"/>
  <c r="I4058" i="3"/>
  <c r="J4058" i="3" s="1"/>
  <c r="G4058" i="3"/>
  <c r="H4058" i="3" s="1"/>
  <c r="I4050" i="3"/>
  <c r="J4050" i="3" s="1"/>
  <c r="G4050" i="3"/>
  <c r="H4050" i="3" s="1"/>
  <c r="I4049" i="3"/>
  <c r="J4049" i="3" s="1"/>
  <c r="G4049" i="3"/>
  <c r="H4049" i="3" s="1"/>
  <c r="I4048" i="3"/>
  <c r="J4048" i="3" s="1"/>
  <c r="G4048" i="3"/>
  <c r="H4048" i="3" s="1"/>
  <c r="I4040" i="3"/>
  <c r="J4040" i="3" s="1"/>
  <c r="G4040" i="3"/>
  <c r="H4040" i="3" s="1"/>
  <c r="I4039" i="3"/>
  <c r="J4039" i="3" s="1"/>
  <c r="G4039" i="3"/>
  <c r="H4039" i="3" s="1"/>
  <c r="I4038" i="3"/>
  <c r="J4038" i="3" s="1"/>
  <c r="G4038" i="3"/>
  <c r="H4038" i="3" s="1"/>
  <c r="I4030" i="3"/>
  <c r="J4030" i="3" s="1"/>
  <c r="G4030" i="3"/>
  <c r="H4030" i="3" s="1"/>
  <c r="I4029" i="3"/>
  <c r="J4029" i="3" s="1"/>
  <c r="G4029" i="3"/>
  <c r="H4029" i="3" s="1"/>
  <c r="I4028" i="3"/>
  <c r="J4028" i="3" s="1"/>
  <c r="G4028" i="3"/>
  <c r="H4028" i="3" s="1"/>
  <c r="I4020" i="3"/>
  <c r="J4020" i="3" s="1"/>
  <c r="G4020" i="3"/>
  <c r="H4020" i="3" s="1"/>
  <c r="I4019" i="3"/>
  <c r="J4019" i="3" s="1"/>
  <c r="G4019" i="3"/>
  <c r="H4019" i="3" s="1"/>
  <c r="I4018" i="3"/>
  <c r="J4018" i="3" s="1"/>
  <c r="G4018" i="3"/>
  <c r="H4018" i="3" s="1"/>
  <c r="I4011" i="3"/>
  <c r="J4011" i="3" s="1"/>
  <c r="G4011" i="3"/>
  <c r="H4011" i="3" s="1"/>
  <c r="I4010" i="3"/>
  <c r="J4010" i="3" s="1"/>
  <c r="G4010" i="3"/>
  <c r="H4010" i="3" s="1"/>
  <c r="I4009" i="3"/>
  <c r="J4009" i="3" s="1"/>
  <c r="G4009" i="3"/>
  <c r="H4009" i="3" s="1"/>
  <c r="I3994" i="3"/>
  <c r="J3994" i="3" s="1"/>
  <c r="G3994" i="3"/>
  <c r="H3994" i="3" s="1"/>
  <c r="I3993" i="3"/>
  <c r="J3993" i="3" s="1"/>
  <c r="G3993" i="3"/>
  <c r="H3993" i="3" s="1"/>
  <c r="I3992" i="3"/>
  <c r="J3992" i="3" s="1"/>
  <c r="G3992" i="3"/>
  <c r="H3992" i="3" s="1"/>
  <c r="I3984" i="3"/>
  <c r="J3984" i="3" s="1"/>
  <c r="G3984" i="3"/>
  <c r="H3984" i="3" s="1"/>
  <c r="I3983" i="3"/>
  <c r="J3983" i="3" s="1"/>
  <c r="G3983" i="3"/>
  <c r="H3983" i="3" s="1"/>
  <c r="I3982" i="3"/>
  <c r="J3982" i="3" s="1"/>
  <c r="G3982" i="3"/>
  <c r="H3982" i="3" s="1"/>
  <c r="I3974" i="3"/>
  <c r="J3974" i="3" s="1"/>
  <c r="G3974" i="3"/>
  <c r="H3974" i="3" s="1"/>
  <c r="I3973" i="3"/>
  <c r="J3973" i="3" s="1"/>
  <c r="G3973" i="3"/>
  <c r="H3973" i="3" s="1"/>
  <c r="I3972" i="3"/>
  <c r="J3972" i="3" s="1"/>
  <c r="G3972" i="3"/>
  <c r="H3972" i="3" s="1"/>
  <c r="I3964" i="3"/>
  <c r="J3964" i="3" s="1"/>
  <c r="G3964" i="3"/>
  <c r="H3964" i="3" s="1"/>
  <c r="I3963" i="3"/>
  <c r="J3963" i="3" s="1"/>
  <c r="G3963" i="3"/>
  <c r="H3963" i="3" s="1"/>
  <c r="I3962" i="3"/>
  <c r="J3962" i="3" s="1"/>
  <c r="G3962" i="3"/>
  <c r="H3962" i="3" s="1"/>
  <c r="I3954" i="3"/>
  <c r="J3954" i="3" s="1"/>
  <c r="G3954" i="3"/>
  <c r="H3954" i="3" s="1"/>
  <c r="I3953" i="3"/>
  <c r="J3953" i="3" s="1"/>
  <c r="G3953" i="3"/>
  <c r="H3953" i="3" s="1"/>
  <c r="I3952" i="3"/>
  <c r="J3952" i="3" s="1"/>
  <c r="G3952" i="3"/>
  <c r="H3952" i="3" s="1"/>
  <c r="I3944" i="3"/>
  <c r="J3944" i="3" s="1"/>
  <c r="G3944" i="3"/>
  <c r="H3944" i="3" s="1"/>
  <c r="I3943" i="3"/>
  <c r="J3943" i="3" s="1"/>
  <c r="G3943" i="3"/>
  <c r="H3943" i="3" s="1"/>
  <c r="I3935" i="3"/>
  <c r="J3935" i="3" s="1"/>
  <c r="G3935" i="3"/>
  <c r="H3935" i="3" s="1"/>
  <c r="I3934" i="3"/>
  <c r="J3934" i="3" s="1"/>
  <c r="G3934" i="3"/>
  <c r="H3934" i="3" s="1"/>
  <c r="I3927" i="3"/>
  <c r="J3927" i="3" s="1"/>
  <c r="G3927" i="3"/>
  <c r="H3927" i="3" s="1"/>
  <c r="I3926" i="3"/>
  <c r="J3926" i="3" s="1"/>
  <c r="G3926" i="3"/>
  <c r="H3926" i="3" s="1"/>
  <c r="I3925" i="3"/>
  <c r="J3925" i="3" s="1"/>
  <c r="G3925" i="3"/>
  <c r="H3925" i="3" s="1"/>
  <c r="I3918" i="3"/>
  <c r="J3918" i="3" s="1"/>
  <c r="G3918" i="3"/>
  <c r="H3918" i="3" s="1"/>
  <c r="I3917" i="3"/>
  <c r="J3917" i="3" s="1"/>
  <c r="G3917" i="3"/>
  <c r="H3917" i="3" s="1"/>
  <c r="I3916" i="3"/>
  <c r="J3916" i="3" s="1"/>
  <c r="G3916" i="3"/>
  <c r="H3916" i="3" s="1"/>
  <c r="I3909" i="3"/>
  <c r="J3909" i="3" s="1"/>
  <c r="G3909" i="3"/>
  <c r="H3909" i="3" s="1"/>
  <c r="I3908" i="3"/>
  <c r="J3908" i="3" s="1"/>
  <c r="G3908" i="3"/>
  <c r="H3908" i="3" s="1"/>
  <c r="I3907" i="3"/>
  <c r="J3907" i="3" s="1"/>
  <c r="G3907" i="3"/>
  <c r="H3907" i="3" s="1"/>
  <c r="I3906" i="3"/>
  <c r="J3906" i="3" s="1"/>
  <c r="G3906" i="3"/>
  <c r="H3906" i="3" s="1"/>
  <c r="I3899" i="3"/>
  <c r="J3899" i="3" s="1"/>
  <c r="G3899" i="3"/>
  <c r="H3899" i="3" s="1"/>
  <c r="I3898" i="3"/>
  <c r="J3898" i="3" s="1"/>
  <c r="G3898" i="3"/>
  <c r="H3898" i="3" s="1"/>
  <c r="I3897" i="3"/>
  <c r="J3897" i="3" s="1"/>
  <c r="G3897" i="3"/>
  <c r="H3897" i="3" s="1"/>
  <c r="I3896" i="3"/>
  <c r="J3896" i="3" s="1"/>
  <c r="G3896" i="3"/>
  <c r="H3896" i="3" s="1"/>
  <c r="I3889" i="3"/>
  <c r="J3889" i="3" s="1"/>
  <c r="G3889" i="3"/>
  <c r="H3889" i="3" s="1"/>
  <c r="I3888" i="3"/>
  <c r="J3888" i="3" s="1"/>
  <c r="G3888" i="3"/>
  <c r="H3888" i="3" s="1"/>
  <c r="I3887" i="3"/>
  <c r="J3887" i="3" s="1"/>
  <c r="G3887" i="3"/>
  <c r="H3887" i="3" s="1"/>
  <c r="I3886" i="3"/>
  <c r="J3886" i="3" s="1"/>
  <c r="G3886" i="3"/>
  <c r="H3886" i="3" s="1"/>
  <c r="I3879" i="3"/>
  <c r="J3879" i="3" s="1"/>
  <c r="G3879" i="3"/>
  <c r="H3879" i="3" s="1"/>
  <c r="I3878" i="3"/>
  <c r="J3878" i="3" s="1"/>
  <c r="G3878" i="3"/>
  <c r="H3878" i="3" s="1"/>
  <c r="I3877" i="3"/>
  <c r="J3877" i="3" s="1"/>
  <c r="G3877" i="3"/>
  <c r="H3877" i="3" s="1"/>
  <c r="I3876" i="3"/>
  <c r="J3876" i="3" s="1"/>
  <c r="G3876" i="3"/>
  <c r="H3876" i="3" s="1"/>
  <c r="I3869" i="3"/>
  <c r="J3869" i="3" s="1"/>
  <c r="G3869" i="3"/>
  <c r="H3869" i="3" s="1"/>
  <c r="I3868" i="3"/>
  <c r="J3868" i="3" s="1"/>
  <c r="G3868" i="3"/>
  <c r="H3868" i="3" s="1"/>
  <c r="I3867" i="3"/>
  <c r="J3867" i="3" s="1"/>
  <c r="G3867" i="3"/>
  <c r="H3867" i="3" s="1"/>
  <c r="I3859" i="3"/>
  <c r="J3859" i="3" s="1"/>
  <c r="G3859" i="3"/>
  <c r="H3859" i="3" s="1"/>
  <c r="I3858" i="3"/>
  <c r="J3858" i="3" s="1"/>
  <c r="G3858" i="3"/>
  <c r="H3858" i="3" s="1"/>
  <c r="I3857" i="3"/>
  <c r="J3857" i="3" s="1"/>
  <c r="G3857" i="3"/>
  <c r="H3857" i="3" s="1"/>
  <c r="I3850" i="3"/>
  <c r="J3850" i="3" s="1"/>
  <c r="G3850" i="3"/>
  <c r="H3850" i="3" s="1"/>
  <c r="I3843" i="3"/>
  <c r="J3843" i="3" s="1"/>
  <c r="G3843" i="3"/>
  <c r="H3843" i="3" s="1"/>
  <c r="I3842" i="3"/>
  <c r="J3842" i="3" s="1"/>
  <c r="G3842" i="3"/>
  <c r="H3842" i="3" s="1"/>
  <c r="I3835" i="3"/>
  <c r="J3835" i="3" s="1"/>
  <c r="G3835" i="3"/>
  <c r="H3835" i="3" s="1"/>
  <c r="I3834" i="3"/>
  <c r="J3834" i="3" s="1"/>
  <c r="G3834" i="3"/>
  <c r="H3834" i="3" s="1"/>
  <c r="I3827" i="3"/>
  <c r="J3827" i="3" s="1"/>
  <c r="G3827" i="3"/>
  <c r="H3827" i="3" s="1"/>
  <c r="I3826" i="3"/>
  <c r="J3826" i="3" s="1"/>
  <c r="G3826" i="3"/>
  <c r="H3826" i="3" s="1"/>
  <c r="I3819" i="3"/>
  <c r="J3819" i="3" s="1"/>
  <c r="G3819" i="3"/>
  <c r="H3819" i="3" s="1"/>
  <c r="I3818" i="3"/>
  <c r="J3818" i="3" s="1"/>
  <c r="G3818" i="3"/>
  <c r="H3818" i="3" s="1"/>
  <c r="I3811" i="3"/>
  <c r="J3811" i="3" s="1"/>
  <c r="G3811" i="3"/>
  <c r="H3811" i="3" s="1"/>
  <c r="I3810" i="3"/>
  <c r="J3810" i="3" s="1"/>
  <c r="G3810" i="3"/>
  <c r="H3810" i="3" s="1"/>
  <c r="I3809" i="3"/>
  <c r="J3809" i="3" s="1"/>
  <c r="G3809" i="3"/>
  <c r="H3809" i="3" s="1"/>
  <c r="I3802" i="3"/>
  <c r="J3802" i="3" s="1"/>
  <c r="G3802" i="3"/>
  <c r="H3802" i="3" s="1"/>
  <c r="I3801" i="3"/>
  <c r="J3801" i="3" s="1"/>
  <c r="G3801" i="3"/>
  <c r="H3801" i="3" s="1"/>
  <c r="I3800" i="3"/>
  <c r="J3800" i="3" s="1"/>
  <c r="G3800" i="3"/>
  <c r="H3800" i="3" s="1"/>
  <c r="I3793" i="3"/>
  <c r="J3793" i="3" s="1"/>
  <c r="G3793" i="3"/>
  <c r="H3793" i="3" s="1"/>
  <c r="I3792" i="3"/>
  <c r="J3792" i="3" s="1"/>
  <c r="G3792" i="3"/>
  <c r="H3792" i="3" s="1"/>
  <c r="I3791" i="3"/>
  <c r="J3791" i="3" s="1"/>
  <c r="G3791" i="3"/>
  <c r="H3791" i="3" s="1"/>
  <c r="I3784" i="3"/>
  <c r="J3784" i="3" s="1"/>
  <c r="G3784" i="3"/>
  <c r="H3784" i="3" s="1"/>
  <c r="I3783" i="3"/>
  <c r="J3783" i="3" s="1"/>
  <c r="G3783" i="3"/>
  <c r="H3783" i="3" s="1"/>
  <c r="I3782" i="3"/>
  <c r="J3782" i="3" s="1"/>
  <c r="G3782" i="3"/>
  <c r="H3782" i="3" s="1"/>
  <c r="I3774" i="3"/>
  <c r="J3774" i="3" s="1"/>
  <c r="G3774" i="3"/>
  <c r="H3774" i="3" s="1"/>
  <c r="I3773" i="3"/>
  <c r="J3773" i="3" s="1"/>
  <c r="G3773" i="3"/>
  <c r="H3773" i="3" s="1"/>
  <c r="I3772" i="3"/>
  <c r="J3772" i="3" s="1"/>
  <c r="G3772" i="3"/>
  <c r="H3772" i="3" s="1"/>
  <c r="I3771" i="3"/>
  <c r="J3771" i="3" s="1"/>
  <c r="G3771" i="3"/>
  <c r="H3771" i="3" s="1"/>
  <c r="I3770" i="3"/>
  <c r="J3770" i="3" s="1"/>
  <c r="G3770" i="3"/>
  <c r="H3770" i="3" s="1"/>
  <c r="I3769" i="3"/>
  <c r="J3769" i="3" s="1"/>
  <c r="G3769" i="3"/>
  <c r="H3769" i="3" s="1"/>
  <c r="I3768" i="3"/>
  <c r="J3768" i="3" s="1"/>
  <c r="G3768" i="3"/>
  <c r="H3768" i="3" s="1"/>
  <c r="I3767" i="3"/>
  <c r="J3767" i="3" s="1"/>
  <c r="G3767" i="3"/>
  <c r="H3767" i="3" s="1"/>
  <c r="I3760" i="3"/>
  <c r="J3760" i="3" s="1"/>
  <c r="G3760" i="3"/>
  <c r="H3760" i="3" s="1"/>
  <c r="I3759" i="3"/>
  <c r="J3759" i="3" s="1"/>
  <c r="G3759" i="3"/>
  <c r="H3759" i="3" s="1"/>
  <c r="I3758" i="3"/>
  <c r="J3758" i="3" s="1"/>
  <c r="G3758" i="3"/>
  <c r="H3758" i="3" s="1"/>
  <c r="I3757" i="3"/>
  <c r="J3757" i="3" s="1"/>
  <c r="G3757" i="3"/>
  <c r="H3757" i="3" s="1"/>
  <c r="I3750" i="3"/>
  <c r="J3750" i="3" s="1"/>
  <c r="G3750" i="3"/>
  <c r="H3750" i="3" s="1"/>
  <c r="I3749" i="3"/>
  <c r="J3749" i="3" s="1"/>
  <c r="G3749" i="3"/>
  <c r="H3749" i="3" s="1"/>
  <c r="I3748" i="3"/>
  <c r="J3748" i="3" s="1"/>
  <c r="G3748" i="3"/>
  <c r="H3748" i="3" s="1"/>
  <c r="I3747" i="3"/>
  <c r="J3747" i="3" s="1"/>
  <c r="G3747" i="3"/>
  <c r="H3747" i="3" s="1"/>
  <c r="I3740" i="3"/>
  <c r="J3740" i="3" s="1"/>
  <c r="G3740" i="3"/>
  <c r="H3740" i="3" s="1"/>
  <c r="I3739" i="3"/>
  <c r="J3739" i="3" s="1"/>
  <c r="G3739" i="3"/>
  <c r="H3739" i="3" s="1"/>
  <c r="I3738" i="3"/>
  <c r="J3738" i="3" s="1"/>
  <c r="G3738" i="3"/>
  <c r="H3738" i="3" s="1"/>
  <c r="I3737" i="3"/>
  <c r="J3737" i="3" s="1"/>
  <c r="G3737" i="3"/>
  <c r="H3737" i="3" s="1"/>
  <c r="I3730" i="3"/>
  <c r="J3730" i="3" s="1"/>
  <c r="G3730" i="3"/>
  <c r="H3730" i="3" s="1"/>
  <c r="I3729" i="3"/>
  <c r="J3729" i="3" s="1"/>
  <c r="G3729" i="3"/>
  <c r="H3729" i="3" s="1"/>
  <c r="I3728" i="3"/>
  <c r="J3728" i="3" s="1"/>
  <c r="G3728" i="3"/>
  <c r="H3728" i="3" s="1"/>
  <c r="I3720" i="3"/>
  <c r="J3720" i="3" s="1"/>
  <c r="G3720" i="3"/>
  <c r="H3720" i="3" s="1"/>
  <c r="I3719" i="3"/>
  <c r="J3719" i="3" s="1"/>
  <c r="G3719" i="3"/>
  <c r="H3719" i="3" s="1"/>
  <c r="I3711" i="3"/>
  <c r="J3711" i="3" s="1"/>
  <c r="G3711" i="3"/>
  <c r="H3711" i="3" s="1"/>
  <c r="I3704" i="3"/>
  <c r="J3704" i="3" s="1"/>
  <c r="G3704" i="3"/>
  <c r="H3704" i="3" s="1"/>
  <c r="I3703" i="3"/>
  <c r="J3703" i="3" s="1"/>
  <c r="G3703" i="3"/>
  <c r="H3703" i="3" s="1"/>
  <c r="I3702" i="3"/>
  <c r="J3702" i="3" s="1"/>
  <c r="G3702" i="3"/>
  <c r="H3702" i="3" s="1"/>
  <c r="I3701" i="3"/>
  <c r="J3701" i="3" s="1"/>
  <c r="G3701" i="3"/>
  <c r="H3701" i="3" s="1"/>
  <c r="I3700" i="3"/>
  <c r="J3700" i="3" s="1"/>
  <c r="G3700" i="3"/>
  <c r="H3700" i="3" s="1"/>
  <c r="I3693" i="3"/>
  <c r="J3693" i="3" s="1"/>
  <c r="G3693" i="3"/>
  <c r="H3693" i="3" s="1"/>
  <c r="I3692" i="3"/>
  <c r="J3692" i="3" s="1"/>
  <c r="G3692" i="3"/>
  <c r="H3692" i="3" s="1"/>
  <c r="I3691" i="3"/>
  <c r="J3691" i="3" s="1"/>
  <c r="G3691" i="3"/>
  <c r="H3691" i="3" s="1"/>
  <c r="I3690" i="3"/>
  <c r="J3690" i="3" s="1"/>
  <c r="G3690" i="3"/>
  <c r="H3690" i="3" s="1"/>
  <c r="I3683" i="3"/>
  <c r="J3683" i="3" s="1"/>
  <c r="G3683" i="3"/>
  <c r="H3683" i="3" s="1"/>
  <c r="I3682" i="3"/>
  <c r="J3682" i="3" s="1"/>
  <c r="G3682" i="3"/>
  <c r="H3682" i="3" s="1"/>
  <c r="I3673" i="3"/>
  <c r="J3673" i="3" s="1"/>
  <c r="G3673" i="3"/>
  <c r="H3673" i="3" s="1"/>
  <c r="I3672" i="3"/>
  <c r="J3672" i="3" s="1"/>
  <c r="G3672" i="3"/>
  <c r="H3672" i="3" s="1"/>
  <c r="I3663" i="3"/>
  <c r="J3663" i="3" s="1"/>
  <c r="G3663" i="3"/>
  <c r="H3663" i="3" s="1"/>
  <c r="I3662" i="3"/>
  <c r="J3662" i="3" s="1"/>
  <c r="G3662" i="3"/>
  <c r="H3662" i="3" s="1"/>
  <c r="I3653" i="3"/>
  <c r="J3653" i="3" s="1"/>
  <c r="G3653" i="3"/>
  <c r="H3653" i="3" s="1"/>
  <c r="I3652" i="3"/>
  <c r="J3652" i="3" s="1"/>
  <c r="G3652" i="3"/>
  <c r="H3652" i="3" s="1"/>
  <c r="I3644" i="3"/>
  <c r="J3644" i="3" s="1"/>
  <c r="G3644" i="3"/>
  <c r="H3644" i="3" s="1"/>
  <c r="I3643" i="3"/>
  <c r="J3643" i="3" s="1"/>
  <c r="G3643" i="3"/>
  <c r="H3643" i="3" s="1"/>
  <c r="I3635" i="3"/>
  <c r="J3635" i="3" s="1"/>
  <c r="G3635" i="3"/>
  <c r="H3635" i="3" s="1"/>
  <c r="I3634" i="3"/>
  <c r="J3634" i="3" s="1"/>
  <c r="G3634" i="3"/>
  <c r="H3634" i="3" s="1"/>
  <c r="I3626" i="3"/>
  <c r="J3626" i="3" s="1"/>
  <c r="G3626" i="3"/>
  <c r="H3626" i="3" s="1"/>
  <c r="I3625" i="3"/>
  <c r="J3625" i="3" s="1"/>
  <c r="G3625" i="3"/>
  <c r="H3625" i="3" s="1"/>
  <c r="I3617" i="3"/>
  <c r="J3617" i="3" s="1"/>
  <c r="G3617" i="3"/>
  <c r="H3617" i="3" s="1"/>
  <c r="I3616" i="3"/>
  <c r="J3616" i="3" s="1"/>
  <c r="G3616" i="3"/>
  <c r="H3616" i="3" s="1"/>
  <c r="I3608" i="3"/>
  <c r="J3608" i="3" s="1"/>
  <c r="G3608" i="3"/>
  <c r="H3608" i="3" s="1"/>
  <c r="I3607" i="3"/>
  <c r="J3607" i="3" s="1"/>
  <c r="G3607" i="3"/>
  <c r="H3607" i="3" s="1"/>
  <c r="I3599" i="3"/>
  <c r="J3599" i="3" s="1"/>
  <c r="G3599" i="3"/>
  <c r="H3599" i="3" s="1"/>
  <c r="I3598" i="3"/>
  <c r="J3598" i="3" s="1"/>
  <c r="G3598" i="3"/>
  <c r="H3598" i="3" s="1"/>
  <c r="I3590" i="3"/>
  <c r="J3590" i="3" s="1"/>
  <c r="G3590" i="3"/>
  <c r="H3590" i="3" s="1"/>
  <c r="I3589" i="3"/>
  <c r="J3589" i="3" s="1"/>
  <c r="G3589" i="3"/>
  <c r="H3589" i="3" s="1"/>
  <c r="I3581" i="3"/>
  <c r="J3581" i="3" s="1"/>
  <c r="G3581" i="3"/>
  <c r="H3581" i="3" s="1"/>
  <c r="I3580" i="3"/>
  <c r="J3580" i="3" s="1"/>
  <c r="G3580" i="3"/>
  <c r="H3580" i="3" s="1"/>
  <c r="I3572" i="3"/>
  <c r="J3572" i="3" s="1"/>
  <c r="G3572" i="3"/>
  <c r="H3572" i="3" s="1"/>
  <c r="I3571" i="3"/>
  <c r="J3571" i="3" s="1"/>
  <c r="G3571" i="3"/>
  <c r="H3571" i="3" s="1"/>
  <c r="I3563" i="3"/>
  <c r="J3563" i="3" s="1"/>
  <c r="G3563" i="3"/>
  <c r="H3563" i="3" s="1"/>
  <c r="I3562" i="3"/>
  <c r="J3562" i="3" s="1"/>
  <c r="G3562" i="3"/>
  <c r="H3562" i="3" s="1"/>
  <c r="I3554" i="3"/>
  <c r="J3554" i="3" s="1"/>
  <c r="G3554" i="3"/>
  <c r="H3554" i="3" s="1"/>
  <c r="I3546" i="3"/>
  <c r="J3546" i="3" s="1"/>
  <c r="G3546" i="3"/>
  <c r="H3546" i="3" s="1"/>
  <c r="I3538" i="3"/>
  <c r="J3538" i="3" s="1"/>
  <c r="G3538" i="3"/>
  <c r="H3538" i="3" s="1"/>
  <c r="I3537" i="3"/>
  <c r="J3537" i="3" s="1"/>
  <c r="G3537" i="3"/>
  <c r="H3537" i="3" s="1"/>
  <c r="I3529" i="3"/>
  <c r="J3529" i="3" s="1"/>
  <c r="G3529" i="3"/>
  <c r="H3529" i="3" s="1"/>
  <c r="I3528" i="3"/>
  <c r="J3528" i="3" s="1"/>
  <c r="G3528" i="3"/>
  <c r="H3528" i="3" s="1"/>
  <c r="I3520" i="3"/>
  <c r="J3520" i="3" s="1"/>
  <c r="G3520" i="3"/>
  <c r="H3520" i="3" s="1"/>
  <c r="I3519" i="3"/>
  <c r="J3519" i="3" s="1"/>
  <c r="G3519" i="3"/>
  <c r="H3519" i="3" s="1"/>
  <c r="I3511" i="3"/>
  <c r="J3511" i="3" s="1"/>
  <c r="G3511" i="3"/>
  <c r="H3511" i="3" s="1"/>
  <c r="I3510" i="3"/>
  <c r="J3510" i="3" s="1"/>
  <c r="G3510" i="3"/>
  <c r="H3510" i="3" s="1"/>
  <c r="I3509" i="3"/>
  <c r="J3509" i="3" s="1"/>
  <c r="G3509" i="3"/>
  <c r="H3509" i="3" s="1"/>
  <c r="I3502" i="3"/>
  <c r="J3502" i="3" s="1"/>
  <c r="G3502" i="3"/>
  <c r="H3502" i="3" s="1"/>
  <c r="I3501" i="3"/>
  <c r="J3501" i="3" s="1"/>
  <c r="G3501" i="3"/>
  <c r="H3501" i="3" s="1"/>
  <c r="I3500" i="3"/>
  <c r="J3500" i="3" s="1"/>
  <c r="G3500" i="3"/>
  <c r="H3500" i="3" s="1"/>
  <c r="I3493" i="3"/>
  <c r="J3493" i="3" s="1"/>
  <c r="G3493" i="3"/>
  <c r="H3493" i="3" s="1"/>
  <c r="I3492" i="3"/>
  <c r="J3492" i="3" s="1"/>
  <c r="G3492" i="3"/>
  <c r="H3492" i="3" s="1"/>
  <c r="I3491" i="3"/>
  <c r="J3491" i="3" s="1"/>
  <c r="G3491" i="3"/>
  <c r="H3491" i="3" s="1"/>
  <c r="I3484" i="3"/>
  <c r="J3484" i="3" s="1"/>
  <c r="G3484" i="3"/>
  <c r="H3484" i="3" s="1"/>
  <c r="I3483" i="3"/>
  <c r="J3483" i="3" s="1"/>
  <c r="G3483" i="3"/>
  <c r="H3483" i="3" s="1"/>
  <c r="I3482" i="3"/>
  <c r="J3482" i="3" s="1"/>
  <c r="G3482" i="3"/>
  <c r="H3482" i="3" s="1"/>
  <c r="I3475" i="3"/>
  <c r="J3475" i="3" s="1"/>
  <c r="G3475" i="3"/>
  <c r="H3475" i="3" s="1"/>
  <c r="I3474" i="3"/>
  <c r="J3474" i="3" s="1"/>
  <c r="G3474" i="3"/>
  <c r="H3474" i="3" s="1"/>
  <c r="I3473" i="3"/>
  <c r="J3473" i="3" s="1"/>
  <c r="G3473" i="3"/>
  <c r="H3473" i="3" s="1"/>
  <c r="I3466" i="3"/>
  <c r="J3466" i="3" s="1"/>
  <c r="G3466" i="3"/>
  <c r="H3466" i="3" s="1"/>
  <c r="I3465" i="3"/>
  <c r="J3465" i="3" s="1"/>
  <c r="G3465" i="3"/>
  <c r="H3465" i="3" s="1"/>
  <c r="I3464" i="3"/>
  <c r="J3464" i="3" s="1"/>
  <c r="G3464" i="3"/>
  <c r="H3464" i="3" s="1"/>
  <c r="I3457" i="3"/>
  <c r="J3457" i="3" s="1"/>
  <c r="G3457" i="3"/>
  <c r="H3457" i="3" s="1"/>
  <c r="I3456" i="3"/>
  <c r="J3456" i="3" s="1"/>
  <c r="G3456" i="3"/>
  <c r="H3456" i="3" s="1"/>
  <c r="I3455" i="3"/>
  <c r="J3455" i="3" s="1"/>
  <c r="G3455" i="3"/>
  <c r="H3455" i="3" s="1"/>
  <c r="I3448" i="3"/>
  <c r="J3448" i="3" s="1"/>
  <c r="G3448" i="3"/>
  <c r="H3448" i="3" s="1"/>
  <c r="I3447" i="3"/>
  <c r="J3447" i="3" s="1"/>
  <c r="G3447" i="3"/>
  <c r="H3447" i="3" s="1"/>
  <c r="I3439" i="3"/>
  <c r="J3439" i="3" s="1"/>
  <c r="G3439" i="3"/>
  <c r="H3439" i="3" s="1"/>
  <c r="I3438" i="3"/>
  <c r="J3438" i="3" s="1"/>
  <c r="G3438" i="3"/>
  <c r="H3438" i="3" s="1"/>
  <c r="I3430" i="3"/>
  <c r="J3430" i="3" s="1"/>
  <c r="G3430" i="3"/>
  <c r="H3430" i="3" s="1"/>
  <c r="I3429" i="3"/>
  <c r="J3429" i="3" s="1"/>
  <c r="G3429" i="3"/>
  <c r="H3429" i="3" s="1"/>
  <c r="I3421" i="3"/>
  <c r="J3421" i="3" s="1"/>
  <c r="G3421" i="3"/>
  <c r="H3421" i="3" s="1"/>
  <c r="I3420" i="3"/>
  <c r="J3420" i="3" s="1"/>
  <c r="G3420" i="3"/>
  <c r="H3420" i="3" s="1"/>
  <c r="I3412" i="3"/>
  <c r="J3412" i="3" s="1"/>
  <c r="G3412" i="3"/>
  <c r="H3412" i="3" s="1"/>
  <c r="I3411" i="3"/>
  <c r="J3411" i="3" s="1"/>
  <c r="G3411" i="3"/>
  <c r="H3411" i="3" s="1"/>
  <c r="I3403" i="3"/>
  <c r="J3403" i="3" s="1"/>
  <c r="G3403" i="3"/>
  <c r="H3403" i="3" s="1"/>
  <c r="I3402" i="3"/>
  <c r="J3402" i="3" s="1"/>
  <c r="G3402" i="3"/>
  <c r="H3402" i="3" s="1"/>
  <c r="I3394" i="3"/>
  <c r="J3394" i="3" s="1"/>
  <c r="G3394" i="3"/>
  <c r="H3394" i="3" s="1"/>
  <c r="I3393" i="3"/>
  <c r="J3393" i="3" s="1"/>
  <c r="G3393" i="3"/>
  <c r="H3393" i="3" s="1"/>
  <c r="I3385" i="3"/>
  <c r="J3385" i="3" s="1"/>
  <c r="G3385" i="3"/>
  <c r="H3385" i="3" s="1"/>
  <c r="I3384" i="3"/>
  <c r="J3384" i="3" s="1"/>
  <c r="G3384" i="3"/>
  <c r="H3384" i="3" s="1"/>
  <c r="I3376" i="3"/>
  <c r="J3376" i="3" s="1"/>
  <c r="G3376" i="3"/>
  <c r="H3376" i="3" s="1"/>
  <c r="I3375" i="3"/>
  <c r="J3375" i="3" s="1"/>
  <c r="G3375" i="3"/>
  <c r="H3375" i="3" s="1"/>
  <c r="I3367" i="3"/>
  <c r="J3367" i="3" s="1"/>
  <c r="G3367" i="3"/>
  <c r="H3367" i="3" s="1"/>
  <c r="I3366" i="3"/>
  <c r="J3366" i="3" s="1"/>
  <c r="G3366" i="3"/>
  <c r="H3366" i="3" s="1"/>
  <c r="I3358" i="3"/>
  <c r="J3358" i="3" s="1"/>
  <c r="G3358" i="3"/>
  <c r="H3358" i="3" s="1"/>
  <c r="I3357" i="3"/>
  <c r="J3357" i="3" s="1"/>
  <c r="G3357" i="3"/>
  <c r="H3357" i="3" s="1"/>
  <c r="I3349" i="3"/>
  <c r="J3349" i="3" s="1"/>
  <c r="G3349" i="3"/>
  <c r="H3349" i="3" s="1"/>
  <c r="I3348" i="3"/>
  <c r="J3348" i="3" s="1"/>
  <c r="G3348" i="3"/>
  <c r="H3348" i="3" s="1"/>
  <c r="I3340" i="3"/>
  <c r="J3340" i="3" s="1"/>
  <c r="G3340" i="3"/>
  <c r="H3340" i="3" s="1"/>
  <c r="I3339" i="3"/>
  <c r="J3339" i="3" s="1"/>
  <c r="G3339" i="3"/>
  <c r="H3339" i="3" s="1"/>
  <c r="I3331" i="3"/>
  <c r="J3331" i="3" s="1"/>
  <c r="G3331" i="3"/>
  <c r="H3331" i="3" s="1"/>
  <c r="I3330" i="3"/>
  <c r="J3330" i="3" s="1"/>
  <c r="G3330" i="3"/>
  <c r="H3330" i="3" s="1"/>
  <c r="I3322" i="3"/>
  <c r="J3322" i="3" s="1"/>
  <c r="G3322" i="3"/>
  <c r="H3322" i="3" s="1"/>
  <c r="I3321" i="3"/>
  <c r="J3321" i="3" s="1"/>
  <c r="G3321" i="3"/>
  <c r="H3321" i="3" s="1"/>
  <c r="I3320" i="3"/>
  <c r="J3320" i="3" s="1"/>
  <c r="G3320" i="3"/>
  <c r="H3320" i="3" s="1"/>
  <c r="I3319" i="3"/>
  <c r="J3319" i="3" s="1"/>
  <c r="G3319" i="3"/>
  <c r="H3319" i="3" s="1"/>
  <c r="I3318" i="3"/>
  <c r="J3318" i="3" s="1"/>
  <c r="G3318" i="3"/>
  <c r="H3318" i="3" s="1"/>
  <c r="I3317" i="3"/>
  <c r="J3317" i="3" s="1"/>
  <c r="G3317" i="3"/>
  <c r="H3317" i="3" s="1"/>
  <c r="I3310" i="3"/>
  <c r="J3310" i="3" s="1"/>
  <c r="G3310" i="3"/>
  <c r="H3310" i="3" s="1"/>
  <c r="I3308" i="3"/>
  <c r="J3308" i="3" s="1"/>
  <c r="G3308" i="3"/>
  <c r="H3308" i="3" s="1"/>
  <c r="I3307" i="3"/>
  <c r="J3307" i="3" s="1"/>
  <c r="G3307" i="3"/>
  <c r="H3307" i="3" s="1"/>
  <c r="I3294" i="3"/>
  <c r="J3294" i="3" s="1"/>
  <c r="G3294" i="3"/>
  <c r="H3294" i="3" s="1"/>
  <c r="I3292" i="3"/>
  <c r="J3292" i="3" s="1"/>
  <c r="G3292" i="3"/>
  <c r="H3292" i="3" s="1"/>
  <c r="I3291" i="3"/>
  <c r="J3291" i="3" s="1"/>
  <c r="G3291" i="3"/>
  <c r="H3291" i="3" s="1"/>
  <c r="I3278" i="3"/>
  <c r="J3278" i="3" s="1"/>
  <c r="G3278" i="3"/>
  <c r="H3278" i="3" s="1"/>
  <c r="I3276" i="3"/>
  <c r="J3276" i="3" s="1"/>
  <c r="G3276" i="3"/>
  <c r="H3276" i="3" s="1"/>
  <c r="I3275" i="3"/>
  <c r="J3275" i="3" s="1"/>
  <c r="G3275" i="3"/>
  <c r="H3275" i="3" s="1"/>
  <c r="I3262" i="3"/>
  <c r="J3262" i="3" s="1"/>
  <c r="G3262" i="3"/>
  <c r="H3262" i="3" s="1"/>
  <c r="I3261" i="3"/>
  <c r="J3261" i="3" s="1"/>
  <c r="G3261" i="3"/>
  <c r="H3261" i="3" s="1"/>
  <c r="I3260" i="3"/>
  <c r="J3260" i="3" s="1"/>
  <c r="G3260" i="3"/>
  <c r="H3260" i="3" s="1"/>
  <c r="I3244" i="3"/>
  <c r="J3244" i="3" s="1"/>
  <c r="G3244" i="3"/>
  <c r="H3244" i="3" s="1"/>
  <c r="I3243" i="3"/>
  <c r="J3243" i="3" s="1"/>
  <c r="G3243" i="3"/>
  <c r="H3243" i="3" s="1"/>
  <c r="I3242" i="3"/>
  <c r="J3242" i="3" s="1"/>
  <c r="G3242" i="3"/>
  <c r="H3242" i="3" s="1"/>
  <c r="I3235" i="3"/>
  <c r="J3235" i="3" s="1"/>
  <c r="G3235" i="3"/>
  <c r="H3235" i="3" s="1"/>
  <c r="I3234" i="3"/>
  <c r="J3234" i="3" s="1"/>
  <c r="G3234" i="3"/>
  <c r="H3234" i="3" s="1"/>
  <c r="I3233" i="3"/>
  <c r="J3233" i="3" s="1"/>
  <c r="G3233" i="3"/>
  <c r="H3233" i="3" s="1"/>
  <c r="I3226" i="3"/>
  <c r="J3226" i="3" s="1"/>
  <c r="G3226" i="3"/>
  <c r="H3226" i="3" s="1"/>
  <c r="I3225" i="3"/>
  <c r="J3225" i="3" s="1"/>
  <c r="G3225" i="3"/>
  <c r="H3225" i="3" s="1"/>
  <c r="I3224" i="3"/>
  <c r="J3224" i="3" s="1"/>
  <c r="G3224" i="3"/>
  <c r="H3224" i="3" s="1"/>
  <c r="I3216" i="3"/>
  <c r="J3216" i="3" s="1"/>
  <c r="G3216" i="3"/>
  <c r="H3216" i="3" s="1"/>
  <c r="I3215" i="3"/>
  <c r="J3215" i="3" s="1"/>
  <c r="G3215" i="3"/>
  <c r="H3215" i="3" s="1"/>
  <c r="I3207" i="3"/>
  <c r="J3207" i="3" s="1"/>
  <c r="G3207" i="3"/>
  <c r="H3207" i="3" s="1"/>
  <c r="I3206" i="3"/>
  <c r="J3206" i="3" s="1"/>
  <c r="G3206" i="3"/>
  <c r="H3206" i="3" s="1"/>
  <c r="I3198" i="3"/>
  <c r="J3198" i="3" s="1"/>
  <c r="G3198" i="3"/>
  <c r="H3198" i="3" s="1"/>
  <c r="I3197" i="3"/>
  <c r="J3197" i="3" s="1"/>
  <c r="G3197" i="3"/>
  <c r="H3197" i="3" s="1"/>
  <c r="I3190" i="3"/>
  <c r="J3190" i="3" s="1"/>
  <c r="G3190" i="3"/>
  <c r="H3190" i="3" s="1"/>
  <c r="I3189" i="3"/>
  <c r="J3189" i="3" s="1"/>
  <c r="G3189" i="3"/>
  <c r="H3189" i="3" s="1"/>
  <c r="I3188" i="3"/>
  <c r="J3188" i="3" s="1"/>
  <c r="G3188" i="3"/>
  <c r="H3188" i="3" s="1"/>
  <c r="I3180" i="3"/>
  <c r="J3180" i="3" s="1"/>
  <c r="G3180" i="3"/>
  <c r="H3180" i="3" s="1"/>
  <c r="I3179" i="3"/>
  <c r="J3179" i="3" s="1"/>
  <c r="G3179" i="3"/>
  <c r="H3179" i="3" s="1"/>
  <c r="I3171" i="3"/>
  <c r="J3171" i="3" s="1"/>
  <c r="G3171" i="3"/>
  <c r="H3171" i="3" s="1"/>
  <c r="I3170" i="3"/>
  <c r="J3170" i="3" s="1"/>
  <c r="G3170" i="3"/>
  <c r="H3170" i="3" s="1"/>
  <c r="I3162" i="3"/>
  <c r="J3162" i="3" s="1"/>
  <c r="G3162" i="3"/>
  <c r="H3162" i="3" s="1"/>
  <c r="I3161" i="3"/>
  <c r="J3161" i="3" s="1"/>
  <c r="G3161" i="3"/>
  <c r="H3161" i="3" s="1"/>
  <c r="I3153" i="3"/>
  <c r="J3153" i="3" s="1"/>
  <c r="G3153" i="3"/>
  <c r="H3153" i="3" s="1"/>
  <c r="I3152" i="3"/>
  <c r="J3152" i="3" s="1"/>
  <c r="G3152" i="3"/>
  <c r="H3152" i="3" s="1"/>
  <c r="I3144" i="3"/>
  <c r="J3144" i="3" s="1"/>
  <c r="G3144" i="3"/>
  <c r="H3144" i="3" s="1"/>
  <c r="I3143" i="3"/>
  <c r="J3143" i="3" s="1"/>
  <c r="G3143" i="3"/>
  <c r="H3143" i="3" s="1"/>
  <c r="I3135" i="3"/>
  <c r="J3135" i="3" s="1"/>
  <c r="G3135" i="3"/>
  <c r="H3135" i="3" s="1"/>
  <c r="I3134" i="3"/>
  <c r="J3134" i="3" s="1"/>
  <c r="G3134" i="3"/>
  <c r="H3134" i="3" s="1"/>
  <c r="I3126" i="3"/>
  <c r="J3126" i="3" s="1"/>
  <c r="G3126" i="3"/>
  <c r="H3126" i="3" s="1"/>
  <c r="I3125" i="3"/>
  <c r="J3125" i="3" s="1"/>
  <c r="G3125" i="3"/>
  <c r="H3125" i="3" s="1"/>
  <c r="I3117" i="3"/>
  <c r="J3117" i="3" s="1"/>
  <c r="G3117" i="3"/>
  <c r="H3117" i="3" s="1"/>
  <c r="I3116" i="3"/>
  <c r="J3116" i="3" s="1"/>
  <c r="G3116" i="3"/>
  <c r="H3116" i="3" s="1"/>
  <c r="I3109" i="3"/>
  <c r="J3109" i="3" s="1"/>
  <c r="G3109" i="3"/>
  <c r="H3109" i="3" s="1"/>
  <c r="I3108" i="3"/>
  <c r="J3108" i="3" s="1"/>
  <c r="G3108" i="3"/>
  <c r="H3108" i="3" s="1"/>
  <c r="I3107" i="3"/>
  <c r="J3107" i="3" s="1"/>
  <c r="G3107" i="3"/>
  <c r="H3107" i="3" s="1"/>
  <c r="I3106" i="3"/>
  <c r="J3106" i="3" s="1"/>
  <c r="G3106" i="3"/>
  <c r="H3106" i="3" s="1"/>
  <c r="I3099" i="3"/>
  <c r="J3099" i="3" s="1"/>
  <c r="G3099" i="3"/>
  <c r="H3099" i="3" s="1"/>
  <c r="I3098" i="3"/>
  <c r="J3098" i="3" s="1"/>
  <c r="G3098" i="3"/>
  <c r="H3098" i="3" s="1"/>
  <c r="I3097" i="3"/>
  <c r="J3097" i="3" s="1"/>
  <c r="G3097" i="3"/>
  <c r="H3097" i="3" s="1"/>
  <c r="I3088" i="3"/>
  <c r="J3088" i="3" s="1"/>
  <c r="G3088" i="3"/>
  <c r="H3088" i="3" s="1"/>
  <c r="I3087" i="3"/>
  <c r="J3087" i="3" s="1"/>
  <c r="G3087" i="3"/>
  <c r="H3087" i="3" s="1"/>
  <c r="I3079" i="3"/>
  <c r="J3079" i="3" s="1"/>
  <c r="G3079" i="3"/>
  <c r="H3079" i="3" s="1"/>
  <c r="I3078" i="3"/>
  <c r="J3078" i="3" s="1"/>
  <c r="G3078" i="3"/>
  <c r="H3078" i="3" s="1"/>
  <c r="I3070" i="3"/>
  <c r="J3070" i="3" s="1"/>
  <c r="G3070" i="3"/>
  <c r="H3070" i="3" s="1"/>
  <c r="I3069" i="3"/>
  <c r="J3069" i="3" s="1"/>
  <c r="G3069" i="3"/>
  <c r="H3069" i="3" s="1"/>
  <c r="I3068" i="3"/>
  <c r="J3068" i="3" s="1"/>
  <c r="G3068" i="3"/>
  <c r="H3068" i="3" s="1"/>
  <c r="I3061" i="3"/>
  <c r="J3061" i="3" s="1"/>
  <c r="G3061" i="3"/>
  <c r="H3061" i="3" s="1"/>
  <c r="I3060" i="3"/>
  <c r="J3060" i="3" s="1"/>
  <c r="G3060" i="3"/>
  <c r="H3060" i="3" s="1"/>
  <c r="I3059" i="3"/>
  <c r="J3059" i="3" s="1"/>
  <c r="G3059" i="3"/>
  <c r="H3059" i="3" s="1"/>
  <c r="I3052" i="3"/>
  <c r="J3052" i="3" s="1"/>
  <c r="G3052" i="3"/>
  <c r="H3052" i="3" s="1"/>
  <c r="I3051" i="3"/>
  <c r="J3051" i="3" s="1"/>
  <c r="G3051" i="3"/>
  <c r="H3051" i="3" s="1"/>
  <c r="I3050" i="3"/>
  <c r="J3050" i="3" s="1"/>
  <c r="G3050" i="3"/>
  <c r="H3050" i="3" s="1"/>
  <c r="I3043" i="3"/>
  <c r="J3043" i="3" s="1"/>
  <c r="G3043" i="3"/>
  <c r="H3043" i="3" s="1"/>
  <c r="I3042" i="3"/>
  <c r="J3042" i="3" s="1"/>
  <c r="G3042" i="3"/>
  <c r="H3042" i="3" s="1"/>
  <c r="I3041" i="3"/>
  <c r="J3041" i="3" s="1"/>
  <c r="G3041" i="3"/>
  <c r="H3041" i="3" s="1"/>
  <c r="I3032" i="3"/>
  <c r="J3032" i="3" s="1"/>
  <c r="G3032" i="3"/>
  <c r="H3032" i="3" s="1"/>
  <c r="I3025" i="3"/>
  <c r="J3025" i="3" s="1"/>
  <c r="G3025" i="3"/>
  <c r="H3025" i="3" s="1"/>
  <c r="I3024" i="3"/>
  <c r="J3024" i="3" s="1"/>
  <c r="G3024" i="3"/>
  <c r="H3024" i="3" s="1"/>
  <c r="I3023" i="3"/>
  <c r="J3023" i="3" s="1"/>
  <c r="G3023" i="3"/>
  <c r="H3023" i="3" s="1"/>
  <c r="I3022" i="3"/>
  <c r="J3022" i="3" s="1"/>
  <c r="G3022" i="3"/>
  <c r="H3022" i="3" s="1"/>
  <c r="I3015" i="3"/>
  <c r="J3015" i="3" s="1"/>
  <c r="G3015" i="3"/>
  <c r="H3015" i="3" s="1"/>
  <c r="I3014" i="3"/>
  <c r="J3014" i="3" s="1"/>
  <c r="G3014" i="3"/>
  <c r="H3014" i="3" s="1"/>
  <c r="I3013" i="3"/>
  <c r="J3013" i="3" s="1"/>
  <c r="G3013" i="3"/>
  <c r="H3013" i="3" s="1"/>
  <c r="I3012" i="3"/>
  <c r="J3012" i="3" s="1"/>
  <c r="G3012" i="3"/>
  <c r="H3012" i="3" s="1"/>
  <c r="I3005" i="3"/>
  <c r="J3005" i="3" s="1"/>
  <c r="G3005" i="3"/>
  <c r="H3005" i="3" s="1"/>
  <c r="I3004" i="3"/>
  <c r="J3004" i="3" s="1"/>
  <c r="G3004" i="3"/>
  <c r="H3004" i="3" s="1"/>
  <c r="I3003" i="3"/>
  <c r="J3003" i="3" s="1"/>
  <c r="G3003" i="3"/>
  <c r="H3003" i="3" s="1"/>
  <c r="I3002" i="3"/>
  <c r="J3002" i="3" s="1"/>
  <c r="G3002" i="3"/>
  <c r="H3002" i="3" s="1"/>
  <c r="I2995" i="3"/>
  <c r="J2995" i="3" s="1"/>
  <c r="G2995" i="3"/>
  <c r="H2995" i="3" s="1"/>
  <c r="I2994" i="3"/>
  <c r="J2994" i="3" s="1"/>
  <c r="G2994" i="3"/>
  <c r="H2994" i="3" s="1"/>
  <c r="I2993" i="3"/>
  <c r="J2993" i="3" s="1"/>
  <c r="G2993" i="3"/>
  <c r="H2993" i="3" s="1"/>
  <c r="I2985" i="3"/>
  <c r="J2985" i="3" s="1"/>
  <c r="G2985" i="3"/>
  <c r="H2985" i="3" s="1"/>
  <c r="I2984" i="3"/>
  <c r="J2984" i="3" s="1"/>
  <c r="G2984" i="3"/>
  <c r="H2984" i="3" s="1"/>
  <c r="I2983" i="3"/>
  <c r="J2983" i="3" s="1"/>
  <c r="G2983" i="3"/>
  <c r="H2983" i="3" s="1"/>
  <c r="I2982" i="3"/>
  <c r="J2982" i="3" s="1"/>
  <c r="G2982" i="3"/>
  <c r="H2982" i="3" s="1"/>
  <c r="I2981" i="3"/>
  <c r="J2981" i="3" s="1"/>
  <c r="G2981" i="3"/>
  <c r="H2981" i="3" s="1"/>
  <c r="I2974" i="3"/>
  <c r="J2974" i="3" s="1"/>
  <c r="G2974" i="3"/>
  <c r="H2974" i="3" s="1"/>
  <c r="I2973" i="3"/>
  <c r="J2973" i="3" s="1"/>
  <c r="G2973" i="3"/>
  <c r="H2973" i="3" s="1"/>
  <c r="I2972" i="3"/>
  <c r="J2972" i="3" s="1"/>
  <c r="G2972" i="3"/>
  <c r="H2972" i="3" s="1"/>
  <c r="I2971" i="3"/>
  <c r="J2971" i="3" s="1"/>
  <c r="G2971" i="3"/>
  <c r="H2971" i="3" s="1"/>
  <c r="I2970" i="3"/>
  <c r="J2970" i="3" s="1"/>
  <c r="G2970" i="3"/>
  <c r="H2970" i="3" s="1"/>
  <c r="I2963" i="3"/>
  <c r="J2963" i="3" s="1"/>
  <c r="G2963" i="3"/>
  <c r="H2963" i="3" s="1"/>
  <c r="I2962" i="3"/>
  <c r="J2962" i="3" s="1"/>
  <c r="G2962" i="3"/>
  <c r="H2962" i="3" s="1"/>
  <c r="I2961" i="3"/>
  <c r="J2961" i="3" s="1"/>
  <c r="G2961" i="3"/>
  <c r="H2961" i="3" s="1"/>
  <c r="I2953" i="3"/>
  <c r="J2953" i="3" s="1"/>
  <c r="G2953" i="3"/>
  <c r="H2953" i="3" s="1"/>
  <c r="I2952" i="3"/>
  <c r="J2952" i="3" s="1"/>
  <c r="G2952" i="3"/>
  <c r="H2952" i="3" s="1"/>
  <c r="I2944" i="3"/>
  <c r="J2944" i="3" s="1"/>
  <c r="G2944" i="3"/>
  <c r="H2944" i="3" s="1"/>
  <c r="I2943" i="3"/>
  <c r="J2943" i="3" s="1"/>
  <c r="G2943" i="3"/>
  <c r="H2943" i="3" s="1"/>
  <c r="I2935" i="3"/>
  <c r="J2935" i="3" s="1"/>
  <c r="G2935" i="3"/>
  <c r="H2935" i="3" s="1"/>
  <c r="I2934" i="3"/>
  <c r="J2934" i="3" s="1"/>
  <c r="G2934" i="3"/>
  <c r="H2934" i="3" s="1"/>
  <c r="I2926" i="3"/>
  <c r="J2926" i="3" s="1"/>
  <c r="G2926" i="3"/>
  <c r="H2926" i="3" s="1"/>
  <c r="I2925" i="3"/>
  <c r="J2925" i="3" s="1"/>
  <c r="G2925" i="3"/>
  <c r="H2925" i="3" s="1"/>
  <c r="I2917" i="3"/>
  <c r="J2917" i="3" s="1"/>
  <c r="G2917" i="3"/>
  <c r="H2917" i="3" s="1"/>
  <c r="I2916" i="3"/>
  <c r="J2916" i="3" s="1"/>
  <c r="G2916" i="3"/>
  <c r="H2916" i="3" s="1"/>
  <c r="I2915" i="3"/>
  <c r="J2915" i="3" s="1"/>
  <c r="G2915" i="3"/>
  <c r="H2915" i="3" s="1"/>
  <c r="I2914" i="3"/>
  <c r="J2914" i="3" s="1"/>
  <c r="G2914" i="3"/>
  <c r="H2914" i="3" s="1"/>
  <c r="I2913" i="3"/>
  <c r="J2913" i="3" s="1"/>
  <c r="G2913" i="3"/>
  <c r="H2913" i="3" s="1"/>
  <c r="I2912" i="3"/>
  <c r="J2912" i="3" s="1"/>
  <c r="G2912" i="3"/>
  <c r="H2912" i="3" s="1"/>
  <c r="I2906" i="3"/>
  <c r="J2906" i="3" s="1"/>
  <c r="G2906" i="3"/>
  <c r="H2906" i="3" s="1"/>
  <c r="I2905" i="3"/>
  <c r="J2905" i="3" s="1"/>
  <c r="G2905" i="3"/>
  <c r="H2905" i="3" s="1"/>
  <c r="I2897" i="3"/>
  <c r="J2897" i="3" s="1"/>
  <c r="G2897" i="3"/>
  <c r="H2897" i="3" s="1"/>
  <c r="I2896" i="3"/>
  <c r="J2896" i="3" s="1"/>
  <c r="G2896" i="3"/>
  <c r="H2896" i="3" s="1"/>
  <c r="I2888" i="3"/>
  <c r="J2888" i="3" s="1"/>
  <c r="G2888" i="3"/>
  <c r="H2888" i="3" s="1"/>
  <c r="I2887" i="3"/>
  <c r="J2887" i="3" s="1"/>
  <c r="G2887" i="3"/>
  <c r="H2887" i="3" s="1"/>
  <c r="I2879" i="3"/>
  <c r="J2879" i="3" s="1"/>
  <c r="G2879" i="3"/>
  <c r="H2879" i="3" s="1"/>
  <c r="I2870" i="3"/>
  <c r="J2870" i="3" s="1"/>
  <c r="G2870" i="3"/>
  <c r="H2870" i="3" s="1"/>
  <c r="I2862" i="3"/>
  <c r="J2862" i="3" s="1"/>
  <c r="G2862" i="3"/>
  <c r="H2862" i="3" s="1"/>
  <c r="I2854" i="3"/>
  <c r="J2854" i="3" s="1"/>
  <c r="G2854" i="3"/>
  <c r="H2854" i="3" s="1"/>
  <c r="I2846" i="3"/>
  <c r="J2846" i="3" s="1"/>
  <c r="G2846" i="3"/>
  <c r="H2846" i="3" s="1"/>
  <c r="I2838" i="3"/>
  <c r="J2838" i="3" s="1"/>
  <c r="G2838" i="3"/>
  <c r="H2838" i="3" s="1"/>
  <c r="I2830" i="3"/>
  <c r="J2830" i="3" s="1"/>
  <c r="G2830" i="3"/>
  <c r="H2830" i="3" s="1"/>
  <c r="I2822" i="3"/>
  <c r="J2822" i="3" s="1"/>
  <c r="G2822" i="3"/>
  <c r="H2822" i="3" s="1"/>
  <c r="I2814" i="3"/>
  <c r="J2814" i="3" s="1"/>
  <c r="G2814" i="3"/>
  <c r="H2814" i="3" s="1"/>
  <c r="I2806" i="3"/>
  <c r="J2806" i="3" s="1"/>
  <c r="G2806" i="3"/>
  <c r="H2806" i="3" s="1"/>
  <c r="I2798" i="3"/>
  <c r="J2798" i="3" s="1"/>
  <c r="G2798" i="3"/>
  <c r="H2798" i="3" s="1"/>
  <c r="I2790" i="3"/>
  <c r="J2790" i="3" s="1"/>
  <c r="G2790" i="3"/>
  <c r="H2790" i="3" s="1"/>
  <c r="I2782" i="3"/>
  <c r="J2782" i="3" s="1"/>
  <c r="G2782" i="3"/>
  <c r="H2782" i="3" s="1"/>
  <c r="I2774" i="3"/>
  <c r="J2774" i="3" s="1"/>
  <c r="G2774" i="3"/>
  <c r="H2774" i="3" s="1"/>
  <c r="I2766" i="3"/>
  <c r="J2766" i="3" s="1"/>
  <c r="G2766" i="3"/>
  <c r="H2766" i="3" s="1"/>
  <c r="I2758" i="3"/>
  <c r="J2758" i="3" s="1"/>
  <c r="G2758" i="3"/>
  <c r="H2758" i="3" s="1"/>
  <c r="I2750" i="3"/>
  <c r="J2750" i="3" s="1"/>
  <c r="G2750" i="3"/>
  <c r="H2750" i="3" s="1"/>
  <c r="I2742" i="3"/>
  <c r="J2742" i="3" s="1"/>
  <c r="G2742" i="3"/>
  <c r="H2742" i="3" s="1"/>
  <c r="I2741" i="3"/>
  <c r="J2741" i="3" s="1"/>
  <c r="G2741" i="3"/>
  <c r="H2741" i="3" s="1"/>
  <c r="I2739" i="3"/>
  <c r="J2739" i="3" s="1"/>
  <c r="G2739" i="3"/>
  <c r="H2739" i="3" s="1"/>
  <c r="I2732" i="3"/>
  <c r="J2732" i="3" s="1"/>
  <c r="G2732" i="3"/>
  <c r="H2732" i="3" s="1"/>
  <c r="I2731" i="3"/>
  <c r="J2731" i="3" s="1"/>
  <c r="G2731" i="3"/>
  <c r="H2731" i="3" s="1"/>
  <c r="I2729" i="3"/>
  <c r="J2729" i="3" s="1"/>
  <c r="G2729" i="3"/>
  <c r="H2729" i="3" s="1"/>
  <c r="I2722" i="3"/>
  <c r="J2722" i="3" s="1"/>
  <c r="G2722" i="3"/>
  <c r="H2722" i="3" s="1"/>
  <c r="I2721" i="3"/>
  <c r="J2721" i="3" s="1"/>
  <c r="G2721" i="3"/>
  <c r="H2721" i="3" s="1"/>
  <c r="I2713" i="3"/>
  <c r="J2713" i="3" s="1"/>
  <c r="G2713" i="3"/>
  <c r="H2713" i="3" s="1"/>
  <c r="I2712" i="3"/>
  <c r="J2712" i="3" s="1"/>
  <c r="G2712" i="3"/>
  <c r="H2712" i="3" s="1"/>
  <c r="I2711" i="3"/>
  <c r="J2711" i="3" s="1"/>
  <c r="G2711" i="3"/>
  <c r="H2711" i="3" s="1"/>
  <c r="I2710" i="3"/>
  <c r="J2710" i="3" s="1"/>
  <c r="G2710" i="3"/>
  <c r="H2710" i="3" s="1"/>
  <c r="I2709" i="3"/>
  <c r="J2709" i="3" s="1"/>
  <c r="G2709" i="3"/>
  <c r="H2709" i="3" s="1"/>
  <c r="I2708" i="3"/>
  <c r="J2708" i="3" s="1"/>
  <c r="G2708" i="3"/>
  <c r="H2708" i="3" s="1"/>
  <c r="I2706" i="3"/>
  <c r="J2706" i="3" s="1"/>
  <c r="G2706" i="3"/>
  <c r="H2706" i="3" s="1"/>
  <c r="I2705" i="3"/>
  <c r="J2705" i="3" s="1"/>
  <c r="G2705" i="3"/>
  <c r="H2705" i="3" s="1"/>
  <c r="I2704" i="3"/>
  <c r="J2704" i="3" s="1"/>
  <c r="G2704" i="3"/>
  <c r="H2704" i="3" s="1"/>
  <c r="I2703" i="3"/>
  <c r="J2703" i="3" s="1"/>
  <c r="G2703" i="3"/>
  <c r="H2703" i="3" s="1"/>
  <c r="I2702" i="3"/>
  <c r="J2702" i="3" s="1"/>
  <c r="G2702" i="3"/>
  <c r="H2702" i="3" s="1"/>
  <c r="I2701" i="3"/>
  <c r="J2701" i="3" s="1"/>
  <c r="G2701" i="3"/>
  <c r="H2701" i="3" s="1"/>
  <c r="I2700" i="3"/>
  <c r="J2700" i="3" s="1"/>
  <c r="G2700" i="3"/>
  <c r="H2700" i="3" s="1"/>
  <c r="I2693" i="3"/>
  <c r="J2693" i="3" s="1"/>
  <c r="G2693" i="3"/>
  <c r="H2693" i="3" s="1"/>
  <c r="I2692" i="3"/>
  <c r="J2692" i="3" s="1"/>
  <c r="G2692" i="3"/>
  <c r="H2692" i="3" s="1"/>
  <c r="I2691" i="3"/>
  <c r="J2691" i="3" s="1"/>
  <c r="G2691" i="3"/>
  <c r="H2691" i="3" s="1"/>
  <c r="I2684" i="3"/>
  <c r="J2684" i="3" s="1"/>
  <c r="G2684" i="3"/>
  <c r="H2684" i="3" s="1"/>
  <c r="I2683" i="3"/>
  <c r="J2683" i="3" s="1"/>
  <c r="G2683" i="3"/>
  <c r="H2683" i="3" s="1"/>
  <c r="I2682" i="3"/>
  <c r="J2682" i="3" s="1"/>
  <c r="G2682" i="3"/>
  <c r="H2682" i="3" s="1"/>
  <c r="I2675" i="3"/>
  <c r="J2675" i="3" s="1"/>
  <c r="G2675" i="3"/>
  <c r="H2675" i="3" s="1"/>
  <c r="I2674" i="3"/>
  <c r="J2674" i="3" s="1"/>
  <c r="G2674" i="3"/>
  <c r="H2674" i="3" s="1"/>
  <c r="I2673" i="3"/>
  <c r="J2673" i="3" s="1"/>
  <c r="G2673" i="3"/>
  <c r="H2673" i="3" s="1"/>
  <c r="I2666" i="3"/>
  <c r="J2666" i="3" s="1"/>
  <c r="G2666" i="3"/>
  <c r="H2666" i="3" s="1"/>
  <c r="I2665" i="3"/>
  <c r="J2665" i="3" s="1"/>
  <c r="G2665" i="3"/>
  <c r="H2665" i="3" s="1"/>
  <c r="I2664" i="3"/>
  <c r="J2664" i="3" s="1"/>
  <c r="G2664" i="3"/>
  <c r="H2664" i="3" s="1"/>
  <c r="I2663" i="3"/>
  <c r="J2663" i="3" s="1"/>
  <c r="G2663" i="3"/>
  <c r="H2663" i="3" s="1"/>
  <c r="I2656" i="3"/>
  <c r="J2656" i="3" s="1"/>
  <c r="G2656" i="3"/>
  <c r="H2656" i="3" s="1"/>
  <c r="I2655" i="3"/>
  <c r="J2655" i="3" s="1"/>
  <c r="G2655" i="3"/>
  <c r="H2655" i="3" s="1"/>
  <c r="I2647" i="3"/>
  <c r="J2647" i="3" s="1"/>
  <c r="G2647" i="3"/>
  <c r="H2647" i="3" s="1"/>
  <c r="I2646" i="3"/>
  <c r="J2646" i="3" s="1"/>
  <c r="G2646" i="3"/>
  <c r="H2646" i="3" s="1"/>
  <c r="I2638" i="3"/>
  <c r="J2638" i="3" s="1"/>
  <c r="G2638" i="3"/>
  <c r="H2638" i="3" s="1"/>
  <c r="I2637" i="3"/>
  <c r="J2637" i="3" s="1"/>
  <c r="G2637" i="3"/>
  <c r="H2637" i="3" s="1"/>
  <c r="I2629" i="3"/>
  <c r="J2629" i="3" s="1"/>
  <c r="G2629" i="3"/>
  <c r="H2629" i="3" s="1"/>
  <c r="I2628" i="3"/>
  <c r="J2628" i="3" s="1"/>
  <c r="G2628" i="3"/>
  <c r="H2628" i="3" s="1"/>
  <c r="I2595" i="3"/>
  <c r="J2595" i="3" s="1"/>
  <c r="G2595" i="3"/>
  <c r="H2595" i="3" s="1"/>
  <c r="I2594" i="3"/>
  <c r="J2594" i="3" s="1"/>
  <c r="G2594" i="3"/>
  <c r="H2594" i="3" s="1"/>
  <c r="I2593" i="3"/>
  <c r="J2593" i="3" s="1"/>
  <c r="G2593" i="3"/>
  <c r="H2593" i="3" s="1"/>
  <c r="I2592" i="3"/>
  <c r="G2592" i="3"/>
  <c r="I2591" i="3"/>
  <c r="J2591" i="3" s="1"/>
  <c r="G2591" i="3"/>
  <c r="H2591" i="3" s="1"/>
  <c r="I2590" i="3"/>
  <c r="G2590" i="3"/>
  <c r="I2589" i="3"/>
  <c r="J2589" i="3" s="1"/>
  <c r="G2589" i="3"/>
  <c r="H2589" i="3" s="1"/>
  <c r="I2588" i="3"/>
  <c r="J2588" i="3" s="1"/>
  <c r="G2588" i="3"/>
  <c r="H2588" i="3" s="1"/>
  <c r="I2582" i="3"/>
  <c r="J2582" i="3" s="1"/>
  <c r="G2582" i="3"/>
  <c r="H2582" i="3" s="1"/>
  <c r="I2581" i="3"/>
  <c r="J2581" i="3" s="1"/>
  <c r="G2581" i="3"/>
  <c r="H2581" i="3" s="1"/>
  <c r="I2580" i="3"/>
  <c r="G2580" i="3"/>
  <c r="I2579" i="3"/>
  <c r="J2579" i="3" s="1"/>
  <c r="G2579" i="3"/>
  <c r="H2579" i="3" s="1"/>
  <c r="I2578" i="3"/>
  <c r="G2578" i="3"/>
  <c r="I2577" i="3"/>
  <c r="J2577" i="3" s="1"/>
  <c r="G2577" i="3"/>
  <c r="H2577" i="3" s="1"/>
  <c r="I2576" i="3"/>
  <c r="J2576" i="3" s="1"/>
  <c r="G2576" i="3"/>
  <c r="H2576" i="3" s="1"/>
  <c r="I2570" i="3"/>
  <c r="J2570" i="3" s="1"/>
  <c r="G2570" i="3"/>
  <c r="H2570" i="3" s="1"/>
  <c r="I2569" i="3"/>
  <c r="J2569" i="3" s="1"/>
  <c r="G2569" i="3"/>
  <c r="H2569" i="3" s="1"/>
  <c r="I2563" i="3"/>
  <c r="G2563" i="3"/>
  <c r="I2562" i="3"/>
  <c r="J2562" i="3" s="1"/>
  <c r="G2562" i="3"/>
  <c r="H2562" i="3" s="1"/>
  <c r="I2561" i="3"/>
  <c r="J2561" i="3" s="1"/>
  <c r="G2561" i="3"/>
  <c r="H2561" i="3" s="1"/>
  <c r="I2549" i="3"/>
  <c r="J2549" i="3" s="1"/>
  <c r="G2549" i="3"/>
  <c r="H2549" i="3" s="1"/>
  <c r="I2543" i="3"/>
  <c r="J2543" i="3" s="1"/>
  <c r="G2543" i="3"/>
  <c r="H2543" i="3" s="1"/>
  <c r="I2542" i="3"/>
  <c r="J2542" i="3" s="1"/>
  <c r="G2542" i="3"/>
  <c r="H2542" i="3" s="1"/>
  <c r="I2541" i="3"/>
  <c r="J2541" i="3" s="1"/>
  <c r="G2541" i="3"/>
  <c r="H2541" i="3" s="1"/>
  <c r="I2540" i="3"/>
  <c r="J2540" i="3" s="1"/>
  <c r="G2540" i="3"/>
  <c r="H2540" i="3" s="1"/>
  <c r="I2534" i="3"/>
  <c r="J2534" i="3" s="1"/>
  <c r="G2534" i="3"/>
  <c r="H2534" i="3" s="1"/>
  <c r="I2533" i="3"/>
  <c r="J2533" i="3" s="1"/>
  <c r="G2533" i="3"/>
  <c r="H2533" i="3" s="1"/>
  <c r="I2532" i="3"/>
  <c r="J2532" i="3" s="1"/>
  <c r="G2532" i="3"/>
  <c r="H2532" i="3" s="1"/>
  <c r="I2531" i="3"/>
  <c r="J2531" i="3" s="1"/>
  <c r="G2531" i="3"/>
  <c r="H2531" i="3" s="1"/>
  <c r="I2525" i="3"/>
  <c r="J2525" i="3" s="1"/>
  <c r="G2525" i="3"/>
  <c r="H2525" i="3" s="1"/>
  <c r="I2524" i="3"/>
  <c r="J2524" i="3" s="1"/>
  <c r="G2524" i="3"/>
  <c r="H2524" i="3" s="1"/>
  <c r="I2523" i="3"/>
  <c r="J2523" i="3" s="1"/>
  <c r="G2523" i="3"/>
  <c r="H2523" i="3" s="1"/>
  <c r="I2517" i="3"/>
  <c r="G2517" i="3"/>
  <c r="I2516" i="3"/>
  <c r="J2516" i="3" s="1"/>
  <c r="G2516" i="3"/>
  <c r="H2516" i="3" s="1"/>
  <c r="I2515" i="3"/>
  <c r="J2515" i="3" s="1"/>
  <c r="G2515" i="3"/>
  <c r="H2515" i="3" s="1"/>
  <c r="I2503" i="3"/>
  <c r="J2503" i="3" s="1"/>
  <c r="G2503" i="3"/>
  <c r="H2503" i="3" s="1"/>
  <c r="I2497" i="3"/>
  <c r="G2497" i="3"/>
  <c r="I2496" i="3"/>
  <c r="J2496" i="3" s="1"/>
  <c r="G2496" i="3"/>
  <c r="H2496" i="3" s="1"/>
  <c r="I2495" i="3"/>
  <c r="J2495" i="3" s="1"/>
  <c r="G2495" i="3"/>
  <c r="H2495" i="3" s="1"/>
  <c r="I2483" i="3"/>
  <c r="J2483" i="3" s="1"/>
  <c r="G2483" i="3"/>
  <c r="H2483" i="3" s="1"/>
  <c r="I2477" i="3"/>
  <c r="G2477" i="3"/>
  <c r="I2476" i="3"/>
  <c r="J2476" i="3" s="1"/>
  <c r="G2476" i="3"/>
  <c r="H2476" i="3" s="1"/>
  <c r="I2475" i="3"/>
  <c r="J2475" i="3" s="1"/>
  <c r="G2475" i="3"/>
  <c r="H2475" i="3" s="1"/>
  <c r="I2463" i="3"/>
  <c r="J2463" i="3" s="1"/>
  <c r="G2463" i="3"/>
  <c r="H2463" i="3" s="1"/>
  <c r="I2457" i="3"/>
  <c r="G2457" i="3"/>
  <c r="I2456" i="3"/>
  <c r="J2456" i="3" s="1"/>
  <c r="G2456" i="3"/>
  <c r="H2456" i="3" s="1"/>
  <c r="I2455" i="3"/>
  <c r="J2455" i="3" s="1"/>
  <c r="G2455" i="3"/>
  <c r="H2455" i="3" s="1"/>
  <c r="I2443" i="3"/>
  <c r="J2443" i="3" s="1"/>
  <c r="G2443" i="3"/>
  <c r="H2443" i="3" s="1"/>
  <c r="I2437" i="3"/>
  <c r="G2437" i="3"/>
  <c r="I2436" i="3"/>
  <c r="J2436" i="3" s="1"/>
  <c r="G2436" i="3"/>
  <c r="H2436" i="3" s="1"/>
  <c r="I2435" i="3"/>
  <c r="J2435" i="3" s="1"/>
  <c r="G2435" i="3"/>
  <c r="H2435" i="3" s="1"/>
  <c r="I2423" i="3"/>
  <c r="J2423" i="3" s="1"/>
  <c r="G2423" i="3"/>
  <c r="H2423" i="3" s="1"/>
  <c r="I2417" i="3"/>
  <c r="G2417" i="3"/>
  <c r="I2416" i="3"/>
  <c r="J2416" i="3" s="1"/>
  <c r="G2416" i="3"/>
  <c r="H2416" i="3" s="1"/>
  <c r="I2415" i="3"/>
  <c r="J2415" i="3" s="1"/>
  <c r="G2415" i="3"/>
  <c r="H2415" i="3" s="1"/>
  <c r="I2403" i="3"/>
  <c r="J2403" i="3" s="1"/>
  <c r="G2403" i="3"/>
  <c r="H2403" i="3" s="1"/>
  <c r="I2397" i="3"/>
  <c r="G2397" i="3"/>
  <c r="I2396" i="3"/>
  <c r="J2396" i="3" s="1"/>
  <c r="G2396" i="3"/>
  <c r="H2396" i="3" s="1"/>
  <c r="I2395" i="3"/>
  <c r="J2395" i="3" s="1"/>
  <c r="G2395" i="3"/>
  <c r="H2395" i="3" s="1"/>
  <c r="I2383" i="3"/>
  <c r="J2383" i="3" s="1"/>
  <c r="G2383" i="3"/>
  <c r="H2383" i="3" s="1"/>
  <c r="I2377" i="3"/>
  <c r="G2377" i="3"/>
  <c r="I2376" i="3"/>
  <c r="J2376" i="3" s="1"/>
  <c r="G2376" i="3"/>
  <c r="H2376" i="3" s="1"/>
  <c r="I2375" i="3"/>
  <c r="J2375" i="3" s="1"/>
  <c r="G2375" i="3"/>
  <c r="H2375" i="3" s="1"/>
  <c r="I2363" i="3"/>
  <c r="J2363" i="3" s="1"/>
  <c r="G2363" i="3"/>
  <c r="H2363" i="3" s="1"/>
  <c r="I2357" i="3"/>
  <c r="G2357" i="3"/>
  <c r="I2356" i="3"/>
  <c r="J2356" i="3" s="1"/>
  <c r="G2356" i="3"/>
  <c r="H2356" i="3" s="1"/>
  <c r="I2355" i="3"/>
  <c r="J2355" i="3" s="1"/>
  <c r="G2355" i="3"/>
  <c r="H2355" i="3" s="1"/>
  <c r="I2343" i="3"/>
  <c r="J2343" i="3" s="1"/>
  <c r="G2343" i="3"/>
  <c r="H2343" i="3" s="1"/>
  <c r="I2337" i="3"/>
  <c r="J2337" i="3" s="1"/>
  <c r="G2337" i="3"/>
  <c r="H2337" i="3" s="1"/>
  <c r="I2336" i="3"/>
  <c r="J2336" i="3" s="1"/>
  <c r="G2336" i="3"/>
  <c r="H2336" i="3" s="1"/>
  <c r="I2335" i="3"/>
  <c r="G2335" i="3"/>
  <c r="I2334" i="3"/>
  <c r="J2334" i="3" s="1"/>
  <c r="G2334" i="3"/>
  <c r="H2334" i="3" s="1"/>
  <c r="I2333" i="3"/>
  <c r="G2333" i="3"/>
  <c r="I2332" i="3"/>
  <c r="J2332" i="3" s="1"/>
  <c r="G2332" i="3"/>
  <c r="H2332" i="3" s="1"/>
  <c r="I2326" i="3"/>
  <c r="J2326" i="3" s="1"/>
  <c r="G2326" i="3"/>
  <c r="H2326" i="3" s="1"/>
  <c r="I2325" i="3"/>
  <c r="J2325" i="3" s="1"/>
  <c r="G2325" i="3"/>
  <c r="H2325" i="3" s="1"/>
  <c r="I2324" i="3"/>
  <c r="G2324" i="3"/>
  <c r="I2323" i="3"/>
  <c r="J2323" i="3" s="1"/>
  <c r="G2323" i="3"/>
  <c r="H2323" i="3" s="1"/>
  <c r="I2322" i="3"/>
  <c r="G2322" i="3"/>
  <c r="I2321" i="3"/>
  <c r="J2321" i="3" s="1"/>
  <c r="G2321" i="3"/>
  <c r="H2321" i="3" s="1"/>
  <c r="I2315" i="3"/>
  <c r="J2315" i="3" s="1"/>
  <c r="G2315" i="3"/>
  <c r="H2315" i="3" s="1"/>
  <c r="I2314" i="3"/>
  <c r="J2314" i="3" s="1"/>
  <c r="G2314" i="3"/>
  <c r="H2314" i="3" s="1"/>
  <c r="I2313" i="3"/>
  <c r="J2313" i="3" s="1"/>
  <c r="G2313" i="3"/>
  <c r="H2313" i="3" s="1"/>
  <c r="I2312" i="3"/>
  <c r="J2312" i="3" s="1"/>
  <c r="G2312" i="3"/>
  <c r="H2312" i="3" s="1"/>
  <c r="I2311" i="3"/>
  <c r="J2311" i="3" s="1"/>
  <c r="G2311" i="3"/>
  <c r="H2311" i="3" s="1"/>
  <c r="I2310" i="3"/>
  <c r="G2310" i="3"/>
  <c r="I2307" i="3"/>
  <c r="G2307" i="3"/>
  <c r="I2306" i="3"/>
  <c r="G2306" i="3"/>
  <c r="I2305" i="3"/>
  <c r="J2305" i="3" s="1"/>
  <c r="G2305" i="3"/>
  <c r="H2305" i="3" s="1"/>
  <c r="I2298" i="3"/>
  <c r="J2298" i="3" s="1"/>
  <c r="G2298" i="3"/>
  <c r="H2298" i="3" s="1"/>
  <c r="I2297" i="3"/>
  <c r="J2297" i="3" s="1"/>
  <c r="G2297" i="3"/>
  <c r="H2297" i="3" s="1"/>
  <c r="I2296" i="3"/>
  <c r="J2296" i="3" s="1"/>
  <c r="G2296" i="3"/>
  <c r="H2296" i="3" s="1"/>
  <c r="I2295" i="3"/>
  <c r="J2295" i="3" s="1"/>
  <c r="G2295" i="3"/>
  <c r="H2295" i="3" s="1"/>
  <c r="I2294" i="3"/>
  <c r="J2294" i="3" s="1"/>
  <c r="G2294" i="3"/>
  <c r="H2294" i="3" s="1"/>
  <c r="I2293" i="3"/>
  <c r="J2293" i="3" s="1"/>
  <c r="G2293" i="3"/>
  <c r="H2293" i="3" s="1"/>
  <c r="I2292" i="3"/>
  <c r="J2292" i="3" s="1"/>
  <c r="G2292" i="3"/>
  <c r="H2292" i="3" s="1"/>
  <c r="I2286" i="3"/>
  <c r="J2286" i="3" s="1"/>
  <c r="G2286" i="3"/>
  <c r="H2286" i="3" s="1"/>
  <c r="I2285" i="3"/>
  <c r="J2285" i="3" s="1"/>
  <c r="G2285" i="3"/>
  <c r="H2285" i="3" s="1"/>
  <c r="I2284" i="3"/>
  <c r="G2284" i="3"/>
  <c r="I2283" i="3"/>
  <c r="G2283" i="3"/>
  <c r="I2276" i="3"/>
  <c r="J2276" i="3" s="1"/>
  <c r="G2276" i="3"/>
  <c r="H2276" i="3" s="1"/>
  <c r="I2275" i="3"/>
  <c r="J2275" i="3" s="1"/>
  <c r="G2275" i="3"/>
  <c r="H2275" i="3" s="1"/>
  <c r="I2274" i="3"/>
  <c r="G2274" i="3"/>
  <c r="I2273" i="3"/>
  <c r="J2273" i="3" s="1"/>
  <c r="G2273" i="3"/>
  <c r="H2273" i="3" s="1"/>
  <c r="I2272" i="3"/>
  <c r="G2272" i="3"/>
  <c r="I2271" i="3"/>
  <c r="J2271" i="3" s="1"/>
  <c r="G2271" i="3"/>
  <c r="H2271" i="3" s="1"/>
  <c r="I2265" i="3"/>
  <c r="J2265" i="3" s="1"/>
  <c r="G2265" i="3"/>
  <c r="H2265" i="3" s="1"/>
  <c r="I2264" i="3"/>
  <c r="J2264" i="3" s="1"/>
  <c r="G2264" i="3"/>
  <c r="H2264" i="3" s="1"/>
  <c r="I2263" i="3"/>
  <c r="G2263" i="3"/>
  <c r="I2262" i="3"/>
  <c r="J2262" i="3" s="1"/>
  <c r="G2262" i="3"/>
  <c r="H2262" i="3" s="1"/>
  <c r="I2261" i="3"/>
  <c r="G2261" i="3"/>
  <c r="I2260" i="3"/>
  <c r="J2260" i="3" s="1"/>
  <c r="G2260" i="3"/>
  <c r="H2260" i="3" s="1"/>
  <c r="I2254" i="3"/>
  <c r="J2254" i="3" s="1"/>
  <c r="G2254" i="3"/>
  <c r="H2254" i="3" s="1"/>
  <c r="I2253" i="3"/>
  <c r="J2253" i="3" s="1"/>
  <c r="G2253" i="3"/>
  <c r="H2253" i="3" s="1"/>
  <c r="I2252" i="3"/>
  <c r="G2252" i="3"/>
  <c r="I2251" i="3"/>
  <c r="J2251" i="3" s="1"/>
  <c r="G2251" i="3"/>
  <c r="H2251" i="3" s="1"/>
  <c r="I2250" i="3"/>
  <c r="G2250" i="3"/>
  <c r="I2249" i="3"/>
  <c r="J2249" i="3" s="1"/>
  <c r="G2249" i="3"/>
  <c r="H2249" i="3" s="1"/>
  <c r="I2242" i="3"/>
  <c r="J2242" i="3" s="1"/>
  <c r="G2242" i="3"/>
  <c r="H2242" i="3" s="1"/>
  <c r="I2241" i="3"/>
  <c r="J2241" i="3" s="1"/>
  <c r="G2241" i="3"/>
  <c r="H2241" i="3" s="1"/>
  <c r="I2240" i="3"/>
  <c r="G2240" i="3"/>
  <c r="I2239" i="3"/>
  <c r="J2239" i="3" s="1"/>
  <c r="G2239" i="3"/>
  <c r="H2239" i="3" s="1"/>
  <c r="I2238" i="3"/>
  <c r="G2238" i="3"/>
  <c r="I2237" i="3"/>
  <c r="J2237" i="3" s="1"/>
  <c r="G2237" i="3"/>
  <c r="H2237" i="3" s="1"/>
  <c r="I2230" i="3"/>
  <c r="J2230" i="3" s="1"/>
  <c r="G2230" i="3"/>
  <c r="H2230" i="3" s="1"/>
  <c r="I2223" i="3"/>
  <c r="J2223" i="3" s="1"/>
  <c r="G2223" i="3"/>
  <c r="H2223" i="3" s="1"/>
  <c r="I2222" i="3"/>
  <c r="J2222" i="3" s="1"/>
  <c r="G2222" i="3"/>
  <c r="H2222" i="3" s="1"/>
  <c r="I2221" i="3"/>
  <c r="J2221" i="3" s="1"/>
  <c r="G2221" i="3"/>
  <c r="H2221" i="3" s="1"/>
  <c r="I2220" i="3"/>
  <c r="J2220" i="3" s="1"/>
  <c r="G2220" i="3"/>
  <c r="H2220" i="3" s="1"/>
  <c r="I2213" i="3"/>
  <c r="J2213" i="3" s="1"/>
  <c r="G2213" i="3"/>
  <c r="H2213" i="3" s="1"/>
  <c r="I2212" i="3"/>
  <c r="J2212" i="3" s="1"/>
  <c r="G2212" i="3"/>
  <c r="H2212" i="3" s="1"/>
  <c r="I2211" i="3"/>
  <c r="J2211" i="3" s="1"/>
  <c r="G2211" i="3"/>
  <c r="H2211" i="3" s="1"/>
  <c r="I2210" i="3"/>
  <c r="J2210" i="3" s="1"/>
  <c r="G2210" i="3"/>
  <c r="H2210" i="3" s="1"/>
  <c r="I2209" i="3"/>
  <c r="J2209" i="3" s="1"/>
  <c r="G2209" i="3"/>
  <c r="H2209" i="3" s="1"/>
  <c r="I2208" i="3"/>
  <c r="J2208" i="3" s="1"/>
  <c r="G2208" i="3"/>
  <c r="H2208" i="3" s="1"/>
  <c r="I2207" i="3"/>
  <c r="J2207" i="3" s="1"/>
  <c r="G2207" i="3"/>
  <c r="H2207" i="3" s="1"/>
  <c r="I2200" i="3"/>
  <c r="J2200" i="3" s="1"/>
  <c r="G2200" i="3"/>
  <c r="H2200" i="3" s="1"/>
  <c r="I2199" i="3"/>
  <c r="J2199" i="3" s="1"/>
  <c r="G2199" i="3"/>
  <c r="H2199" i="3" s="1"/>
  <c r="I2198" i="3"/>
  <c r="G2198" i="3"/>
  <c r="I2197" i="3"/>
  <c r="G2197" i="3"/>
  <c r="I2196" i="3"/>
  <c r="G2196" i="3"/>
  <c r="I2195" i="3"/>
  <c r="J2195" i="3" s="1"/>
  <c r="G2195" i="3"/>
  <c r="H2195" i="3" s="1"/>
  <c r="I2189" i="3"/>
  <c r="J2189" i="3" s="1"/>
  <c r="G2189" i="3"/>
  <c r="H2189" i="3" s="1"/>
  <c r="I2188" i="3"/>
  <c r="J2188" i="3" s="1"/>
  <c r="G2188" i="3"/>
  <c r="H2188" i="3" s="1"/>
  <c r="I2187" i="3"/>
  <c r="J2187" i="3" s="1"/>
  <c r="G2187" i="3"/>
  <c r="H2187" i="3" s="1"/>
  <c r="I2186" i="3"/>
  <c r="J2186" i="3" s="1"/>
  <c r="G2186" i="3"/>
  <c r="H2186" i="3" s="1"/>
  <c r="I2178" i="3"/>
  <c r="J2178" i="3" s="1"/>
  <c r="G2178" i="3"/>
  <c r="H2178" i="3" s="1"/>
  <c r="I2177" i="3"/>
  <c r="J2177" i="3" s="1"/>
  <c r="G2177" i="3"/>
  <c r="H2177" i="3" s="1"/>
  <c r="I2176" i="3"/>
  <c r="J2176" i="3" s="1"/>
  <c r="G2176" i="3"/>
  <c r="H2176" i="3" s="1"/>
  <c r="I2175" i="3"/>
  <c r="J2175" i="3" s="1"/>
  <c r="G2175" i="3"/>
  <c r="H2175" i="3" s="1"/>
  <c r="I2168" i="3"/>
  <c r="J2168" i="3" s="1"/>
  <c r="G2168" i="3"/>
  <c r="H2168" i="3" s="1"/>
  <c r="I2167" i="3"/>
  <c r="J2167" i="3" s="1"/>
  <c r="G2167" i="3"/>
  <c r="H2167" i="3" s="1"/>
  <c r="I2166" i="3"/>
  <c r="J2166" i="3" s="1"/>
  <c r="G2166" i="3"/>
  <c r="H2166" i="3" s="1"/>
  <c r="I2165" i="3"/>
  <c r="J2165" i="3" s="1"/>
  <c r="G2165" i="3"/>
  <c r="H2165" i="3" s="1"/>
  <c r="I2164" i="3"/>
  <c r="J2164" i="3" s="1"/>
  <c r="G2164" i="3"/>
  <c r="H2164" i="3" s="1"/>
  <c r="I2163" i="3"/>
  <c r="J2163" i="3" s="1"/>
  <c r="G2163" i="3"/>
  <c r="H2163" i="3" s="1"/>
  <c r="I2156" i="3"/>
  <c r="J2156" i="3" s="1"/>
  <c r="G2156" i="3"/>
  <c r="H2156" i="3" s="1"/>
  <c r="I2155" i="3"/>
  <c r="J2155" i="3" s="1"/>
  <c r="G2155" i="3"/>
  <c r="H2155" i="3" s="1"/>
  <c r="I2154" i="3"/>
  <c r="J2154" i="3" s="1"/>
  <c r="G2154" i="3"/>
  <c r="H2154" i="3" s="1"/>
  <c r="I2153" i="3"/>
  <c r="J2153" i="3" s="1"/>
  <c r="G2153" i="3"/>
  <c r="H2153" i="3" s="1"/>
  <c r="I2152" i="3"/>
  <c r="J2152" i="3" s="1"/>
  <c r="G2152" i="3"/>
  <c r="H2152" i="3" s="1"/>
  <c r="I2151" i="3"/>
  <c r="J2151" i="3" s="1"/>
  <c r="G2151" i="3"/>
  <c r="H2151" i="3" s="1"/>
  <c r="I2144" i="3"/>
  <c r="J2144" i="3" s="1"/>
  <c r="G2144" i="3"/>
  <c r="H2144" i="3" s="1"/>
  <c r="I2143" i="3"/>
  <c r="J2143" i="3" s="1"/>
  <c r="G2143" i="3"/>
  <c r="H2143" i="3" s="1"/>
  <c r="I2142" i="3"/>
  <c r="J2142" i="3" s="1"/>
  <c r="G2142" i="3"/>
  <c r="H2142" i="3" s="1"/>
  <c r="I2141" i="3"/>
  <c r="J2141" i="3" s="1"/>
  <c r="G2141" i="3"/>
  <c r="H2141" i="3" s="1"/>
  <c r="I2140" i="3"/>
  <c r="J2140" i="3" s="1"/>
  <c r="G2140" i="3"/>
  <c r="H2140" i="3" s="1"/>
  <c r="I2139" i="3"/>
  <c r="J2139" i="3" s="1"/>
  <c r="G2139" i="3"/>
  <c r="H2139" i="3" s="1"/>
  <c r="I2138" i="3"/>
  <c r="J2138" i="3" s="1"/>
  <c r="G2138" i="3"/>
  <c r="H2138" i="3" s="1"/>
  <c r="I2135" i="3"/>
  <c r="J2135" i="3" s="1"/>
  <c r="G2135" i="3"/>
  <c r="H2135" i="3" s="1"/>
  <c r="I2134" i="3"/>
  <c r="J2134" i="3" s="1"/>
  <c r="G2134" i="3"/>
  <c r="H2134" i="3" s="1"/>
  <c r="I2133" i="3"/>
  <c r="J2133" i="3" s="1"/>
  <c r="G2133" i="3"/>
  <c r="H2133" i="3" s="1"/>
  <c r="I2125" i="3"/>
  <c r="J2125" i="3" s="1"/>
  <c r="G2125" i="3"/>
  <c r="H2125" i="3" s="1"/>
  <c r="I2124" i="3"/>
  <c r="J2124" i="3" s="1"/>
  <c r="G2124" i="3"/>
  <c r="H2124" i="3" s="1"/>
  <c r="I2123" i="3"/>
  <c r="J2123" i="3" s="1"/>
  <c r="G2123" i="3"/>
  <c r="H2123" i="3" s="1"/>
  <c r="I2120" i="3"/>
  <c r="J2120" i="3" s="1"/>
  <c r="G2120" i="3"/>
  <c r="H2120" i="3" s="1"/>
  <c r="I2119" i="3"/>
  <c r="J2119" i="3" s="1"/>
  <c r="G2119" i="3"/>
  <c r="H2119" i="3" s="1"/>
  <c r="I2118" i="3"/>
  <c r="J2118" i="3" s="1"/>
  <c r="G2118" i="3"/>
  <c r="H2118" i="3" s="1"/>
  <c r="I2111" i="3"/>
  <c r="J2111" i="3" s="1"/>
  <c r="G2111" i="3"/>
  <c r="H2111" i="3" s="1"/>
  <c r="I2110" i="3"/>
  <c r="J2110" i="3" s="1"/>
  <c r="G2110" i="3"/>
  <c r="H2110" i="3" s="1"/>
  <c r="I2109" i="3"/>
  <c r="J2109" i="3" s="1"/>
  <c r="G2109" i="3"/>
  <c r="H2109" i="3" s="1"/>
  <c r="I2108" i="3"/>
  <c r="J2108" i="3" s="1"/>
  <c r="G2108" i="3"/>
  <c r="H2108" i="3" s="1"/>
  <c r="I2101" i="3"/>
  <c r="J2101" i="3" s="1"/>
  <c r="G2101" i="3"/>
  <c r="H2101" i="3" s="1"/>
  <c r="I2100" i="3"/>
  <c r="J2100" i="3" s="1"/>
  <c r="G2100" i="3"/>
  <c r="H2100" i="3" s="1"/>
  <c r="I2099" i="3"/>
  <c r="J2099" i="3" s="1"/>
  <c r="G2099" i="3"/>
  <c r="H2099" i="3" s="1"/>
  <c r="I2098" i="3"/>
  <c r="J2098" i="3" s="1"/>
  <c r="G2098" i="3"/>
  <c r="H2098" i="3" s="1"/>
  <c r="I2091" i="3"/>
  <c r="J2091" i="3" s="1"/>
  <c r="G2091" i="3"/>
  <c r="H2091" i="3" s="1"/>
  <c r="I2090" i="3"/>
  <c r="J2090" i="3" s="1"/>
  <c r="G2090" i="3"/>
  <c r="H2090" i="3" s="1"/>
  <c r="I2079" i="3"/>
  <c r="J2079" i="3" s="1"/>
  <c r="G2079" i="3"/>
  <c r="H2079" i="3" s="1"/>
  <c r="I2078" i="3"/>
  <c r="J2078" i="3" s="1"/>
  <c r="G2078" i="3"/>
  <c r="H2078" i="3" s="1"/>
  <c r="I2077" i="3"/>
  <c r="J2077" i="3" s="1"/>
  <c r="G2077" i="3"/>
  <c r="H2077" i="3" s="1"/>
  <c r="I2074" i="3"/>
  <c r="J2074" i="3" s="1"/>
  <c r="G2074" i="3"/>
  <c r="H2074" i="3" s="1"/>
  <c r="I2073" i="3"/>
  <c r="J2073" i="3" s="1"/>
  <c r="G2073" i="3"/>
  <c r="H2073" i="3" s="1"/>
  <c r="I2072" i="3"/>
  <c r="J2072" i="3" s="1"/>
  <c r="G2072" i="3"/>
  <c r="H2072" i="3" s="1"/>
  <c r="I2065" i="3"/>
  <c r="J2065" i="3" s="1"/>
  <c r="G2065" i="3"/>
  <c r="H2065" i="3" s="1"/>
  <c r="I2063" i="3"/>
  <c r="J2063" i="3" s="1"/>
  <c r="G2063" i="3"/>
  <c r="H2063" i="3" s="1"/>
  <c r="I2062" i="3"/>
  <c r="J2062" i="3" s="1"/>
  <c r="G2062" i="3"/>
  <c r="H2062" i="3" s="1"/>
  <c r="I2061" i="3"/>
  <c r="J2061" i="3" s="1"/>
  <c r="G2061" i="3"/>
  <c r="H2061" i="3" s="1"/>
  <c r="I2060" i="3"/>
  <c r="J2060" i="3" s="1"/>
  <c r="G2060" i="3"/>
  <c r="H2060" i="3" s="1"/>
  <c r="I2059" i="3"/>
  <c r="J2059" i="3" s="1"/>
  <c r="G2059" i="3"/>
  <c r="H2059" i="3" s="1"/>
  <c r="I2056" i="3"/>
  <c r="J2056" i="3" s="1"/>
  <c r="G2056" i="3"/>
  <c r="H2056" i="3" s="1"/>
  <c r="I2055" i="3"/>
  <c r="J2055" i="3" s="1"/>
  <c r="G2055" i="3"/>
  <c r="H2055" i="3" s="1"/>
  <c r="I2054" i="3"/>
  <c r="J2054" i="3" s="1"/>
  <c r="G2054" i="3"/>
  <c r="H2054" i="3" s="1"/>
  <c r="I2046" i="3"/>
  <c r="J2046" i="3" s="1"/>
  <c r="G2046" i="3"/>
  <c r="H2046" i="3" s="1"/>
  <c r="I2043" i="3"/>
  <c r="J2043" i="3" s="1"/>
  <c r="G2043" i="3"/>
  <c r="H2043" i="3" s="1"/>
  <c r="I2040" i="3"/>
  <c r="J2040" i="3" s="1"/>
  <c r="G2040" i="3"/>
  <c r="H2040" i="3" s="1"/>
  <c r="I2039" i="3"/>
  <c r="J2039" i="3" s="1"/>
  <c r="G2039" i="3"/>
  <c r="H2039" i="3" s="1"/>
  <c r="I2038" i="3"/>
  <c r="J2038" i="3" s="1"/>
  <c r="G2038" i="3"/>
  <c r="H2038" i="3" s="1"/>
  <c r="I2037" i="3"/>
  <c r="J2037" i="3" s="1"/>
  <c r="G2037" i="3"/>
  <c r="H2037" i="3" s="1"/>
  <c r="I2028" i="3"/>
  <c r="J2028" i="3" s="1"/>
  <c r="G2028" i="3"/>
  <c r="H2028" i="3" s="1"/>
  <c r="I2025" i="3"/>
  <c r="J2025" i="3" s="1"/>
  <c r="G2025" i="3"/>
  <c r="H2025" i="3" s="1"/>
  <c r="I2024" i="3"/>
  <c r="J2024" i="3" s="1"/>
  <c r="G2024" i="3"/>
  <c r="H2024" i="3" s="1"/>
  <c r="I2017" i="3"/>
  <c r="J2017" i="3" s="1"/>
  <c r="G2017" i="3"/>
  <c r="H2017" i="3" s="1"/>
  <c r="I2016" i="3"/>
  <c r="J2016" i="3" s="1"/>
  <c r="G2016" i="3"/>
  <c r="H2016" i="3" s="1"/>
  <c r="I2015" i="3"/>
  <c r="J2015" i="3" s="1"/>
  <c r="G2015" i="3"/>
  <c r="H2015" i="3" s="1"/>
  <c r="I2012" i="3"/>
  <c r="J2012" i="3" s="1"/>
  <c r="G2012" i="3"/>
  <c r="H2012" i="3" s="1"/>
  <c r="I2011" i="3"/>
  <c r="J2011" i="3" s="1"/>
  <c r="G2011" i="3"/>
  <c r="H2011" i="3" s="1"/>
  <c r="I2002" i="3"/>
  <c r="J2002" i="3" s="1"/>
  <c r="G2002" i="3"/>
  <c r="H2002" i="3" s="1"/>
  <c r="I1999" i="3"/>
  <c r="J1999" i="3" s="1"/>
  <c r="G1999" i="3"/>
  <c r="H1999" i="3" s="1"/>
  <c r="I1998" i="3"/>
  <c r="J1998" i="3" s="1"/>
  <c r="G1998" i="3"/>
  <c r="H1998" i="3" s="1"/>
  <c r="I1991" i="3"/>
  <c r="J1991" i="3" s="1"/>
  <c r="G1991" i="3"/>
  <c r="H1991" i="3" s="1"/>
  <c r="I1990" i="3"/>
  <c r="J1990" i="3" s="1"/>
  <c r="G1990" i="3"/>
  <c r="H1990" i="3" s="1"/>
  <c r="I1982" i="3"/>
  <c r="J1982" i="3" s="1"/>
  <c r="G1982" i="3"/>
  <c r="H1982" i="3" s="1"/>
  <c r="I1981" i="3"/>
  <c r="J1981" i="3" s="1"/>
  <c r="G1981" i="3"/>
  <c r="H1981" i="3" s="1"/>
  <c r="I1980" i="3"/>
  <c r="J1980" i="3" s="1"/>
  <c r="G1980" i="3"/>
  <c r="H1980" i="3" s="1"/>
  <c r="I1973" i="3"/>
  <c r="J1973" i="3" s="1"/>
  <c r="G1973" i="3"/>
  <c r="H1973" i="3" s="1"/>
  <c r="I1970" i="3"/>
  <c r="J1970" i="3" s="1"/>
  <c r="G1970" i="3"/>
  <c r="H1970" i="3" s="1"/>
  <c r="I1969" i="3"/>
  <c r="J1969" i="3" s="1"/>
  <c r="G1969" i="3"/>
  <c r="H1969" i="3" s="1"/>
  <c r="I1968" i="3"/>
  <c r="J1968" i="3" s="1"/>
  <c r="G1968" i="3"/>
  <c r="H1968" i="3" s="1"/>
  <c r="I1967" i="3"/>
  <c r="J1967" i="3" s="1"/>
  <c r="G1967" i="3"/>
  <c r="H1967" i="3" s="1"/>
  <c r="I1966" i="3"/>
  <c r="J1966" i="3" s="1"/>
  <c r="G1966" i="3"/>
  <c r="H1966" i="3" s="1"/>
  <c r="I1963" i="3"/>
  <c r="G1963" i="3"/>
  <c r="I1962" i="3"/>
  <c r="G1962" i="3"/>
  <c r="I1961" i="3"/>
  <c r="J1961" i="3" s="1"/>
  <c r="G1961" i="3"/>
  <c r="H1961" i="3" s="1"/>
  <c r="I1958" i="3"/>
  <c r="G1958" i="3"/>
  <c r="I1944" i="3"/>
  <c r="J1944" i="3" s="1"/>
  <c r="G1944" i="3"/>
  <c r="H1944" i="3" s="1"/>
  <c r="I1941" i="3"/>
  <c r="J1941" i="3" s="1"/>
  <c r="G1941" i="3"/>
  <c r="H1941" i="3" s="1"/>
  <c r="I1940" i="3"/>
  <c r="J1940" i="3" s="1"/>
  <c r="G1940" i="3"/>
  <c r="H1940" i="3" s="1"/>
  <c r="I1939" i="3"/>
  <c r="J1939" i="3" s="1"/>
  <c r="G1939" i="3"/>
  <c r="H1939" i="3" s="1"/>
  <c r="I1938" i="3"/>
  <c r="J1938" i="3" s="1"/>
  <c r="G1938" i="3"/>
  <c r="H1938" i="3" s="1"/>
  <c r="I1935" i="3"/>
  <c r="J1935" i="3" s="1"/>
  <c r="G1935" i="3"/>
  <c r="H1935" i="3" s="1"/>
  <c r="I1934" i="3"/>
  <c r="J1934" i="3" s="1"/>
  <c r="G1934" i="3"/>
  <c r="H1934" i="3" s="1"/>
  <c r="I1933" i="3"/>
  <c r="J1933" i="3" s="1"/>
  <c r="G1933" i="3"/>
  <c r="H1933" i="3" s="1"/>
  <c r="I1924" i="3"/>
  <c r="J1924" i="3" s="1"/>
  <c r="G1924" i="3"/>
  <c r="H1924" i="3" s="1"/>
  <c r="I1923" i="3"/>
  <c r="J1923" i="3" s="1"/>
  <c r="G1923" i="3"/>
  <c r="H1923" i="3" s="1"/>
  <c r="I1916" i="3"/>
  <c r="J1916" i="3" s="1"/>
  <c r="G1916" i="3"/>
  <c r="H1916" i="3" s="1"/>
  <c r="I1915" i="3"/>
  <c r="G1915" i="3"/>
  <c r="I1912" i="3"/>
  <c r="G1912" i="3"/>
  <c r="I1911" i="3"/>
  <c r="G1911" i="3"/>
  <c r="I1904" i="3"/>
  <c r="J1904" i="3" s="1"/>
  <c r="G1904" i="3"/>
  <c r="H1904" i="3" s="1"/>
  <c r="I1903" i="3"/>
  <c r="G1903" i="3"/>
  <c r="I1900" i="3"/>
  <c r="G1900" i="3"/>
  <c r="I1899" i="3"/>
  <c r="G1899" i="3"/>
  <c r="I1891" i="3"/>
  <c r="J1891" i="3" s="1"/>
  <c r="G1891" i="3"/>
  <c r="H1891" i="3" s="1"/>
  <c r="I1889" i="3"/>
  <c r="J1889" i="3" s="1"/>
  <c r="G1889" i="3"/>
  <c r="H1889" i="3" s="1"/>
  <c r="I1886" i="3"/>
  <c r="J1886" i="3" s="1"/>
  <c r="G1886" i="3"/>
  <c r="H1886" i="3" s="1"/>
  <c r="I1885" i="3"/>
  <c r="J1885" i="3" s="1"/>
  <c r="G1885" i="3"/>
  <c r="H1885" i="3" s="1"/>
  <c r="I1884" i="3"/>
  <c r="J1884" i="3" s="1"/>
  <c r="G1884" i="3"/>
  <c r="H1884" i="3" s="1"/>
  <c r="I1883" i="3"/>
  <c r="J1883" i="3" s="1"/>
  <c r="G1883" i="3"/>
  <c r="H1883" i="3" s="1"/>
  <c r="I1873" i="3"/>
  <c r="J1873" i="3" s="1"/>
  <c r="G1873" i="3"/>
  <c r="H1873" i="3" s="1"/>
  <c r="I1871" i="3"/>
  <c r="J1871" i="3" s="1"/>
  <c r="G1871" i="3"/>
  <c r="H1871" i="3" s="1"/>
  <c r="I1868" i="3"/>
  <c r="J1868" i="3" s="1"/>
  <c r="G1868" i="3"/>
  <c r="H1868" i="3" s="1"/>
  <c r="I1867" i="3"/>
  <c r="J1867" i="3" s="1"/>
  <c r="G1867" i="3"/>
  <c r="H1867" i="3" s="1"/>
  <c r="I1866" i="3"/>
  <c r="J1866" i="3" s="1"/>
  <c r="G1866" i="3"/>
  <c r="H1866" i="3" s="1"/>
  <c r="I1865" i="3"/>
  <c r="J1865" i="3" s="1"/>
  <c r="G1865" i="3"/>
  <c r="H1865" i="3" s="1"/>
  <c r="I1857" i="3"/>
  <c r="J1857" i="3" s="1"/>
  <c r="G1857" i="3"/>
  <c r="H1857" i="3" s="1"/>
  <c r="I1856" i="3"/>
  <c r="J1856" i="3" s="1"/>
  <c r="G1856" i="3"/>
  <c r="H1856" i="3" s="1"/>
  <c r="I1855" i="3"/>
  <c r="J1855" i="3" s="1"/>
  <c r="G1855" i="3"/>
  <c r="H1855" i="3" s="1"/>
  <c r="I1854" i="3"/>
  <c r="G1854" i="3"/>
  <c r="I1853" i="3"/>
  <c r="J1853" i="3" s="1"/>
  <c r="G1853" i="3"/>
  <c r="H1853" i="3" s="1"/>
  <c r="I1852" i="3"/>
  <c r="G1852" i="3"/>
  <c r="I1851" i="3"/>
  <c r="J1851" i="3" s="1"/>
  <c r="G1851" i="3"/>
  <c r="H1851" i="3" s="1"/>
  <c r="I1844" i="3"/>
  <c r="J1844" i="3" s="1"/>
  <c r="G1844" i="3"/>
  <c r="H1844" i="3" s="1"/>
  <c r="I1843" i="3"/>
  <c r="J1843" i="3" s="1"/>
  <c r="G1843" i="3"/>
  <c r="H1843" i="3" s="1"/>
  <c r="I1842" i="3"/>
  <c r="J1842" i="3" s="1"/>
  <c r="G1842" i="3"/>
  <c r="H1842" i="3" s="1"/>
  <c r="I1841" i="3"/>
  <c r="G1841" i="3"/>
  <c r="I1840" i="3"/>
  <c r="J1840" i="3" s="1"/>
  <c r="G1840" i="3"/>
  <c r="H1840" i="3" s="1"/>
  <c r="I1839" i="3"/>
  <c r="G1839" i="3"/>
  <c r="I1838" i="3"/>
  <c r="J1838" i="3" s="1"/>
  <c r="G1838" i="3"/>
  <c r="H1838" i="3" s="1"/>
  <c r="I1831" i="3"/>
  <c r="J1831" i="3" s="1"/>
  <c r="G1831" i="3"/>
  <c r="H1831" i="3" s="1"/>
  <c r="I1830" i="3"/>
  <c r="J1830" i="3" s="1"/>
  <c r="G1830" i="3"/>
  <c r="H1830" i="3" s="1"/>
  <c r="I1829" i="3"/>
  <c r="G1829" i="3"/>
  <c r="I1828" i="3"/>
  <c r="J1828" i="3" s="1"/>
  <c r="G1828" i="3"/>
  <c r="H1828" i="3" s="1"/>
  <c r="I1827" i="3"/>
  <c r="J1827" i="3" s="1"/>
  <c r="G1827" i="3"/>
  <c r="H1827" i="3" s="1"/>
  <c r="I1821" i="3"/>
  <c r="J1821" i="3" s="1"/>
  <c r="G1821" i="3"/>
  <c r="H1821" i="3" s="1"/>
  <c r="I1820" i="3"/>
  <c r="J1820" i="3" s="1"/>
  <c r="G1820" i="3"/>
  <c r="H1820" i="3" s="1"/>
  <c r="I1819" i="3"/>
  <c r="J1819" i="3" s="1"/>
  <c r="G1819" i="3"/>
  <c r="H1819" i="3" s="1"/>
  <c r="I1818" i="3"/>
  <c r="J1818" i="3" s="1"/>
  <c r="G1818" i="3"/>
  <c r="H1818" i="3" s="1"/>
  <c r="I1811" i="3"/>
  <c r="J1811" i="3" s="1"/>
  <c r="G1811" i="3"/>
  <c r="H1811" i="3" s="1"/>
  <c r="I1810" i="3"/>
  <c r="J1810" i="3" s="1"/>
  <c r="G1810" i="3"/>
  <c r="H1810" i="3" s="1"/>
  <c r="I1808" i="3"/>
  <c r="J1808" i="3" s="1"/>
  <c r="G1808" i="3"/>
  <c r="H1808" i="3" s="1"/>
  <c r="I1801" i="3"/>
  <c r="J1801" i="3" s="1"/>
  <c r="G1801" i="3"/>
  <c r="H1801" i="3" s="1"/>
  <c r="I1800" i="3"/>
  <c r="J1800" i="3" s="1"/>
  <c r="G1800" i="3"/>
  <c r="H1800" i="3" s="1"/>
  <c r="I1798" i="3"/>
  <c r="J1798" i="3" s="1"/>
  <c r="G1798" i="3"/>
  <c r="H1798" i="3" s="1"/>
  <c r="I1791" i="3"/>
  <c r="J1791" i="3" s="1"/>
  <c r="G1791" i="3"/>
  <c r="H1791" i="3" s="1"/>
  <c r="I1790" i="3"/>
  <c r="J1790" i="3" s="1"/>
  <c r="G1790" i="3"/>
  <c r="H1790" i="3" s="1"/>
  <c r="I1782" i="3"/>
  <c r="J1782" i="3" s="1"/>
  <c r="G1782" i="3"/>
  <c r="H1782" i="3" s="1"/>
  <c r="I1781" i="3"/>
  <c r="J1781" i="3" s="1"/>
  <c r="G1781" i="3"/>
  <c r="H1781" i="3" s="1"/>
  <c r="I1780" i="3"/>
  <c r="J1780" i="3" s="1"/>
  <c r="G1780" i="3"/>
  <c r="H1780" i="3" s="1"/>
  <c r="I1779" i="3"/>
  <c r="J1779" i="3" s="1"/>
  <c r="G1779" i="3"/>
  <c r="H1779" i="3" s="1"/>
  <c r="I1778" i="3"/>
  <c r="J1778" i="3" s="1"/>
  <c r="G1778" i="3"/>
  <c r="H1778" i="3" s="1"/>
  <c r="I1770" i="3"/>
  <c r="J1770" i="3" s="1"/>
  <c r="G1770" i="3"/>
  <c r="H1770" i="3" s="1"/>
  <c r="I1769" i="3"/>
  <c r="J1769" i="3" s="1"/>
  <c r="G1769" i="3"/>
  <c r="H1769" i="3" s="1"/>
  <c r="I1768" i="3"/>
  <c r="J1768" i="3" s="1"/>
  <c r="G1768" i="3"/>
  <c r="H1768" i="3" s="1"/>
  <c r="I1767" i="3"/>
  <c r="J1767" i="3" s="1"/>
  <c r="G1767" i="3"/>
  <c r="H1767" i="3" s="1"/>
  <c r="I1760" i="3"/>
  <c r="J1760" i="3" s="1"/>
  <c r="G1760" i="3"/>
  <c r="H1760" i="3" s="1"/>
  <c r="I1759" i="3"/>
  <c r="J1759" i="3" s="1"/>
  <c r="G1759" i="3"/>
  <c r="H1759" i="3" s="1"/>
  <c r="I1758" i="3"/>
  <c r="J1758" i="3" s="1"/>
  <c r="G1758" i="3"/>
  <c r="H1758" i="3" s="1"/>
  <c r="I1757" i="3"/>
  <c r="J1757" i="3" s="1"/>
  <c r="G1757" i="3"/>
  <c r="H1757" i="3" s="1"/>
  <c r="I1750" i="3"/>
  <c r="J1750" i="3" s="1"/>
  <c r="G1750" i="3"/>
  <c r="H1750" i="3" s="1"/>
  <c r="I1749" i="3"/>
  <c r="J1749" i="3" s="1"/>
  <c r="G1749" i="3"/>
  <c r="H1749" i="3" s="1"/>
  <c r="I1748" i="3"/>
  <c r="J1748" i="3" s="1"/>
  <c r="G1748" i="3"/>
  <c r="H1748" i="3" s="1"/>
  <c r="I1747" i="3"/>
  <c r="J1747" i="3" s="1"/>
  <c r="G1747" i="3"/>
  <c r="H1747" i="3" s="1"/>
  <c r="I1739" i="3"/>
  <c r="J1739" i="3" s="1"/>
  <c r="G1739" i="3"/>
  <c r="H1739" i="3" s="1"/>
  <c r="I1738" i="3"/>
  <c r="J1738" i="3" s="1"/>
  <c r="G1738" i="3"/>
  <c r="H1738" i="3" s="1"/>
  <c r="I1737" i="3"/>
  <c r="J1737" i="3" s="1"/>
  <c r="G1737" i="3"/>
  <c r="H1737" i="3" s="1"/>
  <c r="I1730" i="3"/>
  <c r="J1730" i="3" s="1"/>
  <c r="G1730" i="3"/>
  <c r="H1730" i="3" s="1"/>
  <c r="I1729" i="3"/>
  <c r="J1729" i="3" s="1"/>
  <c r="G1729" i="3"/>
  <c r="H1729" i="3" s="1"/>
  <c r="I1728" i="3"/>
  <c r="J1728" i="3" s="1"/>
  <c r="G1728" i="3"/>
  <c r="H1728" i="3" s="1"/>
  <c r="I1727" i="3"/>
  <c r="J1727" i="3" s="1"/>
  <c r="G1727" i="3"/>
  <c r="H1727" i="3" s="1"/>
  <c r="I1720" i="3"/>
  <c r="J1720" i="3" s="1"/>
  <c r="G1720" i="3"/>
  <c r="H1720" i="3" s="1"/>
  <c r="I1719" i="3"/>
  <c r="J1719" i="3" s="1"/>
  <c r="G1719" i="3"/>
  <c r="H1719" i="3" s="1"/>
  <c r="I1718" i="3"/>
  <c r="J1718" i="3" s="1"/>
  <c r="G1718" i="3"/>
  <c r="H1718" i="3" s="1"/>
  <c r="I1717" i="3"/>
  <c r="J1717" i="3" s="1"/>
  <c r="G1717" i="3"/>
  <c r="H1717" i="3" s="1"/>
  <c r="I1716" i="3"/>
  <c r="J1716" i="3" s="1"/>
  <c r="G1716" i="3"/>
  <c r="H1716" i="3" s="1"/>
  <c r="I1715" i="3"/>
  <c r="J1715" i="3" s="1"/>
  <c r="G1715" i="3"/>
  <c r="H1715" i="3" s="1"/>
  <c r="I1714" i="3"/>
  <c r="J1714" i="3" s="1"/>
  <c r="G1714" i="3"/>
  <c r="H1714" i="3" s="1"/>
  <c r="I1713" i="3"/>
  <c r="J1713" i="3" s="1"/>
  <c r="G1713" i="3"/>
  <c r="H1713" i="3" s="1"/>
  <c r="I1712" i="3"/>
  <c r="J1712" i="3" s="1"/>
  <c r="G1712" i="3"/>
  <c r="H1712" i="3" s="1"/>
  <c r="I1711" i="3"/>
  <c r="J1711" i="3" s="1"/>
  <c r="G1711" i="3"/>
  <c r="H1711" i="3" s="1"/>
  <c r="I1710" i="3"/>
  <c r="G1710" i="3"/>
  <c r="I1709" i="3"/>
  <c r="J1709" i="3" s="1"/>
  <c r="G1709" i="3"/>
  <c r="H1709" i="3" s="1"/>
  <c r="I1708" i="3"/>
  <c r="J1708" i="3" s="1"/>
  <c r="G1708" i="3"/>
  <c r="H1708" i="3" s="1"/>
  <c r="I1707" i="3"/>
  <c r="G1707" i="3"/>
  <c r="I1706" i="3"/>
  <c r="J1706" i="3" s="1"/>
  <c r="G1706" i="3"/>
  <c r="H1706" i="3" s="1"/>
  <c r="I1705" i="3"/>
  <c r="J1705" i="3" s="1"/>
  <c r="G1705" i="3"/>
  <c r="H1705" i="3" s="1"/>
  <c r="I1699" i="3"/>
  <c r="J1699" i="3" s="1"/>
  <c r="G1699" i="3"/>
  <c r="H1699" i="3" s="1"/>
  <c r="I1698" i="3"/>
  <c r="J1698" i="3" s="1"/>
  <c r="G1698" i="3"/>
  <c r="H1698" i="3" s="1"/>
  <c r="I1697" i="3"/>
  <c r="J1697" i="3" s="1"/>
  <c r="G1697" i="3"/>
  <c r="H1697" i="3" s="1"/>
  <c r="I1696" i="3"/>
  <c r="J1696" i="3" s="1"/>
  <c r="G1696" i="3"/>
  <c r="H1696" i="3" s="1"/>
  <c r="I1695" i="3"/>
  <c r="J1695" i="3" s="1"/>
  <c r="G1695" i="3"/>
  <c r="H1695" i="3" s="1"/>
  <c r="I1694" i="3"/>
  <c r="J1694" i="3" s="1"/>
  <c r="G1694" i="3"/>
  <c r="H1694" i="3" s="1"/>
  <c r="I1693" i="3"/>
  <c r="J1693" i="3" s="1"/>
  <c r="G1693" i="3"/>
  <c r="H1693" i="3" s="1"/>
  <c r="I1692" i="3"/>
  <c r="J1692" i="3" s="1"/>
  <c r="G1692" i="3"/>
  <c r="H1692" i="3" s="1"/>
  <c r="I1691" i="3"/>
  <c r="G1691" i="3"/>
  <c r="I1690" i="3"/>
  <c r="J1690" i="3" s="1"/>
  <c r="G1690" i="3"/>
  <c r="H1690" i="3" s="1"/>
  <c r="I1689" i="3"/>
  <c r="J1689" i="3" s="1"/>
  <c r="G1689" i="3"/>
  <c r="H1689" i="3" s="1"/>
  <c r="I1688" i="3"/>
  <c r="G1688" i="3"/>
  <c r="I1687" i="3"/>
  <c r="J1687" i="3" s="1"/>
  <c r="G1687" i="3"/>
  <c r="H1687" i="3" s="1"/>
  <c r="I1686" i="3"/>
  <c r="J1686" i="3" s="1"/>
  <c r="G1686" i="3"/>
  <c r="H1686" i="3" s="1"/>
  <c r="I1680" i="3"/>
  <c r="J1680" i="3" s="1"/>
  <c r="G1680" i="3"/>
  <c r="H1680" i="3" s="1"/>
  <c r="I1679" i="3"/>
  <c r="J1679" i="3" s="1"/>
  <c r="G1679" i="3"/>
  <c r="H1679" i="3" s="1"/>
  <c r="I1678" i="3"/>
  <c r="J1678" i="3" s="1"/>
  <c r="G1678" i="3"/>
  <c r="H1678" i="3" s="1"/>
  <c r="I1666" i="3"/>
  <c r="J1666" i="3" s="1"/>
  <c r="G1666" i="3"/>
  <c r="H1666" i="3" s="1"/>
  <c r="I1665" i="3"/>
  <c r="J1665" i="3" s="1"/>
  <c r="G1665" i="3"/>
  <c r="H1665" i="3" s="1"/>
  <c r="I1664" i="3"/>
  <c r="J1664" i="3" s="1"/>
  <c r="G1664" i="3"/>
  <c r="H1664" i="3" s="1"/>
  <c r="I1663" i="3"/>
  <c r="J1663" i="3" s="1"/>
  <c r="G1663" i="3"/>
  <c r="H1663" i="3" s="1"/>
  <c r="I1662" i="3"/>
  <c r="J1662" i="3" s="1"/>
  <c r="G1662" i="3"/>
  <c r="H1662" i="3" s="1"/>
  <c r="I1661" i="3"/>
  <c r="J1661" i="3" s="1"/>
  <c r="G1661" i="3"/>
  <c r="H1661" i="3" s="1"/>
  <c r="I1660" i="3"/>
  <c r="J1660" i="3" s="1"/>
  <c r="G1660" i="3"/>
  <c r="H1660" i="3" s="1"/>
  <c r="I1659" i="3"/>
  <c r="J1659" i="3" s="1"/>
  <c r="G1659" i="3"/>
  <c r="H1659" i="3" s="1"/>
  <c r="I1658" i="3"/>
  <c r="J1658" i="3" s="1"/>
  <c r="G1658" i="3"/>
  <c r="H1658" i="3" s="1"/>
  <c r="I1657" i="3"/>
  <c r="J1657" i="3" s="1"/>
  <c r="G1657" i="3"/>
  <c r="H1657" i="3" s="1"/>
  <c r="I1656" i="3"/>
  <c r="J1656" i="3" s="1"/>
  <c r="G1656" i="3"/>
  <c r="H1656" i="3" s="1"/>
  <c r="I1650" i="3"/>
  <c r="J1650" i="3" s="1"/>
  <c r="G1650" i="3"/>
  <c r="H1650" i="3" s="1"/>
  <c r="I1649" i="3"/>
  <c r="J1649" i="3" s="1"/>
  <c r="G1649" i="3"/>
  <c r="H1649" i="3" s="1"/>
  <c r="I1648" i="3"/>
  <c r="J1648" i="3" s="1"/>
  <c r="G1648" i="3"/>
  <c r="H1648" i="3" s="1"/>
  <c r="I1636" i="3"/>
  <c r="J1636" i="3" s="1"/>
  <c r="G1636" i="3"/>
  <c r="H1636" i="3" s="1"/>
  <c r="I1635" i="3"/>
  <c r="J1635" i="3" s="1"/>
  <c r="G1635" i="3"/>
  <c r="H1635" i="3" s="1"/>
  <c r="I1634" i="3"/>
  <c r="J1634" i="3" s="1"/>
  <c r="G1634" i="3"/>
  <c r="H1634" i="3" s="1"/>
  <c r="I1631" i="3"/>
  <c r="J1631" i="3" s="1"/>
  <c r="G1631" i="3"/>
  <c r="H1631" i="3" s="1"/>
  <c r="I1630" i="3"/>
  <c r="J1630" i="3" s="1"/>
  <c r="G1630" i="3"/>
  <c r="H1630" i="3" s="1"/>
  <c r="I1629" i="3"/>
  <c r="J1629" i="3" s="1"/>
  <c r="G1629" i="3"/>
  <c r="H1629" i="3" s="1"/>
  <c r="I1628" i="3"/>
  <c r="J1628" i="3" s="1"/>
  <c r="G1628" i="3"/>
  <c r="H1628" i="3" s="1"/>
  <c r="I1627" i="3"/>
  <c r="J1627" i="3" s="1"/>
  <c r="G1627" i="3"/>
  <c r="H1627" i="3" s="1"/>
  <c r="I1626" i="3"/>
  <c r="J1626" i="3" s="1"/>
  <c r="G1626" i="3"/>
  <c r="H1626" i="3" s="1"/>
  <c r="I1620" i="3"/>
  <c r="J1620" i="3" s="1"/>
  <c r="G1620" i="3"/>
  <c r="H1620" i="3" s="1"/>
  <c r="I1619" i="3"/>
  <c r="J1619" i="3" s="1"/>
  <c r="G1619" i="3"/>
  <c r="H1619" i="3" s="1"/>
  <c r="I1618" i="3"/>
  <c r="J1618" i="3" s="1"/>
  <c r="G1618" i="3"/>
  <c r="H1618" i="3" s="1"/>
  <c r="I1606" i="3"/>
  <c r="J1606" i="3" s="1"/>
  <c r="G1606" i="3"/>
  <c r="H1606" i="3" s="1"/>
  <c r="I1605" i="3"/>
  <c r="J1605" i="3" s="1"/>
  <c r="G1605" i="3"/>
  <c r="H1605" i="3" s="1"/>
  <c r="I1604" i="3"/>
  <c r="J1604" i="3" s="1"/>
  <c r="G1604" i="3"/>
  <c r="H1604" i="3" s="1"/>
  <c r="I1601" i="3"/>
  <c r="J1601" i="3" s="1"/>
  <c r="G1601" i="3"/>
  <c r="H1601" i="3" s="1"/>
  <c r="I1600" i="3"/>
  <c r="J1600" i="3" s="1"/>
  <c r="G1600" i="3"/>
  <c r="H1600" i="3" s="1"/>
  <c r="I1599" i="3"/>
  <c r="J1599" i="3" s="1"/>
  <c r="G1599" i="3"/>
  <c r="H1599" i="3" s="1"/>
  <c r="I1598" i="3"/>
  <c r="J1598" i="3" s="1"/>
  <c r="G1598" i="3"/>
  <c r="H1598" i="3" s="1"/>
  <c r="I1597" i="3"/>
  <c r="J1597" i="3" s="1"/>
  <c r="G1597" i="3"/>
  <c r="H1597" i="3" s="1"/>
  <c r="I1596" i="3"/>
  <c r="J1596" i="3" s="1"/>
  <c r="G1596" i="3"/>
  <c r="H1596" i="3" s="1"/>
  <c r="I1590" i="3"/>
  <c r="J1590" i="3" s="1"/>
  <c r="G1590" i="3"/>
  <c r="H1590" i="3" s="1"/>
  <c r="I1589" i="3"/>
  <c r="J1589" i="3" s="1"/>
  <c r="G1589" i="3"/>
  <c r="H1589" i="3" s="1"/>
  <c r="I1588" i="3"/>
  <c r="J1588" i="3" s="1"/>
  <c r="G1588" i="3"/>
  <c r="H1588" i="3" s="1"/>
  <c r="I1576" i="3"/>
  <c r="J1576" i="3" s="1"/>
  <c r="G1576" i="3"/>
  <c r="H1576" i="3" s="1"/>
  <c r="I1575" i="3"/>
  <c r="J1575" i="3" s="1"/>
  <c r="G1575" i="3"/>
  <c r="H1575" i="3" s="1"/>
  <c r="I1574" i="3"/>
  <c r="J1574" i="3" s="1"/>
  <c r="G1574" i="3"/>
  <c r="H1574" i="3" s="1"/>
  <c r="I1570" i="3"/>
  <c r="J1570" i="3" s="1"/>
  <c r="G1570" i="3"/>
  <c r="H1570" i="3" s="1"/>
  <c r="I1569" i="3"/>
  <c r="J1569" i="3" s="1"/>
  <c r="G1569" i="3"/>
  <c r="H1569" i="3" s="1"/>
  <c r="I1568" i="3"/>
  <c r="J1568" i="3" s="1"/>
  <c r="G1568" i="3"/>
  <c r="H1568" i="3" s="1"/>
  <c r="I1567" i="3"/>
  <c r="J1567" i="3" s="1"/>
  <c r="G1567" i="3"/>
  <c r="H1567" i="3" s="1"/>
  <c r="I1566" i="3"/>
  <c r="J1566" i="3" s="1"/>
  <c r="G1566" i="3"/>
  <c r="H1566" i="3" s="1"/>
  <c r="I1560" i="3"/>
  <c r="J1560" i="3" s="1"/>
  <c r="G1560" i="3"/>
  <c r="H1560" i="3" s="1"/>
  <c r="I1559" i="3"/>
  <c r="J1559" i="3" s="1"/>
  <c r="G1559" i="3"/>
  <c r="H1559" i="3" s="1"/>
  <c r="I1558" i="3"/>
  <c r="J1558" i="3" s="1"/>
  <c r="G1558" i="3"/>
  <c r="H1558" i="3" s="1"/>
  <c r="I1546" i="3"/>
  <c r="J1546" i="3" s="1"/>
  <c r="G1546" i="3"/>
  <c r="H1546" i="3" s="1"/>
  <c r="I1545" i="3"/>
  <c r="J1545" i="3" s="1"/>
  <c r="G1545" i="3"/>
  <c r="H1545" i="3" s="1"/>
  <c r="I1544" i="3"/>
  <c r="J1544" i="3" s="1"/>
  <c r="G1544" i="3"/>
  <c r="H1544" i="3" s="1"/>
  <c r="I1540" i="3"/>
  <c r="J1540" i="3" s="1"/>
  <c r="G1540" i="3"/>
  <c r="H1540" i="3" s="1"/>
  <c r="I1539" i="3"/>
  <c r="J1539" i="3" s="1"/>
  <c r="G1539" i="3"/>
  <c r="H1539" i="3" s="1"/>
  <c r="I1538" i="3"/>
  <c r="J1538" i="3" s="1"/>
  <c r="G1538" i="3"/>
  <c r="H1538" i="3" s="1"/>
  <c r="I1537" i="3"/>
  <c r="J1537" i="3" s="1"/>
  <c r="G1537" i="3"/>
  <c r="H1537" i="3" s="1"/>
  <c r="I1536" i="3"/>
  <c r="J1536" i="3" s="1"/>
  <c r="G1536" i="3"/>
  <c r="H1536" i="3" s="1"/>
  <c r="I1530" i="3"/>
  <c r="J1530" i="3" s="1"/>
  <c r="G1530" i="3"/>
  <c r="H1530" i="3" s="1"/>
  <c r="I1529" i="3"/>
  <c r="J1529" i="3" s="1"/>
  <c r="G1529" i="3"/>
  <c r="H1529" i="3" s="1"/>
  <c r="I1528" i="3"/>
  <c r="J1528" i="3" s="1"/>
  <c r="G1528" i="3"/>
  <c r="H1528" i="3" s="1"/>
  <c r="I1516" i="3"/>
  <c r="J1516" i="3" s="1"/>
  <c r="G1516" i="3"/>
  <c r="H1516" i="3" s="1"/>
  <c r="I1515" i="3"/>
  <c r="J1515" i="3" s="1"/>
  <c r="G1515" i="3"/>
  <c r="H1515" i="3" s="1"/>
  <c r="I1514" i="3"/>
  <c r="J1514" i="3" s="1"/>
  <c r="G1514" i="3"/>
  <c r="H1514" i="3" s="1"/>
  <c r="I1511" i="3"/>
  <c r="J1511" i="3" s="1"/>
  <c r="G1511" i="3"/>
  <c r="H1511" i="3" s="1"/>
  <c r="I1510" i="3"/>
  <c r="J1510" i="3" s="1"/>
  <c r="G1510" i="3"/>
  <c r="H1510" i="3" s="1"/>
  <c r="I1509" i="3"/>
  <c r="J1509" i="3" s="1"/>
  <c r="G1509" i="3"/>
  <c r="H1509" i="3" s="1"/>
  <c r="I1508" i="3"/>
  <c r="J1508" i="3" s="1"/>
  <c r="G1508" i="3"/>
  <c r="H1508" i="3" s="1"/>
  <c r="I1507" i="3"/>
  <c r="J1507" i="3" s="1"/>
  <c r="G1507" i="3"/>
  <c r="H1507" i="3" s="1"/>
  <c r="I1506" i="3"/>
  <c r="J1506" i="3" s="1"/>
  <c r="G1506" i="3"/>
  <c r="H1506" i="3" s="1"/>
  <c r="I1500" i="3"/>
  <c r="J1500" i="3" s="1"/>
  <c r="G1500" i="3"/>
  <c r="H1500" i="3" s="1"/>
  <c r="I1499" i="3"/>
  <c r="J1499" i="3" s="1"/>
  <c r="G1499" i="3"/>
  <c r="H1499" i="3" s="1"/>
  <c r="I1498" i="3"/>
  <c r="J1498" i="3" s="1"/>
  <c r="G1498" i="3"/>
  <c r="H1498" i="3" s="1"/>
  <c r="I1486" i="3"/>
  <c r="J1486" i="3" s="1"/>
  <c r="G1486" i="3"/>
  <c r="H1486" i="3" s="1"/>
  <c r="I1485" i="3"/>
  <c r="J1485" i="3" s="1"/>
  <c r="G1485" i="3"/>
  <c r="H1485" i="3" s="1"/>
  <c r="I1484" i="3"/>
  <c r="J1484" i="3" s="1"/>
  <c r="G1484" i="3"/>
  <c r="H1484" i="3" s="1"/>
  <c r="I1483" i="3"/>
  <c r="J1483" i="3" s="1"/>
  <c r="G1483" i="3"/>
  <c r="H1483" i="3" s="1"/>
  <c r="I1482" i="3"/>
  <c r="J1482" i="3" s="1"/>
  <c r="G1482" i="3"/>
  <c r="H1482" i="3" s="1"/>
  <c r="I1481" i="3"/>
  <c r="J1481" i="3" s="1"/>
  <c r="G1481" i="3"/>
  <c r="H1481" i="3" s="1"/>
  <c r="I1480" i="3"/>
  <c r="J1480" i="3" s="1"/>
  <c r="G1480" i="3"/>
  <c r="H1480" i="3" s="1"/>
  <c r="I1479" i="3"/>
  <c r="J1479" i="3" s="1"/>
  <c r="G1479" i="3"/>
  <c r="H1479" i="3" s="1"/>
  <c r="I1478" i="3"/>
  <c r="J1478" i="3" s="1"/>
  <c r="G1478" i="3"/>
  <c r="H1478" i="3" s="1"/>
  <c r="I1477" i="3"/>
  <c r="J1477" i="3" s="1"/>
  <c r="G1477" i="3"/>
  <c r="H1477" i="3" s="1"/>
  <c r="I1476" i="3"/>
  <c r="J1476" i="3" s="1"/>
  <c r="G1476" i="3"/>
  <c r="H1476" i="3" s="1"/>
  <c r="I1470" i="3"/>
  <c r="J1470" i="3" s="1"/>
  <c r="G1470" i="3"/>
  <c r="H1470" i="3" s="1"/>
  <c r="I1469" i="3"/>
  <c r="J1469" i="3" s="1"/>
  <c r="G1469" i="3"/>
  <c r="H1469" i="3" s="1"/>
  <c r="I1468" i="3"/>
  <c r="J1468" i="3" s="1"/>
  <c r="G1468" i="3"/>
  <c r="H1468" i="3" s="1"/>
  <c r="I1456" i="3"/>
  <c r="J1456" i="3" s="1"/>
  <c r="G1456" i="3"/>
  <c r="H1456" i="3" s="1"/>
  <c r="I1455" i="3"/>
  <c r="J1455" i="3" s="1"/>
  <c r="G1455" i="3"/>
  <c r="H1455" i="3" s="1"/>
  <c r="I1454" i="3"/>
  <c r="J1454" i="3" s="1"/>
  <c r="G1454" i="3"/>
  <c r="H1454" i="3" s="1"/>
  <c r="I1453" i="3"/>
  <c r="J1453" i="3" s="1"/>
  <c r="G1453" i="3"/>
  <c r="H1453" i="3" s="1"/>
  <c r="I1452" i="3"/>
  <c r="J1452" i="3" s="1"/>
  <c r="G1452" i="3"/>
  <c r="H1452" i="3" s="1"/>
  <c r="I1451" i="3"/>
  <c r="J1451" i="3" s="1"/>
  <c r="G1451" i="3"/>
  <c r="H1451" i="3" s="1"/>
  <c r="I1450" i="3"/>
  <c r="J1450" i="3" s="1"/>
  <c r="G1450" i="3"/>
  <c r="H1450" i="3" s="1"/>
  <c r="I1449" i="3"/>
  <c r="J1449" i="3" s="1"/>
  <c r="G1449" i="3"/>
  <c r="H1449" i="3" s="1"/>
  <c r="I1448" i="3"/>
  <c r="J1448" i="3" s="1"/>
  <c r="G1448" i="3"/>
  <c r="H1448" i="3" s="1"/>
  <c r="I1447" i="3"/>
  <c r="J1447" i="3" s="1"/>
  <c r="G1447" i="3"/>
  <c r="H1447" i="3" s="1"/>
  <c r="I1446" i="3"/>
  <c r="J1446" i="3" s="1"/>
  <c r="G1446" i="3"/>
  <c r="H1446" i="3" s="1"/>
  <c r="I1440" i="3"/>
  <c r="J1440" i="3" s="1"/>
  <c r="G1440" i="3"/>
  <c r="H1440" i="3" s="1"/>
  <c r="I1439" i="3"/>
  <c r="J1439" i="3" s="1"/>
  <c r="G1439" i="3"/>
  <c r="H1439" i="3" s="1"/>
  <c r="I1438" i="3"/>
  <c r="J1438" i="3" s="1"/>
  <c r="G1438" i="3"/>
  <c r="H1438" i="3" s="1"/>
  <c r="I1426" i="3"/>
  <c r="J1426" i="3" s="1"/>
  <c r="G1426" i="3"/>
  <c r="H1426" i="3" s="1"/>
  <c r="I1425" i="3"/>
  <c r="J1425" i="3" s="1"/>
  <c r="G1425" i="3"/>
  <c r="H1425" i="3" s="1"/>
  <c r="I1424" i="3"/>
  <c r="J1424" i="3" s="1"/>
  <c r="G1424" i="3"/>
  <c r="H1424" i="3" s="1"/>
  <c r="I1420" i="3"/>
  <c r="J1420" i="3" s="1"/>
  <c r="G1420" i="3"/>
  <c r="H1420" i="3" s="1"/>
  <c r="I1419" i="3"/>
  <c r="J1419" i="3" s="1"/>
  <c r="G1419" i="3"/>
  <c r="H1419" i="3" s="1"/>
  <c r="I1418" i="3"/>
  <c r="J1418" i="3" s="1"/>
  <c r="G1418" i="3"/>
  <c r="H1418" i="3" s="1"/>
  <c r="I1417" i="3"/>
  <c r="J1417" i="3" s="1"/>
  <c r="G1417" i="3"/>
  <c r="H1417" i="3" s="1"/>
  <c r="I1416" i="3"/>
  <c r="J1416" i="3" s="1"/>
  <c r="G1416" i="3"/>
  <c r="H1416" i="3" s="1"/>
  <c r="I1410" i="3"/>
  <c r="J1410" i="3" s="1"/>
  <c r="G1410" i="3"/>
  <c r="H1410" i="3" s="1"/>
  <c r="I1409" i="3"/>
  <c r="J1409" i="3" s="1"/>
  <c r="G1409" i="3"/>
  <c r="H1409" i="3" s="1"/>
  <c r="I1408" i="3"/>
  <c r="J1408" i="3" s="1"/>
  <c r="G1408" i="3"/>
  <c r="H1408" i="3" s="1"/>
  <c r="I1396" i="3"/>
  <c r="J1396" i="3" s="1"/>
  <c r="G1396" i="3"/>
  <c r="H1396" i="3" s="1"/>
  <c r="I1395" i="3"/>
  <c r="J1395" i="3" s="1"/>
  <c r="G1395" i="3"/>
  <c r="H1395" i="3" s="1"/>
  <c r="I1394" i="3"/>
  <c r="J1394" i="3" s="1"/>
  <c r="G1394" i="3"/>
  <c r="H1394" i="3" s="1"/>
  <c r="I1391" i="3"/>
  <c r="J1391" i="3" s="1"/>
  <c r="G1391" i="3"/>
  <c r="H1391" i="3" s="1"/>
  <c r="I1390" i="3"/>
  <c r="J1390" i="3" s="1"/>
  <c r="G1390" i="3"/>
  <c r="H1390" i="3" s="1"/>
  <c r="I1389" i="3"/>
  <c r="J1389" i="3" s="1"/>
  <c r="G1389" i="3"/>
  <c r="H1389" i="3" s="1"/>
  <c r="I1388" i="3"/>
  <c r="J1388" i="3" s="1"/>
  <c r="G1388" i="3"/>
  <c r="H1388" i="3" s="1"/>
  <c r="I1387" i="3"/>
  <c r="J1387" i="3" s="1"/>
  <c r="G1387" i="3"/>
  <c r="H1387" i="3" s="1"/>
  <c r="I1386" i="3"/>
  <c r="J1386" i="3" s="1"/>
  <c r="G1386" i="3"/>
  <c r="H1386" i="3" s="1"/>
  <c r="I1380" i="3"/>
  <c r="J1380" i="3" s="1"/>
  <c r="G1380" i="3"/>
  <c r="H1380" i="3" s="1"/>
  <c r="I1379" i="3"/>
  <c r="J1379" i="3" s="1"/>
  <c r="G1379" i="3"/>
  <c r="H1379" i="3" s="1"/>
  <c r="I1378" i="3"/>
  <c r="J1378" i="3" s="1"/>
  <c r="G1378" i="3"/>
  <c r="H1378" i="3" s="1"/>
  <c r="I1366" i="3"/>
  <c r="J1366" i="3" s="1"/>
  <c r="G1366" i="3"/>
  <c r="H1366" i="3" s="1"/>
  <c r="I1365" i="3"/>
  <c r="J1365" i="3" s="1"/>
  <c r="G1365" i="3"/>
  <c r="H1365" i="3" s="1"/>
  <c r="I1364" i="3"/>
  <c r="J1364" i="3" s="1"/>
  <c r="G1364" i="3"/>
  <c r="H1364" i="3" s="1"/>
  <c r="I1361" i="3"/>
  <c r="J1361" i="3" s="1"/>
  <c r="G1361" i="3"/>
  <c r="H1361" i="3" s="1"/>
  <c r="I1360" i="3"/>
  <c r="J1360" i="3" s="1"/>
  <c r="G1360" i="3"/>
  <c r="H1360" i="3" s="1"/>
  <c r="I1359" i="3"/>
  <c r="J1359" i="3" s="1"/>
  <c r="G1359" i="3"/>
  <c r="H1359" i="3" s="1"/>
  <c r="I1358" i="3"/>
  <c r="J1358" i="3" s="1"/>
  <c r="G1358" i="3"/>
  <c r="H1358" i="3" s="1"/>
  <c r="I1357" i="3"/>
  <c r="J1357" i="3" s="1"/>
  <c r="G1357" i="3"/>
  <c r="H1357" i="3" s="1"/>
  <c r="I1356" i="3"/>
  <c r="J1356" i="3" s="1"/>
  <c r="G1356" i="3"/>
  <c r="H1356" i="3" s="1"/>
  <c r="I1350" i="3"/>
  <c r="J1350" i="3" s="1"/>
  <c r="G1350" i="3"/>
  <c r="H1350" i="3" s="1"/>
  <c r="I1349" i="3"/>
  <c r="J1349" i="3" s="1"/>
  <c r="G1349" i="3"/>
  <c r="H1349" i="3" s="1"/>
  <c r="I1348" i="3"/>
  <c r="J1348" i="3" s="1"/>
  <c r="G1348" i="3"/>
  <c r="H1348" i="3" s="1"/>
  <c r="I1336" i="3"/>
  <c r="J1336" i="3" s="1"/>
  <c r="G1336" i="3"/>
  <c r="H1336" i="3" s="1"/>
  <c r="I1335" i="3"/>
  <c r="J1335" i="3" s="1"/>
  <c r="G1335" i="3"/>
  <c r="H1335" i="3" s="1"/>
  <c r="I1334" i="3"/>
  <c r="J1334" i="3" s="1"/>
  <c r="G1334" i="3"/>
  <c r="H1334" i="3" s="1"/>
  <c r="I1331" i="3"/>
  <c r="J1331" i="3" s="1"/>
  <c r="G1331" i="3"/>
  <c r="H1331" i="3" s="1"/>
  <c r="I1330" i="3"/>
  <c r="J1330" i="3" s="1"/>
  <c r="G1330" i="3"/>
  <c r="H1330" i="3" s="1"/>
  <c r="I1329" i="3"/>
  <c r="J1329" i="3" s="1"/>
  <c r="G1329" i="3"/>
  <c r="H1329" i="3" s="1"/>
  <c r="I1328" i="3"/>
  <c r="J1328" i="3" s="1"/>
  <c r="G1328" i="3"/>
  <c r="H1328" i="3" s="1"/>
  <c r="I1327" i="3"/>
  <c r="J1327" i="3" s="1"/>
  <c r="G1327" i="3"/>
  <c r="H1327" i="3" s="1"/>
  <c r="I1326" i="3"/>
  <c r="J1326" i="3" s="1"/>
  <c r="G1326" i="3"/>
  <c r="H1326" i="3" s="1"/>
  <c r="I1320" i="3"/>
  <c r="J1320" i="3" s="1"/>
  <c r="G1320" i="3"/>
  <c r="H1320" i="3" s="1"/>
  <c r="I1319" i="3"/>
  <c r="J1319" i="3" s="1"/>
  <c r="G1319" i="3"/>
  <c r="H1319" i="3" s="1"/>
  <c r="I1318" i="3"/>
  <c r="J1318" i="3" s="1"/>
  <c r="G1318" i="3"/>
  <c r="H1318" i="3" s="1"/>
  <c r="I1306" i="3"/>
  <c r="J1306" i="3" s="1"/>
  <c r="G1306" i="3"/>
  <c r="H1306" i="3" s="1"/>
  <c r="I1305" i="3"/>
  <c r="J1305" i="3" s="1"/>
  <c r="G1305" i="3"/>
  <c r="H1305" i="3" s="1"/>
  <c r="I1304" i="3"/>
  <c r="J1304" i="3" s="1"/>
  <c r="G1304" i="3"/>
  <c r="H1304" i="3" s="1"/>
  <c r="I1301" i="3"/>
  <c r="J1301" i="3" s="1"/>
  <c r="G1301" i="3"/>
  <c r="H1301" i="3" s="1"/>
  <c r="I1300" i="3"/>
  <c r="J1300" i="3" s="1"/>
  <c r="G1300" i="3"/>
  <c r="H1300" i="3" s="1"/>
  <c r="I1299" i="3"/>
  <c r="J1299" i="3" s="1"/>
  <c r="G1299" i="3"/>
  <c r="H1299" i="3" s="1"/>
  <c r="I1298" i="3"/>
  <c r="J1298" i="3" s="1"/>
  <c r="G1298" i="3"/>
  <c r="H1298" i="3" s="1"/>
  <c r="I1297" i="3"/>
  <c r="J1297" i="3" s="1"/>
  <c r="G1297" i="3"/>
  <c r="H1297" i="3" s="1"/>
  <c r="I1296" i="3"/>
  <c r="J1296" i="3" s="1"/>
  <c r="G1296" i="3"/>
  <c r="H1296" i="3" s="1"/>
  <c r="I1290" i="3"/>
  <c r="J1290" i="3" s="1"/>
  <c r="G1290" i="3"/>
  <c r="H1290" i="3" s="1"/>
  <c r="I1289" i="3"/>
  <c r="J1289" i="3" s="1"/>
  <c r="G1289" i="3"/>
  <c r="H1289" i="3" s="1"/>
  <c r="I1288" i="3"/>
  <c r="J1288" i="3" s="1"/>
  <c r="G1288" i="3"/>
  <c r="H1288" i="3" s="1"/>
  <c r="I1276" i="3"/>
  <c r="J1276" i="3" s="1"/>
  <c r="G1276" i="3"/>
  <c r="H1276" i="3" s="1"/>
  <c r="I1275" i="3"/>
  <c r="J1275" i="3" s="1"/>
  <c r="G1275" i="3"/>
  <c r="H1275" i="3" s="1"/>
  <c r="I1274" i="3"/>
  <c r="J1274" i="3" s="1"/>
  <c r="G1274" i="3"/>
  <c r="H1274" i="3" s="1"/>
  <c r="I1273" i="3"/>
  <c r="J1273" i="3" s="1"/>
  <c r="G1273" i="3"/>
  <c r="H1273" i="3" s="1"/>
  <c r="I1272" i="3"/>
  <c r="J1272" i="3" s="1"/>
  <c r="G1272" i="3"/>
  <c r="H1272" i="3" s="1"/>
  <c r="I1271" i="3"/>
  <c r="J1271" i="3" s="1"/>
  <c r="G1271" i="3"/>
  <c r="H1271" i="3" s="1"/>
  <c r="I1270" i="3"/>
  <c r="J1270" i="3" s="1"/>
  <c r="G1270" i="3"/>
  <c r="H1270" i="3" s="1"/>
  <c r="I1269" i="3"/>
  <c r="J1269" i="3" s="1"/>
  <c r="G1269" i="3"/>
  <c r="H1269" i="3" s="1"/>
  <c r="I1268" i="3"/>
  <c r="J1268" i="3" s="1"/>
  <c r="G1268" i="3"/>
  <c r="H1268" i="3" s="1"/>
  <c r="I1267" i="3"/>
  <c r="J1267" i="3" s="1"/>
  <c r="G1267" i="3"/>
  <c r="H1267" i="3" s="1"/>
  <c r="I1266" i="3"/>
  <c r="J1266" i="3" s="1"/>
  <c r="G1266" i="3"/>
  <c r="H1266" i="3" s="1"/>
  <c r="I1260" i="3"/>
  <c r="J1260" i="3" s="1"/>
  <c r="G1260" i="3"/>
  <c r="H1260" i="3" s="1"/>
  <c r="I1259" i="3"/>
  <c r="J1259" i="3" s="1"/>
  <c r="G1259" i="3"/>
  <c r="H1259" i="3" s="1"/>
  <c r="I1258" i="3"/>
  <c r="J1258" i="3" s="1"/>
  <c r="G1258" i="3"/>
  <c r="H1258" i="3" s="1"/>
  <c r="I1251" i="3"/>
  <c r="J1251" i="3" s="1"/>
  <c r="G1251" i="3"/>
  <c r="H1251" i="3" s="1"/>
  <c r="I1250" i="3"/>
  <c r="J1250" i="3" s="1"/>
  <c r="G1250" i="3"/>
  <c r="H1250" i="3" s="1"/>
  <c r="I1249" i="3"/>
  <c r="J1249" i="3" s="1"/>
  <c r="G1249" i="3"/>
  <c r="H1249" i="3" s="1"/>
  <c r="I1248" i="3"/>
  <c r="J1248" i="3" s="1"/>
  <c r="G1248" i="3"/>
  <c r="H1248" i="3" s="1"/>
  <c r="I1247" i="3"/>
  <c r="J1247" i="3" s="1"/>
  <c r="G1247" i="3"/>
  <c r="H1247" i="3" s="1"/>
  <c r="I1246" i="3"/>
  <c r="J1246" i="3" s="1"/>
  <c r="G1246" i="3"/>
  <c r="H1246" i="3" s="1"/>
  <c r="I1245" i="3"/>
  <c r="J1245" i="3" s="1"/>
  <c r="G1245" i="3"/>
  <c r="H1245" i="3" s="1"/>
  <c r="I1244" i="3"/>
  <c r="J1244" i="3" s="1"/>
  <c r="G1244" i="3"/>
  <c r="H1244" i="3" s="1"/>
  <c r="I1243" i="3"/>
  <c r="J1243" i="3" s="1"/>
  <c r="G1243" i="3"/>
  <c r="H1243" i="3" s="1"/>
  <c r="I1242" i="3"/>
  <c r="J1242" i="3" s="1"/>
  <c r="G1242" i="3"/>
  <c r="H1242" i="3" s="1"/>
  <c r="I1236" i="3"/>
  <c r="J1236" i="3" s="1"/>
  <c r="G1236" i="3"/>
  <c r="H1236" i="3" s="1"/>
  <c r="I1235" i="3"/>
  <c r="J1235" i="3" s="1"/>
  <c r="G1235" i="3"/>
  <c r="H1235" i="3" s="1"/>
  <c r="I1234" i="3"/>
  <c r="J1234" i="3" s="1"/>
  <c r="G1234" i="3"/>
  <c r="H1234" i="3" s="1"/>
  <c r="I1222" i="3"/>
  <c r="J1222" i="3" s="1"/>
  <c r="G1222" i="3"/>
  <c r="H1222" i="3" s="1"/>
  <c r="I1221" i="3"/>
  <c r="J1221" i="3" s="1"/>
  <c r="G1221" i="3"/>
  <c r="H1221" i="3" s="1"/>
  <c r="I1220" i="3"/>
  <c r="J1220" i="3" s="1"/>
  <c r="G1220" i="3"/>
  <c r="H1220" i="3" s="1"/>
  <c r="I1217" i="3"/>
  <c r="J1217" i="3" s="1"/>
  <c r="G1217" i="3"/>
  <c r="H1217" i="3" s="1"/>
  <c r="I1216" i="3"/>
  <c r="J1216" i="3" s="1"/>
  <c r="G1216" i="3"/>
  <c r="H1216" i="3" s="1"/>
  <c r="I1215" i="3"/>
  <c r="J1215" i="3" s="1"/>
  <c r="G1215" i="3"/>
  <c r="H1215" i="3" s="1"/>
  <c r="I1214" i="3"/>
  <c r="J1214" i="3" s="1"/>
  <c r="G1214" i="3"/>
  <c r="H1214" i="3" s="1"/>
  <c r="I1213" i="3"/>
  <c r="J1213" i="3" s="1"/>
  <c r="G1213" i="3"/>
  <c r="H1213" i="3" s="1"/>
  <c r="I1212" i="3"/>
  <c r="J1212" i="3" s="1"/>
  <c r="G1212" i="3"/>
  <c r="H1212" i="3" s="1"/>
  <c r="I1206" i="3"/>
  <c r="J1206" i="3" s="1"/>
  <c r="G1206" i="3"/>
  <c r="H1206" i="3" s="1"/>
  <c r="I1205" i="3"/>
  <c r="J1205" i="3" s="1"/>
  <c r="G1205" i="3"/>
  <c r="H1205" i="3" s="1"/>
  <c r="I1204" i="3"/>
  <c r="J1204" i="3" s="1"/>
  <c r="G1204" i="3"/>
  <c r="H1204" i="3" s="1"/>
  <c r="I1192" i="3"/>
  <c r="J1192" i="3" s="1"/>
  <c r="G1192" i="3"/>
  <c r="H1192" i="3" s="1"/>
  <c r="I1191" i="3"/>
  <c r="J1191" i="3" s="1"/>
  <c r="G1191" i="3"/>
  <c r="H1191" i="3" s="1"/>
  <c r="I1190" i="3"/>
  <c r="J1190" i="3" s="1"/>
  <c r="G1190" i="3"/>
  <c r="H1190" i="3" s="1"/>
  <c r="I1187" i="3"/>
  <c r="J1187" i="3" s="1"/>
  <c r="G1187" i="3"/>
  <c r="H1187" i="3" s="1"/>
  <c r="I1186" i="3"/>
  <c r="J1186" i="3" s="1"/>
  <c r="G1186" i="3"/>
  <c r="H1186" i="3" s="1"/>
  <c r="I1185" i="3"/>
  <c r="J1185" i="3" s="1"/>
  <c r="G1185" i="3"/>
  <c r="H1185" i="3" s="1"/>
  <c r="I1184" i="3"/>
  <c r="J1184" i="3" s="1"/>
  <c r="G1184" i="3"/>
  <c r="H1184" i="3" s="1"/>
  <c r="I1183" i="3"/>
  <c r="J1183" i="3" s="1"/>
  <c r="G1183" i="3"/>
  <c r="H1183" i="3" s="1"/>
  <c r="I1182" i="3"/>
  <c r="J1182" i="3" s="1"/>
  <c r="G1182" i="3"/>
  <c r="H1182" i="3" s="1"/>
  <c r="I1176" i="3"/>
  <c r="J1176" i="3" s="1"/>
  <c r="G1176" i="3"/>
  <c r="H1176" i="3" s="1"/>
  <c r="I1175" i="3"/>
  <c r="J1175" i="3" s="1"/>
  <c r="G1175" i="3"/>
  <c r="H1175" i="3" s="1"/>
  <c r="I1174" i="3"/>
  <c r="J1174" i="3" s="1"/>
  <c r="G1174" i="3"/>
  <c r="H1174" i="3" s="1"/>
  <c r="I1162" i="3"/>
  <c r="J1162" i="3" s="1"/>
  <c r="G1162" i="3"/>
  <c r="H1162" i="3" s="1"/>
  <c r="I1161" i="3"/>
  <c r="J1161" i="3" s="1"/>
  <c r="G1161" i="3"/>
  <c r="H1161" i="3" s="1"/>
  <c r="I1160" i="3"/>
  <c r="J1160" i="3" s="1"/>
  <c r="G1160" i="3"/>
  <c r="H1160" i="3" s="1"/>
  <c r="I1159" i="3"/>
  <c r="J1159" i="3" s="1"/>
  <c r="G1159" i="3"/>
  <c r="H1159" i="3" s="1"/>
  <c r="I1158" i="3"/>
  <c r="J1158" i="3" s="1"/>
  <c r="G1158" i="3"/>
  <c r="H1158" i="3" s="1"/>
  <c r="I1157" i="3"/>
  <c r="J1157" i="3" s="1"/>
  <c r="G1157" i="3"/>
  <c r="H1157" i="3" s="1"/>
  <c r="I1156" i="3"/>
  <c r="J1156" i="3" s="1"/>
  <c r="G1156" i="3"/>
  <c r="H1156" i="3" s="1"/>
  <c r="I1155" i="3"/>
  <c r="J1155" i="3" s="1"/>
  <c r="G1155" i="3"/>
  <c r="H1155" i="3" s="1"/>
  <c r="I1154" i="3"/>
  <c r="J1154" i="3" s="1"/>
  <c r="G1154" i="3"/>
  <c r="H1154" i="3" s="1"/>
  <c r="I1153" i="3"/>
  <c r="J1153" i="3" s="1"/>
  <c r="G1153" i="3"/>
  <c r="H1153" i="3" s="1"/>
  <c r="I1152" i="3"/>
  <c r="J1152" i="3" s="1"/>
  <c r="G1152" i="3"/>
  <c r="H1152" i="3" s="1"/>
  <c r="I1146" i="3"/>
  <c r="J1146" i="3" s="1"/>
  <c r="G1146" i="3"/>
  <c r="H1146" i="3" s="1"/>
  <c r="I1145" i="3"/>
  <c r="J1145" i="3" s="1"/>
  <c r="G1145" i="3"/>
  <c r="H1145" i="3" s="1"/>
  <c r="I1144" i="3"/>
  <c r="J1144" i="3" s="1"/>
  <c r="G1144" i="3"/>
  <c r="H1144" i="3" s="1"/>
  <c r="I1132" i="3"/>
  <c r="J1132" i="3" s="1"/>
  <c r="G1132" i="3"/>
  <c r="H1132" i="3" s="1"/>
  <c r="I1131" i="3"/>
  <c r="J1131" i="3" s="1"/>
  <c r="G1131" i="3"/>
  <c r="H1131" i="3" s="1"/>
  <c r="I1130" i="3"/>
  <c r="J1130" i="3" s="1"/>
  <c r="G1130" i="3"/>
  <c r="H1130" i="3" s="1"/>
  <c r="I1129" i="3"/>
  <c r="J1129" i="3" s="1"/>
  <c r="G1129" i="3"/>
  <c r="H1129" i="3" s="1"/>
  <c r="I1128" i="3"/>
  <c r="J1128" i="3" s="1"/>
  <c r="G1128" i="3"/>
  <c r="H1128" i="3" s="1"/>
  <c r="I1127" i="3"/>
  <c r="J1127" i="3" s="1"/>
  <c r="G1127" i="3"/>
  <c r="H1127" i="3" s="1"/>
  <c r="I1126" i="3"/>
  <c r="J1126" i="3" s="1"/>
  <c r="G1126" i="3"/>
  <c r="H1126" i="3" s="1"/>
  <c r="I1125" i="3"/>
  <c r="J1125" i="3" s="1"/>
  <c r="G1125" i="3"/>
  <c r="H1125" i="3" s="1"/>
  <c r="I1124" i="3"/>
  <c r="J1124" i="3" s="1"/>
  <c r="G1124" i="3"/>
  <c r="H1124" i="3" s="1"/>
  <c r="I1123" i="3"/>
  <c r="J1123" i="3" s="1"/>
  <c r="G1123" i="3"/>
  <c r="H1123" i="3" s="1"/>
  <c r="I1122" i="3"/>
  <c r="J1122" i="3" s="1"/>
  <c r="G1122" i="3"/>
  <c r="H1122" i="3" s="1"/>
  <c r="I1116" i="3"/>
  <c r="J1116" i="3" s="1"/>
  <c r="G1116" i="3"/>
  <c r="H1116" i="3" s="1"/>
  <c r="I1115" i="3"/>
  <c r="J1115" i="3" s="1"/>
  <c r="G1115" i="3"/>
  <c r="H1115" i="3" s="1"/>
  <c r="I1114" i="3"/>
  <c r="J1114" i="3" s="1"/>
  <c r="G1114" i="3"/>
  <c r="H1114" i="3" s="1"/>
  <c r="I1102" i="3"/>
  <c r="J1102" i="3" s="1"/>
  <c r="G1102" i="3"/>
  <c r="H1102" i="3" s="1"/>
  <c r="I1101" i="3"/>
  <c r="J1101" i="3" s="1"/>
  <c r="G1101" i="3"/>
  <c r="H1101" i="3" s="1"/>
  <c r="I1100" i="3"/>
  <c r="J1100" i="3" s="1"/>
  <c r="G1100" i="3"/>
  <c r="H1100" i="3" s="1"/>
  <c r="I1099" i="3"/>
  <c r="J1099" i="3" s="1"/>
  <c r="G1099" i="3"/>
  <c r="H1099" i="3" s="1"/>
  <c r="I1098" i="3"/>
  <c r="J1098" i="3" s="1"/>
  <c r="G1098" i="3"/>
  <c r="H1098" i="3" s="1"/>
  <c r="I1097" i="3"/>
  <c r="J1097" i="3" s="1"/>
  <c r="G1097" i="3"/>
  <c r="H1097" i="3" s="1"/>
  <c r="I1096" i="3"/>
  <c r="J1096" i="3" s="1"/>
  <c r="G1096" i="3"/>
  <c r="H1096" i="3" s="1"/>
  <c r="I1095" i="3"/>
  <c r="J1095" i="3" s="1"/>
  <c r="G1095" i="3"/>
  <c r="H1095" i="3" s="1"/>
  <c r="I1094" i="3"/>
  <c r="J1094" i="3" s="1"/>
  <c r="G1094" i="3"/>
  <c r="H1094" i="3" s="1"/>
  <c r="I1093" i="3"/>
  <c r="J1093" i="3" s="1"/>
  <c r="G1093" i="3"/>
  <c r="H1093" i="3" s="1"/>
  <c r="I1092" i="3"/>
  <c r="J1092" i="3" s="1"/>
  <c r="G1092" i="3"/>
  <c r="H1092" i="3" s="1"/>
  <c r="I1086" i="3"/>
  <c r="J1086" i="3" s="1"/>
  <c r="G1086" i="3"/>
  <c r="H1086" i="3" s="1"/>
  <c r="I1085" i="3"/>
  <c r="J1085" i="3" s="1"/>
  <c r="G1085" i="3"/>
  <c r="H1085" i="3" s="1"/>
  <c r="I1084" i="3"/>
  <c r="J1084" i="3" s="1"/>
  <c r="G1084" i="3"/>
  <c r="H1084" i="3" s="1"/>
  <c r="I1072" i="3"/>
  <c r="J1072" i="3" s="1"/>
  <c r="G1072" i="3"/>
  <c r="H1072" i="3" s="1"/>
  <c r="I1071" i="3"/>
  <c r="J1071" i="3" s="1"/>
  <c r="G1071" i="3"/>
  <c r="H1071" i="3" s="1"/>
  <c r="I1070" i="3"/>
  <c r="J1070" i="3" s="1"/>
  <c r="G1070" i="3"/>
  <c r="H1070" i="3" s="1"/>
  <c r="I1067" i="3"/>
  <c r="J1067" i="3" s="1"/>
  <c r="G1067" i="3"/>
  <c r="H1067" i="3" s="1"/>
  <c r="I1066" i="3"/>
  <c r="J1066" i="3" s="1"/>
  <c r="G1066" i="3"/>
  <c r="H1066" i="3" s="1"/>
  <c r="I1065" i="3"/>
  <c r="J1065" i="3" s="1"/>
  <c r="G1065" i="3"/>
  <c r="H1065" i="3" s="1"/>
  <c r="I1064" i="3"/>
  <c r="J1064" i="3" s="1"/>
  <c r="G1064" i="3"/>
  <c r="H1064" i="3" s="1"/>
  <c r="I1063" i="3"/>
  <c r="J1063" i="3" s="1"/>
  <c r="G1063" i="3"/>
  <c r="H1063" i="3" s="1"/>
  <c r="I1062" i="3"/>
  <c r="J1062" i="3" s="1"/>
  <c r="G1062" i="3"/>
  <c r="H1062" i="3" s="1"/>
  <c r="I1056" i="3"/>
  <c r="J1056" i="3" s="1"/>
  <c r="G1056" i="3"/>
  <c r="H1056" i="3" s="1"/>
  <c r="I1055" i="3"/>
  <c r="J1055" i="3" s="1"/>
  <c r="G1055" i="3"/>
  <c r="H1055" i="3" s="1"/>
  <c r="I1054" i="3"/>
  <c r="J1054" i="3" s="1"/>
  <c r="G1054" i="3"/>
  <c r="H1054" i="3" s="1"/>
  <c r="I1042" i="3"/>
  <c r="J1042" i="3" s="1"/>
  <c r="G1042" i="3"/>
  <c r="H1042" i="3" s="1"/>
  <c r="I1041" i="3"/>
  <c r="J1041" i="3" s="1"/>
  <c r="G1041" i="3"/>
  <c r="H1041" i="3" s="1"/>
  <c r="I1040" i="3"/>
  <c r="J1040" i="3" s="1"/>
  <c r="G1040" i="3"/>
  <c r="H1040" i="3" s="1"/>
  <c r="I1039" i="3"/>
  <c r="J1039" i="3" s="1"/>
  <c r="G1039" i="3"/>
  <c r="H1039" i="3" s="1"/>
  <c r="I1038" i="3"/>
  <c r="J1038" i="3" s="1"/>
  <c r="G1038" i="3"/>
  <c r="H1038" i="3" s="1"/>
  <c r="I1037" i="3"/>
  <c r="J1037" i="3" s="1"/>
  <c r="G1037" i="3"/>
  <c r="H1037" i="3" s="1"/>
  <c r="I1036" i="3"/>
  <c r="J1036" i="3" s="1"/>
  <c r="G1036" i="3"/>
  <c r="H1036" i="3" s="1"/>
  <c r="I1035" i="3"/>
  <c r="J1035" i="3" s="1"/>
  <c r="G1035" i="3"/>
  <c r="H1035" i="3" s="1"/>
  <c r="I1034" i="3"/>
  <c r="J1034" i="3" s="1"/>
  <c r="G1034" i="3"/>
  <c r="H1034" i="3" s="1"/>
  <c r="I1033" i="3"/>
  <c r="J1033" i="3" s="1"/>
  <c r="G1033" i="3"/>
  <c r="H1033" i="3" s="1"/>
  <c r="I1032" i="3"/>
  <c r="J1032" i="3" s="1"/>
  <c r="G1032" i="3"/>
  <c r="H1032" i="3" s="1"/>
  <c r="I1026" i="3"/>
  <c r="J1026" i="3" s="1"/>
  <c r="G1026" i="3"/>
  <c r="H1026" i="3" s="1"/>
  <c r="I1025" i="3"/>
  <c r="J1025" i="3" s="1"/>
  <c r="G1025" i="3"/>
  <c r="H1025" i="3" s="1"/>
  <c r="I1024" i="3"/>
  <c r="J1024" i="3" s="1"/>
  <c r="G1024" i="3"/>
  <c r="H1024" i="3" s="1"/>
  <c r="I1012" i="3"/>
  <c r="J1012" i="3" s="1"/>
  <c r="G1012" i="3"/>
  <c r="H1012" i="3" s="1"/>
  <c r="I1011" i="3"/>
  <c r="J1011" i="3" s="1"/>
  <c r="G1011" i="3"/>
  <c r="H1011" i="3" s="1"/>
  <c r="I1010" i="3"/>
  <c r="J1010" i="3" s="1"/>
  <c r="G1010" i="3"/>
  <c r="H1010" i="3" s="1"/>
  <c r="I1009" i="3"/>
  <c r="J1009" i="3" s="1"/>
  <c r="G1009" i="3"/>
  <c r="H1009" i="3" s="1"/>
  <c r="I1008" i="3"/>
  <c r="J1008" i="3" s="1"/>
  <c r="G1008" i="3"/>
  <c r="H1008" i="3" s="1"/>
  <c r="I1007" i="3"/>
  <c r="J1007" i="3" s="1"/>
  <c r="G1007" i="3"/>
  <c r="H1007" i="3" s="1"/>
  <c r="I1006" i="3"/>
  <c r="J1006" i="3" s="1"/>
  <c r="G1006" i="3"/>
  <c r="H1006" i="3" s="1"/>
  <c r="I1005" i="3"/>
  <c r="J1005" i="3" s="1"/>
  <c r="G1005" i="3"/>
  <c r="H1005" i="3" s="1"/>
  <c r="I1004" i="3"/>
  <c r="J1004" i="3" s="1"/>
  <c r="G1004" i="3"/>
  <c r="H1004" i="3" s="1"/>
  <c r="I1003" i="3"/>
  <c r="J1003" i="3" s="1"/>
  <c r="G1003" i="3"/>
  <c r="H1003" i="3" s="1"/>
  <c r="I1002" i="3"/>
  <c r="J1002" i="3" s="1"/>
  <c r="G1002" i="3"/>
  <c r="H1002" i="3" s="1"/>
  <c r="I996" i="3"/>
  <c r="J996" i="3" s="1"/>
  <c r="G996" i="3"/>
  <c r="H996" i="3" s="1"/>
  <c r="I995" i="3"/>
  <c r="J995" i="3" s="1"/>
  <c r="G995" i="3"/>
  <c r="H995" i="3" s="1"/>
  <c r="I994" i="3"/>
  <c r="J994" i="3" s="1"/>
  <c r="G994" i="3"/>
  <c r="H994" i="3" s="1"/>
  <c r="I982" i="3"/>
  <c r="J982" i="3" s="1"/>
  <c r="G982" i="3"/>
  <c r="H982" i="3" s="1"/>
  <c r="I981" i="3"/>
  <c r="J981" i="3" s="1"/>
  <c r="G981" i="3"/>
  <c r="H981" i="3" s="1"/>
  <c r="I980" i="3"/>
  <c r="J980" i="3" s="1"/>
  <c r="G980" i="3"/>
  <c r="H980" i="3" s="1"/>
  <c r="I979" i="3"/>
  <c r="J979" i="3" s="1"/>
  <c r="G979" i="3"/>
  <c r="H979" i="3" s="1"/>
  <c r="I978" i="3"/>
  <c r="J978" i="3" s="1"/>
  <c r="G978" i="3"/>
  <c r="H978" i="3" s="1"/>
  <c r="I976" i="3"/>
  <c r="J976" i="3" s="1"/>
  <c r="G976" i="3"/>
  <c r="H976" i="3" s="1"/>
  <c r="I975" i="3"/>
  <c r="J975" i="3" s="1"/>
  <c r="G975" i="3"/>
  <c r="H975" i="3" s="1"/>
  <c r="I974" i="3"/>
  <c r="J974" i="3" s="1"/>
  <c r="G974" i="3"/>
  <c r="H974" i="3" s="1"/>
  <c r="I973" i="3"/>
  <c r="J973" i="3" s="1"/>
  <c r="G973" i="3"/>
  <c r="H973" i="3" s="1"/>
  <c r="I972" i="3"/>
  <c r="J972" i="3" s="1"/>
  <c r="G972" i="3"/>
  <c r="H972" i="3" s="1"/>
  <c r="I966" i="3"/>
  <c r="J966" i="3" s="1"/>
  <c r="G966" i="3"/>
  <c r="H966" i="3" s="1"/>
  <c r="I965" i="3"/>
  <c r="J965" i="3" s="1"/>
  <c r="G965" i="3"/>
  <c r="H965" i="3" s="1"/>
  <c r="I964" i="3"/>
  <c r="J964" i="3" s="1"/>
  <c r="G964" i="3"/>
  <c r="H964" i="3" s="1"/>
  <c r="I952" i="3"/>
  <c r="J952" i="3" s="1"/>
  <c r="G952" i="3"/>
  <c r="H952" i="3" s="1"/>
  <c r="I951" i="3"/>
  <c r="J951" i="3" s="1"/>
  <c r="G951" i="3"/>
  <c r="H951" i="3" s="1"/>
  <c r="I950" i="3"/>
  <c r="J950" i="3" s="1"/>
  <c r="G950" i="3"/>
  <c r="H950" i="3" s="1"/>
  <c r="I947" i="3"/>
  <c r="J947" i="3" s="1"/>
  <c r="G947" i="3"/>
  <c r="H947" i="3" s="1"/>
  <c r="I946" i="3"/>
  <c r="J946" i="3" s="1"/>
  <c r="G946" i="3"/>
  <c r="H946" i="3" s="1"/>
  <c r="I945" i="3"/>
  <c r="J945" i="3" s="1"/>
  <c r="G945" i="3"/>
  <c r="H945" i="3" s="1"/>
  <c r="I944" i="3"/>
  <c r="J944" i="3" s="1"/>
  <c r="G944" i="3"/>
  <c r="H944" i="3" s="1"/>
  <c r="I943" i="3"/>
  <c r="J943" i="3" s="1"/>
  <c r="G943" i="3"/>
  <c r="H943" i="3" s="1"/>
  <c r="I942" i="3"/>
  <c r="J942" i="3" s="1"/>
  <c r="G942" i="3"/>
  <c r="H942" i="3" s="1"/>
  <c r="I936" i="3"/>
  <c r="J936" i="3" s="1"/>
  <c r="G936" i="3"/>
  <c r="H936" i="3" s="1"/>
  <c r="I935" i="3"/>
  <c r="J935" i="3" s="1"/>
  <c r="G935" i="3"/>
  <c r="H935" i="3" s="1"/>
  <c r="I934" i="3"/>
  <c r="J934" i="3" s="1"/>
  <c r="G934" i="3"/>
  <c r="H934" i="3" s="1"/>
  <c r="I922" i="3"/>
  <c r="J922" i="3" s="1"/>
  <c r="G922" i="3"/>
  <c r="H922" i="3" s="1"/>
  <c r="I921" i="3"/>
  <c r="J921" i="3" s="1"/>
  <c r="G921" i="3"/>
  <c r="H921" i="3" s="1"/>
  <c r="I920" i="3"/>
  <c r="J920" i="3" s="1"/>
  <c r="G920" i="3"/>
  <c r="H920" i="3" s="1"/>
  <c r="I917" i="3"/>
  <c r="J917" i="3" s="1"/>
  <c r="G917" i="3"/>
  <c r="H917" i="3" s="1"/>
  <c r="I916" i="3"/>
  <c r="J916" i="3" s="1"/>
  <c r="G916" i="3"/>
  <c r="H916" i="3" s="1"/>
  <c r="I915" i="3"/>
  <c r="J915" i="3" s="1"/>
  <c r="G915" i="3"/>
  <c r="H915" i="3" s="1"/>
  <c r="I914" i="3"/>
  <c r="J914" i="3" s="1"/>
  <c r="G914" i="3"/>
  <c r="H914" i="3" s="1"/>
  <c r="I913" i="3"/>
  <c r="J913" i="3" s="1"/>
  <c r="G913" i="3"/>
  <c r="H913" i="3" s="1"/>
  <c r="I912" i="3"/>
  <c r="J912" i="3" s="1"/>
  <c r="G912" i="3"/>
  <c r="H912" i="3" s="1"/>
  <c r="I904" i="3"/>
  <c r="J904" i="3" s="1"/>
  <c r="G904" i="3"/>
  <c r="H904" i="3" s="1"/>
  <c r="I895" i="3"/>
  <c r="J895" i="3" s="1"/>
  <c r="G895" i="3"/>
  <c r="H895" i="3" s="1"/>
  <c r="I894" i="3"/>
  <c r="J894" i="3" s="1"/>
  <c r="G894" i="3"/>
  <c r="H894" i="3" s="1"/>
  <c r="I893" i="3"/>
  <c r="J893" i="3" s="1"/>
  <c r="G893" i="3"/>
  <c r="H893" i="3" s="1"/>
  <c r="I892" i="3"/>
  <c r="J892" i="3" s="1"/>
  <c r="G892" i="3"/>
  <c r="H892" i="3" s="1"/>
  <c r="I891" i="3"/>
  <c r="J891" i="3" s="1"/>
  <c r="G891" i="3"/>
  <c r="H891" i="3" s="1"/>
  <c r="I890" i="3"/>
  <c r="J890" i="3" s="1"/>
  <c r="G890" i="3"/>
  <c r="H890" i="3" s="1"/>
  <c r="I889" i="3"/>
  <c r="J889" i="3" s="1"/>
  <c r="G889" i="3"/>
  <c r="H889" i="3" s="1"/>
  <c r="I888" i="3"/>
  <c r="J888" i="3" s="1"/>
  <c r="G888" i="3"/>
  <c r="H888" i="3" s="1"/>
  <c r="I887" i="3"/>
  <c r="J887" i="3" s="1"/>
  <c r="G887" i="3"/>
  <c r="H887" i="3" s="1"/>
  <c r="I886" i="3"/>
  <c r="J886" i="3" s="1"/>
  <c r="G886" i="3"/>
  <c r="H886" i="3" s="1"/>
  <c r="I880" i="3"/>
  <c r="J880" i="3" s="1"/>
  <c r="G880" i="3"/>
  <c r="H880" i="3" s="1"/>
  <c r="I879" i="3"/>
  <c r="J879" i="3" s="1"/>
  <c r="G879" i="3"/>
  <c r="H879" i="3" s="1"/>
  <c r="I878" i="3"/>
  <c r="J878" i="3" s="1"/>
  <c r="G878" i="3"/>
  <c r="H878" i="3" s="1"/>
  <c r="I869" i="3"/>
  <c r="J869" i="3" s="1"/>
  <c r="G869" i="3"/>
  <c r="H869" i="3" s="1"/>
  <c r="I868" i="3"/>
  <c r="J868" i="3" s="1"/>
  <c r="G868" i="3"/>
  <c r="H868" i="3" s="1"/>
  <c r="I867" i="3"/>
  <c r="J867" i="3" s="1"/>
  <c r="G867" i="3"/>
  <c r="H867" i="3" s="1"/>
  <c r="I866" i="3"/>
  <c r="J866" i="3" s="1"/>
  <c r="G866" i="3"/>
  <c r="H866" i="3" s="1"/>
  <c r="I865" i="3"/>
  <c r="J865" i="3" s="1"/>
  <c r="G865" i="3"/>
  <c r="H865" i="3" s="1"/>
  <c r="I864" i="3"/>
  <c r="J864" i="3" s="1"/>
  <c r="G864" i="3"/>
  <c r="H864" i="3" s="1"/>
  <c r="I863" i="3"/>
  <c r="J863" i="3" s="1"/>
  <c r="G863" i="3"/>
  <c r="H863" i="3" s="1"/>
  <c r="I862" i="3"/>
  <c r="J862" i="3" s="1"/>
  <c r="G862" i="3"/>
  <c r="H862" i="3" s="1"/>
  <c r="I861" i="3"/>
  <c r="J861" i="3" s="1"/>
  <c r="G861" i="3"/>
  <c r="H861" i="3" s="1"/>
  <c r="I860" i="3"/>
  <c r="J860" i="3" s="1"/>
  <c r="G860" i="3"/>
  <c r="H860" i="3" s="1"/>
  <c r="I854" i="3"/>
  <c r="J854" i="3" s="1"/>
  <c r="G854" i="3"/>
  <c r="H854" i="3" s="1"/>
  <c r="I853" i="3"/>
  <c r="J853" i="3" s="1"/>
  <c r="G853" i="3"/>
  <c r="H853" i="3" s="1"/>
  <c r="I852" i="3"/>
  <c r="J852" i="3" s="1"/>
  <c r="G852" i="3"/>
  <c r="H852" i="3" s="1"/>
  <c r="I844" i="3"/>
  <c r="J844" i="3" s="1"/>
  <c r="G844" i="3"/>
  <c r="H844" i="3" s="1"/>
  <c r="I843" i="3"/>
  <c r="J843" i="3" s="1"/>
  <c r="G843" i="3"/>
  <c r="H843" i="3" s="1"/>
  <c r="I842" i="3"/>
  <c r="J842" i="3" s="1"/>
  <c r="G842" i="3"/>
  <c r="H842" i="3" s="1"/>
  <c r="I841" i="3"/>
  <c r="J841" i="3" s="1"/>
  <c r="G841" i="3"/>
  <c r="H841" i="3" s="1"/>
  <c r="I840" i="3"/>
  <c r="J840" i="3" s="1"/>
  <c r="G840" i="3"/>
  <c r="H840" i="3" s="1"/>
  <c r="I839" i="3"/>
  <c r="J839" i="3" s="1"/>
  <c r="G839" i="3"/>
  <c r="H839" i="3" s="1"/>
  <c r="I838" i="3"/>
  <c r="J838" i="3" s="1"/>
  <c r="G838" i="3"/>
  <c r="H838" i="3" s="1"/>
  <c r="I837" i="3"/>
  <c r="J837" i="3" s="1"/>
  <c r="G837" i="3"/>
  <c r="H837" i="3" s="1"/>
  <c r="I836" i="3"/>
  <c r="J836" i="3" s="1"/>
  <c r="G836" i="3"/>
  <c r="H836" i="3" s="1"/>
  <c r="I835" i="3"/>
  <c r="J835" i="3" s="1"/>
  <c r="G835" i="3"/>
  <c r="H835" i="3" s="1"/>
  <c r="I829" i="3"/>
  <c r="J829" i="3" s="1"/>
  <c r="G829" i="3"/>
  <c r="H829" i="3" s="1"/>
  <c r="I828" i="3"/>
  <c r="J828" i="3" s="1"/>
  <c r="G828" i="3"/>
  <c r="H828" i="3" s="1"/>
  <c r="I827" i="3"/>
  <c r="J827" i="3" s="1"/>
  <c r="G827" i="3"/>
  <c r="H827" i="3" s="1"/>
  <c r="I815" i="3"/>
  <c r="J815" i="3" s="1"/>
  <c r="G815" i="3"/>
  <c r="H815" i="3" s="1"/>
  <c r="I814" i="3"/>
  <c r="J814" i="3" s="1"/>
  <c r="G814" i="3"/>
  <c r="H814" i="3" s="1"/>
  <c r="I813" i="3"/>
  <c r="J813" i="3" s="1"/>
  <c r="G813" i="3"/>
  <c r="H813" i="3" s="1"/>
  <c r="I812" i="3"/>
  <c r="J812" i="3" s="1"/>
  <c r="G812" i="3"/>
  <c r="H812" i="3" s="1"/>
  <c r="I811" i="3"/>
  <c r="J811" i="3" s="1"/>
  <c r="G811" i="3"/>
  <c r="H811" i="3" s="1"/>
  <c r="I810" i="3"/>
  <c r="J810" i="3" s="1"/>
  <c r="G810" i="3"/>
  <c r="H810" i="3" s="1"/>
  <c r="I809" i="3"/>
  <c r="J809" i="3" s="1"/>
  <c r="G809" i="3"/>
  <c r="H809" i="3" s="1"/>
  <c r="I808" i="3"/>
  <c r="J808" i="3" s="1"/>
  <c r="G808" i="3"/>
  <c r="H808" i="3" s="1"/>
  <c r="I807" i="3"/>
  <c r="J807" i="3" s="1"/>
  <c r="G807" i="3"/>
  <c r="H807" i="3" s="1"/>
  <c r="I806" i="3"/>
  <c r="J806" i="3" s="1"/>
  <c r="G806" i="3"/>
  <c r="H806" i="3" s="1"/>
  <c r="I805" i="3"/>
  <c r="J805" i="3" s="1"/>
  <c r="G805" i="3"/>
  <c r="H805" i="3" s="1"/>
  <c r="I799" i="3"/>
  <c r="J799" i="3" s="1"/>
  <c r="G799" i="3"/>
  <c r="H799" i="3" s="1"/>
  <c r="I798" i="3"/>
  <c r="J798" i="3" s="1"/>
  <c r="G798" i="3"/>
  <c r="H798" i="3" s="1"/>
  <c r="I797" i="3"/>
  <c r="J797" i="3" s="1"/>
  <c r="G797" i="3"/>
  <c r="H797" i="3" s="1"/>
  <c r="I785" i="3"/>
  <c r="J785" i="3" s="1"/>
  <c r="G785" i="3"/>
  <c r="H785" i="3" s="1"/>
  <c r="I784" i="3"/>
  <c r="J784" i="3" s="1"/>
  <c r="G784" i="3"/>
  <c r="H784" i="3" s="1"/>
  <c r="I783" i="3"/>
  <c r="J783" i="3" s="1"/>
  <c r="G783" i="3"/>
  <c r="H783" i="3" s="1"/>
  <c r="I782" i="3"/>
  <c r="J782" i="3" s="1"/>
  <c r="G782" i="3"/>
  <c r="H782" i="3" s="1"/>
  <c r="I781" i="3"/>
  <c r="J781" i="3" s="1"/>
  <c r="G781" i="3"/>
  <c r="H781" i="3" s="1"/>
  <c r="I780" i="3"/>
  <c r="J780" i="3" s="1"/>
  <c r="G780" i="3"/>
  <c r="H780" i="3" s="1"/>
  <c r="I779" i="3"/>
  <c r="J779" i="3" s="1"/>
  <c r="G779" i="3"/>
  <c r="H779" i="3" s="1"/>
  <c r="I778" i="3"/>
  <c r="J778" i="3" s="1"/>
  <c r="G778" i="3"/>
  <c r="H778" i="3" s="1"/>
  <c r="I777" i="3"/>
  <c r="J777" i="3" s="1"/>
  <c r="G777" i="3"/>
  <c r="H777" i="3" s="1"/>
  <c r="I776" i="3"/>
  <c r="J776" i="3" s="1"/>
  <c r="G776" i="3"/>
  <c r="H776" i="3" s="1"/>
  <c r="I775" i="3"/>
  <c r="J775" i="3" s="1"/>
  <c r="G775" i="3"/>
  <c r="H775" i="3" s="1"/>
  <c r="I769" i="3"/>
  <c r="J769" i="3" s="1"/>
  <c r="G769" i="3"/>
  <c r="H769" i="3" s="1"/>
  <c r="I768" i="3"/>
  <c r="J768" i="3" s="1"/>
  <c r="G768" i="3"/>
  <c r="H768" i="3" s="1"/>
  <c r="I767" i="3"/>
  <c r="J767" i="3" s="1"/>
  <c r="G767" i="3"/>
  <c r="H767" i="3" s="1"/>
  <c r="I755" i="3"/>
  <c r="J755" i="3" s="1"/>
  <c r="G755" i="3"/>
  <c r="H755" i="3" s="1"/>
  <c r="I754" i="3"/>
  <c r="J754" i="3" s="1"/>
  <c r="G754" i="3"/>
  <c r="H754" i="3" s="1"/>
  <c r="I753" i="3"/>
  <c r="J753" i="3" s="1"/>
  <c r="G753" i="3"/>
  <c r="H753" i="3" s="1"/>
  <c r="I752" i="3"/>
  <c r="J752" i="3" s="1"/>
  <c r="G752" i="3"/>
  <c r="H752" i="3" s="1"/>
  <c r="I751" i="3"/>
  <c r="J751" i="3" s="1"/>
  <c r="G751" i="3"/>
  <c r="H751" i="3" s="1"/>
  <c r="I750" i="3"/>
  <c r="J750" i="3" s="1"/>
  <c r="G750" i="3"/>
  <c r="H750" i="3" s="1"/>
  <c r="I749" i="3"/>
  <c r="J749" i="3" s="1"/>
  <c r="G749" i="3"/>
  <c r="H749" i="3" s="1"/>
  <c r="I748" i="3"/>
  <c r="J748" i="3" s="1"/>
  <c r="G748" i="3"/>
  <c r="H748" i="3" s="1"/>
  <c r="I747" i="3"/>
  <c r="J747" i="3" s="1"/>
  <c r="G747" i="3"/>
  <c r="H747" i="3" s="1"/>
  <c r="I746" i="3"/>
  <c r="J746" i="3" s="1"/>
  <c r="G746" i="3"/>
  <c r="H746" i="3" s="1"/>
  <c r="I745" i="3"/>
  <c r="J745" i="3" s="1"/>
  <c r="G745" i="3"/>
  <c r="H745" i="3" s="1"/>
  <c r="I739" i="3"/>
  <c r="J739" i="3" s="1"/>
  <c r="G739" i="3"/>
  <c r="H739" i="3" s="1"/>
  <c r="I738" i="3"/>
  <c r="J738" i="3" s="1"/>
  <c r="G738" i="3"/>
  <c r="H738" i="3" s="1"/>
  <c r="I737" i="3"/>
  <c r="J737" i="3" s="1"/>
  <c r="G737" i="3"/>
  <c r="H737" i="3" s="1"/>
  <c r="I725" i="3"/>
  <c r="J725" i="3" s="1"/>
  <c r="G725" i="3"/>
  <c r="H725" i="3" s="1"/>
  <c r="I724" i="3"/>
  <c r="J724" i="3" s="1"/>
  <c r="G724" i="3"/>
  <c r="H724" i="3" s="1"/>
  <c r="I723" i="3"/>
  <c r="J723" i="3" s="1"/>
  <c r="G723" i="3"/>
  <c r="H723" i="3" s="1"/>
  <c r="I720" i="3"/>
  <c r="J720" i="3" s="1"/>
  <c r="G720" i="3"/>
  <c r="H720" i="3" s="1"/>
  <c r="I719" i="3"/>
  <c r="J719" i="3" s="1"/>
  <c r="G719" i="3"/>
  <c r="H719" i="3" s="1"/>
  <c r="I718" i="3"/>
  <c r="J718" i="3" s="1"/>
  <c r="G718" i="3"/>
  <c r="H718" i="3" s="1"/>
  <c r="I717" i="3"/>
  <c r="J717" i="3" s="1"/>
  <c r="G717" i="3"/>
  <c r="H717" i="3" s="1"/>
  <c r="I716" i="3"/>
  <c r="J716" i="3" s="1"/>
  <c r="G716" i="3"/>
  <c r="H716" i="3" s="1"/>
  <c r="I715" i="3"/>
  <c r="J715" i="3" s="1"/>
  <c r="G715" i="3"/>
  <c r="H715" i="3" s="1"/>
  <c r="I709" i="3"/>
  <c r="J709" i="3" s="1"/>
  <c r="G709" i="3"/>
  <c r="H709" i="3" s="1"/>
  <c r="I708" i="3"/>
  <c r="J708" i="3" s="1"/>
  <c r="G708" i="3"/>
  <c r="H708" i="3" s="1"/>
  <c r="I706" i="3"/>
  <c r="J706" i="3" s="1"/>
  <c r="G706" i="3"/>
  <c r="H706" i="3" s="1"/>
  <c r="I699" i="3"/>
  <c r="J699" i="3" s="1"/>
  <c r="G699" i="3"/>
  <c r="H699" i="3" s="1"/>
  <c r="I698" i="3"/>
  <c r="J698" i="3" s="1"/>
  <c r="G698" i="3"/>
  <c r="H698" i="3" s="1"/>
  <c r="I697" i="3"/>
  <c r="J697" i="3" s="1"/>
  <c r="G697" i="3"/>
  <c r="H697" i="3" s="1"/>
  <c r="I696" i="3"/>
  <c r="J696" i="3" s="1"/>
  <c r="G696" i="3"/>
  <c r="H696" i="3" s="1"/>
  <c r="I689" i="3"/>
  <c r="J689" i="3" s="1"/>
  <c r="G689" i="3"/>
  <c r="H689" i="3" s="1"/>
  <c r="I688" i="3"/>
  <c r="J688" i="3" s="1"/>
  <c r="G688" i="3"/>
  <c r="H688" i="3" s="1"/>
  <c r="I687" i="3"/>
  <c r="J687" i="3" s="1"/>
  <c r="G687" i="3"/>
  <c r="H687" i="3" s="1"/>
  <c r="I686" i="3"/>
  <c r="J686" i="3" s="1"/>
  <c r="G686" i="3"/>
  <c r="H686" i="3" s="1"/>
  <c r="I679" i="3"/>
  <c r="J679" i="3" s="1"/>
  <c r="G679" i="3"/>
  <c r="H679" i="3" s="1"/>
  <c r="I673" i="3"/>
  <c r="J673" i="3" s="1"/>
  <c r="G673" i="3"/>
  <c r="H673" i="3" s="1"/>
  <c r="I672" i="3"/>
  <c r="J672" i="3" s="1"/>
  <c r="G672" i="3"/>
  <c r="H672" i="3" s="1"/>
  <c r="I671" i="3"/>
  <c r="J671" i="3" s="1"/>
  <c r="G671" i="3"/>
  <c r="H671" i="3" s="1"/>
  <c r="I663" i="3"/>
  <c r="J663" i="3" s="1"/>
  <c r="G663" i="3"/>
  <c r="H663" i="3" s="1"/>
  <c r="I662" i="3"/>
  <c r="J662" i="3" s="1"/>
  <c r="G662" i="3"/>
  <c r="H662" i="3" s="1"/>
  <c r="I661" i="3"/>
  <c r="J661" i="3" s="1"/>
  <c r="G661" i="3"/>
  <c r="H661" i="3" s="1"/>
  <c r="I660" i="3"/>
  <c r="G660" i="3"/>
  <c r="I659" i="3"/>
  <c r="J659" i="3" s="1"/>
  <c r="G659" i="3"/>
  <c r="H659" i="3" s="1"/>
  <c r="I658" i="3"/>
  <c r="G658" i="3"/>
  <c r="I657" i="3"/>
  <c r="J657" i="3" s="1"/>
  <c r="G657" i="3"/>
  <c r="H657" i="3" s="1"/>
  <c r="I650" i="3"/>
  <c r="J650" i="3" s="1"/>
  <c r="G650" i="3"/>
  <c r="H650" i="3" s="1"/>
  <c r="I649" i="3"/>
  <c r="J649" i="3" s="1"/>
  <c r="G649" i="3"/>
  <c r="H649" i="3" s="1"/>
  <c r="I648" i="3"/>
  <c r="J648" i="3" s="1"/>
  <c r="G648" i="3"/>
  <c r="H648" i="3" s="1"/>
  <c r="I647" i="3"/>
  <c r="G647" i="3"/>
  <c r="I646" i="3"/>
  <c r="J646" i="3" s="1"/>
  <c r="G646" i="3"/>
  <c r="H646" i="3" s="1"/>
  <c r="I645" i="3"/>
  <c r="G645" i="3"/>
  <c r="I644" i="3"/>
  <c r="J644" i="3" s="1"/>
  <c r="G644" i="3"/>
  <c r="H644" i="3" s="1"/>
  <c r="I637" i="3"/>
  <c r="J637" i="3" s="1"/>
  <c r="G637" i="3"/>
  <c r="H637" i="3" s="1"/>
  <c r="I636" i="3"/>
  <c r="J636" i="3" s="1"/>
  <c r="G636" i="3"/>
  <c r="H636" i="3" s="1"/>
  <c r="I635" i="3"/>
  <c r="J635" i="3" s="1"/>
  <c r="G635" i="3"/>
  <c r="H635" i="3" s="1"/>
  <c r="I634" i="3"/>
  <c r="G634" i="3"/>
  <c r="I633" i="3"/>
  <c r="J633" i="3" s="1"/>
  <c r="G633" i="3"/>
  <c r="H633" i="3" s="1"/>
  <c r="I632" i="3"/>
  <c r="G632" i="3"/>
  <c r="I631" i="3"/>
  <c r="J631" i="3" s="1"/>
  <c r="G631" i="3"/>
  <c r="H631" i="3" s="1"/>
  <c r="I624" i="3"/>
  <c r="J624" i="3" s="1"/>
  <c r="G624" i="3"/>
  <c r="H624" i="3" s="1"/>
  <c r="I623" i="3"/>
  <c r="J623" i="3" s="1"/>
  <c r="G623" i="3"/>
  <c r="H623" i="3" s="1"/>
  <c r="I622" i="3"/>
  <c r="J622" i="3" s="1"/>
  <c r="G622" i="3"/>
  <c r="H622" i="3" s="1"/>
  <c r="I621" i="3"/>
  <c r="G621" i="3"/>
  <c r="I620" i="3"/>
  <c r="J620" i="3" s="1"/>
  <c r="G620" i="3"/>
  <c r="H620" i="3" s="1"/>
  <c r="I619" i="3"/>
  <c r="G619" i="3"/>
  <c r="I618" i="3"/>
  <c r="J618" i="3" s="1"/>
  <c r="G618" i="3"/>
  <c r="H618" i="3" s="1"/>
  <c r="I611" i="3"/>
  <c r="J611" i="3" s="1"/>
  <c r="G611" i="3"/>
  <c r="H611" i="3" s="1"/>
  <c r="I610" i="3"/>
  <c r="J610" i="3" s="1"/>
  <c r="G610" i="3"/>
  <c r="H610" i="3" s="1"/>
  <c r="I609" i="3"/>
  <c r="J609" i="3" s="1"/>
  <c r="G609" i="3"/>
  <c r="H609" i="3" s="1"/>
  <c r="I608" i="3"/>
  <c r="G608" i="3"/>
  <c r="I607" i="3"/>
  <c r="J607" i="3" s="1"/>
  <c r="G607" i="3"/>
  <c r="H607" i="3" s="1"/>
  <c r="I606" i="3"/>
  <c r="G606" i="3"/>
  <c r="I605" i="3"/>
  <c r="J605" i="3" s="1"/>
  <c r="G605" i="3"/>
  <c r="H605" i="3" s="1"/>
  <c r="I598" i="3"/>
  <c r="J598" i="3" s="1"/>
  <c r="G598" i="3"/>
  <c r="H598" i="3" s="1"/>
  <c r="I597" i="3"/>
  <c r="J597" i="3" s="1"/>
  <c r="G597" i="3"/>
  <c r="H597" i="3" s="1"/>
  <c r="I596" i="3"/>
  <c r="J596" i="3" s="1"/>
  <c r="G596" i="3"/>
  <c r="H596" i="3" s="1"/>
  <c r="I595" i="3"/>
  <c r="G595" i="3"/>
  <c r="I594" i="3"/>
  <c r="J594" i="3" s="1"/>
  <c r="G594" i="3"/>
  <c r="H594" i="3" s="1"/>
  <c r="I593" i="3"/>
  <c r="G593" i="3"/>
  <c r="I592" i="3"/>
  <c r="J592" i="3" s="1"/>
  <c r="G592" i="3"/>
  <c r="H592" i="3" s="1"/>
  <c r="I585" i="3"/>
  <c r="J585" i="3" s="1"/>
  <c r="G585" i="3"/>
  <c r="H585" i="3" s="1"/>
  <c r="I584" i="3"/>
  <c r="J584" i="3" s="1"/>
  <c r="G584" i="3"/>
  <c r="H584" i="3" s="1"/>
  <c r="I583" i="3"/>
  <c r="J583" i="3" s="1"/>
  <c r="G583" i="3"/>
  <c r="H583" i="3" s="1"/>
  <c r="I582" i="3"/>
  <c r="G582" i="3"/>
  <c r="I581" i="3"/>
  <c r="J581" i="3" s="1"/>
  <c r="G581" i="3"/>
  <c r="H581" i="3" s="1"/>
  <c r="I580" i="3"/>
  <c r="G580" i="3"/>
  <c r="I579" i="3"/>
  <c r="J579" i="3" s="1"/>
  <c r="G579" i="3"/>
  <c r="H579" i="3" s="1"/>
  <c r="I572" i="3"/>
  <c r="J572" i="3" s="1"/>
  <c r="G572" i="3"/>
  <c r="H572" i="3" s="1"/>
  <c r="I571" i="3"/>
  <c r="J571" i="3" s="1"/>
  <c r="G571" i="3"/>
  <c r="H571" i="3" s="1"/>
  <c r="I563" i="3"/>
  <c r="J563" i="3" s="1"/>
  <c r="G563" i="3"/>
  <c r="H563" i="3" s="1"/>
  <c r="I562" i="3"/>
  <c r="J562" i="3" s="1"/>
  <c r="G562" i="3"/>
  <c r="H562" i="3" s="1"/>
  <c r="I554" i="3"/>
  <c r="J554" i="3" s="1"/>
  <c r="G554" i="3"/>
  <c r="H554" i="3" s="1"/>
  <c r="I553" i="3"/>
  <c r="J553" i="3" s="1"/>
  <c r="G553" i="3"/>
  <c r="H553" i="3" s="1"/>
  <c r="I552" i="3"/>
  <c r="J552" i="3" s="1"/>
  <c r="G552" i="3"/>
  <c r="H552" i="3" s="1"/>
  <c r="I551" i="3"/>
  <c r="J551" i="3" s="1"/>
  <c r="G551" i="3"/>
  <c r="H551" i="3" s="1"/>
  <c r="I550" i="3"/>
  <c r="J550" i="3" s="1"/>
  <c r="G550" i="3"/>
  <c r="H550" i="3" s="1"/>
  <c r="I549" i="3"/>
  <c r="J549" i="3" s="1"/>
  <c r="G549" i="3"/>
  <c r="H549" i="3" s="1"/>
  <c r="I543" i="3"/>
  <c r="J543" i="3" s="1"/>
  <c r="G543" i="3"/>
  <c r="H543" i="3" s="1"/>
  <c r="I536" i="3"/>
  <c r="J536" i="3" s="1"/>
  <c r="G536" i="3"/>
  <c r="H536" i="3" s="1"/>
  <c r="I535" i="3"/>
  <c r="J535" i="3" s="1"/>
  <c r="G535" i="3"/>
  <c r="H535" i="3" s="1"/>
  <c r="I528" i="3"/>
  <c r="G528" i="3"/>
  <c r="I527" i="3"/>
  <c r="G527" i="3"/>
  <c r="I526" i="3"/>
  <c r="J526" i="3" s="1"/>
  <c r="G526" i="3"/>
  <c r="H526" i="3" s="1"/>
  <c r="I525" i="3"/>
  <c r="J525" i="3" s="1"/>
  <c r="G525" i="3"/>
  <c r="H525" i="3" s="1"/>
  <c r="I524" i="3"/>
  <c r="J524" i="3" s="1"/>
  <c r="G524" i="3"/>
  <c r="H524" i="3" s="1"/>
  <c r="I523" i="3"/>
  <c r="J523" i="3" s="1"/>
  <c r="G523" i="3"/>
  <c r="H523" i="3" s="1"/>
  <c r="I516" i="3"/>
  <c r="J516" i="3" s="1"/>
  <c r="G516" i="3"/>
  <c r="H516" i="3" s="1"/>
  <c r="I515" i="3"/>
  <c r="J515" i="3" s="1"/>
  <c r="G515" i="3"/>
  <c r="H515" i="3" s="1"/>
  <c r="I514" i="3"/>
  <c r="J514" i="3" s="1"/>
  <c r="G514" i="3"/>
  <c r="H514" i="3" s="1"/>
  <c r="I513" i="3"/>
  <c r="J513" i="3" s="1"/>
  <c r="G513" i="3"/>
  <c r="H513" i="3" s="1"/>
  <c r="I512" i="3"/>
  <c r="J512" i="3" s="1"/>
  <c r="G512" i="3"/>
  <c r="H512" i="3" s="1"/>
  <c r="I511" i="3"/>
  <c r="J511" i="3" s="1"/>
  <c r="G511" i="3"/>
  <c r="H511" i="3" s="1"/>
  <c r="I510" i="3"/>
  <c r="J510" i="3" s="1"/>
  <c r="G510" i="3"/>
  <c r="H510" i="3" s="1"/>
  <c r="I502" i="3"/>
  <c r="J502" i="3" s="1"/>
  <c r="G502" i="3"/>
  <c r="H502" i="3" s="1"/>
  <c r="I501" i="3"/>
  <c r="J501" i="3" s="1"/>
  <c r="G501" i="3"/>
  <c r="H501" i="3" s="1"/>
  <c r="I500" i="3"/>
  <c r="J500" i="3" s="1"/>
  <c r="G500" i="3"/>
  <c r="H500" i="3" s="1"/>
  <c r="I499" i="3"/>
  <c r="J499" i="3" s="1"/>
  <c r="G499" i="3"/>
  <c r="H499" i="3" s="1"/>
  <c r="I492" i="3"/>
  <c r="J492" i="3" s="1"/>
  <c r="G492" i="3"/>
  <c r="H492" i="3" s="1"/>
  <c r="I491" i="3"/>
  <c r="J491" i="3" s="1"/>
  <c r="G491" i="3"/>
  <c r="H491" i="3" s="1"/>
  <c r="I483" i="3"/>
  <c r="J483" i="3" s="1"/>
  <c r="G483" i="3"/>
  <c r="H483" i="3" s="1"/>
  <c r="I482" i="3"/>
  <c r="J482" i="3" s="1"/>
  <c r="G482" i="3"/>
  <c r="H482" i="3" s="1"/>
  <c r="I474" i="3"/>
  <c r="J474" i="3" s="1"/>
  <c r="G474" i="3"/>
  <c r="H474" i="3" s="1"/>
  <c r="I473" i="3"/>
  <c r="J473" i="3" s="1"/>
  <c r="G473" i="3"/>
  <c r="H473" i="3" s="1"/>
  <c r="I471" i="3"/>
  <c r="J471" i="3" s="1"/>
  <c r="G471" i="3"/>
  <c r="H471" i="3" s="1"/>
  <c r="I464" i="3"/>
  <c r="J464" i="3" s="1"/>
  <c r="G464" i="3"/>
  <c r="H464" i="3" s="1"/>
  <c r="I463" i="3"/>
  <c r="J463" i="3" s="1"/>
  <c r="G463" i="3"/>
  <c r="H463" i="3" s="1"/>
  <c r="I461" i="3"/>
  <c r="J461" i="3" s="1"/>
  <c r="G461" i="3"/>
  <c r="H461" i="3" s="1"/>
  <c r="I454" i="3"/>
  <c r="J454" i="3" s="1"/>
  <c r="G454" i="3"/>
  <c r="H454" i="3" s="1"/>
  <c r="I453" i="3"/>
  <c r="J453" i="3" s="1"/>
  <c r="G453" i="3"/>
  <c r="H453" i="3" s="1"/>
  <c r="I451" i="3"/>
  <c r="J451" i="3" s="1"/>
  <c r="G451" i="3"/>
  <c r="H451" i="3" s="1"/>
  <c r="I444" i="3"/>
  <c r="J444" i="3" s="1"/>
  <c r="G444" i="3"/>
  <c r="H444" i="3" s="1"/>
  <c r="I443" i="3"/>
  <c r="J443" i="3" s="1"/>
  <c r="G443" i="3"/>
  <c r="H443" i="3" s="1"/>
  <c r="I441" i="3"/>
  <c r="J441" i="3" s="1"/>
  <c r="G441" i="3"/>
  <c r="H441" i="3" s="1"/>
  <c r="I434" i="3"/>
  <c r="J434" i="3" s="1"/>
  <c r="G434" i="3"/>
  <c r="H434" i="3" s="1"/>
  <c r="I433" i="3"/>
  <c r="J433" i="3" s="1"/>
  <c r="G433" i="3"/>
  <c r="H433" i="3" s="1"/>
  <c r="I431" i="3"/>
  <c r="J431" i="3" s="1"/>
  <c r="G431" i="3"/>
  <c r="H431" i="3" s="1"/>
  <c r="I424" i="3"/>
  <c r="J424" i="3" s="1"/>
  <c r="G424" i="3"/>
  <c r="H424" i="3" s="1"/>
  <c r="I423" i="3"/>
  <c r="J423" i="3" s="1"/>
  <c r="G423" i="3"/>
  <c r="H423" i="3" s="1"/>
  <c r="I422" i="3"/>
  <c r="J422" i="3" s="1"/>
  <c r="G422" i="3"/>
  <c r="H422" i="3" s="1"/>
  <c r="I414" i="3"/>
  <c r="J414" i="3" s="1"/>
  <c r="G414" i="3"/>
  <c r="H414" i="3" s="1"/>
  <c r="I413" i="3"/>
  <c r="J413" i="3" s="1"/>
  <c r="G413" i="3"/>
  <c r="H413" i="3" s="1"/>
  <c r="I411" i="3"/>
  <c r="J411" i="3" s="1"/>
  <c r="G411" i="3"/>
  <c r="H411" i="3" s="1"/>
  <c r="I404" i="3"/>
  <c r="J404" i="3" s="1"/>
  <c r="G404" i="3"/>
  <c r="H404" i="3" s="1"/>
  <c r="I403" i="3"/>
  <c r="J403" i="3" s="1"/>
  <c r="G403" i="3"/>
  <c r="H403" i="3" s="1"/>
  <c r="I401" i="3"/>
  <c r="J401" i="3" s="1"/>
  <c r="G401" i="3"/>
  <c r="H401" i="3" s="1"/>
  <c r="I394" i="3"/>
  <c r="J394" i="3" s="1"/>
  <c r="G394" i="3"/>
  <c r="H394" i="3" s="1"/>
  <c r="I393" i="3"/>
  <c r="J393" i="3" s="1"/>
  <c r="G393" i="3"/>
  <c r="H393" i="3" s="1"/>
  <c r="I391" i="3"/>
  <c r="J391" i="3" s="1"/>
  <c r="G391" i="3"/>
  <c r="H391" i="3" s="1"/>
  <c r="I384" i="3"/>
  <c r="J384" i="3" s="1"/>
  <c r="G384" i="3"/>
  <c r="H384" i="3" s="1"/>
  <c r="I383" i="3"/>
  <c r="J383" i="3" s="1"/>
  <c r="G383" i="3"/>
  <c r="H383" i="3" s="1"/>
  <c r="I382" i="3"/>
  <c r="J382" i="3" s="1"/>
  <c r="G382" i="3"/>
  <c r="H382" i="3" s="1"/>
  <c r="I381" i="3"/>
  <c r="J381" i="3" s="1"/>
  <c r="G381" i="3"/>
  <c r="H381" i="3" s="1"/>
  <c r="I380" i="3"/>
  <c r="J380" i="3" s="1"/>
  <c r="G380" i="3"/>
  <c r="H380" i="3" s="1"/>
  <c r="I379" i="3"/>
  <c r="J379" i="3" s="1"/>
  <c r="G379" i="3"/>
  <c r="H379" i="3" s="1"/>
  <c r="I372" i="3"/>
  <c r="G372" i="3"/>
  <c r="I371" i="3"/>
  <c r="G371" i="3"/>
  <c r="I370" i="3"/>
  <c r="J370" i="3" s="1"/>
  <c r="G370" i="3"/>
  <c r="H370" i="3" s="1"/>
  <c r="I369" i="3"/>
  <c r="G369" i="3"/>
  <c r="I368" i="3"/>
  <c r="J368" i="3" s="1"/>
  <c r="G368" i="3"/>
  <c r="H368" i="3" s="1"/>
  <c r="I367" i="3"/>
  <c r="J367" i="3" s="1"/>
  <c r="G367" i="3"/>
  <c r="H367" i="3" s="1"/>
  <c r="I366" i="3"/>
  <c r="J366" i="3" s="1"/>
  <c r="G366" i="3"/>
  <c r="H366" i="3" s="1"/>
  <c r="I365" i="3"/>
  <c r="J365" i="3" s="1"/>
  <c r="G365" i="3"/>
  <c r="H365" i="3" s="1"/>
  <c r="I359" i="3"/>
  <c r="G359" i="3"/>
  <c r="I358" i="3"/>
  <c r="G358" i="3"/>
  <c r="I357" i="3"/>
  <c r="J357" i="3" s="1"/>
  <c r="G357" i="3"/>
  <c r="H357" i="3" s="1"/>
  <c r="I356" i="3"/>
  <c r="G356" i="3"/>
  <c r="I355" i="3"/>
  <c r="J355" i="3" s="1"/>
  <c r="G355" i="3"/>
  <c r="H355" i="3" s="1"/>
  <c r="I354" i="3"/>
  <c r="G354" i="3"/>
  <c r="I353" i="3"/>
  <c r="G353" i="3"/>
  <c r="I346" i="3"/>
  <c r="G346" i="3"/>
  <c r="I345" i="3"/>
  <c r="G345" i="3"/>
  <c r="I344" i="3"/>
  <c r="J344" i="3" s="1"/>
  <c r="G344" i="3"/>
  <c r="H344" i="3" s="1"/>
  <c r="I343" i="3"/>
  <c r="G343" i="3"/>
  <c r="I342" i="3"/>
  <c r="J342" i="3" s="1"/>
  <c r="G342" i="3"/>
  <c r="H342" i="3" s="1"/>
  <c r="I341" i="3"/>
  <c r="G341" i="3"/>
  <c r="I340" i="3"/>
  <c r="G340" i="3"/>
  <c r="I333" i="3"/>
  <c r="G333" i="3"/>
  <c r="I332" i="3"/>
  <c r="G332" i="3"/>
  <c r="I331" i="3"/>
  <c r="J331" i="3" s="1"/>
  <c r="G331" i="3"/>
  <c r="H331" i="3" s="1"/>
  <c r="I330" i="3"/>
  <c r="G330" i="3"/>
  <c r="I329" i="3"/>
  <c r="J329" i="3" s="1"/>
  <c r="G329" i="3"/>
  <c r="H329" i="3" s="1"/>
  <c r="I328" i="3"/>
  <c r="G328" i="3"/>
  <c r="I327" i="3"/>
  <c r="G327" i="3"/>
  <c r="I320" i="3"/>
  <c r="J320" i="3" s="1"/>
  <c r="G320" i="3"/>
  <c r="H320" i="3" s="1"/>
  <c r="I319" i="3"/>
  <c r="J319" i="3" s="1"/>
  <c r="G319" i="3"/>
  <c r="H319" i="3" s="1"/>
  <c r="I318" i="3"/>
  <c r="J318" i="3" s="1"/>
  <c r="G318" i="3"/>
  <c r="H318" i="3" s="1"/>
  <c r="I317" i="3"/>
  <c r="J317" i="3" s="1"/>
  <c r="G317" i="3"/>
  <c r="H317" i="3" s="1"/>
  <c r="I316" i="3"/>
  <c r="J316" i="3" s="1"/>
  <c r="G316" i="3"/>
  <c r="H316" i="3" s="1"/>
  <c r="I315" i="3"/>
  <c r="J315" i="3" s="1"/>
  <c r="G315" i="3"/>
  <c r="H315" i="3" s="1"/>
  <c r="I308" i="3"/>
  <c r="J308" i="3" s="1"/>
  <c r="G308" i="3"/>
  <c r="H308" i="3" s="1"/>
  <c r="I307" i="3"/>
  <c r="J307" i="3" s="1"/>
  <c r="G307" i="3"/>
  <c r="H307" i="3" s="1"/>
  <c r="I306" i="3"/>
  <c r="J306" i="3" s="1"/>
  <c r="G306" i="3"/>
  <c r="H306" i="3" s="1"/>
  <c r="I305" i="3"/>
  <c r="G305" i="3"/>
  <c r="I304" i="3"/>
  <c r="J304" i="3" s="1"/>
  <c r="G304" i="3"/>
  <c r="H304" i="3" s="1"/>
  <c r="I303" i="3"/>
  <c r="G303" i="3"/>
  <c r="I302" i="3"/>
  <c r="J302" i="3" s="1"/>
  <c r="G302" i="3"/>
  <c r="H302" i="3" s="1"/>
  <c r="I295" i="3"/>
  <c r="J295" i="3" s="1"/>
  <c r="G295" i="3"/>
  <c r="H295" i="3" s="1"/>
  <c r="I294" i="3"/>
  <c r="J294" i="3" s="1"/>
  <c r="G294" i="3"/>
  <c r="H294" i="3" s="1"/>
  <c r="I293" i="3"/>
  <c r="J293" i="3" s="1"/>
  <c r="G293" i="3"/>
  <c r="H293" i="3" s="1"/>
  <c r="I292" i="3"/>
  <c r="G292" i="3"/>
  <c r="I291" i="3"/>
  <c r="J291" i="3" s="1"/>
  <c r="G291" i="3"/>
  <c r="H291" i="3" s="1"/>
  <c r="I290" i="3"/>
  <c r="G290" i="3"/>
  <c r="I289" i="3"/>
  <c r="J289" i="3" s="1"/>
  <c r="G289" i="3"/>
  <c r="H289" i="3" s="1"/>
  <c r="I282" i="3"/>
  <c r="J282" i="3" s="1"/>
  <c r="G282" i="3"/>
  <c r="H282" i="3" s="1"/>
  <c r="I281" i="3"/>
  <c r="J281" i="3" s="1"/>
  <c r="G281" i="3"/>
  <c r="H281" i="3" s="1"/>
  <c r="I280" i="3"/>
  <c r="J280" i="3" s="1"/>
  <c r="G280" i="3"/>
  <c r="H280" i="3" s="1"/>
  <c r="I279" i="3"/>
  <c r="G279" i="3"/>
  <c r="I278" i="3"/>
  <c r="J278" i="3" s="1"/>
  <c r="G278" i="3"/>
  <c r="H278" i="3" s="1"/>
  <c r="I277" i="3"/>
  <c r="G277" i="3"/>
  <c r="I276" i="3"/>
  <c r="J276" i="3" s="1"/>
  <c r="G276" i="3"/>
  <c r="H276" i="3" s="1"/>
  <c r="I269" i="3"/>
  <c r="J269" i="3" s="1"/>
  <c r="G269" i="3"/>
  <c r="H269" i="3" s="1"/>
  <c r="I268" i="3"/>
  <c r="J268" i="3" s="1"/>
  <c r="G268" i="3"/>
  <c r="H268" i="3" s="1"/>
  <c r="I267" i="3"/>
  <c r="J267" i="3" s="1"/>
  <c r="G267" i="3"/>
  <c r="H267" i="3" s="1"/>
  <c r="I266" i="3"/>
  <c r="G266" i="3"/>
  <c r="I265" i="3"/>
  <c r="J265" i="3" s="1"/>
  <c r="G265" i="3"/>
  <c r="H265" i="3" s="1"/>
  <c r="I264" i="3"/>
  <c r="G264" i="3"/>
  <c r="I263" i="3"/>
  <c r="J263" i="3" s="1"/>
  <c r="G263" i="3"/>
  <c r="H263" i="3" s="1"/>
  <c r="I256" i="3"/>
  <c r="J256" i="3" s="1"/>
  <c r="G256" i="3"/>
  <c r="H256" i="3" s="1"/>
  <c r="I255" i="3"/>
  <c r="J255" i="3" s="1"/>
  <c r="G255" i="3"/>
  <c r="H255" i="3" s="1"/>
  <c r="I254" i="3"/>
  <c r="J254" i="3" s="1"/>
  <c r="G254" i="3"/>
  <c r="H254" i="3" s="1"/>
  <c r="I253" i="3"/>
  <c r="G253" i="3"/>
  <c r="I252" i="3"/>
  <c r="J252" i="3" s="1"/>
  <c r="G252" i="3"/>
  <c r="H252" i="3" s="1"/>
  <c r="I251" i="3"/>
  <c r="G251" i="3"/>
  <c r="I250" i="3"/>
  <c r="J250" i="3" s="1"/>
  <c r="G250" i="3"/>
  <c r="H250" i="3" s="1"/>
  <c r="I243" i="3"/>
  <c r="J243" i="3" s="1"/>
  <c r="G243" i="3"/>
  <c r="H243" i="3" s="1"/>
  <c r="I242" i="3"/>
  <c r="J242" i="3" s="1"/>
  <c r="G242" i="3"/>
  <c r="H242" i="3" s="1"/>
  <c r="I241" i="3"/>
  <c r="J241" i="3" s="1"/>
  <c r="G241" i="3"/>
  <c r="H241" i="3" s="1"/>
  <c r="I240" i="3"/>
  <c r="G240" i="3"/>
  <c r="I239" i="3"/>
  <c r="J239" i="3" s="1"/>
  <c r="G239" i="3"/>
  <c r="H239" i="3" s="1"/>
  <c r="I238" i="3"/>
  <c r="G238" i="3"/>
  <c r="I237" i="3"/>
  <c r="G237" i="3"/>
  <c r="I230" i="3"/>
  <c r="J230" i="3" s="1"/>
  <c r="G230" i="3"/>
  <c r="H230" i="3" s="1"/>
  <c r="I229" i="3"/>
  <c r="J229" i="3" s="1"/>
  <c r="G229" i="3"/>
  <c r="H229" i="3" s="1"/>
  <c r="I227" i="3"/>
  <c r="J227" i="3" s="1"/>
  <c r="G227" i="3"/>
  <c r="H227" i="3" s="1"/>
  <c r="I220" i="3"/>
  <c r="J220" i="3" s="1"/>
  <c r="G220" i="3"/>
  <c r="H220" i="3" s="1"/>
  <c r="I219" i="3"/>
  <c r="J219" i="3" s="1"/>
  <c r="G219" i="3"/>
  <c r="H219" i="3" s="1"/>
  <c r="I217" i="3"/>
  <c r="J217" i="3" s="1"/>
  <c r="G217" i="3"/>
  <c r="H217" i="3" s="1"/>
  <c r="I210" i="3"/>
  <c r="J210" i="3" s="1"/>
  <c r="G210" i="3"/>
  <c r="H210" i="3" s="1"/>
  <c r="I209" i="3"/>
  <c r="J209" i="3" s="1"/>
  <c r="G209" i="3"/>
  <c r="H209" i="3" s="1"/>
  <c r="I207" i="3"/>
  <c r="J207" i="3" s="1"/>
  <c r="G207" i="3"/>
  <c r="H207" i="3" s="1"/>
  <c r="I200" i="3"/>
  <c r="J200" i="3" s="1"/>
  <c r="G200" i="3"/>
  <c r="H200" i="3" s="1"/>
  <c r="I199" i="3"/>
  <c r="J199" i="3" s="1"/>
  <c r="G199" i="3"/>
  <c r="H199" i="3" s="1"/>
  <c r="I191" i="3"/>
  <c r="J191" i="3" s="1"/>
  <c r="G191" i="3"/>
  <c r="H191" i="3" s="1"/>
  <c r="I190" i="3"/>
  <c r="J190" i="3" s="1"/>
  <c r="G190" i="3"/>
  <c r="H190" i="3" s="1"/>
  <c r="I188" i="3"/>
  <c r="J188" i="3" s="1"/>
  <c r="G188" i="3"/>
  <c r="H188" i="3" s="1"/>
  <c r="I181" i="3"/>
  <c r="G181" i="3"/>
  <c r="I180" i="3"/>
  <c r="G180" i="3"/>
  <c r="I179" i="3"/>
  <c r="G179" i="3"/>
  <c r="I178" i="3"/>
  <c r="G178" i="3"/>
  <c r="I177" i="3"/>
  <c r="J177" i="3" s="1"/>
  <c r="G177" i="3"/>
  <c r="H177" i="3" s="1"/>
  <c r="I176" i="3"/>
  <c r="G176" i="3"/>
  <c r="I169" i="3"/>
  <c r="J169" i="3" s="1"/>
  <c r="G169" i="3"/>
  <c r="H169" i="3" s="1"/>
  <c r="I168" i="3"/>
  <c r="J168" i="3" s="1"/>
  <c r="G168" i="3"/>
  <c r="H168" i="3" s="1"/>
  <c r="I167" i="3"/>
  <c r="J167" i="3" s="1"/>
  <c r="G167" i="3"/>
  <c r="H167" i="3" s="1"/>
  <c r="I166" i="3"/>
  <c r="J166" i="3" s="1"/>
  <c r="G166" i="3"/>
  <c r="H166" i="3" s="1"/>
  <c r="I159" i="3"/>
  <c r="J159" i="3" s="1"/>
  <c r="G159" i="3"/>
  <c r="H159" i="3" s="1"/>
  <c r="I158" i="3"/>
  <c r="J158" i="3" s="1"/>
  <c r="G158" i="3"/>
  <c r="H158" i="3" s="1"/>
  <c r="I157" i="3"/>
  <c r="J157" i="3" s="1"/>
  <c r="G157" i="3"/>
  <c r="H157" i="3" s="1"/>
  <c r="I156" i="3"/>
  <c r="J156" i="3" s="1"/>
  <c r="G156" i="3"/>
  <c r="H156" i="3" s="1"/>
  <c r="I149" i="3"/>
  <c r="J149" i="3" s="1"/>
  <c r="G149" i="3"/>
  <c r="H149" i="3" s="1"/>
  <c r="I148" i="3"/>
  <c r="J148" i="3" s="1"/>
  <c r="G148" i="3"/>
  <c r="H148" i="3" s="1"/>
  <c r="I147" i="3"/>
  <c r="J147" i="3" s="1"/>
  <c r="G147" i="3"/>
  <c r="H147" i="3" s="1"/>
  <c r="I146" i="3"/>
  <c r="J146" i="3" s="1"/>
  <c r="G146" i="3"/>
  <c r="H146" i="3" s="1"/>
  <c r="I139" i="3"/>
  <c r="J139" i="3" s="1"/>
  <c r="G139" i="3"/>
  <c r="H139" i="3" s="1"/>
  <c r="I138" i="3"/>
  <c r="J138" i="3" s="1"/>
  <c r="G138" i="3"/>
  <c r="H138" i="3" s="1"/>
  <c r="I137" i="3"/>
  <c r="J137" i="3" s="1"/>
  <c r="G137" i="3"/>
  <c r="H137" i="3" s="1"/>
  <c r="I136" i="3"/>
  <c r="J136" i="3" s="1"/>
  <c r="G136" i="3"/>
  <c r="H136" i="3" s="1"/>
  <c r="I129" i="3"/>
  <c r="J129" i="3" s="1"/>
  <c r="G129" i="3"/>
  <c r="H129" i="3" s="1"/>
  <c r="I128" i="3"/>
  <c r="J128" i="3" s="1"/>
  <c r="G128" i="3"/>
  <c r="H128" i="3" s="1"/>
  <c r="I127" i="3"/>
  <c r="J127" i="3" s="1"/>
  <c r="G127" i="3"/>
  <c r="H127" i="3" s="1"/>
  <c r="I126" i="3"/>
  <c r="J126" i="3" s="1"/>
  <c r="G126" i="3"/>
  <c r="H126" i="3" s="1"/>
  <c r="I125" i="3"/>
  <c r="J125" i="3" s="1"/>
  <c r="G125" i="3"/>
  <c r="H125" i="3" s="1"/>
  <c r="I124" i="3"/>
  <c r="J124" i="3" s="1"/>
  <c r="G124" i="3"/>
  <c r="H124" i="3" s="1"/>
  <c r="I117" i="3"/>
  <c r="J117" i="3" s="1"/>
  <c r="G117" i="3"/>
  <c r="H117" i="3" s="1"/>
  <c r="I116" i="3"/>
  <c r="J116" i="3" s="1"/>
  <c r="G116" i="3"/>
  <c r="H116" i="3" s="1"/>
  <c r="I109" i="3"/>
  <c r="J109" i="3" s="1"/>
  <c r="G109" i="3"/>
  <c r="H109" i="3" s="1"/>
  <c r="I108" i="3"/>
  <c r="J108" i="3" s="1"/>
  <c r="G108" i="3"/>
  <c r="H108" i="3" s="1"/>
  <c r="I107" i="3"/>
  <c r="J107" i="3" s="1"/>
  <c r="G107" i="3"/>
  <c r="H107" i="3" s="1"/>
  <c r="I106" i="3"/>
  <c r="J106" i="3" s="1"/>
  <c r="G106" i="3"/>
  <c r="H106" i="3" s="1"/>
  <c r="I105" i="3"/>
  <c r="J105" i="3" s="1"/>
  <c r="G105" i="3"/>
  <c r="H105" i="3" s="1"/>
  <c r="I98" i="3"/>
  <c r="J98" i="3" s="1"/>
  <c r="G98" i="3"/>
  <c r="H98" i="3" s="1"/>
  <c r="I97" i="3"/>
  <c r="J97" i="3" s="1"/>
  <c r="G97" i="3"/>
  <c r="H97" i="3" s="1"/>
  <c r="I96" i="3"/>
  <c r="J96" i="3" s="1"/>
  <c r="G96" i="3"/>
  <c r="H96" i="3" s="1"/>
  <c r="I95" i="3"/>
  <c r="J95" i="3" s="1"/>
  <c r="G95" i="3"/>
  <c r="H95" i="3" s="1"/>
  <c r="I88" i="3"/>
  <c r="J88" i="3" s="1"/>
  <c r="G88" i="3"/>
  <c r="H88" i="3" s="1"/>
  <c r="I87" i="3"/>
  <c r="J87" i="3" s="1"/>
  <c r="G87" i="3"/>
  <c r="H87" i="3" s="1"/>
  <c r="I86" i="3"/>
  <c r="J86" i="3" s="1"/>
  <c r="G86" i="3"/>
  <c r="H86" i="3" s="1"/>
  <c r="I85" i="3"/>
  <c r="J85" i="3" s="1"/>
  <c r="G85" i="3"/>
  <c r="H85" i="3" s="1"/>
  <c r="I78" i="3"/>
  <c r="J78" i="3" s="1"/>
  <c r="G78" i="3"/>
  <c r="H78" i="3" s="1"/>
  <c r="I77" i="3"/>
  <c r="J77" i="3" s="1"/>
  <c r="G77" i="3"/>
  <c r="H77" i="3" s="1"/>
  <c r="I76" i="3"/>
  <c r="J76" i="3" s="1"/>
  <c r="G76" i="3"/>
  <c r="H76" i="3" s="1"/>
  <c r="I69" i="3"/>
  <c r="J69" i="3" s="1"/>
  <c r="G69" i="3"/>
  <c r="H69" i="3" s="1"/>
  <c r="I68" i="3"/>
  <c r="J68" i="3" s="1"/>
  <c r="G68" i="3"/>
  <c r="H68" i="3" s="1"/>
  <c r="I61" i="3"/>
  <c r="J61" i="3" s="1"/>
  <c r="G61" i="3"/>
  <c r="H61" i="3" s="1"/>
  <c r="I60" i="3"/>
  <c r="J60" i="3" s="1"/>
  <c r="G60" i="3"/>
  <c r="H60" i="3" s="1"/>
  <c r="I59" i="3"/>
  <c r="J59" i="3" s="1"/>
  <c r="G59" i="3"/>
  <c r="H59" i="3" s="1"/>
  <c r="I52" i="3"/>
  <c r="J52" i="3" s="1"/>
  <c r="G52" i="3"/>
  <c r="H52" i="3" s="1"/>
  <c r="I51" i="3"/>
  <c r="J51" i="3" s="1"/>
  <c r="G51" i="3"/>
  <c r="H51" i="3" s="1"/>
  <c r="I44" i="3"/>
  <c r="J44" i="3" s="1"/>
  <c r="G44" i="3"/>
  <c r="H44" i="3" s="1"/>
  <c r="I43" i="3"/>
  <c r="J43" i="3" s="1"/>
  <c r="G43" i="3"/>
  <c r="H43" i="3" s="1"/>
  <c r="I36" i="3"/>
  <c r="J36" i="3" s="1"/>
  <c r="G36" i="3"/>
  <c r="H36" i="3" s="1"/>
  <c r="I35" i="3"/>
  <c r="J35" i="3" s="1"/>
  <c r="G35" i="3"/>
  <c r="H35" i="3" s="1"/>
  <c r="I27" i="3"/>
  <c r="G27" i="3"/>
  <c r="I26" i="3"/>
  <c r="G26" i="3"/>
  <c r="I25" i="3"/>
  <c r="J25" i="3" s="1"/>
  <c r="G25" i="3"/>
  <c r="H25" i="3" s="1"/>
  <c r="I19" i="3"/>
  <c r="J19" i="3" s="1"/>
  <c r="G19" i="3"/>
  <c r="H19" i="3" s="1"/>
  <c r="I18" i="3"/>
  <c r="J18" i="3" s="1"/>
  <c r="G18" i="3"/>
  <c r="H18" i="3" s="1"/>
  <c r="I17" i="3"/>
  <c r="J17" i="3" s="1"/>
  <c r="G17" i="3"/>
  <c r="H17" i="3" s="1"/>
  <c r="I16" i="3"/>
  <c r="J16" i="3" s="1"/>
  <c r="G16" i="3"/>
  <c r="H16" i="3" s="1"/>
  <c r="I15" i="3"/>
  <c r="J15" i="3" s="1"/>
  <c r="G15" i="3"/>
  <c r="H15" i="3" s="1"/>
  <c r="I14" i="3"/>
  <c r="J14" i="3" s="1"/>
  <c r="G14" i="3"/>
  <c r="H14" i="3" s="1"/>
  <c r="A545" i="1" l="1"/>
  <c r="A546" i="1"/>
  <c r="C620" i="2"/>
  <c r="D620" i="2" s="1"/>
  <c r="B623" i="23" s="1"/>
  <c r="C619" i="2"/>
  <c r="E619" i="2" s="1"/>
  <c r="F2590" i="3"/>
  <c r="J2590" i="3" s="1"/>
  <c r="F2593" i="3"/>
  <c r="E2593" i="3"/>
  <c r="D2593" i="3"/>
  <c r="F2589" i="3"/>
  <c r="F2594" i="3"/>
  <c r="F2591" i="3"/>
  <c r="F2579" i="3"/>
  <c r="F2588" i="3"/>
  <c r="A2597" i="3"/>
  <c r="A2596" i="3"/>
  <c r="E2595" i="3"/>
  <c r="D2595" i="3"/>
  <c r="E2594" i="3"/>
  <c r="D2594" i="3"/>
  <c r="E2592" i="3"/>
  <c r="D2592" i="3"/>
  <c r="E2591" i="3"/>
  <c r="D2591" i="3"/>
  <c r="E2590" i="3"/>
  <c r="D2590" i="3"/>
  <c r="E2589" i="3"/>
  <c r="D2589" i="3"/>
  <c r="E2588" i="3"/>
  <c r="D2588" i="3"/>
  <c r="F2577" i="3"/>
  <c r="E2577" i="3"/>
  <c r="D2577" i="3"/>
  <c r="F2576" i="3"/>
  <c r="A2584" i="3"/>
  <c r="A2583" i="3"/>
  <c r="E2582" i="3"/>
  <c r="D2582" i="3"/>
  <c r="E2581" i="3"/>
  <c r="D2581" i="3"/>
  <c r="E2580" i="3"/>
  <c r="D2580" i="3"/>
  <c r="E2579" i="3"/>
  <c r="D2579" i="3"/>
  <c r="F2578" i="3"/>
  <c r="J2578" i="3" s="1"/>
  <c r="E2578" i="3"/>
  <c r="D2578" i="3"/>
  <c r="E2576" i="3"/>
  <c r="D2576" i="3"/>
  <c r="H2578" i="3" l="1"/>
  <c r="H2590" i="3"/>
  <c r="D545" i="1"/>
  <c r="C622" i="23"/>
  <c r="C546" i="1"/>
  <c r="B546" i="1"/>
  <c r="D619" i="2"/>
  <c r="B545" i="1"/>
  <c r="E620" i="2"/>
  <c r="F2592" i="3"/>
  <c r="F2580" i="3"/>
  <c r="F1969" i="3"/>
  <c r="D500" i="3"/>
  <c r="D501" i="3"/>
  <c r="D502" i="3"/>
  <c r="H2580" i="3" l="1"/>
  <c r="H2583" i="3" s="1"/>
  <c r="J2580" i="3"/>
  <c r="J2584" i="3" s="1"/>
  <c r="H2592" i="3"/>
  <c r="H2596" i="3" s="1"/>
  <c r="J2592" i="3"/>
  <c r="J2597" i="3" s="1"/>
  <c r="C623" i="23"/>
  <c r="D546" i="1"/>
  <c r="C545" i="1"/>
  <c r="B622" i="23"/>
  <c r="F155" i="1" l="1"/>
  <c r="F154" i="1"/>
  <c r="B155" i="1"/>
  <c r="A155" i="1"/>
  <c r="B154" i="1"/>
  <c r="A154" i="1"/>
  <c r="D3088" i="3"/>
  <c r="D3087" i="3"/>
  <c r="A3090" i="3"/>
  <c r="A3089" i="3"/>
  <c r="A3081" i="3"/>
  <c r="A3080" i="3"/>
  <c r="D3079" i="3"/>
  <c r="D3078" i="3"/>
  <c r="E1558" i="15"/>
  <c r="E1565" i="15"/>
  <c r="A1565" i="15"/>
  <c r="A1558" i="15"/>
  <c r="B4" i="5" l="1"/>
  <c r="A325" i="1"/>
  <c r="B325" i="1"/>
  <c r="D362" i="2"/>
  <c r="E362" i="2"/>
  <c r="F362" i="2"/>
  <c r="D364" i="23" s="1"/>
  <c r="G362" i="2"/>
  <c r="J362" i="2"/>
  <c r="A296" i="1"/>
  <c r="B296" i="1"/>
  <c r="A297" i="1"/>
  <c r="B297" i="1"/>
  <c r="A298" i="1"/>
  <c r="B298" i="1"/>
  <c r="D332" i="2"/>
  <c r="E332" i="2"/>
  <c r="G332" i="2"/>
  <c r="J332" i="2"/>
  <c r="D333" i="2"/>
  <c r="E333" i="2"/>
  <c r="G333" i="2"/>
  <c r="J333" i="2"/>
  <c r="D334" i="2"/>
  <c r="E334" i="2"/>
  <c r="G334" i="2"/>
  <c r="J334" i="2"/>
  <c r="A243" i="1"/>
  <c r="B243" i="1"/>
  <c r="D279" i="2"/>
  <c r="E279" i="2"/>
  <c r="G279" i="2"/>
  <c r="J279" i="2"/>
  <c r="A242" i="1"/>
  <c r="B242" i="1"/>
  <c r="D278" i="2"/>
  <c r="E278" i="2"/>
  <c r="G278" i="2"/>
  <c r="J278" i="2"/>
  <c r="A241" i="1"/>
  <c r="B241" i="1"/>
  <c r="D277" i="2"/>
  <c r="E277" i="2"/>
  <c r="G277" i="2"/>
  <c r="J277" i="2"/>
  <c r="A240" i="1"/>
  <c r="B240" i="1"/>
  <c r="D276" i="2"/>
  <c r="E276" i="2"/>
  <c r="G276" i="2"/>
  <c r="J276" i="2"/>
  <c r="F360" i="2"/>
  <c r="D362" i="23" s="1"/>
  <c r="F361" i="2"/>
  <c r="D363" i="23" s="1"/>
  <c r="A324" i="1"/>
  <c r="B324" i="1"/>
  <c r="A323" i="1"/>
  <c r="B323" i="1"/>
  <c r="F359" i="2"/>
  <c r="D361" i="23" s="1"/>
  <c r="A322" i="1"/>
  <c r="B322" i="1"/>
  <c r="F358" i="2"/>
  <c r="D360" i="23" s="1"/>
  <c r="A321" i="1"/>
  <c r="B321" i="1"/>
  <c r="F320" i="1"/>
  <c r="F357" i="2" s="1"/>
  <c r="D359" i="23" s="1"/>
  <c r="A320" i="1"/>
  <c r="B320" i="1"/>
  <c r="D357" i="2"/>
  <c r="E357" i="2"/>
  <c r="G357" i="2"/>
  <c r="J357" i="2"/>
  <c r="F295" i="1"/>
  <c r="A295" i="1"/>
  <c r="B295" i="1"/>
  <c r="D331" i="2"/>
  <c r="E331" i="2"/>
  <c r="G331" i="2"/>
  <c r="J331" i="2"/>
  <c r="F294" i="1"/>
  <c r="A294" i="1"/>
  <c r="B294" i="1"/>
  <c r="D330" i="2"/>
  <c r="E330" i="2"/>
  <c r="G330" i="2"/>
  <c r="J330" i="2"/>
  <c r="F293" i="1"/>
  <c r="A293" i="1"/>
  <c r="B293" i="1"/>
  <c r="F292" i="1"/>
  <c r="A292" i="1"/>
  <c r="B292" i="1"/>
  <c r="F291" i="1"/>
  <c r="A291" i="1"/>
  <c r="B291"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F283" i="1"/>
  <c r="F279" i="1"/>
  <c r="B290" i="1"/>
  <c r="B288" i="1"/>
  <c r="B289" i="1"/>
  <c r="D324" i="2"/>
  <c r="E324" i="2"/>
  <c r="G324" i="2"/>
  <c r="J324" i="2"/>
  <c r="D325" i="2"/>
  <c r="E325" i="2"/>
  <c r="G325" i="2"/>
  <c r="J325" i="2"/>
  <c r="F355" i="2"/>
  <c r="D357" i="23" s="1"/>
  <c r="F356" i="2"/>
  <c r="D358" i="23" s="1"/>
  <c r="A318" i="1"/>
  <c r="B318" i="1"/>
  <c r="A319" i="1"/>
  <c r="B319" i="1"/>
  <c r="D355" i="2"/>
  <c r="E355" i="2"/>
  <c r="G355" i="2"/>
  <c r="J355" i="2"/>
  <c r="D356" i="2"/>
  <c r="E356" i="2"/>
  <c r="G356" i="2"/>
  <c r="J356" i="2"/>
  <c r="D319" i="1" l="1"/>
  <c r="C358" i="23"/>
  <c r="C240" i="1"/>
  <c r="B278" i="23"/>
  <c r="C298" i="1"/>
  <c r="B336" i="23"/>
  <c r="C296" i="1"/>
  <c r="B334" i="23"/>
  <c r="M358" i="23"/>
  <c r="D288" i="1"/>
  <c r="C326" i="23"/>
  <c r="D243" i="1"/>
  <c r="C281" i="23"/>
  <c r="M364" i="23"/>
  <c r="C288" i="1"/>
  <c r="B326" i="23"/>
  <c r="C243" i="1"/>
  <c r="B281" i="23"/>
  <c r="D325" i="1"/>
  <c r="C364" i="23"/>
  <c r="C319" i="1"/>
  <c r="B358" i="23"/>
  <c r="M359" i="23"/>
  <c r="M357" i="23"/>
  <c r="D318" i="1"/>
  <c r="C357" i="23"/>
  <c r="M360" i="23"/>
  <c r="M363" i="23"/>
  <c r="D242" i="1"/>
  <c r="C280" i="23"/>
  <c r="D297" i="1"/>
  <c r="C335" i="23"/>
  <c r="C325" i="1"/>
  <c r="B364" i="23"/>
  <c r="C318" i="1"/>
  <c r="B357" i="23"/>
  <c r="D320" i="1"/>
  <c r="C359" i="23"/>
  <c r="M362" i="23"/>
  <c r="C242" i="1"/>
  <c r="B280" i="23"/>
  <c r="C297" i="1"/>
  <c r="B335" i="23"/>
  <c r="D289" i="1"/>
  <c r="C327" i="23"/>
  <c r="D295" i="1"/>
  <c r="C333" i="23"/>
  <c r="C320" i="1"/>
  <c r="B359" i="23"/>
  <c r="D241" i="1"/>
  <c r="C279" i="23"/>
  <c r="C289" i="1"/>
  <c r="B327" i="23"/>
  <c r="D294" i="1"/>
  <c r="C332" i="23"/>
  <c r="C295" i="1"/>
  <c r="B333" i="23"/>
  <c r="M361" i="23"/>
  <c r="C241" i="1"/>
  <c r="B279" i="23"/>
  <c r="C294" i="1"/>
  <c r="B332" i="23"/>
  <c r="D240" i="1"/>
  <c r="C278" i="23"/>
  <c r="D298" i="1"/>
  <c r="C336" i="23"/>
  <c r="D296" i="1"/>
  <c r="C334" i="23"/>
  <c r="A2572" i="3"/>
  <c r="A2571" i="3"/>
  <c r="E2570" i="3"/>
  <c r="D2570" i="3"/>
  <c r="E2569" i="3"/>
  <c r="D2569" i="3"/>
  <c r="O135" i="23"/>
  <c r="AE135" i="23" s="1"/>
  <c r="B131" i="23"/>
  <c r="A33" i="5"/>
  <c r="F116" i="1"/>
  <c r="F115" i="1"/>
  <c r="A113" i="1"/>
  <c r="C113" i="1"/>
  <c r="A114" i="1"/>
  <c r="B114" i="1"/>
  <c r="A115" i="1"/>
  <c r="B115" i="1"/>
  <c r="A116" i="1"/>
  <c r="B116" i="1"/>
  <c r="A134" i="2"/>
  <c r="J133" i="2"/>
  <c r="G133" i="2"/>
  <c r="E133" i="2"/>
  <c r="D116" i="1" s="1"/>
  <c r="D133" i="2"/>
  <c r="C116" i="1" s="1"/>
  <c r="J132" i="2"/>
  <c r="G132" i="2"/>
  <c r="E132" i="2"/>
  <c r="D115" i="1" s="1"/>
  <c r="D132" i="2"/>
  <c r="C115" i="1" s="1"/>
  <c r="J131" i="2"/>
  <c r="G131" i="2"/>
  <c r="E131" i="2"/>
  <c r="D114" i="1" s="1"/>
  <c r="D131" i="2"/>
  <c r="C114" i="1" s="1"/>
  <c r="AE361" i="23" l="1"/>
  <c r="AE364" i="23"/>
  <c r="AE357" i="23"/>
  <c r="AE363" i="23"/>
  <c r="AE359" i="23"/>
  <c r="AE360" i="23"/>
  <c r="AE362" i="23"/>
  <c r="AE358" i="23"/>
  <c r="H2571" i="3"/>
  <c r="J2572" i="3"/>
  <c r="C134" i="23"/>
  <c r="B133" i="23"/>
  <c r="C133" i="23"/>
  <c r="B132" i="23"/>
  <c r="C132" i="23"/>
  <c r="B134" i="23"/>
  <c r="AG135" i="23"/>
  <c r="AG358" i="23" l="1"/>
  <c r="AG363" i="23"/>
  <c r="AG359" i="23"/>
  <c r="AG362" i="23"/>
  <c r="AG357" i="23"/>
  <c r="AG360" i="23"/>
  <c r="AG364" i="23"/>
  <c r="AG361" i="23"/>
  <c r="U92" i="23"/>
  <c r="M282" i="23"/>
  <c r="M283" i="23"/>
  <c r="F444" i="1" l="1"/>
  <c r="F443" i="1"/>
  <c r="F442" i="1"/>
  <c r="F447" i="1"/>
  <c r="F440" i="1"/>
  <c r="F441" i="1"/>
  <c r="A489" i="1"/>
  <c r="B489" i="1"/>
  <c r="A490" i="1"/>
  <c r="B490" i="1"/>
  <c r="E553" i="2"/>
  <c r="D489" i="1" s="1"/>
  <c r="D553" i="2"/>
  <c r="B555" i="23" s="1"/>
  <c r="C519" i="2"/>
  <c r="A2565" i="3"/>
  <c r="A2564" i="3"/>
  <c r="F2563" i="3"/>
  <c r="E2563" i="3"/>
  <c r="D2563" i="3"/>
  <c r="E2562" i="3"/>
  <c r="D2562" i="3"/>
  <c r="E2561" i="3"/>
  <c r="D2561" i="3"/>
  <c r="A460" i="1"/>
  <c r="A461" i="1"/>
  <c r="C518" i="2"/>
  <c r="B460" i="1" s="1"/>
  <c r="F459" i="1"/>
  <c r="A456" i="1"/>
  <c r="A457" i="1"/>
  <c r="B457" i="1"/>
  <c r="A458" i="1"/>
  <c r="A459" i="1"/>
  <c r="B459" i="1"/>
  <c r="C516" i="2"/>
  <c r="B458" i="1" s="1"/>
  <c r="E515" i="2"/>
  <c r="C517" i="23" s="1"/>
  <c r="C514" i="2"/>
  <c r="E517" i="2"/>
  <c r="D459" i="1" s="1"/>
  <c r="D517" i="2"/>
  <c r="C459" i="1" s="1"/>
  <c r="D515" i="2"/>
  <c r="C457" i="1" s="1"/>
  <c r="F418" i="1"/>
  <c r="C469" i="2"/>
  <c r="B418" i="1" s="1"/>
  <c r="A418" i="1"/>
  <c r="A2545" i="3"/>
  <c r="A2544" i="3"/>
  <c r="E2543" i="3"/>
  <c r="D2543" i="3"/>
  <c r="E2542" i="3"/>
  <c r="D2542" i="3"/>
  <c r="E2541" i="3"/>
  <c r="D2541" i="3"/>
  <c r="E2540" i="3"/>
  <c r="D2540" i="3"/>
  <c r="A417" i="1"/>
  <c r="C468" i="2"/>
  <c r="B417" i="1" s="1"/>
  <c r="E2532" i="3"/>
  <c r="D2532" i="3"/>
  <c r="A2536" i="3"/>
  <c r="A2535" i="3"/>
  <c r="E2534" i="3"/>
  <c r="D2534" i="3"/>
  <c r="E2533" i="3"/>
  <c r="D2533" i="3"/>
  <c r="E2531" i="3"/>
  <c r="D2531" i="3"/>
  <c r="F416" i="1"/>
  <c r="F415" i="1"/>
  <c r="F413" i="1"/>
  <c r="B413" i="1"/>
  <c r="A413" i="1"/>
  <c r="J464" i="2"/>
  <c r="G464" i="2"/>
  <c r="E464" i="2"/>
  <c r="D413" i="1" s="1"/>
  <c r="D464" i="2"/>
  <c r="C413" i="1" s="1"/>
  <c r="F414" i="1"/>
  <c r="C408" i="1"/>
  <c r="A408" i="1"/>
  <c r="C249" i="2"/>
  <c r="E2523" i="3"/>
  <c r="D2523" i="3"/>
  <c r="A2527" i="3"/>
  <c r="A2526" i="3"/>
  <c r="E2525" i="3"/>
  <c r="D2525" i="3"/>
  <c r="E2524" i="3"/>
  <c r="D2524" i="3"/>
  <c r="A183" i="1"/>
  <c r="C211" i="2"/>
  <c r="B183" i="1" s="1"/>
  <c r="A3072" i="3"/>
  <c r="A3071" i="3"/>
  <c r="D3070" i="3"/>
  <c r="D3069" i="3"/>
  <c r="D3068" i="3"/>
  <c r="A164" i="1"/>
  <c r="C191" i="2"/>
  <c r="B164" i="1" s="1"/>
  <c r="A3063" i="3"/>
  <c r="A3062" i="3"/>
  <c r="D3061" i="3"/>
  <c r="D3060" i="3"/>
  <c r="D3059" i="3"/>
  <c r="A160" i="1"/>
  <c r="C187" i="2"/>
  <c r="C186" i="2"/>
  <c r="A3054" i="3"/>
  <c r="A3053" i="3"/>
  <c r="D3052" i="3"/>
  <c r="D3051" i="3"/>
  <c r="D3050" i="3"/>
  <c r="A3045" i="3"/>
  <c r="A3044" i="3"/>
  <c r="D3043" i="3"/>
  <c r="D3042" i="3"/>
  <c r="D3041" i="3"/>
  <c r="F146" i="1"/>
  <c r="F76" i="1"/>
  <c r="F75" i="1"/>
  <c r="A75" i="1"/>
  <c r="B75" i="1"/>
  <c r="J85" i="2"/>
  <c r="G85" i="2"/>
  <c r="E85" i="2"/>
  <c r="D75" i="1" s="1"/>
  <c r="D85" i="2"/>
  <c r="C75" i="1" s="1"/>
  <c r="F145" i="1"/>
  <c r="A145" i="1"/>
  <c r="B145" i="1"/>
  <c r="E169" i="2"/>
  <c r="D145" i="1" s="1"/>
  <c r="D169" i="2"/>
  <c r="C145" i="1" s="1"/>
  <c r="A144" i="1"/>
  <c r="C168" i="2"/>
  <c r="B144" i="1" s="1"/>
  <c r="C167" i="2"/>
  <c r="F111" i="1"/>
  <c r="F110" i="1"/>
  <c r="A110" i="1"/>
  <c r="B110" i="1"/>
  <c r="J126" i="2"/>
  <c r="G126" i="2"/>
  <c r="A111" i="1"/>
  <c r="B111" i="1"/>
  <c r="A107" i="1"/>
  <c r="A108" i="1"/>
  <c r="A109" i="1"/>
  <c r="E127" i="2"/>
  <c r="D111" i="1" s="1"/>
  <c r="C125" i="2"/>
  <c r="B109" i="1" s="1"/>
  <c r="C124" i="2"/>
  <c r="B108" i="1" s="1"/>
  <c r="C123" i="2"/>
  <c r="B107" i="1" s="1"/>
  <c r="C122" i="2"/>
  <c r="A76" i="1"/>
  <c r="B76" i="1"/>
  <c r="E86" i="2"/>
  <c r="D76" i="1" s="1"/>
  <c r="D86" i="2"/>
  <c r="C76" i="1" s="1"/>
  <c r="A72" i="1"/>
  <c r="A73" i="1"/>
  <c r="A74" i="1"/>
  <c r="C84" i="2"/>
  <c r="C83" i="2"/>
  <c r="C82" i="2"/>
  <c r="B72" i="1" s="1"/>
  <c r="C81" i="2"/>
  <c r="C80" i="2"/>
  <c r="C79" i="2"/>
  <c r="H2563" i="3" l="1"/>
  <c r="J2563" i="3"/>
  <c r="C555" i="23"/>
  <c r="D518" i="2"/>
  <c r="C489" i="1"/>
  <c r="B461" i="1"/>
  <c r="B456" i="1"/>
  <c r="E518" i="2"/>
  <c r="B519" i="23"/>
  <c r="B517" i="23"/>
  <c r="D457" i="1"/>
  <c r="C519" i="23"/>
  <c r="J2545" i="3"/>
  <c r="H2544" i="3"/>
  <c r="H2535" i="3"/>
  <c r="J2536" i="3"/>
  <c r="B467" i="23"/>
  <c r="C467" i="23"/>
  <c r="C128" i="23"/>
  <c r="B85" i="23"/>
  <c r="B170" i="23"/>
  <c r="B84" i="23"/>
  <c r="C85" i="23"/>
  <c r="C170" i="23"/>
  <c r="C84" i="23"/>
  <c r="H2526" i="3"/>
  <c r="J2527" i="3"/>
  <c r="H3071" i="3"/>
  <c r="J3072" i="3"/>
  <c r="J3063" i="3"/>
  <c r="H3062" i="3"/>
  <c r="B160" i="1"/>
  <c r="H3053" i="3"/>
  <c r="J3054" i="3"/>
  <c r="H3044" i="3"/>
  <c r="J3045" i="3"/>
  <c r="D126" i="2"/>
  <c r="E126" i="2"/>
  <c r="D127" i="2"/>
  <c r="B74" i="1"/>
  <c r="B73" i="1"/>
  <c r="A2519" i="3"/>
  <c r="A2518" i="3"/>
  <c r="F2517" i="3"/>
  <c r="E2517" i="3"/>
  <c r="D2517" i="3"/>
  <c r="E2516" i="3"/>
  <c r="D2516" i="3"/>
  <c r="E2515" i="3"/>
  <c r="D2515" i="3"/>
  <c r="A2499" i="3"/>
  <c r="A2498" i="3"/>
  <c r="F2497" i="3"/>
  <c r="E2497" i="3"/>
  <c r="D2497" i="3"/>
  <c r="E2496" i="3"/>
  <c r="D2496" i="3"/>
  <c r="E2495" i="3"/>
  <c r="D2495" i="3"/>
  <c r="A2479" i="3"/>
  <c r="A2478" i="3"/>
  <c r="F2477" i="3"/>
  <c r="E2477" i="3"/>
  <c r="D2477" i="3"/>
  <c r="E2476" i="3"/>
  <c r="D2476" i="3"/>
  <c r="E2475" i="3"/>
  <c r="D2475" i="3"/>
  <c r="A2459" i="3"/>
  <c r="A2458" i="3"/>
  <c r="F2457" i="3"/>
  <c r="E2457" i="3"/>
  <c r="D2457" i="3"/>
  <c r="E2456" i="3"/>
  <c r="D2456" i="3"/>
  <c r="E2455" i="3"/>
  <c r="D2455" i="3"/>
  <c r="A2439" i="3"/>
  <c r="A2438" i="3"/>
  <c r="F2437" i="3"/>
  <c r="E2437" i="3"/>
  <c r="D2437" i="3"/>
  <c r="E2436" i="3"/>
  <c r="D2436" i="3"/>
  <c r="E2435" i="3"/>
  <c r="D2435" i="3"/>
  <c r="A2419" i="3"/>
  <c r="A2418" i="3"/>
  <c r="F2417" i="3"/>
  <c r="E2417" i="3"/>
  <c r="D2417" i="3"/>
  <c r="E2416" i="3"/>
  <c r="D2416" i="3"/>
  <c r="E2415" i="3"/>
  <c r="D2415" i="3"/>
  <c r="A2399" i="3"/>
  <c r="A2398" i="3"/>
  <c r="F2397" i="3"/>
  <c r="E2397" i="3"/>
  <c r="D2397" i="3"/>
  <c r="E2396" i="3"/>
  <c r="D2396" i="3"/>
  <c r="E2395" i="3"/>
  <c r="D2395" i="3"/>
  <c r="A2379" i="3"/>
  <c r="A2378" i="3"/>
  <c r="F2377" i="3"/>
  <c r="E2377" i="3"/>
  <c r="D2377" i="3"/>
  <c r="E2376" i="3"/>
  <c r="D2376" i="3"/>
  <c r="E2375" i="3"/>
  <c r="D2375" i="3"/>
  <c r="F2357" i="3"/>
  <c r="H2437" i="3" l="1"/>
  <c r="J2437" i="3"/>
  <c r="H2357" i="3"/>
  <c r="J2357" i="3"/>
  <c r="J2397" i="3"/>
  <c r="H2397" i="3"/>
  <c r="J2457" i="3"/>
  <c r="H2457" i="3"/>
  <c r="H2477" i="3"/>
  <c r="J2477" i="3"/>
  <c r="J2497" i="3"/>
  <c r="H2497" i="3"/>
  <c r="J2517" i="3"/>
  <c r="H2517" i="3"/>
  <c r="J2377" i="3"/>
  <c r="H2377" i="3"/>
  <c r="J2417" i="3"/>
  <c r="H2417" i="3"/>
  <c r="D460" i="1"/>
  <c r="C520" i="23"/>
  <c r="C460" i="1"/>
  <c r="B520" i="23"/>
  <c r="C110" i="1"/>
  <c r="B127" i="23"/>
  <c r="C111" i="1"/>
  <c r="B128" i="23"/>
  <c r="D110" i="1"/>
  <c r="C127" i="23"/>
  <c r="A2359" i="3" l="1"/>
  <c r="A2358" i="3"/>
  <c r="E2357" i="3"/>
  <c r="D2357" i="3"/>
  <c r="E2356" i="3"/>
  <c r="D2356" i="3"/>
  <c r="E2355" i="3"/>
  <c r="D2355" i="3"/>
  <c r="F2334" i="3" l="1"/>
  <c r="F2323" i="3"/>
  <c r="B526" i="23" l="1"/>
  <c r="B524" i="23"/>
  <c r="AE365" i="23"/>
  <c r="A40" i="5"/>
  <c r="AE557" i="23"/>
  <c r="B552" i="23"/>
  <c r="AE550" i="23"/>
  <c r="B543" i="23"/>
  <c r="AE541" i="23"/>
  <c r="B538" i="23"/>
  <c r="B537" i="23"/>
  <c r="B339" i="23"/>
  <c r="B78" i="5"/>
  <c r="A78" i="5"/>
  <c r="B52" i="5"/>
  <c r="A52" i="5"/>
  <c r="F354" i="2"/>
  <c r="D356" i="23" s="1"/>
  <c r="M356" i="23" s="1"/>
  <c r="AE356" i="23" s="1"/>
  <c r="A317" i="1"/>
  <c r="B317" i="1"/>
  <c r="F353" i="2"/>
  <c r="D355" i="23" s="1"/>
  <c r="M355" i="23" s="1"/>
  <c r="AE355" i="23" s="1"/>
  <c r="AG365" i="23" l="1"/>
  <c r="AG557" i="23"/>
  <c r="AG550" i="23"/>
  <c r="AG541" i="23"/>
  <c r="AG355" i="23"/>
  <c r="AG356" i="23"/>
  <c r="A316" i="1"/>
  <c r="B316" i="1"/>
  <c r="A4180" i="3"/>
  <c r="A4179" i="3"/>
  <c r="D4178" i="3"/>
  <c r="D4177" i="3"/>
  <c r="E1551" i="15" l="1"/>
  <c r="A1551" i="15"/>
  <c r="D4162" i="3" l="1"/>
  <c r="A4171" i="3"/>
  <c r="A4170" i="3"/>
  <c r="D4169" i="3"/>
  <c r="D4168" i="3"/>
  <c r="E1544" i="15" l="1"/>
  <c r="A1544" i="15"/>
  <c r="A4157" i="3"/>
  <c r="A4156" i="3"/>
  <c r="D4155" i="3"/>
  <c r="D4154" i="3"/>
  <c r="F350" i="2"/>
  <c r="D352" i="23" s="1"/>
  <c r="F351" i="2"/>
  <c r="D353" i="23" s="1"/>
  <c r="F352" i="2"/>
  <c r="D354" i="23" s="1"/>
  <c r="A314" i="1"/>
  <c r="A315" i="1"/>
  <c r="B315" i="1"/>
  <c r="B314" i="1"/>
  <c r="J354" i="2"/>
  <c r="G354" i="2"/>
  <c r="E354" i="2"/>
  <c r="D354" i="2"/>
  <c r="E1537" i="15"/>
  <c r="A1537" i="15"/>
  <c r="E1530" i="15"/>
  <c r="A1530" i="15"/>
  <c r="A4148" i="3"/>
  <c r="A4147" i="3"/>
  <c r="D4146" i="3"/>
  <c r="D4145" i="3"/>
  <c r="A4139" i="3"/>
  <c r="A4138" i="3"/>
  <c r="D4137" i="3"/>
  <c r="D4136" i="3"/>
  <c r="E1523" i="15"/>
  <c r="A1523" i="15"/>
  <c r="A4130" i="3"/>
  <c r="A4129" i="3"/>
  <c r="D4128" i="3"/>
  <c r="D4127" i="3"/>
  <c r="M354" i="23" l="1"/>
  <c r="AE354" i="23" s="1"/>
  <c r="AG354" i="23" s="1"/>
  <c r="M353" i="23"/>
  <c r="AE353" i="23" s="1"/>
  <c r="AG353" i="23" s="1"/>
  <c r="M352" i="23"/>
  <c r="AE352" i="23" s="1"/>
  <c r="AG352" i="23" s="1"/>
  <c r="D317" i="1"/>
  <c r="C356" i="23"/>
  <c r="C317" i="1"/>
  <c r="B356" i="23"/>
  <c r="A1516" i="15"/>
  <c r="A2339" i="3" l="1"/>
  <c r="A2338" i="3"/>
  <c r="E2337" i="3"/>
  <c r="D2337" i="3"/>
  <c r="E2336" i="3"/>
  <c r="D2336" i="3"/>
  <c r="E2335" i="3"/>
  <c r="D2335" i="3"/>
  <c r="F2335" i="3"/>
  <c r="E2334" i="3"/>
  <c r="D2334" i="3"/>
  <c r="F2333" i="3"/>
  <c r="E2333" i="3"/>
  <c r="D2333" i="3"/>
  <c r="E2332" i="3"/>
  <c r="D2332" i="3"/>
  <c r="A2328" i="3"/>
  <c r="A2327" i="3"/>
  <c r="E2326" i="3"/>
  <c r="D2326" i="3"/>
  <c r="E2325" i="3"/>
  <c r="D2325" i="3"/>
  <c r="E2324" i="3"/>
  <c r="D2324" i="3"/>
  <c r="F2324" i="3"/>
  <c r="E2323" i="3"/>
  <c r="D2323" i="3"/>
  <c r="F2322" i="3"/>
  <c r="E2322" i="3"/>
  <c r="D2322" i="3"/>
  <c r="E2321" i="3"/>
  <c r="D2321" i="3"/>
  <c r="F2314" i="3"/>
  <c r="H2322" i="3" l="1"/>
  <c r="J2322" i="3"/>
  <c r="J2333" i="3"/>
  <c r="H2333" i="3"/>
  <c r="H2324" i="3"/>
  <c r="J2324" i="3"/>
  <c r="J2335" i="3"/>
  <c r="H2335" i="3"/>
  <c r="B488" i="1"/>
  <c r="F476" i="1"/>
  <c r="F538" i="2" s="1"/>
  <c r="D540" i="23" s="1"/>
  <c r="F475" i="1"/>
  <c r="F537" i="2" s="1"/>
  <c r="D539" i="23" s="1"/>
  <c r="F543" i="2"/>
  <c r="D545" i="23" s="1"/>
  <c r="F544" i="2"/>
  <c r="D546" i="23" s="1"/>
  <c r="F545" i="2"/>
  <c r="D547" i="23" s="1"/>
  <c r="F484" i="1"/>
  <c r="F547" i="2" s="1"/>
  <c r="D549" i="23" s="1"/>
  <c r="F483" i="1"/>
  <c r="F546" i="2" s="1"/>
  <c r="D548" i="23" s="1"/>
  <c r="E483" i="1"/>
  <c r="F479" i="1"/>
  <c r="F542" i="2" s="1"/>
  <c r="D544" i="23" s="1"/>
  <c r="A473" i="1"/>
  <c r="C473" i="1"/>
  <c r="A474" i="1"/>
  <c r="C474" i="1"/>
  <c r="A475" i="1"/>
  <c r="B475" i="1"/>
  <c r="A476" i="1"/>
  <c r="B476" i="1"/>
  <c r="A478" i="1"/>
  <c r="C478" i="1"/>
  <c r="A479" i="1"/>
  <c r="B479" i="1"/>
  <c r="A480" i="1"/>
  <c r="B480" i="1"/>
  <c r="A481" i="1"/>
  <c r="B481" i="1"/>
  <c r="A482" i="1"/>
  <c r="B482" i="1"/>
  <c r="A483" i="1"/>
  <c r="B483" i="1"/>
  <c r="A484" i="1"/>
  <c r="B484" i="1"/>
  <c r="A486" i="1"/>
  <c r="C486" i="1"/>
  <c r="A487" i="1"/>
  <c r="A488" i="1"/>
  <c r="D551" i="2"/>
  <c r="A555" i="2"/>
  <c r="A548" i="2"/>
  <c r="J547" i="2"/>
  <c r="G547" i="2"/>
  <c r="E547" i="2"/>
  <c r="D547" i="2"/>
  <c r="J546" i="2"/>
  <c r="G546" i="2"/>
  <c r="E546" i="2"/>
  <c r="D546" i="2"/>
  <c r="J545" i="2"/>
  <c r="G545" i="2"/>
  <c r="E545" i="2"/>
  <c r="D545" i="2"/>
  <c r="J544" i="2"/>
  <c r="G544" i="2"/>
  <c r="E544" i="2"/>
  <c r="D544" i="2"/>
  <c r="J543" i="2"/>
  <c r="G543" i="2"/>
  <c r="E543" i="2"/>
  <c r="D543" i="2"/>
  <c r="J542" i="2"/>
  <c r="G542" i="2"/>
  <c r="E542" i="2"/>
  <c r="D542" i="2"/>
  <c r="A539" i="2"/>
  <c r="J538" i="2"/>
  <c r="G538" i="2"/>
  <c r="E538" i="2"/>
  <c r="D538" i="2"/>
  <c r="J537" i="2"/>
  <c r="G537" i="2"/>
  <c r="E537" i="2"/>
  <c r="D537" i="2"/>
  <c r="E282" i="23" l="1"/>
  <c r="E291" i="23"/>
  <c r="E283" i="23"/>
  <c r="E292" i="23"/>
  <c r="F597" i="23"/>
  <c r="AK597" i="23" s="1"/>
  <c r="F578" i="23"/>
  <c r="AK578" i="23" s="1"/>
  <c r="F626" i="23"/>
  <c r="AK626" i="23" s="1"/>
  <c r="F614" i="23"/>
  <c r="AK614" i="23" s="1"/>
  <c r="F571" i="23"/>
  <c r="AK571" i="23" s="1"/>
  <c r="F570" i="23"/>
  <c r="AK570" i="23" s="1"/>
  <c r="F596" i="23"/>
  <c r="AK596" i="23" s="1"/>
  <c r="F552" i="23"/>
  <c r="AK552" i="23" s="1"/>
  <c r="F590" i="23"/>
  <c r="AK590" i="23" s="1"/>
  <c r="F604" i="23"/>
  <c r="AK604" i="23" s="1"/>
  <c r="F537" i="23"/>
  <c r="AK537" i="23" s="1"/>
  <c r="F543" i="23"/>
  <c r="AK543" i="23" s="1"/>
  <c r="F538" i="23"/>
  <c r="AK538" i="23" s="1"/>
  <c r="F561" i="23"/>
  <c r="AK561" i="23" s="1"/>
  <c r="G549" i="23"/>
  <c r="AE549" i="23" s="1"/>
  <c r="AG549" i="23" s="1"/>
  <c r="G547" i="23"/>
  <c r="AE547" i="23" s="1"/>
  <c r="AG547" i="23" s="1"/>
  <c r="G546" i="23"/>
  <c r="AE546" i="23" s="1"/>
  <c r="AG546" i="23" s="1"/>
  <c r="G548" i="23"/>
  <c r="AE548" i="23" s="1"/>
  <c r="AG548" i="23" s="1"/>
  <c r="G545" i="23"/>
  <c r="AE545" i="23" s="1"/>
  <c r="AG545" i="23" s="1"/>
  <c r="G539" i="23"/>
  <c r="AE539" i="23" s="1"/>
  <c r="AG539" i="23" s="1"/>
  <c r="G544" i="23"/>
  <c r="AE544" i="23" s="1"/>
  <c r="AG544" i="23" s="1"/>
  <c r="G540" i="23"/>
  <c r="AE540" i="23" s="1"/>
  <c r="AG540" i="23" s="1"/>
  <c r="C487" i="1"/>
  <c r="B553" i="23"/>
  <c r="D479" i="1"/>
  <c r="C544" i="23"/>
  <c r="C476" i="1"/>
  <c r="B540" i="23"/>
  <c r="D483" i="1"/>
  <c r="C548" i="23"/>
  <c r="D476" i="1"/>
  <c r="C540" i="23"/>
  <c r="C480" i="1"/>
  <c r="B545" i="23"/>
  <c r="C482" i="1"/>
  <c r="B547" i="23"/>
  <c r="C484" i="1"/>
  <c r="B549" i="23"/>
  <c r="D480" i="1"/>
  <c r="C545" i="23"/>
  <c r="D482" i="1"/>
  <c r="C547" i="23"/>
  <c r="D484" i="1"/>
  <c r="C549" i="23"/>
  <c r="D481" i="1"/>
  <c r="C546" i="23"/>
  <c r="C475" i="1"/>
  <c r="B539" i="23"/>
  <c r="D475" i="1"/>
  <c r="C539" i="23"/>
  <c r="C479" i="1"/>
  <c r="B544" i="23"/>
  <c r="C481" i="1"/>
  <c r="B546" i="23"/>
  <c r="C483" i="1"/>
  <c r="B548" i="23"/>
  <c r="D552" i="2"/>
  <c r="E552" i="2"/>
  <c r="B487" i="1"/>
  <c r="E551" i="2"/>
  <c r="F345" i="2"/>
  <c r="D347" i="23" s="1"/>
  <c r="F346" i="2"/>
  <c r="D348" i="23" s="1"/>
  <c r="F347" i="2"/>
  <c r="D349" i="23" s="1"/>
  <c r="F348" i="2"/>
  <c r="D350" i="23" s="1"/>
  <c r="F349" i="2"/>
  <c r="D351" i="23" s="1"/>
  <c r="A308" i="1"/>
  <c r="B308" i="1"/>
  <c r="A309" i="1"/>
  <c r="B309" i="1"/>
  <c r="A310" i="1"/>
  <c r="B310" i="1"/>
  <c r="A311" i="1"/>
  <c r="B311" i="1"/>
  <c r="A312" i="1"/>
  <c r="B312" i="1"/>
  <c r="A313" i="1"/>
  <c r="B313" i="1"/>
  <c r="J349" i="2"/>
  <c r="G349" i="2"/>
  <c r="E349" i="2"/>
  <c r="D349" i="2"/>
  <c r="J348" i="2"/>
  <c r="G348" i="2"/>
  <c r="E348" i="2"/>
  <c r="D348" i="2"/>
  <c r="J347" i="2"/>
  <c r="G347" i="2"/>
  <c r="E347" i="2"/>
  <c r="D347" i="2"/>
  <c r="F339" i="2"/>
  <c r="D341" i="23" s="1"/>
  <c r="F340" i="2"/>
  <c r="D342" i="23" s="1"/>
  <c r="F341" i="2"/>
  <c r="D343" i="23" s="1"/>
  <c r="F342" i="2"/>
  <c r="D344" i="23" s="1"/>
  <c r="F343" i="2"/>
  <c r="D345" i="23" s="1"/>
  <c r="F344" i="2"/>
  <c r="D346" i="23" s="1"/>
  <c r="F338" i="2"/>
  <c r="D340" i="23" s="1"/>
  <c r="B301" i="1"/>
  <c r="A301" i="1"/>
  <c r="J338" i="2"/>
  <c r="G338" i="2"/>
  <c r="E338" i="2"/>
  <c r="D338" i="2"/>
  <c r="A300" i="1"/>
  <c r="C300" i="1"/>
  <c r="A302" i="1"/>
  <c r="B302" i="1"/>
  <c r="A303" i="1"/>
  <c r="B303" i="1"/>
  <c r="A304" i="1"/>
  <c r="B304" i="1"/>
  <c r="A305" i="1"/>
  <c r="B305" i="1"/>
  <c r="A306" i="1"/>
  <c r="B306" i="1"/>
  <c r="A307" i="1"/>
  <c r="B307" i="1"/>
  <c r="J346" i="2"/>
  <c r="G346" i="2"/>
  <c r="E346" i="2"/>
  <c r="D346" i="2"/>
  <c r="J345" i="2"/>
  <c r="G345" i="2"/>
  <c r="E345" i="2"/>
  <c r="D345" i="2"/>
  <c r="J344" i="2"/>
  <c r="G344" i="2"/>
  <c r="E344" i="2"/>
  <c r="D344" i="2"/>
  <c r="J343" i="2"/>
  <c r="G343" i="2"/>
  <c r="E343" i="2"/>
  <c r="D343" i="2"/>
  <c r="A363" i="2"/>
  <c r="J342" i="2"/>
  <c r="G342" i="2"/>
  <c r="E342" i="2"/>
  <c r="D342" i="2"/>
  <c r="J341" i="2"/>
  <c r="G341" i="2"/>
  <c r="E341" i="2"/>
  <c r="D341" i="2"/>
  <c r="J340" i="2"/>
  <c r="G340" i="2"/>
  <c r="E340" i="2"/>
  <c r="D340" i="2"/>
  <c r="J339" i="2"/>
  <c r="G339" i="2"/>
  <c r="E339" i="2"/>
  <c r="D339" i="2"/>
  <c r="M344" i="23" l="1"/>
  <c r="AE344" i="23" s="1"/>
  <c r="AG344" i="23" s="1"/>
  <c r="M347" i="23"/>
  <c r="AE347" i="23" s="1"/>
  <c r="AG347" i="23" s="1"/>
  <c r="M343" i="23"/>
  <c r="AE343" i="23" s="1"/>
  <c r="AG343" i="23" s="1"/>
  <c r="M342" i="23"/>
  <c r="AE342" i="23" s="1"/>
  <c r="AG342" i="23" s="1"/>
  <c r="M341" i="23"/>
  <c r="AE341" i="23" s="1"/>
  <c r="AG341" i="23" s="1"/>
  <c r="M351" i="23"/>
  <c r="AE351" i="23" s="1"/>
  <c r="AG351" i="23" s="1"/>
  <c r="M340" i="23"/>
  <c r="AE340" i="23" s="1"/>
  <c r="AG340" i="23" s="1"/>
  <c r="M350" i="23"/>
  <c r="AE350" i="23" s="1"/>
  <c r="AG350" i="23" s="1"/>
  <c r="M346" i="23"/>
  <c r="AE346" i="23" s="1"/>
  <c r="AG346" i="23" s="1"/>
  <c r="M349" i="23"/>
  <c r="AE349" i="23" s="1"/>
  <c r="AG349" i="23" s="1"/>
  <c r="M345" i="23"/>
  <c r="AE345" i="23" s="1"/>
  <c r="AG345" i="23" s="1"/>
  <c r="M348" i="23"/>
  <c r="AE348" i="23" s="1"/>
  <c r="AG348" i="23" s="1"/>
  <c r="D488" i="1"/>
  <c r="C554" i="23"/>
  <c r="D308" i="1"/>
  <c r="C347" i="23"/>
  <c r="C303" i="1"/>
  <c r="B342" i="23"/>
  <c r="C305" i="1"/>
  <c r="B344" i="23"/>
  <c r="C310" i="1"/>
  <c r="B349" i="23"/>
  <c r="C312" i="1"/>
  <c r="B351" i="23"/>
  <c r="D303" i="1"/>
  <c r="C342" i="23"/>
  <c r="D305" i="1"/>
  <c r="C344" i="23"/>
  <c r="C307" i="1"/>
  <c r="B346" i="23"/>
  <c r="C309" i="1"/>
  <c r="B348" i="23"/>
  <c r="D310" i="1"/>
  <c r="C349" i="23"/>
  <c r="D312" i="1"/>
  <c r="C351" i="23"/>
  <c r="C488" i="1"/>
  <c r="B554" i="23"/>
  <c r="D307" i="1"/>
  <c r="C346" i="23"/>
  <c r="D309" i="1"/>
  <c r="C348" i="23"/>
  <c r="D306" i="1"/>
  <c r="C345" i="23"/>
  <c r="C301" i="1"/>
  <c r="B340" i="23"/>
  <c r="C302" i="1"/>
  <c r="B341" i="23"/>
  <c r="C304" i="1"/>
  <c r="B343" i="23"/>
  <c r="D301" i="1"/>
  <c r="C340" i="23"/>
  <c r="C311" i="1"/>
  <c r="B350" i="23"/>
  <c r="D302" i="1"/>
  <c r="C341" i="23"/>
  <c r="D304" i="1"/>
  <c r="C343" i="23"/>
  <c r="C306" i="1"/>
  <c r="B345" i="23"/>
  <c r="C308" i="1"/>
  <c r="B347" i="23"/>
  <c r="D311" i="1"/>
  <c r="C350" i="23"/>
  <c r="D487" i="1"/>
  <c r="C553" i="23"/>
  <c r="E320" i="2"/>
  <c r="D320" i="2"/>
  <c r="F2305" i="3"/>
  <c r="F2307" i="3" s="1"/>
  <c r="F2310" i="3"/>
  <c r="E1509" i="15"/>
  <c r="A1509" i="15"/>
  <c r="H2310" i="3" l="1"/>
  <c r="J2310" i="3"/>
  <c r="H2307" i="3"/>
  <c r="J2307" i="3"/>
  <c r="F2306" i="3"/>
  <c r="E181" i="2"/>
  <c r="D180" i="2"/>
  <c r="E180" i="2"/>
  <c r="D181" i="2"/>
  <c r="E359" i="2"/>
  <c r="D327" i="2"/>
  <c r="D326" i="2"/>
  <c r="D359" i="2"/>
  <c r="E327" i="2"/>
  <c r="E326" i="2"/>
  <c r="D360" i="2"/>
  <c r="D328" i="2"/>
  <c r="D329" i="2"/>
  <c r="E329" i="2"/>
  <c r="E360" i="2"/>
  <c r="D358" i="2"/>
  <c r="E328" i="2"/>
  <c r="D361" i="2"/>
  <c r="E358" i="2"/>
  <c r="E361" i="2"/>
  <c r="E554" i="2"/>
  <c r="D554" i="2"/>
  <c r="E519" i="2"/>
  <c r="D519" i="2"/>
  <c r="D516" i="2"/>
  <c r="D514" i="2"/>
  <c r="E514" i="2"/>
  <c r="E469" i="2"/>
  <c r="E516" i="2"/>
  <c r="D469" i="2"/>
  <c r="D468" i="2"/>
  <c r="E468" i="2"/>
  <c r="D211" i="2"/>
  <c r="E211" i="2"/>
  <c r="D191" i="2"/>
  <c r="E191" i="2"/>
  <c r="E187" i="2"/>
  <c r="D187" i="2"/>
  <c r="E83" i="2"/>
  <c r="D83" i="2"/>
  <c r="D84" i="2"/>
  <c r="E84" i="2"/>
  <c r="D168" i="2"/>
  <c r="E82" i="2"/>
  <c r="E168" i="2"/>
  <c r="D82" i="2"/>
  <c r="D353" i="2"/>
  <c r="E353" i="2"/>
  <c r="D287" i="2"/>
  <c r="B289" i="23" s="1"/>
  <c r="D350" i="2"/>
  <c r="D351" i="2"/>
  <c r="D286" i="2"/>
  <c r="B288" i="23" s="1"/>
  <c r="E288" i="2"/>
  <c r="C290" i="23" s="1"/>
  <c r="D285" i="2"/>
  <c r="B287" i="23" s="1"/>
  <c r="E287" i="2"/>
  <c r="C289" i="23" s="1"/>
  <c r="E352" i="2"/>
  <c r="D288" i="2"/>
  <c r="B290" i="23" s="1"/>
  <c r="E286" i="2"/>
  <c r="C288" i="23" s="1"/>
  <c r="E351" i="2"/>
  <c r="E285" i="2"/>
  <c r="C287" i="23" s="1"/>
  <c r="E350" i="2"/>
  <c r="D352" i="2"/>
  <c r="A2317" i="3"/>
  <c r="A2316" i="3"/>
  <c r="F2315" i="3"/>
  <c r="E2315" i="3"/>
  <c r="D2315" i="3"/>
  <c r="E2314" i="3"/>
  <c r="D2314" i="3"/>
  <c r="E2313" i="3"/>
  <c r="E2312" i="3"/>
  <c r="D2312" i="3"/>
  <c r="E2311" i="3"/>
  <c r="D2311" i="3"/>
  <c r="E2310" i="3"/>
  <c r="D2310" i="3"/>
  <c r="E2307" i="3"/>
  <c r="D2307" i="3"/>
  <c r="E2306" i="3"/>
  <c r="D2306" i="3"/>
  <c r="E2305" i="3"/>
  <c r="D2305" i="3"/>
  <c r="E322" i="2"/>
  <c r="D322" i="2"/>
  <c r="E321" i="2"/>
  <c r="D321" i="2"/>
  <c r="D314" i="2"/>
  <c r="E314" i="2"/>
  <c r="D315" i="2"/>
  <c r="E315" i="2"/>
  <c r="D316" i="2"/>
  <c r="E316" i="2"/>
  <c r="D317" i="2"/>
  <c r="E317" i="2"/>
  <c r="D318" i="2"/>
  <c r="E318" i="2"/>
  <c r="B280" i="1"/>
  <c r="H2306" i="3" l="1"/>
  <c r="J2306" i="3"/>
  <c r="D323" i="1"/>
  <c r="C362" i="23"/>
  <c r="C290" i="1"/>
  <c r="B328" i="23"/>
  <c r="D293" i="1"/>
  <c r="C331" i="23"/>
  <c r="C291" i="1"/>
  <c r="B329" i="23"/>
  <c r="C293" i="1"/>
  <c r="B331" i="23"/>
  <c r="D322" i="1"/>
  <c r="C361" i="23"/>
  <c r="D324" i="1"/>
  <c r="C363" i="23"/>
  <c r="C292" i="1"/>
  <c r="B330" i="23"/>
  <c r="C155" i="1"/>
  <c r="B183" i="23"/>
  <c r="D321" i="1"/>
  <c r="C360" i="23"/>
  <c r="C323" i="1"/>
  <c r="B362" i="23"/>
  <c r="D154" i="1"/>
  <c r="C182" i="23"/>
  <c r="C324" i="1"/>
  <c r="B363" i="23"/>
  <c r="D290" i="1"/>
  <c r="C328" i="23"/>
  <c r="C154" i="1"/>
  <c r="B182" i="23"/>
  <c r="D292" i="1"/>
  <c r="C330" i="23"/>
  <c r="D291" i="1"/>
  <c r="C329" i="23"/>
  <c r="D155" i="1"/>
  <c r="C183" i="23"/>
  <c r="C321" i="1"/>
  <c r="B360" i="23"/>
  <c r="C322" i="1"/>
  <c r="B361" i="23"/>
  <c r="C461" i="1"/>
  <c r="B521" i="23"/>
  <c r="D461" i="1"/>
  <c r="C521" i="23"/>
  <c r="B556" i="23"/>
  <c r="C490" i="1"/>
  <c r="C556" i="23"/>
  <c r="D490" i="1"/>
  <c r="C418" i="1"/>
  <c r="B472" i="23"/>
  <c r="D458" i="1"/>
  <c r="C518" i="23"/>
  <c r="D418" i="1"/>
  <c r="C472" i="23"/>
  <c r="D456" i="1"/>
  <c r="C516" i="23"/>
  <c r="C456" i="1"/>
  <c r="B516" i="23"/>
  <c r="C458" i="1"/>
  <c r="B518" i="23"/>
  <c r="D183" i="1"/>
  <c r="C213" i="23"/>
  <c r="C183" i="1"/>
  <c r="B213" i="23"/>
  <c r="D417" i="1"/>
  <c r="C471" i="23"/>
  <c r="C417" i="1"/>
  <c r="B471" i="23"/>
  <c r="C72" i="1"/>
  <c r="B81" i="23"/>
  <c r="C160" i="1"/>
  <c r="B189" i="23"/>
  <c r="D144" i="1"/>
  <c r="C169" i="23"/>
  <c r="D160" i="1"/>
  <c r="C189" i="23"/>
  <c r="D72" i="1"/>
  <c r="C81" i="23"/>
  <c r="D164" i="1"/>
  <c r="C193" i="23"/>
  <c r="C144" i="1"/>
  <c r="B169" i="23"/>
  <c r="C164" i="1"/>
  <c r="B193" i="23"/>
  <c r="D74" i="1"/>
  <c r="C83" i="23"/>
  <c r="C74" i="1"/>
  <c r="B83" i="23"/>
  <c r="C73" i="1"/>
  <c r="B82" i="23"/>
  <c r="D73" i="1"/>
  <c r="C82" i="23"/>
  <c r="H2327" i="3"/>
  <c r="J2328" i="3"/>
  <c r="H2338" i="3"/>
  <c r="J2339" i="3"/>
  <c r="C355" i="23"/>
  <c r="D316" i="1"/>
  <c r="C316" i="1"/>
  <c r="B355" i="23"/>
  <c r="D313" i="1"/>
  <c r="C352" i="23"/>
  <c r="D314" i="1"/>
  <c r="C353" i="23"/>
  <c r="C314" i="1"/>
  <c r="B353" i="23"/>
  <c r="C315" i="1"/>
  <c r="B354" i="23"/>
  <c r="D315" i="1"/>
  <c r="C354" i="23"/>
  <c r="C313" i="1"/>
  <c r="B352" i="23"/>
  <c r="J2317" i="3" l="1"/>
  <c r="H2316" i="3"/>
  <c r="F430" i="1"/>
  <c r="F431" i="1" s="1"/>
  <c r="F429" i="1"/>
  <c r="E431" i="1"/>
  <c r="F278" i="1" l="1"/>
  <c r="D309" i="2"/>
  <c r="E309" i="2"/>
  <c r="B257" i="1"/>
  <c r="B258" i="1"/>
  <c r="B259" i="1"/>
  <c r="B260" i="1"/>
  <c r="B262" i="1"/>
  <c r="A249" i="1"/>
  <c r="A250" i="1"/>
  <c r="A251" i="1"/>
  <c r="A252" i="1"/>
  <c r="D249" i="1"/>
  <c r="C249" i="1"/>
  <c r="B249" i="1"/>
  <c r="D251" i="1"/>
  <c r="C251" i="1"/>
  <c r="B251" i="1"/>
  <c r="D252" i="1"/>
  <c r="C252" i="1"/>
  <c r="B252" i="1"/>
  <c r="D250" i="1"/>
  <c r="C250" i="1"/>
  <c r="B250" i="1"/>
  <c r="A398" i="2" l="1"/>
  <c r="A252" i="2"/>
  <c r="A628" i="2"/>
  <c r="A627" i="2"/>
  <c r="A621" i="2"/>
  <c r="A609" i="2"/>
  <c r="A599" i="2"/>
  <c r="A591" i="2"/>
  <c r="A590" i="2"/>
  <c r="A586" i="2"/>
  <c r="A574" i="2"/>
  <c r="A566" i="2"/>
  <c r="A557" i="2"/>
  <c r="A533" i="2"/>
  <c r="A527" i="2"/>
  <c r="A520" i="2"/>
  <c r="A505" i="2"/>
  <c r="A494" i="2"/>
  <c r="A486" i="2"/>
  <c r="A485" i="2"/>
  <c r="A479" i="2"/>
  <c r="A471" i="2"/>
  <c r="A457" i="2"/>
  <c r="A450" i="2"/>
  <c r="A449" i="2"/>
  <c r="A444" i="2"/>
  <c r="A439" i="2"/>
  <c r="A427" i="2"/>
  <c r="A419" i="2"/>
  <c r="A399" i="2"/>
  <c r="A387" i="2"/>
  <c r="A386" i="2"/>
  <c r="A365" i="2"/>
  <c r="A335" i="2"/>
  <c r="A269" i="2"/>
  <c r="A253" i="2"/>
  <c r="A251" i="2"/>
  <c r="A246" i="2"/>
  <c r="A235" i="2"/>
  <c r="A227" i="2"/>
  <c r="A213" i="2"/>
  <c r="A196" i="2"/>
  <c r="A182" i="2"/>
  <c r="A172" i="2"/>
  <c r="A171" i="2"/>
  <c r="A162" i="2"/>
  <c r="A154" i="2"/>
  <c r="A148" i="2"/>
  <c r="A143" i="2"/>
  <c r="A136" i="2"/>
  <c r="A128" i="2"/>
  <c r="A119" i="2"/>
  <c r="A107" i="2"/>
  <c r="A102" i="2"/>
  <c r="A93" i="2"/>
  <c r="A87" i="2"/>
  <c r="A76" i="2"/>
  <c r="A70" i="2"/>
  <c r="A63" i="2"/>
  <c r="A59" i="2"/>
  <c r="A52" i="2"/>
  <c r="A43" i="2"/>
  <c r="A36" i="2"/>
  <c r="A94" i="2"/>
  <c r="A25" i="2"/>
  <c r="A21" i="2"/>
  <c r="B33" i="5" l="1"/>
  <c r="B40" i="5"/>
  <c r="B47" i="5"/>
  <c r="B70" i="5"/>
  <c r="J626" i="2" l="1"/>
  <c r="G626" i="2"/>
  <c r="E626" i="2"/>
  <c r="D626" i="2"/>
  <c r="J625" i="2"/>
  <c r="G625" i="2"/>
  <c r="E625" i="2"/>
  <c r="D625" i="2"/>
  <c r="J624" i="2"/>
  <c r="G624" i="2"/>
  <c r="E624" i="2"/>
  <c r="D624" i="2"/>
  <c r="J618" i="2"/>
  <c r="G618" i="2"/>
  <c r="E618" i="2"/>
  <c r="D618" i="2"/>
  <c r="J617" i="2"/>
  <c r="G617" i="2"/>
  <c r="E617" i="2"/>
  <c r="D617" i="2"/>
  <c r="J616" i="2"/>
  <c r="G616" i="2"/>
  <c r="E616" i="2"/>
  <c r="D616" i="2"/>
  <c r="J615" i="2"/>
  <c r="G615" i="2"/>
  <c r="E615" i="2"/>
  <c r="D615" i="2"/>
  <c r="J614" i="2"/>
  <c r="G614" i="2"/>
  <c r="E614" i="2"/>
  <c r="D614" i="2"/>
  <c r="J613" i="2"/>
  <c r="G613" i="2"/>
  <c r="E613" i="2"/>
  <c r="D613" i="2"/>
  <c r="J612" i="2"/>
  <c r="G612" i="2"/>
  <c r="E612" i="2"/>
  <c r="D612" i="2"/>
  <c r="J608" i="2"/>
  <c r="G608" i="2"/>
  <c r="E608" i="2"/>
  <c r="D608" i="2"/>
  <c r="J607" i="2"/>
  <c r="G607" i="2"/>
  <c r="E607" i="2"/>
  <c r="D607" i="2"/>
  <c r="J606" i="2"/>
  <c r="G606" i="2"/>
  <c r="E606" i="2"/>
  <c r="D606" i="2"/>
  <c r="J605" i="2"/>
  <c r="G605" i="2"/>
  <c r="E605" i="2"/>
  <c r="D605" i="2"/>
  <c r="J604" i="2"/>
  <c r="G604" i="2"/>
  <c r="E604" i="2"/>
  <c r="C607" i="23" s="1"/>
  <c r="D604" i="2"/>
  <c r="B607" i="23" s="1"/>
  <c r="J603" i="2"/>
  <c r="G603" i="2"/>
  <c r="E603" i="2"/>
  <c r="D603" i="2"/>
  <c r="J602" i="2"/>
  <c r="G602" i="2"/>
  <c r="E602" i="2"/>
  <c r="D602" i="2"/>
  <c r="J598" i="2"/>
  <c r="G598" i="2"/>
  <c r="E598" i="2"/>
  <c r="D598" i="2"/>
  <c r="J597" i="2"/>
  <c r="G597" i="2"/>
  <c r="E597" i="2"/>
  <c r="D597" i="2"/>
  <c r="J596" i="2"/>
  <c r="G596" i="2"/>
  <c r="E596" i="2"/>
  <c r="D596" i="2"/>
  <c r="J595" i="2"/>
  <c r="G595" i="2"/>
  <c r="E595" i="2"/>
  <c r="D595" i="2"/>
  <c r="E589" i="2"/>
  <c r="D589" i="2"/>
  <c r="J585" i="2"/>
  <c r="G585" i="2"/>
  <c r="E585" i="2"/>
  <c r="D585" i="2"/>
  <c r="J584" i="2"/>
  <c r="G584" i="2"/>
  <c r="E584" i="2"/>
  <c r="D584" i="2"/>
  <c r="J583" i="2"/>
  <c r="G583" i="2"/>
  <c r="E583" i="2"/>
  <c r="D583" i="2"/>
  <c r="J582" i="2"/>
  <c r="G582" i="2"/>
  <c r="E582" i="2"/>
  <c r="D582" i="2"/>
  <c r="J581" i="2"/>
  <c r="G581" i="2"/>
  <c r="E581" i="2"/>
  <c r="D581" i="2"/>
  <c r="J580" i="2"/>
  <c r="G580" i="2"/>
  <c r="E580" i="2"/>
  <c r="D580" i="2"/>
  <c r="J579" i="2"/>
  <c r="G579" i="2"/>
  <c r="E579" i="2"/>
  <c r="D579" i="2"/>
  <c r="J578" i="2"/>
  <c r="G578" i="2"/>
  <c r="E578" i="2"/>
  <c r="D578" i="2"/>
  <c r="J577" i="2"/>
  <c r="G577" i="2"/>
  <c r="E577" i="2"/>
  <c r="D577" i="2"/>
  <c r="J573" i="2"/>
  <c r="G573" i="2"/>
  <c r="E573" i="2"/>
  <c r="D573" i="2"/>
  <c r="J572" i="2"/>
  <c r="G572" i="2"/>
  <c r="E572" i="2"/>
  <c r="D572" i="2"/>
  <c r="J571" i="2"/>
  <c r="G571" i="2"/>
  <c r="E571" i="2"/>
  <c r="D571" i="2"/>
  <c r="E570" i="2"/>
  <c r="D570" i="2"/>
  <c r="E565" i="2"/>
  <c r="D565" i="2"/>
  <c r="E564" i="2"/>
  <c r="D564" i="2"/>
  <c r="E563" i="2"/>
  <c r="D563" i="2"/>
  <c r="E562" i="2"/>
  <c r="D562" i="2"/>
  <c r="E561" i="2"/>
  <c r="D561" i="2"/>
  <c r="E560" i="2"/>
  <c r="D560" i="2"/>
  <c r="C493" i="1" s="1"/>
  <c r="J532" i="2"/>
  <c r="G532" i="2"/>
  <c r="E532" i="2"/>
  <c r="D532" i="2"/>
  <c r="J531" i="2"/>
  <c r="G531" i="2"/>
  <c r="E531" i="2"/>
  <c r="D531" i="2"/>
  <c r="J530" i="2"/>
  <c r="G530" i="2"/>
  <c r="E530" i="2"/>
  <c r="D530" i="2"/>
  <c r="E526" i="2"/>
  <c r="C528" i="23" s="1"/>
  <c r="D526" i="2"/>
  <c r="B528" i="23" s="1"/>
  <c r="E525" i="2"/>
  <c r="C527" i="23" s="1"/>
  <c r="D525" i="2"/>
  <c r="B527" i="23" s="1"/>
  <c r="E513" i="2"/>
  <c r="D513" i="2"/>
  <c r="E512" i="2"/>
  <c r="D512" i="2"/>
  <c r="E511" i="2"/>
  <c r="D511" i="2"/>
  <c r="E510" i="2"/>
  <c r="D510" i="2"/>
  <c r="E509" i="2"/>
  <c r="D509" i="2"/>
  <c r="E508" i="2"/>
  <c r="D508" i="2"/>
  <c r="J504" i="2"/>
  <c r="G504" i="2"/>
  <c r="E504" i="2"/>
  <c r="D504" i="2"/>
  <c r="J503" i="2"/>
  <c r="G503" i="2"/>
  <c r="E503" i="2"/>
  <c r="D503" i="2"/>
  <c r="J502" i="2"/>
  <c r="G502" i="2"/>
  <c r="E502" i="2"/>
  <c r="D502" i="2"/>
  <c r="J501" i="2"/>
  <c r="G501" i="2"/>
  <c r="E501" i="2"/>
  <c r="D501" i="2"/>
  <c r="J500" i="2"/>
  <c r="G500" i="2"/>
  <c r="E500" i="2"/>
  <c r="D500" i="2"/>
  <c r="J499" i="2"/>
  <c r="G499" i="2"/>
  <c r="E499" i="2"/>
  <c r="D499" i="2"/>
  <c r="J498" i="2"/>
  <c r="G498" i="2"/>
  <c r="E498" i="2"/>
  <c r="D498" i="2"/>
  <c r="J497" i="2"/>
  <c r="G497" i="2"/>
  <c r="E497" i="2"/>
  <c r="D497" i="2"/>
  <c r="J493" i="2"/>
  <c r="G493" i="2"/>
  <c r="E493" i="2"/>
  <c r="D493" i="2"/>
  <c r="J492" i="2"/>
  <c r="G492" i="2"/>
  <c r="E492" i="2"/>
  <c r="D492" i="2"/>
  <c r="J484" i="2"/>
  <c r="G484" i="2"/>
  <c r="E484" i="2"/>
  <c r="D484" i="2"/>
  <c r="J483" i="2"/>
  <c r="G483" i="2"/>
  <c r="E483" i="2"/>
  <c r="D483" i="2"/>
  <c r="J482" i="2"/>
  <c r="G482" i="2"/>
  <c r="E482" i="2"/>
  <c r="D482" i="2"/>
  <c r="J478" i="2"/>
  <c r="G478" i="2"/>
  <c r="E478" i="2"/>
  <c r="D478" i="2"/>
  <c r="J477" i="2"/>
  <c r="G477" i="2"/>
  <c r="E477" i="2"/>
  <c r="D477" i="2"/>
  <c r="J476" i="2"/>
  <c r="G476" i="2"/>
  <c r="E476" i="2"/>
  <c r="D476" i="2"/>
  <c r="J475" i="2"/>
  <c r="G475" i="2"/>
  <c r="E475" i="2"/>
  <c r="D475" i="2"/>
  <c r="J474" i="2"/>
  <c r="G474" i="2"/>
  <c r="E474" i="2"/>
  <c r="D474" i="2"/>
  <c r="E470" i="2"/>
  <c r="D470" i="2"/>
  <c r="J467" i="2"/>
  <c r="G467" i="2"/>
  <c r="E467" i="2"/>
  <c r="D467" i="2"/>
  <c r="J466" i="2"/>
  <c r="G466" i="2"/>
  <c r="E466" i="2"/>
  <c r="D466" i="2"/>
  <c r="J465" i="2"/>
  <c r="G465" i="2"/>
  <c r="E465" i="2"/>
  <c r="D465" i="2"/>
  <c r="J463" i="2"/>
  <c r="G463" i="2"/>
  <c r="E463" i="2"/>
  <c r="C466" i="23" s="1"/>
  <c r="D463" i="2"/>
  <c r="B466" i="23" s="1"/>
  <c r="J462" i="2"/>
  <c r="G462" i="2"/>
  <c r="E462" i="2"/>
  <c r="C465" i="23" s="1"/>
  <c r="D462" i="2"/>
  <c r="B465" i="23" s="1"/>
  <c r="J461" i="2"/>
  <c r="G461" i="2"/>
  <c r="E461" i="2"/>
  <c r="D461" i="2"/>
  <c r="J460" i="2"/>
  <c r="G460" i="2"/>
  <c r="E460" i="2"/>
  <c r="D460" i="2"/>
  <c r="J456" i="2"/>
  <c r="G456" i="2"/>
  <c r="E456" i="2"/>
  <c r="D456" i="2"/>
  <c r="J455" i="2"/>
  <c r="G455" i="2"/>
  <c r="E455" i="2"/>
  <c r="D455" i="2"/>
  <c r="J454" i="2"/>
  <c r="G454" i="2"/>
  <c r="E454" i="2"/>
  <c r="D454" i="2"/>
  <c r="E448" i="2"/>
  <c r="D448" i="2"/>
  <c r="E447" i="2"/>
  <c r="D447" i="2"/>
  <c r="J443" i="2"/>
  <c r="G443" i="2"/>
  <c r="E443" i="2"/>
  <c r="D443" i="2"/>
  <c r="J442" i="2"/>
  <c r="G442" i="2"/>
  <c r="E442" i="2"/>
  <c r="D442" i="2"/>
  <c r="J438" i="2"/>
  <c r="G438" i="2"/>
  <c r="E438" i="2"/>
  <c r="D438" i="2"/>
  <c r="J437" i="2"/>
  <c r="G437" i="2"/>
  <c r="E437" i="2"/>
  <c r="D437" i="2"/>
  <c r="J436" i="2"/>
  <c r="G436" i="2"/>
  <c r="E436" i="2"/>
  <c r="D436" i="2"/>
  <c r="J435" i="2"/>
  <c r="G435" i="2"/>
  <c r="E435" i="2"/>
  <c r="D435" i="2"/>
  <c r="J434" i="2"/>
  <c r="G434" i="2"/>
  <c r="E434" i="2"/>
  <c r="D434" i="2"/>
  <c r="J433" i="2"/>
  <c r="G433" i="2"/>
  <c r="E433" i="2"/>
  <c r="D433" i="2"/>
  <c r="J432" i="2"/>
  <c r="G432" i="2"/>
  <c r="E432" i="2"/>
  <c r="D432" i="2"/>
  <c r="J431" i="2"/>
  <c r="G431" i="2"/>
  <c r="E431" i="2"/>
  <c r="D431" i="2"/>
  <c r="J430" i="2"/>
  <c r="G430" i="2"/>
  <c r="E430" i="2"/>
  <c r="D430" i="2"/>
  <c r="J426" i="2"/>
  <c r="G426" i="2"/>
  <c r="E426" i="2"/>
  <c r="D426" i="2"/>
  <c r="J425" i="2"/>
  <c r="G425" i="2"/>
  <c r="E425" i="2"/>
  <c r="D425" i="2"/>
  <c r="J424" i="2"/>
  <c r="G424" i="2"/>
  <c r="E424" i="2"/>
  <c r="D424" i="2"/>
  <c r="E423" i="2"/>
  <c r="D423" i="2"/>
  <c r="E418" i="2"/>
  <c r="D418" i="2"/>
  <c r="J417" i="2"/>
  <c r="G417" i="2"/>
  <c r="E417" i="2"/>
  <c r="D417" i="2"/>
  <c r="J416" i="2"/>
  <c r="G416" i="2"/>
  <c r="E416" i="2"/>
  <c r="D416" i="2"/>
  <c r="J415" i="2"/>
  <c r="G415" i="2"/>
  <c r="E415" i="2"/>
  <c r="D415" i="2"/>
  <c r="J414" i="2"/>
  <c r="G414" i="2"/>
  <c r="E414" i="2"/>
  <c r="D414" i="2"/>
  <c r="J413" i="2"/>
  <c r="G413" i="2"/>
  <c r="E413" i="2"/>
  <c r="D413" i="2"/>
  <c r="E412" i="2"/>
  <c r="D412" i="2"/>
  <c r="J411" i="2"/>
  <c r="G411" i="2"/>
  <c r="E411" i="2"/>
  <c r="D411" i="2"/>
  <c r="J410" i="2"/>
  <c r="G410" i="2"/>
  <c r="E410" i="2"/>
  <c r="D410" i="2"/>
  <c r="E409" i="2"/>
  <c r="D409" i="2"/>
  <c r="E408" i="2"/>
  <c r="D408" i="2"/>
  <c r="E407" i="2"/>
  <c r="D407" i="2"/>
  <c r="E406" i="2"/>
  <c r="D406" i="2"/>
  <c r="J405" i="2"/>
  <c r="G405" i="2"/>
  <c r="E405" i="2"/>
  <c r="D405" i="2"/>
  <c r="J404" i="2"/>
  <c r="G404" i="2"/>
  <c r="E404" i="2"/>
  <c r="D404" i="2"/>
  <c r="J403" i="2"/>
  <c r="G403" i="2"/>
  <c r="E403" i="2"/>
  <c r="D403" i="2"/>
  <c r="J402" i="2"/>
  <c r="G402" i="2"/>
  <c r="E402" i="2"/>
  <c r="D402" i="2"/>
  <c r="J397" i="2"/>
  <c r="G397" i="2"/>
  <c r="E397" i="2"/>
  <c r="D397" i="2"/>
  <c r="J396" i="2"/>
  <c r="G396" i="2"/>
  <c r="E396" i="2"/>
  <c r="D396" i="2"/>
  <c r="J395" i="2"/>
  <c r="G395" i="2"/>
  <c r="E395" i="2"/>
  <c r="D395" i="2"/>
  <c r="J394" i="2"/>
  <c r="G394" i="2"/>
  <c r="E394" i="2"/>
  <c r="D394" i="2"/>
  <c r="E393" i="2"/>
  <c r="D393" i="2"/>
  <c r="J392" i="2"/>
  <c r="G392" i="2"/>
  <c r="E392" i="2"/>
  <c r="C395" i="23" s="1"/>
  <c r="D392" i="2"/>
  <c r="B395" i="23" s="1"/>
  <c r="J391" i="2"/>
  <c r="G391" i="2"/>
  <c r="E391" i="2"/>
  <c r="D391" i="2"/>
  <c r="E385" i="2"/>
  <c r="D385" i="2"/>
  <c r="J384" i="2"/>
  <c r="G384" i="2"/>
  <c r="E384" i="2"/>
  <c r="D384" i="2"/>
  <c r="J383" i="2"/>
  <c r="G383" i="2"/>
  <c r="E383" i="2"/>
  <c r="D383" i="2"/>
  <c r="J382" i="2"/>
  <c r="G382" i="2"/>
  <c r="E382" i="2"/>
  <c r="D382" i="2"/>
  <c r="J381" i="2"/>
  <c r="G381" i="2"/>
  <c r="E381" i="2"/>
  <c r="D381" i="2"/>
  <c r="J380" i="2"/>
  <c r="G380" i="2"/>
  <c r="E380" i="2"/>
  <c r="D380" i="2"/>
  <c r="J379" i="2"/>
  <c r="G379" i="2"/>
  <c r="E379" i="2"/>
  <c r="D379" i="2"/>
  <c r="J378" i="2"/>
  <c r="G378" i="2"/>
  <c r="E378" i="2"/>
  <c r="D378" i="2"/>
  <c r="J377" i="2"/>
  <c r="G377" i="2"/>
  <c r="E377" i="2"/>
  <c r="D377" i="2"/>
  <c r="J376" i="2"/>
  <c r="G376" i="2"/>
  <c r="E376" i="2"/>
  <c r="D376" i="2"/>
  <c r="J375" i="2"/>
  <c r="G375" i="2"/>
  <c r="E375" i="2"/>
  <c r="D375" i="2"/>
  <c r="J374" i="2"/>
  <c r="G374" i="2"/>
  <c r="E374" i="2"/>
  <c r="C377" i="23" s="1"/>
  <c r="D374" i="2"/>
  <c r="B377" i="23" s="1"/>
  <c r="J373" i="2"/>
  <c r="G373" i="2"/>
  <c r="E373" i="2"/>
  <c r="C376" i="23" s="1"/>
  <c r="D373" i="2"/>
  <c r="B376" i="23" s="1"/>
  <c r="J372" i="2"/>
  <c r="G372" i="2"/>
  <c r="E372" i="2"/>
  <c r="D372" i="2"/>
  <c r="J371" i="2"/>
  <c r="G371" i="2"/>
  <c r="E371" i="2"/>
  <c r="C374" i="23" s="1"/>
  <c r="D371" i="2"/>
  <c r="B374" i="23" s="1"/>
  <c r="J370" i="2"/>
  <c r="G370" i="2"/>
  <c r="E370" i="2"/>
  <c r="C373" i="23" s="1"/>
  <c r="D370" i="2"/>
  <c r="B373" i="23" s="1"/>
  <c r="J369" i="2"/>
  <c r="G369" i="2"/>
  <c r="E369" i="2"/>
  <c r="D369" i="2"/>
  <c r="J323" i="2"/>
  <c r="G323" i="2"/>
  <c r="E323" i="2"/>
  <c r="D323" i="2"/>
  <c r="E319" i="2"/>
  <c r="D319" i="2"/>
  <c r="D280" i="1"/>
  <c r="C280" i="1"/>
  <c r="J313" i="2"/>
  <c r="G313" i="2"/>
  <c r="E313" i="2"/>
  <c r="D313" i="2"/>
  <c r="J312" i="2"/>
  <c r="G312" i="2"/>
  <c r="E312" i="2"/>
  <c r="D312" i="2"/>
  <c r="J311" i="2"/>
  <c r="G311" i="2"/>
  <c r="E311" i="2"/>
  <c r="D311" i="2"/>
  <c r="E310" i="2"/>
  <c r="D310" i="2"/>
  <c r="J308" i="2"/>
  <c r="G308" i="2"/>
  <c r="E308" i="2"/>
  <c r="D308" i="2"/>
  <c r="J307" i="2"/>
  <c r="G307" i="2"/>
  <c r="E307" i="2"/>
  <c r="D307" i="2"/>
  <c r="J306" i="2"/>
  <c r="G306" i="2"/>
  <c r="E306" i="2"/>
  <c r="D306" i="2"/>
  <c r="J305" i="2"/>
  <c r="G305" i="2"/>
  <c r="E305" i="2"/>
  <c r="D305" i="2"/>
  <c r="J304" i="2"/>
  <c r="G304" i="2"/>
  <c r="E304" i="2"/>
  <c r="D304" i="2"/>
  <c r="J303" i="2"/>
  <c r="G303" i="2"/>
  <c r="E303" i="2"/>
  <c r="D303" i="2"/>
  <c r="J302" i="2"/>
  <c r="G302" i="2"/>
  <c r="E302" i="2"/>
  <c r="D302" i="2"/>
  <c r="J301" i="2"/>
  <c r="G301" i="2"/>
  <c r="E301" i="2"/>
  <c r="D301" i="2"/>
  <c r="J300" i="2"/>
  <c r="G300" i="2"/>
  <c r="E300" i="2"/>
  <c r="D300" i="2"/>
  <c r="J299" i="2"/>
  <c r="G299" i="2"/>
  <c r="E299" i="2"/>
  <c r="D299" i="2"/>
  <c r="J298" i="2"/>
  <c r="G298" i="2"/>
  <c r="E298" i="2"/>
  <c r="D262" i="1" s="1"/>
  <c r="D298" i="2"/>
  <c r="C262" i="1" s="1"/>
  <c r="J297" i="2"/>
  <c r="G297" i="2"/>
  <c r="E297" i="2"/>
  <c r="D297" i="2"/>
  <c r="J296" i="2"/>
  <c r="G296" i="2"/>
  <c r="E296" i="2"/>
  <c r="D260" i="1" s="1"/>
  <c r="D296" i="2"/>
  <c r="C260" i="1" s="1"/>
  <c r="J295" i="2"/>
  <c r="G295" i="2"/>
  <c r="E295" i="2"/>
  <c r="D259" i="1" s="1"/>
  <c r="D295" i="2"/>
  <c r="C259" i="1" s="1"/>
  <c r="J294" i="2"/>
  <c r="G294" i="2"/>
  <c r="E294" i="2"/>
  <c r="D258" i="1" s="1"/>
  <c r="D294" i="2"/>
  <c r="C258" i="1" s="1"/>
  <c r="J293" i="2"/>
  <c r="G293" i="2"/>
  <c r="E293" i="2"/>
  <c r="D257" i="1" s="1"/>
  <c r="D293" i="2"/>
  <c r="C257" i="1" s="1"/>
  <c r="J292" i="2"/>
  <c r="G292" i="2"/>
  <c r="E292" i="2"/>
  <c r="D292" i="2"/>
  <c r="J291" i="2"/>
  <c r="G291" i="2"/>
  <c r="E291" i="2"/>
  <c r="D291" i="2"/>
  <c r="J284" i="2"/>
  <c r="G284" i="2"/>
  <c r="E284" i="2"/>
  <c r="D284" i="2"/>
  <c r="J283" i="2"/>
  <c r="G283" i="2"/>
  <c r="E283" i="2"/>
  <c r="D283" i="2"/>
  <c r="J282" i="2"/>
  <c r="G282" i="2"/>
  <c r="E282" i="2"/>
  <c r="D282" i="2"/>
  <c r="J275" i="2"/>
  <c r="G275" i="2"/>
  <c r="E275" i="2"/>
  <c r="D275" i="2"/>
  <c r="J274" i="2"/>
  <c r="G274" i="2"/>
  <c r="E274" i="2"/>
  <c r="D274" i="2"/>
  <c r="J273" i="2"/>
  <c r="G273" i="2"/>
  <c r="E273" i="2"/>
  <c r="D273" i="2"/>
  <c r="J272" i="2"/>
  <c r="G272" i="2"/>
  <c r="E272" i="2"/>
  <c r="D272" i="2"/>
  <c r="J268" i="2"/>
  <c r="G268" i="2"/>
  <c r="E268" i="2"/>
  <c r="D268" i="2"/>
  <c r="J267" i="2"/>
  <c r="G267" i="2"/>
  <c r="E267" i="2"/>
  <c r="D267" i="2"/>
  <c r="E266" i="2"/>
  <c r="D266" i="2"/>
  <c r="J265" i="2"/>
  <c r="G265" i="2"/>
  <c r="E265" i="2"/>
  <c r="D265" i="2"/>
  <c r="E264" i="2"/>
  <c r="D264" i="2"/>
  <c r="E263" i="2"/>
  <c r="D263" i="2"/>
  <c r="E262" i="2"/>
  <c r="D262" i="2"/>
  <c r="E261" i="2"/>
  <c r="D261" i="2"/>
  <c r="J260" i="2"/>
  <c r="G260" i="2"/>
  <c r="E260" i="2"/>
  <c r="D260" i="2"/>
  <c r="J259" i="2"/>
  <c r="G259" i="2"/>
  <c r="E259" i="2"/>
  <c r="D259" i="2"/>
  <c r="J258" i="2"/>
  <c r="G258" i="2"/>
  <c r="E258" i="2"/>
  <c r="D258" i="2"/>
  <c r="J257" i="2"/>
  <c r="G257" i="2"/>
  <c r="E257" i="2"/>
  <c r="D257" i="2"/>
  <c r="E249" i="2"/>
  <c r="D249" i="2"/>
  <c r="J245" i="2"/>
  <c r="G245" i="2"/>
  <c r="E245" i="2"/>
  <c r="D245" i="2"/>
  <c r="J244" i="2"/>
  <c r="G244" i="2"/>
  <c r="E244" i="2"/>
  <c r="D244" i="2"/>
  <c r="J243" i="2"/>
  <c r="G243" i="2"/>
  <c r="E243" i="2"/>
  <c r="D243" i="2"/>
  <c r="J242" i="2"/>
  <c r="G242" i="2"/>
  <c r="E242" i="2"/>
  <c r="D242" i="2"/>
  <c r="J241" i="2"/>
  <c r="G241" i="2"/>
  <c r="E241" i="2"/>
  <c r="D241" i="2"/>
  <c r="J240" i="2"/>
  <c r="G240" i="2"/>
  <c r="E240" i="2"/>
  <c r="D240" i="2"/>
  <c r="J239" i="2"/>
  <c r="G239" i="2"/>
  <c r="E239" i="2"/>
  <c r="D239" i="2"/>
  <c r="J238" i="2"/>
  <c r="G238" i="2"/>
  <c r="E238" i="2"/>
  <c r="D238" i="2"/>
  <c r="J234" i="2"/>
  <c r="G234" i="2"/>
  <c r="E234" i="2"/>
  <c r="D234" i="2"/>
  <c r="J233" i="2"/>
  <c r="G233" i="2"/>
  <c r="E233" i="2"/>
  <c r="D233" i="2"/>
  <c r="J232" i="2"/>
  <c r="G232" i="2"/>
  <c r="E232" i="2"/>
  <c r="D232" i="2"/>
  <c r="J231" i="2"/>
  <c r="G231" i="2"/>
  <c r="E231" i="2"/>
  <c r="D231" i="2"/>
  <c r="E226" i="2"/>
  <c r="D226" i="2"/>
  <c r="E225" i="2"/>
  <c r="D225" i="2"/>
  <c r="E224" i="2"/>
  <c r="D224" i="2"/>
  <c r="E223" i="2"/>
  <c r="D223" i="2"/>
  <c r="E222" i="2"/>
  <c r="D222" i="2"/>
  <c r="E221" i="2"/>
  <c r="D221" i="2"/>
  <c r="E220" i="2"/>
  <c r="D220" i="2"/>
  <c r="E219" i="2"/>
  <c r="D219" i="2"/>
  <c r="E218" i="2"/>
  <c r="D218" i="2"/>
  <c r="E217" i="2"/>
  <c r="D217" i="2"/>
  <c r="E216" i="2"/>
  <c r="D216" i="2"/>
  <c r="E212" i="2"/>
  <c r="D212" i="2"/>
  <c r="E210" i="2"/>
  <c r="D210" i="2"/>
  <c r="E209" i="2"/>
  <c r="D209" i="2"/>
  <c r="E208" i="2"/>
  <c r="D208" i="2"/>
  <c r="E207" i="2"/>
  <c r="D207" i="2"/>
  <c r="J206" i="2"/>
  <c r="G206" i="2"/>
  <c r="E206" i="2"/>
  <c r="D206" i="2"/>
  <c r="E205" i="2"/>
  <c r="D205" i="2"/>
  <c r="J204" i="2"/>
  <c r="G204" i="2"/>
  <c r="E204" i="2"/>
  <c r="D204" i="2"/>
  <c r="J203" i="2"/>
  <c r="G203" i="2"/>
  <c r="E203" i="2"/>
  <c r="D203" i="2"/>
  <c r="J202" i="2"/>
  <c r="G202" i="2"/>
  <c r="E202" i="2"/>
  <c r="D202" i="2"/>
  <c r="J201" i="2"/>
  <c r="G201" i="2"/>
  <c r="E201" i="2"/>
  <c r="D201" i="2"/>
  <c r="J200" i="2"/>
  <c r="G200" i="2"/>
  <c r="E200" i="2"/>
  <c r="D200" i="2"/>
  <c r="J199" i="2"/>
  <c r="G199" i="2"/>
  <c r="E199" i="2"/>
  <c r="D199" i="2"/>
  <c r="E195" i="2"/>
  <c r="D195" i="2"/>
  <c r="J194" i="2"/>
  <c r="G194" i="2"/>
  <c r="E194" i="2"/>
  <c r="D194" i="2"/>
  <c r="J193" i="2"/>
  <c r="G193" i="2"/>
  <c r="E193" i="2"/>
  <c r="D193" i="2"/>
  <c r="J192" i="2"/>
  <c r="G192" i="2"/>
  <c r="E192" i="2"/>
  <c r="D192" i="2"/>
  <c r="E190" i="2"/>
  <c r="D190" i="2"/>
  <c r="E189" i="2"/>
  <c r="D189" i="2"/>
  <c r="E188" i="2"/>
  <c r="D188" i="2"/>
  <c r="E186" i="2"/>
  <c r="D186" i="2"/>
  <c r="E185" i="2"/>
  <c r="D185" i="2"/>
  <c r="E179" i="2"/>
  <c r="D179" i="2"/>
  <c r="E178" i="2"/>
  <c r="D178" i="2"/>
  <c r="E177" i="2"/>
  <c r="D177" i="2"/>
  <c r="E176" i="2"/>
  <c r="D176" i="2"/>
  <c r="E170" i="2"/>
  <c r="C171" i="23" s="1"/>
  <c r="D170" i="2"/>
  <c r="B171" i="23" s="1"/>
  <c r="E167" i="2"/>
  <c r="C168" i="23" s="1"/>
  <c r="D167" i="2"/>
  <c r="B168" i="23" s="1"/>
  <c r="E166" i="2"/>
  <c r="C167" i="23" s="1"/>
  <c r="D166" i="2"/>
  <c r="B167" i="23" s="1"/>
  <c r="E165" i="2"/>
  <c r="D165" i="2"/>
  <c r="J161" i="2"/>
  <c r="G161" i="2"/>
  <c r="E161" i="2"/>
  <c r="D161" i="2"/>
  <c r="E160" i="2"/>
  <c r="D160" i="2"/>
  <c r="E159" i="2"/>
  <c r="D159" i="2"/>
  <c r="E158" i="2"/>
  <c r="D158" i="2"/>
  <c r="E157" i="2"/>
  <c r="D157" i="2"/>
  <c r="J153" i="2"/>
  <c r="G153" i="2"/>
  <c r="E153" i="2"/>
  <c r="D153" i="2"/>
  <c r="J152" i="2"/>
  <c r="G152" i="2"/>
  <c r="E152" i="2"/>
  <c r="D152" i="2"/>
  <c r="J151" i="2"/>
  <c r="G151" i="2"/>
  <c r="E151" i="2"/>
  <c r="D151" i="2"/>
  <c r="E147" i="2"/>
  <c r="D147" i="2"/>
  <c r="E146" i="2"/>
  <c r="D146" i="2"/>
  <c r="J142" i="2"/>
  <c r="G142" i="2"/>
  <c r="E142" i="2"/>
  <c r="D142" i="2"/>
  <c r="J141" i="2"/>
  <c r="G141" i="2"/>
  <c r="E141" i="2"/>
  <c r="D141" i="2"/>
  <c r="J140" i="2"/>
  <c r="G140" i="2"/>
  <c r="E140" i="2"/>
  <c r="D140" i="2"/>
  <c r="E125" i="2"/>
  <c r="D109" i="1" s="1"/>
  <c r="D125" i="2"/>
  <c r="C109" i="1" s="1"/>
  <c r="E124" i="2"/>
  <c r="D124" i="2"/>
  <c r="E123" i="2"/>
  <c r="D107" i="1" s="1"/>
  <c r="D123" i="2"/>
  <c r="C107" i="1" s="1"/>
  <c r="E122" i="2"/>
  <c r="D122" i="2"/>
  <c r="J118" i="2"/>
  <c r="G118" i="2"/>
  <c r="E118" i="2"/>
  <c r="D118" i="2"/>
  <c r="E117" i="2"/>
  <c r="D117" i="2"/>
  <c r="J116" i="2"/>
  <c r="G116" i="2"/>
  <c r="E116" i="2"/>
  <c r="D116" i="2"/>
  <c r="E115" i="2"/>
  <c r="D115" i="2"/>
  <c r="J114" i="2"/>
  <c r="G114" i="2"/>
  <c r="E114" i="2"/>
  <c r="D114" i="2"/>
  <c r="E113" i="2"/>
  <c r="D113" i="2"/>
  <c r="E112" i="2"/>
  <c r="D112" i="2"/>
  <c r="E111" i="2"/>
  <c r="D111" i="2"/>
  <c r="E110" i="2"/>
  <c r="D110" i="2"/>
  <c r="E106" i="2"/>
  <c r="D106" i="2"/>
  <c r="E105" i="2"/>
  <c r="D105" i="2"/>
  <c r="J101" i="2"/>
  <c r="G101" i="2"/>
  <c r="E101" i="2"/>
  <c r="D101" i="2"/>
  <c r="J100" i="2"/>
  <c r="G100" i="2"/>
  <c r="E100" i="2"/>
  <c r="D100" i="2"/>
  <c r="J99" i="2"/>
  <c r="G99" i="2"/>
  <c r="E99" i="2"/>
  <c r="D99" i="2"/>
  <c r="J98" i="2"/>
  <c r="G98" i="2"/>
  <c r="E98" i="2"/>
  <c r="D98" i="2"/>
  <c r="E92" i="2"/>
  <c r="D92" i="2"/>
  <c r="E91" i="2"/>
  <c r="D91" i="2"/>
  <c r="E90" i="2"/>
  <c r="D90" i="2"/>
  <c r="E81" i="2"/>
  <c r="D81" i="2"/>
  <c r="E80" i="2"/>
  <c r="D80" i="2"/>
  <c r="E79" i="2"/>
  <c r="D79" i="2"/>
  <c r="E75" i="2"/>
  <c r="D75" i="2"/>
  <c r="E74" i="2"/>
  <c r="D74" i="2"/>
  <c r="E73" i="2"/>
  <c r="D73" i="2"/>
  <c r="E69" i="2"/>
  <c r="D69" i="2"/>
  <c r="J68" i="2"/>
  <c r="G68" i="2"/>
  <c r="E68" i="2"/>
  <c r="D68" i="2"/>
  <c r="J67" i="2"/>
  <c r="G67" i="2"/>
  <c r="E67" i="2"/>
  <c r="D67" i="2"/>
  <c r="J66" i="2"/>
  <c r="G66" i="2"/>
  <c r="E66" i="2"/>
  <c r="D66" i="2"/>
  <c r="J62" i="2"/>
  <c r="G62" i="2"/>
  <c r="E62" i="2"/>
  <c r="D62" i="2"/>
  <c r="J58" i="2"/>
  <c r="G58" i="2"/>
  <c r="E58" i="2"/>
  <c r="D58" i="2"/>
  <c r="J57" i="2"/>
  <c r="G57" i="2"/>
  <c r="E57" i="2"/>
  <c r="D57" i="2"/>
  <c r="J56" i="2"/>
  <c r="G56" i="2"/>
  <c r="E56" i="2"/>
  <c r="D56" i="2"/>
  <c r="J55" i="2"/>
  <c r="G55" i="2"/>
  <c r="E55" i="2"/>
  <c r="D55" i="2"/>
  <c r="J51" i="2"/>
  <c r="G51" i="2"/>
  <c r="E51" i="2"/>
  <c r="D51" i="2"/>
  <c r="J50" i="2"/>
  <c r="G50" i="2"/>
  <c r="E50" i="2"/>
  <c r="D50" i="2"/>
  <c r="J49" i="2"/>
  <c r="G49" i="2"/>
  <c r="E49" i="2"/>
  <c r="D49" i="2"/>
  <c r="J48" i="2"/>
  <c r="G48" i="2"/>
  <c r="E48" i="2"/>
  <c r="D48" i="2"/>
  <c r="J47" i="2"/>
  <c r="G47" i="2"/>
  <c r="E47" i="2"/>
  <c r="D47" i="2"/>
  <c r="J46" i="2"/>
  <c r="G46" i="2"/>
  <c r="E46" i="2"/>
  <c r="D46" i="2"/>
  <c r="J42" i="2"/>
  <c r="G42" i="2"/>
  <c r="E42" i="2"/>
  <c r="D42" i="2"/>
  <c r="J41" i="2"/>
  <c r="G41" i="2"/>
  <c r="E41" i="2"/>
  <c r="D41" i="2"/>
  <c r="J40" i="2"/>
  <c r="G40" i="2"/>
  <c r="E40" i="2"/>
  <c r="D40" i="2"/>
  <c r="J39" i="2"/>
  <c r="G39" i="2"/>
  <c r="E39" i="2"/>
  <c r="D39" i="2"/>
  <c r="E35" i="2"/>
  <c r="C34" i="23" s="1"/>
  <c r="J34" i="2"/>
  <c r="G34" i="2"/>
  <c r="E34" i="2"/>
  <c r="C33" i="23" s="1"/>
  <c r="J33" i="2"/>
  <c r="G33" i="2"/>
  <c r="E33" i="2"/>
  <c r="E32" i="2"/>
  <c r="J31" i="2"/>
  <c r="G31" i="2"/>
  <c r="E31" i="2"/>
  <c r="J30" i="2"/>
  <c r="G30" i="2"/>
  <c r="E30" i="2"/>
  <c r="J29" i="2"/>
  <c r="G29" i="2"/>
  <c r="E29" i="2"/>
  <c r="D24" i="2"/>
  <c r="D35" i="2"/>
  <c r="B34" i="23" s="1"/>
  <c r="D34" i="2"/>
  <c r="B33" i="23" s="1"/>
  <c r="D33" i="2"/>
  <c r="D32" i="2"/>
  <c r="D31" i="2"/>
  <c r="D30" i="2"/>
  <c r="D29" i="2"/>
  <c r="F24" i="2"/>
  <c r="J19" i="2"/>
  <c r="J18" i="2"/>
  <c r="J17" i="2"/>
  <c r="J16" i="2"/>
  <c r="J15" i="2"/>
  <c r="G19" i="2"/>
  <c r="G18" i="2"/>
  <c r="G17" i="2"/>
  <c r="G16" i="2"/>
  <c r="G15" i="2"/>
  <c r="E20" i="2"/>
  <c r="E19" i="2"/>
  <c r="E18" i="2"/>
  <c r="E17" i="2"/>
  <c r="E16" i="2"/>
  <c r="E14" i="2"/>
  <c r="E15" i="2"/>
  <c r="A5233" i="3"/>
  <c r="A5232" i="3"/>
  <c r="A5225" i="3"/>
  <c r="A5224" i="3"/>
  <c r="A5214" i="3"/>
  <c r="A5213" i="3"/>
  <c r="A5203" i="3"/>
  <c r="A5202" i="3"/>
  <c r="A5194" i="3"/>
  <c r="A5193" i="3"/>
  <c r="A5186" i="3"/>
  <c r="A5185" i="3"/>
  <c r="A5177" i="3"/>
  <c r="A5176" i="3"/>
  <c r="A5168" i="3"/>
  <c r="A5167" i="3"/>
  <c r="A5157" i="3"/>
  <c r="A5156" i="3"/>
  <c r="A5146" i="3"/>
  <c r="A5145" i="3"/>
  <c r="A5137" i="3"/>
  <c r="A5136" i="3"/>
  <c r="A5118" i="3"/>
  <c r="A5117" i="3"/>
  <c r="A5107" i="3"/>
  <c r="A5106" i="3"/>
  <c r="A5099" i="3"/>
  <c r="A5098" i="3"/>
  <c r="A5091" i="3"/>
  <c r="A5090" i="3"/>
  <c r="A5082" i="3"/>
  <c r="A5081" i="3"/>
  <c r="A5072" i="3"/>
  <c r="A5071" i="3"/>
  <c r="A5061" i="3"/>
  <c r="A5060" i="3"/>
  <c r="A5051" i="3"/>
  <c r="A5050" i="3"/>
  <c r="A5040" i="3"/>
  <c r="A5039" i="3"/>
  <c r="A5033" i="3"/>
  <c r="A5032" i="3"/>
  <c r="A5021" i="3"/>
  <c r="A5020" i="3"/>
  <c r="A5011" i="3"/>
  <c r="A5010" i="3"/>
  <c r="A5004" i="3"/>
  <c r="A5003" i="3"/>
  <c r="A4997" i="3"/>
  <c r="A4996" i="3"/>
  <c r="A4988" i="3"/>
  <c r="A4987" i="3"/>
  <c r="A4976" i="3"/>
  <c r="A4975" i="3"/>
  <c r="A4965" i="3"/>
  <c r="A4964" i="3"/>
  <c r="A4955" i="3"/>
  <c r="A4954" i="3"/>
  <c r="A4946" i="3"/>
  <c r="A4945" i="3"/>
  <c r="A4935" i="3"/>
  <c r="A4934" i="3"/>
  <c r="A4925" i="3"/>
  <c r="A4924" i="3"/>
  <c r="A4906" i="3"/>
  <c r="A4905" i="3"/>
  <c r="A4887" i="3"/>
  <c r="A4886" i="3"/>
  <c r="A4868" i="3"/>
  <c r="A4867" i="3"/>
  <c r="A4850" i="3"/>
  <c r="A4849" i="3"/>
  <c r="A4832" i="3"/>
  <c r="A4831" i="3"/>
  <c r="A4814" i="3"/>
  <c r="A4813" i="3"/>
  <c r="A4796" i="3"/>
  <c r="A4795" i="3"/>
  <c r="A4778" i="3"/>
  <c r="A4777" i="3"/>
  <c r="A4760" i="3"/>
  <c r="A4759" i="3"/>
  <c r="A4742" i="3"/>
  <c r="A4741" i="3"/>
  <c r="A4723" i="3"/>
  <c r="A4722" i="3"/>
  <c r="A4704" i="3"/>
  <c r="A4703" i="3"/>
  <c r="A4685" i="3"/>
  <c r="A4684" i="3"/>
  <c r="A4666" i="3"/>
  <c r="A4665" i="3"/>
  <c r="A4647" i="3"/>
  <c r="A4646" i="3"/>
  <c r="A4628" i="3"/>
  <c r="A4627" i="3"/>
  <c r="A4609" i="3"/>
  <c r="A4608" i="3"/>
  <c r="A4590" i="3"/>
  <c r="A4589" i="3"/>
  <c r="A4571" i="3"/>
  <c r="A4570" i="3"/>
  <c r="A4552" i="3"/>
  <c r="A4551" i="3"/>
  <c r="A4533" i="3"/>
  <c r="A4532" i="3"/>
  <c r="A4514" i="3"/>
  <c r="A4513" i="3"/>
  <c r="A4495" i="3"/>
  <c r="A4494" i="3"/>
  <c r="A4476" i="3"/>
  <c r="A4475" i="3"/>
  <c r="A4457" i="3"/>
  <c r="A4456" i="3"/>
  <c r="A4438" i="3"/>
  <c r="A4437" i="3"/>
  <c r="A4419" i="3"/>
  <c r="A4418" i="3"/>
  <c r="A4400" i="3"/>
  <c r="A4399" i="3"/>
  <c r="A4381" i="3"/>
  <c r="A4380" i="3"/>
  <c r="A4362" i="3"/>
  <c r="A4361" i="3"/>
  <c r="A4353" i="3"/>
  <c r="A4352" i="3"/>
  <c r="A4344" i="3"/>
  <c r="A4343" i="3"/>
  <c r="A4333" i="3"/>
  <c r="A4332" i="3"/>
  <c r="A4324" i="3"/>
  <c r="A4323" i="3"/>
  <c r="A4310" i="3"/>
  <c r="A4309" i="3"/>
  <c r="A4302" i="3"/>
  <c r="A4301" i="3"/>
  <c r="A4294" i="3"/>
  <c r="A4293" i="3"/>
  <c r="A4286" i="3"/>
  <c r="A4285" i="3"/>
  <c r="A4278" i="3"/>
  <c r="A4277" i="3"/>
  <c r="A4269" i="3"/>
  <c r="A4268" i="3"/>
  <c r="A4260" i="3"/>
  <c r="A4259" i="3"/>
  <c r="A4251" i="3"/>
  <c r="A4250" i="3"/>
  <c r="A4240" i="3"/>
  <c r="A4239" i="3"/>
  <c r="A4229" i="3"/>
  <c r="A4228" i="3"/>
  <c r="A4218" i="3"/>
  <c r="A4217" i="3"/>
  <c r="A4207" i="3"/>
  <c r="A4206" i="3"/>
  <c r="A4196" i="3"/>
  <c r="A4195" i="3"/>
  <c r="A4120" i="3"/>
  <c r="A4119" i="3"/>
  <c r="A4111" i="3"/>
  <c r="A4110" i="3"/>
  <c r="A4100" i="3"/>
  <c r="A4099" i="3"/>
  <c r="A4091" i="3"/>
  <c r="A4090" i="3"/>
  <c r="A4082" i="3"/>
  <c r="A4081" i="3"/>
  <c r="A4073" i="3"/>
  <c r="A4072" i="3"/>
  <c r="A4063" i="3"/>
  <c r="A4062" i="3"/>
  <c r="A4053" i="3"/>
  <c r="A4052" i="3"/>
  <c r="A4043" i="3"/>
  <c r="A4042" i="3"/>
  <c r="A4033" i="3"/>
  <c r="A4032" i="3"/>
  <c r="A4023" i="3"/>
  <c r="A4022" i="3"/>
  <c r="A4013" i="3"/>
  <c r="A4012" i="3"/>
  <c r="A3997" i="3"/>
  <c r="A3996" i="3"/>
  <c r="A3987" i="3"/>
  <c r="A3986" i="3"/>
  <c r="A3977" i="3"/>
  <c r="A3976" i="3"/>
  <c r="A3967" i="3"/>
  <c r="A3966" i="3"/>
  <c r="A3957" i="3"/>
  <c r="A3956" i="3"/>
  <c r="A3947" i="3"/>
  <c r="A3946" i="3"/>
  <c r="A3938" i="3"/>
  <c r="A3937" i="3"/>
  <c r="A3929" i="3"/>
  <c r="A3928" i="3"/>
  <c r="A3920" i="3"/>
  <c r="A3919" i="3"/>
  <c r="A3911" i="3"/>
  <c r="A3910" i="3"/>
  <c r="A3901" i="3"/>
  <c r="A3900" i="3"/>
  <c r="A3891" i="3"/>
  <c r="A3890" i="3"/>
  <c r="A3881" i="3"/>
  <c r="A3880" i="3"/>
  <c r="A3871" i="3"/>
  <c r="A3870" i="3"/>
  <c r="A3862" i="3"/>
  <c r="A3861" i="3"/>
  <c r="A3852" i="3"/>
  <c r="A3851" i="3"/>
  <c r="A3845" i="3"/>
  <c r="A3844" i="3"/>
  <c r="A3837" i="3"/>
  <c r="A3836" i="3"/>
  <c r="A3829" i="3"/>
  <c r="A3828" i="3"/>
  <c r="A3821" i="3"/>
  <c r="A3820" i="3"/>
  <c r="A3813" i="3"/>
  <c r="A3812" i="3"/>
  <c r="A3804" i="3"/>
  <c r="A3803" i="3"/>
  <c r="A3795" i="3"/>
  <c r="A3794" i="3"/>
  <c r="A3786" i="3"/>
  <c r="A3785" i="3"/>
  <c r="A3777" i="3"/>
  <c r="A3776" i="3"/>
  <c r="A3762" i="3"/>
  <c r="A3761" i="3"/>
  <c r="A3752" i="3"/>
  <c r="A3751" i="3"/>
  <c r="A3742" i="3"/>
  <c r="A3741" i="3"/>
  <c r="A3732" i="3"/>
  <c r="A3731" i="3"/>
  <c r="A3723" i="3"/>
  <c r="A3722" i="3"/>
  <c r="A3714" i="3"/>
  <c r="A3713" i="3"/>
  <c r="A3706" i="3"/>
  <c r="A3705" i="3"/>
  <c r="A3695" i="3"/>
  <c r="A3694" i="3"/>
  <c r="A3685" i="3"/>
  <c r="A3684" i="3"/>
  <c r="A3675" i="3"/>
  <c r="A3674" i="3"/>
  <c r="A3665" i="3"/>
  <c r="A3664" i="3"/>
  <c r="A3655" i="3"/>
  <c r="A3654" i="3"/>
  <c r="A3646" i="3"/>
  <c r="A3645" i="3"/>
  <c r="A3637" i="3"/>
  <c r="A3636" i="3"/>
  <c r="A3628" i="3"/>
  <c r="A3627" i="3"/>
  <c r="A3619" i="3"/>
  <c r="A3618" i="3"/>
  <c r="A3610" i="3"/>
  <c r="A3609" i="3"/>
  <c r="A3601" i="3"/>
  <c r="A3600" i="3"/>
  <c r="A3592" i="3"/>
  <c r="A3591" i="3"/>
  <c r="A3583" i="3"/>
  <c r="A3582" i="3"/>
  <c r="A3574" i="3"/>
  <c r="A3573" i="3"/>
  <c r="A3565" i="3"/>
  <c r="A3564" i="3"/>
  <c r="A3556" i="3"/>
  <c r="A3555" i="3"/>
  <c r="A3548" i="3"/>
  <c r="A3547" i="3"/>
  <c r="A3540" i="3"/>
  <c r="A3539" i="3"/>
  <c r="A3531" i="3"/>
  <c r="A3530" i="3"/>
  <c r="A3522" i="3"/>
  <c r="A3521" i="3"/>
  <c r="A3513" i="3"/>
  <c r="A3512" i="3"/>
  <c r="A3504" i="3"/>
  <c r="A3503" i="3"/>
  <c r="A3495" i="3"/>
  <c r="A3494" i="3"/>
  <c r="A3486" i="3"/>
  <c r="A3485" i="3"/>
  <c r="A3477" i="3"/>
  <c r="A3476" i="3"/>
  <c r="A3468" i="3"/>
  <c r="A3467" i="3"/>
  <c r="A3459" i="3"/>
  <c r="A3458" i="3"/>
  <c r="A3450" i="3"/>
  <c r="A3449" i="3"/>
  <c r="A3441" i="3"/>
  <c r="A3440" i="3"/>
  <c r="A3432" i="3"/>
  <c r="A3431" i="3"/>
  <c r="A3423" i="3"/>
  <c r="A3422" i="3"/>
  <c r="A3414" i="3"/>
  <c r="A3413" i="3"/>
  <c r="A3405" i="3"/>
  <c r="A3404" i="3"/>
  <c r="A3396" i="3"/>
  <c r="A3395" i="3"/>
  <c r="A3387" i="3"/>
  <c r="A3386" i="3"/>
  <c r="A3378" i="3"/>
  <c r="A3377" i="3"/>
  <c r="A3369" i="3"/>
  <c r="A3368" i="3"/>
  <c r="A3360" i="3"/>
  <c r="A3359" i="3"/>
  <c r="A3351" i="3"/>
  <c r="A3350" i="3"/>
  <c r="A3342" i="3"/>
  <c r="A3341" i="3"/>
  <c r="A3333" i="3"/>
  <c r="A3332" i="3"/>
  <c r="A3324" i="3"/>
  <c r="A3323" i="3"/>
  <c r="A3312" i="3"/>
  <c r="A3311" i="3"/>
  <c r="A3296" i="3"/>
  <c r="A3295" i="3"/>
  <c r="A3280" i="3"/>
  <c r="A3279" i="3"/>
  <c r="A3264" i="3"/>
  <c r="A3263" i="3"/>
  <c r="A3246" i="3"/>
  <c r="A3245" i="3"/>
  <c r="A3237" i="3"/>
  <c r="A3236" i="3"/>
  <c r="A3228" i="3"/>
  <c r="A3227" i="3"/>
  <c r="A3219" i="3"/>
  <c r="A3218" i="3"/>
  <c r="A3210" i="3"/>
  <c r="A3209" i="3"/>
  <c r="A3201" i="3"/>
  <c r="A3200" i="3"/>
  <c r="A3192" i="3"/>
  <c r="A3191" i="3"/>
  <c r="A3183" i="3"/>
  <c r="A3182" i="3"/>
  <c r="A3174" i="3"/>
  <c r="A3173" i="3"/>
  <c r="A3165" i="3"/>
  <c r="A3164" i="3"/>
  <c r="A3156" i="3"/>
  <c r="A3155" i="3"/>
  <c r="A3147" i="3"/>
  <c r="A3146" i="3"/>
  <c r="A3138" i="3"/>
  <c r="A3137" i="3"/>
  <c r="A3129" i="3"/>
  <c r="A3128" i="3"/>
  <c r="A3120" i="3"/>
  <c r="A3119" i="3"/>
  <c r="A3111" i="3"/>
  <c r="A3110" i="3"/>
  <c r="A3101" i="3"/>
  <c r="A3100" i="3"/>
  <c r="A3036" i="3"/>
  <c r="A3035" i="3"/>
  <c r="A3027" i="3"/>
  <c r="A3026" i="3"/>
  <c r="A3017" i="3"/>
  <c r="A3016" i="3"/>
  <c r="A3007" i="3"/>
  <c r="A3006" i="3"/>
  <c r="A2997" i="3"/>
  <c r="A2996" i="3"/>
  <c r="A2987" i="3"/>
  <c r="A2986" i="3"/>
  <c r="A2976" i="3"/>
  <c r="A2975" i="3"/>
  <c r="A2965" i="3"/>
  <c r="A2964" i="3"/>
  <c r="A2955" i="3"/>
  <c r="A2954" i="3"/>
  <c r="A2946" i="3"/>
  <c r="A2945" i="3"/>
  <c r="A2937" i="3"/>
  <c r="A2936" i="3"/>
  <c r="A2928" i="3"/>
  <c r="A2927" i="3"/>
  <c r="A2919" i="3"/>
  <c r="A2918" i="3"/>
  <c r="A2908" i="3"/>
  <c r="A2907" i="3"/>
  <c r="A2899" i="3"/>
  <c r="A2898" i="3"/>
  <c r="A2890" i="3"/>
  <c r="A2889" i="3"/>
  <c r="A2881" i="3"/>
  <c r="A2880" i="3"/>
  <c r="A2872" i="3"/>
  <c r="A2871" i="3"/>
  <c r="A2864" i="3"/>
  <c r="A2863" i="3"/>
  <c r="A2856" i="3"/>
  <c r="A2855" i="3"/>
  <c r="A2848" i="3"/>
  <c r="A2847" i="3"/>
  <c r="A2840" i="3"/>
  <c r="A2839" i="3"/>
  <c r="A2832" i="3"/>
  <c r="A2831" i="3"/>
  <c r="A2824" i="3"/>
  <c r="A2823" i="3"/>
  <c r="A2816" i="3"/>
  <c r="A2815" i="3"/>
  <c r="A2808" i="3"/>
  <c r="A2807" i="3"/>
  <c r="A2800" i="3"/>
  <c r="A2799" i="3"/>
  <c r="A2792" i="3"/>
  <c r="A2791" i="3"/>
  <c r="A2784" i="3"/>
  <c r="A2783" i="3"/>
  <c r="A2776" i="3"/>
  <c r="A2775" i="3"/>
  <c r="A2768" i="3"/>
  <c r="A2767" i="3"/>
  <c r="A2760" i="3"/>
  <c r="A2759" i="3"/>
  <c r="A2752" i="3"/>
  <c r="A2751" i="3"/>
  <c r="A2744" i="3"/>
  <c r="A2743" i="3"/>
  <c r="A2734" i="3"/>
  <c r="A2733" i="3"/>
  <c r="A2724" i="3"/>
  <c r="A2723" i="3"/>
  <c r="A2715" i="3"/>
  <c r="A2714" i="3"/>
  <c r="A2695" i="3"/>
  <c r="A2694" i="3"/>
  <c r="A2686" i="3"/>
  <c r="A2685" i="3"/>
  <c r="A2677" i="3"/>
  <c r="A2676" i="3"/>
  <c r="A2668" i="3"/>
  <c r="A2667" i="3"/>
  <c r="A2658" i="3"/>
  <c r="A2657" i="3"/>
  <c r="A2649" i="3"/>
  <c r="A2648" i="3"/>
  <c r="A2640" i="3"/>
  <c r="A2639" i="3"/>
  <c r="A2631" i="3"/>
  <c r="A2630" i="3"/>
  <c r="A2300" i="3"/>
  <c r="A2299" i="3"/>
  <c r="A2288" i="3"/>
  <c r="A2287" i="3"/>
  <c r="A2278" i="3"/>
  <c r="A2277" i="3"/>
  <c r="A2267" i="3"/>
  <c r="A2266" i="3"/>
  <c r="A2256" i="3"/>
  <c r="A2255" i="3"/>
  <c r="A2244" i="3"/>
  <c r="A2243" i="3"/>
  <c r="A2225" i="3"/>
  <c r="A2224" i="3"/>
  <c r="A2215" i="3"/>
  <c r="A2214" i="3"/>
  <c r="A2202" i="3"/>
  <c r="A2201" i="3"/>
  <c r="A2191" i="3"/>
  <c r="A2190" i="3"/>
  <c r="A2180" i="3"/>
  <c r="A2179" i="3"/>
  <c r="A2170" i="3"/>
  <c r="A2169" i="3"/>
  <c r="A2158" i="3"/>
  <c r="A2157" i="3"/>
  <c r="A2146" i="3"/>
  <c r="A2145" i="3"/>
  <c r="A2128" i="3"/>
  <c r="A2127" i="3"/>
  <c r="A2113" i="3"/>
  <c r="A2112" i="3"/>
  <c r="A2103" i="3"/>
  <c r="A2102" i="3"/>
  <c r="A2093" i="3"/>
  <c r="A2092" i="3"/>
  <c r="A2085" i="3"/>
  <c r="A2084" i="3"/>
  <c r="A2067" i="3"/>
  <c r="A2066" i="3"/>
  <c r="A2049" i="3"/>
  <c r="A2048" i="3"/>
  <c r="A2032" i="3"/>
  <c r="A2031" i="3"/>
  <c r="A2019" i="3"/>
  <c r="A2018" i="3"/>
  <c r="A2005" i="3"/>
  <c r="A2004" i="3"/>
  <c r="A1993" i="3"/>
  <c r="A1992" i="3"/>
  <c r="A1985" i="3"/>
  <c r="A1984" i="3"/>
  <c r="A1975" i="3"/>
  <c r="A1974" i="3"/>
  <c r="A1953" i="3"/>
  <c r="A1952" i="3"/>
  <c r="A1946" i="3"/>
  <c r="A1945" i="3"/>
  <c r="A1927" i="3"/>
  <c r="A1926" i="3"/>
  <c r="A1918" i="3"/>
  <c r="A1917" i="3"/>
  <c r="A1906" i="3"/>
  <c r="A1905" i="3"/>
  <c r="A1894" i="3"/>
  <c r="A1893" i="3"/>
  <c r="A1877" i="3"/>
  <c r="A1876" i="3"/>
  <c r="A1859" i="3"/>
  <c r="A1858" i="3"/>
  <c r="A1846" i="3"/>
  <c r="A1845" i="3"/>
  <c r="A1833" i="3"/>
  <c r="A1832" i="3"/>
  <c r="A1823" i="3"/>
  <c r="A1822" i="3"/>
  <c r="A1813" i="3"/>
  <c r="A1812" i="3"/>
  <c r="A1803" i="3"/>
  <c r="A1802" i="3"/>
  <c r="A1793" i="3"/>
  <c r="A1792" i="3"/>
  <c r="A1784" i="3"/>
  <c r="A1783" i="3"/>
  <c r="A1772" i="3"/>
  <c r="A1771" i="3"/>
  <c r="A1762" i="3"/>
  <c r="A1761" i="3"/>
  <c r="A1752" i="3"/>
  <c r="A1751" i="3"/>
  <c r="A1742" i="3"/>
  <c r="A1741" i="3"/>
  <c r="A1732" i="3"/>
  <c r="A1731" i="3"/>
  <c r="A1722" i="3"/>
  <c r="A1721" i="3"/>
  <c r="A1701" i="3"/>
  <c r="A1700" i="3"/>
  <c r="A1682" i="3"/>
  <c r="A1681" i="3"/>
  <c r="A1652" i="3"/>
  <c r="A1651" i="3"/>
  <c r="A1622" i="3"/>
  <c r="A1621" i="3"/>
  <c r="A1592" i="3"/>
  <c r="A1591" i="3"/>
  <c r="A1562" i="3"/>
  <c r="A1561" i="3"/>
  <c r="A1532" i="3"/>
  <c r="A1531" i="3"/>
  <c r="A1502" i="3"/>
  <c r="A1501" i="3"/>
  <c r="A1472" i="3"/>
  <c r="A1471" i="3"/>
  <c r="A1442" i="3"/>
  <c r="A1441" i="3"/>
  <c r="A1412" i="3"/>
  <c r="A1411" i="3"/>
  <c r="A1382" i="3"/>
  <c r="A1381" i="3"/>
  <c r="A1352" i="3"/>
  <c r="A1351" i="3"/>
  <c r="A1322" i="3"/>
  <c r="A1321" i="3"/>
  <c r="A1292" i="3"/>
  <c r="A1291" i="3"/>
  <c r="A1262" i="3"/>
  <c r="A1261" i="3"/>
  <c r="A1238" i="3"/>
  <c r="A1237" i="3"/>
  <c r="A1208" i="3"/>
  <c r="A1207" i="3"/>
  <c r="A1178" i="3"/>
  <c r="A1177" i="3"/>
  <c r="A1148" i="3"/>
  <c r="A1147" i="3"/>
  <c r="A1118" i="3"/>
  <c r="A1117" i="3"/>
  <c r="A1088" i="3"/>
  <c r="A1087" i="3"/>
  <c r="A1058" i="3"/>
  <c r="A1057" i="3"/>
  <c r="A1028" i="3"/>
  <c r="A1027" i="3"/>
  <c r="A998" i="3"/>
  <c r="A997" i="3"/>
  <c r="A968" i="3"/>
  <c r="A967" i="3"/>
  <c r="A938" i="3"/>
  <c r="A937" i="3"/>
  <c r="A908" i="3"/>
  <c r="A907" i="3"/>
  <c r="A882" i="3"/>
  <c r="A881" i="3"/>
  <c r="A856" i="3"/>
  <c r="A855" i="3"/>
  <c r="A831" i="3"/>
  <c r="A830" i="3"/>
  <c r="A801" i="3"/>
  <c r="A800" i="3"/>
  <c r="A771" i="3"/>
  <c r="A770" i="3"/>
  <c r="A741" i="3"/>
  <c r="A740" i="3"/>
  <c r="A711" i="3"/>
  <c r="A710" i="3"/>
  <c r="A701" i="3"/>
  <c r="A700" i="3"/>
  <c r="A691" i="3"/>
  <c r="A690" i="3"/>
  <c r="A681" i="3"/>
  <c r="A680" i="3"/>
  <c r="A675" i="3"/>
  <c r="A674" i="3"/>
  <c r="A665" i="3"/>
  <c r="A664" i="3"/>
  <c r="A652" i="3"/>
  <c r="A651" i="3"/>
  <c r="A639" i="3"/>
  <c r="A638" i="3"/>
  <c r="A626" i="3"/>
  <c r="A625" i="3"/>
  <c r="A613" i="3"/>
  <c r="A612" i="3"/>
  <c r="A600" i="3"/>
  <c r="A599" i="3"/>
  <c r="A587" i="3"/>
  <c r="A586" i="3"/>
  <c r="A565" i="3"/>
  <c r="A564" i="3"/>
  <c r="A556" i="3"/>
  <c r="A555" i="3"/>
  <c r="A545" i="3"/>
  <c r="A544" i="3"/>
  <c r="A538" i="3"/>
  <c r="A537" i="3"/>
  <c r="A530" i="3"/>
  <c r="A529" i="3"/>
  <c r="A518" i="3"/>
  <c r="A517" i="3"/>
  <c r="A506" i="3"/>
  <c r="A505" i="3"/>
  <c r="A494" i="3"/>
  <c r="A493" i="3"/>
  <c r="A485" i="3"/>
  <c r="A484" i="3"/>
  <c r="A476" i="3"/>
  <c r="A475" i="3"/>
  <c r="A466" i="3"/>
  <c r="A465" i="3"/>
  <c r="A456" i="3"/>
  <c r="A455" i="3"/>
  <c r="A446" i="3"/>
  <c r="A445" i="3"/>
  <c r="A436" i="3"/>
  <c r="A435" i="3"/>
  <c r="A426" i="3"/>
  <c r="A425" i="3"/>
  <c r="A416" i="3"/>
  <c r="A415" i="3"/>
  <c r="A406" i="3"/>
  <c r="A405" i="3"/>
  <c r="A396" i="3"/>
  <c r="A395" i="3"/>
  <c r="A386" i="3"/>
  <c r="A385" i="3"/>
  <c r="A374" i="3"/>
  <c r="A373" i="3"/>
  <c r="A361" i="3"/>
  <c r="A360" i="3"/>
  <c r="A348" i="3"/>
  <c r="A347" i="3"/>
  <c r="A335" i="3"/>
  <c r="A334" i="3"/>
  <c r="A322" i="3"/>
  <c r="A321" i="3"/>
  <c r="A310" i="3"/>
  <c r="A309" i="3"/>
  <c r="A297" i="3"/>
  <c r="A296" i="3"/>
  <c r="A284" i="3"/>
  <c r="A283" i="3"/>
  <c r="A271" i="3"/>
  <c r="A270" i="3"/>
  <c r="A258" i="3"/>
  <c r="A257" i="3"/>
  <c r="A245" i="3"/>
  <c r="A244" i="3"/>
  <c r="A232" i="3"/>
  <c r="A231" i="3"/>
  <c r="A222" i="3"/>
  <c r="A221" i="3"/>
  <c r="A212" i="3"/>
  <c r="A211" i="3"/>
  <c r="A202" i="3"/>
  <c r="A201" i="3"/>
  <c r="A193" i="3"/>
  <c r="A192" i="3"/>
  <c r="A183" i="3"/>
  <c r="A182" i="3"/>
  <c r="A171" i="3"/>
  <c r="A170" i="3"/>
  <c r="A161" i="3"/>
  <c r="A160" i="3"/>
  <c r="A151" i="3"/>
  <c r="A150" i="3"/>
  <c r="A141" i="3"/>
  <c r="A140" i="3"/>
  <c r="A131" i="3"/>
  <c r="A130" i="3"/>
  <c r="A119" i="3"/>
  <c r="A118" i="3"/>
  <c r="A111" i="3"/>
  <c r="A110" i="3"/>
  <c r="A100" i="3"/>
  <c r="A99" i="3"/>
  <c r="A90" i="3"/>
  <c r="A89" i="3"/>
  <c r="A80" i="3"/>
  <c r="A79" i="3"/>
  <c r="A71" i="3"/>
  <c r="A70" i="3"/>
  <c r="A63" i="3"/>
  <c r="A62" i="3"/>
  <c r="A54" i="3"/>
  <c r="A53" i="3"/>
  <c r="A46" i="3"/>
  <c r="A45" i="3"/>
  <c r="A38" i="3"/>
  <c r="A37" i="3"/>
  <c r="A30" i="3"/>
  <c r="A29" i="3"/>
  <c r="A21" i="3"/>
  <c r="A20" i="3"/>
  <c r="D20" i="2"/>
  <c r="D19" i="2"/>
  <c r="D18" i="2"/>
  <c r="D17" i="2"/>
  <c r="D16" i="2"/>
  <c r="D15" i="2"/>
  <c r="D14" i="2"/>
  <c r="J3852" i="3"/>
  <c r="H3851" i="3"/>
  <c r="I1633" i="3"/>
  <c r="J1633" i="3" s="1"/>
  <c r="G1633" i="3"/>
  <c r="H1633" i="3" s="1"/>
  <c r="I1632" i="3"/>
  <c r="J1632" i="3" s="1"/>
  <c r="G1632" i="3"/>
  <c r="H1632" i="3" s="1"/>
  <c r="I1603" i="3"/>
  <c r="J1603" i="3" s="1"/>
  <c r="G1603" i="3"/>
  <c r="H1603" i="3" s="1"/>
  <c r="I1602" i="3"/>
  <c r="J1602" i="3" s="1"/>
  <c r="G1602" i="3"/>
  <c r="H1602" i="3" s="1"/>
  <c r="I1573" i="3"/>
  <c r="J1573" i="3" s="1"/>
  <c r="G1573" i="3"/>
  <c r="H1573" i="3" s="1"/>
  <c r="I1572" i="3"/>
  <c r="J1572" i="3" s="1"/>
  <c r="G1572" i="3"/>
  <c r="H1572" i="3" s="1"/>
  <c r="I1571" i="3"/>
  <c r="J1571" i="3" s="1"/>
  <c r="G1571" i="3"/>
  <c r="H1571" i="3" s="1"/>
  <c r="I1543" i="3"/>
  <c r="J1543" i="3" s="1"/>
  <c r="G1543" i="3"/>
  <c r="H1543" i="3" s="1"/>
  <c r="I1542" i="3"/>
  <c r="J1542" i="3" s="1"/>
  <c r="G1542" i="3"/>
  <c r="H1542" i="3" s="1"/>
  <c r="I1541" i="3"/>
  <c r="J1541" i="3" s="1"/>
  <c r="G1541" i="3"/>
  <c r="H1541" i="3" s="1"/>
  <c r="I1513" i="3"/>
  <c r="J1513" i="3" s="1"/>
  <c r="G1513" i="3"/>
  <c r="H1513" i="3" s="1"/>
  <c r="I1512" i="3"/>
  <c r="J1512" i="3" s="1"/>
  <c r="G1512" i="3"/>
  <c r="H1512" i="3" s="1"/>
  <c r="I1423" i="3"/>
  <c r="J1423" i="3" s="1"/>
  <c r="G1423" i="3"/>
  <c r="H1423" i="3" s="1"/>
  <c r="I1422" i="3"/>
  <c r="J1422" i="3" s="1"/>
  <c r="G1422" i="3"/>
  <c r="H1422" i="3" s="1"/>
  <c r="I1421" i="3"/>
  <c r="J1421" i="3" s="1"/>
  <c r="G1421" i="3"/>
  <c r="H1421" i="3" s="1"/>
  <c r="I1393" i="3"/>
  <c r="J1393" i="3" s="1"/>
  <c r="G1393" i="3"/>
  <c r="H1393" i="3" s="1"/>
  <c r="I1392" i="3"/>
  <c r="J1392" i="3" s="1"/>
  <c r="G1392" i="3"/>
  <c r="H1392" i="3" s="1"/>
  <c r="I1363" i="3"/>
  <c r="J1363" i="3" s="1"/>
  <c r="G1363" i="3"/>
  <c r="H1363" i="3" s="1"/>
  <c r="I1362" i="3"/>
  <c r="J1362" i="3" s="1"/>
  <c r="G1362" i="3"/>
  <c r="H1362" i="3" s="1"/>
  <c r="I1333" i="3"/>
  <c r="J1333" i="3" s="1"/>
  <c r="G1333" i="3"/>
  <c r="H1333" i="3" s="1"/>
  <c r="I1332" i="3"/>
  <c r="J1332" i="3" s="1"/>
  <c r="G1332" i="3"/>
  <c r="H1332" i="3" s="1"/>
  <c r="I1303" i="3"/>
  <c r="J1303" i="3" s="1"/>
  <c r="G1303" i="3"/>
  <c r="H1303" i="3" s="1"/>
  <c r="I1302" i="3"/>
  <c r="J1302" i="3" s="1"/>
  <c r="G1302" i="3"/>
  <c r="H1302" i="3" s="1"/>
  <c r="I1219" i="3"/>
  <c r="J1219" i="3" s="1"/>
  <c r="G1219" i="3"/>
  <c r="H1219" i="3" s="1"/>
  <c r="I1218" i="3"/>
  <c r="J1218" i="3" s="1"/>
  <c r="G1218" i="3"/>
  <c r="H1218" i="3" s="1"/>
  <c r="I1189" i="3"/>
  <c r="J1189" i="3" s="1"/>
  <c r="G1189" i="3"/>
  <c r="H1189" i="3" s="1"/>
  <c r="I1188" i="3"/>
  <c r="J1188" i="3" s="1"/>
  <c r="G1188" i="3"/>
  <c r="H1188" i="3" s="1"/>
  <c r="I1069" i="3"/>
  <c r="J1069" i="3" s="1"/>
  <c r="G1069" i="3"/>
  <c r="H1069" i="3" s="1"/>
  <c r="I1068" i="3"/>
  <c r="J1068" i="3" s="1"/>
  <c r="G1068" i="3"/>
  <c r="H1068" i="3" s="1"/>
  <c r="I977" i="3"/>
  <c r="J977" i="3" s="1"/>
  <c r="G977" i="3"/>
  <c r="H977" i="3" s="1"/>
  <c r="I949" i="3"/>
  <c r="J949" i="3" s="1"/>
  <c r="G949" i="3"/>
  <c r="H949" i="3" s="1"/>
  <c r="I948" i="3"/>
  <c r="J948" i="3" s="1"/>
  <c r="G948" i="3"/>
  <c r="H948" i="3" s="1"/>
  <c r="I919" i="3"/>
  <c r="J919" i="3" s="1"/>
  <c r="G919" i="3"/>
  <c r="H919" i="3" s="1"/>
  <c r="I918" i="3"/>
  <c r="J918" i="3" s="1"/>
  <c r="G918" i="3"/>
  <c r="H918" i="3" s="1"/>
  <c r="I906" i="3"/>
  <c r="J906" i="3" s="1"/>
  <c r="G906" i="3"/>
  <c r="H906" i="3" s="1"/>
  <c r="I905" i="3"/>
  <c r="J905" i="3" s="1"/>
  <c r="G905" i="3"/>
  <c r="H905" i="3" s="1"/>
  <c r="I722" i="3"/>
  <c r="J722" i="3" s="1"/>
  <c r="G722" i="3"/>
  <c r="H722" i="3" s="1"/>
  <c r="I721" i="3"/>
  <c r="J721" i="3" s="1"/>
  <c r="G721" i="3"/>
  <c r="H721" i="3" s="1"/>
  <c r="I13" i="3"/>
  <c r="J13" i="3" s="1"/>
  <c r="G13" i="3"/>
  <c r="H13" i="3" s="1"/>
  <c r="D5231" i="3"/>
  <c r="D5223" i="3"/>
  <c r="D5222" i="3"/>
  <c r="D5221" i="3"/>
  <c r="D5220" i="3"/>
  <c r="D5212" i="3"/>
  <c r="D5211" i="3"/>
  <c r="D5210" i="3"/>
  <c r="D5209" i="3"/>
  <c r="D5201" i="3"/>
  <c r="D5192" i="3"/>
  <c r="D5184" i="3"/>
  <c r="D5175" i="3"/>
  <c r="D5166" i="3"/>
  <c r="D5165" i="3"/>
  <c r="F5231" i="3"/>
  <c r="E5231" i="3"/>
  <c r="F5223" i="3"/>
  <c r="E5223" i="3"/>
  <c r="F5222" i="3"/>
  <c r="E5222" i="3"/>
  <c r="F5221" i="3"/>
  <c r="E5221" i="3"/>
  <c r="F5220" i="3"/>
  <c r="E5220" i="3"/>
  <c r="F5212" i="3"/>
  <c r="E5212" i="3"/>
  <c r="F5211" i="3"/>
  <c r="E5211" i="3"/>
  <c r="F5210" i="3"/>
  <c r="E5210" i="3"/>
  <c r="F5209" i="3"/>
  <c r="E5209" i="3"/>
  <c r="E5201" i="3"/>
  <c r="F5200" i="3"/>
  <c r="E5192" i="3"/>
  <c r="E5184" i="3"/>
  <c r="F5183" i="3"/>
  <c r="E5175" i="3"/>
  <c r="F5174" i="3"/>
  <c r="E5166" i="3"/>
  <c r="E5165" i="3"/>
  <c r="D5155" i="3"/>
  <c r="D5154" i="3"/>
  <c r="D5153" i="3"/>
  <c r="D5152" i="3"/>
  <c r="D5151" i="3"/>
  <c r="D5144" i="3"/>
  <c r="D5143" i="3"/>
  <c r="D5142" i="3"/>
  <c r="D5135" i="3"/>
  <c r="D5134" i="3"/>
  <c r="D5133" i="3"/>
  <c r="D5132" i="3"/>
  <c r="D5131" i="3"/>
  <c r="D5130" i="3"/>
  <c r="D5129" i="3"/>
  <c r="D5128" i="3"/>
  <c r="D5127" i="3"/>
  <c r="D5126" i="3"/>
  <c r="D5125" i="3"/>
  <c r="D5124" i="3"/>
  <c r="D5123" i="3"/>
  <c r="D5116" i="3"/>
  <c r="D5115" i="3"/>
  <c r="D5114" i="3"/>
  <c r="D5113" i="3"/>
  <c r="D5112" i="3"/>
  <c r="D5105" i="3"/>
  <c r="D5104" i="3"/>
  <c r="D5097" i="3"/>
  <c r="D5096" i="3"/>
  <c r="D5089" i="3"/>
  <c r="D5088" i="3"/>
  <c r="D5080" i="3"/>
  <c r="D5079" i="3"/>
  <c r="D5078" i="3"/>
  <c r="D5077" i="3"/>
  <c r="D5070" i="3"/>
  <c r="D5069" i="3"/>
  <c r="D5068" i="3"/>
  <c r="D5067" i="3"/>
  <c r="D5066" i="3"/>
  <c r="D5059" i="3"/>
  <c r="D5058" i="3"/>
  <c r="D5057" i="3"/>
  <c r="D5056" i="3"/>
  <c r="D5048" i="3"/>
  <c r="D5047" i="3"/>
  <c r="D5046" i="3"/>
  <c r="D5045" i="3"/>
  <c r="D5038" i="3"/>
  <c r="D5031" i="3"/>
  <c r="D5030" i="3"/>
  <c r="D5029" i="3"/>
  <c r="D5028" i="3"/>
  <c r="D5027" i="3"/>
  <c r="D5026" i="3"/>
  <c r="D5019" i="3"/>
  <c r="D5018" i="3"/>
  <c r="D5017" i="3"/>
  <c r="D5016" i="3"/>
  <c r="D5009" i="3"/>
  <c r="D5002" i="3"/>
  <c r="D4995" i="3"/>
  <c r="D4994" i="3"/>
  <c r="D4993" i="3"/>
  <c r="D4986" i="3"/>
  <c r="D4985" i="3"/>
  <c r="D4984" i="3"/>
  <c r="D4983" i="3"/>
  <c r="D4982" i="3"/>
  <c r="D4981" i="3"/>
  <c r="D4974" i="3"/>
  <c r="D4973" i="3"/>
  <c r="D4972" i="3"/>
  <c r="D4971" i="3"/>
  <c r="D4963" i="3"/>
  <c r="D4962" i="3"/>
  <c r="D4961" i="3"/>
  <c r="D4960" i="3"/>
  <c r="D4952" i="3"/>
  <c r="D4951" i="3"/>
  <c r="D4944" i="3"/>
  <c r="D4943" i="3"/>
  <c r="D4942" i="3"/>
  <c r="D4941" i="3"/>
  <c r="D4940" i="3"/>
  <c r="D4933" i="3"/>
  <c r="D4932" i="3"/>
  <c r="D4931" i="3"/>
  <c r="D4930" i="3"/>
  <c r="D4923" i="3"/>
  <c r="D4922" i="3"/>
  <c r="D4921" i="3"/>
  <c r="D4920" i="3"/>
  <c r="D4919" i="3"/>
  <c r="D4918" i="3"/>
  <c r="D4917" i="3"/>
  <c r="D4916" i="3"/>
  <c r="D4915" i="3"/>
  <c r="D4914" i="3"/>
  <c r="D4913" i="3"/>
  <c r="D4912" i="3"/>
  <c r="D4911" i="3"/>
  <c r="D4904" i="3"/>
  <c r="D4903" i="3"/>
  <c r="D4902" i="3"/>
  <c r="D4901" i="3"/>
  <c r="D4900" i="3"/>
  <c r="D4899" i="3"/>
  <c r="D4898" i="3"/>
  <c r="D4897" i="3"/>
  <c r="D4896" i="3"/>
  <c r="D4895" i="3"/>
  <c r="D4894" i="3"/>
  <c r="D4893" i="3"/>
  <c r="D4892" i="3"/>
  <c r="D4885" i="3"/>
  <c r="D4884" i="3"/>
  <c r="D4883" i="3"/>
  <c r="D4882" i="3"/>
  <c r="D4881" i="3"/>
  <c r="D4880" i="3"/>
  <c r="D4879" i="3"/>
  <c r="D4878" i="3"/>
  <c r="D4877" i="3"/>
  <c r="D4876" i="3"/>
  <c r="D4875" i="3"/>
  <c r="D4874" i="3"/>
  <c r="D4873" i="3"/>
  <c r="D4866" i="3"/>
  <c r="D4865" i="3"/>
  <c r="D4864" i="3"/>
  <c r="D4863" i="3"/>
  <c r="D4862" i="3"/>
  <c r="D4861" i="3"/>
  <c r="D4860" i="3"/>
  <c r="D4859" i="3"/>
  <c r="D4858" i="3"/>
  <c r="D4857" i="3"/>
  <c r="D4856" i="3"/>
  <c r="D4855" i="3"/>
  <c r="D4848" i="3"/>
  <c r="D4847" i="3"/>
  <c r="D4846" i="3"/>
  <c r="D4845" i="3"/>
  <c r="D4844" i="3"/>
  <c r="D4843" i="3"/>
  <c r="D4842" i="3"/>
  <c r="D4841" i="3"/>
  <c r="D4840" i="3"/>
  <c r="D4839" i="3"/>
  <c r="D4838" i="3"/>
  <c r="D4837" i="3"/>
  <c r="D4830" i="3"/>
  <c r="D4829" i="3"/>
  <c r="D4828" i="3"/>
  <c r="D4827" i="3"/>
  <c r="D4826" i="3"/>
  <c r="D4825" i="3"/>
  <c r="D4824" i="3"/>
  <c r="D4823" i="3"/>
  <c r="D4822" i="3"/>
  <c r="D4821" i="3"/>
  <c r="D4820" i="3"/>
  <c r="D4819" i="3"/>
  <c r="D4812" i="3"/>
  <c r="D4811" i="3"/>
  <c r="D4810" i="3"/>
  <c r="D4809" i="3"/>
  <c r="D4808" i="3"/>
  <c r="D4807" i="3"/>
  <c r="D4806" i="3"/>
  <c r="D4805" i="3"/>
  <c r="D4804" i="3"/>
  <c r="D4803" i="3"/>
  <c r="D4802" i="3"/>
  <c r="D4801" i="3"/>
  <c r="D4794" i="3"/>
  <c r="D4793" i="3"/>
  <c r="D4792" i="3"/>
  <c r="D4791" i="3"/>
  <c r="D4790" i="3"/>
  <c r="D4789" i="3"/>
  <c r="D4788" i="3"/>
  <c r="D4787" i="3"/>
  <c r="D4786" i="3"/>
  <c r="D4785" i="3"/>
  <c r="D4784" i="3"/>
  <c r="D4783" i="3"/>
  <c r="D4776" i="3"/>
  <c r="D4775" i="3"/>
  <c r="D4774" i="3"/>
  <c r="D4773" i="3"/>
  <c r="D4772" i="3"/>
  <c r="D4771" i="3"/>
  <c r="D4770" i="3"/>
  <c r="D4769" i="3"/>
  <c r="D4768" i="3"/>
  <c r="D4767" i="3"/>
  <c r="D4766" i="3"/>
  <c r="D4765" i="3"/>
  <c r="D4758" i="3"/>
  <c r="D4757" i="3"/>
  <c r="D4756" i="3"/>
  <c r="D4755" i="3"/>
  <c r="D4754" i="3"/>
  <c r="D4753" i="3"/>
  <c r="D4752" i="3"/>
  <c r="D4751" i="3"/>
  <c r="D4750" i="3"/>
  <c r="D4749" i="3"/>
  <c r="D4748" i="3"/>
  <c r="D4747" i="3"/>
  <c r="D4740" i="3"/>
  <c r="D4739" i="3"/>
  <c r="D4738" i="3"/>
  <c r="D4737" i="3"/>
  <c r="D4736" i="3"/>
  <c r="D4735" i="3"/>
  <c r="D4734" i="3"/>
  <c r="D4733" i="3"/>
  <c r="D4732" i="3"/>
  <c r="D4731" i="3"/>
  <c r="D4730" i="3"/>
  <c r="D4729" i="3"/>
  <c r="D4728" i="3"/>
  <c r="D4721" i="3"/>
  <c r="D4720" i="3"/>
  <c r="D4719" i="3"/>
  <c r="D4718" i="3"/>
  <c r="D4717" i="3"/>
  <c r="D4716" i="3"/>
  <c r="D4715" i="3"/>
  <c r="D4714" i="3"/>
  <c r="D4713" i="3"/>
  <c r="D4712" i="3"/>
  <c r="D4711" i="3"/>
  <c r="D4710" i="3"/>
  <c r="D4709" i="3"/>
  <c r="D4702" i="3"/>
  <c r="D4701" i="3"/>
  <c r="D4700" i="3"/>
  <c r="D4699" i="3"/>
  <c r="D4698" i="3"/>
  <c r="D4697" i="3"/>
  <c r="D4696" i="3"/>
  <c r="D4695" i="3"/>
  <c r="D4694" i="3"/>
  <c r="D4693" i="3"/>
  <c r="D4692" i="3"/>
  <c r="D4691" i="3"/>
  <c r="D4690" i="3"/>
  <c r="D4683" i="3"/>
  <c r="D4682" i="3"/>
  <c r="D4681" i="3"/>
  <c r="D4680" i="3"/>
  <c r="D4679" i="3"/>
  <c r="D4678" i="3"/>
  <c r="D4677" i="3"/>
  <c r="D4676" i="3"/>
  <c r="D4675" i="3"/>
  <c r="D4674" i="3"/>
  <c r="D4673" i="3"/>
  <c r="D4672" i="3"/>
  <c r="D4671" i="3"/>
  <c r="D4664" i="3"/>
  <c r="D4663" i="3"/>
  <c r="D4662" i="3"/>
  <c r="D4661" i="3"/>
  <c r="D4660" i="3"/>
  <c r="D4659" i="3"/>
  <c r="D4658" i="3"/>
  <c r="D4657" i="3"/>
  <c r="D4656" i="3"/>
  <c r="D4655" i="3"/>
  <c r="D4654" i="3"/>
  <c r="D4653" i="3"/>
  <c r="D4652" i="3"/>
  <c r="D4645" i="3"/>
  <c r="D4644" i="3"/>
  <c r="D4643" i="3"/>
  <c r="D4642" i="3"/>
  <c r="D4641" i="3"/>
  <c r="D4640" i="3"/>
  <c r="D4639" i="3"/>
  <c r="D4638" i="3"/>
  <c r="D4637" i="3"/>
  <c r="D4636" i="3"/>
  <c r="D4635" i="3"/>
  <c r="D4634" i="3"/>
  <c r="D4633" i="3"/>
  <c r="D4626" i="3"/>
  <c r="D4625" i="3"/>
  <c r="D4624" i="3"/>
  <c r="D4623" i="3"/>
  <c r="D4622" i="3"/>
  <c r="D4621" i="3"/>
  <c r="D4620" i="3"/>
  <c r="D4619" i="3"/>
  <c r="D4618" i="3"/>
  <c r="D4617" i="3"/>
  <c r="D4616" i="3"/>
  <c r="D4615" i="3"/>
  <c r="D4614" i="3"/>
  <c r="D4607" i="3"/>
  <c r="D4606" i="3"/>
  <c r="D4605" i="3"/>
  <c r="D4604" i="3"/>
  <c r="D4603" i="3"/>
  <c r="D4602" i="3"/>
  <c r="D4601" i="3"/>
  <c r="D4600" i="3"/>
  <c r="D4599" i="3"/>
  <c r="D4598" i="3"/>
  <c r="D4597" i="3"/>
  <c r="D4596" i="3"/>
  <c r="D4595" i="3"/>
  <c r="D4588" i="3"/>
  <c r="D4587" i="3"/>
  <c r="D4586" i="3"/>
  <c r="D4585" i="3"/>
  <c r="D4584" i="3"/>
  <c r="D4583" i="3"/>
  <c r="D4582" i="3"/>
  <c r="D4581" i="3"/>
  <c r="D4580" i="3"/>
  <c r="D4579" i="3"/>
  <c r="D4578" i="3"/>
  <c r="D4577" i="3"/>
  <c r="D4576" i="3"/>
  <c r="D4569" i="3"/>
  <c r="D4568" i="3"/>
  <c r="D4567" i="3"/>
  <c r="D4566" i="3"/>
  <c r="D4565" i="3"/>
  <c r="D4564" i="3"/>
  <c r="D4563" i="3"/>
  <c r="D4562" i="3"/>
  <c r="D4561" i="3"/>
  <c r="D4560" i="3"/>
  <c r="D4559" i="3"/>
  <c r="D4558" i="3"/>
  <c r="D4557" i="3"/>
  <c r="D4550" i="3"/>
  <c r="D4549" i="3"/>
  <c r="D4548" i="3"/>
  <c r="D4547" i="3"/>
  <c r="D4546" i="3"/>
  <c r="D4545" i="3"/>
  <c r="D4544" i="3"/>
  <c r="D4543" i="3"/>
  <c r="D4542" i="3"/>
  <c r="D4541" i="3"/>
  <c r="D4540" i="3"/>
  <c r="D4539" i="3"/>
  <c r="D4538" i="3"/>
  <c r="D4531" i="3"/>
  <c r="D4530" i="3"/>
  <c r="D4529" i="3"/>
  <c r="D4528" i="3"/>
  <c r="D4527" i="3"/>
  <c r="D4526" i="3"/>
  <c r="D4525" i="3"/>
  <c r="D4524" i="3"/>
  <c r="D4523" i="3"/>
  <c r="D4522" i="3"/>
  <c r="D4521" i="3"/>
  <c r="D4520" i="3"/>
  <c r="D4519" i="3"/>
  <c r="D4512" i="3"/>
  <c r="D4511" i="3"/>
  <c r="D4510" i="3"/>
  <c r="D4509" i="3"/>
  <c r="D4508" i="3"/>
  <c r="D4507" i="3"/>
  <c r="D4506" i="3"/>
  <c r="D4505" i="3"/>
  <c r="D4504" i="3"/>
  <c r="D4503" i="3"/>
  <c r="D4502" i="3"/>
  <c r="D4501" i="3"/>
  <c r="D4500" i="3"/>
  <c r="D4493" i="3"/>
  <c r="D4492" i="3"/>
  <c r="D4491" i="3"/>
  <c r="D4490" i="3"/>
  <c r="D4489" i="3"/>
  <c r="D4488" i="3"/>
  <c r="D4487" i="3"/>
  <c r="D4486" i="3"/>
  <c r="D4485" i="3"/>
  <c r="D4484" i="3"/>
  <c r="D4483" i="3"/>
  <c r="D4482" i="3"/>
  <c r="D4481" i="3"/>
  <c r="D4474" i="3"/>
  <c r="D4473" i="3"/>
  <c r="D4472" i="3"/>
  <c r="D4471" i="3"/>
  <c r="D4470" i="3"/>
  <c r="D4469" i="3"/>
  <c r="D4468" i="3"/>
  <c r="D4467" i="3"/>
  <c r="D4466" i="3"/>
  <c r="D4465" i="3"/>
  <c r="D4464" i="3"/>
  <c r="D4463" i="3"/>
  <c r="D4462" i="3"/>
  <c r="D4455" i="3"/>
  <c r="D4454" i="3"/>
  <c r="D4453" i="3"/>
  <c r="D4452" i="3"/>
  <c r="D4451" i="3"/>
  <c r="D4450" i="3"/>
  <c r="D4449" i="3"/>
  <c r="D4448" i="3"/>
  <c r="D4447" i="3"/>
  <c r="D4446" i="3"/>
  <c r="D4445" i="3"/>
  <c r="D4444" i="3"/>
  <c r="D4443" i="3"/>
  <c r="D4436" i="3"/>
  <c r="D4435" i="3"/>
  <c r="D4434" i="3"/>
  <c r="D4433" i="3"/>
  <c r="D4432" i="3"/>
  <c r="D4431" i="3"/>
  <c r="D4430" i="3"/>
  <c r="D4429" i="3"/>
  <c r="D4428" i="3"/>
  <c r="D4427" i="3"/>
  <c r="D4426" i="3"/>
  <c r="D4425" i="3"/>
  <c r="D4424" i="3"/>
  <c r="D4417" i="3"/>
  <c r="D4416" i="3"/>
  <c r="D4415" i="3"/>
  <c r="D4414" i="3"/>
  <c r="D4413" i="3"/>
  <c r="D4412" i="3"/>
  <c r="D4411" i="3"/>
  <c r="D4410" i="3"/>
  <c r="D4409" i="3"/>
  <c r="D4408" i="3"/>
  <c r="D4407" i="3"/>
  <c r="D4406" i="3"/>
  <c r="D4405" i="3"/>
  <c r="D4398" i="3"/>
  <c r="D4397" i="3"/>
  <c r="D4396" i="3"/>
  <c r="D4395" i="3"/>
  <c r="D4394" i="3"/>
  <c r="D4393" i="3"/>
  <c r="D4392" i="3"/>
  <c r="D4391" i="3"/>
  <c r="D4390" i="3"/>
  <c r="D4389" i="3"/>
  <c r="D4388" i="3"/>
  <c r="D4387" i="3"/>
  <c r="D4386" i="3"/>
  <c r="D4379" i="3"/>
  <c r="D4378" i="3"/>
  <c r="D4377" i="3"/>
  <c r="D4376" i="3"/>
  <c r="D4375" i="3"/>
  <c r="D4374" i="3"/>
  <c r="D4373" i="3"/>
  <c r="D4372" i="3"/>
  <c r="D4371" i="3"/>
  <c r="D4370" i="3"/>
  <c r="D4369" i="3"/>
  <c r="D4368" i="3"/>
  <c r="D4367" i="3"/>
  <c r="D4360" i="3"/>
  <c r="D4359" i="3"/>
  <c r="D4358" i="3"/>
  <c r="D4351" i="3"/>
  <c r="D4350" i="3"/>
  <c r="D4349" i="3"/>
  <c r="D4342" i="3"/>
  <c r="D4341" i="3"/>
  <c r="D4340" i="3"/>
  <c r="D4339" i="3"/>
  <c r="D4338" i="3"/>
  <c r="D4331" i="3"/>
  <c r="D4330" i="3"/>
  <c r="D4329" i="3"/>
  <c r="D4322" i="3"/>
  <c r="D4321" i="3"/>
  <c r="D4320" i="3"/>
  <c r="D4319" i="3"/>
  <c r="D4318" i="3"/>
  <c r="D4317" i="3"/>
  <c r="D4316" i="3"/>
  <c r="D4315" i="3"/>
  <c r="D4308" i="3"/>
  <c r="D4307" i="3"/>
  <c r="D4300" i="3"/>
  <c r="D4299" i="3"/>
  <c r="D4292" i="3"/>
  <c r="D4291" i="3"/>
  <c r="D4284" i="3"/>
  <c r="D4283" i="3"/>
  <c r="D4276" i="3"/>
  <c r="D4275" i="3"/>
  <c r="D4267" i="3"/>
  <c r="D4266" i="3"/>
  <c r="D4258" i="3"/>
  <c r="D4257" i="3"/>
  <c r="B125" i="23" l="1"/>
  <c r="C108" i="1"/>
  <c r="C125" i="23"/>
  <c r="D108" i="1"/>
  <c r="J3795" i="3"/>
  <c r="J3881" i="3"/>
  <c r="J3891" i="3"/>
  <c r="J3901" i="3"/>
  <c r="J3911" i="3"/>
  <c r="J3920" i="3"/>
  <c r="J4091" i="3"/>
  <c r="J3821" i="3"/>
  <c r="J3837" i="3"/>
  <c r="H2667" i="3"/>
  <c r="H2676" i="3"/>
  <c r="H3100" i="3"/>
  <c r="H3227" i="3"/>
  <c r="H3485" i="3"/>
  <c r="H3694" i="3"/>
  <c r="H3705" i="3"/>
  <c r="H3731" i="3"/>
  <c r="H3812" i="3"/>
  <c r="H4110" i="3"/>
  <c r="J2695" i="3"/>
  <c r="J2976" i="3"/>
  <c r="J3246" i="3"/>
  <c r="J3468" i="3"/>
  <c r="J3504" i="3"/>
  <c r="H2685" i="3"/>
  <c r="H2986" i="3"/>
  <c r="H3006" i="3"/>
  <c r="H3016" i="3"/>
  <c r="H3026" i="3"/>
  <c r="H3110" i="3"/>
  <c r="H3191" i="3"/>
  <c r="H3236" i="3"/>
  <c r="H3458" i="3"/>
  <c r="H3494" i="3"/>
  <c r="H3741" i="3"/>
  <c r="H3751" i="3"/>
  <c r="H3761" i="3"/>
  <c r="H3785" i="3"/>
  <c r="H3820" i="3"/>
  <c r="H3836" i="3"/>
  <c r="H3870" i="3"/>
  <c r="J2686" i="3"/>
  <c r="J2987" i="3"/>
  <c r="J3007" i="3"/>
  <c r="J3017" i="3"/>
  <c r="J3027" i="3"/>
  <c r="J3111" i="3"/>
  <c r="J3192" i="3"/>
  <c r="J3237" i="3"/>
  <c r="J3459" i="3"/>
  <c r="J3495" i="3"/>
  <c r="J3742" i="3"/>
  <c r="J3752" i="3"/>
  <c r="J3762" i="3"/>
  <c r="J3786" i="3"/>
  <c r="J3871" i="3"/>
  <c r="J2668" i="3"/>
  <c r="J2677" i="3"/>
  <c r="J3101" i="3"/>
  <c r="J3228" i="3"/>
  <c r="J3486" i="3"/>
  <c r="J3695" i="3"/>
  <c r="J3706" i="3"/>
  <c r="J3732" i="3"/>
  <c r="J3813" i="3"/>
  <c r="J4111" i="3"/>
  <c r="H2918" i="3"/>
  <c r="H3323" i="3"/>
  <c r="H3476" i="3"/>
  <c r="G309" i="2" s="1"/>
  <c r="H3512" i="3"/>
  <c r="H3803" i="3"/>
  <c r="H3828" i="3"/>
  <c r="H3844" i="3"/>
  <c r="H3928" i="3"/>
  <c r="H4099" i="3"/>
  <c r="J2919" i="3"/>
  <c r="J3324" i="3"/>
  <c r="J3477" i="3"/>
  <c r="J309" i="2" s="1"/>
  <c r="J3513" i="3"/>
  <c r="J3804" i="3"/>
  <c r="J3829" i="3"/>
  <c r="J3845" i="3"/>
  <c r="J3929" i="3"/>
  <c r="J4100" i="3"/>
  <c r="H2694" i="3"/>
  <c r="H2975" i="3"/>
  <c r="H3245" i="3"/>
  <c r="H3467" i="3"/>
  <c r="H3503" i="3"/>
  <c r="H3794" i="3"/>
  <c r="H3880" i="3"/>
  <c r="H3890" i="3"/>
  <c r="H3900" i="3"/>
  <c r="H3910" i="3"/>
  <c r="H3919" i="3"/>
  <c r="H4090" i="3"/>
  <c r="D4249" i="3" l="1"/>
  <c r="D4248" i="3"/>
  <c r="D4247" i="3"/>
  <c r="D4246" i="3"/>
  <c r="D4245" i="3"/>
  <c r="D4238" i="3"/>
  <c r="D4237" i="3"/>
  <c r="D4236" i="3"/>
  <c r="D4235" i="3"/>
  <c r="D4234" i="3"/>
  <c r="D4227" i="3"/>
  <c r="D4226" i="3"/>
  <c r="D4225" i="3"/>
  <c r="D4224" i="3"/>
  <c r="D4223" i="3"/>
  <c r="D4216" i="3"/>
  <c r="D4215" i="3"/>
  <c r="D4214" i="3"/>
  <c r="D4213" i="3"/>
  <c r="D4212" i="3"/>
  <c r="D4205" i="3"/>
  <c r="D4204" i="3"/>
  <c r="D4203" i="3"/>
  <c r="D4202" i="3"/>
  <c r="D4201" i="3"/>
  <c r="D4194" i="3"/>
  <c r="D4193" i="3"/>
  <c r="D4192" i="3"/>
  <c r="D4191" i="3"/>
  <c r="D4190" i="3"/>
  <c r="E5155" i="3"/>
  <c r="E5154" i="3"/>
  <c r="E5153" i="3"/>
  <c r="E5152" i="3"/>
  <c r="E5151" i="3"/>
  <c r="E5144" i="3"/>
  <c r="E5143" i="3"/>
  <c r="E5142" i="3"/>
  <c r="E5135" i="3"/>
  <c r="E5134" i="3"/>
  <c r="E5133" i="3"/>
  <c r="E5132" i="3"/>
  <c r="E5131" i="3"/>
  <c r="E5130" i="3"/>
  <c r="F5129" i="3"/>
  <c r="E5129" i="3"/>
  <c r="E5128" i="3"/>
  <c r="E5127" i="3"/>
  <c r="E5126" i="3"/>
  <c r="E5125" i="3"/>
  <c r="E5124" i="3"/>
  <c r="E5123" i="3"/>
  <c r="E5116" i="3"/>
  <c r="E5115" i="3"/>
  <c r="E5114" i="3"/>
  <c r="E5113" i="3"/>
  <c r="E5112" i="3"/>
  <c r="E5105" i="3"/>
  <c r="E5104" i="3"/>
  <c r="E5097" i="3"/>
  <c r="E5096" i="3"/>
  <c r="E5089" i="3"/>
  <c r="E5088" i="3"/>
  <c r="E5080" i="3"/>
  <c r="E5079" i="3"/>
  <c r="E5078" i="3"/>
  <c r="E5077" i="3"/>
  <c r="E5070" i="3"/>
  <c r="E5069" i="3"/>
  <c r="E5068" i="3"/>
  <c r="E5067" i="3"/>
  <c r="E5066" i="3"/>
  <c r="E5059" i="3"/>
  <c r="E5058" i="3"/>
  <c r="E5057" i="3"/>
  <c r="E5056" i="3"/>
  <c r="E5048" i="3"/>
  <c r="E5047" i="3"/>
  <c r="E5046" i="3"/>
  <c r="E5045" i="3"/>
  <c r="J5040" i="3"/>
  <c r="H5039" i="3"/>
  <c r="E5038" i="3"/>
  <c r="E5031" i="3"/>
  <c r="E5030" i="3"/>
  <c r="E5029" i="3"/>
  <c r="E5028" i="3"/>
  <c r="E5027" i="3"/>
  <c r="E5026" i="3"/>
  <c r="E5019" i="3"/>
  <c r="E5018" i="3"/>
  <c r="E5017" i="3"/>
  <c r="E5016" i="3"/>
  <c r="J5011" i="3"/>
  <c r="H5010" i="3"/>
  <c r="E5009" i="3"/>
  <c r="J5004" i="3"/>
  <c r="H5003" i="3"/>
  <c r="E5002" i="3"/>
  <c r="E4995" i="3"/>
  <c r="E4994" i="3"/>
  <c r="E4993" i="3"/>
  <c r="E4986" i="3"/>
  <c r="E4985" i="3"/>
  <c r="E4984" i="3"/>
  <c r="E4983" i="3"/>
  <c r="E4982" i="3"/>
  <c r="E4981" i="3"/>
  <c r="E4974" i="3"/>
  <c r="E4973" i="3"/>
  <c r="E4972" i="3"/>
  <c r="E4971" i="3"/>
  <c r="E4963" i="3"/>
  <c r="E4962" i="3"/>
  <c r="E4961" i="3"/>
  <c r="E4960" i="3"/>
  <c r="E4952" i="3"/>
  <c r="E4951" i="3"/>
  <c r="E4944" i="3"/>
  <c r="E4943" i="3"/>
  <c r="E4942" i="3"/>
  <c r="E4941" i="3"/>
  <c r="E4940" i="3"/>
  <c r="E4933" i="3"/>
  <c r="E4932" i="3"/>
  <c r="E4931" i="3"/>
  <c r="E4930" i="3"/>
  <c r="E4923" i="3"/>
  <c r="E4922" i="3"/>
  <c r="E4921" i="3"/>
  <c r="E4920" i="3"/>
  <c r="E4919" i="3"/>
  <c r="E4918" i="3"/>
  <c r="F4917" i="3"/>
  <c r="E4917" i="3"/>
  <c r="E4916" i="3"/>
  <c r="E4915" i="3"/>
  <c r="E4914" i="3"/>
  <c r="E4913" i="3"/>
  <c r="E4912" i="3"/>
  <c r="E4911" i="3"/>
  <c r="E4904" i="3"/>
  <c r="E4903" i="3"/>
  <c r="E4902" i="3"/>
  <c r="E4901" i="3"/>
  <c r="E4900" i="3"/>
  <c r="E4899" i="3"/>
  <c r="F4898" i="3"/>
  <c r="E4898" i="3"/>
  <c r="E4897" i="3"/>
  <c r="E4896" i="3"/>
  <c r="E4895" i="3"/>
  <c r="E4894" i="3"/>
  <c r="E4893" i="3"/>
  <c r="E4892" i="3"/>
  <c r="E4885" i="3"/>
  <c r="E4884" i="3"/>
  <c r="E4883" i="3"/>
  <c r="E4882" i="3"/>
  <c r="E4881" i="3"/>
  <c r="E4880" i="3"/>
  <c r="F4879" i="3"/>
  <c r="E4879" i="3"/>
  <c r="E4878" i="3"/>
  <c r="E4877" i="3"/>
  <c r="E4876" i="3"/>
  <c r="E4875" i="3"/>
  <c r="E4874" i="3"/>
  <c r="E4873" i="3"/>
  <c r="E4866" i="3"/>
  <c r="E4865" i="3"/>
  <c r="E4864" i="3"/>
  <c r="E4863" i="3"/>
  <c r="E4862" i="3"/>
  <c r="F4861" i="3"/>
  <c r="E4861" i="3"/>
  <c r="E4860" i="3"/>
  <c r="E4859" i="3"/>
  <c r="E4858" i="3"/>
  <c r="E4857" i="3"/>
  <c r="E4856" i="3"/>
  <c r="E4855" i="3"/>
  <c r="E4848" i="3"/>
  <c r="E4847" i="3"/>
  <c r="E4846" i="3"/>
  <c r="E4845" i="3"/>
  <c r="E4844" i="3"/>
  <c r="F4843" i="3"/>
  <c r="E4843" i="3"/>
  <c r="E4842" i="3"/>
  <c r="E4841" i="3"/>
  <c r="E4840" i="3"/>
  <c r="E4839" i="3"/>
  <c r="E4838" i="3"/>
  <c r="E4837" i="3"/>
  <c r="E4830" i="3"/>
  <c r="E4829" i="3"/>
  <c r="E4828" i="3"/>
  <c r="E4827" i="3"/>
  <c r="E4826" i="3"/>
  <c r="F4825" i="3"/>
  <c r="E4825" i="3"/>
  <c r="E4824" i="3"/>
  <c r="E4823" i="3"/>
  <c r="E4822" i="3"/>
  <c r="E4821" i="3"/>
  <c r="E4820" i="3"/>
  <c r="E4819" i="3"/>
  <c r="E4812" i="3"/>
  <c r="E4811" i="3"/>
  <c r="E4810" i="3"/>
  <c r="E4809" i="3"/>
  <c r="E4808" i="3"/>
  <c r="F4807" i="3"/>
  <c r="E4807" i="3"/>
  <c r="E4806" i="3"/>
  <c r="E4805" i="3"/>
  <c r="E4804" i="3"/>
  <c r="E4803" i="3"/>
  <c r="E4802" i="3"/>
  <c r="E4801" i="3"/>
  <c r="E4794" i="3"/>
  <c r="E4793" i="3"/>
  <c r="E4792" i="3"/>
  <c r="E4791" i="3"/>
  <c r="E4790" i="3"/>
  <c r="F4789" i="3"/>
  <c r="E4789" i="3"/>
  <c r="E4788" i="3"/>
  <c r="E4787" i="3"/>
  <c r="E4786" i="3"/>
  <c r="E4785" i="3"/>
  <c r="E4784" i="3"/>
  <c r="E4783" i="3"/>
  <c r="E4776" i="3"/>
  <c r="E4775" i="3"/>
  <c r="E4774" i="3"/>
  <c r="E4773" i="3"/>
  <c r="E4772" i="3"/>
  <c r="F4771" i="3"/>
  <c r="E4771" i="3"/>
  <c r="E4770" i="3"/>
  <c r="E4769" i="3"/>
  <c r="E4768" i="3"/>
  <c r="E4767" i="3"/>
  <c r="E4766" i="3"/>
  <c r="E4765" i="3"/>
  <c r="E4758" i="3"/>
  <c r="E4757" i="3"/>
  <c r="E4756" i="3"/>
  <c r="E4755" i="3"/>
  <c r="E4754" i="3"/>
  <c r="F4753" i="3"/>
  <c r="E4753" i="3"/>
  <c r="E4752" i="3"/>
  <c r="E4751" i="3"/>
  <c r="E4750" i="3"/>
  <c r="E4749" i="3"/>
  <c r="E4748" i="3"/>
  <c r="E4747" i="3"/>
  <c r="E4740" i="3"/>
  <c r="E4739" i="3"/>
  <c r="E4738" i="3"/>
  <c r="E4737" i="3"/>
  <c r="E4736" i="3"/>
  <c r="E4735" i="3"/>
  <c r="F4734" i="3"/>
  <c r="E4734" i="3"/>
  <c r="E4733" i="3"/>
  <c r="E4732" i="3"/>
  <c r="E4731" i="3"/>
  <c r="E4730" i="3"/>
  <c r="E4729" i="3"/>
  <c r="E4728" i="3"/>
  <c r="E4721" i="3"/>
  <c r="E4720" i="3"/>
  <c r="E4719" i="3"/>
  <c r="E4718" i="3"/>
  <c r="E4717" i="3"/>
  <c r="E4716" i="3"/>
  <c r="F4715" i="3"/>
  <c r="E4715" i="3"/>
  <c r="E4714" i="3"/>
  <c r="E4713" i="3"/>
  <c r="E4712" i="3"/>
  <c r="E4711" i="3"/>
  <c r="E4710" i="3"/>
  <c r="E4709" i="3"/>
  <c r="E4702" i="3"/>
  <c r="E4701" i="3"/>
  <c r="E4700" i="3"/>
  <c r="E4699" i="3"/>
  <c r="E4698" i="3"/>
  <c r="E4697" i="3"/>
  <c r="F4696" i="3"/>
  <c r="E4696" i="3"/>
  <c r="E4695" i="3"/>
  <c r="E4694" i="3"/>
  <c r="E4693" i="3"/>
  <c r="E4692" i="3"/>
  <c r="E4691" i="3"/>
  <c r="E4690" i="3"/>
  <c r="E4683" i="3"/>
  <c r="E4682" i="3"/>
  <c r="E4681" i="3"/>
  <c r="E4680" i="3"/>
  <c r="E4679" i="3"/>
  <c r="E4678" i="3"/>
  <c r="F4677" i="3"/>
  <c r="E4677" i="3"/>
  <c r="E4676" i="3"/>
  <c r="E4675" i="3"/>
  <c r="E4674" i="3"/>
  <c r="E4673" i="3"/>
  <c r="E4672" i="3"/>
  <c r="E4671" i="3"/>
  <c r="E4664" i="3"/>
  <c r="E4663" i="3"/>
  <c r="E4662" i="3"/>
  <c r="E4661" i="3"/>
  <c r="E4660" i="3"/>
  <c r="E4659" i="3"/>
  <c r="F4658" i="3"/>
  <c r="E4658" i="3"/>
  <c r="E4657" i="3"/>
  <c r="E4656" i="3"/>
  <c r="E4655" i="3"/>
  <c r="E4654" i="3"/>
  <c r="E4653" i="3"/>
  <c r="E4652" i="3"/>
  <c r="E4645" i="3"/>
  <c r="E4644" i="3"/>
  <c r="E4643" i="3"/>
  <c r="E4642" i="3"/>
  <c r="E4641" i="3"/>
  <c r="E4640" i="3"/>
  <c r="F4639" i="3"/>
  <c r="E4639" i="3"/>
  <c r="E4638" i="3"/>
  <c r="E4637" i="3"/>
  <c r="E4636" i="3"/>
  <c r="E4635" i="3"/>
  <c r="E4634" i="3"/>
  <c r="E4633" i="3"/>
  <c r="E4626" i="3"/>
  <c r="E4625" i="3"/>
  <c r="E4624" i="3"/>
  <c r="E4623" i="3"/>
  <c r="E4622" i="3"/>
  <c r="E4621" i="3"/>
  <c r="F4620" i="3"/>
  <c r="E4620" i="3"/>
  <c r="E4619" i="3"/>
  <c r="E4618" i="3"/>
  <c r="E4617" i="3"/>
  <c r="E4616" i="3"/>
  <c r="E4615" i="3"/>
  <c r="E4614" i="3"/>
  <c r="E4607" i="3"/>
  <c r="E4606" i="3"/>
  <c r="E4605" i="3"/>
  <c r="E4604" i="3"/>
  <c r="E4603" i="3"/>
  <c r="E4602" i="3"/>
  <c r="F4601" i="3"/>
  <c r="E4601" i="3"/>
  <c r="E4600" i="3"/>
  <c r="E4599" i="3"/>
  <c r="E4598" i="3"/>
  <c r="E4597" i="3"/>
  <c r="E4596" i="3"/>
  <c r="E4595" i="3"/>
  <c r="E4588" i="3"/>
  <c r="E4587" i="3"/>
  <c r="E4586" i="3"/>
  <c r="E4585" i="3"/>
  <c r="E4584" i="3"/>
  <c r="E4583" i="3"/>
  <c r="F4582" i="3"/>
  <c r="E4582" i="3"/>
  <c r="E4581" i="3"/>
  <c r="E4580" i="3"/>
  <c r="E4579" i="3"/>
  <c r="E4578" i="3"/>
  <c r="E4577" i="3"/>
  <c r="E4576" i="3"/>
  <c r="E4569" i="3"/>
  <c r="E4568" i="3"/>
  <c r="E4567" i="3"/>
  <c r="E4566" i="3"/>
  <c r="E4565" i="3"/>
  <c r="E4564" i="3"/>
  <c r="F4563" i="3"/>
  <c r="E4563" i="3"/>
  <c r="E4562" i="3"/>
  <c r="E4561" i="3"/>
  <c r="E4560" i="3"/>
  <c r="E4559" i="3"/>
  <c r="E4558" i="3"/>
  <c r="E4557" i="3"/>
  <c r="E4550" i="3"/>
  <c r="E4549" i="3"/>
  <c r="E4548" i="3"/>
  <c r="E4547" i="3"/>
  <c r="E4546" i="3"/>
  <c r="E4545" i="3"/>
  <c r="F4544" i="3"/>
  <c r="E4544" i="3"/>
  <c r="E4543" i="3"/>
  <c r="E4542" i="3"/>
  <c r="E4541" i="3"/>
  <c r="E4540" i="3"/>
  <c r="E4539" i="3"/>
  <c r="E4538" i="3"/>
  <c r="E4531" i="3"/>
  <c r="E4530" i="3"/>
  <c r="E4529" i="3"/>
  <c r="E4528" i="3"/>
  <c r="E4527" i="3"/>
  <c r="E4526" i="3"/>
  <c r="F4525" i="3"/>
  <c r="E4525" i="3"/>
  <c r="E4524" i="3"/>
  <c r="E4523" i="3"/>
  <c r="E4522" i="3"/>
  <c r="E4521" i="3"/>
  <c r="E4520" i="3"/>
  <c r="E4519" i="3"/>
  <c r="E4512" i="3"/>
  <c r="E4511" i="3"/>
  <c r="E4510" i="3"/>
  <c r="E4509" i="3"/>
  <c r="E4508" i="3"/>
  <c r="E4507" i="3"/>
  <c r="F4506" i="3"/>
  <c r="E4506" i="3"/>
  <c r="E4505" i="3"/>
  <c r="E4504" i="3"/>
  <c r="E4503" i="3"/>
  <c r="E4502" i="3"/>
  <c r="E4501" i="3"/>
  <c r="E4500" i="3"/>
  <c r="E4493" i="3"/>
  <c r="E4492" i="3"/>
  <c r="E4491" i="3"/>
  <c r="E4490" i="3"/>
  <c r="E4489" i="3"/>
  <c r="E4488" i="3"/>
  <c r="F4487" i="3"/>
  <c r="E4487" i="3"/>
  <c r="E4486" i="3"/>
  <c r="E4485" i="3"/>
  <c r="E4484" i="3"/>
  <c r="E4483" i="3"/>
  <c r="E4482" i="3"/>
  <c r="E4481" i="3"/>
  <c r="E4474" i="3"/>
  <c r="E4473" i="3"/>
  <c r="E4472" i="3"/>
  <c r="E4471" i="3"/>
  <c r="E4470" i="3"/>
  <c r="E4469" i="3"/>
  <c r="F4468" i="3"/>
  <c r="E4468" i="3"/>
  <c r="E4467" i="3"/>
  <c r="E4466" i="3"/>
  <c r="E4465" i="3"/>
  <c r="E4464" i="3"/>
  <c r="E4463" i="3"/>
  <c r="E4462" i="3"/>
  <c r="E4455" i="3"/>
  <c r="E4454" i="3"/>
  <c r="E4453" i="3"/>
  <c r="E4452" i="3"/>
  <c r="E4451" i="3"/>
  <c r="E4450" i="3"/>
  <c r="F4449" i="3"/>
  <c r="E4449" i="3"/>
  <c r="E4448" i="3"/>
  <c r="E4447" i="3"/>
  <c r="E4446" i="3"/>
  <c r="E4445" i="3"/>
  <c r="E4444" i="3"/>
  <c r="E4443" i="3"/>
  <c r="E4436" i="3"/>
  <c r="E4435" i="3"/>
  <c r="E4434" i="3"/>
  <c r="E4433" i="3"/>
  <c r="E4432" i="3"/>
  <c r="E4431" i="3"/>
  <c r="F4430" i="3"/>
  <c r="E4430" i="3"/>
  <c r="E4429" i="3"/>
  <c r="E4428" i="3"/>
  <c r="E4427" i="3"/>
  <c r="E4426" i="3"/>
  <c r="E4425" i="3"/>
  <c r="E4424" i="3"/>
  <c r="E4417" i="3"/>
  <c r="E4416" i="3"/>
  <c r="E4415" i="3"/>
  <c r="E4414" i="3"/>
  <c r="E4413" i="3"/>
  <c r="E4412" i="3"/>
  <c r="F4411" i="3"/>
  <c r="E4411" i="3"/>
  <c r="E4410" i="3"/>
  <c r="E4409" i="3"/>
  <c r="E4408" i="3"/>
  <c r="E4407" i="3"/>
  <c r="E4406" i="3"/>
  <c r="E4405" i="3"/>
  <c r="E4398" i="3"/>
  <c r="E4397" i="3"/>
  <c r="E4396" i="3"/>
  <c r="E4395" i="3"/>
  <c r="E4394" i="3"/>
  <c r="E4393" i="3"/>
  <c r="F4392" i="3"/>
  <c r="E4392" i="3"/>
  <c r="E4391" i="3"/>
  <c r="E4390" i="3"/>
  <c r="E4389" i="3"/>
  <c r="E4388" i="3"/>
  <c r="E4387" i="3"/>
  <c r="E4386" i="3"/>
  <c r="E4379" i="3"/>
  <c r="E4378" i="3"/>
  <c r="E4377" i="3"/>
  <c r="E4376" i="3"/>
  <c r="E4375" i="3"/>
  <c r="E4374" i="3"/>
  <c r="F4373" i="3"/>
  <c r="E4373" i="3"/>
  <c r="E4372" i="3"/>
  <c r="E4371" i="3"/>
  <c r="E4370" i="3"/>
  <c r="E4369" i="3"/>
  <c r="E4368" i="3"/>
  <c r="E4367" i="3"/>
  <c r="E4360" i="3"/>
  <c r="E4359" i="3"/>
  <c r="E4358" i="3"/>
  <c r="E4351" i="3"/>
  <c r="E4350" i="3"/>
  <c r="E4349" i="3"/>
  <c r="E4342" i="3"/>
  <c r="E4341" i="3"/>
  <c r="E4340" i="3"/>
  <c r="E4339" i="3"/>
  <c r="E4338" i="3"/>
  <c r="E4331" i="3"/>
  <c r="E4330" i="3"/>
  <c r="E4329" i="3"/>
  <c r="E4322" i="3"/>
  <c r="E4321" i="3"/>
  <c r="E4320" i="3"/>
  <c r="E4319" i="3"/>
  <c r="E4318" i="3"/>
  <c r="E4317" i="3"/>
  <c r="E4316" i="3"/>
  <c r="E4315" i="3"/>
  <c r="E4308" i="3"/>
  <c r="E4307" i="3"/>
  <c r="E4300" i="3"/>
  <c r="E4299" i="3"/>
  <c r="E4292" i="3"/>
  <c r="E4291" i="3"/>
  <c r="E4284" i="3"/>
  <c r="E4283" i="3"/>
  <c r="E4276" i="3"/>
  <c r="E4275" i="3"/>
  <c r="E4274" i="3"/>
  <c r="E4267" i="3"/>
  <c r="E4266" i="3"/>
  <c r="E4265" i="3"/>
  <c r="E4258" i="3"/>
  <c r="E4257" i="3"/>
  <c r="E4256" i="3"/>
  <c r="E4249" i="3"/>
  <c r="E4248" i="3"/>
  <c r="E4247" i="3"/>
  <c r="E4246" i="3"/>
  <c r="E4245" i="3"/>
  <c r="E4238" i="3"/>
  <c r="E4237" i="3"/>
  <c r="E4236" i="3"/>
  <c r="E4235" i="3"/>
  <c r="E4234" i="3"/>
  <c r="E4227" i="3"/>
  <c r="E4226" i="3"/>
  <c r="E4225" i="3"/>
  <c r="E4224" i="3"/>
  <c r="E4223" i="3"/>
  <c r="E4216" i="3"/>
  <c r="E4215" i="3"/>
  <c r="E4214" i="3"/>
  <c r="E4213" i="3"/>
  <c r="E4212" i="3"/>
  <c r="E4205" i="3"/>
  <c r="E4204" i="3"/>
  <c r="E4203" i="3"/>
  <c r="E4202" i="3"/>
  <c r="E4201" i="3"/>
  <c r="E4194" i="3"/>
  <c r="E4193" i="3"/>
  <c r="E4192" i="3"/>
  <c r="E4191" i="3"/>
  <c r="E4190" i="3"/>
  <c r="J4771" i="3" l="1"/>
  <c r="J4778" i="3" s="1"/>
  <c r="H4771" i="3"/>
  <c r="H4777" i="3" s="1"/>
  <c r="H4392" i="3"/>
  <c r="H4399" i="3" s="1"/>
  <c r="J4392" i="3"/>
  <c r="J4400" i="3" s="1"/>
  <c r="J4468" i="3"/>
  <c r="J4476" i="3" s="1"/>
  <c r="H4468" i="3"/>
  <c r="H4475" i="3" s="1"/>
  <c r="H4544" i="3"/>
  <c r="H4551" i="3" s="1"/>
  <c r="J4544" i="3"/>
  <c r="J4552" i="3" s="1"/>
  <c r="H4620" i="3"/>
  <c r="H4627" i="3" s="1"/>
  <c r="J4620" i="3"/>
  <c r="J4628" i="3" s="1"/>
  <c r="H4696" i="3"/>
  <c r="H4703" i="3" s="1"/>
  <c r="J4696" i="3"/>
  <c r="J4704" i="3" s="1"/>
  <c r="J4861" i="3"/>
  <c r="J4868" i="3" s="1"/>
  <c r="H4861" i="3"/>
  <c r="H4867" i="3" s="1"/>
  <c r="H4807" i="3"/>
  <c r="H4813" i="3" s="1"/>
  <c r="J4807" i="3"/>
  <c r="J4814" i="3" s="1"/>
  <c r="J4917" i="3"/>
  <c r="J4925" i="3" s="1"/>
  <c r="H4917" i="3"/>
  <c r="H4924" i="3" s="1"/>
  <c r="H4373" i="3"/>
  <c r="H4380" i="3" s="1"/>
  <c r="J4373" i="3"/>
  <c r="J4381" i="3" s="1"/>
  <c r="J4449" i="3"/>
  <c r="J4457" i="3" s="1"/>
  <c r="H4449" i="3"/>
  <c r="H4456" i="3" s="1"/>
  <c r="H4525" i="3"/>
  <c r="H4532" i="3" s="1"/>
  <c r="J4525" i="3"/>
  <c r="J4533" i="3" s="1"/>
  <c r="H4601" i="3"/>
  <c r="H4608" i="3" s="1"/>
  <c r="J4601" i="3"/>
  <c r="J4609" i="3" s="1"/>
  <c r="J4677" i="3"/>
  <c r="J4685" i="3" s="1"/>
  <c r="H4677" i="3"/>
  <c r="H4684" i="3" s="1"/>
  <c r="J4753" i="3"/>
  <c r="J4760" i="3" s="1"/>
  <c r="H4753" i="3"/>
  <c r="H4759" i="3" s="1"/>
  <c r="H5129" i="3"/>
  <c r="H5136" i="3" s="1"/>
  <c r="J5129" i="3"/>
  <c r="J5137" i="3" s="1"/>
  <c r="J4843" i="3"/>
  <c r="J4850" i="3" s="1"/>
  <c r="H4843" i="3"/>
  <c r="H4849" i="3" s="1"/>
  <c r="H4898" i="3"/>
  <c r="H4905" i="3" s="1"/>
  <c r="J4898" i="3"/>
  <c r="J4906" i="3" s="1"/>
  <c r="J4430" i="3"/>
  <c r="J4438" i="3" s="1"/>
  <c r="H4430" i="3"/>
  <c r="H4437" i="3" s="1"/>
  <c r="J4506" i="3"/>
  <c r="J4514" i="3" s="1"/>
  <c r="H4506" i="3"/>
  <c r="H4513" i="3" s="1"/>
  <c r="H4582" i="3"/>
  <c r="H4589" i="3" s="1"/>
  <c r="J4582" i="3"/>
  <c r="J4590" i="3" s="1"/>
  <c r="H4658" i="3"/>
  <c r="H4665" i="3" s="1"/>
  <c r="J4658" i="3"/>
  <c r="J4666" i="3" s="1"/>
  <c r="J4734" i="3"/>
  <c r="J4742" i="3" s="1"/>
  <c r="H4734" i="3"/>
  <c r="H4741" i="3" s="1"/>
  <c r="H4789" i="3"/>
  <c r="H4795" i="3" s="1"/>
  <c r="J4789" i="3"/>
  <c r="J4796" i="3" s="1"/>
  <c r="H4879" i="3"/>
  <c r="H4886" i="3" s="1"/>
  <c r="J4879" i="3"/>
  <c r="J4887" i="3" s="1"/>
  <c r="H4411" i="3"/>
  <c r="H4418" i="3" s="1"/>
  <c r="J4411" i="3"/>
  <c r="J4419" i="3" s="1"/>
  <c r="J4487" i="3"/>
  <c r="J4495" i="3" s="1"/>
  <c r="H4487" i="3"/>
  <c r="H4494" i="3" s="1"/>
  <c r="J4563" i="3"/>
  <c r="J4571" i="3" s="1"/>
  <c r="H4563" i="3"/>
  <c r="H4570" i="3" s="1"/>
  <c r="H4639" i="3"/>
  <c r="H4646" i="3" s="1"/>
  <c r="J4639" i="3"/>
  <c r="J4647" i="3" s="1"/>
  <c r="J4715" i="3"/>
  <c r="J4723" i="3" s="1"/>
  <c r="H4715" i="3"/>
  <c r="H4722" i="3" s="1"/>
  <c r="J4825" i="3"/>
  <c r="J4832" i="3" s="1"/>
  <c r="H4825" i="3"/>
  <c r="H4831" i="3" s="1"/>
  <c r="H5106" i="3"/>
  <c r="J5107" i="3"/>
  <c r="H4309" i="3"/>
  <c r="J4946" i="3"/>
  <c r="H4250" i="3"/>
  <c r="J4310" i="3"/>
  <c r="H4987" i="3"/>
  <c r="H4996" i="3"/>
  <c r="J4935" i="3"/>
  <c r="J4353" i="3"/>
  <c r="H5071" i="3"/>
  <c r="H4945" i="3"/>
  <c r="H5117" i="3"/>
  <c r="J4251" i="3"/>
  <c r="J4286" i="3"/>
  <c r="H5145" i="3"/>
  <c r="H5156" i="3"/>
  <c r="J5072" i="3"/>
  <c r="J5146" i="3"/>
  <c r="J5157" i="3"/>
  <c r="J4324" i="3"/>
  <c r="H4361" i="3"/>
  <c r="J5118" i="3"/>
  <c r="J4207" i="3"/>
  <c r="H4301" i="3"/>
  <c r="J5061" i="3"/>
  <c r="H4195" i="3"/>
  <c r="H4217" i="3"/>
  <c r="H4293" i="3"/>
  <c r="H4934" i="3"/>
  <c r="J4240" i="3"/>
  <c r="J4294" i="3"/>
  <c r="H4332" i="3"/>
  <c r="J5033" i="3"/>
  <c r="J4196" i="3"/>
  <c r="J4218" i="3"/>
  <c r="H4239" i="3"/>
  <c r="J4302" i="3"/>
  <c r="H4228" i="3"/>
  <c r="H4206" i="3"/>
  <c r="J4229" i="3"/>
  <c r="J4333" i="3"/>
  <c r="H4352" i="3"/>
  <c r="H4285" i="3"/>
  <c r="H4343" i="3"/>
  <c r="H4323" i="3"/>
  <c r="J4344" i="3"/>
  <c r="J4362" i="3"/>
  <c r="J4997" i="3"/>
  <c r="H5032" i="3"/>
  <c r="H5098" i="3"/>
  <c r="H4975" i="3"/>
  <c r="J5099" i="3"/>
  <c r="J4976" i="3"/>
  <c r="H5081" i="3"/>
  <c r="J5082" i="3"/>
  <c r="H4964" i="3"/>
  <c r="J4988" i="3"/>
  <c r="H5020" i="3"/>
  <c r="J4965" i="3"/>
  <c r="J5021" i="3"/>
  <c r="H5060" i="3"/>
  <c r="A247" i="1"/>
  <c r="A248" i="1"/>
  <c r="A246" i="1"/>
  <c r="A237" i="1"/>
  <c r="A238" i="1"/>
  <c r="A239" i="1"/>
  <c r="B248" i="1"/>
  <c r="D3683" i="3" l="1"/>
  <c r="D3682" i="3"/>
  <c r="D3673" i="3"/>
  <c r="D3672" i="3"/>
  <c r="D3663" i="3"/>
  <c r="D3662" i="3"/>
  <c r="D3653" i="3"/>
  <c r="D3652" i="3"/>
  <c r="D3644" i="3"/>
  <c r="D3643" i="3"/>
  <c r="D3635" i="3"/>
  <c r="D3634" i="3"/>
  <c r="D3626" i="3"/>
  <c r="D3625" i="3"/>
  <c r="D3617" i="3"/>
  <c r="D3616" i="3"/>
  <c r="D3608" i="3"/>
  <c r="D3607" i="3"/>
  <c r="D3599" i="3"/>
  <c r="D3598" i="3"/>
  <c r="D3590" i="3"/>
  <c r="D3589" i="3"/>
  <c r="D4117" i="3"/>
  <c r="D4116" i="3"/>
  <c r="D4109" i="3"/>
  <c r="D4108" i="3"/>
  <c r="D4107" i="3"/>
  <c r="D4106" i="3"/>
  <c r="D4105" i="3"/>
  <c r="D4098" i="3"/>
  <c r="D4097" i="3"/>
  <c r="D4096" i="3"/>
  <c r="D4089" i="3"/>
  <c r="D4088" i="3"/>
  <c r="D4087" i="3"/>
  <c r="D4079" i="3"/>
  <c r="D4078" i="3"/>
  <c r="D4070" i="3"/>
  <c r="D4069" i="3"/>
  <c r="D4068" i="3"/>
  <c r="D4060" i="3"/>
  <c r="D4059" i="3"/>
  <c r="D4058" i="3"/>
  <c r="D4050" i="3"/>
  <c r="D4049" i="3"/>
  <c r="D4048" i="3"/>
  <c r="D4040" i="3"/>
  <c r="D4039" i="3"/>
  <c r="D4038" i="3"/>
  <c r="D4030" i="3"/>
  <c r="D4029" i="3"/>
  <c r="D4028" i="3"/>
  <c r="D4020" i="3"/>
  <c r="D4019" i="3"/>
  <c r="D4018" i="3"/>
  <c r="D4011" i="3"/>
  <c r="D4010" i="3"/>
  <c r="D4009" i="3"/>
  <c r="D3994" i="3"/>
  <c r="D3993" i="3"/>
  <c r="D3992" i="3"/>
  <c r="D3984" i="3"/>
  <c r="D3983" i="3"/>
  <c r="D3982" i="3"/>
  <c r="D3974" i="3"/>
  <c r="D3973" i="3"/>
  <c r="D3972" i="3"/>
  <c r="D3964" i="3"/>
  <c r="D3963" i="3"/>
  <c r="D3962" i="3"/>
  <c r="D3954" i="3"/>
  <c r="D3953" i="3"/>
  <c r="D3952" i="3"/>
  <c r="D3944" i="3"/>
  <c r="D3943" i="3"/>
  <c r="D3935" i="3"/>
  <c r="D3934" i="3"/>
  <c r="D3927" i="3"/>
  <c r="D3926" i="3"/>
  <c r="D3925" i="3"/>
  <c r="D3918" i="3"/>
  <c r="D3917" i="3"/>
  <c r="D3916" i="3"/>
  <c r="D3909" i="3"/>
  <c r="D3908" i="3"/>
  <c r="D3907" i="3"/>
  <c r="D3906" i="3"/>
  <c r="D3899" i="3"/>
  <c r="D3898" i="3"/>
  <c r="D3897" i="3"/>
  <c r="D3896" i="3"/>
  <c r="D3889" i="3"/>
  <c r="D3888" i="3"/>
  <c r="D3887" i="3"/>
  <c r="D3886" i="3"/>
  <c r="D3879" i="3"/>
  <c r="D3878" i="3"/>
  <c r="D3877" i="3"/>
  <c r="D3876" i="3"/>
  <c r="D3869" i="3"/>
  <c r="D3868" i="3"/>
  <c r="D3867" i="3"/>
  <c r="D3859" i="3"/>
  <c r="D3858" i="3"/>
  <c r="D3857" i="3"/>
  <c r="D3843" i="3"/>
  <c r="D3842" i="3"/>
  <c r="D3835" i="3"/>
  <c r="D3834" i="3"/>
  <c r="D3827" i="3"/>
  <c r="D3826" i="3"/>
  <c r="D3819" i="3"/>
  <c r="D3818" i="3"/>
  <c r="D3811" i="3"/>
  <c r="D3810" i="3"/>
  <c r="D3809" i="3"/>
  <c r="D3802" i="3"/>
  <c r="D3801" i="3"/>
  <c r="D3800" i="3"/>
  <c r="D3793" i="3"/>
  <c r="D3792" i="3"/>
  <c r="D3791" i="3"/>
  <c r="D3784" i="3"/>
  <c r="D3783" i="3"/>
  <c r="D3782" i="3"/>
  <c r="D3774" i="3"/>
  <c r="D3773" i="3"/>
  <c r="D3772" i="3"/>
  <c r="D3771" i="3"/>
  <c r="D3770" i="3"/>
  <c r="D3769" i="3"/>
  <c r="D3768" i="3"/>
  <c r="D3767" i="3"/>
  <c r="D3760" i="3"/>
  <c r="D3759" i="3"/>
  <c r="D3758" i="3"/>
  <c r="D3757" i="3"/>
  <c r="D3750" i="3"/>
  <c r="D3749" i="3"/>
  <c r="D3748" i="3"/>
  <c r="D3747" i="3"/>
  <c r="D3740" i="3"/>
  <c r="D3739" i="3"/>
  <c r="D3738" i="3"/>
  <c r="D3737" i="3"/>
  <c r="D3730" i="3"/>
  <c r="D3729" i="3"/>
  <c r="D3728" i="3"/>
  <c r="D3720" i="3"/>
  <c r="D3719" i="3"/>
  <c r="D3711" i="3"/>
  <c r="D3704" i="3"/>
  <c r="D3703" i="3"/>
  <c r="D3702" i="3"/>
  <c r="D3701" i="3"/>
  <c r="D3700" i="3"/>
  <c r="D3693" i="3"/>
  <c r="D3692" i="3"/>
  <c r="D3691" i="3"/>
  <c r="D3690" i="3"/>
  <c r="D3581" i="3"/>
  <c r="D3580" i="3"/>
  <c r="D3572" i="3"/>
  <c r="D3571" i="3"/>
  <c r="D3563" i="3"/>
  <c r="D3562" i="3"/>
  <c r="D3554" i="3" l="1"/>
  <c r="D3546" i="3"/>
  <c r="D3538" i="3"/>
  <c r="D3537" i="3"/>
  <c r="D3529" i="3"/>
  <c r="D3528" i="3"/>
  <c r="D3520" i="3"/>
  <c r="D3519" i="3"/>
  <c r="D3511" i="3"/>
  <c r="D3510" i="3"/>
  <c r="D3509" i="3"/>
  <c r="D3502" i="3"/>
  <c r="D3501" i="3"/>
  <c r="D3500" i="3"/>
  <c r="D3493" i="3"/>
  <c r="D3492" i="3"/>
  <c r="D3491" i="3"/>
  <c r="D3484" i="3"/>
  <c r="D3483" i="3"/>
  <c r="D3482" i="3"/>
  <c r="D3475" i="3"/>
  <c r="D3474" i="3"/>
  <c r="D3473" i="3"/>
  <c r="D3466" i="3"/>
  <c r="D3465" i="3"/>
  <c r="D3464" i="3"/>
  <c r="D3457" i="3"/>
  <c r="D3456" i="3"/>
  <c r="D3455" i="3"/>
  <c r="D3448" i="3"/>
  <c r="D3447" i="3"/>
  <c r="D3439" i="3"/>
  <c r="D3438" i="3"/>
  <c r="D3430" i="3"/>
  <c r="D3429" i="3"/>
  <c r="D3421" i="3"/>
  <c r="D3420" i="3"/>
  <c r="D3412" i="3"/>
  <c r="D3411" i="3"/>
  <c r="D3403" i="3"/>
  <c r="D3402" i="3"/>
  <c r="D3394" i="3"/>
  <c r="D3393" i="3"/>
  <c r="D3385" i="3"/>
  <c r="D3384" i="3"/>
  <c r="D3376" i="3"/>
  <c r="D3375" i="3"/>
  <c r="D3367" i="3"/>
  <c r="D3366" i="3"/>
  <c r="D3358" i="3"/>
  <c r="D3357" i="3"/>
  <c r="D3349" i="3"/>
  <c r="D3348" i="3"/>
  <c r="D3340" i="3" l="1"/>
  <c r="D3339" i="3"/>
  <c r="D3331" i="3"/>
  <c r="D3330" i="3"/>
  <c r="D3322" i="3"/>
  <c r="D3321" i="3"/>
  <c r="D3320" i="3"/>
  <c r="D3319" i="3"/>
  <c r="D3318" i="3"/>
  <c r="D3317" i="3"/>
  <c r="D3310" i="3"/>
  <c r="D3308" i="3"/>
  <c r="D3307" i="3"/>
  <c r="D3294" i="3"/>
  <c r="D3292" i="3"/>
  <c r="D3291" i="3"/>
  <c r="D3278" i="3"/>
  <c r="D3276" i="3"/>
  <c r="D3275" i="3"/>
  <c r="D3262" i="3"/>
  <c r="D3261" i="3"/>
  <c r="D3260" i="3"/>
  <c r="D3244" i="3"/>
  <c r="D3243" i="3"/>
  <c r="D3242" i="3"/>
  <c r="D3235" i="3"/>
  <c r="D3234" i="3"/>
  <c r="D3233" i="3"/>
  <c r="D3226" i="3"/>
  <c r="D3225" i="3"/>
  <c r="D3224" i="3"/>
  <c r="D3216" i="3"/>
  <c r="D3215" i="3"/>
  <c r="D3207" i="3"/>
  <c r="D3206" i="3"/>
  <c r="D3198" i="3"/>
  <c r="D3197" i="3"/>
  <c r="D3190" i="3"/>
  <c r="D3189" i="3"/>
  <c r="D3188" i="3"/>
  <c r="D3180" i="3"/>
  <c r="D3179" i="3"/>
  <c r="D3171" i="3"/>
  <c r="D3170" i="3"/>
  <c r="D3162" i="3"/>
  <c r="D3161" i="3"/>
  <c r="D3153" i="3"/>
  <c r="D3152" i="3"/>
  <c r="D3144" i="3"/>
  <c r="D3143" i="3"/>
  <c r="D3135" i="3"/>
  <c r="D3134" i="3"/>
  <c r="D3126" i="3"/>
  <c r="D3125" i="3"/>
  <c r="D3117" i="3"/>
  <c r="D3116" i="3"/>
  <c r="D3109" i="3" l="1"/>
  <c r="D3108" i="3"/>
  <c r="D3107" i="3"/>
  <c r="D3106" i="3"/>
  <c r="D3099" i="3"/>
  <c r="D3098" i="3"/>
  <c r="D3097" i="3"/>
  <c r="D3032" i="3" l="1"/>
  <c r="D3025" i="3"/>
  <c r="D3024" i="3"/>
  <c r="D3023" i="3"/>
  <c r="D3022" i="3"/>
  <c r="D3015" i="3"/>
  <c r="D3014" i="3"/>
  <c r="D3013" i="3"/>
  <c r="D3012" i="3"/>
  <c r="D3005" i="3"/>
  <c r="D3004" i="3"/>
  <c r="D3003" i="3"/>
  <c r="D3002" i="3"/>
  <c r="D2995" i="3"/>
  <c r="D2994" i="3"/>
  <c r="D2993" i="3"/>
  <c r="D2985" i="3"/>
  <c r="D2984" i="3"/>
  <c r="D2983" i="3"/>
  <c r="D2982" i="3"/>
  <c r="D2981" i="3"/>
  <c r="D2974" i="3"/>
  <c r="D2973" i="3"/>
  <c r="D2972" i="3"/>
  <c r="D2971" i="3"/>
  <c r="D2970" i="3"/>
  <c r="D2963" i="3"/>
  <c r="D2962" i="3"/>
  <c r="D2961" i="3"/>
  <c r="D2953" i="3"/>
  <c r="D2952" i="3"/>
  <c r="D2944" i="3"/>
  <c r="D2943" i="3"/>
  <c r="D2935" i="3"/>
  <c r="D2934" i="3"/>
  <c r="D2926" i="3"/>
  <c r="D2925" i="3"/>
  <c r="D2917" i="3"/>
  <c r="D2916" i="3"/>
  <c r="D2915" i="3"/>
  <c r="D2914" i="3"/>
  <c r="D2913" i="3"/>
  <c r="D2912" i="3"/>
  <c r="D2906" i="3"/>
  <c r="D2905" i="3"/>
  <c r="D2897" i="3"/>
  <c r="D2896" i="3"/>
  <c r="D2888" i="3"/>
  <c r="D2887" i="3"/>
  <c r="D2879" i="3"/>
  <c r="D2870" i="3"/>
  <c r="D2862" i="3"/>
  <c r="D2854" i="3"/>
  <c r="D2846" i="3" l="1"/>
  <c r="D2838" i="3" l="1"/>
  <c r="D2830" i="3"/>
  <c r="D2822" i="3"/>
  <c r="D2814" i="3"/>
  <c r="D2806" i="3"/>
  <c r="D2798" i="3"/>
  <c r="D2790" i="3"/>
  <c r="D2782" i="3"/>
  <c r="D2774" i="3"/>
  <c r="D2766" i="3"/>
  <c r="D2758" i="3"/>
  <c r="D2750" i="3" l="1"/>
  <c r="D2742" i="3"/>
  <c r="D2741" i="3"/>
  <c r="D2739" i="3"/>
  <c r="D2732" i="3"/>
  <c r="D2731" i="3"/>
  <c r="D2729" i="3"/>
  <c r="D2722" i="3"/>
  <c r="D2721" i="3"/>
  <c r="D2713" i="3"/>
  <c r="D2712" i="3"/>
  <c r="D2711" i="3"/>
  <c r="D2710" i="3"/>
  <c r="D2709" i="3"/>
  <c r="D2708" i="3"/>
  <c r="D2706" i="3"/>
  <c r="D2705" i="3"/>
  <c r="D2704" i="3"/>
  <c r="D2703" i="3"/>
  <c r="D2702" i="3"/>
  <c r="D2701" i="3"/>
  <c r="D2700" i="3"/>
  <c r="D2693" i="3"/>
  <c r="D2692" i="3"/>
  <c r="D2691" i="3"/>
  <c r="D2684" i="3"/>
  <c r="D2683" i="3"/>
  <c r="D2682" i="3"/>
  <c r="D2675" i="3"/>
  <c r="D2674" i="3"/>
  <c r="D2673" i="3"/>
  <c r="D2666" i="3"/>
  <c r="D2665" i="3"/>
  <c r="D2664" i="3"/>
  <c r="D2663" i="3"/>
  <c r="D2656" i="3"/>
  <c r="D2655" i="3"/>
  <c r="D2647" i="3"/>
  <c r="D2646" i="3"/>
  <c r="D2638" i="3"/>
  <c r="D2637" i="3"/>
  <c r="D2629" i="3"/>
  <c r="D2628" i="3"/>
  <c r="D2298" i="3" l="1"/>
  <c r="D2297" i="3"/>
  <c r="D2296" i="3"/>
  <c r="D2295" i="3"/>
  <c r="D2294" i="3"/>
  <c r="D2293" i="3"/>
  <c r="D2292" i="3"/>
  <c r="D2286" i="3"/>
  <c r="D2285" i="3"/>
  <c r="D2284" i="3"/>
  <c r="D2283" i="3"/>
  <c r="D2276" i="3"/>
  <c r="D2275" i="3"/>
  <c r="D2274" i="3"/>
  <c r="D2273" i="3"/>
  <c r="D2272" i="3"/>
  <c r="D2271" i="3"/>
  <c r="D2265" i="3"/>
  <c r="D2264" i="3"/>
  <c r="D2263" i="3"/>
  <c r="D2262" i="3"/>
  <c r="D2261" i="3"/>
  <c r="D2260" i="3"/>
  <c r="D2254" i="3"/>
  <c r="D2253" i="3"/>
  <c r="D2252" i="3"/>
  <c r="D2251" i="3"/>
  <c r="D2250" i="3"/>
  <c r="D2249" i="3"/>
  <c r="D2242" i="3"/>
  <c r="D2241" i="3"/>
  <c r="D2240" i="3"/>
  <c r="D2239" i="3"/>
  <c r="D2238" i="3"/>
  <c r="D2237" i="3"/>
  <c r="D2230" i="3"/>
  <c r="D2223" i="3"/>
  <c r="D2222" i="3"/>
  <c r="D2221" i="3"/>
  <c r="D2220" i="3"/>
  <c r="D2213" i="3"/>
  <c r="D2212" i="3"/>
  <c r="D2211" i="3"/>
  <c r="D2210" i="3"/>
  <c r="D2209" i="3"/>
  <c r="D2208" i="3"/>
  <c r="D2207" i="3"/>
  <c r="D2200" i="3"/>
  <c r="D2199" i="3"/>
  <c r="D2198" i="3"/>
  <c r="D2197" i="3"/>
  <c r="D2196" i="3"/>
  <c r="D2195" i="3"/>
  <c r="D2189" i="3"/>
  <c r="D2188" i="3"/>
  <c r="D2187" i="3"/>
  <c r="D2186" i="3"/>
  <c r="D2178" i="3"/>
  <c r="D2177" i="3"/>
  <c r="D2176" i="3"/>
  <c r="D2175" i="3"/>
  <c r="D2168" i="3"/>
  <c r="D2167" i="3"/>
  <c r="D2166" i="3"/>
  <c r="D2165" i="3"/>
  <c r="D2164" i="3"/>
  <c r="D2163" i="3"/>
  <c r="D2156" i="3"/>
  <c r="D2155" i="3"/>
  <c r="D2154" i="3"/>
  <c r="D2153" i="3"/>
  <c r="D2152" i="3"/>
  <c r="D2151" i="3"/>
  <c r="D2144" i="3"/>
  <c r="D2143" i="3"/>
  <c r="D2142" i="3"/>
  <c r="D2141" i="3"/>
  <c r="D2140" i="3"/>
  <c r="D2139" i="3"/>
  <c r="D2138" i="3"/>
  <c r="D2135" i="3"/>
  <c r="D2134" i="3"/>
  <c r="D2133" i="3"/>
  <c r="D2125" i="3"/>
  <c r="D2124" i="3"/>
  <c r="D2123" i="3"/>
  <c r="D2120" i="3"/>
  <c r="D2119" i="3"/>
  <c r="D2118" i="3"/>
  <c r="D2111" i="3" l="1"/>
  <c r="D2110" i="3"/>
  <c r="D2109" i="3"/>
  <c r="D2108" i="3"/>
  <c r="D2101" i="3"/>
  <c r="D2100" i="3"/>
  <c r="D2099" i="3"/>
  <c r="D2098" i="3"/>
  <c r="D2091" i="3"/>
  <c r="D2090" i="3"/>
  <c r="D2079" i="3"/>
  <c r="D2078" i="3"/>
  <c r="D2077" i="3"/>
  <c r="D2074" i="3"/>
  <c r="D2073" i="3"/>
  <c r="D2072" i="3"/>
  <c r="D2063" i="3"/>
  <c r="D2065" i="3"/>
  <c r="D2062" i="3"/>
  <c r="D2061" i="3"/>
  <c r="D2060" i="3"/>
  <c r="D2059" i="3"/>
  <c r="D2056" i="3"/>
  <c r="D2055" i="3"/>
  <c r="D2054" i="3"/>
  <c r="D2046" i="3"/>
  <c r="D2043" i="3"/>
  <c r="D2040" i="3"/>
  <c r="D2039" i="3"/>
  <c r="D2038" i="3"/>
  <c r="D2037" i="3"/>
  <c r="D2028" i="3"/>
  <c r="D2025" i="3"/>
  <c r="D2024" i="3"/>
  <c r="D2017" i="3"/>
  <c r="D2016" i="3"/>
  <c r="D2015" i="3"/>
  <c r="D2012" i="3"/>
  <c r="D2011" i="3"/>
  <c r="D2002" i="3"/>
  <c r="D1999" i="3"/>
  <c r="D1998" i="3"/>
  <c r="D1991" i="3"/>
  <c r="D1990" i="3"/>
  <c r="D1982" i="3"/>
  <c r="D1981" i="3"/>
  <c r="D1980" i="3"/>
  <c r="D1973" i="3"/>
  <c r="D1970" i="3"/>
  <c r="D1969" i="3"/>
  <c r="D1968" i="3"/>
  <c r="D1967" i="3"/>
  <c r="D1966" i="3"/>
  <c r="D1963" i="3"/>
  <c r="D1962" i="3"/>
  <c r="D1961" i="3"/>
  <c r="D1958" i="3"/>
  <c r="D1944" i="3"/>
  <c r="D1941" i="3"/>
  <c r="D1940" i="3"/>
  <c r="D1939" i="3"/>
  <c r="D1938" i="3"/>
  <c r="D1935" i="3"/>
  <c r="D1934" i="3"/>
  <c r="D1933" i="3"/>
  <c r="D1924" i="3"/>
  <c r="D1923" i="3"/>
  <c r="D1916" i="3"/>
  <c r="D1915" i="3"/>
  <c r="D1912" i="3"/>
  <c r="D1911" i="3"/>
  <c r="D1904" i="3"/>
  <c r="D1903" i="3"/>
  <c r="D1900" i="3"/>
  <c r="D1899" i="3"/>
  <c r="D1891" i="3"/>
  <c r="D1889" i="3"/>
  <c r="D1886" i="3"/>
  <c r="D1885" i="3"/>
  <c r="D1884" i="3"/>
  <c r="D1883" i="3"/>
  <c r="D1873" i="3"/>
  <c r="D1871" i="3"/>
  <c r="D1868" i="3"/>
  <c r="D1867" i="3"/>
  <c r="D1866" i="3"/>
  <c r="D1865" i="3"/>
  <c r="D1857" i="3"/>
  <c r="D1856" i="3"/>
  <c r="D1855" i="3"/>
  <c r="D1854" i="3"/>
  <c r="D1853" i="3"/>
  <c r="D1852" i="3"/>
  <c r="D1851" i="3"/>
  <c r="D1844" i="3"/>
  <c r="D1843" i="3"/>
  <c r="D1842" i="3"/>
  <c r="D1841" i="3"/>
  <c r="D1840" i="3"/>
  <c r="D1839" i="3"/>
  <c r="D1838" i="3"/>
  <c r="D1831" i="3"/>
  <c r="D1830" i="3"/>
  <c r="D1829" i="3"/>
  <c r="D1828" i="3"/>
  <c r="D1827" i="3"/>
  <c r="D1821" i="3"/>
  <c r="D1820" i="3"/>
  <c r="D1819" i="3"/>
  <c r="D1818" i="3"/>
  <c r="D1811" i="3"/>
  <c r="D1810" i="3"/>
  <c r="D1808" i="3"/>
  <c r="D1801" i="3"/>
  <c r="D1800" i="3"/>
  <c r="D1798" i="3"/>
  <c r="D1791" i="3"/>
  <c r="D1790" i="3"/>
  <c r="D1782" i="3"/>
  <c r="D1781" i="3"/>
  <c r="D1780" i="3"/>
  <c r="D1779" i="3"/>
  <c r="D1778" i="3"/>
  <c r="D1770" i="3"/>
  <c r="D1769" i="3"/>
  <c r="D1768" i="3"/>
  <c r="D1767" i="3"/>
  <c r="D1760" i="3"/>
  <c r="D1759" i="3"/>
  <c r="D1758" i="3"/>
  <c r="D1757" i="3"/>
  <c r="D1750" i="3"/>
  <c r="D1749" i="3"/>
  <c r="D1748" i="3"/>
  <c r="D1747" i="3"/>
  <c r="D1739" i="3"/>
  <c r="D1738" i="3"/>
  <c r="D1737" i="3"/>
  <c r="D1730" i="3"/>
  <c r="D1729" i="3"/>
  <c r="D1728" i="3"/>
  <c r="D1727" i="3"/>
  <c r="D1720" i="3"/>
  <c r="D1719" i="3"/>
  <c r="D1718" i="3"/>
  <c r="D1717" i="3"/>
  <c r="D1716" i="3"/>
  <c r="D1715" i="3"/>
  <c r="D1714" i="3"/>
  <c r="D1713" i="3"/>
  <c r="D1712" i="3"/>
  <c r="D1711" i="3"/>
  <c r="D1710" i="3"/>
  <c r="D1709" i="3"/>
  <c r="D1708" i="3"/>
  <c r="D1707" i="3"/>
  <c r="D1706" i="3"/>
  <c r="D1705" i="3"/>
  <c r="D1699" i="3"/>
  <c r="D1698" i="3"/>
  <c r="D1697" i="3"/>
  <c r="D1696" i="3"/>
  <c r="D1695" i="3"/>
  <c r="D1694" i="3"/>
  <c r="D1693" i="3"/>
  <c r="D1692" i="3"/>
  <c r="D1691" i="3"/>
  <c r="D1690" i="3"/>
  <c r="D1689" i="3"/>
  <c r="D1688" i="3"/>
  <c r="D1687" i="3"/>
  <c r="D1686" i="3"/>
  <c r="D1680" i="3"/>
  <c r="D1679" i="3"/>
  <c r="D1678" i="3"/>
  <c r="D1650" i="3"/>
  <c r="D1649" i="3"/>
  <c r="D1648" i="3"/>
  <c r="D1620" i="3"/>
  <c r="D1619" i="3"/>
  <c r="D1618" i="3"/>
  <c r="D1590" i="3"/>
  <c r="D1589" i="3"/>
  <c r="D1588" i="3"/>
  <c r="D1560" i="3"/>
  <c r="D1559" i="3"/>
  <c r="D1558" i="3"/>
  <c r="D1530" i="3"/>
  <c r="D1529" i="3"/>
  <c r="D1528" i="3"/>
  <c r="D1500" i="3"/>
  <c r="D1499" i="3"/>
  <c r="D1498" i="3"/>
  <c r="D1470" i="3"/>
  <c r="D1469" i="3"/>
  <c r="D1468" i="3"/>
  <c r="D1440" i="3"/>
  <c r="D1439" i="3"/>
  <c r="D1438" i="3"/>
  <c r="D1410" i="3"/>
  <c r="D1409" i="3"/>
  <c r="D1408" i="3"/>
  <c r="D1380" i="3"/>
  <c r="D1379" i="3"/>
  <c r="D1378" i="3"/>
  <c r="D1350" i="3"/>
  <c r="D1349" i="3"/>
  <c r="D1348" i="3"/>
  <c r="D1320" i="3"/>
  <c r="D1319" i="3"/>
  <c r="D1318" i="3"/>
  <c r="D1290" i="3"/>
  <c r="D1289" i="3"/>
  <c r="D1288" i="3"/>
  <c r="D1258" i="3"/>
  <c r="D1260" i="3"/>
  <c r="D1259" i="3"/>
  <c r="D1236" i="3"/>
  <c r="D1235" i="3"/>
  <c r="D1234" i="3"/>
  <c r="D1206" i="3"/>
  <c r="D1205" i="3"/>
  <c r="D1204" i="3"/>
  <c r="D1176" i="3"/>
  <c r="D1175" i="3"/>
  <c r="D1174" i="3"/>
  <c r="D1146" i="3"/>
  <c r="D1145" i="3"/>
  <c r="D1144" i="3"/>
  <c r="D1116" i="3"/>
  <c r="D1115" i="3"/>
  <c r="D1114" i="3"/>
  <c r="D1086" i="3"/>
  <c r="D1085" i="3"/>
  <c r="D1084" i="3"/>
  <c r="D1056" i="3"/>
  <c r="D1055" i="3"/>
  <c r="D1054" i="3"/>
  <c r="D1026" i="3"/>
  <c r="D1025" i="3"/>
  <c r="D1024" i="3"/>
  <c r="D996" i="3"/>
  <c r="D995" i="3"/>
  <c r="D994" i="3"/>
  <c r="D966" i="3"/>
  <c r="D965" i="3"/>
  <c r="D964" i="3"/>
  <c r="D936" i="3"/>
  <c r="D935" i="3"/>
  <c r="D934" i="3"/>
  <c r="D906" i="3"/>
  <c r="D905" i="3"/>
  <c r="D904" i="3"/>
  <c r="D880" i="3"/>
  <c r="D879" i="3"/>
  <c r="D878" i="3"/>
  <c r="D854" i="3"/>
  <c r="D853" i="3"/>
  <c r="D852" i="3"/>
  <c r="D829" i="3"/>
  <c r="D828" i="3"/>
  <c r="D827" i="3"/>
  <c r="D799" i="3"/>
  <c r="D798" i="3"/>
  <c r="D797" i="3"/>
  <c r="D769" i="3"/>
  <c r="D768" i="3"/>
  <c r="D767" i="3"/>
  <c r="D739" i="3"/>
  <c r="D738" i="3"/>
  <c r="D737" i="3"/>
  <c r="D709" i="3"/>
  <c r="D708" i="3"/>
  <c r="D706" i="3"/>
  <c r="D699" i="3"/>
  <c r="D698" i="3"/>
  <c r="D697" i="3"/>
  <c r="D696" i="3"/>
  <c r="D689" i="3"/>
  <c r="D688" i="3"/>
  <c r="D687" i="3"/>
  <c r="D686" i="3"/>
  <c r="D679" i="3"/>
  <c r="D673" i="3"/>
  <c r="D672" i="3"/>
  <c r="D671" i="3"/>
  <c r="D663" i="3"/>
  <c r="D662" i="3"/>
  <c r="D661" i="3"/>
  <c r="D660" i="3"/>
  <c r="D659" i="3"/>
  <c r="D658" i="3"/>
  <c r="D657" i="3"/>
  <c r="D650" i="3"/>
  <c r="D649" i="3"/>
  <c r="D648" i="3"/>
  <c r="D647" i="3"/>
  <c r="D646" i="3"/>
  <c r="D645" i="3"/>
  <c r="D644" i="3"/>
  <c r="D637" i="3"/>
  <c r="D636" i="3"/>
  <c r="D635" i="3"/>
  <c r="D634" i="3"/>
  <c r="D633" i="3"/>
  <c r="D632" i="3"/>
  <c r="D631" i="3"/>
  <c r="D624" i="3"/>
  <c r="D623" i="3"/>
  <c r="D622" i="3"/>
  <c r="D621" i="3"/>
  <c r="D620" i="3"/>
  <c r="D619" i="3"/>
  <c r="D618" i="3"/>
  <c r="D611" i="3"/>
  <c r="D610" i="3"/>
  <c r="D609" i="3"/>
  <c r="D608" i="3"/>
  <c r="D607" i="3"/>
  <c r="D606" i="3"/>
  <c r="D605" i="3"/>
  <c r="D598" i="3"/>
  <c r="D597" i="3"/>
  <c r="D596" i="3"/>
  <c r="D595" i="3"/>
  <c r="D594" i="3"/>
  <c r="D593" i="3"/>
  <c r="D592" i="3"/>
  <c r="D585" i="3"/>
  <c r="D584" i="3"/>
  <c r="D583" i="3"/>
  <c r="D582" i="3"/>
  <c r="D581" i="3"/>
  <c r="D580" i="3"/>
  <c r="D579" i="3"/>
  <c r="D572" i="3"/>
  <c r="D571" i="3"/>
  <c r="D563" i="3"/>
  <c r="D562" i="3"/>
  <c r="D554" i="3"/>
  <c r="D553" i="3"/>
  <c r="D552" i="3"/>
  <c r="D551" i="3"/>
  <c r="D550" i="3"/>
  <c r="D549" i="3"/>
  <c r="D543" i="3"/>
  <c r="D536" i="3"/>
  <c r="D535" i="3"/>
  <c r="D528" i="3"/>
  <c r="D527" i="3"/>
  <c r="D526" i="3"/>
  <c r="D525" i="3"/>
  <c r="D524" i="3"/>
  <c r="D523" i="3"/>
  <c r="D516" i="3"/>
  <c r="D515" i="3"/>
  <c r="D514" i="3"/>
  <c r="D513" i="3"/>
  <c r="D512" i="3"/>
  <c r="D511" i="3"/>
  <c r="D510" i="3"/>
  <c r="D499" i="3"/>
  <c r="D492" i="3"/>
  <c r="D491" i="3"/>
  <c r="D483" i="3"/>
  <c r="D482" i="3"/>
  <c r="D474" i="3"/>
  <c r="D473" i="3"/>
  <c r="D471" i="3"/>
  <c r="D464" i="3"/>
  <c r="D463" i="3"/>
  <c r="D461" i="3"/>
  <c r="D454" i="3"/>
  <c r="D453" i="3"/>
  <c r="D451" i="3"/>
  <c r="D444" i="3"/>
  <c r="D443" i="3"/>
  <c r="D441" i="3"/>
  <c r="D434" i="3"/>
  <c r="D433" i="3"/>
  <c r="D431" i="3"/>
  <c r="D424" i="3"/>
  <c r="D423" i="3"/>
  <c r="D422" i="3"/>
  <c r="D414" i="3"/>
  <c r="D413" i="3"/>
  <c r="D411" i="3"/>
  <c r="D404" i="3"/>
  <c r="D403" i="3"/>
  <c r="D401" i="3"/>
  <c r="D394" i="3"/>
  <c r="D393" i="3"/>
  <c r="D391" i="3"/>
  <c r="D384" i="3"/>
  <c r="D383" i="3"/>
  <c r="D382" i="3"/>
  <c r="D381" i="3"/>
  <c r="D380" i="3"/>
  <c r="D379" i="3"/>
  <c r="D372" i="3"/>
  <c r="D371" i="3"/>
  <c r="D370" i="3"/>
  <c r="D369" i="3"/>
  <c r="D368" i="3"/>
  <c r="D367" i="3"/>
  <c r="D366" i="3"/>
  <c r="D365" i="3"/>
  <c r="D359" i="3"/>
  <c r="D358" i="3"/>
  <c r="D357" i="3"/>
  <c r="D356" i="3"/>
  <c r="D355" i="3"/>
  <c r="D354" i="3"/>
  <c r="D353" i="3"/>
  <c r="D346" i="3"/>
  <c r="D345" i="3"/>
  <c r="D344" i="3"/>
  <c r="D343" i="3"/>
  <c r="D342" i="3"/>
  <c r="D341" i="3"/>
  <c r="D340" i="3"/>
  <c r="D333" i="3"/>
  <c r="D332" i="3"/>
  <c r="D331" i="3"/>
  <c r="D330" i="3"/>
  <c r="D329" i="3"/>
  <c r="D328" i="3"/>
  <c r="D327" i="3"/>
  <c r="D320" i="3"/>
  <c r="D319" i="3"/>
  <c r="D318" i="3"/>
  <c r="D317" i="3"/>
  <c r="D316" i="3"/>
  <c r="D315" i="3"/>
  <c r="D308" i="3"/>
  <c r="D307" i="3"/>
  <c r="D306" i="3"/>
  <c r="D305" i="3"/>
  <c r="D304" i="3"/>
  <c r="D303" i="3"/>
  <c r="D302" i="3"/>
  <c r="D295" i="3"/>
  <c r="D294" i="3"/>
  <c r="D293" i="3"/>
  <c r="D292" i="3"/>
  <c r="D291" i="3"/>
  <c r="D290" i="3"/>
  <c r="D289" i="3"/>
  <c r="D277" i="3"/>
  <c r="D278" i="3"/>
  <c r="D279" i="3"/>
  <c r="D280" i="3"/>
  <c r="D281" i="3"/>
  <c r="D282" i="3"/>
  <c r="D276" i="3"/>
  <c r="D264" i="3"/>
  <c r="D265" i="3"/>
  <c r="D266" i="3"/>
  <c r="D267" i="3"/>
  <c r="D268" i="3"/>
  <c r="D269" i="3"/>
  <c r="D263" i="3"/>
  <c r="D251" i="3"/>
  <c r="D252" i="3"/>
  <c r="D253" i="3"/>
  <c r="D254" i="3"/>
  <c r="D255" i="3"/>
  <c r="D256" i="3"/>
  <c r="D250" i="3"/>
  <c r="D238" i="3"/>
  <c r="D239" i="3"/>
  <c r="D240" i="3"/>
  <c r="D241" i="3"/>
  <c r="D242" i="3"/>
  <c r="D243" i="3"/>
  <c r="D237" i="3"/>
  <c r="D230" i="3"/>
  <c r="D229" i="3"/>
  <c r="D227" i="3"/>
  <c r="D220" i="3"/>
  <c r="D219" i="3"/>
  <c r="D217" i="3"/>
  <c r="D210" i="3"/>
  <c r="D209" i="3"/>
  <c r="D207" i="3"/>
  <c r="A410" i="1" l="1"/>
  <c r="B410" i="1"/>
  <c r="A411" i="1"/>
  <c r="B411" i="1"/>
  <c r="A412" i="1"/>
  <c r="B412" i="1"/>
  <c r="D412" i="1"/>
  <c r="C412" i="1"/>
  <c r="D411" i="1"/>
  <c r="C411" i="1"/>
  <c r="D410" i="1"/>
  <c r="C410" i="1"/>
  <c r="D200" i="3" l="1"/>
  <c r="D199" i="3"/>
  <c r="D181" i="3"/>
  <c r="D180" i="3"/>
  <c r="D179" i="3"/>
  <c r="D178" i="3"/>
  <c r="D177" i="3"/>
  <c r="D176" i="3"/>
  <c r="D167" i="3"/>
  <c r="D168" i="3"/>
  <c r="D169" i="3"/>
  <c r="D166" i="3"/>
  <c r="D159" i="3"/>
  <c r="D158" i="3"/>
  <c r="D157" i="3"/>
  <c r="D156" i="3"/>
  <c r="D149" i="3"/>
  <c r="D148" i="3"/>
  <c r="D147" i="3"/>
  <c r="D146" i="3"/>
  <c r="D139" i="3"/>
  <c r="D138" i="3"/>
  <c r="D137" i="3"/>
  <c r="D136" i="3"/>
  <c r="D129" i="3"/>
  <c r="D128" i="3"/>
  <c r="D127" i="3"/>
  <c r="D126" i="3"/>
  <c r="D125" i="3"/>
  <c r="D124" i="3"/>
  <c r="D117" i="3"/>
  <c r="D116" i="3"/>
  <c r="D109" i="3"/>
  <c r="D108" i="3"/>
  <c r="D107" i="3"/>
  <c r="D106" i="3"/>
  <c r="D105" i="3"/>
  <c r="D96" i="3"/>
  <c r="D97" i="3"/>
  <c r="D98" i="3"/>
  <c r="D95" i="3"/>
  <c r="D88" i="3"/>
  <c r="D87" i="3"/>
  <c r="D86" i="3"/>
  <c r="D85" i="3"/>
  <c r="D78" i="3"/>
  <c r="D77" i="3"/>
  <c r="D76" i="3"/>
  <c r="D69" i="3"/>
  <c r="D68" i="3"/>
  <c r="D60" i="3"/>
  <c r="D61" i="3"/>
  <c r="D59" i="3"/>
  <c r="D52" i="3"/>
  <c r="D51" i="3"/>
  <c r="D44" i="3"/>
  <c r="D43" i="3"/>
  <c r="D36" i="3"/>
  <c r="D35" i="3"/>
  <c r="D27" i="3"/>
  <c r="D26" i="3"/>
  <c r="D25" i="3"/>
  <c r="D191" i="3"/>
  <c r="D190" i="3"/>
  <c r="D188" i="3"/>
  <c r="D19" i="3"/>
  <c r="D18" i="3"/>
  <c r="D17" i="3"/>
  <c r="D16" i="3"/>
  <c r="D15" i="3"/>
  <c r="D14" i="3"/>
  <c r="D13" i="3"/>
  <c r="A1500" i="15"/>
  <c r="A1493" i="15"/>
  <c r="A1486" i="15"/>
  <c r="A1479" i="15"/>
  <c r="A1472" i="15"/>
  <c r="A1465" i="15"/>
  <c r="A1456" i="15"/>
  <c r="A1449" i="15"/>
  <c r="A1442" i="15"/>
  <c r="A1435" i="15"/>
  <c r="A1428" i="15"/>
  <c r="A1421" i="15"/>
  <c r="A1414" i="15"/>
  <c r="A1407" i="15"/>
  <c r="A1400" i="15"/>
  <c r="A1391" i="15"/>
  <c r="A1384" i="15"/>
  <c r="A1377" i="15"/>
  <c r="A1370" i="15"/>
  <c r="A1363" i="15"/>
  <c r="A1356" i="15"/>
  <c r="A1349" i="15"/>
  <c r="A1342" i="15" l="1"/>
  <c r="A1335" i="15"/>
  <c r="A1328" i="15"/>
  <c r="A1321" i="15"/>
  <c r="A1314" i="15"/>
  <c r="A1307" i="15"/>
  <c r="A1300" i="15"/>
  <c r="A1293" i="15"/>
  <c r="A1286" i="15"/>
  <c r="A1279" i="15"/>
  <c r="A1272" i="15"/>
  <c r="A1265" i="15"/>
  <c r="A1258" i="15"/>
  <c r="A1251" i="15"/>
  <c r="A1244" i="15"/>
  <c r="A1237" i="15"/>
  <c r="A1230" i="15"/>
  <c r="A1223" i="15"/>
  <c r="A1216" i="15"/>
  <c r="A1209" i="15"/>
  <c r="A1202" i="15"/>
  <c r="A1195" i="15"/>
  <c r="A1188" i="15"/>
  <c r="A1181" i="15"/>
  <c r="A1172" i="15"/>
  <c r="A1165" i="15"/>
  <c r="A1158" i="15"/>
  <c r="A1151" i="15"/>
  <c r="A1144" i="15"/>
  <c r="A1135" i="15"/>
  <c r="A1128" i="15"/>
  <c r="A1121" i="15"/>
  <c r="A1114" i="15"/>
  <c r="A1107" i="15"/>
  <c r="A1100" i="15"/>
  <c r="A1093" i="15"/>
  <c r="A1086" i="15"/>
  <c r="A1079" i="15"/>
  <c r="A1072" i="15"/>
  <c r="A1065" i="15"/>
  <c r="A1058" i="15"/>
  <c r="A1051" i="15"/>
  <c r="A1044" i="15"/>
  <c r="A1037" i="15"/>
  <c r="A1030" i="15"/>
  <c r="A1023" i="15"/>
  <c r="A1016" i="15"/>
  <c r="A1009" i="15"/>
  <c r="A1002" i="15"/>
  <c r="A995" i="15"/>
  <c r="A988" i="15"/>
  <c r="A981" i="15"/>
  <c r="A974" i="15"/>
  <c r="A967" i="15"/>
  <c r="A960" i="15"/>
  <c r="A953" i="15"/>
  <c r="A946" i="15"/>
  <c r="A939" i="15"/>
  <c r="A932" i="15"/>
  <c r="A925" i="15"/>
  <c r="A918" i="15"/>
  <c r="A911" i="15"/>
  <c r="A904" i="15"/>
  <c r="A897" i="15"/>
  <c r="A890" i="15"/>
  <c r="A883" i="15"/>
  <c r="A876" i="15"/>
  <c r="A869" i="15"/>
  <c r="A862" i="15"/>
  <c r="A855" i="15"/>
  <c r="A848" i="15"/>
  <c r="A841" i="15"/>
  <c r="A834" i="15"/>
  <c r="A827" i="15"/>
  <c r="A820" i="15"/>
  <c r="A813" i="15"/>
  <c r="A806" i="15"/>
  <c r="A799" i="15"/>
  <c r="A792" i="15"/>
  <c r="A785" i="15"/>
  <c r="A778" i="15"/>
  <c r="A771" i="15"/>
  <c r="A762" i="15"/>
  <c r="A755" i="15"/>
  <c r="A748" i="15"/>
  <c r="A741" i="15"/>
  <c r="A734" i="15"/>
  <c r="A727" i="15"/>
  <c r="A720" i="15"/>
  <c r="A713" i="15"/>
  <c r="A706" i="15"/>
  <c r="A699" i="15"/>
  <c r="A683" i="15"/>
  <c r="A676" i="15"/>
  <c r="A669" i="15"/>
  <c r="A662" i="15"/>
  <c r="A655" i="15"/>
  <c r="A648" i="15"/>
  <c r="A641" i="15"/>
  <c r="A634" i="15"/>
  <c r="A627" i="15"/>
  <c r="A620" i="15"/>
  <c r="A613" i="15"/>
  <c r="A606" i="15"/>
  <c r="A599" i="15"/>
  <c r="A592" i="15"/>
  <c r="A585" i="15"/>
  <c r="A578" i="15"/>
  <c r="A571" i="15"/>
  <c r="A564" i="15"/>
  <c r="A557" i="15"/>
  <c r="A550" i="15"/>
  <c r="A543" i="15"/>
  <c r="A536" i="15"/>
  <c r="A529" i="15"/>
  <c r="A522" i="15"/>
  <c r="A515" i="15"/>
  <c r="A508" i="15"/>
  <c r="A501" i="15"/>
  <c r="A494" i="15"/>
  <c r="A487" i="15"/>
  <c r="A480" i="15"/>
  <c r="A473" i="15"/>
  <c r="A466" i="15"/>
  <c r="A457" i="15"/>
  <c r="A450" i="15"/>
  <c r="A443" i="15"/>
  <c r="A436" i="15"/>
  <c r="A429" i="15"/>
  <c r="A422" i="15"/>
  <c r="A415" i="15"/>
  <c r="A408" i="15"/>
  <c r="A401" i="15"/>
  <c r="A394" i="15"/>
  <c r="A387" i="15"/>
  <c r="A380" i="15"/>
  <c r="A373" i="15"/>
  <c r="A366" i="15"/>
  <c r="A359" i="15"/>
  <c r="A352" i="15"/>
  <c r="A345" i="15"/>
  <c r="A338" i="15"/>
  <c r="A331" i="15"/>
  <c r="A324" i="15"/>
  <c r="A317" i="15"/>
  <c r="A310" i="15"/>
  <c r="A303" i="15"/>
  <c r="A296" i="15"/>
  <c r="A289" i="15"/>
  <c r="A282" i="15"/>
  <c r="A275" i="15"/>
  <c r="A268" i="15"/>
  <c r="A261" i="15"/>
  <c r="A254" i="15"/>
  <c r="A247" i="15"/>
  <c r="A240" i="15"/>
  <c r="A233" i="15"/>
  <c r="A226" i="15"/>
  <c r="A219" i="15"/>
  <c r="A212" i="15"/>
  <c r="A205" i="15"/>
  <c r="A198" i="15"/>
  <c r="A191" i="15"/>
  <c r="A184" i="15"/>
  <c r="A177" i="15"/>
  <c r="A170" i="15"/>
  <c r="A163" i="15"/>
  <c r="A156" i="15"/>
  <c r="A149" i="15"/>
  <c r="A142" i="15"/>
  <c r="A135" i="15"/>
  <c r="A128" i="15"/>
  <c r="A121" i="15"/>
  <c r="A114" i="15"/>
  <c r="A107" i="15"/>
  <c r="A100" i="15"/>
  <c r="A93" i="15"/>
  <c r="A86" i="15"/>
  <c r="A79" i="15"/>
  <c r="A72" i="15"/>
  <c r="A65" i="15"/>
  <c r="A58" i="15"/>
  <c r="A51" i="15"/>
  <c r="A44" i="15"/>
  <c r="A37" i="15"/>
  <c r="A30" i="15"/>
  <c r="A23" i="15"/>
  <c r="A16" i="15"/>
  <c r="F446" i="1" l="1"/>
  <c r="F445" i="1"/>
  <c r="F437" i="1"/>
  <c r="F436" i="1"/>
  <c r="B44" i="23" l="1"/>
  <c r="B37" i="23"/>
  <c r="A20" i="5"/>
  <c r="A19" i="5"/>
  <c r="F51" i="1"/>
  <c r="F50" i="1"/>
  <c r="F55" i="1"/>
  <c r="B19" i="5" l="1"/>
  <c r="B20" i="5"/>
  <c r="A146" i="1"/>
  <c r="D146" i="1"/>
  <c r="C146" i="1"/>
  <c r="B146" i="1"/>
  <c r="F142" i="1"/>
  <c r="F141" i="1"/>
  <c r="A142" i="1"/>
  <c r="A143" i="1"/>
  <c r="D143" i="1"/>
  <c r="C143" i="1"/>
  <c r="B143" i="1"/>
  <c r="D142" i="1"/>
  <c r="C142" i="1"/>
  <c r="B142" i="1"/>
  <c r="F107" i="1"/>
  <c r="A216" i="1"/>
  <c r="C216" i="1"/>
  <c r="A217" i="1"/>
  <c r="A70" i="1"/>
  <c r="A71" i="1"/>
  <c r="B14" i="1"/>
  <c r="B15" i="1"/>
  <c r="B16" i="1"/>
  <c r="B17" i="1"/>
  <c r="B18" i="1"/>
  <c r="B13" i="1"/>
  <c r="E2298" i="3" l="1"/>
  <c r="E2297" i="3"/>
  <c r="E2296" i="3"/>
  <c r="E2295" i="3"/>
  <c r="E2294" i="3"/>
  <c r="E2292" i="3"/>
  <c r="E2293" i="3"/>
  <c r="D32" i="1"/>
  <c r="F32" i="1"/>
  <c r="A32" i="1"/>
  <c r="C32" i="1"/>
  <c r="B32" i="1"/>
  <c r="F46" i="1"/>
  <c r="F38" i="1"/>
  <c r="F37" i="1"/>
  <c r="F36" i="1"/>
  <c r="F35" i="1"/>
  <c r="A43" i="1"/>
  <c r="B43" i="1"/>
  <c r="A44" i="1"/>
  <c r="B44" i="1"/>
  <c r="A45" i="1"/>
  <c r="B45" i="1"/>
  <c r="A46" i="1"/>
  <c r="B46" i="1"/>
  <c r="A34" i="1"/>
  <c r="C34" i="1"/>
  <c r="A35" i="1"/>
  <c r="B35" i="1"/>
  <c r="A36" i="1"/>
  <c r="B36" i="1"/>
  <c r="A37" i="1"/>
  <c r="B37" i="1"/>
  <c r="A38" i="1"/>
  <c r="B38" i="1"/>
  <c r="A40" i="1"/>
  <c r="C40" i="1"/>
  <c r="A41" i="1"/>
  <c r="B41" i="1"/>
  <c r="A42" i="1"/>
  <c r="B42" i="1"/>
  <c r="D37" i="1" l="1"/>
  <c r="C40" i="23"/>
  <c r="D42" i="1"/>
  <c r="C46" i="23"/>
  <c r="D45" i="1"/>
  <c r="C49" i="23"/>
  <c r="C37" i="1"/>
  <c r="B40" i="23"/>
  <c r="C38" i="1"/>
  <c r="B41" i="23"/>
  <c r="C43" i="1"/>
  <c r="B47" i="23"/>
  <c r="C46" i="1"/>
  <c r="B50" i="23"/>
  <c r="C45" i="1"/>
  <c r="B49" i="23"/>
  <c r="D38" i="1"/>
  <c r="C41" i="23"/>
  <c r="D43" i="1"/>
  <c r="C47" i="23"/>
  <c r="D46" i="1"/>
  <c r="C50" i="23"/>
  <c r="C42" i="1"/>
  <c r="B46" i="23"/>
  <c r="D35" i="1"/>
  <c r="C38" i="23"/>
  <c r="C36" i="1"/>
  <c r="B39" i="23"/>
  <c r="C41" i="1"/>
  <c r="B45" i="23"/>
  <c r="C44" i="1"/>
  <c r="B48" i="23"/>
  <c r="D36" i="1"/>
  <c r="C39" i="23"/>
  <c r="D41" i="1"/>
  <c r="C45" i="23"/>
  <c r="D44" i="1"/>
  <c r="C48" i="23"/>
  <c r="C35" i="1"/>
  <c r="B38" i="23"/>
  <c r="B509" i="23" l="1"/>
  <c r="B498" i="23"/>
  <c r="B493" i="23"/>
  <c r="B492" i="23"/>
  <c r="B462" i="23"/>
  <c r="B250" i="23"/>
  <c r="B239" i="23"/>
  <c r="B232" i="23"/>
  <c r="B231" i="23"/>
  <c r="B165" i="23"/>
  <c r="B122" i="23"/>
  <c r="E471" i="1"/>
  <c r="E470" i="1"/>
  <c r="F471" i="1"/>
  <c r="F470" i="1"/>
  <c r="J2300" i="3" l="1"/>
  <c r="H2299" i="3"/>
  <c r="A77" i="5"/>
  <c r="A76" i="5"/>
  <c r="F466" i="1"/>
  <c r="A464" i="1"/>
  <c r="C464" i="1"/>
  <c r="A465" i="1"/>
  <c r="A466" i="1"/>
  <c r="A463" i="1"/>
  <c r="C463" i="1"/>
  <c r="F2285" i="3"/>
  <c r="F2283" i="3"/>
  <c r="D466" i="1"/>
  <c r="C466" i="1"/>
  <c r="B466" i="1"/>
  <c r="E2286" i="3"/>
  <c r="E2285" i="3"/>
  <c r="E2284" i="3"/>
  <c r="E2283" i="3"/>
  <c r="D465" i="1"/>
  <c r="C465" i="1"/>
  <c r="B465" i="1"/>
  <c r="F455" i="1"/>
  <c r="A455" i="1"/>
  <c r="B455" i="1"/>
  <c r="H2283" i="3" l="1"/>
  <c r="J2283" i="3"/>
  <c r="B76" i="5"/>
  <c r="B77" i="5"/>
  <c r="F2284" i="3"/>
  <c r="D455" i="1"/>
  <c r="C515" i="23"/>
  <c r="C455" i="1"/>
  <c r="B515" i="23"/>
  <c r="A75" i="5"/>
  <c r="F451" i="1"/>
  <c r="A435" i="1"/>
  <c r="C435" i="1"/>
  <c r="A436" i="1"/>
  <c r="B436" i="1"/>
  <c r="A437" i="1"/>
  <c r="B437" i="1"/>
  <c r="A439" i="1"/>
  <c r="C439" i="1"/>
  <c r="A440" i="1"/>
  <c r="B440" i="1"/>
  <c r="A441" i="1"/>
  <c r="B441" i="1"/>
  <c r="A442" i="1"/>
  <c r="B442" i="1"/>
  <c r="A443" i="1"/>
  <c r="B443" i="1"/>
  <c r="A444" i="1"/>
  <c r="B444" i="1"/>
  <c r="A445" i="1"/>
  <c r="B445" i="1"/>
  <c r="A446" i="1"/>
  <c r="B446" i="1"/>
  <c r="A447" i="1"/>
  <c r="B447" i="1"/>
  <c r="A449" i="1"/>
  <c r="C449" i="1"/>
  <c r="A450" i="1"/>
  <c r="A451" i="1"/>
  <c r="C434" i="1"/>
  <c r="A434" i="1"/>
  <c r="B451" i="1"/>
  <c r="B450" i="1"/>
  <c r="C506" i="23"/>
  <c r="B506" i="23"/>
  <c r="C505" i="23"/>
  <c r="B505" i="23"/>
  <c r="C504" i="23"/>
  <c r="B504" i="23"/>
  <c r="C503" i="23"/>
  <c r="B503" i="23"/>
  <c r="C502" i="23"/>
  <c r="B502" i="23"/>
  <c r="C501" i="23"/>
  <c r="B501" i="23"/>
  <c r="C500" i="23"/>
  <c r="B500" i="23"/>
  <c r="J2284" i="3" l="1"/>
  <c r="H2284" i="3"/>
  <c r="B75" i="5"/>
  <c r="C442" i="1"/>
  <c r="C447" i="1"/>
  <c r="C437" i="1"/>
  <c r="B495" i="23"/>
  <c r="C441" i="1"/>
  <c r="C444" i="1"/>
  <c r="C446" i="1"/>
  <c r="C436" i="1"/>
  <c r="B494" i="23"/>
  <c r="D437" i="1"/>
  <c r="C495" i="23"/>
  <c r="D441" i="1"/>
  <c r="D444" i="1"/>
  <c r="D446" i="1"/>
  <c r="C450" i="1"/>
  <c r="B510" i="23"/>
  <c r="C440" i="1"/>
  <c r="B499" i="23"/>
  <c r="D450" i="1"/>
  <c r="C510" i="23"/>
  <c r="C443" i="1"/>
  <c r="D436" i="1"/>
  <c r="C494" i="23"/>
  <c r="D440" i="1"/>
  <c r="C499" i="23"/>
  <c r="D442" i="1"/>
  <c r="D443" i="1"/>
  <c r="D445" i="1"/>
  <c r="D447" i="1"/>
  <c r="D451" i="1"/>
  <c r="C511" i="23"/>
  <c r="C445" i="1"/>
  <c r="C451" i="1"/>
  <c r="B511" i="23"/>
  <c r="F2251" i="3"/>
  <c r="F2273" i="3"/>
  <c r="F2262" i="3"/>
  <c r="E2276" i="3"/>
  <c r="E2275" i="3"/>
  <c r="E2274" i="3"/>
  <c r="E2273" i="3"/>
  <c r="F2272" i="3"/>
  <c r="E2272" i="3"/>
  <c r="E2271" i="3"/>
  <c r="E2265" i="3"/>
  <c r="E2264" i="3"/>
  <c r="E2263" i="3"/>
  <c r="E2262" i="3"/>
  <c r="F2261" i="3"/>
  <c r="E2261" i="3"/>
  <c r="E2260" i="3"/>
  <c r="J2272" i="3" l="1"/>
  <c r="H2272" i="3"/>
  <c r="J2261" i="3"/>
  <c r="H2261" i="3"/>
  <c r="F2263" i="3"/>
  <c r="F2274" i="3"/>
  <c r="J2274" i="3" l="1"/>
  <c r="J2278" i="3" s="1"/>
  <c r="H2274" i="3"/>
  <c r="H2277" i="3" s="1"/>
  <c r="H2263" i="3"/>
  <c r="H2266" i="3" s="1"/>
  <c r="J2263" i="3"/>
  <c r="J2267" i="3" s="1"/>
  <c r="E2254" i="3"/>
  <c r="E2253" i="3"/>
  <c r="E2252" i="3"/>
  <c r="F2252" i="3"/>
  <c r="E2251" i="3"/>
  <c r="F2250" i="3"/>
  <c r="E2250" i="3"/>
  <c r="E2249" i="3"/>
  <c r="F2239" i="3"/>
  <c r="E2242" i="3"/>
  <c r="E2241" i="3"/>
  <c r="E2240" i="3"/>
  <c r="E2239" i="3"/>
  <c r="E2238" i="3"/>
  <c r="F2238" i="3"/>
  <c r="E2237" i="3"/>
  <c r="H2250" i="3" l="1"/>
  <c r="J2250" i="3"/>
  <c r="J2238" i="3"/>
  <c r="H2238" i="3"/>
  <c r="H2252" i="3"/>
  <c r="J2252" i="3"/>
  <c r="F2240" i="3"/>
  <c r="E457" i="15"/>
  <c r="J2240" i="3" l="1"/>
  <c r="H2240" i="3"/>
  <c r="J2256" i="3"/>
  <c r="H2255" i="3"/>
  <c r="B217" i="1"/>
  <c r="E2230" i="3"/>
  <c r="E2223" i="3"/>
  <c r="E2222" i="3"/>
  <c r="E2221" i="3"/>
  <c r="E2220" i="3"/>
  <c r="C251" i="23" l="1"/>
  <c r="D217" i="1"/>
  <c r="B251" i="23"/>
  <c r="C217" i="1"/>
  <c r="J2244" i="3"/>
  <c r="H2243" i="3"/>
  <c r="H2224" i="3"/>
  <c r="J2225" i="3"/>
  <c r="C451" i="23"/>
  <c r="F400" i="1"/>
  <c r="D400" i="1"/>
  <c r="A400" i="1"/>
  <c r="B451" i="23"/>
  <c r="F214" i="1"/>
  <c r="F213" i="1"/>
  <c r="F204" i="1"/>
  <c r="F203" i="1"/>
  <c r="F202" i="1"/>
  <c r="F201" i="1"/>
  <c r="A199" i="1"/>
  <c r="C199" i="1"/>
  <c r="A200" i="1"/>
  <c r="C200" i="1"/>
  <c r="A201" i="1"/>
  <c r="B201" i="1"/>
  <c r="A202" i="1"/>
  <c r="B202" i="1"/>
  <c r="A203" i="1"/>
  <c r="B203" i="1"/>
  <c r="A204" i="1"/>
  <c r="B204" i="1"/>
  <c r="A206" i="1"/>
  <c r="C206" i="1"/>
  <c r="A207" i="1"/>
  <c r="B207" i="1"/>
  <c r="A208" i="1"/>
  <c r="B208" i="1"/>
  <c r="A209" i="1"/>
  <c r="B209" i="1"/>
  <c r="A210" i="1"/>
  <c r="B210" i="1"/>
  <c r="A211" i="1"/>
  <c r="B211" i="1"/>
  <c r="A212" i="1"/>
  <c r="B212" i="1"/>
  <c r="A213" i="1"/>
  <c r="B213" i="1"/>
  <c r="A214" i="1"/>
  <c r="B214" i="1"/>
  <c r="E1500" i="15"/>
  <c r="B400" i="1"/>
  <c r="D203" i="1" l="1"/>
  <c r="C235" i="23"/>
  <c r="D209" i="1"/>
  <c r="C242" i="23"/>
  <c r="C208" i="1"/>
  <c r="B241" i="23"/>
  <c r="C210" i="1"/>
  <c r="B243" i="23"/>
  <c r="C212" i="1"/>
  <c r="B245" i="23"/>
  <c r="C214" i="1"/>
  <c r="B247" i="23"/>
  <c r="C202" i="1"/>
  <c r="B234" i="23"/>
  <c r="C204" i="1"/>
  <c r="B236" i="23"/>
  <c r="D211" i="1"/>
  <c r="C244" i="23"/>
  <c r="D208" i="1"/>
  <c r="C241" i="23"/>
  <c r="D210" i="1"/>
  <c r="C243" i="23"/>
  <c r="D212" i="1"/>
  <c r="C245" i="23"/>
  <c r="D214" i="1"/>
  <c r="C247" i="23"/>
  <c r="D202" i="1"/>
  <c r="C234" i="23"/>
  <c r="D204" i="1"/>
  <c r="C236" i="23"/>
  <c r="D201" i="1"/>
  <c r="C233" i="23"/>
  <c r="D213" i="1"/>
  <c r="C246" i="23"/>
  <c r="D207" i="1"/>
  <c r="C240" i="23"/>
  <c r="C207" i="1"/>
  <c r="B240" i="23"/>
  <c r="C209" i="1"/>
  <c r="B242" i="23"/>
  <c r="C211" i="1"/>
  <c r="B244" i="23"/>
  <c r="C213" i="1"/>
  <c r="B246" i="23"/>
  <c r="C201" i="1"/>
  <c r="B233" i="23"/>
  <c r="C203" i="1"/>
  <c r="B235" i="23"/>
  <c r="C400" i="1"/>
  <c r="E2213" i="3"/>
  <c r="E2212" i="3"/>
  <c r="E2211" i="3"/>
  <c r="E2210" i="3"/>
  <c r="E2209" i="3"/>
  <c r="E2208" i="3"/>
  <c r="E2207" i="3"/>
  <c r="F233" i="1" l="1"/>
  <c r="A233" i="1"/>
  <c r="B233" i="1"/>
  <c r="F232" i="1"/>
  <c r="A232" i="1"/>
  <c r="B232" i="1"/>
  <c r="F229" i="1"/>
  <c r="F224" i="1"/>
  <c r="F226" i="1"/>
  <c r="F222" i="1"/>
  <c r="C233" i="1" l="1"/>
  <c r="B270" i="23"/>
  <c r="C232" i="1"/>
  <c r="B269" i="23"/>
  <c r="D232" i="1"/>
  <c r="C269" i="23"/>
  <c r="D233" i="1"/>
  <c r="C270" i="23"/>
  <c r="H2214" i="3" l="1"/>
  <c r="J2215" i="3"/>
  <c r="F374" i="1"/>
  <c r="A374" i="1"/>
  <c r="B374" i="1"/>
  <c r="F362" i="1"/>
  <c r="F373" i="1"/>
  <c r="A373" i="1"/>
  <c r="B373" i="1"/>
  <c r="F372" i="1"/>
  <c r="A372" i="1"/>
  <c r="B372" i="1"/>
  <c r="F371" i="1"/>
  <c r="A371" i="1"/>
  <c r="B371" i="1"/>
  <c r="F370" i="1"/>
  <c r="A370" i="1"/>
  <c r="B370" i="1"/>
  <c r="F369" i="1"/>
  <c r="A369" i="1"/>
  <c r="B369" i="1"/>
  <c r="F361" i="1"/>
  <c r="F368" i="1"/>
  <c r="A368" i="1"/>
  <c r="B368" i="1"/>
  <c r="F363" i="1"/>
  <c r="F367" i="1"/>
  <c r="A367" i="1"/>
  <c r="B367" i="1"/>
  <c r="D372" i="1" l="1"/>
  <c r="C418" i="23"/>
  <c r="C373" i="1"/>
  <c r="B419" i="23"/>
  <c r="D367" i="1"/>
  <c r="C413" i="23"/>
  <c r="D373" i="1"/>
  <c r="C419" i="23"/>
  <c r="D371" i="1"/>
  <c r="C417" i="23"/>
  <c r="C372" i="1"/>
  <c r="B418" i="23"/>
  <c r="D370" i="1"/>
  <c r="C416" i="23"/>
  <c r="C371" i="1"/>
  <c r="B417" i="23"/>
  <c r="D369" i="1"/>
  <c r="C415" i="23"/>
  <c r="D368" i="1"/>
  <c r="C414" i="23"/>
  <c r="C370" i="1"/>
  <c r="B416" i="23"/>
  <c r="C368" i="1"/>
  <c r="B414" i="23"/>
  <c r="C374" i="1"/>
  <c r="B420" i="23"/>
  <c r="C367" i="1"/>
  <c r="B413" i="23"/>
  <c r="C369" i="1"/>
  <c r="B415" i="23"/>
  <c r="D374" i="1"/>
  <c r="C420" i="23"/>
  <c r="F231" i="1" l="1"/>
  <c r="A231" i="1"/>
  <c r="B231" i="1"/>
  <c r="E683" i="15"/>
  <c r="C231" i="1" l="1"/>
  <c r="B268" i="23"/>
  <c r="D231" i="1"/>
  <c r="C268" i="23"/>
  <c r="AE591" i="23" l="1"/>
  <c r="AE587" i="23"/>
  <c r="AE586" i="23"/>
  <c r="AE23" i="23"/>
  <c r="AE19" i="23"/>
  <c r="AE18" i="23"/>
  <c r="AE17" i="23"/>
  <c r="AE16" i="23"/>
  <c r="AE15" i="23"/>
  <c r="AE14" i="23"/>
  <c r="AE13" i="23"/>
  <c r="A354" i="1"/>
  <c r="B354" i="1"/>
  <c r="A355" i="1"/>
  <c r="B355" i="1"/>
  <c r="B352" i="1"/>
  <c r="A333" i="1"/>
  <c r="B333" i="1"/>
  <c r="A334" i="1"/>
  <c r="B334" i="1"/>
  <c r="D334" i="1"/>
  <c r="C334" i="1"/>
  <c r="D333" i="1"/>
  <c r="C333" i="1"/>
  <c r="A330" i="1"/>
  <c r="B330" i="1"/>
  <c r="A331" i="1"/>
  <c r="B331" i="1"/>
  <c r="D330" i="1"/>
  <c r="C330" i="1"/>
  <c r="D331" i="1"/>
  <c r="C331" i="1"/>
  <c r="C354" i="1" l="1"/>
  <c r="B399" i="23"/>
  <c r="D354" i="1"/>
  <c r="C399" i="23"/>
  <c r="C355" i="1"/>
  <c r="B400" i="23"/>
  <c r="D355" i="1"/>
  <c r="C400" i="23"/>
  <c r="A182" i="1"/>
  <c r="A184" i="1"/>
  <c r="B184" i="1"/>
  <c r="B182" i="1"/>
  <c r="F180" i="1"/>
  <c r="E2198" i="3"/>
  <c r="E2197" i="3"/>
  <c r="E2196" i="3"/>
  <c r="E2195" i="3"/>
  <c r="E2199" i="3"/>
  <c r="E2200" i="3"/>
  <c r="F2198" i="3" l="1"/>
  <c r="C182" i="1"/>
  <c r="B212" i="23"/>
  <c r="D182" i="1"/>
  <c r="C212" i="23"/>
  <c r="D184" i="1"/>
  <c r="C214" i="23"/>
  <c r="C184" i="1"/>
  <c r="B214" i="23"/>
  <c r="F2196" i="3"/>
  <c r="F2197" i="3"/>
  <c r="F228" i="1"/>
  <c r="F227" i="1"/>
  <c r="F197" i="1"/>
  <c r="F196" i="1"/>
  <c r="F150" i="1"/>
  <c r="F168" i="1"/>
  <c r="F165" i="1"/>
  <c r="F166" i="1"/>
  <c r="F167" i="1"/>
  <c r="F187" i="1"/>
  <c r="F190" i="1"/>
  <c r="F189" i="1"/>
  <c r="F188" i="1"/>
  <c r="F194" i="1"/>
  <c r="F195" i="1"/>
  <c r="F193" i="1"/>
  <c r="F192" i="1"/>
  <c r="F191" i="1"/>
  <c r="F365" i="1"/>
  <c r="F366" i="1"/>
  <c r="A366" i="1"/>
  <c r="B366" i="1"/>
  <c r="F230" i="1"/>
  <c r="A230" i="1"/>
  <c r="B230" i="1"/>
  <c r="H2197" i="3" l="1"/>
  <c r="J2197" i="3"/>
  <c r="H2196" i="3"/>
  <c r="J2196" i="3"/>
  <c r="H2198" i="3"/>
  <c r="J2198" i="3"/>
  <c r="D230" i="1"/>
  <c r="C267" i="23"/>
  <c r="C230" i="1"/>
  <c r="B267" i="23"/>
  <c r="C366" i="1"/>
  <c r="B412" i="23"/>
  <c r="D366" i="1"/>
  <c r="C412" i="23"/>
  <c r="F379" i="1"/>
  <c r="J2202" i="3" l="1"/>
  <c r="H2201" i="3"/>
  <c r="F525" i="1"/>
  <c r="F364" i="1" l="1"/>
  <c r="F359" i="1"/>
  <c r="F358" i="1"/>
  <c r="F360" i="1"/>
  <c r="F225" i="1"/>
  <c r="F223" i="1"/>
  <c r="F153" i="1"/>
  <c r="F152" i="1"/>
  <c r="F151" i="1"/>
  <c r="F419" i="1" l="1"/>
  <c r="E551" i="1"/>
  <c r="A544" i="1"/>
  <c r="B544" i="1"/>
  <c r="E535" i="1"/>
  <c r="E534" i="1"/>
  <c r="A531" i="1"/>
  <c r="B531" i="1"/>
  <c r="D531" i="1"/>
  <c r="C531" i="1"/>
  <c r="E515" i="1"/>
  <c r="E391" i="1"/>
  <c r="A387" i="1"/>
  <c r="B387" i="1"/>
  <c r="F384" i="1"/>
  <c r="D544" i="1" l="1"/>
  <c r="C621" i="23"/>
  <c r="C544" i="1"/>
  <c r="B621" i="23"/>
  <c r="A345" i="1"/>
  <c r="A342" i="1"/>
  <c r="B342" i="1"/>
  <c r="A343" i="1"/>
  <c r="B343" i="1"/>
  <c r="A344" i="1"/>
  <c r="B344" i="1"/>
  <c r="B345" i="1"/>
  <c r="A341" i="1"/>
  <c r="B341" i="1"/>
  <c r="B338" i="1"/>
  <c r="B339" i="1"/>
  <c r="B340" i="1"/>
  <c r="A332" i="1"/>
  <c r="A335" i="1"/>
  <c r="A336" i="1"/>
  <c r="A337" i="1"/>
  <c r="A338" i="1"/>
  <c r="A339" i="1"/>
  <c r="A340" i="1"/>
  <c r="A350" i="1"/>
  <c r="B350" i="1"/>
  <c r="D350" i="1"/>
  <c r="C350" i="1"/>
  <c r="D344" i="1" l="1"/>
  <c r="C387" i="23"/>
  <c r="D341" i="1"/>
  <c r="C384" i="23"/>
  <c r="C343" i="1"/>
  <c r="B386" i="23"/>
  <c r="C344" i="1"/>
  <c r="B387" i="23"/>
  <c r="D339" i="1"/>
  <c r="C382" i="23"/>
  <c r="C338" i="1"/>
  <c r="B381" i="23"/>
  <c r="C340" i="1"/>
  <c r="B383" i="23"/>
  <c r="D340" i="1"/>
  <c r="C383" i="23"/>
  <c r="C345" i="1"/>
  <c r="B388" i="23"/>
  <c r="C341" i="1"/>
  <c r="B384" i="23"/>
  <c r="D338" i="1"/>
  <c r="C381" i="23"/>
  <c r="D342" i="1"/>
  <c r="C385" i="23"/>
  <c r="D345" i="1"/>
  <c r="C388" i="23"/>
  <c r="D343" i="1"/>
  <c r="C386" i="23"/>
  <c r="C342" i="1"/>
  <c r="B385" i="23"/>
  <c r="C339" i="1"/>
  <c r="B382" i="23"/>
  <c r="B378" i="1"/>
  <c r="A380" i="1"/>
  <c r="B380" i="1"/>
  <c r="A381" i="1"/>
  <c r="B381" i="1"/>
  <c r="A379" i="1"/>
  <c r="F503" i="1"/>
  <c r="F502" i="1"/>
  <c r="A503" i="1"/>
  <c r="A504" i="1"/>
  <c r="A505" i="1"/>
  <c r="B504" i="1"/>
  <c r="B505" i="1"/>
  <c r="C381" i="1" l="1"/>
  <c r="B428" i="23"/>
  <c r="D381" i="1"/>
  <c r="C428" i="23"/>
  <c r="D380" i="1"/>
  <c r="C427" i="23"/>
  <c r="C380" i="1"/>
  <c r="B427" i="23"/>
  <c r="B519" i="1"/>
  <c r="C518" i="1"/>
  <c r="F508" i="1"/>
  <c r="F396" i="1"/>
  <c r="F395" i="1"/>
  <c r="F399" i="1"/>
  <c r="C504" i="1" l="1"/>
  <c r="B574" i="23"/>
  <c r="D504" i="1"/>
  <c r="C574" i="23"/>
  <c r="C505" i="1"/>
  <c r="B575" i="23"/>
  <c r="D505" i="1"/>
  <c r="C575" i="23"/>
  <c r="C387" i="1"/>
  <c r="B435" i="23"/>
  <c r="D387" i="1"/>
  <c r="C435" i="23"/>
  <c r="F138" i="1"/>
  <c r="A138" i="1"/>
  <c r="B138" i="1"/>
  <c r="F137" i="1"/>
  <c r="A137" i="1"/>
  <c r="B137" i="1"/>
  <c r="F136" i="1"/>
  <c r="A136" i="1"/>
  <c r="B136" i="1"/>
  <c r="E2189" i="3"/>
  <c r="E2188" i="3"/>
  <c r="E2187" i="3"/>
  <c r="E2186" i="3"/>
  <c r="F135" i="1"/>
  <c r="A135" i="1"/>
  <c r="B135" i="1"/>
  <c r="F134" i="1"/>
  <c r="C140" i="1"/>
  <c r="A140" i="1"/>
  <c r="F103" i="1"/>
  <c r="A103" i="1"/>
  <c r="B103" i="1"/>
  <c r="F102" i="1"/>
  <c r="A102" i="1"/>
  <c r="B102" i="1"/>
  <c r="F131" i="1"/>
  <c r="F130" i="1"/>
  <c r="F129" i="1"/>
  <c r="F126" i="1"/>
  <c r="A32" i="5"/>
  <c r="A26" i="5"/>
  <c r="F101" i="1"/>
  <c r="A101" i="1"/>
  <c r="B101" i="1"/>
  <c r="F100" i="1"/>
  <c r="A100" i="1"/>
  <c r="B115" i="23"/>
  <c r="C115" i="23"/>
  <c r="F99" i="1"/>
  <c r="A99" i="1"/>
  <c r="F98" i="1"/>
  <c r="A98" i="1"/>
  <c r="B98" i="1"/>
  <c r="F2176" i="3"/>
  <c r="E2178" i="3"/>
  <c r="E2177" i="3"/>
  <c r="E2176" i="3"/>
  <c r="E2175" i="3"/>
  <c r="F97" i="1"/>
  <c r="A97" i="1"/>
  <c r="B97" i="1"/>
  <c r="F96" i="1"/>
  <c r="F95" i="1"/>
  <c r="C105" i="1"/>
  <c r="A105" i="1"/>
  <c r="A96" i="1"/>
  <c r="A95" i="1"/>
  <c r="B95" i="1"/>
  <c r="F92" i="1"/>
  <c r="B26" i="5" l="1"/>
  <c r="B32" i="5"/>
  <c r="J2180" i="3"/>
  <c r="H2179" i="3"/>
  <c r="D100" i="1"/>
  <c r="C116" i="23"/>
  <c r="D103" i="1"/>
  <c r="C119" i="23"/>
  <c r="C126" i="23"/>
  <c r="C136" i="1"/>
  <c r="B160" i="23"/>
  <c r="D136" i="1"/>
  <c r="C160" i="23"/>
  <c r="C138" i="1"/>
  <c r="B162" i="23"/>
  <c r="C101" i="1"/>
  <c r="B117" i="23"/>
  <c r="C102" i="1"/>
  <c r="B118" i="23"/>
  <c r="D138" i="1"/>
  <c r="C162" i="23"/>
  <c r="D101" i="1"/>
  <c r="C117" i="23"/>
  <c r="D102" i="1"/>
  <c r="C118" i="23"/>
  <c r="C135" i="1"/>
  <c r="B159" i="23"/>
  <c r="C95" i="1"/>
  <c r="B111" i="23"/>
  <c r="D98" i="1"/>
  <c r="C114" i="23"/>
  <c r="C137" i="1"/>
  <c r="B161" i="23"/>
  <c r="C98" i="1"/>
  <c r="B114" i="23"/>
  <c r="D135" i="1"/>
  <c r="C159" i="23"/>
  <c r="D95" i="1"/>
  <c r="C111" i="23"/>
  <c r="C97" i="1"/>
  <c r="B113" i="23"/>
  <c r="D97" i="1"/>
  <c r="C113" i="23"/>
  <c r="C100" i="1"/>
  <c r="B116" i="23"/>
  <c r="C103" i="1"/>
  <c r="B119" i="23"/>
  <c r="B126" i="23"/>
  <c r="D137" i="1"/>
  <c r="C161" i="23"/>
  <c r="B100" i="1"/>
  <c r="C99" i="1"/>
  <c r="B99" i="1"/>
  <c r="D99" i="1"/>
  <c r="F66" i="1" l="1"/>
  <c r="A66" i="1"/>
  <c r="B66" i="1"/>
  <c r="E2168" i="3"/>
  <c r="E2167" i="3"/>
  <c r="E2166" i="3"/>
  <c r="E2165" i="3"/>
  <c r="F2164" i="3"/>
  <c r="E2164" i="3"/>
  <c r="E2163" i="3"/>
  <c r="F65" i="1"/>
  <c r="A65" i="1"/>
  <c r="B65" i="1"/>
  <c r="F2152" i="3"/>
  <c r="E2156" i="3"/>
  <c r="E2151" i="3"/>
  <c r="E2155" i="3"/>
  <c r="E2154" i="3"/>
  <c r="E2153" i="3"/>
  <c r="E2152" i="3"/>
  <c r="J2170" i="3" l="1"/>
  <c r="H2169" i="3"/>
  <c r="J2158" i="3"/>
  <c r="H2157" i="3"/>
  <c r="C66" i="1"/>
  <c r="B74" i="23"/>
  <c r="D66" i="1"/>
  <c r="C74" i="23"/>
  <c r="C65" i="1"/>
  <c r="B73" i="23"/>
  <c r="D65" i="1"/>
  <c r="C73" i="23"/>
  <c r="F404" i="1"/>
  <c r="F405" i="1" s="1"/>
  <c r="F409" i="1"/>
  <c r="E405" i="1"/>
  <c r="F122" i="1" l="1"/>
  <c r="F121" i="1"/>
  <c r="F125" i="1"/>
  <c r="F120" i="1"/>
  <c r="F64" i="1"/>
  <c r="F85" i="1"/>
  <c r="F91" i="1"/>
  <c r="F86" i="1"/>
  <c r="F87" i="1"/>
  <c r="F88" i="1"/>
  <c r="A88" i="1"/>
  <c r="B88" i="1"/>
  <c r="C88" i="1" l="1"/>
  <c r="B102" i="23"/>
  <c r="D88" i="1"/>
  <c r="C102" i="23"/>
  <c r="F27" i="1"/>
  <c r="F52" i="1"/>
  <c r="F61" i="1"/>
  <c r="A61" i="1"/>
  <c r="B61" i="1"/>
  <c r="A31" i="1"/>
  <c r="B31" i="1"/>
  <c r="D31" i="1"/>
  <c r="C31" i="1"/>
  <c r="F80" i="1"/>
  <c r="A81" i="1"/>
  <c r="A80" i="1"/>
  <c r="A79" i="1"/>
  <c r="C78" i="1"/>
  <c r="A78" i="1"/>
  <c r="B81" i="1"/>
  <c r="B80" i="1"/>
  <c r="B79" i="1"/>
  <c r="E60" i="1"/>
  <c r="E59" i="1"/>
  <c r="F58" i="1"/>
  <c r="F60" i="1" s="1"/>
  <c r="E49" i="1"/>
  <c r="F49" i="1"/>
  <c r="E52" i="1"/>
  <c r="F30" i="1"/>
  <c r="A49" i="1"/>
  <c r="B49" i="1"/>
  <c r="F29" i="1"/>
  <c r="A29" i="1"/>
  <c r="B29" i="1"/>
  <c r="C29" i="1"/>
  <c r="D29" i="1"/>
  <c r="C79" i="1" l="1"/>
  <c r="B89" i="23"/>
  <c r="D79" i="1"/>
  <c r="C89" i="23"/>
  <c r="C80" i="1"/>
  <c r="B90" i="23"/>
  <c r="C61" i="1"/>
  <c r="B68" i="23"/>
  <c r="D80" i="1"/>
  <c r="C90" i="23"/>
  <c r="D61" i="1"/>
  <c r="C68" i="23"/>
  <c r="C81" i="1"/>
  <c r="B91" i="23"/>
  <c r="D81" i="1"/>
  <c r="C91" i="23"/>
  <c r="F59" i="1"/>
  <c r="A508" i="1"/>
  <c r="B508" i="1"/>
  <c r="A509" i="1"/>
  <c r="B509" i="1"/>
  <c r="A510" i="1"/>
  <c r="B510" i="1"/>
  <c r="A511" i="1"/>
  <c r="B511" i="1"/>
  <c r="A512" i="1"/>
  <c r="B512" i="1"/>
  <c r="A513" i="1"/>
  <c r="B513" i="1"/>
  <c r="A514" i="1"/>
  <c r="B514" i="1"/>
  <c r="A515" i="1"/>
  <c r="B515" i="1"/>
  <c r="A516" i="1"/>
  <c r="B516" i="1"/>
  <c r="A122" i="1"/>
  <c r="B122" i="1"/>
  <c r="B166" i="23"/>
  <c r="C166" i="23"/>
  <c r="C122" i="1" l="1"/>
  <c r="B143" i="23"/>
  <c r="D122" i="1"/>
  <c r="C143" i="23"/>
  <c r="B50" i="1"/>
  <c r="E2140" i="3" l="1"/>
  <c r="E2141" i="3"/>
  <c r="E2142" i="3"/>
  <c r="E2143" i="3"/>
  <c r="E2139" i="3"/>
  <c r="E2138" i="3"/>
  <c r="E2135" i="3"/>
  <c r="E2134" i="3"/>
  <c r="E2133" i="3"/>
  <c r="H2145" i="3" l="1"/>
  <c r="J2146" i="3"/>
  <c r="B283" i="23"/>
  <c r="B292" i="23"/>
  <c r="B273" i="23"/>
  <c r="A51" i="5"/>
  <c r="A105" i="19" l="1"/>
  <c r="B51" i="5"/>
  <c r="B105" i="19" s="1"/>
  <c r="B263" i="1" l="1"/>
  <c r="B264" i="1"/>
  <c r="B265" i="1"/>
  <c r="B266" i="1"/>
  <c r="B267" i="1"/>
  <c r="B268" i="1"/>
  <c r="B269" i="1"/>
  <c r="B270" i="1"/>
  <c r="B271" i="1"/>
  <c r="B272" i="1"/>
  <c r="B273" i="1"/>
  <c r="B275" i="1"/>
  <c r="B276" i="1"/>
  <c r="B277" i="1"/>
  <c r="B278" i="1"/>
  <c r="B279" i="1"/>
  <c r="B281" i="1"/>
  <c r="B282" i="1"/>
  <c r="B284" i="1"/>
  <c r="B285" i="1"/>
  <c r="B286" i="1"/>
  <c r="B287" i="1"/>
  <c r="B283" i="1"/>
  <c r="B274" i="1"/>
  <c r="C302" i="23"/>
  <c r="C304" i="23"/>
  <c r="C306" i="23"/>
  <c r="C308" i="23"/>
  <c r="C310" i="23"/>
  <c r="C311" i="23"/>
  <c r="C322" i="23"/>
  <c r="C324" i="23"/>
  <c r="D273" i="1" l="1"/>
  <c r="D283" i="1"/>
  <c r="C321" i="23"/>
  <c r="D284" i="1"/>
  <c r="D264" i="1"/>
  <c r="C283" i="1"/>
  <c r="B321" i="23"/>
  <c r="D282" i="1"/>
  <c r="C320" i="23"/>
  <c r="C318" i="23"/>
  <c r="D278" i="1"/>
  <c r="C316" i="23"/>
  <c r="D276" i="1"/>
  <c r="C314" i="23"/>
  <c r="D270" i="1"/>
  <c r="C286" i="1"/>
  <c r="B324" i="23"/>
  <c r="C284" i="1"/>
  <c r="B322" i="23"/>
  <c r="C282" i="1"/>
  <c r="B320" i="23"/>
  <c r="B318" i="23"/>
  <c r="C278" i="1"/>
  <c r="B316" i="23"/>
  <c r="C276" i="1"/>
  <c r="B314" i="23"/>
  <c r="C273" i="1"/>
  <c r="B311" i="23"/>
  <c r="C272" i="1"/>
  <c r="B310" i="23"/>
  <c r="C270" i="1"/>
  <c r="B308" i="23"/>
  <c r="C268" i="1"/>
  <c r="B306" i="23"/>
  <c r="C266" i="1"/>
  <c r="B304" i="23"/>
  <c r="C264" i="1"/>
  <c r="B302" i="23"/>
  <c r="C274" i="1"/>
  <c r="B312" i="23"/>
  <c r="D274" i="1"/>
  <c r="C312" i="23"/>
  <c r="D286" i="1"/>
  <c r="D266" i="1"/>
  <c r="D272" i="1"/>
  <c r="D287" i="1"/>
  <c r="C325" i="23"/>
  <c r="D285" i="1"/>
  <c r="C323" i="23"/>
  <c r="D281" i="1"/>
  <c r="C319" i="23"/>
  <c r="D279" i="1"/>
  <c r="C317" i="23"/>
  <c r="D277" i="1"/>
  <c r="C315" i="23"/>
  <c r="D275" i="1"/>
  <c r="C313" i="23"/>
  <c r="D271" i="1"/>
  <c r="C309" i="23"/>
  <c r="D269" i="1"/>
  <c r="C307" i="23"/>
  <c r="D267" i="1"/>
  <c r="C305" i="23"/>
  <c r="D265" i="1"/>
  <c r="C303" i="23"/>
  <c r="D263" i="1"/>
  <c r="C301" i="23"/>
  <c r="C287" i="1"/>
  <c r="B325" i="23"/>
  <c r="C285" i="1"/>
  <c r="B323" i="23"/>
  <c r="C281" i="1"/>
  <c r="B319" i="23"/>
  <c r="C279" i="1"/>
  <c r="B317" i="23"/>
  <c r="C277" i="1"/>
  <c r="B315" i="23"/>
  <c r="C275" i="1"/>
  <c r="B313" i="23"/>
  <c r="C271" i="1"/>
  <c r="B309" i="23"/>
  <c r="C269" i="1"/>
  <c r="B307" i="23"/>
  <c r="C267" i="1"/>
  <c r="B305" i="23"/>
  <c r="C265" i="1"/>
  <c r="B303" i="23"/>
  <c r="C263" i="1"/>
  <c r="B301" i="23"/>
  <c r="D268" i="1"/>
  <c r="B104" i="19"/>
  <c r="A104" i="19"/>
  <c r="E1135" i="15"/>
  <c r="E1128" i="15"/>
  <c r="E1121" i="15"/>
  <c r="E1114" i="15"/>
  <c r="E1107" i="15"/>
  <c r="E1100" i="15"/>
  <c r="E1093" i="15"/>
  <c r="E1086" i="15"/>
  <c r="E1079" i="15"/>
  <c r="M473" i="23" l="1"/>
  <c r="E1072" i="15" l="1"/>
  <c r="E1065" i="15"/>
  <c r="E1058" i="15"/>
  <c r="E1051" i="15"/>
  <c r="E1044" i="15"/>
  <c r="E1037" i="15"/>
  <c r="AA473" i="23" l="1"/>
  <c r="A419" i="1" l="1"/>
  <c r="B419" i="1"/>
  <c r="C419" i="1" l="1"/>
  <c r="B473" i="23"/>
  <c r="D419" i="1"/>
  <c r="C473" i="23"/>
  <c r="B256" i="1"/>
  <c r="B261" i="1"/>
  <c r="B255" i="1"/>
  <c r="A255" i="1"/>
  <c r="C254" i="1"/>
  <c r="C245" i="1"/>
  <c r="B246" i="1"/>
  <c r="B247" i="1"/>
  <c r="C297" i="23" l="1"/>
  <c r="C295" i="23"/>
  <c r="C298" i="23"/>
  <c r="B297" i="23"/>
  <c r="B295" i="23"/>
  <c r="B298" i="23"/>
  <c r="C255" i="1"/>
  <c r="B293" i="23"/>
  <c r="D255" i="1"/>
  <c r="C293" i="23"/>
  <c r="C296" i="23"/>
  <c r="D256" i="1"/>
  <c r="C294" i="23"/>
  <c r="C300" i="23"/>
  <c r="D261" i="1"/>
  <c r="C299" i="23"/>
  <c r="B296" i="23"/>
  <c r="C256" i="1"/>
  <c r="B294" i="23"/>
  <c r="B300" i="23"/>
  <c r="C261" i="1"/>
  <c r="B299" i="23"/>
  <c r="A235" i="1"/>
  <c r="C235" i="1"/>
  <c r="A236" i="1"/>
  <c r="B236" i="1"/>
  <c r="B237" i="1"/>
  <c r="B238" i="1"/>
  <c r="B239" i="1"/>
  <c r="D248" i="1" l="1"/>
  <c r="C286" i="23"/>
  <c r="D237" i="1"/>
  <c r="C275" i="23"/>
  <c r="C248" i="1"/>
  <c r="B286" i="23"/>
  <c r="D246" i="1"/>
  <c r="C284" i="23"/>
  <c r="C246" i="1"/>
  <c r="B284" i="23"/>
  <c r="C237" i="1"/>
  <c r="B275" i="23"/>
  <c r="C236" i="1"/>
  <c r="B274" i="23"/>
  <c r="D247" i="1"/>
  <c r="C285" i="23"/>
  <c r="C238" i="1"/>
  <c r="B276" i="23"/>
  <c r="D236" i="1"/>
  <c r="C274" i="23"/>
  <c r="D238" i="1"/>
  <c r="C276" i="23"/>
  <c r="C247" i="1"/>
  <c r="B285" i="23"/>
  <c r="D239" i="1"/>
  <c r="C277" i="23"/>
  <c r="C239" i="1"/>
  <c r="B277" i="23"/>
  <c r="B159" i="19" l="1"/>
  <c r="B160" i="19"/>
  <c r="B161" i="19"/>
  <c r="B163" i="19"/>
  <c r="B165" i="19"/>
  <c r="B166" i="19"/>
  <c r="B167" i="19"/>
  <c r="B170" i="19"/>
  <c r="B171" i="19"/>
  <c r="B172" i="19"/>
  <c r="B175" i="19"/>
  <c r="B176" i="19"/>
  <c r="B177" i="19"/>
  <c r="B158" i="19"/>
  <c r="AH105" i="23" l="1"/>
  <c r="AE24" i="23" l="1"/>
  <c r="AE20" i="23" l="1"/>
  <c r="B403" i="23"/>
  <c r="B423" i="23"/>
  <c r="B424" i="23"/>
  <c r="B431" i="23"/>
  <c r="B444" i="23"/>
  <c r="B449" i="23"/>
  <c r="B455" i="23"/>
  <c r="B456" i="23"/>
  <c r="B476" i="23"/>
  <c r="B484" i="23"/>
  <c r="B491" i="23"/>
  <c r="B531" i="23"/>
  <c r="B561" i="23"/>
  <c r="B570" i="23"/>
  <c r="B571" i="23"/>
  <c r="B578" i="23"/>
  <c r="B590" i="23"/>
  <c r="B596" i="23"/>
  <c r="B597" i="23"/>
  <c r="B604" i="23"/>
  <c r="B614" i="23"/>
  <c r="B626" i="23"/>
  <c r="B53" i="23"/>
  <c r="B60" i="23"/>
  <c r="B64" i="23"/>
  <c r="B71" i="23"/>
  <c r="B77" i="23"/>
  <c r="B97" i="23"/>
  <c r="B98" i="23"/>
  <c r="B105" i="23"/>
  <c r="B110" i="23"/>
  <c r="B139" i="23"/>
  <c r="B140" i="23"/>
  <c r="B146" i="23"/>
  <c r="B151" i="23"/>
  <c r="B157" i="23"/>
  <c r="B176" i="23"/>
  <c r="B177" i="23"/>
  <c r="B186" i="23"/>
  <c r="B200" i="23"/>
  <c r="B217" i="23"/>
  <c r="B257" i="23"/>
  <c r="B258" i="23"/>
  <c r="B369" i="23"/>
  <c r="B371" i="23"/>
  <c r="B392" i="23"/>
  <c r="B393" i="23"/>
  <c r="B22" i="23"/>
  <c r="B23" i="23"/>
  <c r="C23" i="23"/>
  <c r="B26" i="23"/>
  <c r="B27" i="23"/>
  <c r="E11" i="23"/>
  <c r="C10" i="23"/>
  <c r="C13" i="23"/>
  <c r="B12" i="23"/>
  <c r="D11" i="23"/>
  <c r="C11" i="23"/>
  <c r="B10" i="23"/>
  <c r="E429" i="15" l="1"/>
  <c r="E1493" i="15"/>
  <c r="E2125" i="3"/>
  <c r="E2124" i="3"/>
  <c r="E2123" i="3"/>
  <c r="E2120" i="3"/>
  <c r="E2119" i="3"/>
  <c r="E2118" i="3"/>
  <c r="E1486" i="15"/>
  <c r="E1479" i="15"/>
  <c r="E1472" i="15"/>
  <c r="F2078" i="3" l="1"/>
  <c r="F2079" i="3"/>
  <c r="F2083" i="3"/>
  <c r="E2111" i="3" l="1"/>
  <c r="E2110" i="3"/>
  <c r="E2109" i="3"/>
  <c r="E2108" i="3"/>
  <c r="F687" i="3"/>
  <c r="F2099" i="3"/>
  <c r="E2101" i="3"/>
  <c r="E2100" i="3"/>
  <c r="E2099" i="3"/>
  <c r="E2098" i="3"/>
  <c r="E2091" i="3"/>
  <c r="E2090" i="3"/>
  <c r="J2103" i="3" l="1"/>
  <c r="H2102" i="3"/>
  <c r="F1961" i="3" l="1"/>
  <c r="E1465" i="15" l="1"/>
  <c r="F1970" i="3" l="1"/>
  <c r="F1968" i="3"/>
  <c r="F1967" i="3"/>
  <c r="E1967" i="3"/>
  <c r="F1958" i="3"/>
  <c r="F1963" i="3"/>
  <c r="F1962" i="3"/>
  <c r="J1963" i="3" l="1"/>
  <c r="H1963" i="3"/>
  <c r="H1962" i="3"/>
  <c r="J1962" i="3"/>
  <c r="J1958" i="3"/>
  <c r="H1958" i="3"/>
  <c r="F2062" i="3"/>
  <c r="E2079" i="3"/>
  <c r="E2078" i="3"/>
  <c r="E2077" i="3"/>
  <c r="E2074" i="3"/>
  <c r="E2073" i="3"/>
  <c r="E2072" i="3"/>
  <c r="F2060" i="3"/>
  <c r="F2061" i="3"/>
  <c r="E1456" i="15" l="1"/>
  <c r="F1983" i="3" l="1"/>
  <c r="B103" i="19" l="1"/>
  <c r="A103" i="19"/>
  <c r="E1030" i="15"/>
  <c r="E1023" i="15"/>
  <c r="E1016" i="15"/>
  <c r="A37" i="5" l="1"/>
  <c r="A126" i="1"/>
  <c r="B126" i="1"/>
  <c r="B125" i="1"/>
  <c r="A125" i="1"/>
  <c r="C124" i="1"/>
  <c r="A124" i="1"/>
  <c r="B37" i="5" l="1"/>
  <c r="C126" i="1"/>
  <c r="B148" i="23"/>
  <c r="D125" i="1"/>
  <c r="C147" i="23"/>
  <c r="D126" i="1"/>
  <c r="C148" i="23"/>
  <c r="C125" i="1"/>
  <c r="B147" i="23"/>
  <c r="E2063" i="3"/>
  <c r="F2064" i="3"/>
  <c r="F2065" i="3"/>
  <c r="E2065" i="3"/>
  <c r="E2060" i="3"/>
  <c r="E2061" i="3"/>
  <c r="E2062" i="3"/>
  <c r="E2059" i="3"/>
  <c r="E2056" i="3"/>
  <c r="E2055" i="3"/>
  <c r="E2054" i="3"/>
  <c r="B102" i="19" l="1"/>
  <c r="A102" i="19"/>
  <c r="E2047" i="3"/>
  <c r="E450" i="15"/>
  <c r="E2046" i="3"/>
  <c r="E2045" i="3"/>
  <c r="E2044" i="3"/>
  <c r="E2039" i="3"/>
  <c r="E2040" i="3"/>
  <c r="E2043" i="3"/>
  <c r="E2038" i="3"/>
  <c r="E2037" i="3"/>
  <c r="E2030" i="3"/>
  <c r="E2029" i="3"/>
  <c r="E443" i="15"/>
  <c r="E436" i="15"/>
  <c r="E2028" i="3"/>
  <c r="E2025" i="3"/>
  <c r="E2024" i="3"/>
  <c r="E2017" i="3"/>
  <c r="E2016" i="3"/>
  <c r="E2015" i="3"/>
  <c r="E2012" i="3"/>
  <c r="E2011" i="3"/>
  <c r="E2002" i="3"/>
  <c r="E1999" i="3"/>
  <c r="E1998" i="3"/>
  <c r="E1991" i="3"/>
  <c r="E1990" i="3"/>
  <c r="H2018" i="3" l="1"/>
  <c r="J2019" i="3"/>
  <c r="J1993" i="3"/>
  <c r="H1992" i="3"/>
  <c r="E422" i="15" l="1"/>
  <c r="E1982" i="3"/>
  <c r="E1981" i="3"/>
  <c r="E1980" i="3"/>
  <c r="A540" i="1"/>
  <c r="B540" i="1"/>
  <c r="A539" i="1"/>
  <c r="B539" i="1"/>
  <c r="D540" i="1" l="1"/>
  <c r="C617" i="23"/>
  <c r="C540" i="1"/>
  <c r="B617" i="23"/>
  <c r="C539" i="1"/>
  <c r="B616" i="23"/>
  <c r="D539" i="1"/>
  <c r="C616" i="23"/>
  <c r="A91" i="5" l="1"/>
  <c r="A90" i="5"/>
  <c r="A89" i="5"/>
  <c r="A88" i="5"/>
  <c r="A87" i="5"/>
  <c r="B88" i="5" l="1"/>
  <c r="B90" i="5"/>
  <c r="A28" i="6"/>
  <c r="B87" i="5"/>
  <c r="B28" i="6" s="1"/>
  <c r="B89" i="5"/>
  <c r="B91" i="5"/>
  <c r="A537" i="1"/>
  <c r="C537" i="1"/>
  <c r="A538" i="1"/>
  <c r="B538" i="1"/>
  <c r="A541" i="1"/>
  <c r="B541" i="1"/>
  <c r="A542" i="1"/>
  <c r="B542" i="1"/>
  <c r="A543" i="1"/>
  <c r="B543" i="1"/>
  <c r="A548" i="1"/>
  <c r="C548" i="1"/>
  <c r="A549" i="1"/>
  <c r="B549" i="1"/>
  <c r="A550" i="1"/>
  <c r="B550" i="1"/>
  <c r="A551" i="1"/>
  <c r="B551" i="1"/>
  <c r="A521" i="1"/>
  <c r="C521" i="1"/>
  <c r="A522" i="1"/>
  <c r="C522" i="1"/>
  <c r="A523" i="1"/>
  <c r="B523" i="1"/>
  <c r="A524" i="1"/>
  <c r="B524" i="1"/>
  <c r="A525" i="1"/>
  <c r="B525" i="1"/>
  <c r="A526" i="1"/>
  <c r="B526" i="1"/>
  <c r="A528" i="1"/>
  <c r="C528" i="1"/>
  <c r="A529" i="1"/>
  <c r="B529" i="1"/>
  <c r="A530" i="1"/>
  <c r="B530" i="1"/>
  <c r="A532" i="1"/>
  <c r="B532" i="1"/>
  <c r="A533" i="1"/>
  <c r="B533" i="1"/>
  <c r="A534" i="1"/>
  <c r="B534" i="1"/>
  <c r="A535" i="1"/>
  <c r="B535" i="1"/>
  <c r="D526" i="1" l="1"/>
  <c r="C601" i="23"/>
  <c r="D549" i="1"/>
  <c r="C627" i="23"/>
  <c r="D532" i="1"/>
  <c r="C608" i="23"/>
  <c r="C525" i="1"/>
  <c r="B600" i="23"/>
  <c r="C529" i="1"/>
  <c r="B605" i="23"/>
  <c r="C530" i="1"/>
  <c r="B606" i="23"/>
  <c r="C533" i="1"/>
  <c r="B609" i="23"/>
  <c r="C535" i="1"/>
  <c r="B611" i="23"/>
  <c r="C541" i="1"/>
  <c r="B618" i="23"/>
  <c r="C543" i="1"/>
  <c r="B620" i="23"/>
  <c r="C550" i="1"/>
  <c r="B628" i="23"/>
  <c r="D538" i="1"/>
  <c r="C615" i="23"/>
  <c r="C523" i="1"/>
  <c r="B598" i="23"/>
  <c r="D525" i="1"/>
  <c r="C600" i="23"/>
  <c r="D530" i="1"/>
  <c r="C606" i="23"/>
  <c r="D533" i="1"/>
  <c r="C609" i="23"/>
  <c r="D535" i="1"/>
  <c r="C611" i="23"/>
  <c r="D541" i="1"/>
  <c r="C618" i="23"/>
  <c r="D543" i="1"/>
  <c r="C620" i="23"/>
  <c r="D550" i="1"/>
  <c r="C628" i="23"/>
  <c r="D524" i="1"/>
  <c r="C599" i="23"/>
  <c r="D551" i="1"/>
  <c r="C629" i="23"/>
  <c r="D523" i="1"/>
  <c r="C598" i="23"/>
  <c r="D529" i="1"/>
  <c r="C605" i="23"/>
  <c r="D542" i="1"/>
  <c r="C619" i="23"/>
  <c r="D534" i="1"/>
  <c r="C610" i="23"/>
  <c r="C524" i="1"/>
  <c r="B599" i="23"/>
  <c r="C526" i="1"/>
  <c r="B601" i="23"/>
  <c r="C532" i="1"/>
  <c r="B608" i="23"/>
  <c r="C534" i="1"/>
  <c r="B610" i="23"/>
  <c r="C538" i="1"/>
  <c r="B615" i="23"/>
  <c r="C542" i="1"/>
  <c r="B619" i="23"/>
  <c r="C549" i="1"/>
  <c r="B627" i="23"/>
  <c r="C551" i="1"/>
  <c r="B629" i="23"/>
  <c r="A72" i="5" l="1"/>
  <c r="A71" i="5"/>
  <c r="A58" i="5"/>
  <c r="A31" i="5"/>
  <c r="A30" i="5"/>
  <c r="A29" i="5"/>
  <c r="B71" i="5" l="1"/>
  <c r="B72" i="5"/>
  <c r="B58" i="5"/>
  <c r="B29" i="5"/>
  <c r="B30" i="5"/>
  <c r="B31" i="5"/>
  <c r="A39" i="5"/>
  <c r="A38" i="5"/>
  <c r="A36" i="5"/>
  <c r="A35" i="5"/>
  <c r="B38" i="5" l="1"/>
  <c r="B36" i="5"/>
  <c r="B39" i="5"/>
  <c r="A17" i="6"/>
  <c r="B35" i="5"/>
  <c r="B17" i="6" s="1"/>
  <c r="E536" i="3" l="1"/>
  <c r="F298" i="20" l="1"/>
  <c r="H298" i="20" s="1"/>
  <c r="I298" i="20" s="1"/>
  <c r="C301" i="20"/>
  <c r="D301" i="20"/>
  <c r="F301" i="20"/>
  <c r="G301" i="20" s="1"/>
  <c r="H301" i="20"/>
  <c r="I301" i="20" s="1"/>
  <c r="C302" i="20"/>
  <c r="D302" i="20"/>
  <c r="F302" i="20"/>
  <c r="G302" i="20" s="1"/>
  <c r="H302" i="20"/>
  <c r="I302" i="20" s="1"/>
  <c r="H300" i="20"/>
  <c r="I300" i="20" s="1"/>
  <c r="F300" i="20"/>
  <c r="G300" i="20" s="1"/>
  <c r="D300" i="20"/>
  <c r="C300" i="20"/>
  <c r="H299" i="20"/>
  <c r="I299" i="20" s="1"/>
  <c r="F299" i="20"/>
  <c r="G299" i="20" s="1"/>
  <c r="D299" i="20"/>
  <c r="C299" i="20"/>
  <c r="I303" i="20" l="1"/>
  <c r="G298" i="20"/>
  <c r="G303" i="20" s="1"/>
  <c r="E1973" i="3" l="1"/>
  <c r="E1970" i="3"/>
  <c r="E1969" i="3"/>
  <c r="E1968" i="3"/>
  <c r="E1966" i="3"/>
  <c r="E1963" i="3"/>
  <c r="E1962" i="3"/>
  <c r="E1961" i="3"/>
  <c r="E1958" i="3"/>
  <c r="E1944" i="3"/>
  <c r="E1941" i="3"/>
  <c r="E1940" i="3"/>
  <c r="E1939" i="3"/>
  <c r="E1938" i="3"/>
  <c r="E1935" i="3"/>
  <c r="H1974" i="3" l="1"/>
  <c r="J1975" i="3"/>
  <c r="A52" i="1" l="1"/>
  <c r="B52" i="1"/>
  <c r="A51" i="1"/>
  <c r="B51" i="1"/>
  <c r="A50" i="1"/>
  <c r="D52" i="1" l="1"/>
  <c r="C57" i="23"/>
  <c r="D51" i="1"/>
  <c r="C56" i="23"/>
  <c r="D50" i="1"/>
  <c r="C55" i="23"/>
  <c r="C51" i="1"/>
  <c r="B56" i="23"/>
  <c r="C52" i="1"/>
  <c r="B57" i="23"/>
  <c r="C50" i="1"/>
  <c r="B55" i="23"/>
  <c r="C290" i="20"/>
  <c r="H292" i="20"/>
  <c r="I292" i="20" s="1"/>
  <c r="F292" i="20"/>
  <c r="G292" i="20" s="1"/>
  <c r="D292" i="20"/>
  <c r="C292" i="20"/>
  <c r="H291" i="20"/>
  <c r="I291" i="20" s="1"/>
  <c r="F291" i="20"/>
  <c r="G291" i="20" s="1"/>
  <c r="D291" i="20"/>
  <c r="C291" i="20"/>
  <c r="F290" i="20" l="1"/>
  <c r="H290" i="20" s="1"/>
  <c r="I290" i="20" s="1"/>
  <c r="I293" i="20" s="1"/>
  <c r="G290" i="20" l="1"/>
  <c r="G293" i="20" s="1"/>
  <c r="F19" i="1"/>
  <c r="A19" i="1" l="1"/>
  <c r="C19" i="1"/>
  <c r="B19" i="1"/>
  <c r="E1951" i="3"/>
  <c r="B19" i="23" l="1"/>
  <c r="D19" i="1"/>
  <c r="C19" i="23"/>
  <c r="H284" i="20"/>
  <c r="I284" i="20" s="1"/>
  <c r="F284" i="20"/>
  <c r="G284" i="20" s="1"/>
  <c r="D284" i="20"/>
  <c r="C284" i="20"/>
  <c r="H283" i="20"/>
  <c r="I283" i="20" s="1"/>
  <c r="F283" i="20"/>
  <c r="G283" i="20" s="1"/>
  <c r="D283" i="20"/>
  <c r="C283" i="20"/>
  <c r="E1391" i="15"/>
  <c r="F282" i="20" s="1"/>
  <c r="G282" i="20" s="1"/>
  <c r="G285" i="20" l="1"/>
  <c r="H282" i="20"/>
  <c r="I282" i="20" s="1"/>
  <c r="I285" i="20" s="1"/>
  <c r="E1934" i="3" l="1"/>
  <c r="E1933" i="3"/>
  <c r="H1945" i="3" l="1"/>
  <c r="J1946" i="3"/>
  <c r="E415" i="15" l="1"/>
  <c r="A151" i="19" l="1"/>
  <c r="B151" i="19"/>
  <c r="A152" i="19"/>
  <c r="B152" i="19"/>
  <c r="F17" i="1" l="1"/>
  <c r="A353" i="1"/>
  <c r="B353" i="1"/>
  <c r="A352" i="1"/>
  <c r="A351" i="1"/>
  <c r="B351" i="1"/>
  <c r="B349" i="1"/>
  <c r="A349" i="1"/>
  <c r="C348" i="1"/>
  <c r="A348" i="1"/>
  <c r="C349" i="1" l="1"/>
  <c r="B394" i="23"/>
  <c r="C352" i="1"/>
  <c r="B397" i="23"/>
  <c r="C353" i="1"/>
  <c r="B398" i="23"/>
  <c r="D351" i="1"/>
  <c r="C396" i="23"/>
  <c r="D352" i="1"/>
  <c r="C397" i="23"/>
  <c r="D353" i="1"/>
  <c r="C398" i="23"/>
  <c r="D349" i="1"/>
  <c r="C394" i="23"/>
  <c r="C351" i="1"/>
  <c r="B396" i="23"/>
  <c r="E1172" i="15" l="1"/>
  <c r="E1165" i="15"/>
  <c r="C327" i="1" l="1"/>
  <c r="A327" i="1"/>
  <c r="C220" i="1"/>
  <c r="A220" i="1"/>
  <c r="A85" i="5" l="1"/>
  <c r="A84" i="5"/>
  <c r="A83" i="5"/>
  <c r="A82" i="5"/>
  <c r="E1924" i="3"/>
  <c r="E1923" i="3"/>
  <c r="E1916" i="3"/>
  <c r="F1915" i="3"/>
  <c r="E1915" i="3"/>
  <c r="F1912" i="3"/>
  <c r="E1912" i="3"/>
  <c r="F1911" i="3"/>
  <c r="E1911" i="3"/>
  <c r="F1903" i="3"/>
  <c r="F1900" i="3"/>
  <c r="F1899" i="3"/>
  <c r="H1899" i="3" l="1"/>
  <c r="J1899" i="3"/>
  <c r="H1915" i="3"/>
  <c r="J1915" i="3"/>
  <c r="J1900" i="3"/>
  <c r="H1900" i="3"/>
  <c r="H1903" i="3"/>
  <c r="J1903" i="3"/>
  <c r="H1911" i="3"/>
  <c r="J1911" i="3"/>
  <c r="J1912" i="3"/>
  <c r="H1912" i="3"/>
  <c r="A141" i="19"/>
  <c r="B84" i="5"/>
  <c r="B141" i="19" s="1"/>
  <c r="A140" i="19"/>
  <c r="B83" i="5"/>
  <c r="B140" i="19" s="1"/>
  <c r="A139" i="19"/>
  <c r="B82" i="5"/>
  <c r="B139" i="19" s="1"/>
  <c r="B85" i="5"/>
  <c r="B142" i="19" s="1"/>
  <c r="A142" i="19"/>
  <c r="A146" i="19"/>
  <c r="A150" i="19"/>
  <c r="B145" i="19"/>
  <c r="B149" i="19"/>
  <c r="B146" i="19"/>
  <c r="B150" i="19"/>
  <c r="A143" i="19"/>
  <c r="A147" i="19"/>
  <c r="B143" i="19"/>
  <c r="B147" i="19"/>
  <c r="A144" i="19"/>
  <c r="A148" i="19"/>
  <c r="B144" i="19"/>
  <c r="B148" i="19"/>
  <c r="A145" i="19"/>
  <c r="A149" i="19"/>
  <c r="E1903" i="3"/>
  <c r="E1904" i="3"/>
  <c r="E1900" i="3"/>
  <c r="E1899" i="3"/>
  <c r="J1918" i="3" l="1"/>
  <c r="H1917" i="3"/>
  <c r="H1905" i="3" l="1"/>
  <c r="J1906" i="3"/>
  <c r="A519" i="1" l="1"/>
  <c r="A518" i="1"/>
  <c r="A507" i="1"/>
  <c r="A502" i="1"/>
  <c r="A501" i="1"/>
  <c r="A500" i="1"/>
  <c r="A494" i="1"/>
  <c r="A495" i="1"/>
  <c r="A496" i="1"/>
  <c r="A497" i="1"/>
  <c r="A498" i="1"/>
  <c r="A493" i="1"/>
  <c r="A492" i="1"/>
  <c r="C492" i="1"/>
  <c r="A470" i="1"/>
  <c r="A471" i="1"/>
  <c r="A454" i="1"/>
  <c r="D519" i="1"/>
  <c r="C519" i="1"/>
  <c r="B591" i="23" l="1"/>
  <c r="C591" i="23"/>
  <c r="C500" i="1" l="1"/>
  <c r="C501" i="1"/>
  <c r="B502" i="1"/>
  <c r="B503" i="1"/>
  <c r="C507" i="1"/>
  <c r="D511" i="1"/>
  <c r="C511" i="1"/>
  <c r="D516" i="1"/>
  <c r="C516" i="1"/>
  <c r="D515" i="1"/>
  <c r="C515" i="1"/>
  <c r="D514" i="1"/>
  <c r="C514" i="1"/>
  <c r="D513" i="1"/>
  <c r="C513" i="1"/>
  <c r="D512" i="1"/>
  <c r="C512" i="1"/>
  <c r="D510" i="1"/>
  <c r="C510" i="1"/>
  <c r="D509" i="1"/>
  <c r="C509" i="1"/>
  <c r="D508" i="1"/>
  <c r="C508" i="1"/>
  <c r="D502" i="1" l="1"/>
  <c r="C572" i="23"/>
  <c r="C584" i="23"/>
  <c r="C582" i="23"/>
  <c r="B579" i="23"/>
  <c r="B582" i="23"/>
  <c r="C581" i="23"/>
  <c r="B584" i="23"/>
  <c r="C579" i="23"/>
  <c r="C586" i="23"/>
  <c r="C503" i="1"/>
  <c r="B573" i="23"/>
  <c r="B580" i="23"/>
  <c r="B583" i="23"/>
  <c r="B585" i="23"/>
  <c r="B587" i="23"/>
  <c r="C502" i="1"/>
  <c r="B572" i="23"/>
  <c r="B586" i="23"/>
  <c r="D503" i="1"/>
  <c r="C573" i="23"/>
  <c r="C580" i="23"/>
  <c r="C583" i="23"/>
  <c r="C585" i="23"/>
  <c r="C587" i="23"/>
  <c r="B581" i="23"/>
  <c r="F16" i="1" l="1"/>
  <c r="F15" i="1" l="1"/>
  <c r="A15" i="1"/>
  <c r="A16" i="1"/>
  <c r="A17" i="1"/>
  <c r="A18" i="1"/>
  <c r="C15" i="1"/>
  <c r="C16" i="1"/>
  <c r="C17" i="1"/>
  <c r="C18" i="1"/>
  <c r="D17" i="1" l="1"/>
  <c r="C17" i="23"/>
  <c r="D15" i="1"/>
  <c r="C15" i="23"/>
  <c r="B17" i="23"/>
  <c r="B15" i="23"/>
  <c r="D18" i="1"/>
  <c r="C18" i="23"/>
  <c r="D16" i="1"/>
  <c r="C16" i="23"/>
  <c r="B18" i="23"/>
  <c r="B16" i="23"/>
  <c r="A86" i="1"/>
  <c r="B86" i="1"/>
  <c r="A87" i="1"/>
  <c r="B87" i="1"/>
  <c r="B85" i="1"/>
  <c r="A85" i="1"/>
  <c r="D85" i="1" l="1"/>
  <c r="C99" i="23"/>
  <c r="D87" i="1"/>
  <c r="C101" i="23"/>
  <c r="C85" i="1"/>
  <c r="B99" i="23"/>
  <c r="C86" i="1"/>
  <c r="B100" i="23"/>
  <c r="C87" i="1"/>
  <c r="B101" i="23"/>
  <c r="D86" i="1"/>
  <c r="C100" i="23"/>
  <c r="A130" i="1"/>
  <c r="B130" i="1"/>
  <c r="A131" i="1"/>
  <c r="B131" i="1"/>
  <c r="B129" i="1"/>
  <c r="A129" i="1"/>
  <c r="C128" i="1"/>
  <c r="A128" i="1"/>
  <c r="C129" i="1" l="1"/>
  <c r="B152" i="23"/>
  <c r="C131" i="1"/>
  <c r="B154" i="23"/>
  <c r="D129" i="1"/>
  <c r="C152" i="23"/>
  <c r="D131" i="1"/>
  <c r="C154" i="23"/>
  <c r="C130" i="1"/>
  <c r="B153" i="23"/>
  <c r="D130" i="1"/>
  <c r="C153" i="23"/>
  <c r="A121" i="1" l="1"/>
  <c r="B121" i="1"/>
  <c r="B120" i="1"/>
  <c r="A120" i="1"/>
  <c r="C119" i="1"/>
  <c r="A119" i="1"/>
  <c r="A141" i="1"/>
  <c r="A134" i="1"/>
  <c r="C133" i="1"/>
  <c r="A133" i="1"/>
  <c r="C118" i="1"/>
  <c r="A118" i="1"/>
  <c r="A64" i="1"/>
  <c r="B64" i="1"/>
  <c r="C84" i="1"/>
  <c r="A84" i="1"/>
  <c r="B141" i="1"/>
  <c r="B134" i="1"/>
  <c r="C120" i="1" l="1"/>
  <c r="B141" i="23"/>
  <c r="D120" i="1"/>
  <c r="C141" i="23"/>
  <c r="C134" i="1"/>
  <c r="B158" i="23"/>
  <c r="C121" i="1"/>
  <c r="B142" i="23"/>
  <c r="D134" i="1"/>
  <c r="C158" i="23"/>
  <c r="C141" i="1"/>
  <c r="D121" i="1"/>
  <c r="C142" i="23"/>
  <c r="D141" i="1"/>
  <c r="C64" i="1"/>
  <c r="B72" i="23"/>
  <c r="D64" i="1"/>
  <c r="C72" i="23"/>
  <c r="A27" i="6" l="1"/>
  <c r="B27" i="6"/>
  <c r="E1891" i="3"/>
  <c r="E1889" i="3"/>
  <c r="E1886" i="3"/>
  <c r="E1885" i="3"/>
  <c r="E1884" i="3"/>
  <c r="E1883" i="3"/>
  <c r="B127" i="19" l="1"/>
  <c r="A127" i="19"/>
  <c r="B126" i="19"/>
  <c r="A126" i="19"/>
  <c r="B128" i="19"/>
  <c r="A128" i="19"/>
  <c r="E408" i="15"/>
  <c r="E401" i="15"/>
  <c r="E394" i="15"/>
  <c r="E1868" i="3" l="1"/>
  <c r="E1873" i="3"/>
  <c r="E1871" i="3"/>
  <c r="E1867" i="3"/>
  <c r="E1866" i="3"/>
  <c r="E1865" i="3"/>
  <c r="A181" i="1" l="1"/>
  <c r="B181" i="1"/>
  <c r="A180" i="1"/>
  <c r="B180" i="1"/>
  <c r="C181" i="1" l="1"/>
  <c r="B211" i="23"/>
  <c r="D181" i="1"/>
  <c r="C211" i="23"/>
  <c r="C180" i="1"/>
  <c r="B210" i="23"/>
  <c r="D180" i="1"/>
  <c r="C210" i="23"/>
  <c r="C408" i="23" l="1"/>
  <c r="B408" i="23"/>
  <c r="C512" i="23" l="1"/>
  <c r="C513" i="23"/>
  <c r="C514" i="23"/>
  <c r="C124" i="23" l="1"/>
  <c r="B124" i="23"/>
  <c r="A106" i="1"/>
  <c r="C123" i="23"/>
  <c r="B123" i="23"/>
  <c r="B106" i="1"/>
  <c r="B71" i="1"/>
  <c r="B70" i="1"/>
  <c r="C106" i="1" l="1"/>
  <c r="D106" i="1"/>
  <c r="C70" i="1"/>
  <c r="B79" i="23"/>
  <c r="D70" i="1"/>
  <c r="C79" i="23"/>
  <c r="C71" i="1"/>
  <c r="B80" i="23"/>
  <c r="D71" i="1"/>
  <c r="C80" i="23"/>
  <c r="A431" i="1"/>
  <c r="B431" i="1"/>
  <c r="A421" i="1"/>
  <c r="C421" i="1"/>
  <c r="A422" i="1"/>
  <c r="B422" i="1"/>
  <c r="A423" i="1"/>
  <c r="B423" i="1"/>
  <c r="A424" i="1"/>
  <c r="B424" i="1"/>
  <c r="A425" i="1"/>
  <c r="B425" i="1"/>
  <c r="A426" i="1"/>
  <c r="B426" i="1"/>
  <c r="A428" i="1"/>
  <c r="C428" i="1"/>
  <c r="A429" i="1"/>
  <c r="B429" i="1"/>
  <c r="A430" i="1"/>
  <c r="B430" i="1"/>
  <c r="C424" i="1" l="1"/>
  <c r="B479" i="23"/>
  <c r="D431" i="1"/>
  <c r="C487" i="23"/>
  <c r="D429" i="1"/>
  <c r="C485" i="23"/>
  <c r="C431" i="1"/>
  <c r="B487" i="23"/>
  <c r="C429" i="1"/>
  <c r="B485" i="23"/>
  <c r="C425" i="1"/>
  <c r="B480" i="23"/>
  <c r="D424" i="1"/>
  <c r="C479" i="23"/>
  <c r="D423" i="1"/>
  <c r="C478" i="23"/>
  <c r="C422" i="1"/>
  <c r="B477" i="23"/>
  <c r="D422" i="1"/>
  <c r="C477" i="23"/>
  <c r="C423" i="1"/>
  <c r="B478" i="23"/>
  <c r="D430" i="1"/>
  <c r="C486" i="23"/>
  <c r="D426" i="1"/>
  <c r="C481" i="23"/>
  <c r="D425" i="1"/>
  <c r="C480" i="23"/>
  <c r="C430" i="1"/>
  <c r="B486" i="23"/>
  <c r="C426" i="1"/>
  <c r="B481" i="23"/>
  <c r="B101" i="19" l="1"/>
  <c r="A101" i="19"/>
  <c r="A49" i="5"/>
  <c r="A50" i="5"/>
  <c r="A57" i="5"/>
  <c r="A392" i="1"/>
  <c r="B392" i="1"/>
  <c r="C440" i="23"/>
  <c r="B440" i="23"/>
  <c r="A100" i="19" l="1"/>
  <c r="B50" i="5"/>
  <c r="B100" i="19" s="1"/>
  <c r="A21" i="6"/>
  <c r="B57" i="5"/>
  <c r="B21" i="6" s="1"/>
  <c r="B49" i="5"/>
  <c r="C392" i="1"/>
  <c r="D392" i="1"/>
  <c r="F1853" i="3"/>
  <c r="F1857" i="3"/>
  <c r="E1857" i="3"/>
  <c r="F1856" i="3"/>
  <c r="E1856" i="3"/>
  <c r="E1855" i="3"/>
  <c r="E1854" i="3"/>
  <c r="E1853" i="3"/>
  <c r="F1852" i="3"/>
  <c r="E1852" i="3"/>
  <c r="E1851" i="3"/>
  <c r="F1840" i="3"/>
  <c r="E1844" i="3"/>
  <c r="E1843" i="3"/>
  <c r="E1842" i="3"/>
  <c r="E1841" i="3"/>
  <c r="E1840" i="3"/>
  <c r="F1839" i="3"/>
  <c r="E1839" i="3"/>
  <c r="E1838" i="3"/>
  <c r="E1821" i="3"/>
  <c r="F1828" i="3"/>
  <c r="E1831" i="3"/>
  <c r="E1830" i="3"/>
  <c r="E1829" i="3"/>
  <c r="E1828" i="3"/>
  <c r="E1827" i="3"/>
  <c r="J1852" i="3" l="1"/>
  <c r="H1852" i="3"/>
  <c r="J1839" i="3"/>
  <c r="H1839" i="3"/>
  <c r="F1854" i="3"/>
  <c r="F1841" i="3"/>
  <c r="F1829" i="3"/>
  <c r="J1841" i="3" l="1"/>
  <c r="J1846" i="3" s="1"/>
  <c r="H1841" i="3"/>
  <c r="H1845" i="3" s="1"/>
  <c r="J1854" i="3"/>
  <c r="J1859" i="3" s="1"/>
  <c r="H1854" i="3"/>
  <c r="H1858" i="3" s="1"/>
  <c r="H1829" i="3"/>
  <c r="H1832" i="3" s="1"/>
  <c r="J1829" i="3"/>
  <c r="J1833" i="3" s="1"/>
  <c r="E1820" i="3"/>
  <c r="E1819" i="3"/>
  <c r="E1818" i="3"/>
  <c r="E1811" i="3" l="1"/>
  <c r="E1810" i="3"/>
  <c r="E1801" i="3"/>
  <c r="E1800" i="3"/>
  <c r="E1798" i="3"/>
  <c r="E1791" i="3"/>
  <c r="E1790" i="3"/>
  <c r="E1782" i="3"/>
  <c r="E1781" i="3"/>
  <c r="E1780" i="3"/>
  <c r="E1779" i="3"/>
  <c r="E1778" i="3"/>
  <c r="E1770" i="3"/>
  <c r="E1769" i="3"/>
  <c r="E1768" i="3"/>
  <c r="E1767" i="3"/>
  <c r="E1760" i="3"/>
  <c r="E1759" i="3"/>
  <c r="E1758" i="3"/>
  <c r="E1757" i="3"/>
  <c r="E387" i="15"/>
  <c r="E380" i="15"/>
  <c r="E373" i="15"/>
  <c r="E359" i="15" l="1"/>
  <c r="E366" i="15" l="1"/>
  <c r="E352" i="15"/>
  <c r="E345" i="15"/>
  <c r="A80" i="5" l="1"/>
  <c r="B80" i="5" l="1"/>
  <c r="B26" i="6" s="1"/>
  <c r="A26" i="6"/>
  <c r="A138" i="19"/>
  <c r="B138" i="19" l="1"/>
  <c r="E338" i="15" l="1"/>
  <c r="E331" i="15"/>
  <c r="E324" i="15"/>
  <c r="E317" i="15"/>
  <c r="E310" i="15"/>
  <c r="E303" i="15"/>
  <c r="E296" i="15"/>
  <c r="E289" i="15"/>
  <c r="E282" i="15"/>
  <c r="E275" i="15"/>
  <c r="E268" i="15"/>
  <c r="F142" i="20"/>
  <c r="E254" i="15" l="1"/>
  <c r="B389" i="1" l="1"/>
  <c r="F174" i="20"/>
  <c r="F262" i="20"/>
  <c r="F254" i="20"/>
  <c r="F246" i="20"/>
  <c r="F238" i="20"/>
  <c r="F230" i="20"/>
  <c r="F222" i="20"/>
  <c r="F214" i="20"/>
  <c r="F206" i="20"/>
  <c r="F198" i="20"/>
  <c r="F190" i="20"/>
  <c r="F182" i="20"/>
  <c r="F166" i="20"/>
  <c r="F158" i="20"/>
  <c r="F150" i="20"/>
  <c r="F134" i="20"/>
  <c r="F124" i="20"/>
  <c r="F116" i="20"/>
  <c r="F106" i="20"/>
  <c r="F98" i="20"/>
  <c r="F90" i="20"/>
  <c r="F82" i="20"/>
  <c r="F74" i="20"/>
  <c r="F66" i="20"/>
  <c r="H58" i="20"/>
  <c r="F58" i="20"/>
  <c r="F50" i="20"/>
  <c r="H42" i="20"/>
  <c r="F42" i="20"/>
  <c r="F34" i="20"/>
  <c r="F26" i="20"/>
  <c r="H16" i="20"/>
  <c r="H17" i="20"/>
  <c r="H18" i="20"/>
  <c r="F16" i="20"/>
  <c r="F17" i="20"/>
  <c r="F18" i="20"/>
  <c r="H276" i="20"/>
  <c r="F276" i="20"/>
  <c r="F269" i="20"/>
  <c r="H261" i="20"/>
  <c r="H262" i="20"/>
  <c r="F261" i="20"/>
  <c r="E1449" i="15" l="1"/>
  <c r="E1442" i="15"/>
  <c r="E1435" i="15"/>
  <c r="E1428" i="15"/>
  <c r="E1421" i="15"/>
  <c r="E1414" i="15"/>
  <c r="E1407" i="15"/>
  <c r="E1400" i="15"/>
  <c r="B498" i="1"/>
  <c r="B497" i="1"/>
  <c r="B565" i="23"/>
  <c r="B496" i="1"/>
  <c r="B495" i="1"/>
  <c r="B494" i="1"/>
  <c r="B562" i="23"/>
  <c r="B493" i="1"/>
  <c r="E1384" i="15"/>
  <c r="F252" i="20" s="1"/>
  <c r="D493" i="1" l="1"/>
  <c r="C562" i="23"/>
  <c r="D494" i="1"/>
  <c r="C563" i="23"/>
  <c r="C495" i="1"/>
  <c r="B564" i="23"/>
  <c r="D497" i="1"/>
  <c r="C566" i="23"/>
  <c r="C497" i="1"/>
  <c r="B566" i="23"/>
  <c r="D495" i="1"/>
  <c r="C564" i="23"/>
  <c r="C498" i="1"/>
  <c r="B567" i="23"/>
  <c r="D498" i="1"/>
  <c r="C567" i="23"/>
  <c r="C494" i="1"/>
  <c r="B563" i="23"/>
  <c r="D496" i="1"/>
  <c r="C565" i="23"/>
  <c r="I276" i="20" l="1"/>
  <c r="G276" i="20"/>
  <c r="D276" i="20"/>
  <c r="C276" i="20"/>
  <c r="H275" i="20"/>
  <c r="I275" i="20" s="1"/>
  <c r="F275" i="20"/>
  <c r="G275" i="20" s="1"/>
  <c r="D275" i="20"/>
  <c r="C275" i="20"/>
  <c r="G277" i="20" l="1"/>
  <c r="I277" i="20"/>
  <c r="F1747" i="3" l="1"/>
  <c r="F1748" i="3"/>
  <c r="E1749" i="3"/>
  <c r="E1750" i="3"/>
  <c r="E1747" i="3"/>
  <c r="E1748" i="3"/>
  <c r="H1751" i="3" l="1"/>
  <c r="E1738" i="3"/>
  <c r="E500" i="3"/>
  <c r="E1739" i="3"/>
  <c r="E1737" i="3"/>
  <c r="A74" i="5"/>
  <c r="A452" i="1"/>
  <c r="B452" i="1"/>
  <c r="A453" i="1"/>
  <c r="B453" i="1"/>
  <c r="B454" i="1"/>
  <c r="A468" i="1"/>
  <c r="C468" i="1"/>
  <c r="A469" i="1"/>
  <c r="B469" i="1"/>
  <c r="B470" i="1"/>
  <c r="B471" i="1"/>
  <c r="D454" i="1"/>
  <c r="D453" i="1"/>
  <c r="D452" i="1"/>
  <c r="A69" i="5"/>
  <c r="A68" i="5"/>
  <c r="B74" i="5" l="1"/>
  <c r="B133" i="19" s="1"/>
  <c r="B137" i="19"/>
  <c r="B69" i="5"/>
  <c r="B132" i="19" s="1"/>
  <c r="B68" i="5"/>
  <c r="B131" i="19" s="1"/>
  <c r="C452" i="1"/>
  <c r="B512" i="23"/>
  <c r="C470" i="1"/>
  <c r="B533" i="23"/>
  <c r="D470" i="1"/>
  <c r="C533" i="23"/>
  <c r="C453" i="1"/>
  <c r="B513" i="23"/>
  <c r="C469" i="1"/>
  <c r="B532" i="23"/>
  <c r="C471" i="1"/>
  <c r="B534" i="23"/>
  <c r="C454" i="1"/>
  <c r="B514" i="23"/>
  <c r="D469" i="1"/>
  <c r="C532" i="23"/>
  <c r="D471" i="1"/>
  <c r="C534" i="23"/>
  <c r="A136" i="19"/>
  <c r="B136" i="19"/>
  <c r="A25" i="6"/>
  <c r="A133" i="19"/>
  <c r="A24" i="6"/>
  <c r="A131" i="19"/>
  <c r="A137" i="19"/>
  <c r="A132" i="19"/>
  <c r="B134" i="19"/>
  <c r="A134" i="19"/>
  <c r="A135" i="19"/>
  <c r="B135" i="19"/>
  <c r="J1752" i="3"/>
  <c r="B25" i="6" l="1"/>
  <c r="B24" i="6"/>
  <c r="A433" i="1"/>
  <c r="C433" i="1"/>
  <c r="A405" i="1" l="1"/>
  <c r="B405" i="1"/>
  <c r="A406" i="1"/>
  <c r="B406" i="1"/>
  <c r="A409" i="1"/>
  <c r="B409" i="1"/>
  <c r="A414" i="1"/>
  <c r="B414" i="1"/>
  <c r="A415" i="1"/>
  <c r="B415" i="1"/>
  <c r="A416" i="1"/>
  <c r="B416" i="1"/>
  <c r="E1730" i="3"/>
  <c r="E1729" i="3"/>
  <c r="E1728" i="3"/>
  <c r="E1727" i="3"/>
  <c r="C457" i="23"/>
  <c r="B457" i="23"/>
  <c r="C405" i="1" l="1"/>
  <c r="B458" i="23"/>
  <c r="D409" i="1"/>
  <c r="C463" i="23"/>
  <c r="D415" i="1"/>
  <c r="C469" i="23"/>
  <c r="B464" i="23"/>
  <c r="C464" i="23"/>
  <c r="C409" i="1"/>
  <c r="B463" i="23"/>
  <c r="C406" i="1"/>
  <c r="B459" i="23"/>
  <c r="C414" i="1"/>
  <c r="B468" i="23"/>
  <c r="C416" i="1"/>
  <c r="B470" i="23"/>
  <c r="C415" i="1"/>
  <c r="B469" i="23"/>
  <c r="D406" i="1"/>
  <c r="C459" i="23"/>
  <c r="D414" i="1"/>
  <c r="C468" i="23"/>
  <c r="D416" i="1"/>
  <c r="C470" i="23"/>
  <c r="D405" i="1"/>
  <c r="C458" i="23"/>
  <c r="A129" i="19"/>
  <c r="A130" i="19"/>
  <c r="B129" i="19"/>
  <c r="B130" i="19"/>
  <c r="J1732" i="3"/>
  <c r="H1731" i="3"/>
  <c r="H269" i="20" l="1"/>
  <c r="I269" i="20" s="1"/>
  <c r="G269" i="20"/>
  <c r="D269" i="20"/>
  <c r="C269" i="20"/>
  <c r="H268" i="20"/>
  <c r="I268" i="20" s="1"/>
  <c r="F268" i="20"/>
  <c r="G268" i="20" s="1"/>
  <c r="D268" i="20"/>
  <c r="C268" i="20"/>
  <c r="H260" i="20"/>
  <c r="I260" i="20" s="1"/>
  <c r="F260" i="20"/>
  <c r="G260" i="20" s="1"/>
  <c r="D260" i="20"/>
  <c r="C260" i="20"/>
  <c r="I262" i="20"/>
  <c r="G262" i="20"/>
  <c r="D262" i="20"/>
  <c r="C262" i="20"/>
  <c r="I261" i="20"/>
  <c r="G261" i="20"/>
  <c r="D261" i="20"/>
  <c r="C261" i="20"/>
  <c r="G270" i="20" l="1"/>
  <c r="I270" i="20"/>
  <c r="G263" i="20"/>
  <c r="I263" i="20"/>
  <c r="A402" i="1" l="1"/>
  <c r="C402" i="1"/>
  <c r="A403" i="1"/>
  <c r="C403" i="1"/>
  <c r="A404" i="1"/>
  <c r="B404" i="1"/>
  <c r="C404" i="1"/>
  <c r="D404" i="1"/>
  <c r="A364" i="1"/>
  <c r="A365" i="1"/>
  <c r="A359" i="1"/>
  <c r="A360" i="1"/>
  <c r="A361" i="1"/>
  <c r="A362" i="1"/>
  <c r="A363" i="1"/>
  <c r="C347" i="1"/>
  <c r="A347" i="1"/>
  <c r="F244" i="20" l="1"/>
  <c r="G244" i="20" s="1"/>
  <c r="E1370" i="15"/>
  <c r="F236" i="20" s="1"/>
  <c r="H236" i="20" s="1"/>
  <c r="I236" i="20" s="1"/>
  <c r="E1356" i="15"/>
  <c r="F220" i="20" s="1"/>
  <c r="G220" i="20" s="1"/>
  <c r="E1349" i="15"/>
  <c r="F212" i="20" s="1"/>
  <c r="G212" i="20" s="1"/>
  <c r="E1342" i="15"/>
  <c r="F204" i="20" s="1"/>
  <c r="H204" i="20" s="1"/>
  <c r="I204" i="20" s="1"/>
  <c r="E1335" i="15"/>
  <c r="F196" i="20" s="1"/>
  <c r="G196" i="20" s="1"/>
  <c r="E1328" i="15"/>
  <c r="F188" i="20" s="1"/>
  <c r="H188" i="20" s="1"/>
  <c r="I188" i="20" s="1"/>
  <c r="E1321" i="15"/>
  <c r="F180" i="20" s="1"/>
  <c r="H180" i="20" s="1"/>
  <c r="I180" i="20" s="1"/>
  <c r="E1314" i="15"/>
  <c r="F172" i="20" s="1"/>
  <c r="H172" i="20" s="1"/>
  <c r="I172" i="20" s="1"/>
  <c r="E1307" i="15"/>
  <c r="F164" i="20" s="1"/>
  <c r="H164" i="20" s="1"/>
  <c r="I164" i="20" s="1"/>
  <c r="E1300" i="15"/>
  <c r="F156" i="20" s="1"/>
  <c r="G156" i="20" s="1"/>
  <c r="E1293" i="15"/>
  <c r="F148" i="20" s="1"/>
  <c r="G148" i="20" s="1"/>
  <c r="E1286" i="15"/>
  <c r="F140" i="20" s="1"/>
  <c r="H140" i="20" s="1"/>
  <c r="I140" i="20" s="1"/>
  <c r="E1279" i="15"/>
  <c r="F130" i="20" s="1"/>
  <c r="H130" i="20" s="1"/>
  <c r="I130" i="20" s="1"/>
  <c r="E1272" i="15"/>
  <c r="F122" i="20" s="1"/>
  <c r="H122" i="20" s="1"/>
  <c r="I122" i="20" s="1"/>
  <c r="E1265" i="15"/>
  <c r="F112" i="20" s="1"/>
  <c r="G112" i="20" s="1"/>
  <c r="E1258" i="15"/>
  <c r="F104" i="20" s="1"/>
  <c r="E1251" i="15"/>
  <c r="F96" i="20" s="1"/>
  <c r="E1244" i="15"/>
  <c r="F88" i="20" s="1"/>
  <c r="E1237" i="15"/>
  <c r="F80" i="20" s="1"/>
  <c r="E1230" i="15"/>
  <c r="F72" i="20" s="1"/>
  <c r="E1223" i="15"/>
  <c r="F64" i="20" s="1"/>
  <c r="E1216" i="15"/>
  <c r="F56" i="20" s="1"/>
  <c r="E1209" i="15"/>
  <c r="F48" i="20" s="1"/>
  <c r="E1202" i="15"/>
  <c r="F40" i="20" s="1"/>
  <c r="H40" i="20" s="1"/>
  <c r="E1195" i="15"/>
  <c r="E1188" i="15"/>
  <c r="F24" i="20" s="1"/>
  <c r="E1181" i="15"/>
  <c r="F14" i="20" s="1"/>
  <c r="H254" i="20"/>
  <c r="I254" i="20" s="1"/>
  <c r="G254" i="20"/>
  <c r="D254" i="20"/>
  <c r="C254" i="20"/>
  <c r="H253" i="20"/>
  <c r="I253" i="20" s="1"/>
  <c r="F253" i="20"/>
  <c r="G253" i="20" s="1"/>
  <c r="D253" i="20"/>
  <c r="C253" i="20"/>
  <c r="H252" i="20"/>
  <c r="I252" i="20" s="1"/>
  <c r="G252" i="20"/>
  <c r="H246" i="20"/>
  <c r="I246" i="20" s="1"/>
  <c r="G246" i="20"/>
  <c r="D246" i="20"/>
  <c r="C246" i="20"/>
  <c r="H245" i="20"/>
  <c r="I245" i="20" s="1"/>
  <c r="F245" i="20"/>
  <c r="G245" i="20" s="1"/>
  <c r="D245" i="20"/>
  <c r="C245" i="20"/>
  <c r="H238" i="20"/>
  <c r="I238" i="20" s="1"/>
  <c r="G238" i="20"/>
  <c r="D238" i="20"/>
  <c r="C238" i="20"/>
  <c r="H237" i="20"/>
  <c r="I237" i="20" s="1"/>
  <c r="F237" i="20"/>
  <c r="G237" i="20" s="1"/>
  <c r="D237" i="20"/>
  <c r="C237" i="20"/>
  <c r="H230" i="20"/>
  <c r="I230" i="20" s="1"/>
  <c r="G230" i="20"/>
  <c r="D230" i="20"/>
  <c r="C230" i="20"/>
  <c r="H229" i="20"/>
  <c r="I229" i="20" s="1"/>
  <c r="F229" i="20"/>
  <c r="G229" i="20" s="1"/>
  <c r="D229" i="20"/>
  <c r="C229" i="20"/>
  <c r="H222" i="20"/>
  <c r="I222" i="20" s="1"/>
  <c r="G222" i="20"/>
  <c r="D222" i="20"/>
  <c r="C222" i="20"/>
  <c r="H221" i="20"/>
  <c r="I221" i="20" s="1"/>
  <c r="F221" i="20"/>
  <c r="G221" i="20" s="1"/>
  <c r="D221" i="20"/>
  <c r="C221" i="20"/>
  <c r="H214" i="20"/>
  <c r="I214" i="20" s="1"/>
  <c r="G214" i="20"/>
  <c r="D214" i="20"/>
  <c r="C214" i="20"/>
  <c r="H213" i="20"/>
  <c r="I213" i="20" s="1"/>
  <c r="F213" i="20"/>
  <c r="G213" i="20" s="1"/>
  <c r="D213" i="20"/>
  <c r="C213" i="20"/>
  <c r="H206" i="20"/>
  <c r="I206" i="20" s="1"/>
  <c r="G206" i="20"/>
  <c r="D206" i="20"/>
  <c r="C206" i="20"/>
  <c r="H205" i="20"/>
  <c r="I205" i="20" s="1"/>
  <c r="F205" i="20"/>
  <c r="G205" i="20" s="1"/>
  <c r="D205" i="20"/>
  <c r="C205" i="20"/>
  <c r="H198" i="20"/>
  <c r="I198" i="20" s="1"/>
  <c r="G198" i="20"/>
  <c r="D198" i="20"/>
  <c r="C198" i="20"/>
  <c r="H197" i="20"/>
  <c r="I197" i="20" s="1"/>
  <c r="F197" i="20"/>
  <c r="G197" i="20" s="1"/>
  <c r="D197" i="20"/>
  <c r="C197" i="20"/>
  <c r="H190" i="20"/>
  <c r="I190" i="20" s="1"/>
  <c r="G190" i="20"/>
  <c r="D190" i="20"/>
  <c r="C190" i="20"/>
  <c r="H189" i="20"/>
  <c r="I189" i="20" s="1"/>
  <c r="F189" i="20"/>
  <c r="G189" i="20" s="1"/>
  <c r="D189" i="20"/>
  <c r="C189" i="20"/>
  <c r="H182" i="20"/>
  <c r="I182" i="20" s="1"/>
  <c r="G182" i="20"/>
  <c r="D182" i="20"/>
  <c r="C182" i="20"/>
  <c r="H181" i="20"/>
  <c r="I181" i="20" s="1"/>
  <c r="F181" i="20"/>
  <c r="G181" i="20" s="1"/>
  <c r="D181" i="20"/>
  <c r="C181" i="20"/>
  <c r="H174" i="20"/>
  <c r="I174" i="20" s="1"/>
  <c r="G174" i="20"/>
  <c r="D174" i="20"/>
  <c r="C174" i="20"/>
  <c r="H173" i="20"/>
  <c r="I173" i="20" s="1"/>
  <c r="F173" i="20"/>
  <c r="G173" i="20" s="1"/>
  <c r="D173" i="20"/>
  <c r="C173" i="20"/>
  <c r="H166" i="20"/>
  <c r="I166" i="20" s="1"/>
  <c r="G166" i="20"/>
  <c r="D166" i="20"/>
  <c r="C166" i="20"/>
  <c r="H165" i="20"/>
  <c r="I165" i="20" s="1"/>
  <c r="F165" i="20"/>
  <c r="G165" i="20" s="1"/>
  <c r="D165" i="20"/>
  <c r="C165" i="20"/>
  <c r="H158" i="20"/>
  <c r="I158" i="20" s="1"/>
  <c r="G158" i="20"/>
  <c r="D158" i="20"/>
  <c r="C158" i="20"/>
  <c r="H157" i="20"/>
  <c r="I157" i="20" s="1"/>
  <c r="F157" i="20"/>
  <c r="G157" i="20" s="1"/>
  <c r="D157" i="20"/>
  <c r="C157" i="20"/>
  <c r="H150" i="20"/>
  <c r="I150" i="20" s="1"/>
  <c r="G150" i="20"/>
  <c r="D150" i="20"/>
  <c r="C150" i="20"/>
  <c r="H149" i="20"/>
  <c r="I149" i="20" s="1"/>
  <c r="F149" i="20"/>
  <c r="G149" i="20" s="1"/>
  <c r="D149" i="20"/>
  <c r="C149" i="20"/>
  <c r="H142" i="20"/>
  <c r="I142" i="20" s="1"/>
  <c r="G142" i="20"/>
  <c r="D142" i="20"/>
  <c r="C142" i="20"/>
  <c r="H141" i="20"/>
  <c r="I141" i="20" s="1"/>
  <c r="F141" i="20"/>
  <c r="G141" i="20" s="1"/>
  <c r="D141" i="20"/>
  <c r="C141" i="20"/>
  <c r="H134" i="20"/>
  <c r="I134" i="20" s="1"/>
  <c r="G134" i="20"/>
  <c r="D134" i="20"/>
  <c r="C134" i="20"/>
  <c r="H133" i="20"/>
  <c r="I133" i="20" s="1"/>
  <c r="F133" i="20"/>
  <c r="G133" i="20" s="1"/>
  <c r="D133" i="20"/>
  <c r="C133" i="20"/>
  <c r="H132" i="20"/>
  <c r="I132" i="20" s="1"/>
  <c r="F132" i="20"/>
  <c r="G132" i="20" s="1"/>
  <c r="D132" i="20"/>
  <c r="C132" i="20"/>
  <c r="H131" i="20"/>
  <c r="I131" i="20" s="1"/>
  <c r="F131" i="20"/>
  <c r="G131" i="20" s="1"/>
  <c r="D131" i="20"/>
  <c r="C131" i="20"/>
  <c r="H124" i="20"/>
  <c r="I124" i="20" s="1"/>
  <c r="G124" i="20"/>
  <c r="D124" i="20"/>
  <c r="C124" i="20"/>
  <c r="H123" i="20"/>
  <c r="I123" i="20" s="1"/>
  <c r="F123" i="20"/>
  <c r="G123" i="20" s="1"/>
  <c r="D123" i="20"/>
  <c r="C123" i="20"/>
  <c r="C114" i="20"/>
  <c r="D114" i="20"/>
  <c r="F114" i="20"/>
  <c r="G114" i="20" s="1"/>
  <c r="H114" i="20"/>
  <c r="I114" i="20" s="1"/>
  <c r="C115" i="20"/>
  <c r="D115" i="20"/>
  <c r="F115" i="20"/>
  <c r="G115" i="20" s="1"/>
  <c r="H115" i="20"/>
  <c r="I115" i="20" s="1"/>
  <c r="H116" i="20"/>
  <c r="I116" i="20" s="1"/>
  <c r="G116" i="20"/>
  <c r="D116" i="20"/>
  <c r="C116" i="20"/>
  <c r="H113" i="20"/>
  <c r="I113" i="20" s="1"/>
  <c r="F113" i="20"/>
  <c r="G113" i="20" s="1"/>
  <c r="D113" i="20"/>
  <c r="C113" i="20"/>
  <c r="F228" i="20" l="1"/>
  <c r="H228" i="20" s="1"/>
  <c r="I228" i="20" s="1"/>
  <c r="I231" i="20" s="1"/>
  <c r="G172" i="20"/>
  <c r="H148" i="20"/>
  <c r="I148" i="20" s="1"/>
  <c r="I151" i="20" s="1"/>
  <c r="G151" i="20"/>
  <c r="H244" i="20"/>
  <c r="I244" i="20" s="1"/>
  <c r="I247" i="20" s="1"/>
  <c r="G236" i="20"/>
  <c r="G239" i="20" s="1"/>
  <c r="H220" i="20"/>
  <c r="I220" i="20" s="1"/>
  <c r="I223" i="20" s="1"/>
  <c r="H212" i="20"/>
  <c r="I212" i="20" s="1"/>
  <c r="I215" i="20" s="1"/>
  <c r="G204" i="20"/>
  <c r="G207" i="20" s="1"/>
  <c r="H196" i="20"/>
  <c r="I196" i="20" s="1"/>
  <c r="I199" i="20" s="1"/>
  <c r="G188" i="20"/>
  <c r="G191" i="20" s="1"/>
  <c r="G180" i="20"/>
  <c r="G183" i="20" s="1"/>
  <c r="G164" i="20"/>
  <c r="G167" i="20" s="1"/>
  <c r="H156" i="20"/>
  <c r="I156" i="20" s="1"/>
  <c r="I159" i="20" s="1"/>
  <c r="G140" i="20"/>
  <c r="G143" i="20" s="1"/>
  <c r="F32" i="20"/>
  <c r="G32" i="20" s="1"/>
  <c r="H32" i="20"/>
  <c r="I32" i="20" s="1"/>
  <c r="G130" i="20"/>
  <c r="G135" i="20" s="1"/>
  <c r="G122" i="20"/>
  <c r="G125" i="20" s="1"/>
  <c r="H112" i="20"/>
  <c r="I112" i="20" s="1"/>
  <c r="I117" i="20" s="1"/>
  <c r="G215" i="20"/>
  <c r="G159" i="20"/>
  <c r="I183" i="20"/>
  <c r="I207" i="20"/>
  <c r="I175" i="20"/>
  <c r="G175" i="20"/>
  <c r="G255" i="20"/>
  <c r="I255" i="20"/>
  <c r="G247" i="20"/>
  <c r="I239" i="20"/>
  <c r="G223" i="20"/>
  <c r="G199" i="20"/>
  <c r="I191" i="20"/>
  <c r="I167" i="20"/>
  <c r="I143" i="20"/>
  <c r="I135" i="20"/>
  <c r="I125" i="20"/>
  <c r="G117" i="20"/>
  <c r="H106" i="20"/>
  <c r="I106" i="20" s="1"/>
  <c r="G106" i="20"/>
  <c r="D106" i="20"/>
  <c r="C106" i="20"/>
  <c r="H105" i="20"/>
  <c r="I105" i="20" s="1"/>
  <c r="F105" i="20"/>
  <c r="G105" i="20" s="1"/>
  <c r="D105" i="20"/>
  <c r="C105" i="20"/>
  <c r="H104" i="20"/>
  <c r="I104" i="20" s="1"/>
  <c r="G104" i="20"/>
  <c r="H98" i="20"/>
  <c r="I98" i="20" s="1"/>
  <c r="G98" i="20"/>
  <c r="D98" i="20"/>
  <c r="C98" i="20"/>
  <c r="H97" i="20"/>
  <c r="I97" i="20" s="1"/>
  <c r="F97" i="20"/>
  <c r="G97" i="20" s="1"/>
  <c r="D97" i="20"/>
  <c r="C97" i="20"/>
  <c r="H96" i="20"/>
  <c r="I96" i="20" s="1"/>
  <c r="G96" i="20"/>
  <c r="H90" i="20"/>
  <c r="I90" i="20" s="1"/>
  <c r="G90" i="20"/>
  <c r="D90" i="20"/>
  <c r="C90" i="20"/>
  <c r="H89" i="20"/>
  <c r="I89" i="20" s="1"/>
  <c r="F89" i="20"/>
  <c r="G89" i="20" s="1"/>
  <c r="D89" i="20"/>
  <c r="C89" i="20"/>
  <c r="H88" i="20"/>
  <c r="I88" i="20" s="1"/>
  <c r="G88" i="20"/>
  <c r="H80" i="20"/>
  <c r="I80" i="20" s="1"/>
  <c r="H72" i="20"/>
  <c r="I72" i="20" s="1"/>
  <c r="H64" i="20"/>
  <c r="I64" i="20" s="1"/>
  <c r="H56" i="20"/>
  <c r="I56" i="20" s="1"/>
  <c r="H48" i="20"/>
  <c r="I48" i="20" s="1"/>
  <c r="H14" i="20"/>
  <c r="I14" i="20" s="1"/>
  <c r="H24" i="20"/>
  <c r="I24" i="20" s="1"/>
  <c r="G80" i="20"/>
  <c r="H82" i="20"/>
  <c r="I82" i="20" s="1"/>
  <c r="G82" i="20"/>
  <c r="D82" i="20"/>
  <c r="C82" i="20"/>
  <c r="H81" i="20"/>
  <c r="I81" i="20" s="1"/>
  <c r="F81" i="20"/>
  <c r="G81" i="20" s="1"/>
  <c r="D81" i="20"/>
  <c r="C81" i="20"/>
  <c r="H74" i="20"/>
  <c r="I74" i="20" s="1"/>
  <c r="G74" i="20"/>
  <c r="D74" i="20"/>
  <c r="C74" i="20"/>
  <c r="H73" i="20"/>
  <c r="I73" i="20" s="1"/>
  <c r="F73" i="20"/>
  <c r="G73" i="20" s="1"/>
  <c r="D73" i="20"/>
  <c r="C73" i="20"/>
  <c r="G72" i="20"/>
  <c r="H66" i="20"/>
  <c r="I66" i="20" s="1"/>
  <c r="G66" i="20"/>
  <c r="D66" i="20"/>
  <c r="C66" i="20"/>
  <c r="H65" i="20"/>
  <c r="I65" i="20" s="1"/>
  <c r="F65" i="20"/>
  <c r="G65" i="20" s="1"/>
  <c r="D65" i="20"/>
  <c r="C65" i="20"/>
  <c r="G64" i="20"/>
  <c r="I58" i="20"/>
  <c r="G58" i="20"/>
  <c r="D58" i="20"/>
  <c r="C58" i="20"/>
  <c r="H57" i="20"/>
  <c r="I57" i="20" s="1"/>
  <c r="F57" i="20"/>
  <c r="G57" i="20" s="1"/>
  <c r="D57" i="20"/>
  <c r="C57" i="20"/>
  <c r="G56" i="20"/>
  <c r="H50" i="20"/>
  <c r="I50" i="20" s="1"/>
  <c r="G50" i="20"/>
  <c r="D50" i="20"/>
  <c r="C50" i="20"/>
  <c r="H49" i="20"/>
  <c r="I49" i="20" s="1"/>
  <c r="F49" i="20"/>
  <c r="G49" i="20" s="1"/>
  <c r="D49" i="20"/>
  <c r="C49" i="20"/>
  <c r="G48" i="20"/>
  <c r="I42" i="20"/>
  <c r="G42" i="20"/>
  <c r="D42" i="20"/>
  <c r="C42" i="20"/>
  <c r="H41" i="20"/>
  <c r="I41" i="20" s="1"/>
  <c r="F41" i="20"/>
  <c r="G41" i="20" s="1"/>
  <c r="D41" i="20"/>
  <c r="C41" i="20"/>
  <c r="I40" i="20"/>
  <c r="G40" i="20"/>
  <c r="C16" i="20"/>
  <c r="D16" i="20"/>
  <c r="G16" i="20"/>
  <c r="I16" i="20"/>
  <c r="C17" i="20"/>
  <c r="D17" i="20"/>
  <c r="G17" i="20"/>
  <c r="I17" i="20"/>
  <c r="H34" i="20"/>
  <c r="I34" i="20" s="1"/>
  <c r="G34" i="20"/>
  <c r="D34" i="20"/>
  <c r="C34" i="20"/>
  <c r="H33" i="20"/>
  <c r="I33" i="20" s="1"/>
  <c r="F33" i="20"/>
  <c r="G33" i="20" s="1"/>
  <c r="D33" i="20"/>
  <c r="C33" i="20"/>
  <c r="H26" i="20"/>
  <c r="I26" i="20" s="1"/>
  <c r="G26" i="20"/>
  <c r="D26" i="20"/>
  <c r="C26" i="20"/>
  <c r="H25" i="20"/>
  <c r="I25" i="20" s="1"/>
  <c r="F25" i="20"/>
  <c r="G25" i="20" s="1"/>
  <c r="D25" i="20"/>
  <c r="C25" i="20"/>
  <c r="G24" i="20"/>
  <c r="E5" i="20"/>
  <c r="E4" i="20"/>
  <c r="I18" i="20"/>
  <c r="G18" i="20"/>
  <c r="D18" i="20"/>
  <c r="C18" i="20"/>
  <c r="H15" i="20"/>
  <c r="I15" i="20" s="1"/>
  <c r="F15" i="20"/>
  <c r="G15" i="20" s="1"/>
  <c r="D15" i="20"/>
  <c r="C15" i="20"/>
  <c r="G14" i="20"/>
  <c r="B4" i="20"/>
  <c r="B5" i="20"/>
  <c r="B6" i="20"/>
  <c r="B7" i="20"/>
  <c r="A2" i="20"/>
  <c r="A4" i="20"/>
  <c r="A5" i="20"/>
  <c r="A6" i="20"/>
  <c r="A7" i="20"/>
  <c r="A1" i="20"/>
  <c r="G228" i="20" l="1"/>
  <c r="G231" i="20" s="1"/>
  <c r="I91" i="20"/>
  <c r="G107" i="20"/>
  <c r="G27" i="20"/>
  <c r="G35" i="20"/>
  <c r="I99" i="20"/>
  <c r="G51" i="20"/>
  <c r="G83" i="20"/>
  <c r="I83" i="20"/>
  <c r="I51" i="20"/>
  <c r="I27" i="20"/>
  <c r="G91" i="20"/>
  <c r="I107" i="20"/>
  <c r="G67" i="20"/>
  <c r="I67" i="20"/>
  <c r="I59" i="20"/>
  <c r="G99" i="20"/>
  <c r="G75" i="20"/>
  <c r="I75" i="20"/>
  <c r="G59" i="20"/>
  <c r="G43" i="20"/>
  <c r="I43" i="20"/>
  <c r="I35" i="20"/>
  <c r="G19" i="20"/>
  <c r="I19" i="20"/>
  <c r="E1714" i="3" l="1"/>
  <c r="E1693" i="3"/>
  <c r="F1712" i="3"/>
  <c r="E1692" i="3"/>
  <c r="E1713" i="3"/>
  <c r="E1712" i="3"/>
  <c r="E1711" i="3"/>
  <c r="E1720" i="3" l="1"/>
  <c r="E1719" i="3"/>
  <c r="E1718" i="3"/>
  <c r="E1717" i="3"/>
  <c r="E1716" i="3"/>
  <c r="E1715" i="3"/>
  <c r="F1710" i="3"/>
  <c r="E1710" i="3"/>
  <c r="E1709" i="3"/>
  <c r="E1708" i="3"/>
  <c r="F1707" i="3"/>
  <c r="E1707" i="3"/>
  <c r="E1706" i="3"/>
  <c r="E1705" i="3"/>
  <c r="F1691" i="3"/>
  <c r="F1688" i="3"/>
  <c r="J1688" i="3" l="1"/>
  <c r="H1688" i="3"/>
  <c r="J1691" i="3"/>
  <c r="H1691" i="3"/>
  <c r="H1710" i="3"/>
  <c r="J1710" i="3"/>
  <c r="H1707" i="3"/>
  <c r="J1707" i="3"/>
  <c r="E1696" i="3"/>
  <c r="E1695" i="3"/>
  <c r="E1694" i="3"/>
  <c r="E1691" i="3"/>
  <c r="E1690" i="3"/>
  <c r="E1689" i="3"/>
  <c r="E1688" i="3"/>
  <c r="E1687" i="3"/>
  <c r="E1686" i="3"/>
  <c r="E1699" i="3"/>
  <c r="E1698" i="3"/>
  <c r="E1697" i="3"/>
  <c r="H1721" i="3" l="1"/>
  <c r="J1722" i="3"/>
  <c r="J1701" i="3"/>
  <c r="H1700" i="3"/>
  <c r="E247" i="15" l="1"/>
  <c r="E1680" i="3" l="1"/>
  <c r="E1679" i="3"/>
  <c r="E1678" i="3"/>
  <c r="E1650" i="3"/>
  <c r="E1649" i="3"/>
  <c r="E1648" i="3"/>
  <c r="E1620" i="3"/>
  <c r="E1619" i="3"/>
  <c r="E1618" i="3"/>
  <c r="E1590" i="3"/>
  <c r="E1589" i="3"/>
  <c r="E1588" i="3"/>
  <c r="E1560" i="3"/>
  <c r="E1559" i="3"/>
  <c r="E1558" i="3"/>
  <c r="E1530" i="3"/>
  <c r="E1529" i="3"/>
  <c r="E1528" i="3"/>
  <c r="E1500" i="3"/>
  <c r="E1499" i="3"/>
  <c r="E1498" i="3"/>
  <c r="E1470" i="3"/>
  <c r="E1469" i="3"/>
  <c r="E1468" i="3"/>
  <c r="E1440" i="3"/>
  <c r="E1439" i="3"/>
  <c r="E1438" i="3"/>
  <c r="E1410" i="3"/>
  <c r="E1409" i="3"/>
  <c r="E1408" i="3"/>
  <c r="E1380" i="3"/>
  <c r="E1379" i="3"/>
  <c r="E1378" i="3"/>
  <c r="E1350" i="3"/>
  <c r="E1349" i="3"/>
  <c r="E1348" i="3"/>
  <c r="E1320" i="3"/>
  <c r="E1319" i="3"/>
  <c r="E1318" i="3"/>
  <c r="E1290" i="3"/>
  <c r="E1289" i="3"/>
  <c r="E1288" i="3"/>
  <c r="E1260" i="3"/>
  <c r="E1259" i="3"/>
  <c r="E1258" i="3"/>
  <c r="E1236" i="3"/>
  <c r="E1235" i="3"/>
  <c r="E1234" i="3"/>
  <c r="E1206" i="3"/>
  <c r="E1205" i="3"/>
  <c r="E1204" i="3"/>
  <c r="E1176" i="3"/>
  <c r="E1175" i="3"/>
  <c r="E1174" i="3"/>
  <c r="E1146" i="3"/>
  <c r="E1145" i="3"/>
  <c r="E1144" i="3"/>
  <c r="E1116" i="3"/>
  <c r="E1115" i="3"/>
  <c r="E1114" i="3"/>
  <c r="E1086" i="3"/>
  <c r="E1085" i="3"/>
  <c r="E1084" i="3"/>
  <c r="E1056" i="3"/>
  <c r="E1055" i="3"/>
  <c r="E1054" i="3"/>
  <c r="E1026" i="3"/>
  <c r="E1025" i="3"/>
  <c r="E1024" i="3"/>
  <c r="E996" i="3"/>
  <c r="E995" i="3"/>
  <c r="E994" i="3"/>
  <c r="E966" i="3"/>
  <c r="E965" i="3"/>
  <c r="E964" i="3"/>
  <c r="E936" i="3"/>
  <c r="E935" i="3"/>
  <c r="E934" i="3"/>
  <c r="E906" i="3"/>
  <c r="E905" i="3"/>
  <c r="E904" i="3"/>
  <c r="E880" i="3"/>
  <c r="E879" i="3"/>
  <c r="E878" i="3"/>
  <c r="E240" i="15"/>
  <c r="E854" i="3"/>
  <c r="E853" i="3"/>
  <c r="E852" i="3"/>
  <c r="E829" i="3"/>
  <c r="E828" i="3"/>
  <c r="E827" i="3"/>
  <c r="E799" i="3"/>
  <c r="E798" i="3"/>
  <c r="E797" i="3"/>
  <c r="F794" i="3"/>
  <c r="F790" i="3"/>
  <c r="F789" i="3"/>
  <c r="F785" i="3"/>
  <c r="F784" i="3"/>
  <c r="F783" i="3"/>
  <c r="F782" i="3"/>
  <c r="F781" i="3"/>
  <c r="F780" i="3"/>
  <c r="F779" i="3"/>
  <c r="F778" i="3"/>
  <c r="F777" i="3"/>
  <c r="F776" i="3"/>
  <c r="F775" i="3"/>
  <c r="F764" i="3"/>
  <c r="F760" i="3"/>
  <c r="F759" i="3"/>
  <c r="F755" i="3"/>
  <c r="F754" i="3"/>
  <c r="F753" i="3"/>
  <c r="F752" i="3"/>
  <c r="F751" i="3"/>
  <c r="F750" i="3"/>
  <c r="F749" i="3"/>
  <c r="F748" i="3"/>
  <c r="F747" i="3"/>
  <c r="F746" i="3"/>
  <c r="F745" i="3"/>
  <c r="E769" i="3"/>
  <c r="E768" i="3"/>
  <c r="E767" i="3"/>
  <c r="E233" i="15"/>
  <c r="E226" i="15"/>
  <c r="E219" i="15"/>
  <c r="E212" i="15"/>
  <c r="E205" i="15"/>
  <c r="E198" i="15"/>
  <c r="E191" i="15"/>
  <c r="E184" i="15"/>
  <c r="E177" i="15"/>
  <c r="E170" i="15"/>
  <c r="E163" i="15"/>
  <c r="E737" i="3"/>
  <c r="E739" i="3" l="1"/>
  <c r="E738" i="3"/>
  <c r="B125" i="19"/>
  <c r="A125" i="19"/>
  <c r="D49" i="1" l="1"/>
  <c r="C49" i="1"/>
  <c r="B54" i="23" l="1"/>
  <c r="C54" i="23"/>
  <c r="F707" i="3" l="1"/>
  <c r="E156" i="15" l="1"/>
  <c r="E709" i="3"/>
  <c r="E708" i="3"/>
  <c r="E706" i="3"/>
  <c r="F697" i="3"/>
  <c r="F659" i="3"/>
  <c r="F646" i="3"/>
  <c r="F633" i="3"/>
  <c r="F620" i="3"/>
  <c r="F607" i="3"/>
  <c r="F594" i="3" l="1"/>
  <c r="F581" i="3"/>
  <c r="E554" i="3"/>
  <c r="E553" i="3"/>
  <c r="F550" i="3"/>
  <c r="E550" i="3"/>
  <c r="E367" i="3" l="1"/>
  <c r="F365" i="3" l="1"/>
  <c r="E365" i="3"/>
  <c r="F366" i="3"/>
  <c r="E366" i="3"/>
  <c r="A229" i="1" l="1"/>
  <c r="B229" i="1"/>
  <c r="D229" i="1" l="1"/>
  <c r="C266" i="23"/>
  <c r="C229" i="1"/>
  <c r="B266" i="23"/>
  <c r="B7" i="19" l="1"/>
  <c r="A7" i="19"/>
  <c r="B6" i="19"/>
  <c r="A6" i="19"/>
  <c r="B5" i="19"/>
  <c r="A5" i="19"/>
  <c r="E4" i="19"/>
  <c r="B4" i="19"/>
  <c r="A4" i="19"/>
  <c r="A2" i="19"/>
  <c r="A1" i="19"/>
  <c r="A113" i="19" l="1"/>
  <c r="B113" i="19"/>
  <c r="A114" i="19"/>
  <c r="B114" i="19"/>
  <c r="A111" i="19"/>
  <c r="A115" i="19"/>
  <c r="B111" i="19"/>
  <c r="B115" i="19"/>
  <c r="A112" i="19"/>
  <c r="B112" i="19"/>
  <c r="A55" i="5"/>
  <c r="B55" i="5" l="1"/>
  <c r="B110" i="19" s="1"/>
  <c r="A110" i="19"/>
  <c r="A54" i="5"/>
  <c r="A328" i="1"/>
  <c r="C328" i="1"/>
  <c r="A329" i="1"/>
  <c r="B329" i="1"/>
  <c r="B332" i="1"/>
  <c r="B335" i="1"/>
  <c r="B336" i="1"/>
  <c r="B337" i="1"/>
  <c r="B54" i="5" l="1"/>
  <c r="B20" i="6" s="1"/>
  <c r="C329" i="1"/>
  <c r="B372" i="23"/>
  <c r="C335" i="1"/>
  <c r="B378" i="23"/>
  <c r="C337" i="1"/>
  <c r="B380" i="23"/>
  <c r="D329" i="1"/>
  <c r="C372" i="23"/>
  <c r="D335" i="1"/>
  <c r="C378" i="23"/>
  <c r="D337" i="1"/>
  <c r="C380" i="23"/>
  <c r="C332" i="1"/>
  <c r="B375" i="23"/>
  <c r="C336" i="1"/>
  <c r="B379" i="23"/>
  <c r="D332" i="1"/>
  <c r="C375" i="23"/>
  <c r="D336" i="1"/>
  <c r="C379" i="23"/>
  <c r="A20" i="6"/>
  <c r="A106" i="19"/>
  <c r="A108" i="19"/>
  <c r="B108" i="19"/>
  <c r="A109" i="19"/>
  <c r="B109" i="19"/>
  <c r="A358" i="1"/>
  <c r="A357" i="1"/>
  <c r="B106" i="19" l="1"/>
  <c r="B226" i="1" l="1"/>
  <c r="A226" i="1"/>
  <c r="A227" i="1"/>
  <c r="A228" i="1"/>
  <c r="E676" i="15"/>
  <c r="E669" i="15"/>
  <c r="C226" i="1" l="1"/>
  <c r="B263" i="23"/>
  <c r="D226" i="1"/>
  <c r="C263" i="23"/>
  <c r="B223" i="1" l="1"/>
  <c r="B224" i="1"/>
  <c r="B225" i="1"/>
  <c r="B222" i="1"/>
  <c r="A223" i="1"/>
  <c r="A224" i="1"/>
  <c r="A225" i="1"/>
  <c r="A222" i="1"/>
  <c r="D224" i="1" l="1"/>
  <c r="C261" i="23"/>
  <c r="C224" i="1"/>
  <c r="B261" i="23"/>
  <c r="C222" i="1"/>
  <c r="B259" i="23"/>
  <c r="D223" i="1"/>
  <c r="C260" i="23"/>
  <c r="C223" i="1"/>
  <c r="B260" i="23"/>
  <c r="D222" i="1"/>
  <c r="C259" i="23"/>
  <c r="E149" i="15" l="1"/>
  <c r="E932" i="15" l="1"/>
  <c r="E142" i="15"/>
  <c r="E699" i="3" l="1"/>
  <c r="E698" i="3"/>
  <c r="E697" i="3"/>
  <c r="E696" i="3"/>
  <c r="E689" i="3"/>
  <c r="E688" i="3"/>
  <c r="E687" i="3"/>
  <c r="E686" i="3"/>
  <c r="H690" i="3" l="1"/>
  <c r="H700" i="3"/>
  <c r="J691" i="3"/>
  <c r="J701" i="3"/>
  <c r="B107" i="19" l="1"/>
  <c r="A107" i="19"/>
  <c r="A28" i="5"/>
  <c r="J681" i="3"/>
  <c r="H680" i="3"/>
  <c r="E679" i="3"/>
  <c r="E1158" i="15"/>
  <c r="E1151" i="15"/>
  <c r="E1144" i="15"/>
  <c r="E1009" i="15"/>
  <c r="E1002" i="15"/>
  <c r="E995" i="15"/>
  <c r="E988" i="15"/>
  <c r="E981" i="15"/>
  <c r="E974" i="15"/>
  <c r="E967" i="15"/>
  <c r="E960" i="15"/>
  <c r="E953" i="15"/>
  <c r="E946" i="15"/>
  <c r="E939" i="15"/>
  <c r="E925" i="15"/>
  <c r="E918" i="15"/>
  <c r="E911" i="15"/>
  <c r="E904" i="15"/>
  <c r="E897" i="15"/>
  <c r="E890" i="15"/>
  <c r="E883" i="15"/>
  <c r="E876" i="15"/>
  <c r="E869" i="15"/>
  <c r="E862" i="15"/>
  <c r="E855" i="15"/>
  <c r="E848" i="15"/>
  <c r="E841" i="15"/>
  <c r="E834" i="15"/>
  <c r="E827" i="15"/>
  <c r="E820" i="15"/>
  <c r="E813" i="15"/>
  <c r="E806" i="15"/>
  <c r="E799" i="15"/>
  <c r="E792" i="15"/>
  <c r="E785" i="15"/>
  <c r="E778" i="15"/>
  <c r="E771" i="15"/>
  <c r="E762" i="15"/>
  <c r="B28" i="5" l="1"/>
  <c r="B25" i="19" s="1"/>
  <c r="A26" i="19"/>
  <c r="B38" i="19"/>
  <c r="B49" i="19"/>
  <c r="A27" i="19"/>
  <c r="A46" i="19"/>
  <c r="A50" i="19"/>
  <c r="B27" i="19"/>
  <c r="B46" i="19"/>
  <c r="B50" i="19"/>
  <c r="A28" i="19"/>
  <c r="A47" i="19"/>
  <c r="A51" i="19"/>
  <c r="A38" i="19"/>
  <c r="B28" i="19"/>
  <c r="B47" i="19"/>
  <c r="B51" i="19"/>
  <c r="B26" i="19"/>
  <c r="A16" i="6"/>
  <c r="A25" i="19"/>
  <c r="A29" i="19"/>
  <c r="A48" i="19"/>
  <c r="A49" i="19"/>
  <c r="B29" i="19"/>
  <c r="B48" i="19"/>
  <c r="B16" i="6" l="1"/>
  <c r="B201" i="23" l="1"/>
  <c r="D171" i="1" l="1"/>
  <c r="C201" i="23"/>
  <c r="A30" i="1" l="1"/>
  <c r="B30" i="1"/>
  <c r="C30" i="1" l="1"/>
  <c r="B32" i="23"/>
  <c r="D30" i="1"/>
  <c r="C32" i="23"/>
  <c r="E673" i="3"/>
  <c r="E672" i="3"/>
  <c r="E671" i="3"/>
  <c r="E663" i="3"/>
  <c r="E662" i="3"/>
  <c r="E661" i="3"/>
  <c r="E660" i="3"/>
  <c r="F660" i="3"/>
  <c r="E659" i="3"/>
  <c r="F658" i="3"/>
  <c r="E658" i="3"/>
  <c r="E657" i="3"/>
  <c r="J660" i="3" l="1"/>
  <c r="H660" i="3"/>
  <c r="J658" i="3"/>
  <c r="H658" i="3"/>
  <c r="F647" i="3"/>
  <c r="E650" i="3"/>
  <c r="E649" i="3"/>
  <c r="E648" i="3"/>
  <c r="E647" i="3"/>
  <c r="E646" i="3"/>
  <c r="F645" i="3"/>
  <c r="E645" i="3"/>
  <c r="E644" i="3"/>
  <c r="E637" i="3"/>
  <c r="E636" i="3"/>
  <c r="E635" i="3"/>
  <c r="E634" i="3"/>
  <c r="F634" i="3"/>
  <c r="E633" i="3"/>
  <c r="F632" i="3"/>
  <c r="E632" i="3"/>
  <c r="E631" i="3"/>
  <c r="F621" i="3"/>
  <c r="E624" i="3"/>
  <c r="E623" i="3"/>
  <c r="E622" i="3"/>
  <c r="E621" i="3"/>
  <c r="E620" i="3"/>
  <c r="F619" i="3"/>
  <c r="E619" i="3"/>
  <c r="E618" i="3"/>
  <c r="E611" i="3"/>
  <c r="E610" i="3"/>
  <c r="E609" i="3"/>
  <c r="E608" i="3"/>
  <c r="F608" i="3"/>
  <c r="E607" i="3"/>
  <c r="F606" i="3"/>
  <c r="E606" i="3"/>
  <c r="E605" i="3"/>
  <c r="E598" i="3"/>
  <c r="E597" i="3"/>
  <c r="E596" i="3"/>
  <c r="E595" i="3"/>
  <c r="F595" i="3"/>
  <c r="E594" i="3"/>
  <c r="F593" i="3"/>
  <c r="E593" i="3"/>
  <c r="E592" i="3"/>
  <c r="H621" i="3" l="1"/>
  <c r="J621" i="3"/>
  <c r="H606" i="3"/>
  <c r="J606" i="3"/>
  <c r="H595" i="3"/>
  <c r="J595" i="3"/>
  <c r="H619" i="3"/>
  <c r="J619" i="3"/>
  <c r="J647" i="3"/>
  <c r="H647" i="3"/>
  <c r="H593" i="3"/>
  <c r="J593" i="3"/>
  <c r="H608" i="3"/>
  <c r="J608" i="3"/>
  <c r="J632" i="3"/>
  <c r="H632" i="3"/>
  <c r="J645" i="3"/>
  <c r="H645" i="3"/>
  <c r="H634" i="3"/>
  <c r="J634" i="3"/>
  <c r="H664" i="3"/>
  <c r="J665" i="3"/>
  <c r="J639" i="3" l="1"/>
  <c r="J652" i="3"/>
  <c r="H625" i="3"/>
  <c r="H612" i="3"/>
  <c r="J600" i="3"/>
  <c r="H599" i="3"/>
  <c r="H638" i="3"/>
  <c r="J626" i="3"/>
  <c r="H651" i="3"/>
  <c r="J613" i="3"/>
  <c r="C94" i="1"/>
  <c r="A94" i="1"/>
  <c r="B96" i="1"/>
  <c r="B92" i="1"/>
  <c r="B91" i="1"/>
  <c r="A92" i="1"/>
  <c r="A91" i="1"/>
  <c r="C90" i="1"/>
  <c r="A90" i="1"/>
  <c r="C83" i="1"/>
  <c r="A83" i="1"/>
  <c r="C96" i="1" l="1"/>
  <c r="B112" i="23"/>
  <c r="D96" i="1"/>
  <c r="C112" i="23"/>
  <c r="D91" i="1"/>
  <c r="C106" i="23"/>
  <c r="C91" i="1"/>
  <c r="B106" i="23"/>
  <c r="C92" i="1"/>
  <c r="B107" i="23"/>
  <c r="D92" i="1"/>
  <c r="C107" i="23"/>
  <c r="F6" i="1" l="1"/>
  <c r="F4" i="1"/>
  <c r="F4" i="5"/>
  <c r="E4" i="5"/>
  <c r="J4" i="3"/>
  <c r="H4" i="3"/>
  <c r="H4" i="15"/>
  <c r="G4" i="15"/>
  <c r="C7" i="4"/>
  <c r="C6" i="4"/>
  <c r="H4" i="20" l="1"/>
  <c r="I4" i="20"/>
  <c r="E585" i="3" l="1"/>
  <c r="E584" i="3"/>
  <c r="E583" i="3"/>
  <c r="E582" i="3"/>
  <c r="F582" i="3"/>
  <c r="E581" i="3"/>
  <c r="F580" i="3"/>
  <c r="E580" i="3"/>
  <c r="E579" i="3"/>
  <c r="H580" i="3" l="1"/>
  <c r="J580" i="3"/>
  <c r="J582" i="3"/>
  <c r="H582" i="3"/>
  <c r="E572" i="3"/>
  <c r="E571" i="3"/>
  <c r="E563" i="3"/>
  <c r="E562" i="3"/>
  <c r="A399" i="1"/>
  <c r="A398" i="1"/>
  <c r="A396" i="1"/>
  <c r="A395" i="1"/>
  <c r="A394" i="1"/>
  <c r="A385" i="1"/>
  <c r="A386" i="1"/>
  <c r="A388" i="1"/>
  <c r="A389" i="1"/>
  <c r="A390" i="1"/>
  <c r="A391" i="1"/>
  <c r="A384" i="1"/>
  <c r="A383" i="1"/>
  <c r="A378" i="1"/>
  <c r="A377" i="1"/>
  <c r="A376" i="1"/>
  <c r="J587" i="3" l="1"/>
  <c r="H586" i="3"/>
  <c r="E552" i="3" l="1"/>
  <c r="E551" i="3"/>
  <c r="E549" i="3"/>
  <c r="E543" i="3"/>
  <c r="H555" i="3" l="1"/>
  <c r="J556" i="3"/>
  <c r="F524" i="3" l="1"/>
  <c r="F372" i="3"/>
  <c r="F371" i="3"/>
  <c r="F369" i="3"/>
  <c r="F355" i="3"/>
  <c r="F354" i="3"/>
  <c r="F342" i="3"/>
  <c r="F341" i="3"/>
  <c r="F329" i="3"/>
  <c r="F328" i="3"/>
  <c r="F317" i="3"/>
  <c r="F308" i="3"/>
  <c r="F307" i="3"/>
  <c r="F304" i="3"/>
  <c r="F303" i="3"/>
  <c r="F295" i="3"/>
  <c r="F294" i="3"/>
  <c r="F291" i="3"/>
  <c r="F290" i="3"/>
  <c r="F282" i="3"/>
  <c r="F281" i="3"/>
  <c r="F278" i="3"/>
  <c r="F277" i="3"/>
  <c r="F265" i="3"/>
  <c r="F264" i="3"/>
  <c r="F252" i="3"/>
  <c r="F251" i="3"/>
  <c r="F243" i="3"/>
  <c r="F242" i="3"/>
  <c r="F239" i="3"/>
  <c r="F238" i="3"/>
  <c r="F177" i="3"/>
  <c r="F167" i="3"/>
  <c r="F157" i="3"/>
  <c r="F147" i="3"/>
  <c r="F137" i="3"/>
  <c r="F127" i="3"/>
  <c r="F60" i="3"/>
  <c r="F59" i="3"/>
  <c r="F25" i="3"/>
  <c r="B399" i="1"/>
  <c r="B396" i="1"/>
  <c r="B395" i="1"/>
  <c r="B385" i="1"/>
  <c r="B386" i="1"/>
  <c r="B388" i="1"/>
  <c r="B390" i="1"/>
  <c r="B391" i="1"/>
  <c r="B384" i="1"/>
  <c r="B379" i="1"/>
  <c r="E10" i="5"/>
  <c r="C10" i="5"/>
  <c r="J354" i="3" l="1"/>
  <c r="H354" i="3"/>
  <c r="H341" i="3"/>
  <c r="J341" i="3"/>
  <c r="H369" i="3"/>
  <c r="J369" i="3"/>
  <c r="H238" i="3"/>
  <c r="J238" i="3"/>
  <c r="H251" i="3"/>
  <c r="J251" i="3"/>
  <c r="J290" i="3"/>
  <c r="H290" i="3"/>
  <c r="J371" i="3"/>
  <c r="H371" i="3"/>
  <c r="J303" i="3"/>
  <c r="H303" i="3"/>
  <c r="H328" i="3"/>
  <c r="J328" i="3"/>
  <c r="J372" i="3"/>
  <c r="H372" i="3"/>
  <c r="H277" i="3"/>
  <c r="J277" i="3"/>
  <c r="H264" i="3"/>
  <c r="J264" i="3"/>
  <c r="F346" i="3"/>
  <c r="F26" i="3"/>
  <c r="F292" i="3"/>
  <c r="F359" i="3"/>
  <c r="F253" i="3"/>
  <c r="F279" i="3"/>
  <c r="F240" i="3"/>
  <c r="F266" i="3"/>
  <c r="F330" i="3"/>
  <c r="F527" i="3"/>
  <c r="F305" i="3"/>
  <c r="F181" i="3"/>
  <c r="F27" i="3"/>
  <c r="F237" i="3"/>
  <c r="F343" i="3"/>
  <c r="F345" i="3"/>
  <c r="F332" i="3"/>
  <c r="F327" i="3"/>
  <c r="F340" i="3"/>
  <c r="F176" i="3"/>
  <c r="F528" i="3"/>
  <c r="F353" i="3"/>
  <c r="F356" i="3"/>
  <c r="F358" i="3"/>
  <c r="F333" i="3"/>
  <c r="F178" i="3"/>
  <c r="F179" i="3"/>
  <c r="F180" i="3"/>
  <c r="J358" i="3" l="1"/>
  <c r="H358" i="3"/>
  <c r="J253" i="3"/>
  <c r="H253" i="3"/>
  <c r="H356" i="3"/>
  <c r="J356" i="3"/>
  <c r="H237" i="3"/>
  <c r="J237" i="3"/>
  <c r="J180" i="3"/>
  <c r="H180" i="3"/>
  <c r="J181" i="3"/>
  <c r="H181" i="3"/>
  <c r="J359" i="3"/>
  <c r="H359" i="3"/>
  <c r="H266" i="3"/>
  <c r="J266" i="3"/>
  <c r="H343" i="3"/>
  <c r="J343" i="3"/>
  <c r="J528" i="3"/>
  <c r="H528" i="3"/>
  <c r="H179" i="3"/>
  <c r="J179" i="3"/>
  <c r="J305" i="3"/>
  <c r="H305" i="3"/>
  <c r="J292" i="3"/>
  <c r="H292" i="3"/>
  <c r="H353" i="3"/>
  <c r="J353" i="3"/>
  <c r="H279" i="3"/>
  <c r="J279" i="3"/>
  <c r="H176" i="3"/>
  <c r="J176" i="3"/>
  <c r="H178" i="3"/>
  <c r="J178" i="3"/>
  <c r="H327" i="3"/>
  <c r="J327" i="3"/>
  <c r="H527" i="3"/>
  <c r="J527" i="3"/>
  <c r="J26" i="3"/>
  <c r="H26" i="3"/>
  <c r="J345" i="3"/>
  <c r="H345" i="3"/>
  <c r="H240" i="3"/>
  <c r="J240" i="3"/>
  <c r="H27" i="3"/>
  <c r="J27" i="3"/>
  <c r="H340" i="3"/>
  <c r="J340" i="3"/>
  <c r="J333" i="3"/>
  <c r="H333" i="3"/>
  <c r="H332" i="3"/>
  <c r="J332" i="3"/>
  <c r="H330" i="3"/>
  <c r="J330" i="3"/>
  <c r="H346" i="3"/>
  <c r="J346" i="3"/>
  <c r="AC4" i="6"/>
  <c r="A66" i="5"/>
  <c r="A65" i="5"/>
  <c r="A64" i="5"/>
  <c r="A63" i="5"/>
  <c r="A62" i="5"/>
  <c r="A60" i="5"/>
  <c r="A46" i="5"/>
  <c r="A45" i="5"/>
  <c r="A44" i="5"/>
  <c r="A43" i="5"/>
  <c r="A42" i="5"/>
  <c r="A25" i="5"/>
  <c r="A24" i="5"/>
  <c r="A23" i="5"/>
  <c r="A22" i="5"/>
  <c r="A21" i="5"/>
  <c r="A18" i="5"/>
  <c r="A17" i="5"/>
  <c r="A69" i="1"/>
  <c r="B69" i="1"/>
  <c r="E535" i="3"/>
  <c r="B60" i="5" l="1"/>
  <c r="B116" i="19" s="1"/>
  <c r="B62" i="5"/>
  <c r="B117" i="19" s="1"/>
  <c r="B63" i="5"/>
  <c r="B118" i="19" s="1"/>
  <c r="B64" i="5"/>
  <c r="B119" i="19" s="1"/>
  <c r="B66" i="5"/>
  <c r="B122" i="19" s="1"/>
  <c r="B65" i="5"/>
  <c r="B121" i="19" s="1"/>
  <c r="B43" i="5"/>
  <c r="B95" i="19" s="1"/>
  <c r="B42" i="5"/>
  <c r="B18" i="6" s="1"/>
  <c r="B45" i="5"/>
  <c r="B97" i="19" s="1"/>
  <c r="B46" i="5"/>
  <c r="B98" i="19" s="1"/>
  <c r="B44" i="5"/>
  <c r="B96" i="19" s="1"/>
  <c r="B22" i="5"/>
  <c r="B21" i="19" s="1"/>
  <c r="B23" i="5"/>
  <c r="B22" i="19" s="1"/>
  <c r="B25" i="5"/>
  <c r="B24" i="19" s="1"/>
  <c r="B21" i="5"/>
  <c r="B20" i="19" s="1"/>
  <c r="B24" i="5"/>
  <c r="B23" i="19" s="1"/>
  <c r="A15" i="19"/>
  <c r="B17" i="5"/>
  <c r="B15" i="19" s="1"/>
  <c r="A16" i="19"/>
  <c r="B18" i="5"/>
  <c r="B16" i="19" s="1"/>
  <c r="C69" i="1"/>
  <c r="B78" i="23"/>
  <c r="D69" i="1"/>
  <c r="C78" i="23"/>
  <c r="A30" i="19"/>
  <c r="A57" i="19"/>
  <c r="B33" i="19"/>
  <c r="B37" i="19"/>
  <c r="B42" i="19"/>
  <c r="B52" i="19"/>
  <c r="B56" i="19"/>
  <c r="B60" i="19"/>
  <c r="B64" i="19"/>
  <c r="B68" i="19"/>
  <c r="B72" i="19"/>
  <c r="B76" i="19"/>
  <c r="B80" i="19"/>
  <c r="B84" i="19"/>
  <c r="A88" i="19"/>
  <c r="B92" i="19"/>
  <c r="B124" i="19"/>
  <c r="B17" i="19"/>
  <c r="B30" i="19"/>
  <c r="B34" i="19"/>
  <c r="B39" i="19"/>
  <c r="B43" i="19"/>
  <c r="A53" i="19"/>
  <c r="B57" i="19"/>
  <c r="B61" i="19"/>
  <c r="B65" i="19"/>
  <c r="B69" i="19"/>
  <c r="B73" i="19"/>
  <c r="B77" i="19"/>
  <c r="A81" i="19"/>
  <c r="B85" i="19"/>
  <c r="B89" i="19"/>
  <c r="B93" i="19"/>
  <c r="B120" i="19"/>
  <c r="A18" i="19"/>
  <c r="A22" i="19"/>
  <c r="A31" i="19"/>
  <c r="A35" i="19"/>
  <c r="A40" i="19"/>
  <c r="A44" i="19"/>
  <c r="A54" i="19"/>
  <c r="A58" i="19"/>
  <c r="A62" i="19"/>
  <c r="A66" i="19"/>
  <c r="A70" i="19"/>
  <c r="B74" i="19"/>
  <c r="A78" i="19"/>
  <c r="A82" i="19"/>
  <c r="A86" i="19"/>
  <c r="A90" i="19"/>
  <c r="A18" i="6"/>
  <c r="A94" i="19"/>
  <c r="A98" i="19"/>
  <c r="A23" i="6"/>
  <c r="A117" i="19"/>
  <c r="A121" i="19"/>
  <c r="A39" i="19"/>
  <c r="A69" i="19"/>
  <c r="B81" i="19"/>
  <c r="A22" i="6"/>
  <c r="A116" i="19"/>
  <c r="B18" i="19"/>
  <c r="B31" i="19"/>
  <c r="B35" i="19"/>
  <c r="B40" i="19"/>
  <c r="B44" i="19"/>
  <c r="B54" i="19"/>
  <c r="B58" i="19"/>
  <c r="B62" i="19"/>
  <c r="B66" i="19"/>
  <c r="B70" i="19"/>
  <c r="A74" i="19"/>
  <c r="B78" i="19"/>
  <c r="B82" i="19"/>
  <c r="B86" i="19"/>
  <c r="B90" i="19"/>
  <c r="A122" i="19"/>
  <c r="A17" i="19"/>
  <c r="A34" i="19"/>
  <c r="A65" i="19"/>
  <c r="A77" i="19"/>
  <c r="A93" i="19"/>
  <c r="A97" i="19"/>
  <c r="A19" i="19"/>
  <c r="A23" i="19"/>
  <c r="A32" i="19"/>
  <c r="A36" i="19"/>
  <c r="A41" i="19"/>
  <c r="A45" i="19"/>
  <c r="A55" i="19"/>
  <c r="A59" i="19"/>
  <c r="A63" i="19"/>
  <c r="B67" i="19"/>
  <c r="A71" i="19"/>
  <c r="A75" i="19"/>
  <c r="A79" i="19"/>
  <c r="A83" i="19"/>
  <c r="A87" i="19"/>
  <c r="A91" i="19"/>
  <c r="A95" i="19"/>
  <c r="A19" i="6"/>
  <c r="A99" i="19"/>
  <c r="A123" i="19"/>
  <c r="A43" i="19"/>
  <c r="A89" i="19"/>
  <c r="B19" i="19"/>
  <c r="B32" i="19"/>
  <c r="B36" i="19"/>
  <c r="B41" i="19"/>
  <c r="B45" i="19"/>
  <c r="B55" i="19"/>
  <c r="B59" i="19"/>
  <c r="B63" i="19"/>
  <c r="A67" i="19"/>
  <c r="B71" i="19"/>
  <c r="B75" i="19"/>
  <c r="B79" i="19"/>
  <c r="B83" i="19"/>
  <c r="B87" i="19"/>
  <c r="B91" i="19"/>
  <c r="B19" i="6"/>
  <c r="B99" i="19"/>
  <c r="A118" i="19"/>
  <c r="B123" i="19"/>
  <c r="A21" i="19"/>
  <c r="B53" i="19"/>
  <c r="A61" i="19"/>
  <c r="A73" i="19"/>
  <c r="A85" i="19"/>
  <c r="A120" i="19"/>
  <c r="A20" i="19"/>
  <c r="A24" i="19"/>
  <c r="A33" i="19"/>
  <c r="A37" i="19"/>
  <c r="A42" i="19"/>
  <c r="A52" i="19"/>
  <c r="A56" i="19"/>
  <c r="A60" i="19"/>
  <c r="A64" i="19"/>
  <c r="A68" i="19"/>
  <c r="A72" i="19"/>
  <c r="A76" i="19"/>
  <c r="A80" i="19"/>
  <c r="A84" i="19"/>
  <c r="B88" i="19"/>
  <c r="A92" i="19"/>
  <c r="A96" i="19"/>
  <c r="A119" i="19"/>
  <c r="A124" i="19"/>
  <c r="B22" i="6" l="1"/>
  <c r="B23" i="6"/>
  <c r="B94" i="19"/>
  <c r="A15" i="5"/>
  <c r="A13" i="5"/>
  <c r="C24" i="1"/>
  <c r="A24" i="1"/>
  <c r="A14" i="19" l="1"/>
  <c r="B15" i="5"/>
  <c r="B14" i="19" s="1"/>
  <c r="A13" i="19"/>
  <c r="B13" i="5"/>
  <c r="B13" i="19" s="1"/>
  <c r="E755" i="15" l="1"/>
  <c r="E748" i="15"/>
  <c r="E741" i="15"/>
  <c r="E734" i="15"/>
  <c r="E727" i="15"/>
  <c r="E713" i="15"/>
  <c r="E706" i="15"/>
  <c r="E699" i="15"/>
  <c r="E662" i="15"/>
  <c r="E655" i="15"/>
  <c r="E648" i="15"/>
  <c r="E641" i="15"/>
  <c r="E634" i="15"/>
  <c r="E627" i="15"/>
  <c r="E620" i="15"/>
  <c r="E613" i="15"/>
  <c r="E606" i="15"/>
  <c r="E599" i="15"/>
  <c r="E592" i="15"/>
  <c r="E585" i="15"/>
  <c r="E578" i="15"/>
  <c r="E571" i="15"/>
  <c r="E564" i="15"/>
  <c r="E557" i="15"/>
  <c r="E550" i="15"/>
  <c r="E543" i="15"/>
  <c r="E536" i="15"/>
  <c r="E529" i="15"/>
  <c r="E522" i="15"/>
  <c r="E515" i="15"/>
  <c r="E508" i="15"/>
  <c r="E501" i="15"/>
  <c r="E494" i="15"/>
  <c r="E487" i="15"/>
  <c r="E480" i="15"/>
  <c r="E473" i="15"/>
  <c r="E466" i="15"/>
  <c r="E128" i="15"/>
  <c r="E121" i="15"/>
  <c r="E114" i="15"/>
  <c r="E107" i="15"/>
  <c r="E100" i="15"/>
  <c r="E93" i="15"/>
  <c r="E86" i="15"/>
  <c r="E79" i="15"/>
  <c r="E72" i="15"/>
  <c r="E65" i="15"/>
  <c r="E58" i="15"/>
  <c r="E51" i="15"/>
  <c r="E44" i="15"/>
  <c r="E37" i="15"/>
  <c r="E30" i="15"/>
  <c r="E23" i="15"/>
  <c r="A7" i="15"/>
  <c r="A6" i="15"/>
  <c r="E5" i="15"/>
  <c r="A5" i="15"/>
  <c r="E4" i="15"/>
  <c r="A4" i="15"/>
  <c r="A2" i="15"/>
  <c r="A1" i="15"/>
  <c r="D2601" i="3" l="1"/>
  <c r="I2611" i="3"/>
  <c r="J2611" i="3" s="1"/>
  <c r="J2617" i="3" s="1"/>
  <c r="G2611" i="3"/>
  <c r="H2611" i="3" s="1"/>
  <c r="H2616" i="3" s="1"/>
  <c r="D2611" i="3"/>
  <c r="I2601" i="3"/>
  <c r="J2601" i="3" s="1"/>
  <c r="J2607" i="3" s="1"/>
  <c r="G2601" i="3"/>
  <c r="H2601" i="3" s="1"/>
  <c r="H2606" i="3" s="1"/>
  <c r="I5191" i="3"/>
  <c r="J5191" i="3" s="1"/>
  <c r="I5049" i="3"/>
  <c r="J5049" i="3" s="1"/>
  <c r="J5051" i="3" s="1"/>
  <c r="I4256" i="3"/>
  <c r="J4256" i="3" s="1"/>
  <c r="I4167" i="3"/>
  <c r="J4167" i="3" s="1"/>
  <c r="I4163" i="3"/>
  <c r="J4163" i="3" s="1"/>
  <c r="I4153" i="3"/>
  <c r="J4153" i="3" s="1"/>
  <c r="J4157" i="3" s="1"/>
  <c r="I4080" i="3"/>
  <c r="J4080" i="3" s="1"/>
  <c r="I4006" i="3"/>
  <c r="J4006" i="3" s="1"/>
  <c r="I4002" i="3"/>
  <c r="J4002" i="3" s="1"/>
  <c r="I3936" i="3"/>
  <c r="J3936" i="3" s="1"/>
  <c r="J3938" i="3" s="1"/>
  <c r="J316" i="2" s="1"/>
  <c r="I3860" i="3"/>
  <c r="J3860" i="3" s="1"/>
  <c r="I3712" i="3"/>
  <c r="J3712" i="3" s="1"/>
  <c r="I3642" i="3"/>
  <c r="J3642" i="3" s="1"/>
  <c r="I3606" i="3"/>
  <c r="J3606" i="3" s="1"/>
  <c r="I3570" i="3"/>
  <c r="J3570" i="3" s="1"/>
  <c r="I3518" i="3"/>
  <c r="J3518" i="3" s="1"/>
  <c r="J3522" i="3" s="1"/>
  <c r="I3446" i="3"/>
  <c r="J3446" i="3" s="1"/>
  <c r="J3450" i="3" s="1"/>
  <c r="I3410" i="3"/>
  <c r="J3410" i="3" s="1"/>
  <c r="J3414" i="3" s="1"/>
  <c r="I3374" i="3"/>
  <c r="J3374" i="3" s="1"/>
  <c r="I3338" i="3"/>
  <c r="J3338" i="3" s="1"/>
  <c r="I3304" i="3"/>
  <c r="J3304" i="3" s="1"/>
  <c r="I3290" i="3"/>
  <c r="J3290" i="3" s="1"/>
  <c r="I3286" i="3"/>
  <c r="J3286" i="3" s="1"/>
  <c r="I3272" i="3"/>
  <c r="J3272" i="3" s="1"/>
  <c r="I3258" i="3"/>
  <c r="J3258" i="3" s="1"/>
  <c r="I3254" i="3"/>
  <c r="J3254" i="3" s="1"/>
  <c r="I3154" i="3"/>
  <c r="J3154" i="3" s="1"/>
  <c r="I3118" i="3"/>
  <c r="J3118" i="3" s="1"/>
  <c r="J3120" i="3" s="1"/>
  <c r="I3086" i="3"/>
  <c r="J3086" i="3" s="1"/>
  <c r="J3090" i="3" s="1"/>
  <c r="I3034" i="3"/>
  <c r="J3034" i="3" s="1"/>
  <c r="I2960" i="3"/>
  <c r="J2960" i="3" s="1"/>
  <c r="J2965" i="3" s="1"/>
  <c r="I2924" i="3"/>
  <c r="J2924" i="3" s="1"/>
  <c r="J2928" i="3" s="1"/>
  <c r="I2895" i="3"/>
  <c r="J2895" i="3" s="1"/>
  <c r="I2869" i="3"/>
  <c r="J2869" i="3" s="1"/>
  <c r="J2872" i="3" s="1"/>
  <c r="I2853" i="3"/>
  <c r="J2853" i="3" s="1"/>
  <c r="I2837" i="3"/>
  <c r="J2837" i="3" s="1"/>
  <c r="I2821" i="3"/>
  <c r="J2821" i="3" s="1"/>
  <c r="I2805" i="3"/>
  <c r="J2805" i="3" s="1"/>
  <c r="I2789" i="3"/>
  <c r="J2789" i="3" s="1"/>
  <c r="I2773" i="3"/>
  <c r="J2773" i="3" s="1"/>
  <c r="J2776" i="3" s="1"/>
  <c r="I2757" i="3"/>
  <c r="J2757" i="3" s="1"/>
  <c r="J2760" i="3" s="1"/>
  <c r="I2707" i="3"/>
  <c r="J2707" i="3" s="1"/>
  <c r="J2715" i="3" s="1"/>
  <c r="I2627" i="3"/>
  <c r="J2627" i="3" s="1"/>
  <c r="J2631" i="3" s="1"/>
  <c r="I2557" i="3"/>
  <c r="J2557" i="3" s="1"/>
  <c r="I2553" i="3"/>
  <c r="J2553" i="3" s="1"/>
  <c r="I2513" i="3"/>
  <c r="J2513" i="3" s="1"/>
  <c r="I2509" i="3"/>
  <c r="J2509" i="3" s="1"/>
  <c r="I2505" i="3"/>
  <c r="J2505" i="3" s="1"/>
  <c r="I2492" i="3"/>
  <c r="J2492" i="3" s="1"/>
  <c r="I2488" i="3"/>
  <c r="J2488" i="3" s="1"/>
  <c r="I2484" i="3"/>
  <c r="J2484" i="3" s="1"/>
  <c r="I2471" i="3"/>
  <c r="J2471" i="3" s="1"/>
  <c r="I2467" i="3"/>
  <c r="J2467" i="3" s="1"/>
  <c r="I2454" i="3"/>
  <c r="J2454" i="3" s="1"/>
  <c r="I2450" i="3"/>
  <c r="J2450" i="3" s="1"/>
  <c r="I2446" i="3"/>
  <c r="J2446" i="3" s="1"/>
  <c r="I2433" i="3"/>
  <c r="J2433" i="3" s="1"/>
  <c r="I2429" i="3"/>
  <c r="J2429" i="3" s="1"/>
  <c r="I2425" i="3"/>
  <c r="J2425" i="3" s="1"/>
  <c r="I2412" i="3"/>
  <c r="J2412" i="3" s="1"/>
  <c r="I2408" i="3"/>
  <c r="J2408" i="3" s="1"/>
  <c r="I2404" i="3"/>
  <c r="J2404" i="3" s="1"/>
  <c r="I2391" i="3"/>
  <c r="J2391" i="3" s="1"/>
  <c r="I2387" i="3"/>
  <c r="J2387" i="3" s="1"/>
  <c r="I2374" i="3"/>
  <c r="J2374" i="3" s="1"/>
  <c r="I2370" i="3"/>
  <c r="J2370" i="3" s="1"/>
  <c r="I2366" i="3"/>
  <c r="J2366" i="3" s="1"/>
  <c r="I2353" i="3"/>
  <c r="J2353" i="3" s="1"/>
  <c r="I2349" i="3"/>
  <c r="J2349" i="3" s="1"/>
  <c r="I2345" i="3"/>
  <c r="J2345" i="3" s="1"/>
  <c r="I2231" i="3"/>
  <c r="J2231" i="3" s="1"/>
  <c r="I2089" i="3"/>
  <c r="J2089" i="3" s="1"/>
  <c r="J2093" i="3" s="1"/>
  <c r="I2080" i="3"/>
  <c r="J2080" i="3" s="1"/>
  <c r="I2064" i="3"/>
  <c r="J2064" i="3" s="1"/>
  <c r="J2067" i="3" s="1"/>
  <c r="I2044" i="3"/>
  <c r="J2044" i="3" s="1"/>
  <c r="I2003" i="3"/>
  <c r="J2003" i="3" s="1"/>
  <c r="J2005" i="3" s="1"/>
  <c r="I1951" i="3"/>
  <c r="J1951" i="3" s="1"/>
  <c r="J1953" i="3" s="1"/>
  <c r="I1892" i="3"/>
  <c r="J1892" i="3" s="1"/>
  <c r="I1875" i="3"/>
  <c r="J1875" i="3" s="1"/>
  <c r="I1817" i="3"/>
  <c r="J1817" i="3" s="1"/>
  <c r="J1823" i="3" s="1"/>
  <c r="G5191" i="3"/>
  <c r="H5191" i="3" s="1"/>
  <c r="G5049" i="3"/>
  <c r="H5049" i="3" s="1"/>
  <c r="H5050" i="3" s="1"/>
  <c r="G4256" i="3"/>
  <c r="H4256" i="3" s="1"/>
  <c r="G4167" i="3"/>
  <c r="H4167" i="3" s="1"/>
  <c r="G4163" i="3"/>
  <c r="H4163" i="3" s="1"/>
  <c r="G4153" i="3"/>
  <c r="H4153" i="3" s="1"/>
  <c r="G4080" i="3"/>
  <c r="H4080" i="3" s="1"/>
  <c r="G4006" i="3"/>
  <c r="H4006" i="3" s="1"/>
  <c r="G4002" i="3"/>
  <c r="H4002" i="3" s="1"/>
  <c r="G3936" i="3"/>
  <c r="H3936" i="3" s="1"/>
  <c r="H3937" i="3" s="1"/>
  <c r="G316" i="2" s="1"/>
  <c r="G3860" i="3"/>
  <c r="H3860" i="3" s="1"/>
  <c r="G3712" i="3"/>
  <c r="H3712" i="3" s="1"/>
  <c r="G3642" i="3"/>
  <c r="H3642" i="3" s="1"/>
  <c r="G3606" i="3"/>
  <c r="H3606" i="3" s="1"/>
  <c r="G3570" i="3"/>
  <c r="H3570" i="3" s="1"/>
  <c r="G3518" i="3"/>
  <c r="H3518" i="3" s="1"/>
  <c r="H3521" i="3" s="1"/>
  <c r="G3446" i="3"/>
  <c r="H3446" i="3" s="1"/>
  <c r="G3410" i="3"/>
  <c r="H3410" i="3" s="1"/>
  <c r="H3413" i="3" s="1"/>
  <c r="G3374" i="3"/>
  <c r="H3374" i="3" s="1"/>
  <c r="G3338" i="3"/>
  <c r="H3338" i="3" s="1"/>
  <c r="H3341" i="3" s="1"/>
  <c r="G3304" i="3"/>
  <c r="H3304" i="3" s="1"/>
  <c r="G3290" i="3"/>
  <c r="H3290" i="3" s="1"/>
  <c r="G3286" i="3"/>
  <c r="H3286" i="3" s="1"/>
  <c r="G3272" i="3"/>
  <c r="H3272" i="3" s="1"/>
  <c r="G3258" i="3"/>
  <c r="H3258" i="3" s="1"/>
  <c r="G3254" i="3"/>
  <c r="H3254" i="3" s="1"/>
  <c r="G3154" i="3"/>
  <c r="H3154" i="3" s="1"/>
  <c r="G3118" i="3"/>
  <c r="H3118" i="3" s="1"/>
  <c r="G3086" i="3"/>
  <c r="H3086" i="3" s="1"/>
  <c r="G3034" i="3"/>
  <c r="H3034" i="3" s="1"/>
  <c r="G2960" i="3"/>
  <c r="H2960" i="3" s="1"/>
  <c r="H2964" i="3" s="1"/>
  <c r="G2924" i="3"/>
  <c r="H2924" i="3" s="1"/>
  <c r="H2927" i="3" s="1"/>
  <c r="G2895" i="3"/>
  <c r="H2895" i="3" s="1"/>
  <c r="H2898" i="3" s="1"/>
  <c r="G2869" i="3"/>
  <c r="H2869" i="3" s="1"/>
  <c r="H2871" i="3" s="1"/>
  <c r="G2853" i="3"/>
  <c r="H2853" i="3" s="1"/>
  <c r="G2837" i="3"/>
  <c r="H2837" i="3" s="1"/>
  <c r="G2821" i="3"/>
  <c r="H2821" i="3" s="1"/>
  <c r="G2805" i="3"/>
  <c r="H2805" i="3" s="1"/>
  <c r="G2789" i="3"/>
  <c r="H2789" i="3" s="1"/>
  <c r="G2773" i="3"/>
  <c r="H2773" i="3" s="1"/>
  <c r="H2775" i="3" s="1"/>
  <c r="G2757" i="3"/>
  <c r="H2757" i="3" s="1"/>
  <c r="G2707" i="3"/>
  <c r="H2707" i="3" s="1"/>
  <c r="H2714" i="3" s="1"/>
  <c r="G2627" i="3"/>
  <c r="H2627" i="3" s="1"/>
  <c r="H2630" i="3" s="1"/>
  <c r="G2557" i="3"/>
  <c r="H2557" i="3" s="1"/>
  <c r="G2553" i="3"/>
  <c r="H2553" i="3" s="1"/>
  <c r="G2513" i="3"/>
  <c r="H2513" i="3" s="1"/>
  <c r="G2509" i="3"/>
  <c r="H2509" i="3" s="1"/>
  <c r="G2505" i="3"/>
  <c r="H2505" i="3" s="1"/>
  <c r="G2492" i="3"/>
  <c r="H2492" i="3" s="1"/>
  <c r="G2488" i="3"/>
  <c r="H2488" i="3" s="1"/>
  <c r="G2484" i="3"/>
  <c r="H2484" i="3" s="1"/>
  <c r="G2471" i="3"/>
  <c r="H2471" i="3" s="1"/>
  <c r="G2467" i="3"/>
  <c r="H2467" i="3" s="1"/>
  <c r="G2454" i="3"/>
  <c r="H2454" i="3" s="1"/>
  <c r="G2450" i="3"/>
  <c r="H2450" i="3" s="1"/>
  <c r="G2446" i="3"/>
  <c r="H2446" i="3" s="1"/>
  <c r="G2433" i="3"/>
  <c r="H2433" i="3" s="1"/>
  <c r="G2429" i="3"/>
  <c r="H2429" i="3" s="1"/>
  <c r="G2425" i="3"/>
  <c r="H2425" i="3" s="1"/>
  <c r="G2412" i="3"/>
  <c r="H2412" i="3" s="1"/>
  <c r="G2408" i="3"/>
  <c r="H2408" i="3" s="1"/>
  <c r="G2404" i="3"/>
  <c r="H2404" i="3" s="1"/>
  <c r="G2391" i="3"/>
  <c r="H2391" i="3" s="1"/>
  <c r="G2387" i="3"/>
  <c r="H2387" i="3" s="1"/>
  <c r="G2374" i="3"/>
  <c r="H2374" i="3" s="1"/>
  <c r="G2370" i="3"/>
  <c r="H2370" i="3" s="1"/>
  <c r="G2366" i="3"/>
  <c r="H2366" i="3" s="1"/>
  <c r="G2353" i="3"/>
  <c r="H2353" i="3" s="1"/>
  <c r="G2349" i="3"/>
  <c r="H2349" i="3" s="1"/>
  <c r="G2345" i="3"/>
  <c r="H2345" i="3" s="1"/>
  <c r="G2231" i="3"/>
  <c r="H2231" i="3" s="1"/>
  <c r="G2089" i="3"/>
  <c r="H2089" i="3" s="1"/>
  <c r="H2092" i="3" s="1"/>
  <c r="G2080" i="3"/>
  <c r="H2080" i="3" s="1"/>
  <c r="G2064" i="3"/>
  <c r="H2064" i="3" s="1"/>
  <c r="H2066" i="3" s="1"/>
  <c r="G2044" i="3"/>
  <c r="H2044" i="3" s="1"/>
  <c r="G2003" i="3"/>
  <c r="H2003" i="3" s="1"/>
  <c r="G1951" i="3"/>
  <c r="H1951" i="3" s="1"/>
  <c r="G1892" i="3"/>
  <c r="H1892" i="3" s="1"/>
  <c r="G1875" i="3"/>
  <c r="H1875" i="3" s="1"/>
  <c r="G1817" i="3"/>
  <c r="H1817" i="3" s="1"/>
  <c r="H1822" i="3" s="1"/>
  <c r="I5230" i="3"/>
  <c r="J5230" i="3" s="1"/>
  <c r="J5233" i="3" s="1"/>
  <c r="I5200" i="3"/>
  <c r="J5200" i="3" s="1"/>
  <c r="I5174" i="3"/>
  <c r="J5174" i="3" s="1"/>
  <c r="I5164" i="3"/>
  <c r="J5164" i="3" s="1"/>
  <c r="I4265" i="3"/>
  <c r="J4265" i="3" s="1"/>
  <c r="I4176" i="3"/>
  <c r="J4176" i="3" s="1"/>
  <c r="I4166" i="3"/>
  <c r="J4166" i="3" s="1"/>
  <c r="I4126" i="3"/>
  <c r="J4126" i="3" s="1"/>
  <c r="J4130" i="3" s="1"/>
  <c r="I4005" i="3"/>
  <c r="J4005" i="3" s="1"/>
  <c r="I3995" i="3"/>
  <c r="J3995" i="3" s="1"/>
  <c r="J3997" i="3" s="1"/>
  <c r="J317" i="2" s="1"/>
  <c r="I3985" i="3"/>
  <c r="J3985" i="3" s="1"/>
  <c r="I3975" i="3"/>
  <c r="J3975" i="3" s="1"/>
  <c r="J3977" i="3" s="1"/>
  <c r="I3965" i="3"/>
  <c r="J3965" i="3" s="1"/>
  <c r="J3967" i="3" s="1"/>
  <c r="I3955" i="3"/>
  <c r="J3955" i="3" s="1"/>
  <c r="J3957" i="3" s="1"/>
  <c r="I3945" i="3"/>
  <c r="J3945" i="3" s="1"/>
  <c r="J3947" i="3" s="1"/>
  <c r="I3775" i="3"/>
  <c r="J3775" i="3" s="1"/>
  <c r="J3777" i="3" s="1"/>
  <c r="I3721" i="3"/>
  <c r="J3721" i="3" s="1"/>
  <c r="I3681" i="3"/>
  <c r="J3681" i="3" s="1"/>
  <c r="I3671" i="3"/>
  <c r="J3671" i="3" s="1"/>
  <c r="I3661" i="3"/>
  <c r="J3661" i="3" s="1"/>
  <c r="I3651" i="3"/>
  <c r="J3651" i="3" s="1"/>
  <c r="I3615" i="3"/>
  <c r="J3615" i="3" s="1"/>
  <c r="I3579" i="3"/>
  <c r="J3579" i="3" s="1"/>
  <c r="I3553" i="3"/>
  <c r="J3553" i="3" s="1"/>
  <c r="J3556" i="3" s="1"/>
  <c r="I3527" i="3"/>
  <c r="J3527" i="3" s="1"/>
  <c r="J3531" i="3" s="1"/>
  <c r="I3419" i="3"/>
  <c r="J3419" i="3" s="1"/>
  <c r="J3423" i="3" s="1"/>
  <c r="I3383" i="3"/>
  <c r="J3383" i="3" s="1"/>
  <c r="J3387" i="3" s="1"/>
  <c r="I3347" i="3"/>
  <c r="J3347" i="3" s="1"/>
  <c r="I3303" i="3"/>
  <c r="J3303" i="3" s="1"/>
  <c r="I3293" i="3"/>
  <c r="J3293" i="3" s="1"/>
  <c r="I3289" i="3"/>
  <c r="J3289" i="3" s="1"/>
  <c r="I3285" i="3"/>
  <c r="J3285" i="3" s="1"/>
  <c r="I3271" i="3"/>
  <c r="J3271" i="3" s="1"/>
  <c r="I3257" i="3"/>
  <c r="J3257" i="3" s="1"/>
  <c r="I3253" i="3"/>
  <c r="J3253" i="3" s="1"/>
  <c r="I3199" i="3"/>
  <c r="J3199" i="3" s="1"/>
  <c r="J3201" i="3" s="1"/>
  <c r="I3163" i="3"/>
  <c r="J3163" i="3" s="1"/>
  <c r="J3165" i="3" s="1"/>
  <c r="I3127" i="3"/>
  <c r="J3127" i="3" s="1"/>
  <c r="J3129" i="3" s="1"/>
  <c r="I3033" i="3"/>
  <c r="J3033" i="3" s="1"/>
  <c r="I2933" i="3"/>
  <c r="J2933" i="3" s="1"/>
  <c r="I2904" i="3"/>
  <c r="J2904" i="3" s="1"/>
  <c r="I2878" i="3"/>
  <c r="J2878" i="3" s="1"/>
  <c r="I2740" i="3"/>
  <c r="J2740" i="3" s="1"/>
  <c r="I2730" i="3"/>
  <c r="J2730" i="3" s="1"/>
  <c r="I2720" i="3"/>
  <c r="J2720" i="3" s="1"/>
  <c r="J2724" i="3" s="1"/>
  <c r="I2636" i="3"/>
  <c r="J2636" i="3" s="1"/>
  <c r="I2560" i="3"/>
  <c r="J2560" i="3" s="1"/>
  <c r="I2556" i="3"/>
  <c r="J2556" i="3" s="1"/>
  <c r="I2552" i="3"/>
  <c r="J2552" i="3" s="1"/>
  <c r="I2512" i="3"/>
  <c r="J2512" i="3" s="1"/>
  <c r="I2508" i="3"/>
  <c r="J2508" i="3" s="1"/>
  <c r="I2504" i="3"/>
  <c r="J2504" i="3" s="1"/>
  <c r="I2491" i="3"/>
  <c r="J2491" i="3" s="1"/>
  <c r="I2487" i="3"/>
  <c r="J2487" i="3" s="1"/>
  <c r="I2474" i="3"/>
  <c r="J2474" i="3" s="1"/>
  <c r="I2470" i="3"/>
  <c r="J2470" i="3" s="1"/>
  <c r="I2466" i="3"/>
  <c r="J2466" i="3" s="1"/>
  <c r="I2453" i="3"/>
  <c r="J2453" i="3" s="1"/>
  <c r="I2449" i="3"/>
  <c r="J2449" i="3" s="1"/>
  <c r="I2445" i="3"/>
  <c r="J2445" i="3" s="1"/>
  <c r="I2432" i="3"/>
  <c r="J2432" i="3" s="1"/>
  <c r="I2428" i="3"/>
  <c r="J2428" i="3" s="1"/>
  <c r="I2424" i="3"/>
  <c r="J2424" i="3" s="1"/>
  <c r="I2411" i="3"/>
  <c r="J2411" i="3" s="1"/>
  <c r="I2407" i="3"/>
  <c r="J2407" i="3" s="1"/>
  <c r="I2394" i="3"/>
  <c r="J2394" i="3" s="1"/>
  <c r="I2390" i="3"/>
  <c r="J2390" i="3" s="1"/>
  <c r="I2386" i="3"/>
  <c r="J2386" i="3" s="1"/>
  <c r="I2373" i="3"/>
  <c r="J2373" i="3" s="1"/>
  <c r="I2369" i="3"/>
  <c r="J2369" i="3" s="1"/>
  <c r="I2365" i="3"/>
  <c r="J2365" i="3" s="1"/>
  <c r="I2352" i="3"/>
  <c r="J2352" i="3" s="1"/>
  <c r="I2348" i="3"/>
  <c r="J2348" i="3" s="1"/>
  <c r="I2344" i="3"/>
  <c r="J2344" i="3" s="1"/>
  <c r="I2107" i="3"/>
  <c r="J2107" i="3" s="1"/>
  <c r="I2083" i="3"/>
  <c r="J2083" i="3" s="1"/>
  <c r="I2047" i="3"/>
  <c r="J2047" i="3" s="1"/>
  <c r="I1925" i="3"/>
  <c r="J1925" i="3" s="1"/>
  <c r="I1874" i="3"/>
  <c r="J1874" i="3" s="1"/>
  <c r="I1777" i="3"/>
  <c r="J1777" i="3" s="1"/>
  <c r="J1784" i="3" s="1"/>
  <c r="I1676" i="3"/>
  <c r="J1676" i="3" s="1"/>
  <c r="I1672" i="3"/>
  <c r="J1672" i="3" s="1"/>
  <c r="I1668" i="3"/>
  <c r="J1668" i="3" s="1"/>
  <c r="I1647" i="3"/>
  <c r="J1647" i="3" s="1"/>
  <c r="I1643" i="3"/>
  <c r="J1643" i="3" s="1"/>
  <c r="G5230" i="3"/>
  <c r="H5230" i="3" s="1"/>
  <c r="H5232" i="3" s="1"/>
  <c r="G5200" i="3"/>
  <c r="H5200" i="3" s="1"/>
  <c r="G5174" i="3"/>
  <c r="H5174" i="3" s="1"/>
  <c r="G5164" i="3"/>
  <c r="H5164" i="3" s="1"/>
  <c r="G4265" i="3"/>
  <c r="H4265" i="3" s="1"/>
  <c r="H4268" i="3" s="1"/>
  <c r="G4176" i="3"/>
  <c r="H4176" i="3" s="1"/>
  <c r="G4166" i="3"/>
  <c r="H4166" i="3" s="1"/>
  <c r="G4126" i="3"/>
  <c r="H4126" i="3" s="1"/>
  <c r="H4129" i="3" s="1"/>
  <c r="G4005" i="3"/>
  <c r="H4005" i="3" s="1"/>
  <c r="G3995" i="3"/>
  <c r="H3995" i="3" s="1"/>
  <c r="G3985" i="3"/>
  <c r="H3985" i="3" s="1"/>
  <c r="H3986" i="3" s="1"/>
  <c r="G318" i="2" s="1"/>
  <c r="G3975" i="3"/>
  <c r="H3975" i="3" s="1"/>
  <c r="H3976" i="3" s="1"/>
  <c r="G3965" i="3"/>
  <c r="H3965" i="3" s="1"/>
  <c r="H3966" i="3" s="1"/>
  <c r="G3955" i="3"/>
  <c r="H3955" i="3" s="1"/>
  <c r="H3956" i="3" s="1"/>
  <c r="G3945" i="3"/>
  <c r="H3945" i="3" s="1"/>
  <c r="G3775" i="3"/>
  <c r="H3775" i="3" s="1"/>
  <c r="G3721" i="3"/>
  <c r="H3721" i="3" s="1"/>
  <c r="G3681" i="3"/>
  <c r="H3681" i="3" s="1"/>
  <c r="G3671" i="3"/>
  <c r="H3671" i="3" s="1"/>
  <c r="G3661" i="3"/>
  <c r="H3661" i="3" s="1"/>
  <c r="G3651" i="3"/>
  <c r="H3651" i="3" s="1"/>
  <c r="H3654" i="3" s="1"/>
  <c r="G3615" i="3"/>
  <c r="H3615" i="3" s="1"/>
  <c r="G3579" i="3"/>
  <c r="H3579" i="3" s="1"/>
  <c r="H3582" i="3" s="1"/>
  <c r="G3553" i="3"/>
  <c r="H3553" i="3" s="1"/>
  <c r="H3555" i="3" s="1"/>
  <c r="G3527" i="3"/>
  <c r="H3527" i="3" s="1"/>
  <c r="H3530" i="3" s="1"/>
  <c r="G3419" i="3"/>
  <c r="H3419" i="3" s="1"/>
  <c r="H3422" i="3" s="1"/>
  <c r="G3383" i="3"/>
  <c r="H3383" i="3" s="1"/>
  <c r="H3386" i="3" s="1"/>
  <c r="G3347" i="3"/>
  <c r="H3347" i="3" s="1"/>
  <c r="G3303" i="3"/>
  <c r="H3303" i="3" s="1"/>
  <c r="G3293" i="3"/>
  <c r="H3293" i="3" s="1"/>
  <c r="G3289" i="3"/>
  <c r="H3289" i="3" s="1"/>
  <c r="G3285" i="3"/>
  <c r="H3285" i="3" s="1"/>
  <c r="G3271" i="3"/>
  <c r="H3271" i="3" s="1"/>
  <c r="G3257" i="3"/>
  <c r="H3257" i="3" s="1"/>
  <c r="G3253" i="3"/>
  <c r="H3253" i="3" s="1"/>
  <c r="G3199" i="3"/>
  <c r="H3199" i="3" s="1"/>
  <c r="H3200" i="3" s="1"/>
  <c r="G3163" i="3"/>
  <c r="H3163" i="3" s="1"/>
  <c r="H3164" i="3" s="1"/>
  <c r="G3127" i="3"/>
  <c r="H3127" i="3" s="1"/>
  <c r="H3128" i="3" s="1"/>
  <c r="G3033" i="3"/>
  <c r="H3033" i="3" s="1"/>
  <c r="G2933" i="3"/>
  <c r="H2933" i="3" s="1"/>
  <c r="G2904" i="3"/>
  <c r="H2904" i="3" s="1"/>
  <c r="G2878" i="3"/>
  <c r="H2878" i="3" s="1"/>
  <c r="G2740" i="3"/>
  <c r="H2740" i="3" s="1"/>
  <c r="H2743" i="3" s="1"/>
  <c r="G2730" i="3"/>
  <c r="H2730" i="3" s="1"/>
  <c r="H2733" i="3" s="1"/>
  <c r="G2720" i="3"/>
  <c r="H2720" i="3" s="1"/>
  <c r="H2723" i="3" s="1"/>
  <c r="G2636" i="3"/>
  <c r="H2636" i="3" s="1"/>
  <c r="G2560" i="3"/>
  <c r="H2560" i="3" s="1"/>
  <c r="G2556" i="3"/>
  <c r="H2556" i="3" s="1"/>
  <c r="G2552" i="3"/>
  <c r="H2552" i="3" s="1"/>
  <c r="G2512" i="3"/>
  <c r="H2512" i="3" s="1"/>
  <c r="G2508" i="3"/>
  <c r="H2508" i="3" s="1"/>
  <c r="G2504" i="3"/>
  <c r="H2504" i="3" s="1"/>
  <c r="G2491" i="3"/>
  <c r="H2491" i="3" s="1"/>
  <c r="G2487" i="3"/>
  <c r="H2487" i="3" s="1"/>
  <c r="G2474" i="3"/>
  <c r="H2474" i="3" s="1"/>
  <c r="G2470" i="3"/>
  <c r="H2470" i="3" s="1"/>
  <c r="G2466" i="3"/>
  <c r="H2466" i="3" s="1"/>
  <c r="G2453" i="3"/>
  <c r="H2453" i="3" s="1"/>
  <c r="G2449" i="3"/>
  <c r="H2449" i="3" s="1"/>
  <c r="G2445" i="3"/>
  <c r="H2445" i="3" s="1"/>
  <c r="G2432" i="3"/>
  <c r="H2432" i="3" s="1"/>
  <c r="G2428" i="3"/>
  <c r="H2428" i="3" s="1"/>
  <c r="G2424" i="3"/>
  <c r="H2424" i="3" s="1"/>
  <c r="G2411" i="3"/>
  <c r="H2411" i="3" s="1"/>
  <c r="G2407" i="3"/>
  <c r="H2407" i="3" s="1"/>
  <c r="G2394" i="3"/>
  <c r="H2394" i="3" s="1"/>
  <c r="G2390" i="3"/>
  <c r="H2390" i="3" s="1"/>
  <c r="G2386" i="3"/>
  <c r="H2386" i="3" s="1"/>
  <c r="G2373" i="3"/>
  <c r="H2373" i="3" s="1"/>
  <c r="G2369" i="3"/>
  <c r="H2369" i="3" s="1"/>
  <c r="G2365" i="3"/>
  <c r="H2365" i="3" s="1"/>
  <c r="G2352" i="3"/>
  <c r="H2352" i="3" s="1"/>
  <c r="G2348" i="3"/>
  <c r="H2348" i="3" s="1"/>
  <c r="G2344" i="3"/>
  <c r="H2344" i="3" s="1"/>
  <c r="G2107" i="3"/>
  <c r="H2107" i="3" s="1"/>
  <c r="G2083" i="3"/>
  <c r="H2083" i="3" s="1"/>
  <c r="G2047" i="3"/>
  <c r="H2047" i="3" s="1"/>
  <c r="G1925" i="3"/>
  <c r="H1925" i="3" s="1"/>
  <c r="G1874" i="3"/>
  <c r="H1874" i="3" s="1"/>
  <c r="G1777" i="3"/>
  <c r="H1777" i="3" s="1"/>
  <c r="G1676" i="3"/>
  <c r="H1676" i="3" s="1"/>
  <c r="G1672" i="3"/>
  <c r="H1672" i="3" s="1"/>
  <c r="G1668" i="3"/>
  <c r="H1668" i="3" s="1"/>
  <c r="G1647" i="3"/>
  <c r="H1647" i="3" s="1"/>
  <c r="G1643" i="3"/>
  <c r="H1643" i="3" s="1"/>
  <c r="I5219" i="3"/>
  <c r="J5219" i="3" s="1"/>
  <c r="J5225" i="3" s="1"/>
  <c r="I5199" i="3"/>
  <c r="J5199" i="3" s="1"/>
  <c r="I5183" i="3"/>
  <c r="J5183" i="3" s="1"/>
  <c r="I5173" i="3"/>
  <c r="J5173" i="3" s="1"/>
  <c r="I5087" i="3"/>
  <c r="J5087" i="3" s="1"/>
  <c r="I4274" i="3"/>
  <c r="J4274" i="3" s="1"/>
  <c r="J4278" i="3" s="1"/>
  <c r="I4165" i="3"/>
  <c r="J4165" i="3" s="1"/>
  <c r="I4135" i="3"/>
  <c r="J4135" i="3" s="1"/>
  <c r="J4139" i="3" s="1"/>
  <c r="I4118" i="3"/>
  <c r="J4118" i="3" s="1"/>
  <c r="I4008" i="3"/>
  <c r="J4008" i="3" s="1"/>
  <c r="I4004" i="3"/>
  <c r="J4004" i="3" s="1"/>
  <c r="I3680" i="3"/>
  <c r="J3680" i="3" s="1"/>
  <c r="I3670" i="3"/>
  <c r="J3670" i="3" s="1"/>
  <c r="I3660" i="3"/>
  <c r="J3660" i="3" s="1"/>
  <c r="I3624" i="3"/>
  <c r="J3624" i="3" s="1"/>
  <c r="I3588" i="3"/>
  <c r="J3588" i="3" s="1"/>
  <c r="J3592" i="3" s="1"/>
  <c r="I3536" i="3"/>
  <c r="J3536" i="3" s="1"/>
  <c r="I3428" i="3"/>
  <c r="J3428" i="3" s="1"/>
  <c r="J3432" i="3" s="1"/>
  <c r="I3392" i="3"/>
  <c r="J3392" i="3" s="1"/>
  <c r="J3396" i="3" s="1"/>
  <c r="I3356" i="3"/>
  <c r="J3356" i="3" s="1"/>
  <c r="I3306" i="3"/>
  <c r="J3306" i="3" s="1"/>
  <c r="I3302" i="3"/>
  <c r="J3302" i="3" s="1"/>
  <c r="I3288" i="3"/>
  <c r="J3288" i="3" s="1"/>
  <c r="I3274" i="3"/>
  <c r="J3274" i="3" s="1"/>
  <c r="I3270" i="3"/>
  <c r="J3270" i="3" s="1"/>
  <c r="I3256" i="3"/>
  <c r="J3256" i="3" s="1"/>
  <c r="I3208" i="3"/>
  <c r="J3208" i="3" s="1"/>
  <c r="I3172" i="3"/>
  <c r="J3172" i="3" s="1"/>
  <c r="I3136" i="3"/>
  <c r="J3136" i="3" s="1"/>
  <c r="I2992" i="3"/>
  <c r="J2992" i="3" s="1"/>
  <c r="J2997" i="3" s="1"/>
  <c r="I2942" i="3"/>
  <c r="J2942" i="3" s="1"/>
  <c r="J2946" i="3" s="1"/>
  <c r="I2877" i="3"/>
  <c r="J2877" i="3" s="1"/>
  <c r="I2861" i="3"/>
  <c r="J2861" i="3" s="1"/>
  <c r="I2845" i="3"/>
  <c r="J2845" i="3" s="1"/>
  <c r="J2848" i="3" s="1"/>
  <c r="I2829" i="3"/>
  <c r="J2829" i="3" s="1"/>
  <c r="J2832" i="3" s="1"/>
  <c r="I2813" i="3"/>
  <c r="J2813" i="3" s="1"/>
  <c r="J2816" i="3" s="1"/>
  <c r="I2797" i="3"/>
  <c r="J2797" i="3" s="1"/>
  <c r="I2781" i="3"/>
  <c r="J2781" i="3" s="1"/>
  <c r="J2784" i="3" s="1"/>
  <c r="I2765" i="3"/>
  <c r="J2765" i="3" s="1"/>
  <c r="I2749" i="3"/>
  <c r="J2749" i="3" s="1"/>
  <c r="J2752" i="3" s="1"/>
  <c r="I2645" i="3"/>
  <c r="J2645" i="3" s="1"/>
  <c r="I2559" i="3"/>
  <c r="J2559" i="3" s="1"/>
  <c r="I2555" i="3"/>
  <c r="J2555" i="3" s="1"/>
  <c r="I2551" i="3"/>
  <c r="J2551" i="3" s="1"/>
  <c r="I2511" i="3"/>
  <c r="J2511" i="3" s="1"/>
  <c r="I2507" i="3"/>
  <c r="J2507" i="3" s="1"/>
  <c r="I2494" i="3"/>
  <c r="J2494" i="3" s="1"/>
  <c r="I2490" i="3"/>
  <c r="J2490" i="3" s="1"/>
  <c r="I2486" i="3"/>
  <c r="J2486" i="3" s="1"/>
  <c r="I2473" i="3"/>
  <c r="J2473" i="3" s="1"/>
  <c r="I2469" i="3"/>
  <c r="J2469" i="3" s="1"/>
  <c r="I2465" i="3"/>
  <c r="J2465" i="3" s="1"/>
  <c r="I2452" i="3"/>
  <c r="J2452" i="3" s="1"/>
  <c r="I2448" i="3"/>
  <c r="J2448" i="3" s="1"/>
  <c r="I2444" i="3"/>
  <c r="J2444" i="3" s="1"/>
  <c r="I2431" i="3"/>
  <c r="J2431" i="3" s="1"/>
  <c r="I2427" i="3"/>
  <c r="J2427" i="3" s="1"/>
  <c r="I2414" i="3"/>
  <c r="J2414" i="3" s="1"/>
  <c r="I2410" i="3"/>
  <c r="J2410" i="3" s="1"/>
  <c r="I2406" i="3"/>
  <c r="J2406" i="3" s="1"/>
  <c r="I2393" i="3"/>
  <c r="J2393" i="3" s="1"/>
  <c r="I2389" i="3"/>
  <c r="J2389" i="3" s="1"/>
  <c r="I2385" i="3"/>
  <c r="J2385" i="3" s="1"/>
  <c r="I2372" i="3"/>
  <c r="J2372" i="3" s="1"/>
  <c r="I2368" i="3"/>
  <c r="J2368" i="3" s="1"/>
  <c r="I2364" i="3"/>
  <c r="J2364" i="3" s="1"/>
  <c r="I2351" i="3"/>
  <c r="J2351" i="3" s="1"/>
  <c r="I2347" i="3"/>
  <c r="J2347" i="3" s="1"/>
  <c r="I2126" i="3"/>
  <c r="J2126" i="3" s="1"/>
  <c r="I2082" i="3"/>
  <c r="J2082" i="3" s="1"/>
  <c r="I2030" i="3"/>
  <c r="J2030" i="3" s="1"/>
  <c r="I1983" i="3"/>
  <c r="J1983" i="3" s="1"/>
  <c r="J1985" i="3" s="1"/>
  <c r="I1890" i="3"/>
  <c r="J1890" i="3" s="1"/>
  <c r="I1766" i="3"/>
  <c r="J1766" i="3" s="1"/>
  <c r="J1772" i="3" s="1"/>
  <c r="G5219" i="3"/>
  <c r="H5219" i="3" s="1"/>
  <c r="G5199" i="3"/>
  <c r="H5199" i="3" s="1"/>
  <c r="G5183" i="3"/>
  <c r="H5183" i="3" s="1"/>
  <c r="G5173" i="3"/>
  <c r="H5173" i="3" s="1"/>
  <c r="G5087" i="3"/>
  <c r="H5087" i="3" s="1"/>
  <c r="H5090" i="3" s="1"/>
  <c r="G4274" i="3"/>
  <c r="H4274" i="3" s="1"/>
  <c r="H4277" i="3" s="1"/>
  <c r="G4165" i="3"/>
  <c r="H4165" i="3" s="1"/>
  <c r="G4135" i="3"/>
  <c r="H4135" i="3" s="1"/>
  <c r="H4138" i="3" s="1"/>
  <c r="G4118" i="3"/>
  <c r="H4118" i="3" s="1"/>
  <c r="H4119" i="3" s="1"/>
  <c r="G4008" i="3"/>
  <c r="H4008" i="3" s="1"/>
  <c r="G4004" i="3"/>
  <c r="H4004" i="3" s="1"/>
  <c r="G3680" i="3"/>
  <c r="H3680" i="3" s="1"/>
  <c r="G3670" i="3"/>
  <c r="H3670" i="3" s="1"/>
  <c r="G3660" i="3"/>
  <c r="H3660" i="3" s="1"/>
  <c r="G3624" i="3"/>
  <c r="H3624" i="3" s="1"/>
  <c r="G3588" i="3"/>
  <c r="H3588" i="3" s="1"/>
  <c r="H3591" i="3" s="1"/>
  <c r="G3536" i="3"/>
  <c r="H3536" i="3" s="1"/>
  <c r="H3539" i="3" s="1"/>
  <c r="G3428" i="3"/>
  <c r="H3428" i="3" s="1"/>
  <c r="G3392" i="3"/>
  <c r="H3392" i="3" s="1"/>
  <c r="G3356" i="3"/>
  <c r="H3356" i="3" s="1"/>
  <c r="H3359" i="3" s="1"/>
  <c r="G3306" i="3"/>
  <c r="H3306" i="3" s="1"/>
  <c r="G3302" i="3"/>
  <c r="H3302" i="3" s="1"/>
  <c r="G3288" i="3"/>
  <c r="H3288" i="3" s="1"/>
  <c r="G3274" i="3"/>
  <c r="H3274" i="3" s="1"/>
  <c r="G3270" i="3"/>
  <c r="H3270" i="3" s="1"/>
  <c r="G3256" i="3"/>
  <c r="H3256" i="3" s="1"/>
  <c r="G3208" i="3"/>
  <c r="H3208" i="3" s="1"/>
  <c r="G3172" i="3"/>
  <c r="H3172" i="3" s="1"/>
  <c r="H3173" i="3" s="1"/>
  <c r="G3136" i="3"/>
  <c r="H3136" i="3" s="1"/>
  <c r="H3137" i="3" s="1"/>
  <c r="G2992" i="3"/>
  <c r="H2992" i="3" s="1"/>
  <c r="H2996" i="3" s="1"/>
  <c r="G2942" i="3"/>
  <c r="H2942" i="3" s="1"/>
  <c r="G2877" i="3"/>
  <c r="H2877" i="3" s="1"/>
  <c r="G2861" i="3"/>
  <c r="H2861" i="3" s="1"/>
  <c r="H2863" i="3" s="1"/>
  <c r="G2845" i="3"/>
  <c r="H2845" i="3" s="1"/>
  <c r="H2847" i="3" s="1"/>
  <c r="G2829" i="3"/>
  <c r="H2829" i="3" s="1"/>
  <c r="H2831" i="3" s="1"/>
  <c r="G2813" i="3"/>
  <c r="H2813" i="3" s="1"/>
  <c r="H2815" i="3" s="1"/>
  <c r="G2797" i="3"/>
  <c r="H2797" i="3" s="1"/>
  <c r="G2781" i="3"/>
  <c r="H2781" i="3" s="1"/>
  <c r="H2783" i="3" s="1"/>
  <c r="G2765" i="3"/>
  <c r="H2765" i="3" s="1"/>
  <c r="G2749" i="3"/>
  <c r="H2749" i="3" s="1"/>
  <c r="H2751" i="3" s="1"/>
  <c r="G2645" i="3"/>
  <c r="H2645" i="3" s="1"/>
  <c r="H2648" i="3" s="1"/>
  <c r="G2559" i="3"/>
  <c r="H2559" i="3" s="1"/>
  <c r="G2555" i="3"/>
  <c r="H2555" i="3" s="1"/>
  <c r="G2551" i="3"/>
  <c r="H2551" i="3" s="1"/>
  <c r="G2511" i="3"/>
  <c r="H2511" i="3" s="1"/>
  <c r="G2507" i="3"/>
  <c r="H2507" i="3" s="1"/>
  <c r="G2494" i="3"/>
  <c r="H2494" i="3" s="1"/>
  <c r="G2490" i="3"/>
  <c r="H2490" i="3" s="1"/>
  <c r="G2486" i="3"/>
  <c r="H2486" i="3" s="1"/>
  <c r="G2473" i="3"/>
  <c r="H2473" i="3" s="1"/>
  <c r="G2469" i="3"/>
  <c r="H2469" i="3" s="1"/>
  <c r="G2465" i="3"/>
  <c r="H2465" i="3" s="1"/>
  <c r="G2452" i="3"/>
  <c r="H2452" i="3" s="1"/>
  <c r="G2448" i="3"/>
  <c r="H2448" i="3" s="1"/>
  <c r="G2444" i="3"/>
  <c r="H2444" i="3" s="1"/>
  <c r="G2431" i="3"/>
  <c r="H2431" i="3" s="1"/>
  <c r="G2427" i="3"/>
  <c r="H2427" i="3" s="1"/>
  <c r="G2414" i="3"/>
  <c r="H2414" i="3" s="1"/>
  <c r="G2410" i="3"/>
  <c r="H2410" i="3" s="1"/>
  <c r="G2406" i="3"/>
  <c r="H2406" i="3" s="1"/>
  <c r="G2393" i="3"/>
  <c r="H2393" i="3" s="1"/>
  <c r="G2389" i="3"/>
  <c r="H2389" i="3" s="1"/>
  <c r="G2385" i="3"/>
  <c r="H2385" i="3" s="1"/>
  <c r="G2372" i="3"/>
  <c r="H2372" i="3" s="1"/>
  <c r="G2368" i="3"/>
  <c r="H2368" i="3" s="1"/>
  <c r="G2364" i="3"/>
  <c r="H2364" i="3" s="1"/>
  <c r="G2351" i="3"/>
  <c r="H2351" i="3" s="1"/>
  <c r="G2347" i="3"/>
  <c r="H2347" i="3" s="1"/>
  <c r="G2126" i="3"/>
  <c r="H2126" i="3" s="1"/>
  <c r="H2127" i="3" s="1"/>
  <c r="G2082" i="3"/>
  <c r="H2082" i="3" s="1"/>
  <c r="G2030" i="3"/>
  <c r="H2030" i="3" s="1"/>
  <c r="G1983" i="3"/>
  <c r="H1983" i="3" s="1"/>
  <c r="G1890" i="3"/>
  <c r="H1890" i="3" s="1"/>
  <c r="I5208" i="3"/>
  <c r="J5208" i="3" s="1"/>
  <c r="I5182" i="3"/>
  <c r="J5182" i="3" s="1"/>
  <c r="I4953" i="3"/>
  <c r="J4953" i="3" s="1"/>
  <c r="J4955" i="3" s="1"/>
  <c r="I4164" i="3"/>
  <c r="J4164" i="3" s="1"/>
  <c r="I4144" i="3"/>
  <c r="J4144" i="3" s="1"/>
  <c r="J4148" i="3" s="1"/>
  <c r="I4071" i="3"/>
  <c r="J4071" i="3" s="1"/>
  <c r="I4061" i="3"/>
  <c r="J4061" i="3" s="1"/>
  <c r="J4063" i="3" s="1"/>
  <c r="J320" i="2" s="1"/>
  <c r="I4051" i="3"/>
  <c r="J4051" i="3" s="1"/>
  <c r="J4053" i="3" s="1"/>
  <c r="I4041" i="3"/>
  <c r="J4041" i="3" s="1"/>
  <c r="J4043" i="3" s="1"/>
  <c r="I4031" i="3"/>
  <c r="J4031" i="3" s="1"/>
  <c r="J4033" i="3" s="1"/>
  <c r="I4021" i="3"/>
  <c r="J4021" i="3" s="1"/>
  <c r="J4023" i="3" s="1"/>
  <c r="I4007" i="3"/>
  <c r="J4007" i="3" s="1"/>
  <c r="I4003" i="3"/>
  <c r="J4003" i="3" s="1"/>
  <c r="I3633" i="3"/>
  <c r="J3633" i="3" s="1"/>
  <c r="I3597" i="3"/>
  <c r="J3597" i="3" s="1"/>
  <c r="J3601" i="3" s="1"/>
  <c r="I3561" i="3"/>
  <c r="J3561" i="3" s="1"/>
  <c r="J3565" i="3" s="1"/>
  <c r="I3545" i="3"/>
  <c r="J3545" i="3" s="1"/>
  <c r="I3437" i="3"/>
  <c r="J3437" i="3" s="1"/>
  <c r="I3401" i="3"/>
  <c r="J3401" i="3" s="1"/>
  <c r="J3405" i="3" s="1"/>
  <c r="I3365" i="3"/>
  <c r="J3365" i="3" s="1"/>
  <c r="J3369" i="3" s="1"/>
  <c r="I3329" i="3"/>
  <c r="J3329" i="3" s="1"/>
  <c r="J3333" i="3" s="1"/>
  <c r="I3309" i="3"/>
  <c r="J3309" i="3" s="1"/>
  <c r="I3305" i="3"/>
  <c r="J3305" i="3" s="1"/>
  <c r="I3301" i="3"/>
  <c r="J3301" i="3" s="1"/>
  <c r="I3287" i="3"/>
  <c r="J3287" i="3" s="1"/>
  <c r="I3277" i="3"/>
  <c r="J3277" i="3" s="1"/>
  <c r="I3273" i="3"/>
  <c r="J3273" i="3" s="1"/>
  <c r="I3269" i="3"/>
  <c r="J3269" i="3" s="1"/>
  <c r="I3259" i="3"/>
  <c r="J3259" i="3" s="1"/>
  <c r="I3255" i="3"/>
  <c r="J3255" i="3" s="1"/>
  <c r="I3217" i="3"/>
  <c r="J3217" i="3" s="1"/>
  <c r="J3219" i="3" s="1"/>
  <c r="I3181" i="3"/>
  <c r="J3181" i="3" s="1"/>
  <c r="J3183" i="3" s="1"/>
  <c r="I3145" i="3"/>
  <c r="J3145" i="3" s="1"/>
  <c r="J3147" i="3" s="1"/>
  <c r="I3077" i="3"/>
  <c r="J3077" i="3" s="1"/>
  <c r="J3081" i="3" s="1"/>
  <c r="I2951" i="3"/>
  <c r="J2951" i="3" s="1"/>
  <c r="I2886" i="3"/>
  <c r="J2886" i="3" s="1"/>
  <c r="J2890" i="3" s="1"/>
  <c r="I2654" i="3"/>
  <c r="J2654" i="3" s="1"/>
  <c r="J2658" i="3" s="1"/>
  <c r="I2558" i="3"/>
  <c r="J2558" i="3" s="1"/>
  <c r="I2554" i="3"/>
  <c r="J2554" i="3" s="1"/>
  <c r="I2550" i="3"/>
  <c r="J2550" i="3" s="1"/>
  <c r="I2514" i="3"/>
  <c r="J2514" i="3" s="1"/>
  <c r="I2510" i="3"/>
  <c r="J2510" i="3" s="1"/>
  <c r="I2506" i="3"/>
  <c r="J2506" i="3" s="1"/>
  <c r="I2493" i="3"/>
  <c r="J2493" i="3" s="1"/>
  <c r="I2489" i="3"/>
  <c r="J2489" i="3" s="1"/>
  <c r="I2485" i="3"/>
  <c r="J2485" i="3" s="1"/>
  <c r="I2472" i="3"/>
  <c r="J2472" i="3" s="1"/>
  <c r="I2468" i="3"/>
  <c r="J2468" i="3" s="1"/>
  <c r="I2464" i="3"/>
  <c r="J2464" i="3" s="1"/>
  <c r="I2451" i="3"/>
  <c r="J2451" i="3" s="1"/>
  <c r="I2447" i="3"/>
  <c r="J2447" i="3" s="1"/>
  <c r="I2434" i="3"/>
  <c r="J2434" i="3" s="1"/>
  <c r="I2430" i="3"/>
  <c r="J2430" i="3" s="1"/>
  <c r="I2426" i="3"/>
  <c r="J2426" i="3" s="1"/>
  <c r="I2413" i="3"/>
  <c r="J2413" i="3" s="1"/>
  <c r="I2409" i="3"/>
  <c r="J2409" i="3" s="1"/>
  <c r="I2405" i="3"/>
  <c r="J2405" i="3" s="1"/>
  <c r="I2392" i="3"/>
  <c r="J2392" i="3" s="1"/>
  <c r="I2388" i="3"/>
  <c r="J2388" i="3" s="1"/>
  <c r="I2384" i="3"/>
  <c r="J2384" i="3" s="1"/>
  <c r="I2371" i="3"/>
  <c r="J2371" i="3" s="1"/>
  <c r="I2367" i="3"/>
  <c r="J2367" i="3" s="1"/>
  <c r="I2354" i="3"/>
  <c r="J2354" i="3" s="1"/>
  <c r="I2350" i="3"/>
  <c r="J2350" i="3" s="1"/>
  <c r="I2346" i="3"/>
  <c r="J2346" i="3" s="1"/>
  <c r="I2282" i="3"/>
  <c r="J2282" i="3" s="1"/>
  <c r="J2288" i="3" s="1"/>
  <c r="I2185" i="3"/>
  <c r="J2185" i="3" s="1"/>
  <c r="J2191" i="3" s="1"/>
  <c r="I2081" i="3"/>
  <c r="J2081" i="3" s="1"/>
  <c r="I2045" i="3"/>
  <c r="J2045" i="3" s="1"/>
  <c r="I2029" i="3"/>
  <c r="J2029" i="3" s="1"/>
  <c r="I1872" i="3"/>
  <c r="J1872" i="3" s="1"/>
  <c r="I1809" i="3"/>
  <c r="J1809" i="3" s="1"/>
  <c r="I1799" i="3"/>
  <c r="J1799" i="3" s="1"/>
  <c r="J1803" i="3" s="1"/>
  <c r="I1789" i="3"/>
  <c r="J1789" i="3" s="1"/>
  <c r="I1756" i="3"/>
  <c r="J1756" i="3" s="1"/>
  <c r="J1762" i="3" s="1"/>
  <c r="G5208" i="3"/>
  <c r="H5208" i="3" s="1"/>
  <c r="H5213" i="3" s="1"/>
  <c r="G5182" i="3"/>
  <c r="H5182" i="3" s="1"/>
  <c r="G4953" i="3"/>
  <c r="H4953" i="3" s="1"/>
  <c r="G4164" i="3"/>
  <c r="H4164" i="3" s="1"/>
  <c r="G4144" i="3"/>
  <c r="H4144" i="3" s="1"/>
  <c r="H4147" i="3" s="1"/>
  <c r="G4071" i="3"/>
  <c r="H4071" i="3" s="1"/>
  <c r="H4072" i="3" s="1"/>
  <c r="G321" i="2" s="1"/>
  <c r="G4061" i="3"/>
  <c r="H4061" i="3" s="1"/>
  <c r="H4062" i="3" s="1"/>
  <c r="G320" i="2" s="1"/>
  <c r="G4051" i="3"/>
  <c r="H4051" i="3" s="1"/>
  <c r="H4052" i="3" s="1"/>
  <c r="G4041" i="3"/>
  <c r="H4041" i="3" s="1"/>
  <c r="H4042" i="3" s="1"/>
  <c r="G4031" i="3"/>
  <c r="H4031" i="3" s="1"/>
  <c r="H4032" i="3" s="1"/>
  <c r="G4021" i="3"/>
  <c r="H4021" i="3" s="1"/>
  <c r="G4007" i="3"/>
  <c r="H4007" i="3" s="1"/>
  <c r="G4003" i="3"/>
  <c r="H4003" i="3" s="1"/>
  <c r="G3633" i="3"/>
  <c r="H3633" i="3" s="1"/>
  <c r="G3597" i="3"/>
  <c r="H3597" i="3" s="1"/>
  <c r="G3561" i="3"/>
  <c r="H3561" i="3" s="1"/>
  <c r="H3564" i="3" s="1"/>
  <c r="G3545" i="3"/>
  <c r="H3545" i="3" s="1"/>
  <c r="H3547" i="3" s="1"/>
  <c r="G3437" i="3"/>
  <c r="H3437" i="3" s="1"/>
  <c r="H3440" i="3" s="1"/>
  <c r="G3401" i="3"/>
  <c r="H3401" i="3" s="1"/>
  <c r="H3404" i="3" s="1"/>
  <c r="G3365" i="3"/>
  <c r="H3365" i="3" s="1"/>
  <c r="G3329" i="3"/>
  <c r="H3329" i="3" s="1"/>
  <c r="G3309" i="3"/>
  <c r="H3309" i="3" s="1"/>
  <c r="G3305" i="3"/>
  <c r="H3305" i="3" s="1"/>
  <c r="G3301" i="3"/>
  <c r="H3301" i="3" s="1"/>
  <c r="G3287" i="3"/>
  <c r="H3287" i="3" s="1"/>
  <c r="G3277" i="3"/>
  <c r="H3277" i="3" s="1"/>
  <c r="G3273" i="3"/>
  <c r="H3273" i="3" s="1"/>
  <c r="G3269" i="3"/>
  <c r="H3269" i="3" s="1"/>
  <c r="G3259" i="3"/>
  <c r="H3259" i="3" s="1"/>
  <c r="G3255" i="3"/>
  <c r="H3255" i="3" s="1"/>
  <c r="G3217" i="3"/>
  <c r="H3217" i="3" s="1"/>
  <c r="H3218" i="3" s="1"/>
  <c r="G3181" i="3"/>
  <c r="H3181" i="3" s="1"/>
  <c r="H3182" i="3" s="1"/>
  <c r="G3145" i="3"/>
  <c r="H3145" i="3" s="1"/>
  <c r="H3146" i="3" s="1"/>
  <c r="G3077" i="3"/>
  <c r="H3077" i="3" s="1"/>
  <c r="H3080" i="3" s="1"/>
  <c r="G2951" i="3"/>
  <c r="H2951" i="3" s="1"/>
  <c r="G2886" i="3"/>
  <c r="H2886" i="3" s="1"/>
  <c r="H2889" i="3" s="1"/>
  <c r="G2654" i="3"/>
  <c r="H2654" i="3" s="1"/>
  <c r="H2657" i="3" s="1"/>
  <c r="G2558" i="3"/>
  <c r="H2558" i="3" s="1"/>
  <c r="G2554" i="3"/>
  <c r="H2554" i="3" s="1"/>
  <c r="G2550" i="3"/>
  <c r="H2550" i="3" s="1"/>
  <c r="G2514" i="3"/>
  <c r="H2514" i="3" s="1"/>
  <c r="G2510" i="3"/>
  <c r="H2510" i="3" s="1"/>
  <c r="G2506" i="3"/>
  <c r="H2506" i="3" s="1"/>
  <c r="G2493" i="3"/>
  <c r="H2493" i="3" s="1"/>
  <c r="G2489" i="3"/>
  <c r="H2489" i="3" s="1"/>
  <c r="G2485" i="3"/>
  <c r="H2485" i="3" s="1"/>
  <c r="G2472" i="3"/>
  <c r="H2472" i="3" s="1"/>
  <c r="G2468" i="3"/>
  <c r="H2468" i="3" s="1"/>
  <c r="G2464" i="3"/>
  <c r="H2464" i="3" s="1"/>
  <c r="G2451" i="3"/>
  <c r="H2451" i="3" s="1"/>
  <c r="G2447" i="3"/>
  <c r="H2447" i="3" s="1"/>
  <c r="G2434" i="3"/>
  <c r="H2434" i="3" s="1"/>
  <c r="G2430" i="3"/>
  <c r="H2430" i="3" s="1"/>
  <c r="G2426" i="3"/>
  <c r="H2426" i="3" s="1"/>
  <c r="G2413" i="3"/>
  <c r="H2413" i="3" s="1"/>
  <c r="G2409" i="3"/>
  <c r="H2409" i="3" s="1"/>
  <c r="G2405" i="3"/>
  <c r="H2405" i="3" s="1"/>
  <c r="G2392" i="3"/>
  <c r="H2392" i="3" s="1"/>
  <c r="G2388" i="3"/>
  <c r="H2388" i="3" s="1"/>
  <c r="G2384" i="3"/>
  <c r="H2384" i="3" s="1"/>
  <c r="G2371" i="3"/>
  <c r="H2371" i="3" s="1"/>
  <c r="G2367" i="3"/>
  <c r="H2367" i="3" s="1"/>
  <c r="G2354" i="3"/>
  <c r="H2354" i="3" s="1"/>
  <c r="G2350" i="3"/>
  <c r="H2350" i="3" s="1"/>
  <c r="G2346" i="3"/>
  <c r="H2346" i="3" s="1"/>
  <c r="G2282" i="3"/>
  <c r="H2282" i="3" s="1"/>
  <c r="H2287" i="3" s="1"/>
  <c r="G2185" i="3"/>
  <c r="H2185" i="3" s="1"/>
  <c r="H2190" i="3" s="1"/>
  <c r="G2081" i="3"/>
  <c r="H2081" i="3" s="1"/>
  <c r="G2045" i="3"/>
  <c r="H2045" i="3" s="1"/>
  <c r="G2029" i="3"/>
  <c r="H2029" i="3" s="1"/>
  <c r="G1872" i="3"/>
  <c r="H1872" i="3" s="1"/>
  <c r="G1809" i="3"/>
  <c r="H1809" i="3" s="1"/>
  <c r="H1812" i="3" s="1"/>
  <c r="G1799" i="3"/>
  <c r="H1799" i="3" s="1"/>
  <c r="H1802" i="3" s="1"/>
  <c r="G1789" i="3"/>
  <c r="H1789" i="3" s="1"/>
  <c r="H1792" i="3" s="1"/>
  <c r="I1677" i="3"/>
  <c r="J1677" i="3" s="1"/>
  <c r="I1671" i="3"/>
  <c r="J1671" i="3" s="1"/>
  <c r="I1644" i="3"/>
  <c r="J1644" i="3" s="1"/>
  <c r="I1639" i="3"/>
  <c r="J1639" i="3" s="1"/>
  <c r="I1616" i="3"/>
  <c r="J1616" i="3" s="1"/>
  <c r="I1612" i="3"/>
  <c r="J1612" i="3" s="1"/>
  <c r="I1608" i="3"/>
  <c r="J1608" i="3" s="1"/>
  <c r="I1584" i="3"/>
  <c r="J1584" i="3" s="1"/>
  <c r="I1580" i="3"/>
  <c r="J1580" i="3" s="1"/>
  <c r="I1556" i="3"/>
  <c r="J1556" i="3" s="1"/>
  <c r="I1551" i="3"/>
  <c r="J1551" i="3" s="1"/>
  <c r="I1547" i="3"/>
  <c r="J1547" i="3" s="1"/>
  <c r="I1527" i="3"/>
  <c r="J1527" i="3" s="1"/>
  <c r="I1523" i="3"/>
  <c r="J1523" i="3" s="1"/>
  <c r="I1519" i="3"/>
  <c r="J1519" i="3" s="1"/>
  <c r="I1496" i="3"/>
  <c r="J1496" i="3" s="1"/>
  <c r="I1492" i="3"/>
  <c r="J1492" i="3" s="1"/>
  <c r="I1488" i="3"/>
  <c r="J1488" i="3" s="1"/>
  <c r="I1467" i="3"/>
  <c r="J1467" i="3" s="1"/>
  <c r="I1463" i="3"/>
  <c r="J1463" i="3" s="1"/>
  <c r="I1459" i="3"/>
  <c r="J1459" i="3" s="1"/>
  <c r="I1433" i="3"/>
  <c r="J1433" i="3" s="1"/>
  <c r="I1429" i="3"/>
  <c r="J1429" i="3" s="1"/>
  <c r="I1405" i="3"/>
  <c r="J1405" i="3" s="1"/>
  <c r="I1401" i="3"/>
  <c r="J1401" i="3" s="1"/>
  <c r="I1397" i="3"/>
  <c r="J1397" i="3" s="1"/>
  <c r="I1374" i="3"/>
  <c r="J1374" i="3" s="1"/>
  <c r="I1370" i="3"/>
  <c r="J1370" i="3" s="1"/>
  <c r="I1347" i="3"/>
  <c r="J1347" i="3" s="1"/>
  <c r="I1343" i="3"/>
  <c r="J1343" i="3" s="1"/>
  <c r="I1339" i="3"/>
  <c r="J1339" i="3" s="1"/>
  <c r="I1316" i="3"/>
  <c r="J1316" i="3" s="1"/>
  <c r="I1312" i="3"/>
  <c r="J1312" i="3" s="1"/>
  <c r="I1308" i="3"/>
  <c r="J1308" i="3" s="1"/>
  <c r="I1285" i="3"/>
  <c r="J1285" i="3" s="1"/>
  <c r="I1281" i="3"/>
  <c r="J1281" i="3" s="1"/>
  <c r="I1277" i="3"/>
  <c r="J1277" i="3" s="1"/>
  <c r="I1256" i="3"/>
  <c r="J1256" i="3" s="1"/>
  <c r="I1252" i="3"/>
  <c r="J1252" i="3" s="1"/>
  <c r="I1231" i="3"/>
  <c r="J1231" i="3" s="1"/>
  <c r="I1227" i="3"/>
  <c r="J1227" i="3" s="1"/>
  <c r="I1223" i="3"/>
  <c r="J1223" i="3" s="1"/>
  <c r="I1200" i="3"/>
  <c r="J1200" i="3" s="1"/>
  <c r="I1196" i="3"/>
  <c r="J1196" i="3" s="1"/>
  <c r="I1173" i="3"/>
  <c r="J1173" i="3" s="1"/>
  <c r="I1169" i="3"/>
  <c r="J1169" i="3" s="1"/>
  <c r="I1165" i="3"/>
  <c r="J1165" i="3" s="1"/>
  <c r="I1140" i="3"/>
  <c r="J1140" i="3" s="1"/>
  <c r="I1136" i="3"/>
  <c r="J1136" i="3" s="1"/>
  <c r="I1111" i="3"/>
  <c r="J1111" i="3" s="1"/>
  <c r="I1107" i="3"/>
  <c r="J1107" i="3" s="1"/>
  <c r="I1103" i="3"/>
  <c r="J1103" i="3" s="1"/>
  <c r="I1082" i="3"/>
  <c r="J1082" i="3" s="1"/>
  <c r="I1078" i="3"/>
  <c r="J1078" i="3" s="1"/>
  <c r="I1074" i="3"/>
  <c r="J1074" i="3" s="1"/>
  <c r="I1051" i="3"/>
  <c r="J1051" i="3" s="1"/>
  <c r="I1047" i="3"/>
  <c r="J1047" i="3" s="1"/>
  <c r="I1043" i="3"/>
  <c r="J1043" i="3" s="1"/>
  <c r="I1022" i="3"/>
  <c r="J1022" i="3" s="1"/>
  <c r="I1018" i="3"/>
  <c r="J1018" i="3" s="1"/>
  <c r="I1014" i="3"/>
  <c r="J1014" i="3" s="1"/>
  <c r="I993" i="3"/>
  <c r="J993" i="3" s="1"/>
  <c r="I989" i="3"/>
  <c r="J989" i="3" s="1"/>
  <c r="I985" i="3"/>
  <c r="J985" i="3" s="1"/>
  <c r="I963" i="3"/>
  <c r="J963" i="3" s="1"/>
  <c r="I959" i="3"/>
  <c r="J959" i="3" s="1"/>
  <c r="I955" i="3"/>
  <c r="J955" i="3" s="1"/>
  <c r="I932" i="3"/>
  <c r="J932" i="3" s="1"/>
  <c r="I928" i="3"/>
  <c r="J928" i="3" s="1"/>
  <c r="I924" i="3"/>
  <c r="J924" i="3" s="1"/>
  <c r="I903" i="3"/>
  <c r="J903" i="3" s="1"/>
  <c r="I899" i="3"/>
  <c r="J899" i="3" s="1"/>
  <c r="I874" i="3"/>
  <c r="J874" i="3" s="1"/>
  <c r="I870" i="3"/>
  <c r="J870" i="3" s="1"/>
  <c r="I849" i="3"/>
  <c r="J849" i="3" s="1"/>
  <c r="I845" i="3"/>
  <c r="J845" i="3" s="1"/>
  <c r="I824" i="3"/>
  <c r="J824" i="3" s="1"/>
  <c r="I820" i="3"/>
  <c r="J820" i="3" s="1"/>
  <c r="I816" i="3"/>
  <c r="J816" i="3" s="1"/>
  <c r="I795" i="3"/>
  <c r="J795" i="3" s="1"/>
  <c r="I791" i="3"/>
  <c r="J791" i="3" s="1"/>
  <c r="I787" i="3"/>
  <c r="J787" i="3" s="1"/>
  <c r="I766" i="3"/>
  <c r="J766" i="3" s="1"/>
  <c r="I762" i="3"/>
  <c r="J762" i="3" s="1"/>
  <c r="I758" i="3"/>
  <c r="J758" i="3" s="1"/>
  <c r="G1677" i="3"/>
  <c r="H1677" i="3" s="1"/>
  <c r="G1671" i="3"/>
  <c r="H1671" i="3" s="1"/>
  <c r="G1644" i="3"/>
  <c r="H1644" i="3" s="1"/>
  <c r="G1639" i="3"/>
  <c r="H1639" i="3" s="1"/>
  <c r="G1616" i="3"/>
  <c r="H1616" i="3" s="1"/>
  <c r="G1612" i="3"/>
  <c r="H1612" i="3" s="1"/>
  <c r="G1608" i="3"/>
  <c r="H1608" i="3" s="1"/>
  <c r="G1584" i="3"/>
  <c r="H1584" i="3" s="1"/>
  <c r="G1580" i="3"/>
  <c r="H1580" i="3" s="1"/>
  <c r="G1556" i="3"/>
  <c r="H1556" i="3" s="1"/>
  <c r="G1551" i="3"/>
  <c r="H1551" i="3" s="1"/>
  <c r="G1547" i="3"/>
  <c r="H1547" i="3" s="1"/>
  <c r="G1527" i="3"/>
  <c r="H1527" i="3" s="1"/>
  <c r="G1523" i="3"/>
  <c r="H1523" i="3" s="1"/>
  <c r="G1519" i="3"/>
  <c r="H1519" i="3" s="1"/>
  <c r="G1496" i="3"/>
  <c r="H1496" i="3" s="1"/>
  <c r="G1492" i="3"/>
  <c r="H1492" i="3" s="1"/>
  <c r="G1488" i="3"/>
  <c r="H1488" i="3" s="1"/>
  <c r="G1467" i="3"/>
  <c r="H1467" i="3" s="1"/>
  <c r="G1463" i="3"/>
  <c r="H1463" i="3" s="1"/>
  <c r="G1459" i="3"/>
  <c r="H1459" i="3" s="1"/>
  <c r="G1433" i="3"/>
  <c r="H1433" i="3" s="1"/>
  <c r="G1429" i="3"/>
  <c r="H1429" i="3" s="1"/>
  <c r="G1405" i="3"/>
  <c r="H1405" i="3" s="1"/>
  <c r="G1401" i="3"/>
  <c r="H1401" i="3" s="1"/>
  <c r="G1397" i="3"/>
  <c r="H1397" i="3" s="1"/>
  <c r="G1374" i="3"/>
  <c r="H1374" i="3" s="1"/>
  <c r="G1370" i="3"/>
  <c r="H1370" i="3" s="1"/>
  <c r="G1347" i="3"/>
  <c r="H1347" i="3" s="1"/>
  <c r="G1343" i="3"/>
  <c r="H1343" i="3" s="1"/>
  <c r="G1339" i="3"/>
  <c r="H1339" i="3" s="1"/>
  <c r="G1316" i="3"/>
  <c r="H1316" i="3" s="1"/>
  <c r="G1312" i="3"/>
  <c r="H1312" i="3" s="1"/>
  <c r="G1308" i="3"/>
  <c r="H1308" i="3" s="1"/>
  <c r="G1285" i="3"/>
  <c r="H1285" i="3" s="1"/>
  <c r="G1281" i="3"/>
  <c r="H1281" i="3" s="1"/>
  <c r="G1277" i="3"/>
  <c r="H1277" i="3" s="1"/>
  <c r="G1256" i="3"/>
  <c r="H1256" i="3" s="1"/>
  <c r="G1252" i="3"/>
  <c r="H1252" i="3" s="1"/>
  <c r="G1231" i="3"/>
  <c r="H1231" i="3" s="1"/>
  <c r="G1227" i="3"/>
  <c r="H1227" i="3" s="1"/>
  <c r="G1223" i="3"/>
  <c r="H1223" i="3" s="1"/>
  <c r="G1200" i="3"/>
  <c r="H1200" i="3" s="1"/>
  <c r="G1196" i="3"/>
  <c r="H1196" i="3" s="1"/>
  <c r="G1173" i="3"/>
  <c r="H1173" i="3" s="1"/>
  <c r="G1169" i="3"/>
  <c r="H1169" i="3" s="1"/>
  <c r="G1165" i="3"/>
  <c r="H1165" i="3" s="1"/>
  <c r="G1140" i="3"/>
  <c r="H1140" i="3" s="1"/>
  <c r="G1136" i="3"/>
  <c r="H1136" i="3" s="1"/>
  <c r="G1111" i="3"/>
  <c r="H1111" i="3" s="1"/>
  <c r="G1107" i="3"/>
  <c r="H1107" i="3" s="1"/>
  <c r="G1103" i="3"/>
  <c r="H1103" i="3" s="1"/>
  <c r="G1082" i="3"/>
  <c r="H1082" i="3" s="1"/>
  <c r="G1078" i="3"/>
  <c r="H1078" i="3" s="1"/>
  <c r="G1074" i="3"/>
  <c r="H1074" i="3" s="1"/>
  <c r="G1051" i="3"/>
  <c r="H1051" i="3" s="1"/>
  <c r="G1047" i="3"/>
  <c r="H1047" i="3" s="1"/>
  <c r="G1043" i="3"/>
  <c r="H1043" i="3" s="1"/>
  <c r="G1022" i="3"/>
  <c r="H1022" i="3" s="1"/>
  <c r="G1018" i="3"/>
  <c r="H1018" i="3" s="1"/>
  <c r="G1014" i="3"/>
  <c r="H1014" i="3" s="1"/>
  <c r="G993" i="3"/>
  <c r="H993" i="3" s="1"/>
  <c r="G989" i="3"/>
  <c r="H989" i="3" s="1"/>
  <c r="G985" i="3"/>
  <c r="H985" i="3" s="1"/>
  <c r="G963" i="3"/>
  <c r="H963" i="3" s="1"/>
  <c r="G959" i="3"/>
  <c r="H959" i="3" s="1"/>
  <c r="G955" i="3"/>
  <c r="H955" i="3" s="1"/>
  <c r="G932" i="3"/>
  <c r="H932" i="3" s="1"/>
  <c r="G928" i="3"/>
  <c r="H928" i="3" s="1"/>
  <c r="G924" i="3"/>
  <c r="H924" i="3" s="1"/>
  <c r="G903" i="3"/>
  <c r="H903" i="3" s="1"/>
  <c r="G899" i="3"/>
  <c r="H899" i="3" s="1"/>
  <c r="G874" i="3"/>
  <c r="H874" i="3" s="1"/>
  <c r="G870" i="3"/>
  <c r="H870" i="3" s="1"/>
  <c r="G849" i="3"/>
  <c r="H849" i="3" s="1"/>
  <c r="G845" i="3"/>
  <c r="H845" i="3" s="1"/>
  <c r="I1675" i="3"/>
  <c r="J1675" i="3" s="1"/>
  <c r="I1670" i="3"/>
  <c r="J1670" i="3" s="1"/>
  <c r="I1642" i="3"/>
  <c r="J1642" i="3" s="1"/>
  <c r="I1638" i="3"/>
  <c r="J1638" i="3" s="1"/>
  <c r="I1615" i="3"/>
  <c r="J1615" i="3" s="1"/>
  <c r="I1611" i="3"/>
  <c r="J1611" i="3" s="1"/>
  <c r="I1607" i="3"/>
  <c r="J1607" i="3" s="1"/>
  <c r="I1583" i="3"/>
  <c r="J1583" i="3" s="1"/>
  <c r="I1579" i="3"/>
  <c r="J1579" i="3" s="1"/>
  <c r="I1554" i="3"/>
  <c r="J1554" i="3" s="1"/>
  <c r="I1550" i="3"/>
  <c r="J1550" i="3" s="1"/>
  <c r="I1526" i="3"/>
  <c r="J1526" i="3" s="1"/>
  <c r="I1522" i="3"/>
  <c r="J1522" i="3" s="1"/>
  <c r="I1518" i="3"/>
  <c r="J1518" i="3" s="1"/>
  <c r="I1495" i="3"/>
  <c r="J1495" i="3" s="1"/>
  <c r="I1491" i="3"/>
  <c r="J1491" i="3" s="1"/>
  <c r="I1487" i="3"/>
  <c r="J1487" i="3" s="1"/>
  <c r="I1466" i="3"/>
  <c r="J1466" i="3" s="1"/>
  <c r="I1462" i="3"/>
  <c r="J1462" i="3" s="1"/>
  <c r="I1458" i="3"/>
  <c r="J1458" i="3" s="1"/>
  <c r="I1437" i="3"/>
  <c r="J1437" i="3" s="1"/>
  <c r="I1432" i="3"/>
  <c r="J1432" i="3" s="1"/>
  <c r="I1428" i="3"/>
  <c r="J1428" i="3" s="1"/>
  <c r="I1404" i="3"/>
  <c r="J1404" i="3" s="1"/>
  <c r="I1400" i="3"/>
  <c r="J1400" i="3" s="1"/>
  <c r="I1377" i="3"/>
  <c r="J1377" i="3" s="1"/>
  <c r="I1373" i="3"/>
  <c r="J1373" i="3" s="1"/>
  <c r="I1369" i="3"/>
  <c r="J1369" i="3" s="1"/>
  <c r="I1346" i="3"/>
  <c r="J1346" i="3" s="1"/>
  <c r="I1342" i="3"/>
  <c r="J1342" i="3" s="1"/>
  <c r="I1338" i="3"/>
  <c r="J1338" i="3" s="1"/>
  <c r="I1315" i="3"/>
  <c r="J1315" i="3" s="1"/>
  <c r="I1311" i="3"/>
  <c r="J1311" i="3" s="1"/>
  <c r="I1307" i="3"/>
  <c r="J1307" i="3" s="1"/>
  <c r="I1284" i="3"/>
  <c r="J1284" i="3" s="1"/>
  <c r="I1280" i="3"/>
  <c r="J1280" i="3" s="1"/>
  <c r="I1255" i="3"/>
  <c r="J1255" i="3" s="1"/>
  <c r="I1230" i="3"/>
  <c r="J1230" i="3" s="1"/>
  <c r="I1226" i="3"/>
  <c r="J1226" i="3" s="1"/>
  <c r="I1203" i="3"/>
  <c r="J1203" i="3" s="1"/>
  <c r="I1199" i="3"/>
  <c r="J1199" i="3" s="1"/>
  <c r="I1195" i="3"/>
  <c r="J1195" i="3" s="1"/>
  <c r="I1172" i="3"/>
  <c r="J1172" i="3" s="1"/>
  <c r="I1168" i="3"/>
  <c r="J1168" i="3" s="1"/>
  <c r="I1164" i="3"/>
  <c r="J1164" i="3" s="1"/>
  <c r="I1143" i="3"/>
  <c r="J1143" i="3" s="1"/>
  <c r="I1139" i="3"/>
  <c r="J1139" i="3" s="1"/>
  <c r="I1135" i="3"/>
  <c r="J1135" i="3" s="1"/>
  <c r="I1110" i="3"/>
  <c r="J1110" i="3" s="1"/>
  <c r="I1106" i="3"/>
  <c r="J1106" i="3" s="1"/>
  <c r="I1081" i="3"/>
  <c r="J1081" i="3" s="1"/>
  <c r="I1077" i="3"/>
  <c r="J1077" i="3" s="1"/>
  <c r="I1073" i="3"/>
  <c r="J1073" i="3" s="1"/>
  <c r="I1050" i="3"/>
  <c r="J1050" i="3" s="1"/>
  <c r="I1046" i="3"/>
  <c r="J1046" i="3" s="1"/>
  <c r="I1021" i="3"/>
  <c r="J1021" i="3" s="1"/>
  <c r="I1017" i="3"/>
  <c r="J1017" i="3" s="1"/>
  <c r="I1013" i="3"/>
  <c r="J1013" i="3" s="1"/>
  <c r="I992" i="3"/>
  <c r="J992" i="3" s="1"/>
  <c r="I988" i="3"/>
  <c r="J988" i="3" s="1"/>
  <c r="I984" i="3"/>
  <c r="J984" i="3" s="1"/>
  <c r="I962" i="3"/>
  <c r="J962" i="3" s="1"/>
  <c r="I958" i="3"/>
  <c r="J958" i="3" s="1"/>
  <c r="I954" i="3"/>
  <c r="J954" i="3" s="1"/>
  <c r="I931" i="3"/>
  <c r="J931" i="3" s="1"/>
  <c r="I927" i="3"/>
  <c r="J927" i="3" s="1"/>
  <c r="I923" i="3"/>
  <c r="J923" i="3" s="1"/>
  <c r="I902" i="3"/>
  <c r="J902" i="3" s="1"/>
  <c r="I898" i="3"/>
  <c r="J898" i="3" s="1"/>
  <c r="I877" i="3"/>
  <c r="J877" i="3" s="1"/>
  <c r="I873" i="3"/>
  <c r="J873" i="3" s="1"/>
  <c r="I848" i="3"/>
  <c r="J848" i="3" s="1"/>
  <c r="I823" i="3"/>
  <c r="J823" i="3" s="1"/>
  <c r="I819" i="3"/>
  <c r="J819" i="3" s="1"/>
  <c r="G1675" i="3"/>
  <c r="H1675" i="3" s="1"/>
  <c r="G1670" i="3"/>
  <c r="H1670" i="3" s="1"/>
  <c r="G1642" i="3"/>
  <c r="H1642" i="3" s="1"/>
  <c r="G1638" i="3"/>
  <c r="H1638" i="3" s="1"/>
  <c r="G1615" i="3"/>
  <c r="H1615" i="3" s="1"/>
  <c r="G1611" i="3"/>
  <c r="H1611" i="3" s="1"/>
  <c r="G1607" i="3"/>
  <c r="H1607" i="3" s="1"/>
  <c r="G1583" i="3"/>
  <c r="H1583" i="3" s="1"/>
  <c r="G1579" i="3"/>
  <c r="H1579" i="3" s="1"/>
  <c r="G1554" i="3"/>
  <c r="H1554" i="3" s="1"/>
  <c r="G1550" i="3"/>
  <c r="H1550" i="3" s="1"/>
  <c r="G1526" i="3"/>
  <c r="H1526" i="3" s="1"/>
  <c r="G1522" i="3"/>
  <c r="H1522" i="3" s="1"/>
  <c r="G1518" i="3"/>
  <c r="H1518" i="3" s="1"/>
  <c r="G1495" i="3"/>
  <c r="H1495" i="3" s="1"/>
  <c r="G1491" i="3"/>
  <c r="H1491" i="3" s="1"/>
  <c r="G1487" i="3"/>
  <c r="H1487" i="3" s="1"/>
  <c r="G1466" i="3"/>
  <c r="H1466" i="3" s="1"/>
  <c r="G1462" i="3"/>
  <c r="H1462" i="3" s="1"/>
  <c r="G1458" i="3"/>
  <c r="H1458" i="3" s="1"/>
  <c r="G1437" i="3"/>
  <c r="H1437" i="3" s="1"/>
  <c r="G1432" i="3"/>
  <c r="H1432" i="3" s="1"/>
  <c r="G1428" i="3"/>
  <c r="H1428" i="3" s="1"/>
  <c r="G1404" i="3"/>
  <c r="H1404" i="3" s="1"/>
  <c r="G1400" i="3"/>
  <c r="H1400" i="3" s="1"/>
  <c r="G1377" i="3"/>
  <c r="H1377" i="3" s="1"/>
  <c r="G1373" i="3"/>
  <c r="H1373" i="3" s="1"/>
  <c r="G1369" i="3"/>
  <c r="H1369" i="3" s="1"/>
  <c r="G1346" i="3"/>
  <c r="H1346" i="3" s="1"/>
  <c r="G1342" i="3"/>
  <c r="H1342" i="3" s="1"/>
  <c r="G1338" i="3"/>
  <c r="H1338" i="3" s="1"/>
  <c r="G1315" i="3"/>
  <c r="H1315" i="3" s="1"/>
  <c r="G1311" i="3"/>
  <c r="H1311" i="3" s="1"/>
  <c r="G1307" i="3"/>
  <c r="H1307" i="3" s="1"/>
  <c r="G1284" i="3"/>
  <c r="H1284" i="3" s="1"/>
  <c r="G1280" i="3"/>
  <c r="H1280" i="3" s="1"/>
  <c r="G1255" i="3"/>
  <c r="H1255" i="3" s="1"/>
  <c r="G1230" i="3"/>
  <c r="H1230" i="3" s="1"/>
  <c r="G1226" i="3"/>
  <c r="H1226" i="3" s="1"/>
  <c r="G1203" i="3"/>
  <c r="H1203" i="3" s="1"/>
  <c r="G1199" i="3"/>
  <c r="H1199" i="3" s="1"/>
  <c r="G1195" i="3"/>
  <c r="H1195" i="3" s="1"/>
  <c r="G1172" i="3"/>
  <c r="H1172" i="3" s="1"/>
  <c r="G1168" i="3"/>
  <c r="H1168" i="3" s="1"/>
  <c r="G1164" i="3"/>
  <c r="H1164" i="3" s="1"/>
  <c r="G1143" i="3"/>
  <c r="H1143" i="3" s="1"/>
  <c r="G1139" i="3"/>
  <c r="H1139" i="3" s="1"/>
  <c r="G1135" i="3"/>
  <c r="H1135" i="3" s="1"/>
  <c r="G1110" i="3"/>
  <c r="H1110" i="3" s="1"/>
  <c r="G1106" i="3"/>
  <c r="H1106" i="3" s="1"/>
  <c r="G1081" i="3"/>
  <c r="H1081" i="3" s="1"/>
  <c r="G1077" i="3"/>
  <c r="H1077" i="3" s="1"/>
  <c r="G1073" i="3"/>
  <c r="H1073" i="3" s="1"/>
  <c r="G1050" i="3"/>
  <c r="H1050" i="3" s="1"/>
  <c r="G1046" i="3"/>
  <c r="H1046" i="3" s="1"/>
  <c r="G1021" i="3"/>
  <c r="H1021" i="3" s="1"/>
  <c r="G1017" i="3"/>
  <c r="H1017" i="3" s="1"/>
  <c r="G1013" i="3"/>
  <c r="H1013" i="3" s="1"/>
  <c r="G992" i="3"/>
  <c r="H992" i="3" s="1"/>
  <c r="G988" i="3"/>
  <c r="H988" i="3" s="1"/>
  <c r="G984" i="3"/>
  <c r="H984" i="3" s="1"/>
  <c r="G962" i="3"/>
  <c r="H962" i="3" s="1"/>
  <c r="G958" i="3"/>
  <c r="H958" i="3" s="1"/>
  <c r="G954" i="3"/>
  <c r="H954" i="3" s="1"/>
  <c r="G931" i="3"/>
  <c r="H931" i="3" s="1"/>
  <c r="G927" i="3"/>
  <c r="H927" i="3" s="1"/>
  <c r="G923" i="3"/>
  <c r="H923" i="3" s="1"/>
  <c r="G902" i="3"/>
  <c r="H902" i="3" s="1"/>
  <c r="G898" i="3"/>
  <c r="H898" i="3" s="1"/>
  <c r="G877" i="3"/>
  <c r="H877" i="3" s="1"/>
  <c r="G873" i="3"/>
  <c r="H873" i="3" s="1"/>
  <c r="G848" i="3"/>
  <c r="H848" i="3" s="1"/>
  <c r="G823" i="3"/>
  <c r="H823" i="3" s="1"/>
  <c r="G819" i="3"/>
  <c r="H819" i="3" s="1"/>
  <c r="I1674" i="3"/>
  <c r="J1674" i="3" s="1"/>
  <c r="I1669" i="3"/>
  <c r="J1669" i="3" s="1"/>
  <c r="I1646" i="3"/>
  <c r="J1646" i="3" s="1"/>
  <c r="I1641" i="3"/>
  <c r="J1641" i="3" s="1"/>
  <c r="I1637" i="3"/>
  <c r="J1637" i="3" s="1"/>
  <c r="I1614" i="3"/>
  <c r="J1614" i="3" s="1"/>
  <c r="I1610" i="3"/>
  <c r="J1610" i="3" s="1"/>
  <c r="I1587" i="3"/>
  <c r="J1587" i="3" s="1"/>
  <c r="I1582" i="3"/>
  <c r="J1582" i="3" s="1"/>
  <c r="I1578" i="3"/>
  <c r="J1578" i="3" s="1"/>
  <c r="I1553" i="3"/>
  <c r="J1553" i="3" s="1"/>
  <c r="I1549" i="3"/>
  <c r="J1549" i="3" s="1"/>
  <c r="I1525" i="3"/>
  <c r="J1525" i="3" s="1"/>
  <c r="I1521" i="3"/>
  <c r="J1521" i="3" s="1"/>
  <c r="I1517" i="3"/>
  <c r="J1517" i="3" s="1"/>
  <c r="I1494" i="3"/>
  <c r="J1494" i="3" s="1"/>
  <c r="I1490" i="3"/>
  <c r="J1490" i="3" s="1"/>
  <c r="I1465" i="3"/>
  <c r="J1465" i="3" s="1"/>
  <c r="I1461" i="3"/>
  <c r="J1461" i="3" s="1"/>
  <c r="I1457" i="3"/>
  <c r="J1457" i="3" s="1"/>
  <c r="I1436" i="3"/>
  <c r="J1436" i="3" s="1"/>
  <c r="I1431" i="3"/>
  <c r="J1431" i="3" s="1"/>
  <c r="I1427" i="3"/>
  <c r="J1427" i="3" s="1"/>
  <c r="I1407" i="3"/>
  <c r="J1407" i="3" s="1"/>
  <c r="I1403" i="3"/>
  <c r="J1403" i="3" s="1"/>
  <c r="I1399" i="3"/>
  <c r="J1399" i="3" s="1"/>
  <c r="I1376" i="3"/>
  <c r="J1376" i="3" s="1"/>
  <c r="I1372" i="3"/>
  <c r="J1372" i="3" s="1"/>
  <c r="I1368" i="3"/>
  <c r="J1368" i="3" s="1"/>
  <c r="I1345" i="3"/>
  <c r="J1345" i="3" s="1"/>
  <c r="I1341" i="3"/>
  <c r="J1341" i="3" s="1"/>
  <c r="I1337" i="3"/>
  <c r="J1337" i="3" s="1"/>
  <c r="I1314" i="3"/>
  <c r="J1314" i="3" s="1"/>
  <c r="I1310" i="3"/>
  <c r="J1310" i="3" s="1"/>
  <c r="I1287" i="3"/>
  <c r="J1287" i="3" s="1"/>
  <c r="I1283" i="3"/>
  <c r="J1283" i="3" s="1"/>
  <c r="I1279" i="3"/>
  <c r="J1279" i="3" s="1"/>
  <c r="I1254" i="3"/>
  <c r="J1254" i="3" s="1"/>
  <c r="I1233" i="3"/>
  <c r="J1233" i="3" s="1"/>
  <c r="I1229" i="3"/>
  <c r="J1229" i="3" s="1"/>
  <c r="I1225" i="3"/>
  <c r="J1225" i="3" s="1"/>
  <c r="I1202" i="3"/>
  <c r="J1202" i="3" s="1"/>
  <c r="I1198" i="3"/>
  <c r="J1198" i="3" s="1"/>
  <c r="I1194" i="3"/>
  <c r="J1194" i="3" s="1"/>
  <c r="I1171" i="3"/>
  <c r="J1171" i="3" s="1"/>
  <c r="I1167" i="3"/>
  <c r="J1167" i="3" s="1"/>
  <c r="I1163" i="3"/>
  <c r="J1163" i="3" s="1"/>
  <c r="I1142" i="3"/>
  <c r="J1142" i="3" s="1"/>
  <c r="I1138" i="3"/>
  <c r="J1138" i="3" s="1"/>
  <c r="I1134" i="3"/>
  <c r="J1134" i="3" s="1"/>
  <c r="I1113" i="3"/>
  <c r="J1113" i="3" s="1"/>
  <c r="I1109" i="3"/>
  <c r="J1109" i="3" s="1"/>
  <c r="I1105" i="3"/>
  <c r="J1105" i="3" s="1"/>
  <c r="I1080" i="3"/>
  <c r="J1080" i="3" s="1"/>
  <c r="I1076" i="3"/>
  <c r="J1076" i="3" s="1"/>
  <c r="I1053" i="3"/>
  <c r="J1053" i="3" s="1"/>
  <c r="I1049" i="3"/>
  <c r="J1049" i="3" s="1"/>
  <c r="I1045" i="3"/>
  <c r="J1045" i="3" s="1"/>
  <c r="I1020" i="3"/>
  <c r="J1020" i="3" s="1"/>
  <c r="I1016" i="3"/>
  <c r="J1016" i="3" s="1"/>
  <c r="I991" i="3"/>
  <c r="J991" i="3" s="1"/>
  <c r="I987" i="3"/>
  <c r="J987" i="3" s="1"/>
  <c r="I983" i="3"/>
  <c r="J983" i="3" s="1"/>
  <c r="I961" i="3"/>
  <c r="J961" i="3" s="1"/>
  <c r="I957" i="3"/>
  <c r="J957" i="3" s="1"/>
  <c r="I953" i="3"/>
  <c r="J953" i="3" s="1"/>
  <c r="I930" i="3"/>
  <c r="J930" i="3" s="1"/>
  <c r="I926" i="3"/>
  <c r="J926" i="3" s="1"/>
  <c r="I901" i="3"/>
  <c r="J901" i="3" s="1"/>
  <c r="I897" i="3"/>
  <c r="J897" i="3" s="1"/>
  <c r="I876" i="3"/>
  <c r="J876" i="3" s="1"/>
  <c r="I872" i="3"/>
  <c r="J872" i="3" s="1"/>
  <c r="I851" i="3"/>
  <c r="J851" i="3" s="1"/>
  <c r="I847" i="3"/>
  <c r="J847" i="3" s="1"/>
  <c r="I826" i="3"/>
  <c r="J826" i="3" s="1"/>
  <c r="I822" i="3"/>
  <c r="J822" i="3" s="1"/>
  <c r="I818" i="3"/>
  <c r="J818" i="3" s="1"/>
  <c r="G1674" i="3"/>
  <c r="H1674" i="3" s="1"/>
  <c r="G1669" i="3"/>
  <c r="H1669" i="3" s="1"/>
  <c r="G1646" i="3"/>
  <c r="H1646" i="3" s="1"/>
  <c r="G1641" i="3"/>
  <c r="H1641" i="3" s="1"/>
  <c r="G1637" i="3"/>
  <c r="H1637" i="3" s="1"/>
  <c r="G1614" i="3"/>
  <c r="H1614" i="3" s="1"/>
  <c r="G1610" i="3"/>
  <c r="H1610" i="3" s="1"/>
  <c r="G1587" i="3"/>
  <c r="H1587" i="3" s="1"/>
  <c r="G1582" i="3"/>
  <c r="H1582" i="3" s="1"/>
  <c r="G1578" i="3"/>
  <c r="H1578" i="3" s="1"/>
  <c r="G1553" i="3"/>
  <c r="H1553" i="3" s="1"/>
  <c r="G1549" i="3"/>
  <c r="H1549" i="3" s="1"/>
  <c r="G1525" i="3"/>
  <c r="H1525" i="3" s="1"/>
  <c r="G1521" i="3"/>
  <c r="H1521" i="3" s="1"/>
  <c r="G1517" i="3"/>
  <c r="H1517" i="3" s="1"/>
  <c r="G1494" i="3"/>
  <c r="H1494" i="3" s="1"/>
  <c r="G1490" i="3"/>
  <c r="H1490" i="3" s="1"/>
  <c r="G1465" i="3"/>
  <c r="H1465" i="3" s="1"/>
  <c r="G1461" i="3"/>
  <c r="H1461" i="3" s="1"/>
  <c r="G1457" i="3"/>
  <c r="H1457" i="3" s="1"/>
  <c r="G1436" i="3"/>
  <c r="H1436" i="3" s="1"/>
  <c r="G1431" i="3"/>
  <c r="H1431" i="3" s="1"/>
  <c r="G1427" i="3"/>
  <c r="H1427" i="3" s="1"/>
  <c r="G1407" i="3"/>
  <c r="H1407" i="3" s="1"/>
  <c r="G1403" i="3"/>
  <c r="H1403" i="3" s="1"/>
  <c r="G1399" i="3"/>
  <c r="H1399" i="3" s="1"/>
  <c r="G1376" i="3"/>
  <c r="H1376" i="3" s="1"/>
  <c r="G1372" i="3"/>
  <c r="H1372" i="3" s="1"/>
  <c r="G1368" i="3"/>
  <c r="H1368" i="3" s="1"/>
  <c r="G1345" i="3"/>
  <c r="H1345" i="3" s="1"/>
  <c r="G1341" i="3"/>
  <c r="H1341" i="3" s="1"/>
  <c r="G1337" i="3"/>
  <c r="H1337" i="3" s="1"/>
  <c r="G1314" i="3"/>
  <c r="H1314" i="3" s="1"/>
  <c r="G1310" i="3"/>
  <c r="H1310" i="3" s="1"/>
  <c r="G1287" i="3"/>
  <c r="H1287" i="3" s="1"/>
  <c r="G1283" i="3"/>
  <c r="H1283" i="3" s="1"/>
  <c r="G1279" i="3"/>
  <c r="H1279" i="3" s="1"/>
  <c r="G1254" i="3"/>
  <c r="H1254" i="3" s="1"/>
  <c r="G1233" i="3"/>
  <c r="H1233" i="3" s="1"/>
  <c r="G1229" i="3"/>
  <c r="H1229" i="3" s="1"/>
  <c r="G1225" i="3"/>
  <c r="H1225" i="3" s="1"/>
  <c r="G1202" i="3"/>
  <c r="H1202" i="3" s="1"/>
  <c r="G1198" i="3"/>
  <c r="H1198" i="3" s="1"/>
  <c r="G1194" i="3"/>
  <c r="H1194" i="3" s="1"/>
  <c r="G1171" i="3"/>
  <c r="H1171" i="3" s="1"/>
  <c r="G1167" i="3"/>
  <c r="H1167" i="3" s="1"/>
  <c r="G1163" i="3"/>
  <c r="H1163" i="3" s="1"/>
  <c r="G1142" i="3"/>
  <c r="H1142" i="3" s="1"/>
  <c r="G1138" i="3"/>
  <c r="H1138" i="3" s="1"/>
  <c r="G1134" i="3"/>
  <c r="H1134" i="3" s="1"/>
  <c r="G1113" i="3"/>
  <c r="H1113" i="3" s="1"/>
  <c r="G1109" i="3"/>
  <c r="H1109" i="3" s="1"/>
  <c r="G1105" i="3"/>
  <c r="H1105" i="3" s="1"/>
  <c r="G1080" i="3"/>
  <c r="H1080" i="3" s="1"/>
  <c r="G1076" i="3"/>
  <c r="H1076" i="3" s="1"/>
  <c r="G1053" i="3"/>
  <c r="H1053" i="3" s="1"/>
  <c r="G1049" i="3"/>
  <c r="H1049" i="3" s="1"/>
  <c r="G1045" i="3"/>
  <c r="H1045" i="3" s="1"/>
  <c r="G1020" i="3"/>
  <c r="H1020" i="3" s="1"/>
  <c r="G1016" i="3"/>
  <c r="H1016" i="3" s="1"/>
  <c r="G991" i="3"/>
  <c r="H991" i="3" s="1"/>
  <c r="G987" i="3"/>
  <c r="H987" i="3" s="1"/>
  <c r="G983" i="3"/>
  <c r="H983" i="3" s="1"/>
  <c r="G961" i="3"/>
  <c r="H961" i="3" s="1"/>
  <c r="G957" i="3"/>
  <c r="H957" i="3" s="1"/>
  <c r="G953" i="3"/>
  <c r="H953" i="3" s="1"/>
  <c r="G930" i="3"/>
  <c r="H930" i="3" s="1"/>
  <c r="G926" i="3"/>
  <c r="H926" i="3" s="1"/>
  <c r="G901" i="3"/>
  <c r="H901" i="3" s="1"/>
  <c r="G897" i="3"/>
  <c r="H897" i="3" s="1"/>
  <c r="G876" i="3"/>
  <c r="H876" i="3" s="1"/>
  <c r="G872" i="3"/>
  <c r="H872" i="3" s="1"/>
  <c r="G851" i="3"/>
  <c r="H851" i="3" s="1"/>
  <c r="G847" i="3"/>
  <c r="H847" i="3" s="1"/>
  <c r="G1766" i="3"/>
  <c r="H1766" i="3" s="1"/>
  <c r="H1771" i="3" s="1"/>
  <c r="I1673" i="3"/>
  <c r="J1673" i="3" s="1"/>
  <c r="I1667" i="3"/>
  <c r="J1667" i="3" s="1"/>
  <c r="I1645" i="3"/>
  <c r="J1645" i="3" s="1"/>
  <c r="I1640" i="3"/>
  <c r="J1640" i="3" s="1"/>
  <c r="I1617" i="3"/>
  <c r="J1617" i="3" s="1"/>
  <c r="I1613" i="3"/>
  <c r="J1613" i="3" s="1"/>
  <c r="I1609" i="3"/>
  <c r="J1609" i="3" s="1"/>
  <c r="I1586" i="3"/>
  <c r="J1586" i="3" s="1"/>
  <c r="I1581" i="3"/>
  <c r="J1581" i="3" s="1"/>
  <c r="I1577" i="3"/>
  <c r="J1577" i="3" s="1"/>
  <c r="I1557" i="3"/>
  <c r="J1557" i="3" s="1"/>
  <c r="I1552" i="3"/>
  <c r="J1552" i="3" s="1"/>
  <c r="I1548" i="3"/>
  <c r="J1548" i="3" s="1"/>
  <c r="I1524" i="3"/>
  <c r="J1524" i="3" s="1"/>
  <c r="I1520" i="3"/>
  <c r="J1520" i="3" s="1"/>
  <c r="I1497" i="3"/>
  <c r="J1497" i="3" s="1"/>
  <c r="I1493" i="3"/>
  <c r="J1493" i="3" s="1"/>
  <c r="I1489" i="3"/>
  <c r="J1489" i="3" s="1"/>
  <c r="I1464" i="3"/>
  <c r="J1464" i="3" s="1"/>
  <c r="I1460" i="3"/>
  <c r="J1460" i="3" s="1"/>
  <c r="I1434" i="3"/>
  <c r="J1434" i="3" s="1"/>
  <c r="I1430" i="3"/>
  <c r="J1430" i="3" s="1"/>
  <c r="I1406" i="3"/>
  <c r="J1406" i="3" s="1"/>
  <c r="I1402" i="3"/>
  <c r="J1402" i="3" s="1"/>
  <c r="I1398" i="3"/>
  <c r="J1398" i="3" s="1"/>
  <c r="I1375" i="3"/>
  <c r="J1375" i="3" s="1"/>
  <c r="I1371" i="3"/>
  <c r="J1371" i="3" s="1"/>
  <c r="I1367" i="3"/>
  <c r="J1367" i="3" s="1"/>
  <c r="I1344" i="3"/>
  <c r="J1344" i="3" s="1"/>
  <c r="I1340" i="3"/>
  <c r="J1340" i="3" s="1"/>
  <c r="I1317" i="3"/>
  <c r="J1317" i="3" s="1"/>
  <c r="I1313" i="3"/>
  <c r="J1313" i="3" s="1"/>
  <c r="I1309" i="3"/>
  <c r="J1309" i="3" s="1"/>
  <c r="I1286" i="3"/>
  <c r="J1286" i="3" s="1"/>
  <c r="I1282" i="3"/>
  <c r="J1282" i="3" s="1"/>
  <c r="I1278" i="3"/>
  <c r="J1278" i="3" s="1"/>
  <c r="I1257" i="3"/>
  <c r="J1257" i="3" s="1"/>
  <c r="I1253" i="3"/>
  <c r="J1253" i="3" s="1"/>
  <c r="I1232" i="3"/>
  <c r="J1232" i="3" s="1"/>
  <c r="I1228" i="3"/>
  <c r="J1228" i="3" s="1"/>
  <c r="I1224" i="3"/>
  <c r="J1224" i="3" s="1"/>
  <c r="I1201" i="3"/>
  <c r="J1201" i="3" s="1"/>
  <c r="I1197" i="3"/>
  <c r="J1197" i="3" s="1"/>
  <c r="I1193" i="3"/>
  <c r="J1193" i="3" s="1"/>
  <c r="I1170" i="3"/>
  <c r="J1170" i="3" s="1"/>
  <c r="I1166" i="3"/>
  <c r="J1166" i="3" s="1"/>
  <c r="I1141" i="3"/>
  <c r="J1141" i="3" s="1"/>
  <c r="I1137" i="3"/>
  <c r="J1137" i="3" s="1"/>
  <c r="I1133" i="3"/>
  <c r="J1133" i="3" s="1"/>
  <c r="I1112" i="3"/>
  <c r="J1112" i="3" s="1"/>
  <c r="I1108" i="3"/>
  <c r="J1108" i="3" s="1"/>
  <c r="I1104" i="3"/>
  <c r="J1104" i="3" s="1"/>
  <c r="I1083" i="3"/>
  <c r="J1083" i="3" s="1"/>
  <c r="I1079" i="3"/>
  <c r="J1079" i="3" s="1"/>
  <c r="I1075" i="3"/>
  <c r="J1075" i="3" s="1"/>
  <c r="I1052" i="3"/>
  <c r="J1052" i="3" s="1"/>
  <c r="I1048" i="3"/>
  <c r="J1048" i="3" s="1"/>
  <c r="I1044" i="3"/>
  <c r="J1044" i="3" s="1"/>
  <c r="I1023" i="3"/>
  <c r="J1023" i="3" s="1"/>
  <c r="I1019" i="3"/>
  <c r="J1019" i="3" s="1"/>
  <c r="I1015" i="3"/>
  <c r="J1015" i="3" s="1"/>
  <c r="I990" i="3"/>
  <c r="J990" i="3" s="1"/>
  <c r="I986" i="3"/>
  <c r="J986" i="3" s="1"/>
  <c r="I960" i="3"/>
  <c r="J960" i="3" s="1"/>
  <c r="I956" i="3"/>
  <c r="J956" i="3" s="1"/>
  <c r="I933" i="3"/>
  <c r="J933" i="3" s="1"/>
  <c r="I929" i="3"/>
  <c r="J929" i="3" s="1"/>
  <c r="I925" i="3"/>
  <c r="J925" i="3" s="1"/>
  <c r="I900" i="3"/>
  <c r="J900" i="3" s="1"/>
  <c r="I896" i="3"/>
  <c r="J896" i="3" s="1"/>
  <c r="I875" i="3"/>
  <c r="J875" i="3" s="1"/>
  <c r="I871" i="3"/>
  <c r="J871" i="3" s="1"/>
  <c r="I850" i="3"/>
  <c r="J850" i="3" s="1"/>
  <c r="I846" i="3"/>
  <c r="J846" i="3" s="1"/>
  <c r="G1756" i="3"/>
  <c r="H1756" i="3" s="1"/>
  <c r="H1761" i="3" s="1"/>
  <c r="G1673" i="3"/>
  <c r="H1673" i="3" s="1"/>
  <c r="G1667" i="3"/>
  <c r="H1667" i="3" s="1"/>
  <c r="G1645" i="3"/>
  <c r="H1645" i="3" s="1"/>
  <c r="G1640" i="3"/>
  <c r="H1640" i="3" s="1"/>
  <c r="G1617" i="3"/>
  <c r="H1617" i="3" s="1"/>
  <c r="G1613" i="3"/>
  <c r="H1613" i="3" s="1"/>
  <c r="G1609" i="3"/>
  <c r="H1609" i="3" s="1"/>
  <c r="G1586" i="3"/>
  <c r="H1586" i="3" s="1"/>
  <c r="G1581" i="3"/>
  <c r="H1581" i="3" s="1"/>
  <c r="G1577" i="3"/>
  <c r="H1577" i="3" s="1"/>
  <c r="G1557" i="3"/>
  <c r="H1557" i="3" s="1"/>
  <c r="G1552" i="3"/>
  <c r="H1552" i="3" s="1"/>
  <c r="G1548" i="3"/>
  <c r="H1548" i="3" s="1"/>
  <c r="G1524" i="3"/>
  <c r="H1524" i="3" s="1"/>
  <c r="G1520" i="3"/>
  <c r="H1520" i="3" s="1"/>
  <c r="G1497" i="3"/>
  <c r="H1497" i="3" s="1"/>
  <c r="G1493" i="3"/>
  <c r="H1493" i="3" s="1"/>
  <c r="G1489" i="3"/>
  <c r="H1489" i="3" s="1"/>
  <c r="G1464" i="3"/>
  <c r="H1464" i="3" s="1"/>
  <c r="G1460" i="3"/>
  <c r="H1460" i="3" s="1"/>
  <c r="G1434" i="3"/>
  <c r="H1434" i="3" s="1"/>
  <c r="G1430" i="3"/>
  <c r="H1430" i="3" s="1"/>
  <c r="G1406" i="3"/>
  <c r="H1406" i="3" s="1"/>
  <c r="G1402" i="3"/>
  <c r="H1402" i="3" s="1"/>
  <c r="G1398" i="3"/>
  <c r="H1398" i="3" s="1"/>
  <c r="G1375" i="3"/>
  <c r="H1375" i="3" s="1"/>
  <c r="G1371" i="3"/>
  <c r="H1371" i="3" s="1"/>
  <c r="G1367" i="3"/>
  <c r="H1367" i="3" s="1"/>
  <c r="G1344" i="3"/>
  <c r="H1344" i="3" s="1"/>
  <c r="G1340" i="3"/>
  <c r="H1340" i="3" s="1"/>
  <c r="G1317" i="3"/>
  <c r="H1317" i="3" s="1"/>
  <c r="G1313" i="3"/>
  <c r="H1313" i="3" s="1"/>
  <c r="G1309" i="3"/>
  <c r="H1309" i="3" s="1"/>
  <c r="G1286" i="3"/>
  <c r="H1286" i="3" s="1"/>
  <c r="G1282" i="3"/>
  <c r="H1282" i="3" s="1"/>
  <c r="G1278" i="3"/>
  <c r="H1278" i="3" s="1"/>
  <c r="G1257" i="3"/>
  <c r="H1257" i="3" s="1"/>
  <c r="G1253" i="3"/>
  <c r="H1253" i="3" s="1"/>
  <c r="G1232" i="3"/>
  <c r="H1232" i="3" s="1"/>
  <c r="G1228" i="3"/>
  <c r="H1228" i="3" s="1"/>
  <c r="G1224" i="3"/>
  <c r="H1224" i="3" s="1"/>
  <c r="G1201" i="3"/>
  <c r="H1201" i="3" s="1"/>
  <c r="G1197" i="3"/>
  <c r="H1197" i="3" s="1"/>
  <c r="G1193" i="3"/>
  <c r="H1193" i="3" s="1"/>
  <c r="G1170" i="3"/>
  <c r="H1170" i="3" s="1"/>
  <c r="G1166" i="3"/>
  <c r="H1166" i="3" s="1"/>
  <c r="G1141" i="3"/>
  <c r="H1141" i="3" s="1"/>
  <c r="G1137" i="3"/>
  <c r="H1137" i="3" s="1"/>
  <c r="G1133" i="3"/>
  <c r="H1133" i="3" s="1"/>
  <c r="G1112" i="3"/>
  <c r="H1112" i="3" s="1"/>
  <c r="G1108" i="3"/>
  <c r="H1108" i="3" s="1"/>
  <c r="G1104" i="3"/>
  <c r="H1104" i="3" s="1"/>
  <c r="G1083" i="3"/>
  <c r="H1083" i="3" s="1"/>
  <c r="G1079" i="3"/>
  <c r="H1079" i="3" s="1"/>
  <c r="G1075" i="3"/>
  <c r="H1075" i="3" s="1"/>
  <c r="G1052" i="3"/>
  <c r="H1052" i="3" s="1"/>
  <c r="G1048" i="3"/>
  <c r="H1048" i="3" s="1"/>
  <c r="G1044" i="3"/>
  <c r="H1044" i="3" s="1"/>
  <c r="G1023" i="3"/>
  <c r="H1023" i="3" s="1"/>
  <c r="G1019" i="3"/>
  <c r="H1019" i="3" s="1"/>
  <c r="G1015" i="3"/>
  <c r="H1015" i="3" s="1"/>
  <c r="G990" i="3"/>
  <c r="H990" i="3" s="1"/>
  <c r="G986" i="3"/>
  <c r="H986" i="3" s="1"/>
  <c r="G960" i="3"/>
  <c r="H960" i="3" s="1"/>
  <c r="G956" i="3"/>
  <c r="H956" i="3" s="1"/>
  <c r="G933" i="3"/>
  <c r="H933" i="3" s="1"/>
  <c r="G929" i="3"/>
  <c r="H929" i="3" s="1"/>
  <c r="G925" i="3"/>
  <c r="H925" i="3" s="1"/>
  <c r="G900" i="3"/>
  <c r="H900" i="3" s="1"/>
  <c r="G896" i="3"/>
  <c r="H896" i="3" s="1"/>
  <c r="G825" i="3"/>
  <c r="H825" i="3" s="1"/>
  <c r="G817" i="3"/>
  <c r="H817" i="3" s="1"/>
  <c r="G795" i="3"/>
  <c r="H795" i="3" s="1"/>
  <c r="I790" i="3"/>
  <c r="J790" i="3" s="1"/>
  <c r="G786" i="3"/>
  <c r="H786" i="3" s="1"/>
  <c r="I764" i="3"/>
  <c r="J764" i="3" s="1"/>
  <c r="G760" i="3"/>
  <c r="H760" i="3" s="1"/>
  <c r="I734" i="3"/>
  <c r="J734" i="3" s="1"/>
  <c r="I730" i="3"/>
  <c r="J730" i="3" s="1"/>
  <c r="I726" i="3"/>
  <c r="J726" i="3" s="1"/>
  <c r="I707" i="3"/>
  <c r="J707" i="3" s="1"/>
  <c r="J711" i="3" s="1"/>
  <c r="I534" i="3"/>
  <c r="J534" i="3" s="1"/>
  <c r="J538" i="3" s="1"/>
  <c r="I472" i="3"/>
  <c r="J472" i="3" s="1"/>
  <c r="I462" i="3"/>
  <c r="J462" i="3" s="1"/>
  <c r="I452" i="3"/>
  <c r="J452" i="3" s="1"/>
  <c r="I442" i="3"/>
  <c r="J442" i="3" s="1"/>
  <c r="I432" i="3"/>
  <c r="J432" i="3" s="1"/>
  <c r="I412" i="3"/>
  <c r="J412" i="3" s="1"/>
  <c r="I402" i="3"/>
  <c r="J402" i="3" s="1"/>
  <c r="I392" i="3"/>
  <c r="J392" i="3" s="1"/>
  <c r="I94" i="3"/>
  <c r="J94" i="3" s="1"/>
  <c r="G84" i="3"/>
  <c r="H84" i="3" s="1"/>
  <c r="G824" i="3"/>
  <c r="H824" i="3" s="1"/>
  <c r="G816" i="3"/>
  <c r="H816" i="3" s="1"/>
  <c r="I794" i="3"/>
  <c r="J794" i="3" s="1"/>
  <c r="G790" i="3"/>
  <c r="H790" i="3" s="1"/>
  <c r="G764" i="3"/>
  <c r="H764" i="3" s="1"/>
  <c r="I759" i="3"/>
  <c r="J759" i="3" s="1"/>
  <c r="G734" i="3"/>
  <c r="H734" i="3" s="1"/>
  <c r="G730" i="3"/>
  <c r="H730" i="3" s="1"/>
  <c r="G726" i="3"/>
  <c r="H726" i="3" s="1"/>
  <c r="G707" i="3"/>
  <c r="H707" i="3" s="1"/>
  <c r="H710" i="3" s="1"/>
  <c r="G534" i="3"/>
  <c r="H534" i="3" s="1"/>
  <c r="G472" i="3"/>
  <c r="H472" i="3" s="1"/>
  <c r="G462" i="3"/>
  <c r="H462" i="3" s="1"/>
  <c r="G452" i="3"/>
  <c r="H452" i="3" s="1"/>
  <c r="G442" i="3"/>
  <c r="H442" i="3" s="1"/>
  <c r="G432" i="3"/>
  <c r="H432" i="3" s="1"/>
  <c r="G412" i="3"/>
  <c r="H412" i="3" s="1"/>
  <c r="G402" i="3"/>
  <c r="H402" i="3" s="1"/>
  <c r="G392" i="3"/>
  <c r="H392" i="3" s="1"/>
  <c r="G94" i="3"/>
  <c r="H94" i="3" s="1"/>
  <c r="G850" i="3"/>
  <c r="H850" i="3" s="1"/>
  <c r="G822" i="3"/>
  <c r="H822" i="3" s="1"/>
  <c r="G794" i="3"/>
  <c r="H794" i="3" s="1"/>
  <c r="I789" i="3"/>
  <c r="J789" i="3" s="1"/>
  <c r="I763" i="3"/>
  <c r="J763" i="3" s="1"/>
  <c r="G759" i="3"/>
  <c r="H759" i="3" s="1"/>
  <c r="I733" i="3"/>
  <c r="J733" i="3" s="1"/>
  <c r="I729" i="3"/>
  <c r="J729" i="3" s="1"/>
  <c r="I561" i="3"/>
  <c r="J561" i="3" s="1"/>
  <c r="J565" i="3" s="1"/>
  <c r="I542" i="3"/>
  <c r="J542" i="3" s="1"/>
  <c r="J545" i="3" s="1"/>
  <c r="I481" i="3"/>
  <c r="J481" i="3" s="1"/>
  <c r="I421" i="3"/>
  <c r="J421" i="3" s="1"/>
  <c r="G846" i="3"/>
  <c r="H846" i="3" s="1"/>
  <c r="I821" i="3"/>
  <c r="J821" i="3" s="1"/>
  <c r="I793" i="3"/>
  <c r="J793" i="3" s="1"/>
  <c r="G789" i="3"/>
  <c r="H789" i="3" s="1"/>
  <c r="G763" i="3"/>
  <c r="H763" i="3" s="1"/>
  <c r="G758" i="3"/>
  <c r="H758" i="3" s="1"/>
  <c r="G733" i="3"/>
  <c r="H733" i="3" s="1"/>
  <c r="G729" i="3"/>
  <c r="H729" i="3" s="1"/>
  <c r="G561" i="3"/>
  <c r="H561" i="3" s="1"/>
  <c r="H564" i="3" s="1"/>
  <c r="G542" i="3"/>
  <c r="H542" i="3" s="1"/>
  <c r="H544" i="3" s="1"/>
  <c r="G481" i="3"/>
  <c r="H481" i="3" s="1"/>
  <c r="G421" i="3"/>
  <c r="H421" i="3" s="1"/>
  <c r="G821" i="3"/>
  <c r="H821" i="3" s="1"/>
  <c r="G793" i="3"/>
  <c r="H793" i="3" s="1"/>
  <c r="I788" i="3"/>
  <c r="J788" i="3" s="1"/>
  <c r="G762" i="3"/>
  <c r="H762" i="3" s="1"/>
  <c r="I757" i="3"/>
  <c r="J757" i="3" s="1"/>
  <c r="I736" i="3"/>
  <c r="J736" i="3" s="1"/>
  <c r="I732" i="3"/>
  <c r="J732" i="3" s="1"/>
  <c r="I728" i="3"/>
  <c r="J728" i="3" s="1"/>
  <c r="I670" i="3"/>
  <c r="J670" i="3" s="1"/>
  <c r="J675" i="3" s="1"/>
  <c r="I570" i="3"/>
  <c r="J570" i="3" s="1"/>
  <c r="J574" i="3" s="1"/>
  <c r="I504" i="3"/>
  <c r="J504" i="3" s="1"/>
  <c r="I490" i="3"/>
  <c r="J490" i="3" s="1"/>
  <c r="I189" i="3"/>
  <c r="J189" i="3" s="1"/>
  <c r="I115" i="3"/>
  <c r="J115" i="3" s="1"/>
  <c r="G820" i="3"/>
  <c r="H820" i="3" s="1"/>
  <c r="I792" i="3"/>
  <c r="J792" i="3" s="1"/>
  <c r="G788" i="3"/>
  <c r="H788" i="3" s="1"/>
  <c r="G766" i="3"/>
  <c r="H766" i="3" s="1"/>
  <c r="I761" i="3"/>
  <c r="J761" i="3" s="1"/>
  <c r="G757" i="3"/>
  <c r="H757" i="3" s="1"/>
  <c r="G736" i="3"/>
  <c r="H736" i="3" s="1"/>
  <c r="G732" i="3"/>
  <c r="H732" i="3" s="1"/>
  <c r="G728" i="3"/>
  <c r="H728" i="3" s="1"/>
  <c r="G670" i="3"/>
  <c r="H670" i="3" s="1"/>
  <c r="H674" i="3" s="1"/>
  <c r="G570" i="3"/>
  <c r="H570" i="3" s="1"/>
  <c r="H573" i="3" s="1"/>
  <c r="G504" i="3"/>
  <c r="H504" i="3" s="1"/>
  <c r="G490" i="3"/>
  <c r="H490" i="3" s="1"/>
  <c r="G189" i="3"/>
  <c r="H189" i="3" s="1"/>
  <c r="G115" i="3"/>
  <c r="H115" i="3" s="1"/>
  <c r="I84" i="3"/>
  <c r="J84" i="3" s="1"/>
  <c r="G875" i="3"/>
  <c r="H875" i="3" s="1"/>
  <c r="G826" i="3"/>
  <c r="H826" i="3" s="1"/>
  <c r="G818" i="3"/>
  <c r="H818" i="3" s="1"/>
  <c r="I796" i="3"/>
  <c r="J796" i="3" s="1"/>
  <c r="G792" i="3"/>
  <c r="H792" i="3" s="1"/>
  <c r="G787" i="3"/>
  <c r="H787" i="3" s="1"/>
  <c r="I765" i="3"/>
  <c r="J765" i="3" s="1"/>
  <c r="G761" i="3"/>
  <c r="H761" i="3" s="1"/>
  <c r="I756" i="3"/>
  <c r="J756" i="3" s="1"/>
  <c r="I735" i="3"/>
  <c r="J735" i="3" s="1"/>
  <c r="I731" i="3"/>
  <c r="J731" i="3" s="1"/>
  <c r="I727" i="3"/>
  <c r="J727" i="3" s="1"/>
  <c r="I503" i="3"/>
  <c r="J503" i="3" s="1"/>
  <c r="I228" i="3"/>
  <c r="J228" i="3" s="1"/>
  <c r="I218" i="3"/>
  <c r="J218" i="3" s="1"/>
  <c r="I208" i="3"/>
  <c r="J208" i="3" s="1"/>
  <c r="I198" i="3"/>
  <c r="J198" i="3" s="1"/>
  <c r="G871" i="3"/>
  <c r="H871" i="3" s="1"/>
  <c r="I825" i="3"/>
  <c r="J825" i="3" s="1"/>
  <c r="I817" i="3"/>
  <c r="J817" i="3" s="1"/>
  <c r="G796" i="3"/>
  <c r="H796" i="3" s="1"/>
  <c r="G791" i="3"/>
  <c r="H791" i="3" s="1"/>
  <c r="I786" i="3"/>
  <c r="J786" i="3" s="1"/>
  <c r="G765" i="3"/>
  <c r="H765" i="3" s="1"/>
  <c r="I760" i="3"/>
  <c r="J760" i="3" s="1"/>
  <c r="G756" i="3"/>
  <c r="H756" i="3" s="1"/>
  <c r="G735" i="3"/>
  <c r="H735" i="3" s="1"/>
  <c r="G731" i="3"/>
  <c r="H731" i="3" s="1"/>
  <c r="G727" i="3"/>
  <c r="H727" i="3" s="1"/>
  <c r="G503" i="3"/>
  <c r="H503" i="3" s="1"/>
  <c r="G228" i="3"/>
  <c r="H228" i="3" s="1"/>
  <c r="G218" i="3"/>
  <c r="H218" i="3" s="1"/>
  <c r="G208" i="3"/>
  <c r="H208" i="3" s="1"/>
  <c r="G198" i="3"/>
  <c r="H198" i="3" s="1"/>
  <c r="D503" i="3"/>
  <c r="D504" i="3"/>
  <c r="D3086" i="3"/>
  <c r="H3089" i="3"/>
  <c r="D3077" i="3"/>
  <c r="D2560" i="3"/>
  <c r="D2551" i="3"/>
  <c r="D2557" i="3"/>
  <c r="D2555" i="3"/>
  <c r="D2553" i="3"/>
  <c r="D2559" i="3"/>
  <c r="D2550" i="3"/>
  <c r="D2556" i="3"/>
  <c r="D2558" i="3"/>
  <c r="D2554" i="3"/>
  <c r="D2552" i="3"/>
  <c r="D2510" i="3"/>
  <c r="D2485" i="3"/>
  <c r="D2474" i="3"/>
  <c r="D2466" i="3"/>
  <c r="D2452" i="3"/>
  <c r="D2447" i="3"/>
  <c r="D2428" i="3"/>
  <c r="D2414" i="3"/>
  <c r="D2406" i="3"/>
  <c r="D2392" i="3"/>
  <c r="D2384" i="3"/>
  <c r="D2370" i="3"/>
  <c r="D2367" i="3"/>
  <c r="D2391" i="3"/>
  <c r="D2512" i="3"/>
  <c r="D2508" i="3"/>
  <c r="D2506" i="3"/>
  <c r="D2490" i="3"/>
  <c r="D2471" i="3"/>
  <c r="D2444" i="3"/>
  <c r="D2433" i="3"/>
  <c r="D2425" i="3"/>
  <c r="D2411" i="3"/>
  <c r="D2389" i="3"/>
  <c r="D2413" i="3"/>
  <c r="D2405" i="3"/>
  <c r="D2369" i="3"/>
  <c r="D2431" i="3"/>
  <c r="D2492" i="3"/>
  <c r="D2487" i="3"/>
  <c r="D2468" i="3"/>
  <c r="D2454" i="3"/>
  <c r="D2449" i="3"/>
  <c r="D2430" i="3"/>
  <c r="D2408" i="3"/>
  <c r="D2394" i="3"/>
  <c r="D2386" i="3"/>
  <c r="D2372" i="3"/>
  <c r="D2364" i="3"/>
  <c r="D2514" i="3"/>
  <c r="D2484" i="3"/>
  <c r="D2473" i="3"/>
  <c r="D2465" i="3"/>
  <c r="D2451" i="3"/>
  <c r="D2446" i="3"/>
  <c r="D2427" i="3"/>
  <c r="D2387" i="3"/>
  <c r="D2505" i="3"/>
  <c r="D2494" i="3"/>
  <c r="D2489" i="3"/>
  <c r="D2470" i="3"/>
  <c r="D2432" i="3"/>
  <c r="D2424" i="3"/>
  <c r="D2410" i="3"/>
  <c r="D2388" i="3"/>
  <c r="D2374" i="3"/>
  <c r="D2366" i="3"/>
  <c r="D2511" i="3"/>
  <c r="D2509" i="3"/>
  <c r="D2507" i="3"/>
  <c r="D2486" i="3"/>
  <c r="D2467" i="3"/>
  <c r="D2453" i="3"/>
  <c r="D2448" i="3"/>
  <c r="D2429" i="3"/>
  <c r="D2407" i="3"/>
  <c r="D2393" i="3"/>
  <c r="D2385" i="3"/>
  <c r="D2371" i="3"/>
  <c r="D2409" i="3"/>
  <c r="D2513" i="3"/>
  <c r="D2491" i="3"/>
  <c r="D2472" i="3"/>
  <c r="D2464" i="3"/>
  <c r="D2450" i="3"/>
  <c r="D2445" i="3"/>
  <c r="D2434" i="3"/>
  <c r="D2426" i="3"/>
  <c r="D2412" i="3"/>
  <c r="D2404" i="3"/>
  <c r="D2390" i="3"/>
  <c r="D2368" i="3"/>
  <c r="D2504" i="3"/>
  <c r="D2493" i="3"/>
  <c r="D2488" i="3"/>
  <c r="D2469" i="3"/>
  <c r="D2373" i="3"/>
  <c r="D2365" i="3"/>
  <c r="D2349" i="3"/>
  <c r="D2347" i="3"/>
  <c r="D2352" i="3"/>
  <c r="D2344" i="3"/>
  <c r="D2354" i="3"/>
  <c r="D2346" i="3"/>
  <c r="D2351" i="3"/>
  <c r="D2348" i="3"/>
  <c r="D2353" i="3"/>
  <c r="D2345" i="3"/>
  <c r="D2350" i="3"/>
  <c r="J4180" i="3"/>
  <c r="H4179" i="3"/>
  <c r="D4164" i="3"/>
  <c r="D4167" i="3"/>
  <c r="D4163" i="3"/>
  <c r="D4166" i="3"/>
  <c r="D4165" i="3"/>
  <c r="D4144" i="3"/>
  <c r="D4135" i="3"/>
  <c r="D4126" i="3"/>
  <c r="D4153" i="3"/>
  <c r="H4156" i="3"/>
  <c r="D5199" i="3"/>
  <c r="D4953" i="3"/>
  <c r="H3946" i="3"/>
  <c r="D5049" i="3"/>
  <c r="D5087" i="3"/>
  <c r="D5191" i="3"/>
  <c r="D5182" i="3"/>
  <c r="D4274" i="3"/>
  <c r="D5174" i="3"/>
  <c r="D4256" i="3"/>
  <c r="D5219" i="3"/>
  <c r="D5173" i="3"/>
  <c r="D5208" i="3"/>
  <c r="D5183" i="3"/>
  <c r="D4265" i="3"/>
  <c r="D5230" i="3"/>
  <c r="D5200" i="3"/>
  <c r="D5164" i="3"/>
  <c r="J2233" i="3"/>
  <c r="H2232" i="3"/>
  <c r="J1927" i="3"/>
  <c r="H1926" i="3"/>
  <c r="J4120" i="3"/>
  <c r="J4073" i="3"/>
  <c r="J321" i="2" s="1"/>
  <c r="H4081" i="3"/>
  <c r="G322" i="2" s="1"/>
  <c r="J4082" i="3"/>
  <c r="J322" i="2" s="1"/>
  <c r="H4022" i="3"/>
  <c r="J3862" i="3"/>
  <c r="J3987" i="3"/>
  <c r="J318" i="2" s="1"/>
  <c r="H3861" i="3"/>
  <c r="H3996" i="3"/>
  <c r="G317" i="2" s="1"/>
  <c r="J2128" i="3"/>
  <c r="H3776" i="3"/>
  <c r="J3723" i="3"/>
  <c r="H3722" i="3"/>
  <c r="J3714" i="3"/>
  <c r="H3713" i="3"/>
  <c r="H1984" i="3"/>
  <c r="H1952" i="3"/>
  <c r="H4954" i="3"/>
  <c r="J5091" i="3"/>
  <c r="H2004" i="3"/>
  <c r="J3655" i="3"/>
  <c r="H3609" i="3"/>
  <c r="J3646" i="3"/>
  <c r="H1783" i="3"/>
  <c r="H3600" i="3"/>
  <c r="J3619" i="3"/>
  <c r="H3645" i="3"/>
  <c r="J3637" i="3"/>
  <c r="H3618" i="3"/>
  <c r="J1793" i="3"/>
  <c r="J1813" i="3"/>
  <c r="H3627" i="3"/>
  <c r="J3628" i="3"/>
  <c r="H3636" i="3"/>
  <c r="J3610" i="3"/>
  <c r="J5194" i="3"/>
  <c r="H5193" i="3"/>
  <c r="H5224" i="3"/>
  <c r="H5167" i="3"/>
  <c r="J5214" i="3"/>
  <c r="J5168" i="3"/>
  <c r="I1555" i="3"/>
  <c r="J1555" i="3" s="1"/>
  <c r="G1585" i="3"/>
  <c r="H1585" i="3" s="1"/>
  <c r="G1555" i="3"/>
  <c r="H1555" i="3" s="1"/>
  <c r="I1435" i="3"/>
  <c r="J1435" i="3" s="1"/>
  <c r="I1585" i="3"/>
  <c r="J1585" i="3" s="1"/>
  <c r="G1435" i="3"/>
  <c r="H1435" i="3" s="1"/>
  <c r="J2955" i="3"/>
  <c r="H2954" i="3"/>
  <c r="H2945" i="3"/>
  <c r="J3342" i="3"/>
  <c r="H3368" i="3"/>
  <c r="H3395" i="3"/>
  <c r="J3574" i="3"/>
  <c r="H3573" i="3"/>
  <c r="H3332" i="3"/>
  <c r="J3583" i="3"/>
  <c r="H3431" i="3"/>
  <c r="J4269" i="3"/>
  <c r="J3441" i="3"/>
  <c r="J3378" i="3"/>
  <c r="H3449" i="3"/>
  <c r="J3360" i="3"/>
  <c r="J4260" i="3"/>
  <c r="J3540" i="3"/>
  <c r="H3377" i="3"/>
  <c r="H4259" i="3"/>
  <c r="J3351" i="3"/>
  <c r="H3350" i="3"/>
  <c r="J3548" i="3"/>
  <c r="H2823" i="3"/>
  <c r="J2824" i="3"/>
  <c r="H2936" i="3"/>
  <c r="J2937" i="3"/>
  <c r="H3119" i="3"/>
  <c r="J2744" i="3"/>
  <c r="H2759" i="3"/>
  <c r="H2855" i="3"/>
  <c r="J2856" i="3"/>
  <c r="J3138" i="3"/>
  <c r="H2767" i="3"/>
  <c r="J2768" i="3"/>
  <c r="J2864" i="3"/>
  <c r="H3155" i="3"/>
  <c r="J3156" i="3"/>
  <c r="J2640" i="3"/>
  <c r="H2639" i="3"/>
  <c r="H2791" i="3"/>
  <c r="J2792" i="3"/>
  <c r="J3174" i="3"/>
  <c r="J2734" i="3"/>
  <c r="J2649" i="3"/>
  <c r="H2799" i="3"/>
  <c r="J2800" i="3"/>
  <c r="H2807" i="3"/>
  <c r="J2808" i="3"/>
  <c r="J2899" i="3"/>
  <c r="H2839" i="3"/>
  <c r="J2840" i="3"/>
  <c r="J2113" i="3"/>
  <c r="H2112" i="3"/>
  <c r="H2907" i="3"/>
  <c r="J2908" i="3"/>
  <c r="J3210" i="3"/>
  <c r="H3209" i="3"/>
  <c r="D3597" i="3"/>
  <c r="D4008" i="3"/>
  <c r="D3642" i="3"/>
  <c r="D4061" i="3"/>
  <c r="D4041" i="3"/>
  <c r="D4021" i="3"/>
  <c r="D4007" i="3"/>
  <c r="D3860" i="3"/>
  <c r="D3775" i="3"/>
  <c r="D3721" i="3"/>
  <c r="D3579" i="3"/>
  <c r="D3561" i="3"/>
  <c r="D3681" i="3"/>
  <c r="D3661" i="3"/>
  <c r="D3615" i="3"/>
  <c r="D4080" i="3"/>
  <c r="D4006" i="3"/>
  <c r="D3680" i="3"/>
  <c r="D3660" i="3"/>
  <c r="D3588" i="3"/>
  <c r="D4005" i="3"/>
  <c r="D3985" i="3"/>
  <c r="D3965" i="3"/>
  <c r="D3570" i="3"/>
  <c r="D3995" i="3"/>
  <c r="D3975" i="3"/>
  <c r="D3955" i="3"/>
  <c r="D3633" i="3"/>
  <c r="D4118" i="3"/>
  <c r="D4004" i="3"/>
  <c r="D3712" i="3"/>
  <c r="D3606" i="3"/>
  <c r="D4071" i="3"/>
  <c r="D4051" i="3"/>
  <c r="D4031" i="3"/>
  <c r="D4003" i="3"/>
  <c r="D3936" i="3"/>
  <c r="D3671" i="3"/>
  <c r="D3651" i="3"/>
  <c r="D4002" i="3"/>
  <c r="D3670" i="3"/>
  <c r="D3624" i="3"/>
  <c r="D3410" i="3"/>
  <c r="D3553" i="3"/>
  <c r="D3527" i="3"/>
  <c r="D3383" i="3"/>
  <c r="D3428" i="3"/>
  <c r="D3356" i="3"/>
  <c r="D3437" i="3"/>
  <c r="D3545" i="3"/>
  <c r="D3401" i="3"/>
  <c r="D3518" i="3"/>
  <c r="D3446" i="3"/>
  <c r="D3374" i="3"/>
  <c r="D3347" i="3"/>
  <c r="D3419" i="3"/>
  <c r="D3365" i="3"/>
  <c r="D3536" i="3"/>
  <c r="D3392" i="3"/>
  <c r="D3306" i="3"/>
  <c r="D3270" i="3"/>
  <c r="D3256" i="3"/>
  <c r="D3208" i="3"/>
  <c r="D3136" i="3"/>
  <c r="D3305" i="3"/>
  <c r="D3277" i="3"/>
  <c r="D3269" i="3"/>
  <c r="D3255" i="3"/>
  <c r="D3181" i="3"/>
  <c r="D3338" i="3"/>
  <c r="D3304" i="3"/>
  <c r="D3290" i="3"/>
  <c r="D3254" i="3"/>
  <c r="D3154" i="3"/>
  <c r="D3127" i="3"/>
  <c r="D3163" i="3"/>
  <c r="D3303" i="3"/>
  <c r="D3289" i="3"/>
  <c r="D3253" i="3"/>
  <c r="D3199" i="3"/>
  <c r="D3302" i="3"/>
  <c r="D3288" i="3"/>
  <c r="D3274" i="3"/>
  <c r="D3172" i="3"/>
  <c r="D3329" i="3"/>
  <c r="D3309" i="3"/>
  <c r="D3301" i="3"/>
  <c r="D3287" i="3"/>
  <c r="D3273" i="3"/>
  <c r="D3259" i="3"/>
  <c r="D3217" i="3"/>
  <c r="D3145" i="3"/>
  <c r="D3286" i="3"/>
  <c r="D3272" i="3"/>
  <c r="D3258" i="3"/>
  <c r="D3118" i="3"/>
  <c r="D3293" i="3"/>
  <c r="D3285" i="3"/>
  <c r="D3271" i="3"/>
  <c r="D3257" i="3"/>
  <c r="D3034" i="3"/>
  <c r="D2960" i="3"/>
  <c r="D2895" i="3"/>
  <c r="D2886" i="3"/>
  <c r="D2853" i="3"/>
  <c r="D3033" i="3"/>
  <c r="D2933" i="3"/>
  <c r="D2861" i="3"/>
  <c r="D2992" i="3"/>
  <c r="D2951" i="3"/>
  <c r="D2869" i="3"/>
  <c r="D2924" i="3"/>
  <c r="D2904" i="3"/>
  <c r="D2877" i="3"/>
  <c r="D2942" i="3"/>
  <c r="D2845" i="3"/>
  <c r="D2837" i="3"/>
  <c r="D2805" i="3"/>
  <c r="D2773" i="3"/>
  <c r="D2829" i="3"/>
  <c r="D2797" i="3"/>
  <c r="D2765" i="3"/>
  <c r="D2821" i="3"/>
  <c r="D2789" i="3"/>
  <c r="D2757" i="3"/>
  <c r="D2813" i="3"/>
  <c r="D2781" i="3"/>
  <c r="D2730" i="3"/>
  <c r="D2636" i="3"/>
  <c r="D2654" i="3"/>
  <c r="D2749" i="3"/>
  <c r="D2627" i="3"/>
  <c r="D2707" i="3"/>
  <c r="D2740" i="3"/>
  <c r="D2720" i="3"/>
  <c r="D2645" i="3"/>
  <c r="D2185" i="3"/>
  <c r="D2231" i="3"/>
  <c r="D2126" i="3"/>
  <c r="D2047" i="3"/>
  <c r="D1925" i="3"/>
  <c r="D1672" i="3"/>
  <c r="D1640" i="3"/>
  <c r="D1616" i="3"/>
  <c r="D1608" i="3"/>
  <c r="D1584" i="3"/>
  <c r="D1552" i="3"/>
  <c r="D1520" i="3"/>
  <c r="D1496" i="3"/>
  <c r="D1488" i="3"/>
  <c r="D1464" i="3"/>
  <c r="D1432" i="3"/>
  <c r="D1400" i="3"/>
  <c r="D1376" i="3"/>
  <c r="D1368" i="3"/>
  <c r="D1344" i="3"/>
  <c r="D1312" i="3"/>
  <c r="D1280" i="3"/>
  <c r="D1256" i="3"/>
  <c r="D1233" i="3"/>
  <c r="D1225" i="3"/>
  <c r="D1201" i="3"/>
  <c r="D1193" i="3"/>
  <c r="D1169" i="3"/>
  <c r="D1137" i="3"/>
  <c r="D1113" i="3"/>
  <c r="D1105" i="3"/>
  <c r="D1081" i="3"/>
  <c r="D1073" i="3"/>
  <c r="D1049" i="3"/>
  <c r="D1017" i="3"/>
  <c r="D993" i="3"/>
  <c r="D985" i="3"/>
  <c r="D961" i="3"/>
  <c r="D953" i="3"/>
  <c r="D929" i="3"/>
  <c r="D897" i="3"/>
  <c r="D874" i="3"/>
  <c r="D851" i="3"/>
  <c r="D820" i="3"/>
  <c r="D796" i="3"/>
  <c r="D788" i="3"/>
  <c r="D764" i="3"/>
  <c r="D756" i="3"/>
  <c r="D732" i="3"/>
  <c r="D534" i="3"/>
  <c r="D432" i="3"/>
  <c r="D392" i="3"/>
  <c r="D218" i="3"/>
  <c r="D2030" i="3"/>
  <c r="D1983" i="3"/>
  <c r="D1766" i="3"/>
  <c r="D1671" i="3"/>
  <c r="D1647" i="3"/>
  <c r="D1639" i="3"/>
  <c r="D1615" i="3"/>
  <c r="D1607" i="3"/>
  <c r="D1583" i="3"/>
  <c r="D1551" i="3"/>
  <c r="D1527" i="3"/>
  <c r="D1519" i="3"/>
  <c r="D1495" i="3"/>
  <c r="D1487" i="3"/>
  <c r="D1463" i="3"/>
  <c r="D1431" i="3"/>
  <c r="D1407" i="3"/>
  <c r="D1399" i="3"/>
  <c r="D1375" i="3"/>
  <c r="D1367" i="3"/>
  <c r="D1343" i="3"/>
  <c r="D1311" i="3"/>
  <c r="D1287" i="3"/>
  <c r="D1279" i="3"/>
  <c r="D1255" i="3"/>
  <c r="D1232" i="3"/>
  <c r="D1224" i="3"/>
  <c r="D1200" i="3"/>
  <c r="D1168" i="3"/>
  <c r="D1136" i="3"/>
  <c r="D1112" i="3"/>
  <c r="D1104" i="3"/>
  <c r="D1080" i="3"/>
  <c r="D1048" i="3"/>
  <c r="D1016" i="3"/>
  <c r="D992" i="3"/>
  <c r="D984" i="3"/>
  <c r="D960" i="3"/>
  <c r="D928" i="3"/>
  <c r="D896" i="3"/>
  <c r="D873" i="3"/>
  <c r="D850" i="3"/>
  <c r="D819" i="3"/>
  <c r="D795" i="3"/>
  <c r="D787" i="3"/>
  <c r="D763" i="3"/>
  <c r="D731" i="3"/>
  <c r="D472" i="3"/>
  <c r="D2045" i="3"/>
  <c r="D2029" i="3"/>
  <c r="D1799" i="3"/>
  <c r="D1670" i="3"/>
  <c r="D1646" i="3"/>
  <c r="D1638" i="3"/>
  <c r="D1614" i="3"/>
  <c r="D1582" i="3"/>
  <c r="D1550" i="3"/>
  <c r="D1526" i="3"/>
  <c r="D1518" i="3"/>
  <c r="D1494" i="3"/>
  <c r="D1462" i="3"/>
  <c r="D1430" i="3"/>
  <c r="D1406" i="3"/>
  <c r="D1398" i="3"/>
  <c r="D1374" i="3"/>
  <c r="D1342" i="3"/>
  <c r="D1310" i="3"/>
  <c r="D1286" i="3"/>
  <c r="D1278" i="3"/>
  <c r="D1254" i="3"/>
  <c r="D1231" i="3"/>
  <c r="D1223" i="3"/>
  <c r="D1199" i="3"/>
  <c r="D1167" i="3"/>
  <c r="D1143" i="3"/>
  <c r="D1135" i="3"/>
  <c r="D1111" i="3"/>
  <c r="D1103" i="3"/>
  <c r="D1079" i="3"/>
  <c r="D1047" i="3"/>
  <c r="D1023" i="3"/>
  <c r="D1015" i="3"/>
  <c r="D991" i="3"/>
  <c r="D983" i="3"/>
  <c r="D959" i="3"/>
  <c r="D927" i="3"/>
  <c r="D903" i="3"/>
  <c r="D872" i="3"/>
  <c r="D849" i="3"/>
  <c r="D826" i="3"/>
  <c r="D818" i="3"/>
  <c r="D794" i="3"/>
  <c r="D786" i="3"/>
  <c r="D762" i="3"/>
  <c r="D730" i="3"/>
  <c r="D570" i="3"/>
  <c r="D2089" i="3"/>
  <c r="D2044" i="3"/>
  <c r="D2003" i="3"/>
  <c r="D1892" i="3"/>
  <c r="D1875" i="3"/>
  <c r="D1817" i="3"/>
  <c r="D1677" i="3"/>
  <c r="D1669" i="3"/>
  <c r="D1645" i="3"/>
  <c r="D1637" i="3"/>
  <c r="D1613" i="3"/>
  <c r="D1581" i="3"/>
  <c r="D1557" i="3"/>
  <c r="D1549" i="3"/>
  <c r="D1525" i="3"/>
  <c r="D1517" i="3"/>
  <c r="D1493" i="3"/>
  <c r="D1461" i="3"/>
  <c r="D1437" i="3"/>
  <c r="D1429" i="3"/>
  <c r="D1405" i="3"/>
  <c r="D1397" i="3"/>
  <c r="D1373" i="3"/>
  <c r="D1341" i="3"/>
  <c r="D1317" i="3"/>
  <c r="D1309" i="3"/>
  <c r="D1285" i="3"/>
  <c r="D1277" i="3"/>
  <c r="D1253" i="3"/>
  <c r="D1230" i="3"/>
  <c r="D1198" i="3"/>
  <c r="D1166" i="3"/>
  <c r="D1142" i="3"/>
  <c r="D1134" i="3"/>
  <c r="D1110" i="3"/>
  <c r="D1078" i="3"/>
  <c r="D1046" i="3"/>
  <c r="D1022" i="3"/>
  <c r="D1014" i="3"/>
  <c r="D990" i="3"/>
  <c r="D958" i="3"/>
  <c r="D926" i="3"/>
  <c r="D902" i="3"/>
  <c r="D871" i="3"/>
  <c r="D848" i="3"/>
  <c r="D825" i="3"/>
  <c r="D817" i="3"/>
  <c r="D793" i="3"/>
  <c r="D761" i="3"/>
  <c r="D729" i="3"/>
  <c r="D490" i="3"/>
  <c r="D2107" i="3"/>
  <c r="D2083" i="3"/>
  <c r="D1874" i="3"/>
  <c r="D1777" i="3"/>
  <c r="D1676" i="3"/>
  <c r="D1668" i="3"/>
  <c r="D1644" i="3"/>
  <c r="D1612" i="3"/>
  <c r="D1580" i="3"/>
  <c r="D1556" i="3"/>
  <c r="D1548" i="3"/>
  <c r="D1524" i="3"/>
  <c r="D1492" i="3"/>
  <c r="D1460" i="3"/>
  <c r="D1436" i="3"/>
  <c r="D1428" i="3"/>
  <c r="D1404" i="3"/>
  <c r="D1372" i="3"/>
  <c r="D1340" i="3"/>
  <c r="D1316" i="3"/>
  <c r="D1308" i="3"/>
  <c r="D1284" i="3"/>
  <c r="D1252" i="3"/>
  <c r="D1229" i="3"/>
  <c r="D1197" i="3"/>
  <c r="D1173" i="3"/>
  <c r="D1165" i="3"/>
  <c r="D1141" i="3"/>
  <c r="D1133" i="3"/>
  <c r="D1109" i="3"/>
  <c r="D1077" i="3"/>
  <c r="D1053" i="3"/>
  <c r="D1045" i="3"/>
  <c r="D1021" i="3"/>
  <c r="D1013" i="3"/>
  <c r="D989" i="3"/>
  <c r="D957" i="3"/>
  <c r="D933" i="3"/>
  <c r="D925" i="3"/>
  <c r="D901" i="3"/>
  <c r="D870" i="3"/>
  <c r="D847" i="3"/>
  <c r="D824" i="3"/>
  <c r="D816" i="3"/>
  <c r="D792" i="3"/>
  <c r="D760" i="3"/>
  <c r="D736" i="3"/>
  <c r="D728" i="3"/>
  <c r="D421" i="3"/>
  <c r="D402" i="3"/>
  <c r="D2082" i="3"/>
  <c r="D1890" i="3"/>
  <c r="D1675" i="3"/>
  <c r="D1667" i="3"/>
  <c r="D1643" i="3"/>
  <c r="D1611" i="3"/>
  <c r="D1587" i="3"/>
  <c r="D1579" i="3"/>
  <c r="D1555" i="3"/>
  <c r="D1547" i="3"/>
  <c r="D1523" i="3"/>
  <c r="D1491" i="3"/>
  <c r="D1467" i="3"/>
  <c r="D1459" i="3"/>
  <c r="D1435" i="3"/>
  <c r="D1427" i="3"/>
  <c r="D1403" i="3"/>
  <c r="D1371" i="3"/>
  <c r="D1347" i="3"/>
  <c r="D1339" i="3"/>
  <c r="D1315" i="3"/>
  <c r="D1307" i="3"/>
  <c r="D1283" i="3"/>
  <c r="D1228" i="3"/>
  <c r="D1196" i="3"/>
  <c r="D1172" i="3"/>
  <c r="D1164" i="3"/>
  <c r="D1140" i="3"/>
  <c r="D1108" i="3"/>
  <c r="D1076" i="3"/>
  <c r="D1052" i="3"/>
  <c r="D1044" i="3"/>
  <c r="D1020" i="3"/>
  <c r="D988" i="3"/>
  <c r="D956" i="3"/>
  <c r="D932" i="3"/>
  <c r="D924" i="3"/>
  <c r="D900" i="3"/>
  <c r="D877" i="3"/>
  <c r="D846" i="3"/>
  <c r="D823" i="3"/>
  <c r="D791" i="3"/>
  <c r="D759" i="3"/>
  <c r="D735" i="3"/>
  <c r="D727" i="3"/>
  <c r="D561" i="3"/>
  <c r="D542" i="3"/>
  <c r="D462" i="3"/>
  <c r="D2081" i="3"/>
  <c r="D1872" i="3"/>
  <c r="D1809" i="3"/>
  <c r="D1789" i="3"/>
  <c r="D1756" i="3"/>
  <c r="D1674" i="3"/>
  <c r="D1642" i="3"/>
  <c r="D1610" i="3"/>
  <c r="D1586" i="3"/>
  <c r="D1578" i="3"/>
  <c r="D1554" i="3"/>
  <c r="D1522" i="3"/>
  <c r="D1490" i="3"/>
  <c r="D1466" i="3"/>
  <c r="D1458" i="3"/>
  <c r="D1434" i="3"/>
  <c r="D1402" i="3"/>
  <c r="D1370" i="3"/>
  <c r="D1346" i="3"/>
  <c r="D1338" i="3"/>
  <c r="D1314" i="3"/>
  <c r="D1282" i="3"/>
  <c r="D1227" i="3"/>
  <c r="D1203" i="3"/>
  <c r="D1195" i="3"/>
  <c r="D1171" i="3"/>
  <c r="D1163" i="3"/>
  <c r="D1139" i="3"/>
  <c r="D1107" i="3"/>
  <c r="D1083" i="3"/>
  <c r="D1075" i="3"/>
  <c r="D1051" i="3"/>
  <c r="D1043" i="3"/>
  <c r="D1019" i="3"/>
  <c r="D987" i="3"/>
  <c r="D963" i="3"/>
  <c r="D955" i="3"/>
  <c r="D931" i="3"/>
  <c r="D923" i="3"/>
  <c r="D899" i="3"/>
  <c r="D876" i="3"/>
  <c r="D845" i="3"/>
  <c r="D822" i="3"/>
  <c r="D790" i="3"/>
  <c r="D766" i="3"/>
  <c r="D758" i="3"/>
  <c r="D734" i="3"/>
  <c r="D726" i="3"/>
  <c r="D670" i="3"/>
  <c r="D481" i="3"/>
  <c r="D2080" i="3"/>
  <c r="D2064" i="3"/>
  <c r="D1951" i="3"/>
  <c r="D1673" i="3"/>
  <c r="D1641" i="3"/>
  <c r="D1617" i="3"/>
  <c r="D1609" i="3"/>
  <c r="D1585" i="3"/>
  <c r="D1577" i="3"/>
  <c r="D1553" i="3"/>
  <c r="D1521" i="3"/>
  <c r="D1497" i="3"/>
  <c r="D1489" i="3"/>
  <c r="D1465" i="3"/>
  <c r="D1457" i="3"/>
  <c r="D1433" i="3"/>
  <c r="D1401" i="3"/>
  <c r="D1377" i="3"/>
  <c r="D1369" i="3"/>
  <c r="D1345" i="3"/>
  <c r="D1337" i="3"/>
  <c r="D1313" i="3"/>
  <c r="D1281" i="3"/>
  <c r="D1257" i="3"/>
  <c r="D1226" i="3"/>
  <c r="D1202" i="3"/>
  <c r="D1194" i="3"/>
  <c r="D1170" i="3"/>
  <c r="D1138" i="3"/>
  <c r="D1106" i="3"/>
  <c r="D1082" i="3"/>
  <c r="D1074" i="3"/>
  <c r="D1050" i="3"/>
  <c r="D1018" i="3"/>
  <c r="D986" i="3"/>
  <c r="D962" i="3"/>
  <c r="D954" i="3"/>
  <c r="D930" i="3"/>
  <c r="D898" i="3"/>
  <c r="D875" i="3"/>
  <c r="D821" i="3"/>
  <c r="D789" i="3"/>
  <c r="D765" i="3"/>
  <c r="D757" i="3"/>
  <c r="D733" i="3"/>
  <c r="D412" i="3"/>
  <c r="D228" i="3"/>
  <c r="D208" i="3"/>
  <c r="D189" i="3"/>
  <c r="D84" i="3"/>
  <c r="D115" i="3"/>
  <c r="D198" i="3"/>
  <c r="D94" i="3"/>
  <c r="C232" i="4"/>
  <c r="C238" i="4" s="1"/>
  <c r="C184" i="4"/>
  <c r="C190" i="4" s="1"/>
  <c r="C103" i="4"/>
  <c r="C27" i="4"/>
  <c r="J506" i="3" l="1"/>
  <c r="H505" i="3"/>
  <c r="C33" i="4"/>
  <c r="L6" i="2" s="1"/>
  <c r="K250" i="2" s="1"/>
  <c r="C109" i="4"/>
  <c r="K6" i="2" s="1"/>
  <c r="H2564" i="3"/>
  <c r="J2565" i="3"/>
  <c r="J3675" i="3"/>
  <c r="J2459" i="3"/>
  <c r="J2399" i="3"/>
  <c r="H2358" i="3"/>
  <c r="J2439" i="3"/>
  <c r="H2518" i="3"/>
  <c r="H2418" i="3"/>
  <c r="J2419" i="3"/>
  <c r="H2378" i="3"/>
  <c r="H2398" i="3"/>
  <c r="H2498" i="3"/>
  <c r="H2478" i="3"/>
  <c r="J2519" i="3"/>
  <c r="J2499" i="3"/>
  <c r="J2379" i="3"/>
  <c r="J2359" i="3"/>
  <c r="J2479" i="3"/>
  <c r="H2438" i="3"/>
  <c r="H2458" i="3"/>
  <c r="H3684" i="3"/>
  <c r="J4171" i="3"/>
  <c r="H4170" i="3"/>
  <c r="J2881" i="3"/>
  <c r="H3664" i="3"/>
  <c r="H3279" i="3"/>
  <c r="G315" i="2" s="1"/>
  <c r="J3685" i="3"/>
  <c r="H3295" i="3"/>
  <c r="H3674" i="3"/>
  <c r="H3035" i="3"/>
  <c r="J3280" i="3"/>
  <c r="H4012" i="3"/>
  <c r="J3296" i="3"/>
  <c r="J3264" i="3"/>
  <c r="J314" i="2" s="1"/>
  <c r="J3312" i="3"/>
  <c r="H3263" i="3"/>
  <c r="G314" i="2" s="1"/>
  <c r="H3311" i="3"/>
  <c r="H2880" i="3"/>
  <c r="J4013" i="3"/>
  <c r="J3665" i="3"/>
  <c r="J3036" i="3"/>
  <c r="J5203" i="3"/>
  <c r="J908" i="3"/>
  <c r="H2048" i="3"/>
  <c r="H5176" i="3"/>
  <c r="H1561" i="3"/>
  <c r="J2032" i="3"/>
  <c r="H1893" i="3"/>
  <c r="H1351" i="3"/>
  <c r="H740" i="3"/>
  <c r="J1622" i="3"/>
  <c r="H1651" i="3"/>
  <c r="H1381" i="3"/>
  <c r="H5185" i="3"/>
  <c r="H1441" i="3"/>
  <c r="J1148" i="3"/>
  <c r="H1621" i="3"/>
  <c r="H1177" i="3"/>
  <c r="J1442" i="3"/>
  <c r="J1262" i="3"/>
  <c r="J1088" i="3"/>
  <c r="H1027" i="3"/>
  <c r="J1058" i="3"/>
  <c r="J5186" i="3"/>
  <c r="J1562" i="3"/>
  <c r="H770" i="3"/>
  <c r="H1117" i="3"/>
  <c r="J1178" i="3"/>
  <c r="J1502" i="3"/>
  <c r="J2049" i="3"/>
  <c r="J856" i="3"/>
  <c r="J1118" i="3"/>
  <c r="J1238" i="3"/>
  <c r="H1207" i="3"/>
  <c r="J1352" i="3"/>
  <c r="H2031" i="3"/>
  <c r="H800" i="3"/>
  <c r="J1208" i="3"/>
  <c r="H881" i="3"/>
  <c r="J771" i="3"/>
  <c r="H1087" i="3"/>
  <c r="H997" i="3"/>
  <c r="J5177" i="3"/>
  <c r="H1411" i="3"/>
  <c r="H1681" i="3"/>
  <c r="H1057" i="3"/>
  <c r="H937" i="3"/>
  <c r="J1532" i="3"/>
  <c r="H2084" i="3"/>
  <c r="J801" i="3"/>
  <c r="H1591" i="3"/>
  <c r="H1291" i="3"/>
  <c r="H855" i="3"/>
  <c r="J1028" i="3"/>
  <c r="J1877" i="3"/>
  <c r="H1876" i="3"/>
  <c r="J2085" i="3"/>
  <c r="J1472" i="3"/>
  <c r="J1682" i="3"/>
  <c r="H1321" i="3"/>
  <c r="J882" i="3"/>
  <c r="J1652" i="3"/>
  <c r="H1261" i="3"/>
  <c r="J1292" i="3"/>
  <c r="J1382" i="3"/>
  <c r="J741" i="3"/>
  <c r="H1147" i="3"/>
  <c r="H967" i="3"/>
  <c r="J1412" i="3"/>
  <c r="J998" i="3"/>
  <c r="H1471" i="3"/>
  <c r="J1322" i="3"/>
  <c r="H830" i="3"/>
  <c r="H1531" i="3"/>
  <c r="J1592" i="3"/>
  <c r="H5202" i="3"/>
  <c r="H907" i="3"/>
  <c r="H1237" i="3"/>
  <c r="J938" i="3"/>
  <c r="J831" i="3"/>
  <c r="J968" i="3"/>
  <c r="H1501" i="3"/>
  <c r="J1894" i="3"/>
  <c r="H537" i="3"/>
  <c r="E528" i="3"/>
  <c r="E527" i="3"/>
  <c r="E526" i="3"/>
  <c r="E525" i="3"/>
  <c r="E524" i="3"/>
  <c r="E523" i="3"/>
  <c r="E516" i="3"/>
  <c r="E515" i="3"/>
  <c r="E514" i="3"/>
  <c r="E513" i="3"/>
  <c r="E512" i="3"/>
  <c r="E511" i="3"/>
  <c r="E510" i="3"/>
  <c r="E501" i="3"/>
  <c r="E499" i="3"/>
  <c r="E492" i="3"/>
  <c r="E491" i="3"/>
  <c r="E483" i="3"/>
  <c r="E482" i="3"/>
  <c r="E474" i="3"/>
  <c r="E473" i="3"/>
  <c r="E471" i="3"/>
  <c r="E464" i="3"/>
  <c r="E463" i="3"/>
  <c r="E461" i="3"/>
  <c r="E454" i="3"/>
  <c r="E453" i="3"/>
  <c r="E451" i="3"/>
  <c r="E444" i="3"/>
  <c r="E443" i="3"/>
  <c r="E441" i="3"/>
  <c r="E434" i="3"/>
  <c r="E433" i="3"/>
  <c r="E431" i="3"/>
  <c r="E424" i="3"/>
  <c r="E423" i="3"/>
  <c r="E422" i="3"/>
  <c r="E414" i="3"/>
  <c r="E413" i="3"/>
  <c r="E411" i="3"/>
  <c r="E404" i="3"/>
  <c r="E403" i="3"/>
  <c r="E401" i="3"/>
  <c r="E394" i="3"/>
  <c r="E393" i="3"/>
  <c r="E391" i="3"/>
  <c r="E384" i="3"/>
  <c r="E383" i="3"/>
  <c r="E382" i="3"/>
  <c r="E381" i="3"/>
  <c r="E380" i="3"/>
  <c r="E379" i="3"/>
  <c r="E372" i="3"/>
  <c r="E371" i="3"/>
  <c r="E370" i="3"/>
  <c r="E369" i="3"/>
  <c r="E359" i="3"/>
  <c r="E358" i="3"/>
  <c r="E357" i="3"/>
  <c r="E356" i="3"/>
  <c r="E355" i="3"/>
  <c r="E354" i="3"/>
  <c r="E353" i="3"/>
  <c r="E346" i="3"/>
  <c r="E345" i="3"/>
  <c r="E344" i="3"/>
  <c r="E343" i="3"/>
  <c r="E342" i="3"/>
  <c r="E341" i="3"/>
  <c r="E340" i="3"/>
  <c r="E333" i="3"/>
  <c r="E332" i="3"/>
  <c r="E331" i="3"/>
  <c r="E330" i="3"/>
  <c r="E329" i="3"/>
  <c r="E328" i="3"/>
  <c r="E327" i="3"/>
  <c r="E320" i="3"/>
  <c r="E319" i="3"/>
  <c r="E318" i="3"/>
  <c r="E317" i="3"/>
  <c r="E316" i="3"/>
  <c r="E315" i="3"/>
  <c r="E308" i="3"/>
  <c r="E307" i="3"/>
  <c r="E306" i="3"/>
  <c r="E305" i="3"/>
  <c r="E304" i="3"/>
  <c r="E303" i="3"/>
  <c r="E302" i="3"/>
  <c r="E295" i="3"/>
  <c r="E294" i="3"/>
  <c r="E293" i="3"/>
  <c r="E292" i="3"/>
  <c r="E291" i="3"/>
  <c r="E290" i="3"/>
  <c r="E289" i="3"/>
  <c r="E282" i="3"/>
  <c r="E281" i="3"/>
  <c r="E280" i="3"/>
  <c r="E279" i="3"/>
  <c r="E278" i="3"/>
  <c r="E277" i="3"/>
  <c r="E276" i="3"/>
  <c r="E269" i="3"/>
  <c r="E268" i="3"/>
  <c r="E267" i="3"/>
  <c r="E266" i="3"/>
  <c r="E265" i="3"/>
  <c r="E264" i="3"/>
  <c r="E263" i="3"/>
  <c r="E256" i="3"/>
  <c r="E255" i="3"/>
  <c r="E254" i="3"/>
  <c r="E253" i="3"/>
  <c r="E252" i="3"/>
  <c r="E251" i="3"/>
  <c r="E250" i="3"/>
  <c r="E243" i="3"/>
  <c r="E242" i="3"/>
  <c r="E241" i="3"/>
  <c r="E240" i="3"/>
  <c r="E239" i="3"/>
  <c r="E238" i="3"/>
  <c r="E237" i="3"/>
  <c r="E230" i="3"/>
  <c r="E229" i="3"/>
  <c r="E227" i="3"/>
  <c r="E220" i="3"/>
  <c r="E219" i="3"/>
  <c r="E217" i="3"/>
  <c r="E210" i="3"/>
  <c r="E209" i="3"/>
  <c r="E200" i="3"/>
  <c r="E199" i="3"/>
  <c r="E191" i="3"/>
  <c r="E190" i="3"/>
  <c r="E188" i="3"/>
  <c r="E181" i="3"/>
  <c r="E180" i="3"/>
  <c r="E179" i="3"/>
  <c r="E178" i="3"/>
  <c r="E177" i="3"/>
  <c r="E176" i="3"/>
  <c r="E169" i="3"/>
  <c r="E168" i="3"/>
  <c r="E167" i="3"/>
  <c r="E166" i="3"/>
  <c r="E159" i="3"/>
  <c r="E158" i="3"/>
  <c r="E157" i="3"/>
  <c r="E156" i="3"/>
  <c r="E149" i="3"/>
  <c r="E148" i="3"/>
  <c r="E147" i="3"/>
  <c r="E146" i="3"/>
  <c r="E139" i="3"/>
  <c r="E138" i="3"/>
  <c r="E137" i="3"/>
  <c r="E136" i="3"/>
  <c r="E129" i="3"/>
  <c r="E128" i="3"/>
  <c r="E127" i="3"/>
  <c r="E126" i="3"/>
  <c r="E125" i="3"/>
  <c r="E124" i="3"/>
  <c r="E117" i="3"/>
  <c r="E116" i="3"/>
  <c r="E109" i="3"/>
  <c r="E108" i="3"/>
  <c r="E107" i="3"/>
  <c r="E106" i="3"/>
  <c r="E105" i="3"/>
  <c r="E98" i="3"/>
  <c r="E97" i="3"/>
  <c r="E96" i="3"/>
  <c r="E95" i="3"/>
  <c r="E88" i="3"/>
  <c r="E87" i="3"/>
  <c r="E86" i="3"/>
  <c r="E85" i="3"/>
  <c r="E78" i="3"/>
  <c r="E77" i="3"/>
  <c r="E69" i="3"/>
  <c r="E68" i="3"/>
  <c r="E61" i="3"/>
  <c r="E60" i="3"/>
  <c r="E59" i="3"/>
  <c r="E52" i="3"/>
  <c r="E51" i="3"/>
  <c r="E44" i="3"/>
  <c r="E43" i="3"/>
  <c r="E36" i="3"/>
  <c r="E35" i="3"/>
  <c r="E19" i="3"/>
  <c r="E18" i="3"/>
  <c r="E17" i="3"/>
  <c r="E16" i="3"/>
  <c r="E15" i="3"/>
  <c r="E14" i="3"/>
  <c r="E13" i="3"/>
  <c r="H250" i="2" l="1"/>
  <c r="E252" i="23" s="1"/>
  <c r="E6" i="4"/>
  <c r="H362" i="2"/>
  <c r="H279" i="2"/>
  <c r="E281" i="23" s="1"/>
  <c r="H131" i="2"/>
  <c r="E132" i="23" s="1"/>
  <c r="H542" i="2"/>
  <c r="E544" i="23" s="1"/>
  <c r="H345" i="2"/>
  <c r="H339" i="2"/>
  <c r="H140" i="2"/>
  <c r="E141" i="23" s="1"/>
  <c r="H614" i="2"/>
  <c r="E617" i="23" s="1"/>
  <c r="H626" i="2"/>
  <c r="E629" i="23" s="1"/>
  <c r="H202" i="2"/>
  <c r="E204" i="23" s="1"/>
  <c r="H151" i="2"/>
  <c r="E152" i="23" s="1"/>
  <c r="H259" i="2"/>
  <c r="E261" i="23" s="1"/>
  <c r="H432" i="2"/>
  <c r="E434" i="23" s="1"/>
  <c r="H396" i="2"/>
  <c r="E399" i="23" s="1"/>
  <c r="H580" i="2"/>
  <c r="E582" i="23" s="1"/>
  <c r="H301" i="2"/>
  <c r="E303" i="23" s="1"/>
  <c r="H426" i="2"/>
  <c r="E428" i="23" s="1"/>
  <c r="H442" i="2"/>
  <c r="E445" i="23" s="1"/>
  <c r="H31" i="2"/>
  <c r="E30" i="23" s="1"/>
  <c r="H460" i="2"/>
  <c r="E463" i="23" s="1"/>
  <c r="H39" i="2"/>
  <c r="E38" i="23" s="1"/>
  <c r="H101" i="2"/>
  <c r="E102" i="23" s="1"/>
  <c r="H192" i="2"/>
  <c r="E194" i="23" s="1"/>
  <c r="H309" i="2"/>
  <c r="E311" i="23" s="1"/>
  <c r="H402" i="2"/>
  <c r="E404" i="23" s="1"/>
  <c r="H296" i="2"/>
  <c r="E298" i="23" s="1"/>
  <c r="H579" i="2"/>
  <c r="E581" i="23" s="1"/>
  <c r="H200" i="2"/>
  <c r="E202" i="23" s="1"/>
  <c r="H231" i="2"/>
  <c r="E233" i="23" s="1"/>
  <c r="H41" i="2"/>
  <c r="E40" i="23" s="1"/>
  <c r="H299" i="2"/>
  <c r="E301" i="23" s="1"/>
  <c r="H67" i="2"/>
  <c r="E66" i="23" s="1"/>
  <c r="H232" i="2"/>
  <c r="E234" i="23" s="1"/>
  <c r="H332" i="2"/>
  <c r="E334" i="23" s="1"/>
  <c r="H132" i="2"/>
  <c r="E133" i="23" s="1"/>
  <c r="H464" i="2"/>
  <c r="E467" i="23" s="1"/>
  <c r="H547" i="2"/>
  <c r="E549" i="23" s="1"/>
  <c r="H317" i="2"/>
  <c r="E319" i="23" s="1"/>
  <c r="H141" i="2"/>
  <c r="E142" i="23" s="1"/>
  <c r="H283" i="2"/>
  <c r="E285" i="23" s="1"/>
  <c r="H532" i="2"/>
  <c r="E534" i="23" s="1"/>
  <c r="H578" i="2"/>
  <c r="E580" i="23" s="1"/>
  <c r="H295" i="2"/>
  <c r="E297" i="23" s="1"/>
  <c r="H308" i="2"/>
  <c r="E310" i="23" s="1"/>
  <c r="H607" i="2"/>
  <c r="E610" i="23" s="1"/>
  <c r="H380" i="2"/>
  <c r="E383" i="23" s="1"/>
  <c r="H616" i="2"/>
  <c r="E619" i="23" s="1"/>
  <c r="H392" i="2"/>
  <c r="E395" i="23" s="1"/>
  <c r="H502" i="2"/>
  <c r="E504" i="23" s="1"/>
  <c r="H462" i="2"/>
  <c r="E465" i="23" s="1"/>
  <c r="H233" i="2"/>
  <c r="E235" i="23" s="1"/>
  <c r="H29" i="2"/>
  <c r="E28" i="23" s="1"/>
  <c r="H239" i="2"/>
  <c r="E241" i="23" s="1"/>
  <c r="H273" i="2"/>
  <c r="E275" i="23" s="1"/>
  <c r="H585" i="2"/>
  <c r="E587" i="23" s="1"/>
  <c r="H573" i="2"/>
  <c r="E575" i="23" s="1"/>
  <c r="H438" i="2"/>
  <c r="E440" i="23" s="1"/>
  <c r="H466" i="2"/>
  <c r="E469" i="23" s="1"/>
  <c r="H613" i="2"/>
  <c r="E616" i="23" s="1"/>
  <c r="H99" i="2"/>
  <c r="E100" i="23" s="1"/>
  <c r="H306" i="2"/>
  <c r="E308" i="23" s="1"/>
  <c r="H303" i="2"/>
  <c r="E305" i="23" s="1"/>
  <c r="H403" i="2"/>
  <c r="E405" i="23" s="1"/>
  <c r="H100" i="2"/>
  <c r="E101" i="23" s="1"/>
  <c r="E5" i="5"/>
  <c r="H334" i="2"/>
  <c r="E336" i="23" s="1"/>
  <c r="H357" i="2"/>
  <c r="H325" i="2"/>
  <c r="E327" i="23" s="1"/>
  <c r="H133" i="2"/>
  <c r="E134" i="23" s="1"/>
  <c r="H354" i="2"/>
  <c r="H544" i="2"/>
  <c r="E546" i="23" s="1"/>
  <c r="H318" i="2"/>
  <c r="E320" i="23" s="1"/>
  <c r="H292" i="2"/>
  <c r="E294" i="23" s="1"/>
  <c r="H46" i="2"/>
  <c r="E45" i="23" s="1"/>
  <c r="H595" i="2"/>
  <c r="E598" i="23" s="1"/>
  <c r="H372" i="2"/>
  <c r="E375" i="23" s="1"/>
  <c r="H384" i="2"/>
  <c r="E387" i="23" s="1"/>
  <c r="H577" i="2"/>
  <c r="E579" i="23" s="1"/>
  <c r="H57" i="2"/>
  <c r="E56" i="23" s="1"/>
  <c r="H624" i="2"/>
  <c r="E627" i="23" s="1"/>
  <c r="H415" i="2"/>
  <c r="E417" i="23" s="1"/>
  <c r="H414" i="2"/>
  <c r="E416" i="23" s="1"/>
  <c r="H294" i="2"/>
  <c r="E296" i="23" s="1"/>
  <c r="H272" i="2"/>
  <c r="E274" i="23" s="1"/>
  <c r="H304" i="2"/>
  <c r="E306" i="23" s="1"/>
  <c r="H68" i="2"/>
  <c r="E67" i="23" s="1"/>
  <c r="H307" i="2"/>
  <c r="E309" i="23" s="1"/>
  <c r="H376" i="2"/>
  <c r="E379" i="23" s="1"/>
  <c r="H257" i="2"/>
  <c r="E259" i="23" s="1"/>
  <c r="H503" i="2"/>
  <c r="E505" i="23" s="1"/>
  <c r="H598" i="2"/>
  <c r="E601" i="23" s="1"/>
  <c r="H411" i="2"/>
  <c r="E413" i="23" s="1"/>
  <c r="H434" i="2"/>
  <c r="E436" i="23" s="1"/>
  <c r="H199" i="2"/>
  <c r="E201" i="23" s="1"/>
  <c r="H302" i="2"/>
  <c r="E304" i="23" s="1"/>
  <c r="H201" i="2"/>
  <c r="E203" i="23" s="1"/>
  <c r="H602" i="2"/>
  <c r="E605" i="23" s="1"/>
  <c r="H284" i="2"/>
  <c r="E286" i="23" s="1"/>
  <c r="H333" i="2"/>
  <c r="E335" i="23" s="1"/>
  <c r="H276" i="2"/>
  <c r="E278" i="23" s="1"/>
  <c r="H324" i="2"/>
  <c r="E326" i="23" s="1"/>
  <c r="H538" i="2"/>
  <c r="E540" i="23" s="1"/>
  <c r="H316" i="2"/>
  <c r="E318" i="23" s="1"/>
  <c r="H381" i="2"/>
  <c r="E384" i="23" s="1"/>
  <c r="H243" i="2"/>
  <c r="E245" i="23" s="1"/>
  <c r="H50" i="2"/>
  <c r="E49" i="23" s="1"/>
  <c r="H605" i="2"/>
  <c r="E608" i="23" s="1"/>
  <c r="H467" i="2"/>
  <c r="E470" i="23" s="1"/>
  <c r="H497" i="2"/>
  <c r="E499" i="23" s="1"/>
  <c r="H34" i="2"/>
  <c r="E33" i="23" s="1"/>
  <c r="H482" i="2"/>
  <c r="E485" i="23" s="1"/>
  <c r="H499" i="2"/>
  <c r="E501" i="23" s="1"/>
  <c r="H492" i="2"/>
  <c r="E494" i="23" s="1"/>
  <c r="H98" i="2"/>
  <c r="E99" i="23" s="1"/>
  <c r="H530" i="2"/>
  <c r="E532" i="23" s="1"/>
  <c r="H405" i="2"/>
  <c r="E407" i="23" s="1"/>
  <c r="H293" i="2"/>
  <c r="E295" i="23" s="1"/>
  <c r="H410" i="2"/>
  <c r="E412" i="23" s="1"/>
  <c r="H118" i="2"/>
  <c r="E119" i="23" s="1"/>
  <c r="H240" i="2"/>
  <c r="E242" i="23" s="1"/>
  <c r="H431" i="2"/>
  <c r="E433" i="23" s="1"/>
  <c r="H424" i="2"/>
  <c r="E426" i="23" s="1"/>
  <c r="H618" i="2"/>
  <c r="E621" i="23" s="1"/>
  <c r="H531" i="2"/>
  <c r="E533" i="23" s="1"/>
  <c r="H456" i="2"/>
  <c r="E459" i="23" s="1"/>
  <c r="H581" i="2"/>
  <c r="E583" i="23" s="1"/>
  <c r="H455" i="2"/>
  <c r="E458" i="23" s="1"/>
  <c r="H377" i="2"/>
  <c r="E380" i="23" s="1"/>
  <c r="H378" i="2"/>
  <c r="E381" i="23" s="1"/>
  <c r="H19" i="2"/>
  <c r="E18" i="23" s="1"/>
  <c r="H126" i="2"/>
  <c r="E127" i="23" s="1"/>
  <c r="H537" i="2"/>
  <c r="E539" i="23" s="1"/>
  <c r="H338" i="2"/>
  <c r="H260" i="2"/>
  <c r="E262" i="23" s="1"/>
  <c r="H305" i="2"/>
  <c r="E307" i="23" s="1"/>
  <c r="H258" i="2"/>
  <c r="E260" i="23" s="1"/>
  <c r="H397" i="2"/>
  <c r="E400" i="23" s="1"/>
  <c r="H476" i="2"/>
  <c r="E479" i="23" s="1"/>
  <c r="H391" i="2"/>
  <c r="E394" i="23" s="1"/>
  <c r="H244" i="2"/>
  <c r="E246" i="23" s="1"/>
  <c r="H625" i="2"/>
  <c r="E628" i="23" s="1"/>
  <c r="H238" i="2"/>
  <c r="E240" i="23" s="1"/>
  <c r="H413" i="2"/>
  <c r="E415" i="23" s="1"/>
  <c r="H374" i="2"/>
  <c r="E377" i="23" s="1"/>
  <c r="H612" i="2"/>
  <c r="E615" i="23" s="1"/>
  <c r="H416" i="2"/>
  <c r="E418" i="23" s="1"/>
  <c r="H116" i="2"/>
  <c r="E117" i="23" s="1"/>
  <c r="H463" i="2"/>
  <c r="E466" i="23" s="1"/>
  <c r="H66" i="2"/>
  <c r="E65" i="23" s="1"/>
  <c r="H274" i="2"/>
  <c r="E276" i="23" s="1"/>
  <c r="H504" i="2"/>
  <c r="E506" i="23" s="1"/>
  <c r="H572" i="2"/>
  <c r="E574" i="23" s="1"/>
  <c r="H395" i="2"/>
  <c r="E398" i="23" s="1"/>
  <c r="H433" i="2"/>
  <c r="E435" i="23" s="1"/>
  <c r="H604" i="2"/>
  <c r="E607" i="23" s="1"/>
  <c r="H297" i="2"/>
  <c r="E299" i="23" s="1"/>
  <c r="H606" i="2"/>
  <c r="E609" i="23" s="1"/>
  <c r="H311" i="2"/>
  <c r="E313" i="23" s="1"/>
  <c r="H114" i="2"/>
  <c r="E115" i="23" s="1"/>
  <c r="H18" i="2"/>
  <c r="E17" i="23" s="1"/>
  <c r="F5" i="1"/>
  <c r="AC6" i="6"/>
  <c r="H85" i="2"/>
  <c r="E84" i="23" s="1"/>
  <c r="H543" i="2"/>
  <c r="E545" i="23" s="1"/>
  <c r="H347" i="2"/>
  <c r="H344" i="2"/>
  <c r="H341" i="2"/>
  <c r="H430" i="2"/>
  <c r="E432" i="23" s="1"/>
  <c r="H571" i="2"/>
  <c r="E573" i="23" s="1"/>
  <c r="H582" i="2"/>
  <c r="E584" i="23" s="1"/>
  <c r="H204" i="2"/>
  <c r="E206" i="23" s="1"/>
  <c r="H617" i="2"/>
  <c r="E620" i="23" s="1"/>
  <c r="H493" i="2"/>
  <c r="E495" i="23" s="1"/>
  <c r="H404" i="2"/>
  <c r="E406" i="23" s="1"/>
  <c r="H265" i="2"/>
  <c r="E267" i="23" s="1"/>
  <c r="H373" i="2"/>
  <c r="E376" i="23" s="1"/>
  <c r="H58" i="2"/>
  <c r="E57" i="23" s="1"/>
  <c r="H312" i="2"/>
  <c r="E314" i="23" s="1"/>
  <c r="H477" i="2"/>
  <c r="E480" i="23" s="1"/>
  <c r="H417" i="2"/>
  <c r="E419" i="23" s="1"/>
  <c r="H40" i="2"/>
  <c r="E39" i="23" s="1"/>
  <c r="H425" i="2"/>
  <c r="E427" i="23" s="1"/>
  <c r="H435" i="2"/>
  <c r="E437" i="23" s="1"/>
  <c r="H596" i="2"/>
  <c r="E599" i="23" s="1"/>
  <c r="H142" i="2"/>
  <c r="E143" i="23" s="1"/>
  <c r="H475" i="2"/>
  <c r="E478" i="23" s="1"/>
  <c r="H48" i="2"/>
  <c r="E47" i="23" s="1"/>
  <c r="H152" i="2"/>
  <c r="E153" i="23" s="1"/>
  <c r="H484" i="2"/>
  <c r="E487" i="23" s="1"/>
  <c r="H47" i="2"/>
  <c r="E46" i="23" s="1"/>
  <c r="H474" i="2"/>
  <c r="E477" i="23" s="1"/>
  <c r="H323" i="2"/>
  <c r="E325" i="23" s="1"/>
  <c r="H17" i="2"/>
  <c r="E16" i="23" s="1"/>
  <c r="G5" i="15"/>
  <c r="H277" i="2"/>
  <c r="E279" i="23" s="1"/>
  <c r="H330" i="2"/>
  <c r="E332" i="23" s="1"/>
  <c r="H356" i="2"/>
  <c r="H546" i="2"/>
  <c r="E548" i="23" s="1"/>
  <c r="H349" i="2"/>
  <c r="H343" i="2"/>
  <c r="H340" i="2"/>
  <c r="H62" i="2"/>
  <c r="E61" i="23" s="1"/>
  <c r="H313" i="2"/>
  <c r="E315" i="23" s="1"/>
  <c r="H454" i="2"/>
  <c r="E457" i="23" s="1"/>
  <c r="H437" i="2"/>
  <c r="E439" i="23" s="1"/>
  <c r="H193" i="2"/>
  <c r="E195" i="23" s="1"/>
  <c r="H320" i="2"/>
  <c r="E322" i="23" s="1"/>
  <c r="H153" i="2"/>
  <c r="E154" i="23" s="1"/>
  <c r="H194" i="2"/>
  <c r="E196" i="23" s="1"/>
  <c r="H55" i="2"/>
  <c r="E54" i="23" s="1"/>
  <c r="H300" i="2"/>
  <c r="E302" i="23" s="1"/>
  <c r="H370" i="2"/>
  <c r="E373" i="23" s="1"/>
  <c r="H369" i="2"/>
  <c r="E372" i="23" s="1"/>
  <c r="H383" i="2"/>
  <c r="E386" i="23" s="1"/>
  <c r="H498" i="2"/>
  <c r="E500" i="23" s="1"/>
  <c r="H161" i="2"/>
  <c r="E162" i="23" s="1"/>
  <c r="H501" i="2"/>
  <c r="E503" i="23" s="1"/>
  <c r="H51" i="2"/>
  <c r="E50" i="23" s="1"/>
  <c r="H42" i="2"/>
  <c r="E41" i="23" s="1"/>
  <c r="H282" i="2"/>
  <c r="E284" i="23" s="1"/>
  <c r="H608" i="2"/>
  <c r="E611" i="23" s="1"/>
  <c r="H245" i="2"/>
  <c r="E247" i="23" s="1"/>
  <c r="H291" i="2"/>
  <c r="E293" i="23" s="1"/>
  <c r="H241" i="2"/>
  <c r="E243" i="23" s="1"/>
  <c r="H275" i="2"/>
  <c r="E277" i="23" s="1"/>
  <c r="H33" i="2"/>
  <c r="E32" i="23" s="1"/>
  <c r="H615" i="2"/>
  <c r="E618" i="23" s="1"/>
  <c r="H203" i="2"/>
  <c r="E205" i="23" s="1"/>
  <c r="H16" i="2"/>
  <c r="E15" i="23" s="1"/>
  <c r="H278" i="2"/>
  <c r="E280" i="23" s="1"/>
  <c r="H331" i="2"/>
  <c r="E333" i="23" s="1"/>
  <c r="H355" i="2"/>
  <c r="H545" i="2"/>
  <c r="E547" i="23" s="1"/>
  <c r="H348" i="2"/>
  <c r="H346" i="2"/>
  <c r="H342" i="2"/>
  <c r="H30" i="2"/>
  <c r="E29" i="23" s="1"/>
  <c r="H465" i="2"/>
  <c r="E468" i="23" s="1"/>
  <c r="H483" i="2"/>
  <c r="E486" i="23" s="1"/>
  <c r="H394" i="2"/>
  <c r="E397" i="23" s="1"/>
  <c r="H268" i="2"/>
  <c r="E270" i="23" s="1"/>
  <c r="H49" i="2"/>
  <c r="E48" i="23" s="1"/>
  <c r="H267" i="2"/>
  <c r="E269" i="23" s="1"/>
  <c r="H298" i="2"/>
  <c r="E300" i="23" s="1"/>
  <c r="H322" i="2"/>
  <c r="E324" i="23" s="1"/>
  <c r="H206" i="2"/>
  <c r="E208" i="23" s="1"/>
  <c r="H583" i="2"/>
  <c r="E585" i="23" s="1"/>
  <c r="H597" i="2"/>
  <c r="E600" i="23" s="1"/>
  <c r="H436" i="2"/>
  <c r="E438" i="23" s="1"/>
  <c r="H371" i="2"/>
  <c r="E374" i="23" s="1"/>
  <c r="H478" i="2"/>
  <c r="E481" i="23" s="1"/>
  <c r="H500" i="2"/>
  <c r="E502" i="23" s="1"/>
  <c r="H56" i="2"/>
  <c r="E55" i="23" s="1"/>
  <c r="H242" i="2"/>
  <c r="E244" i="23" s="1"/>
  <c r="H379" i="2"/>
  <c r="E382" i="23" s="1"/>
  <c r="H443" i="2"/>
  <c r="E446" i="23" s="1"/>
  <c r="H321" i="2"/>
  <c r="E323" i="23" s="1"/>
  <c r="H382" i="2"/>
  <c r="E385" i="23" s="1"/>
  <c r="H603" i="2"/>
  <c r="E606" i="23" s="1"/>
  <c r="H375" i="2"/>
  <c r="E378" i="23" s="1"/>
  <c r="H234" i="2"/>
  <c r="E236" i="23" s="1"/>
  <c r="H584" i="2"/>
  <c r="E586" i="23" s="1"/>
  <c r="H461" i="2"/>
  <c r="E464" i="23" s="1"/>
  <c r="E5" i="19"/>
  <c r="H5" i="3"/>
  <c r="K362" i="2"/>
  <c r="K357" i="2"/>
  <c r="K325" i="2"/>
  <c r="K464" i="2"/>
  <c r="R467" i="23" s="1"/>
  <c r="K546" i="2"/>
  <c r="K338" i="2"/>
  <c r="L338" i="2" s="1"/>
  <c r="K194" i="2"/>
  <c r="K296" i="2"/>
  <c r="K466" i="2"/>
  <c r="K297" i="2"/>
  <c r="K504" i="2"/>
  <c r="K311" i="2"/>
  <c r="K300" i="2"/>
  <c r="K434" i="2"/>
  <c r="K604" i="2"/>
  <c r="L607" i="23" s="1"/>
  <c r="K239" i="2"/>
  <c r="K243" i="2"/>
  <c r="K612" i="2"/>
  <c r="K56" i="2"/>
  <c r="K433" i="2"/>
  <c r="K625" i="2"/>
  <c r="K48" i="2"/>
  <c r="K55" i="2"/>
  <c r="K379" i="2"/>
  <c r="K258" i="2"/>
  <c r="K370" i="2"/>
  <c r="K584" i="2"/>
  <c r="K465" i="2"/>
  <c r="K118" i="2"/>
  <c r="K436" i="2"/>
  <c r="K382" i="2"/>
  <c r="K151" i="2"/>
  <c r="K17" i="2"/>
  <c r="F7" i="1"/>
  <c r="I5" i="20" s="1"/>
  <c r="F5" i="5"/>
  <c r="K276" i="2"/>
  <c r="K324" i="2"/>
  <c r="K354" i="2"/>
  <c r="L354" i="2" s="1"/>
  <c r="K538" i="2"/>
  <c r="K349" i="2"/>
  <c r="L349" i="2" s="1"/>
  <c r="K344" i="2"/>
  <c r="L344" i="2" s="1"/>
  <c r="K339" i="2"/>
  <c r="L339" i="2" s="1"/>
  <c r="K298" i="2"/>
  <c r="K397" i="2"/>
  <c r="K615" i="2"/>
  <c r="K395" i="2"/>
  <c r="K33" i="2"/>
  <c r="K371" i="2"/>
  <c r="K402" i="2"/>
  <c r="K531" i="2"/>
  <c r="K50" i="2"/>
  <c r="K307" i="2"/>
  <c r="K305" i="2"/>
  <c r="K268" i="2"/>
  <c r="K244" i="2"/>
  <c r="K116" i="2"/>
  <c r="K142" i="2"/>
  <c r="K245" i="2"/>
  <c r="K322" i="2"/>
  <c r="K415" i="2"/>
  <c r="K369" i="2"/>
  <c r="K583" i="2"/>
  <c r="K67" i="2"/>
  <c r="K614" i="2"/>
  <c r="K141" i="2"/>
  <c r="K29" i="2"/>
  <c r="K295" i="2"/>
  <c r="K16" i="2"/>
  <c r="H5" i="15"/>
  <c r="K126" i="2"/>
  <c r="R127" i="23" s="1"/>
  <c r="K545" i="2"/>
  <c r="K348" i="2"/>
  <c r="K343" i="2"/>
  <c r="K341" i="2"/>
  <c r="K396" i="2"/>
  <c r="K66" i="2"/>
  <c r="K275" i="2"/>
  <c r="K613" i="2"/>
  <c r="K234" i="2"/>
  <c r="K484" i="2"/>
  <c r="K616" i="2"/>
  <c r="K40" i="2"/>
  <c r="K241" i="2"/>
  <c r="K410" i="2"/>
  <c r="K571" i="2"/>
  <c r="K375" i="2"/>
  <c r="K306" i="2"/>
  <c r="K443" i="2"/>
  <c r="K430" i="2"/>
  <c r="K321" i="2"/>
  <c r="K580" i="2"/>
  <c r="K394" i="2"/>
  <c r="K582" i="2"/>
  <c r="K477" i="2"/>
  <c r="K57" i="2"/>
  <c r="K454" i="2"/>
  <c r="K273" i="2"/>
  <c r="K292" i="2"/>
  <c r="K426" i="2"/>
  <c r="K384" i="2"/>
  <c r="K15" i="2"/>
  <c r="K18" i="2"/>
  <c r="E7" i="4"/>
  <c r="K131" i="2"/>
  <c r="V132" i="23" s="1"/>
  <c r="K85" i="2"/>
  <c r="P84" i="23" s="1"/>
  <c r="K537" i="2"/>
  <c r="K347" i="2"/>
  <c r="L347" i="2" s="1"/>
  <c r="K346" i="2"/>
  <c r="L346" i="2" s="1"/>
  <c r="K340" i="2"/>
  <c r="L340" i="2" s="1"/>
  <c r="K193" i="2"/>
  <c r="K460" i="2"/>
  <c r="K435" i="2"/>
  <c r="K476" i="2"/>
  <c r="K605" i="2"/>
  <c r="K299" i="2"/>
  <c r="K282" i="2"/>
  <c r="K31" i="2"/>
  <c r="K240" i="2"/>
  <c r="K303" i="2"/>
  <c r="K200" i="2"/>
  <c r="K424" i="2"/>
  <c r="K617" i="2"/>
  <c r="K572" i="2"/>
  <c r="K603" i="2"/>
  <c r="K293" i="2"/>
  <c r="K579" i="2"/>
  <c r="K474" i="2"/>
  <c r="K99" i="2"/>
  <c r="K497" i="2"/>
  <c r="K618" i="2"/>
  <c r="K272" i="2"/>
  <c r="K98" i="2"/>
  <c r="K100" i="2"/>
  <c r="K381" i="2"/>
  <c r="K502" i="2"/>
  <c r="K413" i="2"/>
  <c r="J5" i="3"/>
  <c r="K279" i="2"/>
  <c r="K277" i="2"/>
  <c r="K330" i="2"/>
  <c r="K356" i="2"/>
  <c r="K132" i="2"/>
  <c r="AB133" i="23" s="1"/>
  <c r="K542" i="2"/>
  <c r="K345" i="2"/>
  <c r="L345" i="2" s="1"/>
  <c r="K342" i="2"/>
  <c r="K318" i="2"/>
  <c r="K294" i="2"/>
  <c r="K425" i="2"/>
  <c r="K595" i="2"/>
  <c r="K284" i="2"/>
  <c r="K206" i="2"/>
  <c r="K403" i="2"/>
  <c r="K499" i="2"/>
  <c r="K233" i="2"/>
  <c r="K302" i="2"/>
  <c r="K404" i="2"/>
  <c r="K68" i="2"/>
  <c r="K202" i="2"/>
  <c r="K140" i="2"/>
  <c r="K42" i="2"/>
  <c r="K49" i="2"/>
  <c r="K532" i="2"/>
  <c r="K463" i="2"/>
  <c r="AD466" i="23" s="1"/>
  <c r="K376" i="2"/>
  <c r="K260" i="2"/>
  <c r="K203" i="2"/>
  <c r="K101" i="2"/>
  <c r="K372" i="2"/>
  <c r="K267" i="2"/>
  <c r="K153" i="2"/>
  <c r="K414" i="2"/>
  <c r="K161" i="2"/>
  <c r="K192" i="2"/>
  <c r="K332" i="2"/>
  <c r="K278" i="2"/>
  <c r="K331" i="2"/>
  <c r="K355" i="2"/>
  <c r="K133" i="2"/>
  <c r="K544" i="2"/>
  <c r="K317" i="2"/>
  <c r="K383" i="2"/>
  <c r="K501" i="2"/>
  <c r="K34" i="2"/>
  <c r="K498" i="2"/>
  <c r="K301" i="2"/>
  <c r="K438" i="2"/>
  <c r="K312" i="2"/>
  <c r="K304" i="2"/>
  <c r="K411" i="2"/>
  <c r="K30" i="2"/>
  <c r="K437" i="2"/>
  <c r="K462" i="2"/>
  <c r="R465" i="23" s="1"/>
  <c r="K378" i="2"/>
  <c r="K242" i="2"/>
  <c r="K392" i="2"/>
  <c r="K62" i="2"/>
  <c r="K201" i="2"/>
  <c r="K391" i="2"/>
  <c r="K320" i="2"/>
  <c r="K461" i="2"/>
  <c r="K442" i="2"/>
  <c r="K585" i="2"/>
  <c r="K373" i="2"/>
  <c r="K283" i="2"/>
  <c r="K492" i="2"/>
  <c r="K380" i="2"/>
  <c r="K432" i="2"/>
  <c r="K334" i="2"/>
  <c r="K543" i="2"/>
  <c r="K316" i="2"/>
  <c r="K608" i="2"/>
  <c r="K416" i="2"/>
  <c r="K259" i="2"/>
  <c r="K41" i="2"/>
  <c r="K478" i="2"/>
  <c r="K598" i="2"/>
  <c r="K47" i="2"/>
  <c r="K405" i="2"/>
  <c r="K199" i="2"/>
  <c r="K624" i="2"/>
  <c r="K597" i="2"/>
  <c r="K607" i="2"/>
  <c r="K482" i="2"/>
  <c r="K309" i="2"/>
  <c r="K493" i="2"/>
  <c r="K257" i="2"/>
  <c r="K455" i="2"/>
  <c r="K374" i="2"/>
  <c r="K581" i="2"/>
  <c r="K265" i="2"/>
  <c r="K114" i="2"/>
  <c r="K596" i="2"/>
  <c r="K483" i="2"/>
  <c r="K377" i="2"/>
  <c r="K152" i="2"/>
  <c r="K530" i="2"/>
  <c r="K333" i="2"/>
  <c r="K547" i="2"/>
  <c r="K500" i="2"/>
  <c r="K231" i="2"/>
  <c r="K577" i="2"/>
  <c r="K232" i="2"/>
  <c r="K431" i="2"/>
  <c r="K204" i="2"/>
  <c r="K238" i="2"/>
  <c r="K503" i="2"/>
  <c r="K456" i="2"/>
  <c r="K39" i="2"/>
  <c r="K46" i="2"/>
  <c r="K308" i="2"/>
  <c r="K417" i="2"/>
  <c r="K573" i="2"/>
  <c r="K274" i="2"/>
  <c r="K578" i="2"/>
  <c r="K606" i="2"/>
  <c r="K602" i="2"/>
  <c r="K51" i="2"/>
  <c r="K58" i="2"/>
  <c r="K323" i="2"/>
  <c r="K313" i="2"/>
  <c r="K626" i="2"/>
  <c r="K475" i="2"/>
  <c r="K291" i="2"/>
  <c r="K467" i="2"/>
  <c r="K19" i="2"/>
  <c r="H314" i="2"/>
  <c r="E316" i="23" s="1"/>
  <c r="K314" i="2"/>
  <c r="H315" i="2"/>
  <c r="E317" i="23" s="1"/>
  <c r="J315" i="2"/>
  <c r="K315" i="2" s="1"/>
  <c r="J21" i="3"/>
  <c r="C103" i="19"/>
  <c r="E103" i="19" s="1"/>
  <c r="D103" i="19" s="1"/>
  <c r="H283" i="3"/>
  <c r="H529" i="3"/>
  <c r="C102" i="19"/>
  <c r="E102" i="19" s="1"/>
  <c r="D102" i="19" s="1"/>
  <c r="C152" i="19"/>
  <c r="E152" i="19" s="1"/>
  <c r="D152" i="19" s="1"/>
  <c r="G152" i="19" s="1"/>
  <c r="H152" i="19" s="1"/>
  <c r="H415" i="3"/>
  <c r="H455" i="3"/>
  <c r="H5" i="20"/>
  <c r="H493" i="3"/>
  <c r="H465" i="3"/>
  <c r="H373" i="3"/>
  <c r="H270" i="3"/>
  <c r="H321" i="3"/>
  <c r="H405" i="3"/>
  <c r="H445" i="3"/>
  <c r="H395" i="3"/>
  <c r="H309" i="3"/>
  <c r="H347" i="3"/>
  <c r="H435" i="3"/>
  <c r="H296" i="3"/>
  <c r="H360" i="3"/>
  <c r="H484" i="3"/>
  <c r="J38" i="3"/>
  <c r="H62" i="3"/>
  <c r="J202" i="3"/>
  <c r="H89" i="3"/>
  <c r="H99" i="3"/>
  <c r="J193" i="3"/>
  <c r="J90" i="3"/>
  <c r="J232" i="3"/>
  <c r="J222" i="3"/>
  <c r="J212" i="3"/>
  <c r="J396" i="3"/>
  <c r="J485" i="3"/>
  <c r="J518" i="3"/>
  <c r="J476" i="3"/>
  <c r="J386" i="3"/>
  <c r="J426" i="3"/>
  <c r="J446" i="3"/>
  <c r="J436" i="3"/>
  <c r="J416" i="3"/>
  <c r="J80" i="3"/>
  <c r="J100" i="3"/>
  <c r="J406" i="3"/>
  <c r="J119" i="3"/>
  <c r="J466" i="3"/>
  <c r="J456" i="3"/>
  <c r="J71" i="3"/>
  <c r="J494" i="3"/>
  <c r="H192" i="3"/>
  <c r="J111" i="3"/>
  <c r="AF244" i="23" l="1"/>
  <c r="J244" i="23"/>
  <c r="AF427" i="23"/>
  <c r="T427" i="23"/>
  <c r="H540" i="23"/>
  <c r="AF540" i="23"/>
  <c r="AF67" i="23"/>
  <c r="V67" i="23"/>
  <c r="AF319" i="23"/>
  <c r="N319" i="23"/>
  <c r="AF40" i="23"/>
  <c r="T40" i="23"/>
  <c r="AF102" i="23"/>
  <c r="P102" i="23"/>
  <c r="AF399" i="23"/>
  <c r="L399" i="23"/>
  <c r="AF317" i="23"/>
  <c r="N317" i="23"/>
  <c r="AF236" i="23"/>
  <c r="J236" i="23"/>
  <c r="AF55" i="23"/>
  <c r="T55" i="23"/>
  <c r="N324" i="23"/>
  <c r="AF324" i="23"/>
  <c r="AF29" i="23"/>
  <c r="T29" i="23"/>
  <c r="H15" i="23"/>
  <c r="AF15" i="23"/>
  <c r="AF611" i="23"/>
  <c r="H611" i="23"/>
  <c r="AF372" i="23"/>
  <c r="N372" i="23"/>
  <c r="AF439" i="23"/>
  <c r="T439" i="23"/>
  <c r="J487" i="23"/>
  <c r="AF487" i="23"/>
  <c r="AF39" i="23"/>
  <c r="T39" i="23"/>
  <c r="AF495" i="23"/>
  <c r="X495" i="23"/>
  <c r="AF609" i="23"/>
  <c r="H609" i="23"/>
  <c r="AF65" i="23"/>
  <c r="V65" i="23"/>
  <c r="L628" i="23"/>
  <c r="AF628" i="23"/>
  <c r="AF459" i="23"/>
  <c r="J459" i="23"/>
  <c r="AF295" i="23"/>
  <c r="N295" i="23"/>
  <c r="X499" i="23"/>
  <c r="AF499" i="23"/>
  <c r="AF326" i="23"/>
  <c r="N326" i="23"/>
  <c r="AF436" i="23"/>
  <c r="T436" i="23"/>
  <c r="AF306" i="23"/>
  <c r="N306" i="23"/>
  <c r="N387" i="23"/>
  <c r="AF387" i="23"/>
  <c r="AF134" i="23"/>
  <c r="P134" i="23"/>
  <c r="N308" i="23"/>
  <c r="AF308" i="23"/>
  <c r="J241" i="23"/>
  <c r="AF241" i="23"/>
  <c r="AF610" i="23"/>
  <c r="H610" i="23"/>
  <c r="H549" i="23"/>
  <c r="AF549" i="23"/>
  <c r="AF233" i="23"/>
  <c r="J233" i="23"/>
  <c r="AF38" i="23"/>
  <c r="T38" i="23"/>
  <c r="T434" i="23"/>
  <c r="AF434" i="23"/>
  <c r="AF280" i="23"/>
  <c r="N280" i="23"/>
  <c r="N313" i="23"/>
  <c r="AF313" i="23"/>
  <c r="AF240" i="23"/>
  <c r="J240" i="23"/>
  <c r="T33" i="23"/>
  <c r="AF33" i="23"/>
  <c r="AF383" i="23"/>
  <c r="N383" i="23"/>
  <c r="N300" i="23"/>
  <c r="AF300" i="23"/>
  <c r="AF205" i="23"/>
  <c r="V205" i="23"/>
  <c r="AF284" i="23"/>
  <c r="N284" i="23"/>
  <c r="AF373" i="23"/>
  <c r="N373" i="23"/>
  <c r="J457" i="23"/>
  <c r="AF457" i="23"/>
  <c r="N332" i="23"/>
  <c r="AF332" i="23"/>
  <c r="AF153" i="23"/>
  <c r="T153" i="23"/>
  <c r="R419" i="23"/>
  <c r="AF419" i="23"/>
  <c r="J620" i="23"/>
  <c r="AF620" i="23"/>
  <c r="AF545" i="23"/>
  <c r="H545" i="23"/>
  <c r="AF299" i="23"/>
  <c r="N299" i="23"/>
  <c r="AF466" i="23"/>
  <c r="L466" i="23"/>
  <c r="AF246" i="23"/>
  <c r="J246" i="23"/>
  <c r="H539" i="23"/>
  <c r="AF539" i="23"/>
  <c r="X533" i="23"/>
  <c r="AF533" i="23"/>
  <c r="AB533" i="23"/>
  <c r="AF407" i="23"/>
  <c r="R407" i="23"/>
  <c r="AF470" i="23"/>
  <c r="L470" i="23"/>
  <c r="AF278" i="23"/>
  <c r="N278" i="23"/>
  <c r="AF413" i="23"/>
  <c r="R413" i="23"/>
  <c r="AF274" i="23"/>
  <c r="N274" i="23"/>
  <c r="AF375" i="23"/>
  <c r="N375" i="23"/>
  <c r="AF327" i="23"/>
  <c r="N327" i="23"/>
  <c r="AF100" i="23"/>
  <c r="P100" i="23"/>
  <c r="AF28" i="23"/>
  <c r="T28" i="23"/>
  <c r="AF310" i="23"/>
  <c r="N310" i="23"/>
  <c r="AF467" i="23"/>
  <c r="L467" i="23"/>
  <c r="AF202" i="23"/>
  <c r="V202" i="23"/>
  <c r="AF463" i="23"/>
  <c r="L463" i="23"/>
  <c r="AF261" i="23"/>
  <c r="N261" i="23"/>
  <c r="AF544" i="23"/>
  <c r="H544" i="23"/>
  <c r="AF208" i="23"/>
  <c r="V208" i="23"/>
  <c r="R406" i="23"/>
  <c r="AF406" i="23"/>
  <c r="AF262" i="23"/>
  <c r="N262" i="23"/>
  <c r="AF201" i="23"/>
  <c r="V201" i="23"/>
  <c r="AF502" i="23"/>
  <c r="X502" i="23"/>
  <c r="AF606" i="23"/>
  <c r="H606" i="23"/>
  <c r="AF618" i="23"/>
  <c r="J618" i="23"/>
  <c r="AF41" i="23"/>
  <c r="T41" i="23"/>
  <c r="AF302" i="23"/>
  <c r="N302" i="23"/>
  <c r="AF315" i="23"/>
  <c r="N315" i="23"/>
  <c r="AF279" i="23"/>
  <c r="N279" i="23"/>
  <c r="AF47" i="23"/>
  <c r="T47" i="23"/>
  <c r="AF480" i="23"/>
  <c r="J480" i="23"/>
  <c r="AF206" i="23"/>
  <c r="V206" i="23"/>
  <c r="AF84" i="23"/>
  <c r="T84" i="23"/>
  <c r="AF607" i="23"/>
  <c r="H607" i="23"/>
  <c r="AF117" i="23"/>
  <c r="P117" i="23"/>
  <c r="AF394" i="23"/>
  <c r="L394" i="23"/>
  <c r="AF127" i="23"/>
  <c r="P127" i="23"/>
  <c r="J621" i="23"/>
  <c r="AF621" i="23"/>
  <c r="AF532" i="23"/>
  <c r="X532" i="23"/>
  <c r="AB532" i="23"/>
  <c r="H608" i="23"/>
  <c r="AF608" i="23"/>
  <c r="AF335" i="23"/>
  <c r="N335" i="23"/>
  <c r="AF601" i="23"/>
  <c r="H601" i="23"/>
  <c r="AF296" i="23"/>
  <c r="N296" i="23"/>
  <c r="AF598" i="23"/>
  <c r="H598" i="23"/>
  <c r="J616" i="23"/>
  <c r="AF616" i="23"/>
  <c r="AF235" i="23"/>
  <c r="J235" i="23"/>
  <c r="N297" i="23"/>
  <c r="AF297" i="23"/>
  <c r="AF133" i="23"/>
  <c r="P133" i="23"/>
  <c r="J581" i="23"/>
  <c r="AF581" i="23"/>
  <c r="H581" i="23"/>
  <c r="AF30" i="23"/>
  <c r="T30" i="23"/>
  <c r="T152" i="23"/>
  <c r="AF152" i="23"/>
  <c r="P132" i="23"/>
  <c r="AF132" i="23"/>
  <c r="L468" i="23"/>
  <c r="AF468" i="23"/>
  <c r="AF195" i="23"/>
  <c r="V195" i="23"/>
  <c r="AF46" i="23"/>
  <c r="T46" i="23"/>
  <c r="H579" i="23"/>
  <c r="AF579" i="23"/>
  <c r="J579" i="23"/>
  <c r="AF378" i="23"/>
  <c r="N378" i="23"/>
  <c r="N316" i="23"/>
  <c r="AF316" i="23"/>
  <c r="AF481" i="23"/>
  <c r="J481" i="23"/>
  <c r="AF269" i="23"/>
  <c r="N269" i="23"/>
  <c r="AF385" i="23"/>
  <c r="N385" i="23"/>
  <c r="N374" i="23"/>
  <c r="AF374" i="23"/>
  <c r="AF48" i="23"/>
  <c r="T48" i="23"/>
  <c r="AF32" i="23"/>
  <c r="T32" i="23"/>
  <c r="AF50" i="23"/>
  <c r="T50" i="23"/>
  <c r="AF54" i="23"/>
  <c r="T54" i="23"/>
  <c r="AF61" i="23"/>
  <c r="T61" i="23"/>
  <c r="AF478" i="23"/>
  <c r="J478" i="23"/>
  <c r="AF314" i="23"/>
  <c r="N314" i="23"/>
  <c r="AF584" i="23"/>
  <c r="J584" i="23"/>
  <c r="H584" i="23"/>
  <c r="AF435" i="23"/>
  <c r="T435" i="23"/>
  <c r="AF418" i="23"/>
  <c r="R418" i="23"/>
  <c r="J479" i="23"/>
  <c r="AF479" i="23"/>
  <c r="H18" i="23"/>
  <c r="AF18" i="23"/>
  <c r="T426" i="23"/>
  <c r="AF426" i="23"/>
  <c r="AF99" i="23"/>
  <c r="P99" i="23"/>
  <c r="AF49" i="23"/>
  <c r="T49" i="23"/>
  <c r="AF286" i="23"/>
  <c r="N286" i="23"/>
  <c r="AF505" i="23"/>
  <c r="X505" i="23"/>
  <c r="AF416" i="23"/>
  <c r="R416" i="23"/>
  <c r="AF45" i="23"/>
  <c r="T45" i="23"/>
  <c r="AF336" i="23"/>
  <c r="N336" i="23"/>
  <c r="AF469" i="23"/>
  <c r="L469" i="23"/>
  <c r="L465" i="23"/>
  <c r="AF465" i="23"/>
  <c r="H580" i="23"/>
  <c r="J580" i="23"/>
  <c r="AF580" i="23"/>
  <c r="AF334" i="23"/>
  <c r="N334" i="23"/>
  <c r="AF298" i="23"/>
  <c r="N298" i="23"/>
  <c r="AF445" i="23"/>
  <c r="V445" i="23"/>
  <c r="AF204" i="23"/>
  <c r="V204" i="23"/>
  <c r="AF281" i="23"/>
  <c r="N281" i="23"/>
  <c r="H548" i="23"/>
  <c r="AF548" i="23"/>
  <c r="AF412" i="23"/>
  <c r="R412" i="23"/>
  <c r="N305" i="23"/>
  <c r="AF305" i="23"/>
  <c r="AF323" i="23"/>
  <c r="N323" i="23"/>
  <c r="AF438" i="23"/>
  <c r="T438" i="23"/>
  <c r="AF270" i="23"/>
  <c r="N270" i="23"/>
  <c r="AF547" i="23"/>
  <c r="H547" i="23"/>
  <c r="N277" i="23"/>
  <c r="AF277" i="23"/>
  <c r="AF503" i="23"/>
  <c r="X503" i="23"/>
  <c r="AF196" i="23"/>
  <c r="V196" i="23"/>
  <c r="H16" i="23"/>
  <c r="AF16" i="23"/>
  <c r="AF143" i="23"/>
  <c r="R143" i="23"/>
  <c r="AF57" i="23"/>
  <c r="T57" i="23"/>
  <c r="AF573" i="23"/>
  <c r="H573" i="23"/>
  <c r="AF398" i="23"/>
  <c r="L398" i="23"/>
  <c r="AF615" i="23"/>
  <c r="J615" i="23"/>
  <c r="L400" i="23"/>
  <c r="AF400" i="23"/>
  <c r="AF381" i="23"/>
  <c r="N381" i="23"/>
  <c r="AF433" i="23"/>
  <c r="T433" i="23"/>
  <c r="AF494" i="23"/>
  <c r="X494" i="23"/>
  <c r="AF245" i="23"/>
  <c r="J245" i="23"/>
  <c r="H605" i="23"/>
  <c r="AF605" i="23"/>
  <c r="AF259" i="23"/>
  <c r="N259" i="23"/>
  <c r="AF417" i="23"/>
  <c r="R417" i="23"/>
  <c r="AF294" i="23"/>
  <c r="N294" i="23"/>
  <c r="AF440" i="23"/>
  <c r="T440" i="23"/>
  <c r="X504" i="23"/>
  <c r="AF504" i="23"/>
  <c r="X534" i="23"/>
  <c r="AB534" i="23"/>
  <c r="AF534" i="23"/>
  <c r="AF234" i="23"/>
  <c r="J234" i="23"/>
  <c r="AF404" i="23"/>
  <c r="R404" i="23"/>
  <c r="AF428" i="23"/>
  <c r="T428" i="23"/>
  <c r="AF629" i="23"/>
  <c r="L629" i="23"/>
  <c r="H586" i="23"/>
  <c r="J586" i="23"/>
  <c r="AF586" i="23"/>
  <c r="AF247" i="23"/>
  <c r="J247" i="23"/>
  <c r="J583" i="23"/>
  <c r="AF583" i="23"/>
  <c r="H583" i="23"/>
  <c r="AF275" i="23"/>
  <c r="N275" i="23"/>
  <c r="V446" i="23"/>
  <c r="AF446" i="23"/>
  <c r="AF600" i="23"/>
  <c r="H600" i="23"/>
  <c r="AF397" i="23"/>
  <c r="L397" i="23"/>
  <c r="AF243" i="23"/>
  <c r="J243" i="23"/>
  <c r="AF162" i="23"/>
  <c r="R162" i="23"/>
  <c r="AF154" i="23"/>
  <c r="T154" i="23"/>
  <c r="AF325" i="23"/>
  <c r="N325" i="23"/>
  <c r="AF599" i="23"/>
  <c r="H599" i="23"/>
  <c r="AF376" i="23"/>
  <c r="N376" i="23"/>
  <c r="AF432" i="23"/>
  <c r="T432" i="23"/>
  <c r="AF17" i="23"/>
  <c r="H17" i="23"/>
  <c r="H574" i="23"/>
  <c r="AF574" i="23"/>
  <c r="AF377" i="23"/>
  <c r="N377" i="23"/>
  <c r="AF260" i="23"/>
  <c r="N260" i="23"/>
  <c r="AF380" i="23"/>
  <c r="N380" i="23"/>
  <c r="AF242" i="23"/>
  <c r="J242" i="23"/>
  <c r="AF501" i="23"/>
  <c r="X501" i="23"/>
  <c r="AF384" i="23"/>
  <c r="N384" i="23"/>
  <c r="AF203" i="23"/>
  <c r="V203" i="23"/>
  <c r="N379" i="23"/>
  <c r="AF379" i="23"/>
  <c r="L627" i="23"/>
  <c r="AF627" i="23"/>
  <c r="AF320" i="23"/>
  <c r="N320" i="23"/>
  <c r="AF101" i="23"/>
  <c r="P101" i="23"/>
  <c r="H575" i="23"/>
  <c r="AF575" i="23"/>
  <c r="L395" i="23"/>
  <c r="AF395" i="23"/>
  <c r="AF285" i="23"/>
  <c r="N285" i="23"/>
  <c r="AF66" i="23"/>
  <c r="V66" i="23"/>
  <c r="AF311" i="23"/>
  <c r="N311" i="23"/>
  <c r="AF303" i="23"/>
  <c r="N303" i="23"/>
  <c r="J617" i="23"/>
  <c r="AF617" i="23"/>
  <c r="AF386" i="23"/>
  <c r="N386" i="23"/>
  <c r="AF276" i="23"/>
  <c r="N276" i="23"/>
  <c r="AF464" i="23"/>
  <c r="L464" i="23"/>
  <c r="N382" i="23"/>
  <c r="AF382" i="23"/>
  <c r="H585" i="23"/>
  <c r="J585" i="23"/>
  <c r="AF585" i="23"/>
  <c r="AF486" i="23"/>
  <c r="J486" i="23"/>
  <c r="AF333" i="23"/>
  <c r="N333" i="23"/>
  <c r="AF293" i="23"/>
  <c r="N293" i="23"/>
  <c r="AF500" i="23"/>
  <c r="X500" i="23"/>
  <c r="AF322" i="23"/>
  <c r="N322" i="23"/>
  <c r="AF477" i="23"/>
  <c r="J477" i="23"/>
  <c r="T437" i="23"/>
  <c r="AF437" i="23"/>
  <c r="AF267" i="23"/>
  <c r="N267" i="23"/>
  <c r="AF115" i="23"/>
  <c r="P115" i="23"/>
  <c r="AF506" i="23"/>
  <c r="X506" i="23"/>
  <c r="AF415" i="23"/>
  <c r="R415" i="23"/>
  <c r="AF307" i="23"/>
  <c r="N307" i="23"/>
  <c r="AF458" i="23"/>
  <c r="J458" i="23"/>
  <c r="AF119" i="23"/>
  <c r="P119" i="23"/>
  <c r="AF485" i="23"/>
  <c r="J485" i="23"/>
  <c r="AF318" i="23"/>
  <c r="N318" i="23"/>
  <c r="AF304" i="23"/>
  <c r="N304" i="23"/>
  <c r="AF309" i="23"/>
  <c r="N309" i="23"/>
  <c r="AF56" i="23"/>
  <c r="T56" i="23"/>
  <c r="H546" i="23"/>
  <c r="AF546" i="23"/>
  <c r="AF405" i="23"/>
  <c r="R405" i="23"/>
  <c r="H587" i="23"/>
  <c r="AF587" i="23"/>
  <c r="J587" i="23"/>
  <c r="J619" i="23"/>
  <c r="AF619" i="23"/>
  <c r="AF142" i="23"/>
  <c r="R142" i="23"/>
  <c r="AF301" i="23"/>
  <c r="N301" i="23"/>
  <c r="AF194" i="23"/>
  <c r="V194" i="23"/>
  <c r="J582" i="23"/>
  <c r="AF582" i="23"/>
  <c r="H582" i="23"/>
  <c r="AF141" i="23"/>
  <c r="R141" i="23"/>
  <c r="R252" i="23"/>
  <c r="J252" i="23"/>
  <c r="AF252" i="23"/>
  <c r="R546" i="23"/>
  <c r="V547" i="23"/>
  <c r="X539" i="23"/>
  <c r="P373" i="23"/>
  <c r="AB134" i="23"/>
  <c r="AD33" i="23"/>
  <c r="R201" i="23"/>
  <c r="J548" i="23"/>
  <c r="T252" i="23"/>
  <c r="N252" i="23"/>
  <c r="Z252" i="23"/>
  <c r="H252" i="23"/>
  <c r="P252" i="23"/>
  <c r="V252" i="23"/>
  <c r="AD252" i="23"/>
  <c r="L252" i="23"/>
  <c r="AB252" i="23"/>
  <c r="X252" i="23"/>
  <c r="N502" i="23"/>
  <c r="H457" i="23"/>
  <c r="Z549" i="23"/>
  <c r="X374" i="23"/>
  <c r="Z377" i="23"/>
  <c r="I349" i="2"/>
  <c r="F351" i="23" s="1"/>
  <c r="E351" i="23"/>
  <c r="I341" i="2"/>
  <c r="F343" i="23" s="1"/>
  <c r="E343" i="23"/>
  <c r="AD376" i="23"/>
  <c r="R395" i="23"/>
  <c r="I344" i="2"/>
  <c r="F346" i="23" s="1"/>
  <c r="E346" i="23"/>
  <c r="I354" i="2"/>
  <c r="F356" i="23" s="1"/>
  <c r="E356" i="23"/>
  <c r="I339" i="2"/>
  <c r="F341" i="23" s="1"/>
  <c r="E341" i="23"/>
  <c r="I342" i="2"/>
  <c r="F344" i="23" s="1"/>
  <c r="E344" i="23"/>
  <c r="I356" i="2"/>
  <c r="F358" i="23" s="1"/>
  <c r="E358" i="23"/>
  <c r="I347" i="2"/>
  <c r="F349" i="23" s="1"/>
  <c r="E349" i="23"/>
  <c r="I338" i="2"/>
  <c r="F340" i="23" s="1"/>
  <c r="E340" i="23"/>
  <c r="I345" i="2"/>
  <c r="F347" i="23" s="1"/>
  <c r="E347" i="23"/>
  <c r="I346" i="2"/>
  <c r="F348" i="23" s="1"/>
  <c r="E348" i="23"/>
  <c r="I348" i="2"/>
  <c r="F350" i="23" s="1"/>
  <c r="E350" i="23"/>
  <c r="I357" i="2"/>
  <c r="F359" i="23" s="1"/>
  <c r="E359" i="23"/>
  <c r="I343" i="2"/>
  <c r="F345" i="23" s="1"/>
  <c r="E345" i="23"/>
  <c r="I355" i="2"/>
  <c r="F357" i="23" s="1"/>
  <c r="E357" i="23"/>
  <c r="I340" i="2"/>
  <c r="F342" i="23" s="1"/>
  <c r="E342" i="23"/>
  <c r="I362" i="2"/>
  <c r="F364" i="23" s="1"/>
  <c r="E364" i="23"/>
  <c r="AD132" i="23"/>
  <c r="J377" i="23"/>
  <c r="V502" i="23"/>
  <c r="J132" i="23"/>
  <c r="L346" i="23"/>
  <c r="T132" i="23"/>
  <c r="L348" i="2"/>
  <c r="X540" i="23"/>
  <c r="X541" i="23" s="1"/>
  <c r="P607" i="23"/>
  <c r="J607" i="23"/>
  <c r="Z127" i="23"/>
  <c r="X127" i="23"/>
  <c r="Z540" i="23"/>
  <c r="T127" i="23"/>
  <c r="T540" i="23"/>
  <c r="R374" i="23"/>
  <c r="X280" i="23"/>
  <c r="AD280" i="23"/>
  <c r="AB280" i="23"/>
  <c r="Z280" i="23"/>
  <c r="P280" i="23"/>
  <c r="L280" i="23"/>
  <c r="J280" i="23"/>
  <c r="H280" i="23"/>
  <c r="T280" i="23"/>
  <c r="V280" i="23"/>
  <c r="R280" i="23"/>
  <c r="L362" i="2"/>
  <c r="J465" i="23"/>
  <c r="AB334" i="23"/>
  <c r="AD334" i="23"/>
  <c r="H334" i="23"/>
  <c r="J334" i="23"/>
  <c r="R334" i="23"/>
  <c r="P334" i="23"/>
  <c r="V334" i="23"/>
  <c r="X334" i="23"/>
  <c r="L334" i="23"/>
  <c r="T334" i="23"/>
  <c r="Z334" i="23"/>
  <c r="AD335" i="23"/>
  <c r="R335" i="23"/>
  <c r="H335" i="23"/>
  <c r="V335" i="23"/>
  <c r="P335" i="23"/>
  <c r="T335" i="23"/>
  <c r="J335" i="23"/>
  <c r="L335" i="23"/>
  <c r="X335" i="23"/>
  <c r="Z335" i="23"/>
  <c r="AB335" i="23"/>
  <c r="L356" i="2"/>
  <c r="L343" i="2"/>
  <c r="Z332" i="23"/>
  <c r="R332" i="23"/>
  <c r="L332" i="23"/>
  <c r="AB332" i="23"/>
  <c r="H332" i="23"/>
  <c r="J332" i="23"/>
  <c r="V332" i="23"/>
  <c r="X332" i="23"/>
  <c r="AD332" i="23"/>
  <c r="P332" i="23"/>
  <c r="T332" i="23"/>
  <c r="P336" i="23"/>
  <c r="AD336" i="23"/>
  <c r="T336" i="23"/>
  <c r="J336" i="23"/>
  <c r="H336" i="23"/>
  <c r="R336" i="23"/>
  <c r="V336" i="23"/>
  <c r="X336" i="23"/>
  <c r="L336" i="23"/>
  <c r="AB336" i="23"/>
  <c r="Z336" i="23"/>
  <c r="V279" i="23"/>
  <c r="L279" i="23"/>
  <c r="J279" i="23"/>
  <c r="AD279" i="23"/>
  <c r="AB279" i="23"/>
  <c r="Z279" i="23"/>
  <c r="X279" i="23"/>
  <c r="P279" i="23"/>
  <c r="R279" i="23"/>
  <c r="T279" i="23"/>
  <c r="H279" i="23"/>
  <c r="R326" i="23"/>
  <c r="Z326" i="23"/>
  <c r="T326" i="23"/>
  <c r="J326" i="23"/>
  <c r="X326" i="23"/>
  <c r="H326" i="23"/>
  <c r="L326" i="23"/>
  <c r="V326" i="23"/>
  <c r="P326" i="23"/>
  <c r="AB326" i="23"/>
  <c r="AD326" i="23"/>
  <c r="Z333" i="23"/>
  <c r="H333" i="23"/>
  <c r="T333" i="23"/>
  <c r="V333" i="23"/>
  <c r="L333" i="23"/>
  <c r="J333" i="23"/>
  <c r="P333" i="23"/>
  <c r="X333" i="23"/>
  <c r="AB333" i="23"/>
  <c r="AD333" i="23"/>
  <c r="R333" i="23"/>
  <c r="T281" i="23"/>
  <c r="L281" i="23"/>
  <c r="Z281" i="23"/>
  <c r="AB281" i="23"/>
  <c r="J281" i="23"/>
  <c r="AD281" i="23"/>
  <c r="H281" i="23"/>
  <c r="X281" i="23"/>
  <c r="P281" i="23"/>
  <c r="V281" i="23"/>
  <c r="R281" i="23"/>
  <c r="T278" i="23"/>
  <c r="AB278" i="23"/>
  <c r="H278" i="23"/>
  <c r="Z278" i="23"/>
  <c r="X278" i="23"/>
  <c r="V278" i="23"/>
  <c r="P278" i="23"/>
  <c r="AD278" i="23"/>
  <c r="L278" i="23"/>
  <c r="J278" i="23"/>
  <c r="R278" i="23"/>
  <c r="L357" i="2"/>
  <c r="L355" i="2"/>
  <c r="P327" i="23"/>
  <c r="T327" i="23"/>
  <c r="AB327" i="23"/>
  <c r="H327" i="23"/>
  <c r="V327" i="23"/>
  <c r="L327" i="23"/>
  <c r="Z327" i="23"/>
  <c r="R327" i="23"/>
  <c r="AD327" i="23"/>
  <c r="J327" i="23"/>
  <c r="X327" i="23"/>
  <c r="AB33" i="23"/>
  <c r="H33" i="23"/>
  <c r="V377" i="23"/>
  <c r="AB377" i="23"/>
  <c r="T377" i="23"/>
  <c r="H134" i="23"/>
  <c r="H84" i="23"/>
  <c r="Z373" i="23"/>
  <c r="J544" i="23"/>
  <c r="AD544" i="23"/>
  <c r="AB84" i="23"/>
  <c r="R373" i="23"/>
  <c r="J84" i="23"/>
  <c r="T134" i="23"/>
  <c r="V465" i="23"/>
  <c r="L373" i="23"/>
  <c r="Z84" i="23"/>
  <c r="V134" i="23"/>
  <c r="AB465" i="23"/>
  <c r="T467" i="23"/>
  <c r="R134" i="23"/>
  <c r="N465" i="23"/>
  <c r="J467" i="23"/>
  <c r="Z467" i="23"/>
  <c r="Z134" i="23"/>
  <c r="AD134" i="23"/>
  <c r="AB467" i="23"/>
  <c r="N134" i="23"/>
  <c r="H467" i="23"/>
  <c r="X467" i="23"/>
  <c r="L134" i="23"/>
  <c r="N467" i="23"/>
  <c r="X134" i="23"/>
  <c r="P467" i="23"/>
  <c r="J134" i="23"/>
  <c r="V467" i="23"/>
  <c r="AD467" i="23"/>
  <c r="R377" i="23"/>
  <c r="T544" i="23"/>
  <c r="V33" i="23"/>
  <c r="AD377" i="23"/>
  <c r="P377" i="23"/>
  <c r="L502" i="23"/>
  <c r="H377" i="23"/>
  <c r="X377" i="23"/>
  <c r="N132" i="23"/>
  <c r="R502" i="23"/>
  <c r="L377" i="23"/>
  <c r="R544" i="23"/>
  <c r="R33" i="23"/>
  <c r="Z132" i="23"/>
  <c r="T374" i="23"/>
  <c r="P549" i="23"/>
  <c r="V133" i="23"/>
  <c r="N133" i="23"/>
  <c r="H201" i="23"/>
  <c r="L341" i="2"/>
  <c r="J545" i="23"/>
  <c r="AB539" i="23"/>
  <c r="H373" i="23"/>
  <c r="AD502" i="23"/>
  <c r="AD465" i="23"/>
  <c r="V544" i="23"/>
  <c r="AB544" i="23"/>
  <c r="X33" i="23"/>
  <c r="Z33" i="23"/>
  <c r="T373" i="23"/>
  <c r="X84" i="23"/>
  <c r="H132" i="23"/>
  <c r="R84" i="23"/>
  <c r="J502" i="23"/>
  <c r="Z465" i="23"/>
  <c r="P544" i="23"/>
  <c r="Z544" i="23"/>
  <c r="P33" i="23"/>
  <c r="N33" i="23"/>
  <c r="AB373" i="23"/>
  <c r="V84" i="23"/>
  <c r="AB132" i="23"/>
  <c r="AB135" i="23" s="1"/>
  <c r="X465" i="23"/>
  <c r="X373" i="23"/>
  <c r="AD84" i="23"/>
  <c r="P502" i="23"/>
  <c r="H465" i="23"/>
  <c r="T539" i="23"/>
  <c r="L544" i="23"/>
  <c r="AB545" i="23"/>
  <c r="L33" i="23"/>
  <c r="V373" i="23"/>
  <c r="AD373" i="23"/>
  <c r="L84" i="23"/>
  <c r="X132" i="23"/>
  <c r="R132" i="23"/>
  <c r="P465" i="23"/>
  <c r="AB502" i="23"/>
  <c r="T465" i="23"/>
  <c r="AD539" i="23"/>
  <c r="AH544" i="23"/>
  <c r="X544" i="23"/>
  <c r="J33" i="23"/>
  <c r="J373" i="23"/>
  <c r="N84" i="23"/>
  <c r="L132" i="23"/>
  <c r="X545" i="23"/>
  <c r="N544" i="23"/>
  <c r="P466" i="23"/>
  <c r="V548" i="23"/>
  <c r="AB548" i="23"/>
  <c r="L201" i="23"/>
  <c r="X201" i="23"/>
  <c r="N548" i="23"/>
  <c r="Z548" i="23"/>
  <c r="H466" i="23"/>
  <c r="J540" i="23"/>
  <c r="X607" i="23"/>
  <c r="J127" i="23"/>
  <c r="AD127" i="23"/>
  <c r="N201" i="23"/>
  <c r="J201" i="23"/>
  <c r="X548" i="23"/>
  <c r="N466" i="23"/>
  <c r="V540" i="23"/>
  <c r="R540" i="23"/>
  <c r="AD607" i="23"/>
  <c r="V127" i="23"/>
  <c r="T201" i="23"/>
  <c r="Z201" i="23"/>
  <c r="AH548" i="23"/>
  <c r="T548" i="23"/>
  <c r="Z466" i="23"/>
  <c r="N540" i="23"/>
  <c r="AD348" i="23"/>
  <c r="V607" i="23"/>
  <c r="R607" i="23"/>
  <c r="N127" i="23"/>
  <c r="AB201" i="23"/>
  <c r="R548" i="23"/>
  <c r="V466" i="23"/>
  <c r="J466" i="23"/>
  <c r="P540" i="23"/>
  <c r="L540" i="23"/>
  <c r="T607" i="23"/>
  <c r="AB607" i="23"/>
  <c r="AB127" i="23"/>
  <c r="AD201" i="23"/>
  <c r="L548" i="23"/>
  <c r="R466" i="23"/>
  <c r="X466" i="23"/>
  <c r="AB540" i="23"/>
  <c r="AD540" i="23"/>
  <c r="N607" i="23"/>
  <c r="Z607" i="23"/>
  <c r="J376" i="23"/>
  <c r="L127" i="23"/>
  <c r="AD548" i="23"/>
  <c r="AB466" i="23"/>
  <c r="T466" i="23"/>
  <c r="L546" i="23"/>
  <c r="P201" i="23"/>
  <c r="P548" i="23"/>
  <c r="N395" i="23"/>
  <c r="AH540" i="23"/>
  <c r="AD546" i="23"/>
  <c r="H127" i="23"/>
  <c r="AD395" i="23"/>
  <c r="T546" i="23"/>
  <c r="J546" i="23"/>
  <c r="L376" i="23"/>
  <c r="P395" i="23"/>
  <c r="P546" i="23"/>
  <c r="P376" i="23"/>
  <c r="Z395" i="23"/>
  <c r="AB546" i="23"/>
  <c r="N546" i="23"/>
  <c r="T376" i="23"/>
  <c r="X376" i="23"/>
  <c r="J395" i="23"/>
  <c r="X546" i="23"/>
  <c r="V376" i="23"/>
  <c r="Z376" i="23"/>
  <c r="H395" i="23"/>
  <c r="AB395" i="23"/>
  <c r="V546" i="23"/>
  <c r="AB376" i="23"/>
  <c r="R376" i="23"/>
  <c r="V395" i="23"/>
  <c r="X395" i="23"/>
  <c r="Z546" i="23"/>
  <c r="H376" i="23"/>
  <c r="T395" i="23"/>
  <c r="AH546" i="23"/>
  <c r="N547" i="23"/>
  <c r="V539" i="23"/>
  <c r="R539" i="23"/>
  <c r="L342" i="2"/>
  <c r="H374" i="23"/>
  <c r="Z545" i="23"/>
  <c r="AH549" i="23"/>
  <c r="J549" i="23"/>
  <c r="H133" i="23"/>
  <c r="AH547" i="23"/>
  <c r="J547" i="23"/>
  <c r="N539" i="23"/>
  <c r="P374" i="23"/>
  <c r="P545" i="23"/>
  <c r="L549" i="23"/>
  <c r="N549" i="23"/>
  <c r="L133" i="23"/>
  <c r="R133" i="23"/>
  <c r="AB547" i="23"/>
  <c r="AB374" i="23"/>
  <c r="AB549" i="23"/>
  <c r="AD547" i="23"/>
  <c r="T547" i="23"/>
  <c r="L539" i="23"/>
  <c r="P539" i="23"/>
  <c r="Z374" i="23"/>
  <c r="AD374" i="23"/>
  <c r="L545" i="23"/>
  <c r="N545" i="23"/>
  <c r="AD549" i="23"/>
  <c r="J133" i="23"/>
  <c r="L547" i="23"/>
  <c r="X547" i="23"/>
  <c r="Z539" i="23"/>
  <c r="L374" i="23"/>
  <c r="V374" i="23"/>
  <c r="AD545" i="23"/>
  <c r="R545" i="23"/>
  <c r="R549" i="23"/>
  <c r="X549" i="23"/>
  <c r="AD133" i="23"/>
  <c r="Z547" i="23"/>
  <c r="R547" i="23"/>
  <c r="AH539" i="23"/>
  <c r="AF541" i="23"/>
  <c r="J374" i="23"/>
  <c r="AH545" i="23"/>
  <c r="T545" i="23"/>
  <c r="T549" i="23"/>
  <c r="V549" i="23"/>
  <c r="Z133" i="23"/>
  <c r="X133" i="23"/>
  <c r="P547" i="23"/>
  <c r="J539" i="23"/>
  <c r="V545" i="23"/>
  <c r="T133" i="23"/>
  <c r="AB345" i="23"/>
  <c r="X344" i="23"/>
  <c r="P344" i="23"/>
  <c r="R344" i="23"/>
  <c r="V344" i="23"/>
  <c r="T344" i="23"/>
  <c r="H344" i="23"/>
  <c r="L344" i="23"/>
  <c r="AB344" i="23"/>
  <c r="Z344" i="23"/>
  <c r="J344" i="23"/>
  <c r="AD344" i="23"/>
  <c r="AH344" i="23"/>
  <c r="X40" i="23"/>
  <c r="H40" i="23"/>
  <c r="J40" i="23"/>
  <c r="Z40" i="23"/>
  <c r="N40" i="23"/>
  <c r="AD40" i="23"/>
  <c r="V40" i="23"/>
  <c r="L40" i="23"/>
  <c r="P40" i="23"/>
  <c r="R40" i="23"/>
  <c r="AB40" i="23"/>
  <c r="Z48" i="23"/>
  <c r="AB48" i="23"/>
  <c r="X48" i="23"/>
  <c r="H48" i="23"/>
  <c r="R48" i="23"/>
  <c r="J48" i="23"/>
  <c r="V48" i="23"/>
  <c r="N48" i="23"/>
  <c r="AD48" i="23"/>
  <c r="L48" i="23"/>
  <c r="P48" i="23"/>
  <c r="V46" i="23"/>
  <c r="R46" i="23"/>
  <c r="N46" i="23"/>
  <c r="AD46" i="23"/>
  <c r="L46" i="23"/>
  <c r="X46" i="23"/>
  <c r="P46" i="23"/>
  <c r="J46" i="23"/>
  <c r="H46" i="23"/>
  <c r="Z46" i="23"/>
  <c r="AB46" i="23"/>
  <c r="AB41" i="23"/>
  <c r="X41" i="23"/>
  <c r="L41" i="23"/>
  <c r="N41" i="23"/>
  <c r="R41" i="23"/>
  <c r="P41" i="23"/>
  <c r="V41" i="23"/>
  <c r="J41" i="23"/>
  <c r="AD41" i="23"/>
  <c r="Z41" i="23"/>
  <c r="H41" i="23"/>
  <c r="X38" i="23"/>
  <c r="V38" i="23"/>
  <c r="N38" i="23"/>
  <c r="H38" i="23"/>
  <c r="J38" i="23"/>
  <c r="AD38" i="23"/>
  <c r="Z38" i="23"/>
  <c r="R38" i="23"/>
  <c r="L38" i="23"/>
  <c r="AB38" i="23"/>
  <c r="P38" i="23"/>
  <c r="R50" i="23"/>
  <c r="H50" i="23"/>
  <c r="P50" i="23"/>
  <c r="X50" i="23"/>
  <c r="L50" i="23"/>
  <c r="J50" i="23"/>
  <c r="AB50" i="23"/>
  <c r="V50" i="23"/>
  <c r="N50" i="23"/>
  <c r="Z50" i="23"/>
  <c r="AD50" i="23"/>
  <c r="AB45" i="23"/>
  <c r="H45" i="23"/>
  <c r="L45" i="23"/>
  <c r="AD45" i="23"/>
  <c r="N45" i="23"/>
  <c r="V45" i="23"/>
  <c r="P45" i="23"/>
  <c r="X45" i="23"/>
  <c r="R45" i="23"/>
  <c r="J45" i="23"/>
  <c r="Z45" i="23"/>
  <c r="V47" i="23"/>
  <c r="H47" i="23"/>
  <c r="X47" i="23"/>
  <c r="P47" i="23"/>
  <c r="J47" i="23"/>
  <c r="AD47" i="23"/>
  <c r="Z47" i="23"/>
  <c r="R47" i="23"/>
  <c r="L47" i="23"/>
  <c r="AB47" i="23"/>
  <c r="N47" i="23"/>
  <c r="Z49" i="23"/>
  <c r="V49" i="23"/>
  <c r="N49" i="23"/>
  <c r="X49" i="23"/>
  <c r="AB49" i="23"/>
  <c r="P49" i="23"/>
  <c r="L49" i="23"/>
  <c r="H49" i="23"/>
  <c r="J49" i="23"/>
  <c r="AD49" i="23"/>
  <c r="R49" i="23"/>
  <c r="Z39" i="23"/>
  <c r="V39" i="23"/>
  <c r="P39" i="23"/>
  <c r="J39" i="23"/>
  <c r="AB39" i="23"/>
  <c r="R39" i="23"/>
  <c r="H39" i="23"/>
  <c r="L39" i="23"/>
  <c r="AD39" i="23"/>
  <c r="X39" i="23"/>
  <c r="N39" i="23"/>
  <c r="V234" i="23"/>
  <c r="X234" i="23"/>
  <c r="Z234" i="23"/>
  <c r="N234" i="23"/>
  <c r="AD234" i="23"/>
  <c r="R234" i="23"/>
  <c r="H234" i="23"/>
  <c r="L234" i="23"/>
  <c r="AB234" i="23"/>
  <c r="P234" i="23"/>
  <c r="T234" i="23"/>
  <c r="Z235" i="23"/>
  <c r="L235" i="23"/>
  <c r="N235" i="23"/>
  <c r="AD235" i="23"/>
  <c r="V235" i="23"/>
  <c r="T235" i="23"/>
  <c r="H235" i="23"/>
  <c r="R235" i="23"/>
  <c r="X235" i="23"/>
  <c r="P235" i="23"/>
  <c r="AB235" i="23"/>
  <c r="Z267" i="23"/>
  <c r="AD267" i="23"/>
  <c r="V267" i="23"/>
  <c r="H267" i="23"/>
  <c r="J267" i="23"/>
  <c r="X267" i="23"/>
  <c r="L267" i="23"/>
  <c r="T267" i="23"/>
  <c r="P267" i="23"/>
  <c r="R267" i="23"/>
  <c r="AB267" i="23"/>
  <c r="Z143" i="23"/>
  <c r="P143" i="23"/>
  <c r="H143" i="23"/>
  <c r="J143" i="23"/>
  <c r="X143" i="23"/>
  <c r="L143" i="23"/>
  <c r="N143" i="23"/>
  <c r="AD143" i="23"/>
  <c r="AB143" i="23"/>
  <c r="T143" i="23"/>
  <c r="V143" i="23"/>
  <c r="V242" i="23"/>
  <c r="L242" i="23"/>
  <c r="X242" i="23"/>
  <c r="Z242" i="23"/>
  <c r="N242" i="23"/>
  <c r="P242" i="23"/>
  <c r="AD242" i="23"/>
  <c r="T242" i="23"/>
  <c r="R242" i="23"/>
  <c r="AB242" i="23"/>
  <c r="H242" i="23"/>
  <c r="AD119" i="23"/>
  <c r="N119" i="23"/>
  <c r="T119" i="23"/>
  <c r="R119" i="23"/>
  <c r="V119" i="23"/>
  <c r="X119" i="23"/>
  <c r="H119" i="23"/>
  <c r="L119" i="23"/>
  <c r="AB119" i="23"/>
  <c r="J119" i="23"/>
  <c r="Z119" i="23"/>
  <c r="R233" i="23"/>
  <c r="Z233" i="23"/>
  <c r="AD233" i="23"/>
  <c r="X233" i="23"/>
  <c r="P233" i="23"/>
  <c r="N233" i="23"/>
  <c r="L233" i="23"/>
  <c r="AB233" i="23"/>
  <c r="T233" i="23"/>
  <c r="V233" i="23"/>
  <c r="H233" i="23"/>
  <c r="V499" i="23"/>
  <c r="P499" i="23"/>
  <c r="AD499" i="23"/>
  <c r="R499" i="23"/>
  <c r="L499" i="23"/>
  <c r="N499" i="23"/>
  <c r="AB499" i="23"/>
  <c r="J499" i="23"/>
  <c r="R621" i="23"/>
  <c r="L621" i="23"/>
  <c r="AD621" i="23"/>
  <c r="AB621" i="23"/>
  <c r="N621" i="23"/>
  <c r="P621" i="23"/>
  <c r="T621" i="23"/>
  <c r="V621" i="23"/>
  <c r="H621" i="23"/>
  <c r="Z621" i="23"/>
  <c r="X621" i="23"/>
  <c r="R241" i="23"/>
  <c r="V241" i="23"/>
  <c r="H241" i="23"/>
  <c r="N241" i="23"/>
  <c r="X241" i="23"/>
  <c r="Z241" i="23"/>
  <c r="L241" i="23"/>
  <c r="AD241" i="23"/>
  <c r="T241" i="23"/>
  <c r="P241" i="23"/>
  <c r="AB241" i="23"/>
  <c r="AD236" i="23"/>
  <c r="H236" i="23"/>
  <c r="X236" i="23"/>
  <c r="T236" i="23"/>
  <c r="L236" i="23"/>
  <c r="AB236" i="23"/>
  <c r="Z236" i="23"/>
  <c r="P236" i="23"/>
  <c r="R236" i="23"/>
  <c r="V236" i="23"/>
  <c r="N236" i="23"/>
  <c r="V504" i="23"/>
  <c r="AB504" i="23"/>
  <c r="L504" i="23"/>
  <c r="P504" i="23"/>
  <c r="AD504" i="23"/>
  <c r="R504" i="23"/>
  <c r="N504" i="23"/>
  <c r="J504" i="23"/>
  <c r="V416" i="23"/>
  <c r="L416" i="23"/>
  <c r="H416" i="23"/>
  <c r="Z416" i="23"/>
  <c r="P416" i="23"/>
  <c r="T416" i="23"/>
  <c r="X416" i="23"/>
  <c r="AB416" i="23"/>
  <c r="N416" i="23"/>
  <c r="AD416" i="23"/>
  <c r="J416" i="23"/>
  <c r="X117" i="23"/>
  <c r="J117" i="23"/>
  <c r="L117" i="23"/>
  <c r="V117" i="23"/>
  <c r="T117" i="23"/>
  <c r="H117" i="23"/>
  <c r="Z117" i="23"/>
  <c r="N117" i="23"/>
  <c r="AB117" i="23"/>
  <c r="AD117" i="23"/>
  <c r="R117" i="23"/>
  <c r="AD240" i="23"/>
  <c r="H240" i="23"/>
  <c r="T240" i="23"/>
  <c r="X240" i="23"/>
  <c r="P240" i="23"/>
  <c r="L240" i="23"/>
  <c r="V240" i="23"/>
  <c r="AB240" i="23"/>
  <c r="R240" i="23"/>
  <c r="N240" i="23"/>
  <c r="Z240" i="23"/>
  <c r="V384" i="23"/>
  <c r="H384" i="23"/>
  <c r="AD384" i="23"/>
  <c r="T384" i="23"/>
  <c r="X384" i="23"/>
  <c r="J384" i="23"/>
  <c r="Z384" i="23"/>
  <c r="AB384" i="23"/>
  <c r="L384" i="23"/>
  <c r="R384" i="23"/>
  <c r="P384" i="23"/>
  <c r="H412" i="23"/>
  <c r="J412" i="23"/>
  <c r="N412" i="23"/>
  <c r="X412" i="23"/>
  <c r="Z412" i="23"/>
  <c r="AD412" i="23"/>
  <c r="L412" i="23"/>
  <c r="P412" i="23"/>
  <c r="V412" i="23"/>
  <c r="AB412" i="23"/>
  <c r="T412" i="23"/>
  <c r="AD102" i="23"/>
  <c r="N102" i="23"/>
  <c r="R102" i="23"/>
  <c r="L102" i="23"/>
  <c r="AB102" i="23"/>
  <c r="T102" i="23"/>
  <c r="V102" i="23"/>
  <c r="Z102" i="23"/>
  <c r="H102" i="23"/>
  <c r="J102" i="23"/>
  <c r="X102" i="23"/>
  <c r="R245" i="23"/>
  <c r="Z245" i="23"/>
  <c r="AD245" i="23"/>
  <c r="H245" i="23"/>
  <c r="L245" i="23"/>
  <c r="P245" i="23"/>
  <c r="N245" i="23"/>
  <c r="X245" i="23"/>
  <c r="T245" i="23"/>
  <c r="V245" i="23"/>
  <c r="AB245" i="23"/>
  <c r="R387" i="23"/>
  <c r="V387" i="23"/>
  <c r="X387" i="23"/>
  <c r="L387" i="23"/>
  <c r="P387" i="23"/>
  <c r="AD387" i="23"/>
  <c r="J387" i="23"/>
  <c r="Z387" i="23"/>
  <c r="T387" i="23"/>
  <c r="AB387" i="23"/>
  <c r="H387" i="23"/>
  <c r="V246" i="23"/>
  <c r="L246" i="23"/>
  <c r="AB246" i="23"/>
  <c r="Z246" i="23"/>
  <c r="N246" i="23"/>
  <c r="R246" i="23"/>
  <c r="T246" i="23"/>
  <c r="X246" i="23"/>
  <c r="H246" i="23"/>
  <c r="P246" i="23"/>
  <c r="AD246" i="23"/>
  <c r="AD382" i="23"/>
  <c r="P382" i="23"/>
  <c r="T382" i="23"/>
  <c r="H382" i="23"/>
  <c r="V382" i="23"/>
  <c r="J382" i="23"/>
  <c r="Z382" i="23"/>
  <c r="L382" i="23"/>
  <c r="X382" i="23"/>
  <c r="AB382" i="23"/>
  <c r="R382" i="23"/>
  <c r="V494" i="23"/>
  <c r="R494" i="23"/>
  <c r="N494" i="23"/>
  <c r="AB494" i="23"/>
  <c r="J494" i="23"/>
  <c r="P494" i="23"/>
  <c r="AD494" i="23"/>
  <c r="L494" i="23"/>
  <c r="V417" i="23"/>
  <c r="X417" i="23"/>
  <c r="N417" i="23"/>
  <c r="T417" i="23"/>
  <c r="J417" i="23"/>
  <c r="L417" i="23"/>
  <c r="AD417" i="23"/>
  <c r="P417" i="23"/>
  <c r="AB417" i="23"/>
  <c r="Z417" i="23"/>
  <c r="H417" i="23"/>
  <c r="AD415" i="23"/>
  <c r="N415" i="23"/>
  <c r="J415" i="23"/>
  <c r="P415" i="23"/>
  <c r="AB415" i="23"/>
  <c r="Z415" i="23"/>
  <c r="L415" i="23"/>
  <c r="T415" i="23"/>
  <c r="H415" i="23"/>
  <c r="V415" i="23"/>
  <c r="X415" i="23"/>
  <c r="Z115" i="23"/>
  <c r="T115" i="23"/>
  <c r="L115" i="23"/>
  <c r="AD115" i="23"/>
  <c r="AB115" i="23"/>
  <c r="R115" i="23"/>
  <c r="J115" i="23"/>
  <c r="X115" i="23"/>
  <c r="V115" i="23"/>
  <c r="H115" i="23"/>
  <c r="N115" i="23"/>
  <c r="Z243" i="23"/>
  <c r="AB243" i="23"/>
  <c r="L243" i="23"/>
  <c r="R243" i="23"/>
  <c r="V243" i="23"/>
  <c r="AD243" i="23"/>
  <c r="N243" i="23"/>
  <c r="P243" i="23"/>
  <c r="X243" i="23"/>
  <c r="T243" i="23"/>
  <c r="H243" i="23"/>
  <c r="Z385" i="23"/>
  <c r="H385" i="23"/>
  <c r="V385" i="23"/>
  <c r="T385" i="23"/>
  <c r="L385" i="23"/>
  <c r="R385" i="23"/>
  <c r="J385" i="23"/>
  <c r="P385" i="23"/>
  <c r="AD385" i="23"/>
  <c r="X385" i="23"/>
  <c r="AB385" i="23"/>
  <c r="V505" i="23"/>
  <c r="N505" i="23"/>
  <c r="AD505" i="23"/>
  <c r="R505" i="23"/>
  <c r="J505" i="23"/>
  <c r="L505" i="23"/>
  <c r="AB505" i="23"/>
  <c r="P505" i="23"/>
  <c r="AD162" i="23"/>
  <c r="N162" i="23"/>
  <c r="Z162" i="23"/>
  <c r="T162" i="23"/>
  <c r="J162" i="23"/>
  <c r="V162" i="23"/>
  <c r="P162" i="23"/>
  <c r="L162" i="23"/>
  <c r="AB162" i="23"/>
  <c r="X162" i="23"/>
  <c r="H162" i="23"/>
  <c r="V506" i="23"/>
  <c r="J506" i="23"/>
  <c r="N506" i="23"/>
  <c r="P506" i="23"/>
  <c r="AD506" i="23"/>
  <c r="R506" i="23"/>
  <c r="L506" i="23"/>
  <c r="AB506" i="23"/>
  <c r="V413" i="23"/>
  <c r="X413" i="23"/>
  <c r="P413" i="23"/>
  <c r="H413" i="23"/>
  <c r="L413" i="23"/>
  <c r="N413" i="23"/>
  <c r="J413" i="23"/>
  <c r="AB413" i="23"/>
  <c r="AD413" i="23"/>
  <c r="T413" i="23"/>
  <c r="Z413" i="23"/>
  <c r="V500" i="23"/>
  <c r="J500" i="23"/>
  <c r="P500" i="23"/>
  <c r="N500" i="23"/>
  <c r="AD500" i="23"/>
  <c r="R500" i="23"/>
  <c r="L500" i="23"/>
  <c r="AB500" i="23"/>
  <c r="V270" i="23"/>
  <c r="AB270" i="23"/>
  <c r="AD270" i="23"/>
  <c r="P270" i="23"/>
  <c r="J270" i="23"/>
  <c r="X270" i="23"/>
  <c r="R270" i="23"/>
  <c r="T270" i="23"/>
  <c r="H270" i="23"/>
  <c r="Z270" i="23"/>
  <c r="L270" i="23"/>
  <c r="Z381" i="23"/>
  <c r="J381" i="23"/>
  <c r="X381" i="23"/>
  <c r="AB381" i="23"/>
  <c r="R381" i="23"/>
  <c r="T381" i="23"/>
  <c r="H381" i="23"/>
  <c r="P381" i="23"/>
  <c r="AD381" i="23"/>
  <c r="L381" i="23"/>
  <c r="V381" i="23"/>
  <c r="V495" i="23"/>
  <c r="L495" i="23"/>
  <c r="R495" i="23"/>
  <c r="N495" i="23"/>
  <c r="J495" i="23"/>
  <c r="AB495" i="23"/>
  <c r="P495" i="23"/>
  <c r="AD495" i="23"/>
  <c r="AD386" i="23"/>
  <c r="H386" i="23"/>
  <c r="X386" i="23"/>
  <c r="Z386" i="23"/>
  <c r="L386" i="23"/>
  <c r="V386" i="23"/>
  <c r="J386" i="23"/>
  <c r="R386" i="23"/>
  <c r="P386" i="23"/>
  <c r="T386" i="23"/>
  <c r="AB386" i="23"/>
  <c r="AD418" i="23"/>
  <c r="T418" i="23"/>
  <c r="V418" i="23"/>
  <c r="L418" i="23"/>
  <c r="J418" i="23"/>
  <c r="AB418" i="23"/>
  <c r="H418" i="23"/>
  <c r="Z418" i="23"/>
  <c r="P418" i="23"/>
  <c r="X418" i="23"/>
  <c r="N418" i="23"/>
  <c r="R269" i="23"/>
  <c r="H269" i="23"/>
  <c r="J269" i="23"/>
  <c r="V269" i="23"/>
  <c r="L269" i="23"/>
  <c r="AB269" i="23"/>
  <c r="Z269" i="23"/>
  <c r="X269" i="23"/>
  <c r="AD269" i="23"/>
  <c r="P269" i="23"/>
  <c r="T269" i="23"/>
  <c r="R575" i="23"/>
  <c r="N575" i="23"/>
  <c r="V575" i="23"/>
  <c r="P575" i="23"/>
  <c r="AB575" i="23"/>
  <c r="X575" i="23"/>
  <c r="L575" i="23"/>
  <c r="T575" i="23"/>
  <c r="Z575" i="23"/>
  <c r="AD575" i="23"/>
  <c r="J575" i="23"/>
  <c r="R383" i="23"/>
  <c r="P383" i="23"/>
  <c r="V383" i="23"/>
  <c r="AD383" i="23"/>
  <c r="X383" i="23"/>
  <c r="L383" i="23"/>
  <c r="Z383" i="23"/>
  <c r="H383" i="23"/>
  <c r="AB383" i="23"/>
  <c r="T383" i="23"/>
  <c r="J383" i="23"/>
  <c r="V503" i="23"/>
  <c r="L503" i="23"/>
  <c r="P503" i="23"/>
  <c r="AD503" i="23"/>
  <c r="J503" i="23"/>
  <c r="N503" i="23"/>
  <c r="R503" i="23"/>
  <c r="AB503" i="23"/>
  <c r="V501" i="23"/>
  <c r="J501" i="23"/>
  <c r="AB501" i="23"/>
  <c r="P501" i="23"/>
  <c r="R501" i="23"/>
  <c r="AD501" i="23"/>
  <c r="N501" i="23"/>
  <c r="L501" i="23"/>
  <c r="AD244" i="23"/>
  <c r="H244" i="23"/>
  <c r="R244" i="23"/>
  <c r="N244" i="23"/>
  <c r="P244" i="23"/>
  <c r="AB244" i="23"/>
  <c r="Z244" i="23"/>
  <c r="X244" i="23"/>
  <c r="T244" i="23"/>
  <c r="L244" i="23"/>
  <c r="V244" i="23"/>
  <c r="AD419" i="23"/>
  <c r="X419" i="23"/>
  <c r="P419" i="23"/>
  <c r="Z419" i="23"/>
  <c r="AB419" i="23"/>
  <c r="V419" i="23"/>
  <c r="N419" i="23"/>
  <c r="T419" i="23"/>
  <c r="L419" i="23"/>
  <c r="H419" i="23"/>
  <c r="J419" i="23"/>
  <c r="Z247" i="23"/>
  <c r="L247" i="23"/>
  <c r="P247" i="23"/>
  <c r="N247" i="23"/>
  <c r="H247" i="23"/>
  <c r="R247" i="23"/>
  <c r="X247" i="23"/>
  <c r="AB247" i="23"/>
  <c r="V247" i="23"/>
  <c r="AD247" i="23"/>
  <c r="T247" i="23"/>
  <c r="AD574" i="23"/>
  <c r="J574" i="23"/>
  <c r="X574" i="23"/>
  <c r="T574" i="23"/>
  <c r="N574" i="23"/>
  <c r="L574" i="23"/>
  <c r="P574" i="23"/>
  <c r="R574" i="23"/>
  <c r="AB574" i="23"/>
  <c r="Z574" i="23"/>
  <c r="V574" i="23"/>
  <c r="C134" i="19"/>
  <c r="E134" i="19" s="1"/>
  <c r="D134" i="19" s="1"/>
  <c r="G134" i="19" s="1"/>
  <c r="H134" i="19" s="1"/>
  <c r="AB428" i="23"/>
  <c r="AD428" i="23"/>
  <c r="R428" i="23"/>
  <c r="V428" i="23"/>
  <c r="H428" i="23"/>
  <c r="X428" i="23"/>
  <c r="P428" i="23"/>
  <c r="L428" i="23"/>
  <c r="N428" i="23"/>
  <c r="J428" i="23"/>
  <c r="Z428" i="23"/>
  <c r="T400" i="23"/>
  <c r="X400" i="23"/>
  <c r="AB400" i="23"/>
  <c r="P400" i="23"/>
  <c r="V400" i="23"/>
  <c r="H400" i="23"/>
  <c r="AD400" i="23"/>
  <c r="Z400" i="23"/>
  <c r="N400" i="23"/>
  <c r="J400" i="23"/>
  <c r="R400" i="23"/>
  <c r="X427" i="23"/>
  <c r="Z427" i="23"/>
  <c r="R427" i="23"/>
  <c r="P427" i="23"/>
  <c r="N427" i="23"/>
  <c r="L427" i="23"/>
  <c r="J427" i="23"/>
  <c r="AB427" i="23"/>
  <c r="AD427" i="23"/>
  <c r="H427" i="23"/>
  <c r="V427" i="23"/>
  <c r="P399" i="23"/>
  <c r="AD399" i="23"/>
  <c r="J399" i="23"/>
  <c r="R399" i="23"/>
  <c r="N399" i="23"/>
  <c r="T399" i="23"/>
  <c r="AB399" i="23"/>
  <c r="X399" i="23"/>
  <c r="H399" i="23"/>
  <c r="Z399" i="23"/>
  <c r="V399" i="23"/>
  <c r="AB275" i="23"/>
  <c r="R275" i="23"/>
  <c r="V275" i="23"/>
  <c r="Z275" i="23"/>
  <c r="P275" i="23"/>
  <c r="AD275" i="23"/>
  <c r="X275" i="23"/>
  <c r="L275" i="23"/>
  <c r="H275" i="23"/>
  <c r="T275" i="23"/>
  <c r="J275" i="23"/>
  <c r="L306" i="23"/>
  <c r="P306" i="23"/>
  <c r="R306" i="23"/>
  <c r="X306" i="23"/>
  <c r="J306" i="23"/>
  <c r="Z306" i="23"/>
  <c r="V306" i="23"/>
  <c r="T306" i="23"/>
  <c r="AD306" i="23"/>
  <c r="H306" i="23"/>
  <c r="AB306" i="23"/>
  <c r="V304" i="23"/>
  <c r="J304" i="23"/>
  <c r="AD304" i="23"/>
  <c r="T304" i="23"/>
  <c r="X304" i="23"/>
  <c r="H304" i="23"/>
  <c r="P304" i="23"/>
  <c r="AB304" i="23"/>
  <c r="R304" i="23"/>
  <c r="Z304" i="23"/>
  <c r="L304" i="23"/>
  <c r="X323" i="23"/>
  <c r="J323" i="23"/>
  <c r="AD323" i="23"/>
  <c r="AB323" i="23"/>
  <c r="H323" i="23"/>
  <c r="R323" i="23"/>
  <c r="Z323" i="23"/>
  <c r="T323" i="23"/>
  <c r="L323" i="23"/>
  <c r="V323" i="23"/>
  <c r="P323" i="23"/>
  <c r="X295" i="23"/>
  <c r="P295" i="23"/>
  <c r="J295" i="23"/>
  <c r="AB295" i="23"/>
  <c r="V295" i="23"/>
  <c r="R295" i="23"/>
  <c r="H295" i="23"/>
  <c r="Z295" i="23"/>
  <c r="T295" i="23"/>
  <c r="AD295" i="23"/>
  <c r="L295" i="23"/>
  <c r="Z307" i="23"/>
  <c r="V307" i="23"/>
  <c r="AD307" i="23"/>
  <c r="R307" i="23"/>
  <c r="T307" i="23"/>
  <c r="AB307" i="23"/>
  <c r="L307" i="23"/>
  <c r="X307" i="23"/>
  <c r="J307" i="23"/>
  <c r="H307" i="23"/>
  <c r="P307" i="23"/>
  <c r="H319" i="23"/>
  <c r="V319" i="23"/>
  <c r="Z319" i="23"/>
  <c r="AB319" i="23"/>
  <c r="AD319" i="23"/>
  <c r="P319" i="23"/>
  <c r="T319" i="23"/>
  <c r="X319" i="23"/>
  <c r="L319" i="23"/>
  <c r="J319" i="23"/>
  <c r="R319" i="23"/>
  <c r="V325" i="23"/>
  <c r="AD325" i="23"/>
  <c r="J325" i="23"/>
  <c r="X325" i="23"/>
  <c r="AB325" i="23"/>
  <c r="H325" i="23"/>
  <c r="Z325" i="23"/>
  <c r="R325" i="23"/>
  <c r="P325" i="23"/>
  <c r="T325" i="23"/>
  <c r="L325" i="23"/>
  <c r="Z298" i="23"/>
  <c r="T298" i="23"/>
  <c r="L298" i="23"/>
  <c r="V298" i="23"/>
  <c r="P298" i="23"/>
  <c r="AB298" i="23"/>
  <c r="R298" i="23"/>
  <c r="X298" i="23"/>
  <c r="J298" i="23"/>
  <c r="AD298" i="23"/>
  <c r="H298" i="23"/>
  <c r="J311" i="23"/>
  <c r="L311" i="23"/>
  <c r="X311" i="23"/>
  <c r="AD311" i="23"/>
  <c r="R311" i="23"/>
  <c r="H311" i="23"/>
  <c r="AB311" i="23"/>
  <c r="P311" i="23"/>
  <c r="T311" i="23"/>
  <c r="V311" i="23"/>
  <c r="Z311" i="23"/>
  <c r="T299" i="23"/>
  <c r="R299" i="23"/>
  <c r="P299" i="23"/>
  <c r="AD299" i="23"/>
  <c r="X299" i="23"/>
  <c r="V299" i="23"/>
  <c r="AB299" i="23"/>
  <c r="J299" i="23"/>
  <c r="L299" i="23"/>
  <c r="H299" i="23"/>
  <c r="Z299" i="23"/>
  <c r="T318" i="23"/>
  <c r="J318" i="23"/>
  <c r="AD318" i="23"/>
  <c r="R318" i="23"/>
  <c r="AB318" i="23"/>
  <c r="H318" i="23"/>
  <c r="L318" i="23"/>
  <c r="P318" i="23"/>
  <c r="Z318" i="23"/>
  <c r="V318" i="23"/>
  <c r="X318" i="23"/>
  <c r="AD296" i="23"/>
  <c r="X296" i="23"/>
  <c r="T296" i="23"/>
  <c r="Z296" i="23"/>
  <c r="L296" i="23"/>
  <c r="AB296" i="23"/>
  <c r="P296" i="23"/>
  <c r="J296" i="23"/>
  <c r="H296" i="23"/>
  <c r="V296" i="23"/>
  <c r="R296" i="23"/>
  <c r="L309" i="23"/>
  <c r="Z309" i="23"/>
  <c r="H309" i="23"/>
  <c r="T309" i="23"/>
  <c r="J309" i="23"/>
  <c r="AD309" i="23"/>
  <c r="R309" i="23"/>
  <c r="P309" i="23"/>
  <c r="AB309" i="23"/>
  <c r="V309" i="23"/>
  <c r="X309" i="23"/>
  <c r="R274" i="23"/>
  <c r="L274" i="23"/>
  <c r="V274" i="23"/>
  <c r="Z274" i="23"/>
  <c r="P274" i="23"/>
  <c r="AB274" i="23"/>
  <c r="H274" i="23"/>
  <c r="AD274" i="23"/>
  <c r="X274" i="23"/>
  <c r="T274" i="23"/>
  <c r="J274" i="23"/>
  <c r="P308" i="23"/>
  <c r="H308" i="23"/>
  <c r="AD308" i="23"/>
  <c r="T308" i="23"/>
  <c r="X308" i="23"/>
  <c r="Z308" i="23"/>
  <c r="V308" i="23"/>
  <c r="AB308" i="23"/>
  <c r="R308" i="23"/>
  <c r="J308" i="23"/>
  <c r="L308" i="23"/>
  <c r="R300" i="23"/>
  <c r="H300" i="23"/>
  <c r="X300" i="23"/>
  <c r="V300" i="23"/>
  <c r="P300" i="23"/>
  <c r="T300" i="23"/>
  <c r="J300" i="23"/>
  <c r="AB300" i="23"/>
  <c r="L300" i="23"/>
  <c r="AD300" i="23"/>
  <c r="Z300" i="23"/>
  <c r="AD303" i="23"/>
  <c r="L303" i="23"/>
  <c r="P303" i="23"/>
  <c r="Z303" i="23"/>
  <c r="H303" i="23"/>
  <c r="J303" i="23"/>
  <c r="X303" i="23"/>
  <c r="AB303" i="23"/>
  <c r="V303" i="23"/>
  <c r="R303" i="23"/>
  <c r="T303" i="23"/>
  <c r="X286" i="23"/>
  <c r="Z286" i="23"/>
  <c r="R286" i="23"/>
  <c r="V286" i="23"/>
  <c r="H286" i="23"/>
  <c r="L286" i="23"/>
  <c r="T286" i="23"/>
  <c r="AD286" i="23"/>
  <c r="AB286" i="23"/>
  <c r="P286" i="23"/>
  <c r="J286" i="23"/>
  <c r="P313" i="23"/>
  <c r="AB313" i="23"/>
  <c r="T313" i="23"/>
  <c r="L313" i="23"/>
  <c r="X313" i="23"/>
  <c r="V313" i="23"/>
  <c r="R313" i="23"/>
  <c r="J313" i="23"/>
  <c r="AD313" i="23"/>
  <c r="Z313" i="23"/>
  <c r="H313" i="23"/>
  <c r="V294" i="23"/>
  <c r="AB294" i="23"/>
  <c r="R294" i="23"/>
  <c r="T294" i="23"/>
  <c r="X294" i="23"/>
  <c r="L294" i="23"/>
  <c r="H294" i="23"/>
  <c r="J294" i="23"/>
  <c r="AD294" i="23"/>
  <c r="Z294" i="23"/>
  <c r="P294" i="23"/>
  <c r="J310" i="23"/>
  <c r="X310" i="23"/>
  <c r="R310" i="23"/>
  <c r="V310" i="23"/>
  <c r="P310" i="23"/>
  <c r="L310" i="23"/>
  <c r="T310" i="23"/>
  <c r="H310" i="23"/>
  <c r="AD310" i="23"/>
  <c r="AB310" i="23"/>
  <c r="Z310" i="23"/>
  <c r="L284" i="23"/>
  <c r="Z284" i="23"/>
  <c r="X284" i="23"/>
  <c r="AB284" i="23"/>
  <c r="R284" i="23"/>
  <c r="V284" i="23"/>
  <c r="T284" i="23"/>
  <c r="AD284" i="23"/>
  <c r="P284" i="23"/>
  <c r="H284" i="23"/>
  <c r="J284" i="23"/>
  <c r="T322" i="23"/>
  <c r="V322" i="23"/>
  <c r="J322" i="23"/>
  <c r="L322" i="23"/>
  <c r="R322" i="23"/>
  <c r="P322" i="23"/>
  <c r="H322" i="23"/>
  <c r="AB322" i="23"/>
  <c r="AD322" i="23"/>
  <c r="X322" i="23"/>
  <c r="Z322" i="23"/>
  <c r="Z276" i="23"/>
  <c r="P276" i="23"/>
  <c r="AD276" i="23"/>
  <c r="X276" i="23"/>
  <c r="H276" i="23"/>
  <c r="R276" i="23"/>
  <c r="AB276" i="23"/>
  <c r="T276" i="23"/>
  <c r="L276" i="23"/>
  <c r="V276" i="23"/>
  <c r="J276" i="23"/>
  <c r="R316" i="23"/>
  <c r="V316" i="23"/>
  <c r="H316" i="23"/>
  <c r="Z316" i="23"/>
  <c r="P316" i="23"/>
  <c r="AD316" i="23"/>
  <c r="J316" i="23"/>
  <c r="AB316" i="23"/>
  <c r="T316" i="23"/>
  <c r="L316" i="23"/>
  <c r="X316" i="23"/>
  <c r="X301" i="23"/>
  <c r="V301" i="23"/>
  <c r="P301" i="23"/>
  <c r="R301" i="23"/>
  <c r="AD301" i="23"/>
  <c r="Z301" i="23"/>
  <c r="J301" i="23"/>
  <c r="L301" i="23"/>
  <c r="H301" i="23"/>
  <c r="AB301" i="23"/>
  <c r="T301" i="23"/>
  <c r="AD297" i="23"/>
  <c r="Z297" i="23"/>
  <c r="X297" i="23"/>
  <c r="J297" i="23"/>
  <c r="L297" i="23"/>
  <c r="P297" i="23"/>
  <c r="H297" i="23"/>
  <c r="V297" i="23"/>
  <c r="R297" i="23"/>
  <c r="T297" i="23"/>
  <c r="AB297" i="23"/>
  <c r="P315" i="23"/>
  <c r="H315" i="23"/>
  <c r="AD315" i="23"/>
  <c r="X315" i="23"/>
  <c r="T315" i="23"/>
  <c r="J315" i="23"/>
  <c r="AB315" i="23"/>
  <c r="V315" i="23"/>
  <c r="Z315" i="23"/>
  <c r="R315" i="23"/>
  <c r="L315" i="23"/>
  <c r="V320" i="23"/>
  <c r="R320" i="23"/>
  <c r="T320" i="23"/>
  <c r="X320" i="23"/>
  <c r="H320" i="23"/>
  <c r="L320" i="23"/>
  <c r="AD320" i="23"/>
  <c r="P320" i="23"/>
  <c r="AB320" i="23"/>
  <c r="Z320" i="23"/>
  <c r="J320" i="23"/>
  <c r="X302" i="23"/>
  <c r="Z302" i="23"/>
  <c r="AD302" i="23"/>
  <c r="L302" i="23"/>
  <c r="V302" i="23"/>
  <c r="P302" i="23"/>
  <c r="AB302" i="23"/>
  <c r="J302" i="23"/>
  <c r="T302" i="23"/>
  <c r="H302" i="23"/>
  <c r="R302" i="23"/>
  <c r="AB285" i="23"/>
  <c r="T285" i="23"/>
  <c r="Z285" i="23"/>
  <c r="AD285" i="23"/>
  <c r="R285" i="23"/>
  <c r="V285" i="23"/>
  <c r="H285" i="23"/>
  <c r="X285" i="23"/>
  <c r="L285" i="23"/>
  <c r="P285" i="23"/>
  <c r="J285" i="23"/>
  <c r="P277" i="23"/>
  <c r="AD277" i="23"/>
  <c r="AB277" i="23"/>
  <c r="T277" i="23"/>
  <c r="R277" i="23"/>
  <c r="X277" i="23"/>
  <c r="Z277" i="23"/>
  <c r="H277" i="23"/>
  <c r="L277" i="23"/>
  <c r="V277" i="23"/>
  <c r="J277" i="23"/>
  <c r="J324" i="23"/>
  <c r="X324" i="23"/>
  <c r="H324" i="23"/>
  <c r="P324" i="23"/>
  <c r="V324" i="23"/>
  <c r="AB324" i="23"/>
  <c r="AD324" i="23"/>
  <c r="L324" i="23"/>
  <c r="T324" i="23"/>
  <c r="Z324" i="23"/>
  <c r="R324" i="23"/>
  <c r="AD317" i="23"/>
  <c r="J317" i="23"/>
  <c r="X317" i="23"/>
  <c r="T317" i="23"/>
  <c r="Z317" i="23"/>
  <c r="R317" i="23"/>
  <c r="L317" i="23"/>
  <c r="P317" i="23"/>
  <c r="V317" i="23"/>
  <c r="H317" i="23"/>
  <c r="AB317" i="23"/>
  <c r="H314" i="23"/>
  <c r="J314" i="23"/>
  <c r="L314" i="23"/>
  <c r="T314" i="23"/>
  <c r="AD314" i="23"/>
  <c r="P314" i="23"/>
  <c r="Z314" i="23"/>
  <c r="X314" i="23"/>
  <c r="R314" i="23"/>
  <c r="AB314" i="23"/>
  <c r="V314" i="23"/>
  <c r="R293" i="23"/>
  <c r="AD293" i="23"/>
  <c r="L293" i="23"/>
  <c r="P293" i="23"/>
  <c r="V293" i="23"/>
  <c r="Z293" i="23"/>
  <c r="T293" i="23"/>
  <c r="H293" i="23"/>
  <c r="J293" i="23"/>
  <c r="X293" i="23"/>
  <c r="AB293" i="23"/>
  <c r="P305" i="23"/>
  <c r="L305" i="23"/>
  <c r="H305" i="23"/>
  <c r="T305" i="23"/>
  <c r="Z305" i="23"/>
  <c r="AD305" i="23"/>
  <c r="V305" i="23"/>
  <c r="X305" i="23"/>
  <c r="AB305" i="23"/>
  <c r="R305" i="23"/>
  <c r="J305" i="23"/>
  <c r="C151" i="19"/>
  <c r="E151" i="19" s="1"/>
  <c r="D151" i="19" s="1"/>
  <c r="G151" i="19" s="1"/>
  <c r="H151" i="19" s="1"/>
  <c r="V18" i="23"/>
  <c r="T18" i="23"/>
  <c r="R18" i="23"/>
  <c r="P18" i="23"/>
  <c r="AD18" i="23"/>
  <c r="N18" i="23"/>
  <c r="X18" i="23"/>
  <c r="AB18" i="23"/>
  <c r="L18" i="23"/>
  <c r="Z18" i="23"/>
  <c r="J18" i="23"/>
  <c r="V16" i="23"/>
  <c r="T16" i="23"/>
  <c r="R16" i="23"/>
  <c r="P16" i="23"/>
  <c r="AD16" i="23"/>
  <c r="N16" i="23"/>
  <c r="AB16" i="23"/>
  <c r="L16" i="23"/>
  <c r="Z16" i="23"/>
  <c r="J16" i="23"/>
  <c r="X16" i="23"/>
  <c r="Z261" i="23"/>
  <c r="J261" i="23"/>
  <c r="X261" i="23"/>
  <c r="H261" i="23"/>
  <c r="V261" i="23"/>
  <c r="T261" i="23"/>
  <c r="R261" i="23"/>
  <c r="P261" i="23"/>
  <c r="AD261" i="23"/>
  <c r="AB261" i="23"/>
  <c r="L261" i="23"/>
  <c r="AD487" i="23"/>
  <c r="N487" i="23"/>
  <c r="AB487" i="23"/>
  <c r="L487" i="23"/>
  <c r="Z487" i="23"/>
  <c r="X487" i="23"/>
  <c r="V487" i="23"/>
  <c r="R487" i="23"/>
  <c r="P487" i="23"/>
  <c r="P629" i="23"/>
  <c r="AD629" i="23"/>
  <c r="N629" i="23"/>
  <c r="AB629" i="23"/>
  <c r="V629" i="23"/>
  <c r="T629" i="23"/>
  <c r="R629" i="23"/>
  <c r="Z629" i="23"/>
  <c r="X629" i="23"/>
  <c r="J629" i="23"/>
  <c r="H629" i="23"/>
  <c r="V56" i="23"/>
  <c r="H56" i="23"/>
  <c r="R56" i="23"/>
  <c r="P56" i="23"/>
  <c r="AD56" i="23"/>
  <c r="N56" i="23"/>
  <c r="X56" i="23"/>
  <c r="AB56" i="23"/>
  <c r="L56" i="23"/>
  <c r="Z56" i="23"/>
  <c r="J56" i="23"/>
  <c r="V15" i="23"/>
  <c r="T15" i="23"/>
  <c r="X15" i="23"/>
  <c r="R15" i="23"/>
  <c r="P15" i="23"/>
  <c r="AD15" i="23"/>
  <c r="N15" i="23"/>
  <c r="AB15" i="23"/>
  <c r="L15" i="23"/>
  <c r="Z15" i="23"/>
  <c r="J15" i="23"/>
  <c r="AD573" i="23"/>
  <c r="N573" i="23"/>
  <c r="Z573" i="23"/>
  <c r="J573" i="23"/>
  <c r="X573" i="23"/>
  <c r="T573" i="23"/>
  <c r="R573" i="23"/>
  <c r="P573" i="23"/>
  <c r="AB573" i="23"/>
  <c r="V573" i="23"/>
  <c r="L573" i="23"/>
  <c r="V101" i="23"/>
  <c r="T101" i="23"/>
  <c r="R101" i="23"/>
  <c r="H101" i="23"/>
  <c r="AD101" i="23"/>
  <c r="N101" i="23"/>
  <c r="X101" i="23"/>
  <c r="AB101" i="23"/>
  <c r="L101" i="23"/>
  <c r="Z101" i="23"/>
  <c r="J101" i="23"/>
  <c r="P609" i="23"/>
  <c r="AD609" i="23"/>
  <c r="N609" i="23"/>
  <c r="AB609" i="23"/>
  <c r="L609" i="23"/>
  <c r="J609" i="23"/>
  <c r="V609" i="23"/>
  <c r="T609" i="23"/>
  <c r="Z609" i="23"/>
  <c r="R609" i="23"/>
  <c r="X609" i="23"/>
  <c r="P616" i="23"/>
  <c r="AD616" i="23"/>
  <c r="N616" i="23"/>
  <c r="AB616" i="23"/>
  <c r="L616" i="23"/>
  <c r="X616" i="23"/>
  <c r="V616" i="23"/>
  <c r="T616" i="23"/>
  <c r="H616" i="23"/>
  <c r="Z616" i="23"/>
  <c r="R616" i="23"/>
  <c r="AD587" i="23"/>
  <c r="N587" i="23"/>
  <c r="Z587" i="23"/>
  <c r="X587" i="23"/>
  <c r="AB587" i="23"/>
  <c r="V587" i="23"/>
  <c r="T587" i="23"/>
  <c r="L587" i="23"/>
  <c r="R587" i="23"/>
  <c r="P587" i="23"/>
  <c r="P600" i="23"/>
  <c r="AD600" i="23"/>
  <c r="N600" i="23"/>
  <c r="AB600" i="23"/>
  <c r="L600" i="23"/>
  <c r="T600" i="23"/>
  <c r="R600" i="23"/>
  <c r="J600" i="23"/>
  <c r="X600" i="23"/>
  <c r="V600" i="23"/>
  <c r="Z600" i="23"/>
  <c r="AD583" i="23"/>
  <c r="N583" i="23"/>
  <c r="Z583" i="23"/>
  <c r="X583" i="23"/>
  <c r="L583" i="23"/>
  <c r="AB583" i="23"/>
  <c r="V583" i="23"/>
  <c r="T583" i="23"/>
  <c r="R583" i="23"/>
  <c r="P583" i="23"/>
  <c r="P601" i="23"/>
  <c r="AD601" i="23"/>
  <c r="N601" i="23"/>
  <c r="AB601" i="23"/>
  <c r="L601" i="23"/>
  <c r="V601" i="23"/>
  <c r="T601" i="23"/>
  <c r="R601" i="23"/>
  <c r="J601" i="23"/>
  <c r="Z601" i="23"/>
  <c r="X601" i="23"/>
  <c r="AD464" i="23"/>
  <c r="N464" i="23"/>
  <c r="AB464" i="23"/>
  <c r="Z464" i="23"/>
  <c r="J464" i="23"/>
  <c r="V464" i="23"/>
  <c r="T464" i="23"/>
  <c r="P464" i="23"/>
  <c r="H464" i="23"/>
  <c r="X464" i="23"/>
  <c r="R464" i="23"/>
  <c r="Z259" i="23"/>
  <c r="J259" i="23"/>
  <c r="X259" i="23"/>
  <c r="H259" i="23"/>
  <c r="V259" i="23"/>
  <c r="T259" i="23"/>
  <c r="R259" i="23"/>
  <c r="P259" i="23"/>
  <c r="AD259" i="23"/>
  <c r="AB259" i="23"/>
  <c r="L259" i="23"/>
  <c r="P615" i="23"/>
  <c r="AD615" i="23"/>
  <c r="N615" i="23"/>
  <c r="AB615" i="23"/>
  <c r="L615" i="23"/>
  <c r="V615" i="23"/>
  <c r="T615" i="23"/>
  <c r="R615" i="23"/>
  <c r="Z615" i="23"/>
  <c r="X615" i="23"/>
  <c r="H615" i="23"/>
  <c r="R153" i="23"/>
  <c r="P153" i="23"/>
  <c r="AD153" i="23"/>
  <c r="N153" i="23"/>
  <c r="AB153" i="23"/>
  <c r="L153" i="23"/>
  <c r="Z153" i="23"/>
  <c r="J153" i="23"/>
  <c r="V153" i="23"/>
  <c r="X153" i="23"/>
  <c r="H153" i="23"/>
  <c r="AD486" i="23"/>
  <c r="N486" i="23"/>
  <c r="AB486" i="23"/>
  <c r="L486" i="23"/>
  <c r="Z486" i="23"/>
  <c r="X486" i="23"/>
  <c r="V486" i="23"/>
  <c r="R486" i="23"/>
  <c r="P486" i="23"/>
  <c r="AD458" i="23"/>
  <c r="N458" i="23"/>
  <c r="AB458" i="23"/>
  <c r="L458" i="23"/>
  <c r="Z458" i="23"/>
  <c r="H458" i="23"/>
  <c r="X458" i="23"/>
  <c r="V458" i="23"/>
  <c r="R458" i="23"/>
  <c r="P458" i="23"/>
  <c r="T458" i="23"/>
  <c r="V17" i="23"/>
  <c r="T17" i="23"/>
  <c r="X17" i="23"/>
  <c r="R17" i="23"/>
  <c r="P17" i="23"/>
  <c r="AD17" i="23"/>
  <c r="N17" i="23"/>
  <c r="AB17" i="23"/>
  <c r="L17" i="23"/>
  <c r="Z17" i="23"/>
  <c r="J17" i="23"/>
  <c r="AD457" i="23"/>
  <c r="N457" i="23"/>
  <c r="AB457" i="23"/>
  <c r="L457" i="23"/>
  <c r="Z457" i="23"/>
  <c r="X457" i="23"/>
  <c r="V457" i="23"/>
  <c r="T457" i="23"/>
  <c r="R457" i="23"/>
  <c r="P457" i="23"/>
  <c r="P610" i="23"/>
  <c r="AD610" i="23"/>
  <c r="N610" i="23"/>
  <c r="AB610" i="23"/>
  <c r="L610" i="23"/>
  <c r="R610" i="23"/>
  <c r="J610" i="23"/>
  <c r="Z610" i="23"/>
  <c r="T610" i="23"/>
  <c r="X610" i="23"/>
  <c r="V610" i="23"/>
  <c r="R154" i="23"/>
  <c r="P154" i="23"/>
  <c r="AD154" i="23"/>
  <c r="N154" i="23"/>
  <c r="AB154" i="23"/>
  <c r="L154" i="23"/>
  <c r="Z154" i="23"/>
  <c r="J154" i="23"/>
  <c r="V154" i="23"/>
  <c r="X154" i="23"/>
  <c r="H154" i="23"/>
  <c r="P372" i="23"/>
  <c r="AD372" i="23"/>
  <c r="AB372" i="23"/>
  <c r="L372" i="23"/>
  <c r="X372" i="23"/>
  <c r="H372" i="23"/>
  <c r="V372" i="23"/>
  <c r="J372" i="23"/>
  <c r="Z372" i="23"/>
  <c r="T372" i="23"/>
  <c r="R372" i="23"/>
  <c r="P627" i="23"/>
  <c r="AD627" i="23"/>
  <c r="N627" i="23"/>
  <c r="AB627" i="23"/>
  <c r="R627" i="23"/>
  <c r="J627" i="23"/>
  <c r="H627" i="23"/>
  <c r="T627" i="23"/>
  <c r="X627" i="23"/>
  <c r="V627" i="23"/>
  <c r="Z627" i="23"/>
  <c r="P142" i="23"/>
  <c r="AD142" i="23"/>
  <c r="N142" i="23"/>
  <c r="AB142" i="23"/>
  <c r="L142" i="23"/>
  <c r="Z142" i="23"/>
  <c r="J142" i="23"/>
  <c r="V142" i="23"/>
  <c r="T142" i="23"/>
  <c r="H142" i="23"/>
  <c r="X142" i="23"/>
  <c r="R152" i="23"/>
  <c r="P152" i="23"/>
  <c r="AD152" i="23"/>
  <c r="N152" i="23"/>
  <c r="AB152" i="23"/>
  <c r="L152" i="23"/>
  <c r="Z152" i="23"/>
  <c r="J152" i="23"/>
  <c r="V152" i="23"/>
  <c r="H152" i="23"/>
  <c r="X152" i="23"/>
  <c r="P628" i="23"/>
  <c r="AD628" i="23"/>
  <c r="N628" i="23"/>
  <c r="AB628" i="23"/>
  <c r="T628" i="23"/>
  <c r="R628" i="23"/>
  <c r="J628" i="23"/>
  <c r="Z628" i="23"/>
  <c r="V628" i="23"/>
  <c r="H628" i="23"/>
  <c r="X628" i="23"/>
  <c r="V99" i="23"/>
  <c r="T99" i="23"/>
  <c r="R99" i="23"/>
  <c r="AD99" i="23"/>
  <c r="N99" i="23"/>
  <c r="X99" i="23"/>
  <c r="AB99" i="23"/>
  <c r="L99" i="23"/>
  <c r="H99" i="23"/>
  <c r="Z99" i="23"/>
  <c r="J99" i="23"/>
  <c r="P620" i="23"/>
  <c r="AD620" i="23"/>
  <c r="N620" i="23"/>
  <c r="AB620" i="23"/>
  <c r="L620" i="23"/>
  <c r="H620" i="23"/>
  <c r="V620" i="23"/>
  <c r="T620" i="23"/>
  <c r="Z620" i="23"/>
  <c r="X620" i="23"/>
  <c r="R620" i="23"/>
  <c r="AD585" i="23"/>
  <c r="N585" i="23"/>
  <c r="Z585" i="23"/>
  <c r="X585" i="23"/>
  <c r="T585" i="23"/>
  <c r="R585" i="23"/>
  <c r="P585" i="23"/>
  <c r="AB585" i="23"/>
  <c r="V585" i="23"/>
  <c r="L585" i="23"/>
  <c r="AD463" i="23"/>
  <c r="N463" i="23"/>
  <c r="AB463" i="23"/>
  <c r="Z463" i="23"/>
  <c r="J463" i="23"/>
  <c r="T463" i="23"/>
  <c r="R463" i="23"/>
  <c r="H463" i="23"/>
  <c r="V463" i="23"/>
  <c r="P463" i="23"/>
  <c r="X463" i="23"/>
  <c r="P380" i="23"/>
  <c r="AD380" i="23"/>
  <c r="AB380" i="23"/>
  <c r="L380" i="23"/>
  <c r="X380" i="23"/>
  <c r="H380" i="23"/>
  <c r="V380" i="23"/>
  <c r="Z380" i="23"/>
  <c r="T380" i="23"/>
  <c r="J380" i="23"/>
  <c r="R380" i="23"/>
  <c r="P599" i="23"/>
  <c r="AD599" i="23"/>
  <c r="N599" i="23"/>
  <c r="AB599" i="23"/>
  <c r="L599" i="23"/>
  <c r="R599" i="23"/>
  <c r="J599" i="23"/>
  <c r="Z599" i="23"/>
  <c r="X599" i="23"/>
  <c r="T599" i="23"/>
  <c r="V599" i="23"/>
  <c r="P440" i="23"/>
  <c r="AB440" i="23"/>
  <c r="L440" i="23"/>
  <c r="Z440" i="23"/>
  <c r="J440" i="23"/>
  <c r="N440" i="23"/>
  <c r="H440" i="23"/>
  <c r="AD440" i="23"/>
  <c r="X440" i="23"/>
  <c r="V440" i="23"/>
  <c r="R440" i="23"/>
  <c r="AD586" i="23"/>
  <c r="N586" i="23"/>
  <c r="Z586" i="23"/>
  <c r="X586" i="23"/>
  <c r="V586" i="23"/>
  <c r="T586" i="23"/>
  <c r="R586" i="23"/>
  <c r="P586" i="23"/>
  <c r="L586" i="23"/>
  <c r="AB586" i="23"/>
  <c r="P375" i="23"/>
  <c r="AD375" i="23"/>
  <c r="AB375" i="23"/>
  <c r="L375" i="23"/>
  <c r="X375" i="23"/>
  <c r="H375" i="23"/>
  <c r="V375" i="23"/>
  <c r="Z375" i="23"/>
  <c r="T375" i="23"/>
  <c r="J375" i="23"/>
  <c r="R375" i="23"/>
  <c r="P606" i="23"/>
  <c r="AD606" i="23"/>
  <c r="N606" i="23"/>
  <c r="AB606" i="23"/>
  <c r="L606" i="23"/>
  <c r="Z606" i="23"/>
  <c r="X606" i="23"/>
  <c r="J606" i="23"/>
  <c r="T606" i="23"/>
  <c r="R606" i="23"/>
  <c r="V606" i="23"/>
  <c r="P608" i="23"/>
  <c r="AD608" i="23"/>
  <c r="N608" i="23"/>
  <c r="AB608" i="23"/>
  <c r="L608" i="23"/>
  <c r="Z608" i="23"/>
  <c r="X608" i="23"/>
  <c r="R608" i="23"/>
  <c r="J608" i="23"/>
  <c r="V608" i="23"/>
  <c r="T608" i="23"/>
  <c r="Z397" i="23"/>
  <c r="J397" i="23"/>
  <c r="X397" i="23"/>
  <c r="H397" i="23"/>
  <c r="V397" i="23"/>
  <c r="R397" i="23"/>
  <c r="P397" i="23"/>
  <c r="AB397" i="23"/>
  <c r="T397" i="23"/>
  <c r="AD397" i="23"/>
  <c r="N397" i="23"/>
  <c r="AD477" i="23"/>
  <c r="N477" i="23"/>
  <c r="AB477" i="23"/>
  <c r="L477" i="23"/>
  <c r="Z477" i="23"/>
  <c r="P477" i="23"/>
  <c r="X477" i="23"/>
  <c r="V477" i="23"/>
  <c r="R477" i="23"/>
  <c r="AD459" i="23"/>
  <c r="N459" i="23"/>
  <c r="AB459" i="23"/>
  <c r="L459" i="23"/>
  <c r="Z459" i="23"/>
  <c r="P459" i="23"/>
  <c r="V459" i="23"/>
  <c r="T459" i="23"/>
  <c r="H459" i="23"/>
  <c r="X459" i="23"/>
  <c r="R459" i="23"/>
  <c r="AD582" i="23"/>
  <c r="N582" i="23"/>
  <c r="Z582" i="23"/>
  <c r="X582" i="23"/>
  <c r="AB582" i="23"/>
  <c r="P582" i="23"/>
  <c r="L582" i="23"/>
  <c r="V582" i="23"/>
  <c r="R582" i="23"/>
  <c r="T582" i="23"/>
  <c r="AD533" i="23"/>
  <c r="N533" i="23"/>
  <c r="Z533" i="23"/>
  <c r="J533" i="23"/>
  <c r="H533" i="23"/>
  <c r="V533" i="23"/>
  <c r="L533" i="23"/>
  <c r="T533" i="23"/>
  <c r="P533" i="23"/>
  <c r="R533" i="23"/>
  <c r="V32" i="23"/>
  <c r="R32" i="23"/>
  <c r="P32" i="23"/>
  <c r="H32" i="23"/>
  <c r="AD32" i="23"/>
  <c r="N32" i="23"/>
  <c r="AB32" i="23"/>
  <c r="L32" i="23"/>
  <c r="X32" i="23"/>
  <c r="Z32" i="23"/>
  <c r="J32" i="23"/>
  <c r="Z394" i="23"/>
  <c r="J394" i="23"/>
  <c r="X394" i="23"/>
  <c r="H394" i="23"/>
  <c r="V394" i="23"/>
  <c r="R394" i="23"/>
  <c r="P394" i="23"/>
  <c r="N394" i="23"/>
  <c r="AD394" i="23"/>
  <c r="AB394" i="23"/>
  <c r="T394" i="23"/>
  <c r="AD470" i="23"/>
  <c r="N470" i="23"/>
  <c r="AB470" i="23"/>
  <c r="Z470" i="23"/>
  <c r="J470" i="23"/>
  <c r="H470" i="23"/>
  <c r="X470" i="23"/>
  <c r="V470" i="23"/>
  <c r="T470" i="23"/>
  <c r="P470" i="23"/>
  <c r="R470" i="23"/>
  <c r="V54" i="23"/>
  <c r="H54" i="23"/>
  <c r="R54" i="23"/>
  <c r="P54" i="23"/>
  <c r="AD54" i="23"/>
  <c r="N54" i="23"/>
  <c r="X54" i="23"/>
  <c r="AB54" i="23"/>
  <c r="L54" i="23"/>
  <c r="Z54" i="23"/>
  <c r="J54" i="23"/>
  <c r="Z398" i="23"/>
  <c r="J398" i="23"/>
  <c r="X398" i="23"/>
  <c r="H398" i="23"/>
  <c r="V398" i="23"/>
  <c r="R398" i="23"/>
  <c r="P398" i="23"/>
  <c r="AD398" i="23"/>
  <c r="T398" i="23"/>
  <c r="N398" i="23"/>
  <c r="AB398" i="23"/>
  <c r="AD478" i="23"/>
  <c r="N478" i="23"/>
  <c r="AB478" i="23"/>
  <c r="L478" i="23"/>
  <c r="Z478" i="23"/>
  <c r="R478" i="23"/>
  <c r="P478" i="23"/>
  <c r="X478" i="23"/>
  <c r="V478" i="23"/>
  <c r="AD479" i="23"/>
  <c r="N479" i="23"/>
  <c r="AB479" i="23"/>
  <c r="L479" i="23"/>
  <c r="Z479" i="23"/>
  <c r="R479" i="23"/>
  <c r="P479" i="23"/>
  <c r="X479" i="23"/>
  <c r="V479" i="23"/>
  <c r="AD534" i="23"/>
  <c r="N534" i="23"/>
  <c r="Z534" i="23"/>
  <c r="J534" i="23"/>
  <c r="H534" i="23"/>
  <c r="V534" i="23"/>
  <c r="T534" i="23"/>
  <c r="R534" i="23"/>
  <c r="P534" i="23"/>
  <c r="L534" i="23"/>
  <c r="P379" i="23"/>
  <c r="AD379" i="23"/>
  <c r="AB379" i="23"/>
  <c r="L379" i="23"/>
  <c r="X379" i="23"/>
  <c r="H379" i="23"/>
  <c r="V379" i="23"/>
  <c r="Z379" i="23"/>
  <c r="R379" i="23"/>
  <c r="J379" i="23"/>
  <c r="T379" i="23"/>
  <c r="V57" i="23"/>
  <c r="R57" i="23"/>
  <c r="H57" i="23"/>
  <c r="P57" i="23"/>
  <c r="X57" i="23"/>
  <c r="AD57" i="23"/>
  <c r="N57" i="23"/>
  <c r="AB57" i="23"/>
  <c r="L57" i="23"/>
  <c r="Z57" i="23"/>
  <c r="J57" i="23"/>
  <c r="AD584" i="23"/>
  <c r="N584" i="23"/>
  <c r="Z584" i="23"/>
  <c r="X584" i="23"/>
  <c r="P584" i="23"/>
  <c r="L584" i="23"/>
  <c r="AB584" i="23"/>
  <c r="V584" i="23"/>
  <c r="T584" i="23"/>
  <c r="R584" i="23"/>
  <c r="P141" i="23"/>
  <c r="AD141" i="23"/>
  <c r="N141" i="23"/>
  <c r="AB141" i="23"/>
  <c r="L141" i="23"/>
  <c r="Z141" i="23"/>
  <c r="J141" i="23"/>
  <c r="V141" i="23"/>
  <c r="X141" i="23"/>
  <c r="T141" i="23"/>
  <c r="H141" i="23"/>
  <c r="AD481" i="23"/>
  <c r="N481" i="23"/>
  <c r="AB481" i="23"/>
  <c r="L481" i="23"/>
  <c r="Z481" i="23"/>
  <c r="X481" i="23"/>
  <c r="V481" i="23"/>
  <c r="R481" i="23"/>
  <c r="P481" i="23"/>
  <c r="V100" i="23"/>
  <c r="T100" i="23"/>
  <c r="R100" i="23"/>
  <c r="H100" i="23"/>
  <c r="AD100" i="23"/>
  <c r="N100" i="23"/>
  <c r="AB100" i="23"/>
  <c r="L100" i="23"/>
  <c r="Z100" i="23"/>
  <c r="J100" i="23"/>
  <c r="X100" i="23"/>
  <c r="AD480" i="23"/>
  <c r="N480" i="23"/>
  <c r="AB480" i="23"/>
  <c r="L480" i="23"/>
  <c r="Z480" i="23"/>
  <c r="V480" i="23"/>
  <c r="R480" i="23"/>
  <c r="P480" i="23"/>
  <c r="X480" i="23"/>
  <c r="P619" i="23"/>
  <c r="AD619" i="23"/>
  <c r="N619" i="23"/>
  <c r="AB619" i="23"/>
  <c r="L619" i="23"/>
  <c r="H619" i="23"/>
  <c r="Z619" i="23"/>
  <c r="X619" i="23"/>
  <c r="R619" i="23"/>
  <c r="V619" i="23"/>
  <c r="T619" i="23"/>
  <c r="AD579" i="23"/>
  <c r="N579" i="23"/>
  <c r="Z579" i="23"/>
  <c r="X579" i="23"/>
  <c r="V579" i="23"/>
  <c r="T579" i="23"/>
  <c r="R579" i="23"/>
  <c r="AB579" i="23"/>
  <c r="P579" i="23"/>
  <c r="L579" i="23"/>
  <c r="Z260" i="23"/>
  <c r="J260" i="23"/>
  <c r="X260" i="23"/>
  <c r="H260" i="23"/>
  <c r="V260" i="23"/>
  <c r="T260" i="23"/>
  <c r="R260" i="23"/>
  <c r="P260" i="23"/>
  <c r="AD260" i="23"/>
  <c r="AB260" i="23"/>
  <c r="L260" i="23"/>
  <c r="P605" i="23"/>
  <c r="AD605" i="23"/>
  <c r="N605" i="23"/>
  <c r="AB605" i="23"/>
  <c r="L605" i="23"/>
  <c r="X605" i="23"/>
  <c r="V605" i="23"/>
  <c r="T605" i="23"/>
  <c r="Z605" i="23"/>
  <c r="R605" i="23"/>
  <c r="J605" i="23"/>
  <c r="AD581" i="23"/>
  <c r="N581" i="23"/>
  <c r="Z581" i="23"/>
  <c r="X581" i="23"/>
  <c r="AB581" i="23"/>
  <c r="V581" i="23"/>
  <c r="R581" i="23"/>
  <c r="P581" i="23"/>
  <c r="L581" i="23"/>
  <c r="T581" i="23"/>
  <c r="AD580" i="23"/>
  <c r="N580" i="23"/>
  <c r="Z580" i="23"/>
  <c r="X580" i="23"/>
  <c r="AB580" i="23"/>
  <c r="V580" i="23"/>
  <c r="T580" i="23"/>
  <c r="R580" i="23"/>
  <c r="P580" i="23"/>
  <c r="L580" i="23"/>
  <c r="AD485" i="23"/>
  <c r="N485" i="23"/>
  <c r="AB485" i="23"/>
  <c r="L485" i="23"/>
  <c r="Z485" i="23"/>
  <c r="X485" i="23"/>
  <c r="V485" i="23"/>
  <c r="R485" i="23"/>
  <c r="P485" i="23"/>
  <c r="AD469" i="23"/>
  <c r="N469" i="23"/>
  <c r="AB469" i="23"/>
  <c r="Z469" i="23"/>
  <c r="J469" i="23"/>
  <c r="X469" i="23"/>
  <c r="V469" i="23"/>
  <c r="T469" i="23"/>
  <c r="R469" i="23"/>
  <c r="P469" i="23"/>
  <c r="H469" i="23"/>
  <c r="P378" i="23"/>
  <c r="AD378" i="23"/>
  <c r="AB378" i="23"/>
  <c r="L378" i="23"/>
  <c r="X378" i="23"/>
  <c r="H378" i="23"/>
  <c r="V378" i="23"/>
  <c r="T378" i="23"/>
  <c r="R378" i="23"/>
  <c r="Z378" i="23"/>
  <c r="J378" i="23"/>
  <c r="P617" i="23"/>
  <c r="AD617" i="23"/>
  <c r="N617" i="23"/>
  <c r="AB617" i="23"/>
  <c r="L617" i="23"/>
  <c r="Z617" i="23"/>
  <c r="X617" i="23"/>
  <c r="V617" i="23"/>
  <c r="T617" i="23"/>
  <c r="R617" i="23"/>
  <c r="H617" i="23"/>
  <c r="V55" i="23"/>
  <c r="H55" i="23"/>
  <c r="R55" i="23"/>
  <c r="P55" i="23"/>
  <c r="X55" i="23"/>
  <c r="AD55" i="23"/>
  <c r="N55" i="23"/>
  <c r="AB55" i="23"/>
  <c r="L55" i="23"/>
  <c r="Z55" i="23"/>
  <c r="J55" i="23"/>
  <c r="AD532" i="23"/>
  <c r="N532" i="23"/>
  <c r="Z532" i="23"/>
  <c r="J532" i="23"/>
  <c r="H532" i="23"/>
  <c r="V532" i="23"/>
  <c r="T532" i="23"/>
  <c r="P532" i="23"/>
  <c r="L532" i="23"/>
  <c r="R532" i="23"/>
  <c r="P598" i="23"/>
  <c r="AD598" i="23"/>
  <c r="N598" i="23"/>
  <c r="AB598" i="23"/>
  <c r="L598" i="23"/>
  <c r="J598" i="23"/>
  <c r="R598" i="23"/>
  <c r="V598" i="23"/>
  <c r="Z598" i="23"/>
  <c r="X598" i="23"/>
  <c r="T598" i="23"/>
  <c r="AD468" i="23"/>
  <c r="N468" i="23"/>
  <c r="AB468" i="23"/>
  <c r="Z468" i="23"/>
  <c r="J468" i="23"/>
  <c r="X468" i="23"/>
  <c r="V468" i="23"/>
  <c r="R468" i="23"/>
  <c r="P468" i="23"/>
  <c r="T468" i="23"/>
  <c r="H468" i="23"/>
  <c r="P618" i="23"/>
  <c r="AD618" i="23"/>
  <c r="N618" i="23"/>
  <c r="AB618" i="23"/>
  <c r="L618" i="23"/>
  <c r="Z618" i="23"/>
  <c r="X618" i="23"/>
  <c r="T618" i="23"/>
  <c r="H618" i="23"/>
  <c r="V618" i="23"/>
  <c r="R618" i="23"/>
  <c r="P611" i="23"/>
  <c r="AD611" i="23"/>
  <c r="N611" i="23"/>
  <c r="AB611" i="23"/>
  <c r="L611" i="23"/>
  <c r="T611" i="23"/>
  <c r="R611" i="23"/>
  <c r="J611" i="23"/>
  <c r="X611" i="23"/>
  <c r="V611" i="23"/>
  <c r="Z611" i="23"/>
  <c r="C101" i="19"/>
  <c r="E101" i="19" s="1"/>
  <c r="D101" i="19" s="1"/>
  <c r="C127" i="19"/>
  <c r="C149" i="19"/>
  <c r="E149" i="19" s="1"/>
  <c r="D149" i="19" s="1"/>
  <c r="C126" i="19"/>
  <c r="C130" i="19"/>
  <c r="E130" i="19" s="1"/>
  <c r="D130" i="19" s="1"/>
  <c r="G130" i="19" s="1"/>
  <c r="H130" i="19" s="1"/>
  <c r="C144" i="19"/>
  <c r="E144" i="19" s="1"/>
  <c r="D144" i="19" s="1"/>
  <c r="C145" i="19"/>
  <c r="E145" i="19" s="1"/>
  <c r="D145" i="19" s="1"/>
  <c r="C129" i="19"/>
  <c r="C37" i="19"/>
  <c r="C112" i="19"/>
  <c r="C450" i="23"/>
  <c r="B450" i="23"/>
  <c r="C446" i="23"/>
  <c r="B446" i="23"/>
  <c r="C445" i="23"/>
  <c r="B445" i="23"/>
  <c r="C439" i="23"/>
  <c r="B439" i="23"/>
  <c r="C438" i="23"/>
  <c r="B438" i="23"/>
  <c r="C437" i="23"/>
  <c r="B437" i="23"/>
  <c r="C436" i="23"/>
  <c r="B436" i="23"/>
  <c r="C434" i="23"/>
  <c r="B434" i="23"/>
  <c r="C433" i="23"/>
  <c r="B433" i="23"/>
  <c r="C432" i="23"/>
  <c r="B432" i="23"/>
  <c r="C426" i="23"/>
  <c r="B426" i="23"/>
  <c r="C425" i="23"/>
  <c r="B425" i="23"/>
  <c r="C407" i="23"/>
  <c r="B407" i="23"/>
  <c r="C406" i="23"/>
  <c r="B406" i="23"/>
  <c r="C405" i="23"/>
  <c r="B405" i="23"/>
  <c r="C404" i="23"/>
  <c r="B404" i="23"/>
  <c r="B208" i="23"/>
  <c r="B206" i="23"/>
  <c r="B205" i="23"/>
  <c r="B204" i="23"/>
  <c r="B203" i="23"/>
  <c r="B202" i="23"/>
  <c r="B196" i="23"/>
  <c r="B195" i="23"/>
  <c r="B194" i="23"/>
  <c r="B188" i="23"/>
  <c r="C67" i="23"/>
  <c r="B67" i="23"/>
  <c r="C66" i="23"/>
  <c r="B66" i="23"/>
  <c r="C65" i="23"/>
  <c r="B65" i="23"/>
  <c r="C30" i="23"/>
  <c r="B30" i="23"/>
  <c r="C29" i="23"/>
  <c r="B29" i="23"/>
  <c r="C28" i="23"/>
  <c r="B28" i="23"/>
  <c r="H15" i="2"/>
  <c r="E14" i="23" s="1"/>
  <c r="C14" i="23"/>
  <c r="AF350" i="23" l="1"/>
  <c r="N350" i="23"/>
  <c r="AD350" i="23"/>
  <c r="T350" i="23"/>
  <c r="AK350" i="23"/>
  <c r="AK351" i="23"/>
  <c r="J342" i="23"/>
  <c r="AF342" i="23"/>
  <c r="AK342" i="23" s="1"/>
  <c r="N342" i="23"/>
  <c r="Z350" i="23"/>
  <c r="AF357" i="23"/>
  <c r="AK357" i="23" s="1"/>
  <c r="N357" i="23"/>
  <c r="N348" i="23"/>
  <c r="AF348" i="23"/>
  <c r="AK348" i="23" s="1"/>
  <c r="AF358" i="23"/>
  <c r="AK358" i="23" s="1"/>
  <c r="N358" i="23"/>
  <c r="AF346" i="23"/>
  <c r="N346" i="23"/>
  <c r="N351" i="23"/>
  <c r="AF351" i="23"/>
  <c r="AB350" i="23"/>
  <c r="T351" i="23"/>
  <c r="AK346" i="23"/>
  <c r="AF349" i="23"/>
  <c r="AK349" i="23" s="1"/>
  <c r="N349" i="23"/>
  <c r="AF14" i="23"/>
  <c r="H14" i="23"/>
  <c r="V350" i="23"/>
  <c r="H345" i="23"/>
  <c r="AF345" i="23"/>
  <c r="N345" i="23"/>
  <c r="AF347" i="23"/>
  <c r="AK347" i="23" s="1"/>
  <c r="N347" i="23"/>
  <c r="AF344" i="23"/>
  <c r="AK344" i="23" s="1"/>
  <c r="N344" i="23"/>
  <c r="N356" i="23"/>
  <c r="AF356" i="23"/>
  <c r="AK356" i="23" s="1"/>
  <c r="L350" i="23"/>
  <c r="AK345" i="23"/>
  <c r="AH350" i="23"/>
  <c r="P350" i="23"/>
  <c r="N364" i="23"/>
  <c r="AF364" i="23"/>
  <c r="AK364" i="23" s="1"/>
  <c r="N359" i="23"/>
  <c r="AF359" i="23"/>
  <c r="AK359" i="23" s="1"/>
  <c r="H340" i="23"/>
  <c r="N340" i="23"/>
  <c r="AF340" i="23"/>
  <c r="AK340" i="23" s="1"/>
  <c r="AB341" i="23"/>
  <c r="AF341" i="23"/>
  <c r="AK341" i="23" s="1"/>
  <c r="N341" i="23"/>
  <c r="L343" i="23"/>
  <c r="N343" i="23"/>
  <c r="AF343" i="23"/>
  <c r="AK343" i="23" s="1"/>
  <c r="R350" i="23"/>
  <c r="H350" i="23"/>
  <c r="X350" i="23"/>
  <c r="J350" i="23"/>
  <c r="AD343" i="23"/>
  <c r="T343" i="23"/>
  <c r="X343" i="23"/>
  <c r="R343" i="23"/>
  <c r="AH343" i="23"/>
  <c r="AB343" i="23"/>
  <c r="P343" i="23"/>
  <c r="V343" i="23"/>
  <c r="J343" i="23"/>
  <c r="Z343" i="23"/>
  <c r="H343" i="23"/>
  <c r="T345" i="23"/>
  <c r="AH345" i="23"/>
  <c r="L345" i="23"/>
  <c r="X345" i="23"/>
  <c r="J345" i="23"/>
  <c r="V345" i="23"/>
  <c r="Z345" i="23"/>
  <c r="R345" i="23"/>
  <c r="AD345" i="23"/>
  <c r="P345" i="23"/>
  <c r="AB342" i="23"/>
  <c r="Z342" i="23"/>
  <c r="R342" i="23"/>
  <c r="H588" i="23"/>
  <c r="V340" i="23"/>
  <c r="P342" i="23"/>
  <c r="X342" i="23"/>
  <c r="AD342" i="23"/>
  <c r="L342" i="23"/>
  <c r="T342" i="23"/>
  <c r="R340" i="23"/>
  <c r="L340" i="23"/>
  <c r="AH342" i="23"/>
  <c r="V342" i="23"/>
  <c r="H342" i="23"/>
  <c r="X356" i="23"/>
  <c r="AH349" i="23"/>
  <c r="J349" i="23"/>
  <c r="R349" i="23"/>
  <c r="AB349" i="23"/>
  <c r="T356" i="23"/>
  <c r="V346" i="23"/>
  <c r="P340" i="23"/>
  <c r="X340" i="23"/>
  <c r="AH346" i="23"/>
  <c r="AD356" i="23"/>
  <c r="AB356" i="23"/>
  <c r="AD340" i="23"/>
  <c r="X346" i="23"/>
  <c r="AH356" i="23"/>
  <c r="L356" i="23"/>
  <c r="AH340" i="23"/>
  <c r="J340" i="23"/>
  <c r="H346" i="23"/>
  <c r="V356" i="23"/>
  <c r="T340" i="23"/>
  <c r="Z340" i="23"/>
  <c r="J356" i="23"/>
  <c r="AB340" i="23"/>
  <c r="T346" i="23"/>
  <c r="R356" i="23"/>
  <c r="P356" i="23"/>
  <c r="P346" i="23"/>
  <c r="H356" i="23"/>
  <c r="Z356" i="23"/>
  <c r="AB346" i="23"/>
  <c r="J346" i="23"/>
  <c r="Z346" i="23"/>
  <c r="AD346" i="23"/>
  <c r="R346" i="23"/>
  <c r="L349" i="23"/>
  <c r="X349" i="23"/>
  <c r="P349" i="23"/>
  <c r="H349" i="23"/>
  <c r="T349" i="23"/>
  <c r="AD349" i="23"/>
  <c r="V349" i="23"/>
  <c r="Z349" i="23"/>
  <c r="Z347" i="23"/>
  <c r="T541" i="23"/>
  <c r="J135" i="23"/>
  <c r="Z541" i="23"/>
  <c r="T357" i="23"/>
  <c r="J357" i="23"/>
  <c r="Z357" i="23"/>
  <c r="X357" i="23"/>
  <c r="L357" i="23"/>
  <c r="AD357" i="23"/>
  <c r="H357" i="23"/>
  <c r="P357" i="23"/>
  <c r="AB357" i="23"/>
  <c r="R357" i="23"/>
  <c r="V357" i="23"/>
  <c r="AH357" i="23"/>
  <c r="X347" i="23"/>
  <c r="R359" i="23"/>
  <c r="P359" i="23"/>
  <c r="X359" i="23"/>
  <c r="AD359" i="23"/>
  <c r="L359" i="23"/>
  <c r="T359" i="23"/>
  <c r="V359" i="23"/>
  <c r="Z359" i="23"/>
  <c r="H359" i="23"/>
  <c r="AB359" i="23"/>
  <c r="J359" i="23"/>
  <c r="AH359" i="23"/>
  <c r="V358" i="23"/>
  <c r="P358" i="23"/>
  <c r="T358" i="23"/>
  <c r="J358" i="23"/>
  <c r="R358" i="23"/>
  <c r="L358" i="23"/>
  <c r="AB358" i="23"/>
  <c r="X358" i="23"/>
  <c r="AD358" i="23"/>
  <c r="Z358" i="23"/>
  <c r="H358" i="23"/>
  <c r="AH358" i="23"/>
  <c r="R364" i="23"/>
  <c r="V364" i="23"/>
  <c r="T364" i="23"/>
  <c r="X364" i="23"/>
  <c r="AB364" i="23"/>
  <c r="P364" i="23"/>
  <c r="H364" i="23"/>
  <c r="J364" i="23"/>
  <c r="L364" i="23"/>
  <c r="AD364" i="23"/>
  <c r="Z364" i="23"/>
  <c r="AH364" i="23"/>
  <c r="V348" i="23"/>
  <c r="J348" i="23"/>
  <c r="N135" i="23"/>
  <c r="T135" i="23"/>
  <c r="J541" i="23"/>
  <c r="R135" i="23"/>
  <c r="Z341" i="23"/>
  <c r="V135" i="23"/>
  <c r="V341" i="23"/>
  <c r="J341" i="23"/>
  <c r="L341" i="23"/>
  <c r="Z135" i="23"/>
  <c r="H135" i="23"/>
  <c r="V541" i="23"/>
  <c r="AD541" i="23"/>
  <c r="AB541" i="23"/>
  <c r="H341" i="23"/>
  <c r="R341" i="23"/>
  <c r="AD341" i="23"/>
  <c r="P341" i="23"/>
  <c r="AD135" i="23"/>
  <c r="T341" i="23"/>
  <c r="AH341" i="23"/>
  <c r="X341" i="23"/>
  <c r="X351" i="23"/>
  <c r="L351" i="23"/>
  <c r="J351" i="23"/>
  <c r="H351" i="23"/>
  <c r="R351" i="23"/>
  <c r="AD351" i="23"/>
  <c r="L135" i="23"/>
  <c r="AH351" i="23"/>
  <c r="Z351" i="23"/>
  <c r="V351" i="23"/>
  <c r="P351" i="23"/>
  <c r="AB351" i="23"/>
  <c r="L541" i="23"/>
  <c r="N541" i="23"/>
  <c r="X348" i="23"/>
  <c r="J347" i="23"/>
  <c r="T347" i="23"/>
  <c r="R348" i="23"/>
  <c r="H347" i="23"/>
  <c r="AH348" i="23"/>
  <c r="AH347" i="23"/>
  <c r="AB348" i="23"/>
  <c r="P347" i="23"/>
  <c r="AD347" i="23"/>
  <c r="X135" i="23"/>
  <c r="P348" i="23"/>
  <c r="H348" i="23"/>
  <c r="V347" i="23"/>
  <c r="L347" i="23"/>
  <c r="Z348" i="23"/>
  <c r="T348" i="23"/>
  <c r="R347" i="23"/>
  <c r="L348" i="23"/>
  <c r="AB347" i="23"/>
  <c r="H541" i="23"/>
  <c r="P541" i="23"/>
  <c r="AH541" i="23"/>
  <c r="R541" i="23"/>
  <c r="P550" i="23"/>
  <c r="L550" i="23"/>
  <c r="AH550" i="23"/>
  <c r="T550" i="23"/>
  <c r="AB550" i="23"/>
  <c r="Z550" i="23"/>
  <c r="V550" i="23"/>
  <c r="R550" i="23"/>
  <c r="AF550" i="23"/>
  <c r="AD550" i="23"/>
  <c r="J550" i="23"/>
  <c r="H550" i="23"/>
  <c r="N550" i="23"/>
  <c r="X550" i="23"/>
  <c r="V507" i="23"/>
  <c r="AB507" i="23"/>
  <c r="AD507" i="23"/>
  <c r="Z42" i="23"/>
  <c r="AD42" i="23"/>
  <c r="V51" i="23"/>
  <c r="Z51" i="23"/>
  <c r="N51" i="23"/>
  <c r="AB42" i="23"/>
  <c r="L42" i="23"/>
  <c r="AD51" i="23"/>
  <c r="R42" i="23"/>
  <c r="L51" i="23"/>
  <c r="H51" i="23"/>
  <c r="AB51" i="23"/>
  <c r="J42" i="23"/>
  <c r="J51" i="23"/>
  <c r="H42" i="23"/>
  <c r="R51" i="23"/>
  <c r="N42" i="23"/>
  <c r="X51" i="23"/>
  <c r="V42" i="23"/>
  <c r="X42" i="23"/>
  <c r="P51" i="23"/>
  <c r="P42" i="23"/>
  <c r="B14" i="23"/>
  <c r="C14" i="1"/>
  <c r="N144" i="23"/>
  <c r="N237" i="23"/>
  <c r="AB496" i="23"/>
  <c r="R507" i="23"/>
  <c r="H237" i="23"/>
  <c r="P237" i="23"/>
  <c r="J496" i="23"/>
  <c r="L248" i="23"/>
  <c r="L507" i="23"/>
  <c r="N496" i="23"/>
  <c r="Z248" i="23"/>
  <c r="P248" i="23"/>
  <c r="V237" i="23"/>
  <c r="X237" i="23"/>
  <c r="H144" i="23"/>
  <c r="AB144" i="23"/>
  <c r="R496" i="23"/>
  <c r="N248" i="23"/>
  <c r="X248" i="23"/>
  <c r="P507" i="23"/>
  <c r="AD237" i="23"/>
  <c r="L496" i="23"/>
  <c r="R248" i="23"/>
  <c r="T248" i="23"/>
  <c r="J507" i="23"/>
  <c r="Z237" i="23"/>
  <c r="L612" i="23"/>
  <c r="AD496" i="23"/>
  <c r="V496" i="23"/>
  <c r="H248" i="23"/>
  <c r="T237" i="23"/>
  <c r="R237" i="23"/>
  <c r="P496" i="23"/>
  <c r="AB248" i="23"/>
  <c r="AD248" i="23"/>
  <c r="N507" i="23"/>
  <c r="AB237" i="23"/>
  <c r="V248" i="23"/>
  <c r="L237" i="23"/>
  <c r="J612" i="23"/>
  <c r="R612" i="23"/>
  <c r="N612" i="23"/>
  <c r="AD612" i="23"/>
  <c r="Z612" i="23"/>
  <c r="P612" i="23"/>
  <c r="T612" i="23"/>
  <c r="V612" i="23"/>
  <c r="AB612" i="23"/>
  <c r="X612" i="23"/>
  <c r="R460" i="23"/>
  <c r="N460" i="23"/>
  <c r="H460" i="23"/>
  <c r="T460" i="23"/>
  <c r="V460" i="23"/>
  <c r="AD460" i="23"/>
  <c r="X460" i="23"/>
  <c r="Z460" i="23"/>
  <c r="L460" i="23"/>
  <c r="P460" i="23"/>
  <c r="AB460" i="23"/>
  <c r="X144" i="23"/>
  <c r="J144" i="23"/>
  <c r="Z144" i="23"/>
  <c r="AB103" i="23"/>
  <c r="AD144" i="23"/>
  <c r="T144" i="23"/>
  <c r="P144" i="23"/>
  <c r="V144" i="23"/>
  <c r="L144" i="23"/>
  <c r="T103" i="23"/>
  <c r="X103" i="23"/>
  <c r="N103" i="23"/>
  <c r="AD103" i="23"/>
  <c r="J103" i="23"/>
  <c r="Z103" i="23"/>
  <c r="R103" i="23"/>
  <c r="H103" i="23"/>
  <c r="L103" i="23"/>
  <c r="V103" i="23"/>
  <c r="C104" i="19"/>
  <c r="H535" i="23"/>
  <c r="L535" i="23"/>
  <c r="L488" i="23"/>
  <c r="R488" i="23"/>
  <c r="P535" i="23"/>
  <c r="Z602" i="23"/>
  <c r="N155" i="23"/>
  <c r="N535" i="23"/>
  <c r="Z488" i="23"/>
  <c r="V488" i="23"/>
  <c r="T535" i="23"/>
  <c r="AD535" i="23"/>
  <c r="X602" i="23"/>
  <c r="N602" i="23"/>
  <c r="V535" i="23"/>
  <c r="P602" i="23"/>
  <c r="N488" i="23"/>
  <c r="V602" i="23"/>
  <c r="T602" i="23"/>
  <c r="C125" i="19"/>
  <c r="R535" i="23"/>
  <c r="V155" i="23"/>
  <c r="AD602" i="23"/>
  <c r="P488" i="23"/>
  <c r="J602" i="23"/>
  <c r="X488" i="23"/>
  <c r="AB602" i="23"/>
  <c r="R602" i="23"/>
  <c r="AB488" i="23"/>
  <c r="P588" i="23"/>
  <c r="J535" i="23"/>
  <c r="V588" i="23"/>
  <c r="V630" i="23"/>
  <c r="AD630" i="23"/>
  <c r="N588" i="23"/>
  <c r="AD588" i="23"/>
  <c r="AD488" i="23"/>
  <c r="AD482" i="23"/>
  <c r="AB588" i="23"/>
  <c r="AB482" i="23"/>
  <c r="AB630" i="23"/>
  <c r="Z535" i="23"/>
  <c r="Z482" i="23"/>
  <c r="Z630" i="23"/>
  <c r="Z588" i="23"/>
  <c r="X630" i="23"/>
  <c r="X588" i="23"/>
  <c r="X482" i="23"/>
  <c r="V482" i="23"/>
  <c r="T630" i="23"/>
  <c r="T588" i="23"/>
  <c r="R630" i="23"/>
  <c r="R588" i="23"/>
  <c r="R482" i="23"/>
  <c r="P482" i="23"/>
  <c r="P630" i="23"/>
  <c r="N482" i="23"/>
  <c r="N630" i="23"/>
  <c r="L602" i="23"/>
  <c r="L588" i="23"/>
  <c r="L482" i="23"/>
  <c r="J630" i="23"/>
  <c r="H630" i="23"/>
  <c r="Z155" i="23"/>
  <c r="P155" i="23"/>
  <c r="AD155" i="23"/>
  <c r="J155" i="23"/>
  <c r="H155" i="23"/>
  <c r="AB155" i="23"/>
  <c r="R155" i="23"/>
  <c r="AB407" i="23"/>
  <c r="L407" i="23"/>
  <c r="Z407" i="23"/>
  <c r="J407" i="23"/>
  <c r="X407" i="23"/>
  <c r="H407" i="23"/>
  <c r="V407" i="23"/>
  <c r="T407" i="23"/>
  <c r="P407" i="23"/>
  <c r="AD407" i="23"/>
  <c r="N407" i="23"/>
  <c r="P445" i="23"/>
  <c r="AB445" i="23"/>
  <c r="L445" i="23"/>
  <c r="Z445" i="23"/>
  <c r="J445" i="23"/>
  <c r="AD445" i="23"/>
  <c r="X445" i="23"/>
  <c r="T445" i="23"/>
  <c r="N445" i="23"/>
  <c r="H445" i="23"/>
  <c r="R445" i="23"/>
  <c r="X155" i="23"/>
  <c r="Z194" i="23"/>
  <c r="J194" i="23"/>
  <c r="X194" i="23"/>
  <c r="H194" i="23"/>
  <c r="R194" i="23"/>
  <c r="P194" i="23"/>
  <c r="N194" i="23"/>
  <c r="L194" i="23"/>
  <c r="AD194" i="23"/>
  <c r="AB194" i="23"/>
  <c r="T194" i="23"/>
  <c r="Z206" i="23"/>
  <c r="J206" i="23"/>
  <c r="X206" i="23"/>
  <c r="H206" i="23"/>
  <c r="R206" i="23"/>
  <c r="P206" i="23"/>
  <c r="AD206" i="23"/>
  <c r="AB206" i="23"/>
  <c r="T206" i="23"/>
  <c r="N206" i="23"/>
  <c r="L206" i="23"/>
  <c r="P426" i="23"/>
  <c r="AB426" i="23"/>
  <c r="L426" i="23"/>
  <c r="Z426" i="23"/>
  <c r="J426" i="23"/>
  <c r="N426" i="23"/>
  <c r="H426" i="23"/>
  <c r="AD426" i="23"/>
  <c r="X426" i="23"/>
  <c r="V426" i="23"/>
  <c r="R426" i="23"/>
  <c r="L155" i="23"/>
  <c r="Z205" i="23"/>
  <c r="J205" i="23"/>
  <c r="X205" i="23"/>
  <c r="H205" i="23"/>
  <c r="R205" i="23"/>
  <c r="P205" i="23"/>
  <c r="L205" i="23"/>
  <c r="AD205" i="23"/>
  <c r="AB205" i="23"/>
  <c r="T205" i="23"/>
  <c r="N205" i="23"/>
  <c r="Z208" i="23"/>
  <c r="J208" i="23"/>
  <c r="X208" i="23"/>
  <c r="H208" i="23"/>
  <c r="R208" i="23"/>
  <c r="P208" i="23"/>
  <c r="AD208" i="23"/>
  <c r="AB208" i="23"/>
  <c r="T208" i="23"/>
  <c r="N208" i="23"/>
  <c r="L208" i="23"/>
  <c r="Z204" i="23"/>
  <c r="J204" i="23"/>
  <c r="X204" i="23"/>
  <c r="H204" i="23"/>
  <c r="R204" i="23"/>
  <c r="P204" i="23"/>
  <c r="T204" i="23"/>
  <c r="N204" i="23"/>
  <c r="L204" i="23"/>
  <c r="AD204" i="23"/>
  <c r="AB204" i="23"/>
  <c r="H67" i="23"/>
  <c r="T67" i="23"/>
  <c r="R67" i="23"/>
  <c r="P67" i="23"/>
  <c r="AD67" i="23"/>
  <c r="N67" i="23"/>
  <c r="AB67" i="23"/>
  <c r="L67" i="23"/>
  <c r="Z67" i="23"/>
  <c r="J67" i="23"/>
  <c r="X67" i="23"/>
  <c r="V28" i="23"/>
  <c r="H28" i="23"/>
  <c r="X28" i="23"/>
  <c r="R28" i="23"/>
  <c r="P28" i="23"/>
  <c r="AD28" i="23"/>
  <c r="N28" i="23"/>
  <c r="AB28" i="23"/>
  <c r="L28" i="23"/>
  <c r="Z28" i="23"/>
  <c r="J28" i="23"/>
  <c r="Z195" i="23"/>
  <c r="J195" i="23"/>
  <c r="X195" i="23"/>
  <c r="H195" i="23"/>
  <c r="R195" i="23"/>
  <c r="P195" i="23"/>
  <c r="L195" i="23"/>
  <c r="AD195" i="23"/>
  <c r="AB195" i="23"/>
  <c r="T195" i="23"/>
  <c r="N195" i="23"/>
  <c r="AB404" i="23"/>
  <c r="L404" i="23"/>
  <c r="Z404" i="23"/>
  <c r="J404" i="23"/>
  <c r="X404" i="23"/>
  <c r="H404" i="23"/>
  <c r="V404" i="23"/>
  <c r="T404" i="23"/>
  <c r="P404" i="23"/>
  <c r="AD404" i="23"/>
  <c r="N404" i="23"/>
  <c r="V29" i="23"/>
  <c r="R29" i="23"/>
  <c r="P29" i="23"/>
  <c r="H29" i="23"/>
  <c r="AD29" i="23"/>
  <c r="N29" i="23"/>
  <c r="AB29" i="23"/>
  <c r="L29" i="23"/>
  <c r="Z29" i="23"/>
  <c r="J29" i="23"/>
  <c r="X29" i="23"/>
  <c r="Z196" i="23"/>
  <c r="J196" i="23"/>
  <c r="X196" i="23"/>
  <c r="H196" i="23"/>
  <c r="R196" i="23"/>
  <c r="P196" i="23"/>
  <c r="AD196" i="23"/>
  <c r="AB196" i="23"/>
  <c r="T196" i="23"/>
  <c r="N196" i="23"/>
  <c r="L196" i="23"/>
  <c r="Z262" i="23"/>
  <c r="J262" i="23"/>
  <c r="X262" i="23"/>
  <c r="H262" i="23"/>
  <c r="V262" i="23"/>
  <c r="T262" i="23"/>
  <c r="R262" i="23"/>
  <c r="P262" i="23"/>
  <c r="L262" i="23"/>
  <c r="AD262" i="23"/>
  <c r="AB262" i="23"/>
  <c r="V14" i="23"/>
  <c r="T14" i="23"/>
  <c r="R14" i="23"/>
  <c r="P14" i="23"/>
  <c r="X14" i="23"/>
  <c r="AD14" i="23"/>
  <c r="N14" i="23"/>
  <c r="AB14" i="23"/>
  <c r="L14" i="23"/>
  <c r="Z14" i="23"/>
  <c r="J14" i="23"/>
  <c r="Z202" i="23"/>
  <c r="J202" i="23"/>
  <c r="X202" i="23"/>
  <c r="H202" i="23"/>
  <c r="R202" i="23"/>
  <c r="P202" i="23"/>
  <c r="AD202" i="23"/>
  <c r="AB202" i="23"/>
  <c r="T202" i="23"/>
  <c r="N202" i="23"/>
  <c r="L202" i="23"/>
  <c r="AB405" i="23"/>
  <c r="L405" i="23"/>
  <c r="Z405" i="23"/>
  <c r="J405" i="23"/>
  <c r="X405" i="23"/>
  <c r="H405" i="23"/>
  <c r="V405" i="23"/>
  <c r="T405" i="23"/>
  <c r="P405" i="23"/>
  <c r="AD405" i="23"/>
  <c r="N405" i="23"/>
  <c r="P435" i="23"/>
  <c r="AB435" i="23"/>
  <c r="L435" i="23"/>
  <c r="Z435" i="23"/>
  <c r="J435" i="23"/>
  <c r="V435" i="23"/>
  <c r="R435" i="23"/>
  <c r="N435" i="23"/>
  <c r="H435" i="23"/>
  <c r="AD435" i="23"/>
  <c r="X435" i="23"/>
  <c r="T66" i="23"/>
  <c r="H66" i="23"/>
  <c r="R66" i="23"/>
  <c r="X66" i="23"/>
  <c r="P66" i="23"/>
  <c r="AD66" i="23"/>
  <c r="N66" i="23"/>
  <c r="AB66" i="23"/>
  <c r="L66" i="23"/>
  <c r="Z66" i="23"/>
  <c r="J66" i="23"/>
  <c r="P446" i="23"/>
  <c r="AB446" i="23"/>
  <c r="L446" i="23"/>
  <c r="Z446" i="23"/>
  <c r="J446" i="23"/>
  <c r="H446" i="23"/>
  <c r="AD446" i="23"/>
  <c r="R446" i="23"/>
  <c r="N446" i="23"/>
  <c r="X446" i="23"/>
  <c r="T446" i="23"/>
  <c r="V30" i="23"/>
  <c r="R30" i="23"/>
  <c r="H30" i="23"/>
  <c r="P30" i="23"/>
  <c r="AD30" i="23"/>
  <c r="N30" i="23"/>
  <c r="X30" i="23"/>
  <c r="AB30" i="23"/>
  <c r="L30" i="23"/>
  <c r="Z30" i="23"/>
  <c r="J30" i="23"/>
  <c r="T65" i="23"/>
  <c r="R65" i="23"/>
  <c r="P65" i="23"/>
  <c r="X65" i="23"/>
  <c r="AD65" i="23"/>
  <c r="N65" i="23"/>
  <c r="AB65" i="23"/>
  <c r="L65" i="23"/>
  <c r="H65" i="23"/>
  <c r="Z65" i="23"/>
  <c r="J65" i="23"/>
  <c r="Z203" i="23"/>
  <c r="J203" i="23"/>
  <c r="X203" i="23"/>
  <c r="H203" i="23"/>
  <c r="R203" i="23"/>
  <c r="P203" i="23"/>
  <c r="AB203" i="23"/>
  <c r="T203" i="23"/>
  <c r="N203" i="23"/>
  <c r="L203" i="23"/>
  <c r="AD203" i="23"/>
  <c r="AB406" i="23"/>
  <c r="L406" i="23"/>
  <c r="Z406" i="23"/>
  <c r="J406" i="23"/>
  <c r="X406" i="23"/>
  <c r="H406" i="23"/>
  <c r="V406" i="23"/>
  <c r="T406" i="23"/>
  <c r="P406" i="23"/>
  <c r="AD406" i="23"/>
  <c r="N406" i="23"/>
  <c r="D167" i="1"/>
  <c r="C196" i="23"/>
  <c r="D159" i="1"/>
  <c r="C188" i="23"/>
  <c r="D172" i="1"/>
  <c r="C202" i="23"/>
  <c r="D175" i="1"/>
  <c r="C205" i="23"/>
  <c r="D165" i="1"/>
  <c r="C194" i="23"/>
  <c r="D173" i="1"/>
  <c r="C203" i="23"/>
  <c r="D176" i="1"/>
  <c r="C206" i="23"/>
  <c r="D166" i="1"/>
  <c r="C195" i="23"/>
  <c r="D174" i="1"/>
  <c r="C204" i="23"/>
  <c r="D178" i="1"/>
  <c r="C208" i="23"/>
  <c r="D225" i="1"/>
  <c r="C262" i="23"/>
  <c r="C225" i="1"/>
  <c r="B262" i="23"/>
  <c r="C150" i="19"/>
  <c r="E150" i="19" s="1"/>
  <c r="D150" i="19" s="1"/>
  <c r="E129" i="19"/>
  <c r="D129" i="19" s="1"/>
  <c r="G129" i="19" s="1"/>
  <c r="H129" i="19" s="1"/>
  <c r="C146" i="19"/>
  <c r="E146" i="19" s="1"/>
  <c r="D146" i="19" s="1"/>
  <c r="C114" i="19"/>
  <c r="E114" i="19" s="1"/>
  <c r="D114" i="19" s="1"/>
  <c r="G114" i="19" s="1"/>
  <c r="H114" i="19" s="1"/>
  <c r="C32" i="19"/>
  <c r="E32" i="19" s="1"/>
  <c r="D32" i="19" s="1"/>
  <c r="G32" i="19" s="1"/>
  <c r="H32" i="19" s="1"/>
  <c r="C43" i="19"/>
  <c r="E43" i="19" s="1"/>
  <c r="D43" i="19" s="1"/>
  <c r="G43" i="19" s="1"/>
  <c r="H43" i="19" s="1"/>
  <c r="C115" i="19"/>
  <c r="E115" i="19" s="1"/>
  <c r="D115" i="19" s="1"/>
  <c r="G115" i="19" s="1"/>
  <c r="H115" i="19" s="1"/>
  <c r="E127" i="19"/>
  <c r="C45" i="19"/>
  <c r="E45" i="19" s="1"/>
  <c r="D45" i="19" s="1"/>
  <c r="G45" i="19" s="1"/>
  <c r="H45" i="19" s="1"/>
  <c r="C35" i="19"/>
  <c r="E35" i="19" s="1"/>
  <c r="D35" i="19" s="1"/>
  <c r="G35" i="19" s="1"/>
  <c r="H35" i="19" s="1"/>
  <c r="E126" i="19"/>
  <c r="C46" i="19"/>
  <c r="E46" i="19" s="1"/>
  <c r="D46" i="19" s="1"/>
  <c r="G46" i="19" s="1"/>
  <c r="H46" i="19" s="1"/>
  <c r="C28" i="19"/>
  <c r="E28" i="19" s="1"/>
  <c r="D28" i="19" s="1"/>
  <c r="G28" i="19" s="1"/>
  <c r="H28" i="19" s="1"/>
  <c r="E37" i="19"/>
  <c r="D37" i="19" s="1"/>
  <c r="G37" i="19" s="1"/>
  <c r="H37" i="19" s="1"/>
  <c r="E112" i="19"/>
  <c r="D112" i="19" s="1"/>
  <c r="G112" i="19" s="1"/>
  <c r="H112" i="19" s="1"/>
  <c r="C398" i="1"/>
  <c r="C394" i="1"/>
  <c r="C383" i="1"/>
  <c r="C377" i="1"/>
  <c r="C376" i="1"/>
  <c r="D399" i="1"/>
  <c r="C399" i="1"/>
  <c r="D396" i="1"/>
  <c r="C396" i="1"/>
  <c r="D395" i="1"/>
  <c r="C395" i="1"/>
  <c r="C391" i="1"/>
  <c r="D391" i="1"/>
  <c r="C390" i="1"/>
  <c r="D390" i="1"/>
  <c r="C389" i="1"/>
  <c r="D389" i="1"/>
  <c r="C388" i="1"/>
  <c r="D388" i="1"/>
  <c r="C386" i="1"/>
  <c r="D386" i="1"/>
  <c r="D385" i="1"/>
  <c r="C385" i="1"/>
  <c r="D384" i="1"/>
  <c r="C384" i="1"/>
  <c r="D378" i="1"/>
  <c r="D379" i="1"/>
  <c r="C379" i="1"/>
  <c r="R436" i="23" l="1"/>
  <c r="R439" i="23"/>
  <c r="L439" i="23"/>
  <c r="P436" i="23"/>
  <c r="R432" i="23"/>
  <c r="J433" i="23"/>
  <c r="V433" i="23"/>
  <c r="Z433" i="23"/>
  <c r="X433" i="23"/>
  <c r="L433" i="23"/>
  <c r="AD433" i="23"/>
  <c r="AB433" i="23"/>
  <c r="H433" i="23"/>
  <c r="P433" i="23"/>
  <c r="N433" i="23"/>
  <c r="R433" i="23"/>
  <c r="J432" i="23"/>
  <c r="Z432" i="23"/>
  <c r="V432" i="23"/>
  <c r="L432" i="23"/>
  <c r="X432" i="23"/>
  <c r="AB432" i="23"/>
  <c r="AD432" i="23"/>
  <c r="P432" i="23"/>
  <c r="H432" i="23"/>
  <c r="N432" i="23"/>
  <c r="AB439" i="23"/>
  <c r="V439" i="23"/>
  <c r="P439" i="23"/>
  <c r="X439" i="23"/>
  <c r="AD439" i="23"/>
  <c r="H439" i="23"/>
  <c r="J439" i="23"/>
  <c r="N439" i="23"/>
  <c r="Z439" i="23"/>
  <c r="R437" i="23"/>
  <c r="L437" i="23"/>
  <c r="AB437" i="23"/>
  <c r="N437" i="23"/>
  <c r="P437" i="23"/>
  <c r="V437" i="23"/>
  <c r="X437" i="23"/>
  <c r="AD437" i="23"/>
  <c r="J437" i="23"/>
  <c r="H437" i="23"/>
  <c r="Z437" i="23"/>
  <c r="N438" i="23"/>
  <c r="L438" i="23"/>
  <c r="H436" i="23"/>
  <c r="L436" i="23"/>
  <c r="N436" i="23"/>
  <c r="AB436" i="23"/>
  <c r="X436" i="23"/>
  <c r="J436" i="23"/>
  <c r="V436" i="23"/>
  <c r="AD436" i="23"/>
  <c r="Z436" i="23"/>
  <c r="R438" i="23"/>
  <c r="AB438" i="23"/>
  <c r="P438" i="23"/>
  <c r="V438" i="23"/>
  <c r="X438" i="23"/>
  <c r="AD438" i="23"/>
  <c r="J438" i="23"/>
  <c r="H438" i="23"/>
  <c r="Z438" i="23"/>
  <c r="X434" i="23"/>
  <c r="N434" i="23"/>
  <c r="J434" i="23"/>
  <c r="H434" i="23"/>
  <c r="V434" i="23"/>
  <c r="AD434" i="23"/>
  <c r="Z434" i="23"/>
  <c r="R434" i="23"/>
  <c r="P434" i="23"/>
  <c r="AB434" i="23"/>
  <c r="L434" i="23"/>
  <c r="D104" i="19"/>
  <c r="AD447" i="23"/>
  <c r="AB447" i="23"/>
  <c r="Z447" i="23"/>
  <c r="X447" i="23"/>
  <c r="T447" i="23"/>
  <c r="R447" i="23"/>
  <c r="P447" i="23"/>
  <c r="N447" i="23"/>
  <c r="L447" i="23"/>
  <c r="J447" i="23"/>
  <c r="H447" i="23"/>
  <c r="R58" i="23"/>
  <c r="H58" i="23"/>
  <c r="V61" i="23"/>
  <c r="R61" i="23"/>
  <c r="P61" i="23"/>
  <c r="X61" i="23"/>
  <c r="AD61" i="23"/>
  <c r="N61" i="23"/>
  <c r="AB61" i="23"/>
  <c r="L61" i="23"/>
  <c r="Z61" i="23"/>
  <c r="J61" i="23"/>
  <c r="H61" i="23"/>
  <c r="N58" i="23"/>
  <c r="J58" i="23"/>
  <c r="AD58" i="23"/>
  <c r="X58" i="23"/>
  <c r="Z58" i="23"/>
  <c r="P58" i="23"/>
  <c r="L58" i="23"/>
  <c r="AB58" i="23"/>
  <c r="V58" i="23"/>
  <c r="C128" i="19"/>
  <c r="C148" i="19"/>
  <c r="E148" i="19" s="1"/>
  <c r="D148" i="19" s="1"/>
  <c r="C143" i="19"/>
  <c r="D127" i="19"/>
  <c r="G127" i="19" s="1"/>
  <c r="H127" i="19" s="1"/>
  <c r="D126" i="19"/>
  <c r="G126" i="19" s="1"/>
  <c r="H126" i="19" s="1"/>
  <c r="E125" i="19"/>
  <c r="D125" i="19" s="1"/>
  <c r="G125" i="19" s="1"/>
  <c r="H125" i="19" s="1"/>
  <c r="C378" i="1"/>
  <c r="N441" i="23" l="1"/>
  <c r="AB441" i="23"/>
  <c r="H441" i="23"/>
  <c r="Z441" i="23"/>
  <c r="P441" i="23"/>
  <c r="J441" i="23"/>
  <c r="R441" i="23"/>
  <c r="L441" i="23"/>
  <c r="X441" i="23"/>
  <c r="V441" i="23"/>
  <c r="AD441" i="23"/>
  <c r="E143" i="19"/>
  <c r="D143" i="19" s="1"/>
  <c r="C147" i="19"/>
  <c r="E147" i="19" s="1"/>
  <c r="D147" i="19" s="1"/>
  <c r="E128" i="19"/>
  <c r="D128" i="19" s="1"/>
  <c r="G128" i="19" s="1"/>
  <c r="H128" i="19" s="1"/>
  <c r="J530" i="3"/>
  <c r="H517" i="3" l="1"/>
  <c r="B359" i="1" l="1"/>
  <c r="B360" i="1"/>
  <c r="B361" i="1"/>
  <c r="B362" i="1"/>
  <c r="B358" i="1"/>
  <c r="C221" i="1"/>
  <c r="A221" i="1"/>
  <c r="A188" i="1"/>
  <c r="A189" i="1"/>
  <c r="A190" i="1"/>
  <c r="A191" i="1"/>
  <c r="A192" i="1"/>
  <c r="A193" i="1"/>
  <c r="A194" i="1"/>
  <c r="A195" i="1"/>
  <c r="A196" i="1"/>
  <c r="A197" i="1"/>
  <c r="A187" i="1"/>
  <c r="C186" i="1"/>
  <c r="A186" i="1"/>
  <c r="C172" i="1"/>
  <c r="C173" i="1"/>
  <c r="C174" i="1"/>
  <c r="C175" i="1"/>
  <c r="C176" i="1"/>
  <c r="C178" i="1"/>
  <c r="B172" i="1"/>
  <c r="B173" i="1"/>
  <c r="B174" i="1"/>
  <c r="B175" i="1"/>
  <c r="B176" i="1"/>
  <c r="B178" i="1"/>
  <c r="A178" i="1"/>
  <c r="A179" i="1"/>
  <c r="A172" i="1"/>
  <c r="A173" i="1"/>
  <c r="A174" i="1"/>
  <c r="A175" i="1"/>
  <c r="A176" i="1"/>
  <c r="A177" i="1"/>
  <c r="A171" i="1"/>
  <c r="C170" i="1"/>
  <c r="A170" i="1"/>
  <c r="C159" i="1"/>
  <c r="C165" i="1"/>
  <c r="C166" i="1"/>
  <c r="C167" i="1"/>
  <c r="B159" i="1"/>
  <c r="B165" i="1"/>
  <c r="B166" i="1"/>
  <c r="B167" i="1"/>
  <c r="A159" i="1"/>
  <c r="A161" i="1"/>
  <c r="A162" i="1"/>
  <c r="A163" i="1"/>
  <c r="A165" i="1"/>
  <c r="A166" i="1"/>
  <c r="A167" i="1"/>
  <c r="A168" i="1"/>
  <c r="A158" i="1"/>
  <c r="C157" i="1"/>
  <c r="A157" i="1"/>
  <c r="A153" i="1"/>
  <c r="A151" i="1"/>
  <c r="A152" i="1"/>
  <c r="A150" i="1"/>
  <c r="C149" i="1"/>
  <c r="A149" i="1"/>
  <c r="C148" i="1"/>
  <c r="A148" i="1"/>
  <c r="A68" i="1"/>
  <c r="A63" i="1"/>
  <c r="A58" i="1"/>
  <c r="A59" i="1"/>
  <c r="A60" i="1"/>
  <c r="A57" i="1"/>
  <c r="A55" i="1"/>
  <c r="A54" i="1"/>
  <c r="A48" i="1"/>
  <c r="A26" i="1"/>
  <c r="A27" i="1"/>
  <c r="A28" i="1"/>
  <c r="A25" i="1"/>
  <c r="A14" i="1"/>
  <c r="B58" i="1" l="1"/>
  <c r="B59" i="1"/>
  <c r="B60" i="1"/>
  <c r="B26" i="1"/>
  <c r="B27" i="1"/>
  <c r="B28" i="1"/>
  <c r="C68" i="1"/>
  <c r="C63" i="1"/>
  <c r="D58" i="1"/>
  <c r="D59" i="1"/>
  <c r="D60" i="1"/>
  <c r="C58" i="1"/>
  <c r="C59" i="1"/>
  <c r="C60" i="1"/>
  <c r="C57" i="1"/>
  <c r="C54" i="1"/>
  <c r="B55" i="1"/>
  <c r="C48" i="1"/>
  <c r="D26" i="1"/>
  <c r="D27" i="1"/>
  <c r="D28" i="1"/>
  <c r="C26" i="1"/>
  <c r="C27" i="1"/>
  <c r="C28" i="1"/>
  <c r="C25" i="1"/>
  <c r="C31" i="23" l="1"/>
  <c r="C55" i="1"/>
  <c r="B61" i="23"/>
  <c r="B31" i="23"/>
  <c r="D55" i="1"/>
  <c r="C61" i="23"/>
  <c r="J131" i="3"/>
  <c r="C191" i="1" l="1"/>
  <c r="B222" i="23"/>
  <c r="C192" i="1"/>
  <c r="B223" i="23"/>
  <c r="C193" i="1"/>
  <c r="B224" i="23"/>
  <c r="H130" i="3"/>
  <c r="J46" i="3" l="1"/>
  <c r="C41" i="19" l="1"/>
  <c r="E41" i="19" s="1"/>
  <c r="D41" i="19" s="1"/>
  <c r="G41" i="19" s="1"/>
  <c r="H41" i="19" s="1"/>
  <c r="H45" i="3"/>
  <c r="H79" i="3"/>
  <c r="C26" i="19" l="1"/>
  <c r="C48" i="19"/>
  <c r="E48" i="19" l="1"/>
  <c r="D48" i="19" s="1"/>
  <c r="G48" i="19" s="1"/>
  <c r="H48" i="19" s="1"/>
  <c r="E26" i="19"/>
  <c r="D26" i="19" s="1"/>
  <c r="G26" i="19" s="1"/>
  <c r="H26" i="19" s="1"/>
  <c r="F14" i="1"/>
  <c r="D228" i="1" l="1"/>
  <c r="C265" i="23"/>
  <c r="B228" i="1"/>
  <c r="C228" i="1" l="1"/>
  <c r="B265" i="23"/>
  <c r="D227" i="1" l="1"/>
  <c r="C264" i="23"/>
  <c r="C179" i="1"/>
  <c r="B209" i="23"/>
  <c r="C177" i="1"/>
  <c r="B207" i="23"/>
  <c r="D177" i="1"/>
  <c r="C207" i="23"/>
  <c r="D179" i="1"/>
  <c r="C209" i="23"/>
  <c r="B227" i="1"/>
  <c r="B179" i="1"/>
  <c r="B177" i="1"/>
  <c r="C227" i="1" l="1"/>
  <c r="B264" i="23"/>
  <c r="C411" i="23" l="1"/>
  <c r="B411" i="23"/>
  <c r="C410" i="23"/>
  <c r="B410" i="23"/>
  <c r="C409" i="23"/>
  <c r="B409" i="23"/>
  <c r="B363" i="1" l="1"/>
  <c r="B364" i="1"/>
  <c r="B365" i="1"/>
  <c r="H70" i="3" l="1"/>
  <c r="C360" i="1"/>
  <c r="D360" i="1"/>
  <c r="C361" i="1"/>
  <c r="D361" i="1"/>
  <c r="C362" i="1"/>
  <c r="D362" i="1"/>
  <c r="C363" i="1"/>
  <c r="D363" i="1"/>
  <c r="C364" i="1"/>
  <c r="D364" i="1"/>
  <c r="C365" i="1"/>
  <c r="D365" i="1"/>
  <c r="C357" i="1"/>
  <c r="C358" i="1"/>
  <c r="D358" i="1"/>
  <c r="C359" i="1"/>
  <c r="D359" i="1"/>
  <c r="F13" i="1" l="1"/>
  <c r="C17" i="19" l="1"/>
  <c r="E17" i="19" s="1"/>
  <c r="D17" i="19" s="1"/>
  <c r="G17" i="19" s="1"/>
  <c r="H17" i="19" s="1"/>
  <c r="D195" i="1" l="1"/>
  <c r="C226" i="23"/>
  <c r="D163" i="1"/>
  <c r="C192" i="23"/>
  <c r="D187" i="1"/>
  <c r="C218" i="23"/>
  <c r="D150" i="1"/>
  <c r="C178" i="23"/>
  <c r="D152" i="1"/>
  <c r="C180" i="23"/>
  <c r="D191" i="1"/>
  <c r="C222" i="23"/>
  <c r="C196" i="1"/>
  <c r="B227" i="23"/>
  <c r="D162" i="1"/>
  <c r="C191" i="23"/>
  <c r="D188" i="1"/>
  <c r="C219" i="23"/>
  <c r="D153" i="1"/>
  <c r="C181" i="23"/>
  <c r="D189" i="1"/>
  <c r="C220" i="23"/>
  <c r="D192" i="1"/>
  <c r="C223" i="23"/>
  <c r="D196" i="1"/>
  <c r="C227" i="23"/>
  <c r="D197" i="1"/>
  <c r="C228" i="23"/>
  <c r="D168" i="1"/>
  <c r="C197" i="23"/>
  <c r="D151" i="1"/>
  <c r="C179" i="23"/>
  <c r="D158" i="1"/>
  <c r="C187" i="23"/>
  <c r="D193" i="1"/>
  <c r="C224" i="23"/>
  <c r="D161" i="1"/>
  <c r="C190" i="23"/>
  <c r="D190" i="1"/>
  <c r="C221" i="23"/>
  <c r="D194" i="1"/>
  <c r="C225" i="23"/>
  <c r="C197" i="1"/>
  <c r="B228" i="23"/>
  <c r="B196" i="1"/>
  <c r="B197" i="1"/>
  <c r="B151" i="1" l="1"/>
  <c r="B152" i="1"/>
  <c r="B150" i="1"/>
  <c r="B153" i="1"/>
  <c r="C171" i="1"/>
  <c r="C153" i="1" l="1"/>
  <c r="B181" i="23"/>
  <c r="C152" i="1"/>
  <c r="B180" i="23"/>
  <c r="B171" i="1"/>
  <c r="H118" i="3"/>
  <c r="C50" i="19" l="1"/>
  <c r="E50" i="19" s="1"/>
  <c r="D50" i="19" s="1"/>
  <c r="G50" i="19" s="1"/>
  <c r="H50" i="19" s="1"/>
  <c r="J161" i="3" l="1"/>
  <c r="J151" i="3"/>
  <c r="J141" i="3"/>
  <c r="J171" i="3"/>
  <c r="J183" i="3" l="1"/>
  <c r="H160" i="3"/>
  <c r="H170" i="3"/>
  <c r="H140" i="3"/>
  <c r="H150" i="3"/>
  <c r="J322" i="3"/>
  <c r="H182" i="3" l="1"/>
  <c r="J297" i="3"/>
  <c r="J258" i="3"/>
  <c r="J310" i="3"/>
  <c r="H475" i="3"/>
  <c r="H211" i="3"/>
  <c r="H425" i="3"/>
  <c r="J374" i="3"/>
  <c r="J271" i="3"/>
  <c r="J284" i="3"/>
  <c r="J348" i="3" l="1"/>
  <c r="J245" i="3"/>
  <c r="J361" i="3"/>
  <c r="J335" i="3"/>
  <c r="H257" i="3"/>
  <c r="H385" i="3"/>
  <c r="H221" i="3"/>
  <c r="H231" i="3"/>
  <c r="H201" i="3"/>
  <c r="H244" i="3" l="1"/>
  <c r="H334" i="3"/>
  <c r="C33" i="19" l="1"/>
  <c r="E33" i="19" s="1"/>
  <c r="D33" i="19" s="1"/>
  <c r="G33" i="19" s="1"/>
  <c r="H33" i="19" s="1"/>
  <c r="C44" i="19"/>
  <c r="E44" i="19" s="1"/>
  <c r="D44" i="19" s="1"/>
  <c r="G44" i="19" s="1"/>
  <c r="H44" i="19" s="1"/>
  <c r="C36" i="19"/>
  <c r="E36" i="19" s="1"/>
  <c r="D36" i="19" s="1"/>
  <c r="G36" i="19" s="1"/>
  <c r="H36" i="19" s="1"/>
  <c r="J54" i="3"/>
  <c r="C38" i="19" l="1"/>
  <c r="E38" i="19" s="1"/>
  <c r="D38" i="19" s="1"/>
  <c r="G38" i="19" s="1"/>
  <c r="H38" i="19" s="1"/>
  <c r="H53" i="3"/>
  <c r="C29" i="19" l="1"/>
  <c r="E29" i="19" s="1"/>
  <c r="D29" i="19" s="1"/>
  <c r="G29" i="19" s="1"/>
  <c r="H29" i="19" s="1"/>
  <c r="C51" i="19"/>
  <c r="E51" i="19" s="1"/>
  <c r="D51" i="19" s="1"/>
  <c r="G51" i="19" s="1"/>
  <c r="H51" i="19" s="1"/>
  <c r="J63" i="3"/>
  <c r="B187" i="23"/>
  <c r="B197" i="23"/>
  <c r="B192" i="23"/>
  <c r="B191" i="23"/>
  <c r="B190" i="23"/>
  <c r="C190" i="1" l="1"/>
  <c r="B221" i="23"/>
  <c r="C187" i="1"/>
  <c r="B218" i="23"/>
  <c r="C189" i="1"/>
  <c r="B220" i="23"/>
  <c r="C150" i="1"/>
  <c r="B178" i="23"/>
  <c r="C194" i="1"/>
  <c r="B225" i="23"/>
  <c r="C188" i="1"/>
  <c r="B219" i="23"/>
  <c r="C151" i="1"/>
  <c r="B179" i="23"/>
  <c r="C195" i="1"/>
  <c r="B226" i="23"/>
  <c r="B195" i="1"/>
  <c r="B187" i="1"/>
  <c r="B190" i="1"/>
  <c r="B188" i="1"/>
  <c r="B191" i="1"/>
  <c r="B168" i="1"/>
  <c r="B192" i="1"/>
  <c r="B189" i="1"/>
  <c r="B193" i="1"/>
  <c r="B194" i="1"/>
  <c r="C163" i="1"/>
  <c r="B158" i="1"/>
  <c r="C161" i="1"/>
  <c r="C158" i="1"/>
  <c r="C168" i="1"/>
  <c r="B163" i="1"/>
  <c r="B161" i="1"/>
  <c r="B162" i="1"/>
  <c r="C162" i="1"/>
  <c r="B5" i="23" l="1"/>
  <c r="B6" i="23"/>
  <c r="B7" i="23"/>
  <c r="B4" i="23"/>
  <c r="B7" i="5"/>
  <c r="B6" i="5"/>
  <c r="B5" i="5"/>
  <c r="B7" i="3"/>
  <c r="B6" i="3"/>
  <c r="B5" i="3"/>
  <c r="B4" i="3"/>
  <c r="F4" i="3"/>
  <c r="F5" i="3"/>
  <c r="I4" i="2"/>
  <c r="I5" i="2"/>
  <c r="B4" i="6"/>
  <c r="B5" i="6"/>
  <c r="B6" i="6"/>
  <c r="B7" i="6"/>
  <c r="A2" i="6"/>
  <c r="A4" i="6"/>
  <c r="A5" i="6"/>
  <c r="A6" i="6"/>
  <c r="A7" i="6"/>
  <c r="A1" i="6"/>
  <c r="D4" i="4" l="1"/>
  <c r="C5" i="19"/>
  <c r="C4" i="4"/>
  <c r="C4" i="19"/>
  <c r="B6" i="4"/>
  <c r="B5" i="4"/>
  <c r="B4" i="4"/>
  <c r="B7" i="4"/>
  <c r="C5" i="5"/>
  <c r="C4" i="5"/>
  <c r="D23" i="23"/>
  <c r="AG23" i="23" s="1"/>
  <c r="D14" i="1"/>
  <c r="A21" i="1"/>
  <c r="C21" i="1"/>
  <c r="A22" i="1"/>
  <c r="C22" i="1"/>
  <c r="D22" i="1"/>
  <c r="D13" i="1"/>
  <c r="C12" i="1"/>
  <c r="A12" i="1"/>
  <c r="D11" i="1"/>
  <c r="C11" i="1"/>
  <c r="B11" i="1"/>
  <c r="A11" i="1"/>
  <c r="F250" i="2" s="1"/>
  <c r="D252" i="23" s="1"/>
  <c r="B22" i="1"/>
  <c r="A7" i="3"/>
  <c r="A2" i="3"/>
  <c r="A4" i="3"/>
  <c r="A5" i="3"/>
  <c r="A6" i="3"/>
  <c r="A1" i="3"/>
  <c r="B15" i="6"/>
  <c r="A15" i="6"/>
  <c r="B14" i="6"/>
  <c r="A14" i="6"/>
  <c r="B13" i="6"/>
  <c r="A13" i="6"/>
  <c r="A2" i="5"/>
  <c r="A4" i="5"/>
  <c r="A5" i="5"/>
  <c r="A6" i="5"/>
  <c r="A7" i="5"/>
  <c r="A1" i="5"/>
  <c r="I252" i="23" l="1"/>
  <c r="L250" i="2"/>
  <c r="I250" i="2"/>
  <c r="F252" i="23" s="1"/>
  <c r="AK252" i="23" s="1"/>
  <c r="J619" i="2"/>
  <c r="K619" i="2" s="1"/>
  <c r="G619" i="2"/>
  <c r="H619" i="2" s="1"/>
  <c r="E622" i="23" s="1"/>
  <c r="J620" i="2"/>
  <c r="K620" i="2" s="1"/>
  <c r="G620" i="2"/>
  <c r="H620" i="2" s="1"/>
  <c r="E623" i="23" s="1"/>
  <c r="F619" i="2"/>
  <c r="D622" i="23" s="1"/>
  <c r="F620" i="2"/>
  <c r="D623" i="23" s="1"/>
  <c r="G82" i="2"/>
  <c r="H82" i="2" s="1"/>
  <c r="E81" i="23" s="1"/>
  <c r="G84" i="2"/>
  <c r="H84" i="2" s="1"/>
  <c r="E83" i="23" s="1"/>
  <c r="G83" i="2"/>
  <c r="H83" i="2" s="1"/>
  <c r="E82" i="23" s="1"/>
  <c r="J84" i="2"/>
  <c r="K84" i="2" s="1"/>
  <c r="G81" i="2"/>
  <c r="H81" i="2" s="1"/>
  <c r="E80" i="23" s="1"/>
  <c r="J81" i="2"/>
  <c r="K81" i="2" s="1"/>
  <c r="G79" i="2"/>
  <c r="H79" i="2" s="1"/>
  <c r="E78" i="23" s="1"/>
  <c r="J83" i="2"/>
  <c r="K83" i="2" s="1"/>
  <c r="J82" i="2"/>
  <c r="K82" i="2" s="1"/>
  <c r="J80" i="2"/>
  <c r="K80" i="2" s="1"/>
  <c r="G80" i="2"/>
  <c r="H80" i="2" s="1"/>
  <c r="E79" i="23" s="1"/>
  <c r="F180" i="2"/>
  <c r="D182" i="23" s="1"/>
  <c r="F181" i="2"/>
  <c r="D183" i="23" s="1"/>
  <c r="G181" i="2"/>
  <c r="H181" i="2" s="1"/>
  <c r="E183" i="23" s="1"/>
  <c r="J181" i="2"/>
  <c r="K181" i="2" s="1"/>
  <c r="G180" i="2"/>
  <c r="H180" i="2" s="1"/>
  <c r="E182" i="23" s="1"/>
  <c r="J180" i="2"/>
  <c r="K180" i="2" s="1"/>
  <c r="F334" i="2"/>
  <c r="D336" i="23" s="1"/>
  <c r="F332" i="2"/>
  <c r="D334" i="23" s="1"/>
  <c r="F333" i="2"/>
  <c r="D335" i="23" s="1"/>
  <c r="F278" i="2"/>
  <c r="F279" i="2"/>
  <c r="D281" i="23" s="1"/>
  <c r="F276" i="2"/>
  <c r="F277" i="2"/>
  <c r="D279" i="23" s="1"/>
  <c r="G361" i="2"/>
  <c r="H361" i="2" s="1"/>
  <c r="J361" i="2"/>
  <c r="K361" i="2" s="1"/>
  <c r="G360" i="2"/>
  <c r="H360" i="2" s="1"/>
  <c r="J360" i="2"/>
  <c r="K360" i="2" s="1"/>
  <c r="G359" i="2"/>
  <c r="H359" i="2" s="1"/>
  <c r="J359" i="2"/>
  <c r="K359" i="2" s="1"/>
  <c r="G358" i="2"/>
  <c r="H358" i="2" s="1"/>
  <c r="J358" i="2"/>
  <c r="K358" i="2" s="1"/>
  <c r="F330" i="2"/>
  <c r="F331" i="2"/>
  <c r="D333" i="23" s="1"/>
  <c r="F328" i="2"/>
  <c r="D330" i="23" s="1"/>
  <c r="F329" i="2"/>
  <c r="D331" i="23" s="1"/>
  <c r="G329" i="2"/>
  <c r="H329" i="2" s="1"/>
  <c r="E331" i="23" s="1"/>
  <c r="J329" i="2"/>
  <c r="K329" i="2" s="1"/>
  <c r="G328" i="2"/>
  <c r="H328" i="2" s="1"/>
  <c r="E330" i="23" s="1"/>
  <c r="J328" i="2"/>
  <c r="K328" i="2" s="1"/>
  <c r="F326" i="2"/>
  <c r="D328" i="23" s="1"/>
  <c r="F327" i="2"/>
  <c r="D329" i="23" s="1"/>
  <c r="G327" i="2"/>
  <c r="H327" i="2" s="1"/>
  <c r="E329" i="23" s="1"/>
  <c r="J327" i="2"/>
  <c r="K327" i="2" s="1"/>
  <c r="G326" i="2"/>
  <c r="H326" i="2" s="1"/>
  <c r="E328" i="23" s="1"/>
  <c r="J326" i="2"/>
  <c r="K326" i="2" s="1"/>
  <c r="F324" i="2"/>
  <c r="D326" i="23" s="1"/>
  <c r="F325" i="2"/>
  <c r="D327" i="23" s="1"/>
  <c r="F131" i="2"/>
  <c r="D132" i="23" s="1"/>
  <c r="F132" i="2"/>
  <c r="D133" i="23" s="1"/>
  <c r="F133" i="2"/>
  <c r="D134" i="23" s="1"/>
  <c r="F553" i="2"/>
  <c r="D555" i="23" s="1"/>
  <c r="F554" i="2"/>
  <c r="D556" i="23" s="1"/>
  <c r="J554" i="2"/>
  <c r="K554" i="2" s="1"/>
  <c r="J519" i="2"/>
  <c r="K519" i="2" s="1"/>
  <c r="G554" i="2"/>
  <c r="H554" i="2" s="1"/>
  <c r="J553" i="2"/>
  <c r="K553" i="2" s="1"/>
  <c r="G553" i="2"/>
  <c r="H553" i="2" s="1"/>
  <c r="G519" i="2"/>
  <c r="H519" i="2" s="1"/>
  <c r="E521" i="23" s="1"/>
  <c r="F518" i="2"/>
  <c r="D520" i="23" s="1"/>
  <c r="Y520" i="23" s="1"/>
  <c r="F519" i="2"/>
  <c r="D521" i="23" s="1"/>
  <c r="Y521" i="23" s="1"/>
  <c r="J518" i="2"/>
  <c r="K518" i="2" s="1"/>
  <c r="G518" i="2"/>
  <c r="H518" i="2" s="1"/>
  <c r="E520" i="23" s="1"/>
  <c r="F469" i="2"/>
  <c r="D472" i="23" s="1"/>
  <c r="F515" i="2"/>
  <c r="D517" i="23" s="1"/>
  <c r="F516" i="2"/>
  <c r="D518" i="23" s="1"/>
  <c r="Y518" i="23" s="1"/>
  <c r="AE518" i="23" s="1"/>
  <c r="F514" i="2"/>
  <c r="D516" i="23" s="1"/>
  <c r="F517" i="2"/>
  <c r="D519" i="23" s="1"/>
  <c r="Y519" i="23" s="1"/>
  <c r="AE519" i="23" s="1"/>
  <c r="G516" i="2"/>
  <c r="H516" i="2" s="1"/>
  <c r="E518" i="23" s="1"/>
  <c r="J517" i="2"/>
  <c r="K517" i="2" s="1"/>
  <c r="J515" i="2"/>
  <c r="K515" i="2" s="1"/>
  <c r="G517" i="2"/>
  <c r="H517" i="2" s="1"/>
  <c r="E519" i="23" s="1"/>
  <c r="G515" i="2"/>
  <c r="H515" i="2" s="1"/>
  <c r="E517" i="23" s="1"/>
  <c r="J514" i="2"/>
  <c r="K514" i="2" s="1"/>
  <c r="J516" i="2"/>
  <c r="K516" i="2" s="1"/>
  <c r="G514" i="2"/>
  <c r="H514" i="2" s="1"/>
  <c r="E516" i="23" s="1"/>
  <c r="J469" i="2"/>
  <c r="K469" i="2" s="1"/>
  <c r="G469" i="2"/>
  <c r="H469" i="2" s="1"/>
  <c r="E472" i="23" s="1"/>
  <c r="F464" i="2"/>
  <c r="D467" i="23" s="1"/>
  <c r="K467" i="23" s="1"/>
  <c r="F468" i="2"/>
  <c r="D471" i="23" s="1"/>
  <c r="J468" i="2"/>
  <c r="K468" i="2" s="1"/>
  <c r="G468" i="2"/>
  <c r="H468" i="2" s="1"/>
  <c r="E471" i="23" s="1"/>
  <c r="F211" i="2"/>
  <c r="D213" i="23" s="1"/>
  <c r="U213" i="23" s="1"/>
  <c r="AE213" i="23" s="1"/>
  <c r="F212" i="2"/>
  <c r="J211" i="2"/>
  <c r="K211" i="2" s="1"/>
  <c r="G211" i="2"/>
  <c r="H211" i="2" s="1"/>
  <c r="E213" i="23" s="1"/>
  <c r="F191" i="2"/>
  <c r="D193" i="23" s="1"/>
  <c r="U193" i="23" s="1"/>
  <c r="AE193" i="23" s="1"/>
  <c r="J191" i="2"/>
  <c r="K191" i="2" s="1"/>
  <c r="G191" i="2"/>
  <c r="H191" i="2" s="1"/>
  <c r="E193" i="23" s="1"/>
  <c r="F194" i="2"/>
  <c r="F186" i="2"/>
  <c r="F195" i="2"/>
  <c r="F187" i="2"/>
  <c r="D189" i="23" s="1"/>
  <c r="U189" i="23" s="1"/>
  <c r="AE189" i="23" s="1"/>
  <c r="F188" i="2"/>
  <c r="F189" i="2"/>
  <c r="F190" i="2"/>
  <c r="F192" i="2"/>
  <c r="F193" i="2"/>
  <c r="J187" i="2"/>
  <c r="K187" i="2" s="1"/>
  <c r="G187" i="2"/>
  <c r="H187" i="2" s="1"/>
  <c r="E189" i="23" s="1"/>
  <c r="J186" i="2"/>
  <c r="K186" i="2" s="1"/>
  <c r="G186" i="2"/>
  <c r="H186" i="2" s="1"/>
  <c r="E188" i="23" s="1"/>
  <c r="F169" i="2"/>
  <c r="D170" i="23" s="1"/>
  <c r="Q170" i="23" s="1"/>
  <c r="AE170" i="23" s="1"/>
  <c r="F85" i="2"/>
  <c r="D84" i="23" s="1"/>
  <c r="S84" i="23" s="1"/>
  <c r="J169" i="2"/>
  <c r="K169" i="2" s="1"/>
  <c r="G169" i="2"/>
  <c r="H169" i="2" s="1"/>
  <c r="E170" i="23" s="1"/>
  <c r="G168" i="2"/>
  <c r="H168" i="2" s="1"/>
  <c r="E169" i="23" s="1"/>
  <c r="J168" i="2"/>
  <c r="K168" i="2" s="1"/>
  <c r="F126" i="2"/>
  <c r="F168" i="2"/>
  <c r="D169" i="23" s="1"/>
  <c r="Q169" i="23" s="1"/>
  <c r="AE169" i="23" s="1"/>
  <c r="F86" i="2"/>
  <c r="D85" i="23" s="1"/>
  <c r="S85" i="23" s="1"/>
  <c r="AE85" i="23" s="1"/>
  <c r="F127" i="2"/>
  <c r="D128" i="23" s="1"/>
  <c r="O128" i="23" s="1"/>
  <c r="AE128" i="23" s="1"/>
  <c r="J127" i="2"/>
  <c r="K127" i="2" s="1"/>
  <c r="G127" i="2"/>
  <c r="H127" i="2" s="1"/>
  <c r="E128" i="23" s="1"/>
  <c r="J86" i="2"/>
  <c r="K86" i="2" s="1"/>
  <c r="G86" i="2"/>
  <c r="H86" i="2" s="1"/>
  <c r="E85" i="23" s="1"/>
  <c r="F83" i="2"/>
  <c r="F84" i="2"/>
  <c r="F82" i="2"/>
  <c r="G353" i="2"/>
  <c r="H353" i="2" s="1"/>
  <c r="J353" i="2"/>
  <c r="K353" i="2" s="1"/>
  <c r="G351" i="2"/>
  <c r="H351" i="2" s="1"/>
  <c r="J351" i="2"/>
  <c r="K351" i="2" s="1"/>
  <c r="G352" i="2"/>
  <c r="H352" i="2" s="1"/>
  <c r="J350" i="2"/>
  <c r="K350" i="2" s="1"/>
  <c r="J352" i="2"/>
  <c r="K352" i="2" s="1"/>
  <c r="G350" i="2"/>
  <c r="H350" i="2" s="1"/>
  <c r="J286" i="2"/>
  <c r="K286" i="2" s="1"/>
  <c r="G286" i="2"/>
  <c r="H286" i="2" s="1"/>
  <c r="E288" i="23" s="1"/>
  <c r="G287" i="2"/>
  <c r="H287" i="2" s="1"/>
  <c r="E289" i="23" s="1"/>
  <c r="G285" i="2"/>
  <c r="H285" i="2" s="1"/>
  <c r="E287" i="23" s="1"/>
  <c r="J285" i="2"/>
  <c r="K285" i="2" s="1"/>
  <c r="G288" i="2"/>
  <c r="H288" i="2" s="1"/>
  <c r="E290" i="23" s="1"/>
  <c r="J287" i="2"/>
  <c r="K287" i="2" s="1"/>
  <c r="J288" i="2"/>
  <c r="K288" i="2" s="1"/>
  <c r="J552" i="2"/>
  <c r="K552" i="2" s="1"/>
  <c r="G552" i="2"/>
  <c r="H552" i="2" s="1"/>
  <c r="G551" i="2"/>
  <c r="H551" i="2" s="1"/>
  <c r="E553" i="23" s="1"/>
  <c r="J551" i="2"/>
  <c r="K551" i="2" s="1"/>
  <c r="F551" i="2"/>
  <c r="D553" i="23" s="1"/>
  <c r="F552" i="2"/>
  <c r="D554" i="23" s="1"/>
  <c r="F314" i="2"/>
  <c r="F317" i="2"/>
  <c r="F318" i="2"/>
  <c r="F315" i="2"/>
  <c r="F316" i="2"/>
  <c r="F285" i="2"/>
  <c r="D287" i="23" s="1"/>
  <c r="M287" i="23" s="1"/>
  <c r="AE287" i="23" s="1"/>
  <c r="F286" i="2"/>
  <c r="D288" i="23" s="1"/>
  <c r="M288" i="23" s="1"/>
  <c r="AE288" i="23" s="1"/>
  <c r="F287" i="2"/>
  <c r="D289" i="23" s="1"/>
  <c r="M289" i="23" s="1"/>
  <c r="AE289" i="23" s="1"/>
  <c r="F288" i="2"/>
  <c r="D290" i="23" s="1"/>
  <c r="M290" i="23" s="1"/>
  <c r="AE290" i="23" s="1"/>
  <c r="F624" i="2"/>
  <c r="F605" i="2"/>
  <c r="F582" i="2"/>
  <c r="F563" i="2"/>
  <c r="F512" i="2"/>
  <c r="F497" i="2"/>
  <c r="F470" i="2"/>
  <c r="F447" i="2"/>
  <c r="F426" i="2"/>
  <c r="F410" i="2"/>
  <c r="F395" i="2"/>
  <c r="F378" i="2"/>
  <c r="F321" i="2"/>
  <c r="F310" i="2"/>
  <c r="F299" i="2"/>
  <c r="F282" i="2"/>
  <c r="F262" i="2"/>
  <c r="F244" i="2"/>
  <c r="F205" i="2"/>
  <c r="F165" i="2"/>
  <c r="F141" i="2"/>
  <c r="F112" i="2"/>
  <c r="F42" i="2"/>
  <c r="F29" i="2"/>
  <c r="F614" i="2"/>
  <c r="F597" i="2"/>
  <c r="F577" i="2"/>
  <c r="F504" i="2"/>
  <c r="F482" i="2"/>
  <c r="F462" i="2"/>
  <c r="D465" i="23" s="1"/>
  <c r="K465" i="23" s="1"/>
  <c r="F436" i="2"/>
  <c r="F417" i="2"/>
  <c r="F405" i="2"/>
  <c r="F385" i="2"/>
  <c r="F373" i="2"/>
  <c r="D376" i="23" s="1"/>
  <c r="M376" i="23" s="1"/>
  <c r="F306" i="2"/>
  <c r="F294" i="2"/>
  <c r="F268" i="2"/>
  <c r="F260" i="2"/>
  <c r="F239" i="2"/>
  <c r="F216" i="2"/>
  <c r="F201" i="2"/>
  <c r="F179" i="2"/>
  <c r="F157" i="2"/>
  <c r="F122" i="2"/>
  <c r="F101" i="2"/>
  <c r="F74" i="2"/>
  <c r="F55" i="2"/>
  <c r="F34" i="2"/>
  <c r="D33" i="23" s="1"/>
  <c r="S33" i="23" s="1"/>
  <c r="F626" i="2"/>
  <c r="F607" i="2"/>
  <c r="F584" i="2"/>
  <c r="F565" i="2"/>
  <c r="F525" i="2"/>
  <c r="D527" i="23" s="1"/>
  <c r="F499" i="2"/>
  <c r="F474" i="2"/>
  <c r="F454" i="2"/>
  <c r="F431" i="2"/>
  <c r="F412" i="2"/>
  <c r="F408" i="2"/>
  <c r="F397" i="2"/>
  <c r="F380" i="2"/>
  <c r="F323" i="2"/>
  <c r="F312" i="2"/>
  <c r="F301" i="2"/>
  <c r="F284" i="2"/>
  <c r="F249" i="2"/>
  <c r="F231" i="2"/>
  <c r="F220" i="2"/>
  <c r="F207" i="2"/>
  <c r="F167" i="2"/>
  <c r="D168" i="23" s="1"/>
  <c r="Q168" i="23" s="1"/>
  <c r="AE168" i="23" s="1"/>
  <c r="F146" i="2"/>
  <c r="F114" i="2"/>
  <c r="F91" i="2"/>
  <c r="F66" i="2"/>
  <c r="F47" i="2"/>
  <c r="F616" i="2"/>
  <c r="F602" i="2"/>
  <c r="F579" i="2"/>
  <c r="F560" i="2"/>
  <c r="F509" i="2"/>
  <c r="F484" i="2"/>
  <c r="F465" i="2"/>
  <c r="F438" i="2"/>
  <c r="F423" i="2"/>
  <c r="F409" i="2"/>
  <c r="F392" i="2"/>
  <c r="D395" i="23" s="1"/>
  <c r="K395" i="23" s="1"/>
  <c r="F375" i="2"/>
  <c r="F308" i="2"/>
  <c r="F296" i="2"/>
  <c r="F273" i="2"/>
  <c r="F261" i="2"/>
  <c r="F241" i="2"/>
  <c r="F225" i="2"/>
  <c r="F218" i="2"/>
  <c r="F159" i="2"/>
  <c r="F124" i="2"/>
  <c r="D125" i="23" s="1"/>
  <c r="O125" i="23" s="1"/>
  <c r="AE125" i="23" s="1"/>
  <c r="F106" i="2"/>
  <c r="F79" i="2"/>
  <c r="F57" i="2"/>
  <c r="F39" i="2"/>
  <c r="F31" i="2"/>
  <c r="F589" i="2"/>
  <c r="F571" i="2"/>
  <c r="F530" i="2"/>
  <c r="F501" i="2"/>
  <c r="F476" i="2"/>
  <c r="F456" i="2"/>
  <c r="F433" i="2"/>
  <c r="F414" i="2"/>
  <c r="F382" i="2"/>
  <c r="F370" i="2"/>
  <c r="D373" i="23" s="1"/>
  <c r="M373" i="23" s="1"/>
  <c r="F303" i="2"/>
  <c r="F265" i="2"/>
  <c r="F257" i="2"/>
  <c r="F233" i="2"/>
  <c r="F222" i="2"/>
  <c r="F209" i="2"/>
  <c r="F176" i="2"/>
  <c r="F151" i="2"/>
  <c r="F116" i="2"/>
  <c r="F98" i="2"/>
  <c r="F68" i="2"/>
  <c r="F49" i="2"/>
  <c r="F618" i="2"/>
  <c r="F604" i="2"/>
  <c r="D607" i="23" s="1"/>
  <c r="G607" i="23" s="1"/>
  <c r="F581" i="2"/>
  <c r="F562" i="2"/>
  <c r="F511" i="2"/>
  <c r="F493" i="2"/>
  <c r="F467" i="2"/>
  <c r="F443" i="2"/>
  <c r="F425" i="2"/>
  <c r="F394" i="2"/>
  <c r="F377" i="2"/>
  <c r="F320" i="2"/>
  <c r="F309" i="2"/>
  <c r="F298" i="2"/>
  <c r="F275" i="2"/>
  <c r="F243" i="2"/>
  <c r="F219" i="2"/>
  <c r="F204" i="2"/>
  <c r="F161" i="2"/>
  <c r="F140" i="2"/>
  <c r="F111" i="2"/>
  <c r="F81" i="2"/>
  <c r="F62" i="2"/>
  <c r="F41" i="2"/>
  <c r="F33" i="2"/>
  <c r="F613" i="2"/>
  <c r="F596" i="2"/>
  <c r="F573" i="2"/>
  <c r="F532" i="2"/>
  <c r="F503" i="2"/>
  <c r="F478" i="2"/>
  <c r="F461" i="2"/>
  <c r="F435" i="2"/>
  <c r="F416" i="2"/>
  <c r="F404" i="2"/>
  <c r="F384" i="2"/>
  <c r="F372" i="2"/>
  <c r="F305" i="2"/>
  <c r="F293" i="2"/>
  <c r="F267" i="2"/>
  <c r="F259" i="2"/>
  <c r="F238" i="2"/>
  <c r="F224" i="2"/>
  <c r="F200" i="2"/>
  <c r="F178" i="2"/>
  <c r="F153" i="2"/>
  <c r="F118" i="2"/>
  <c r="F100" i="2"/>
  <c r="F73" i="2"/>
  <c r="F51" i="2"/>
  <c r="F625" i="2"/>
  <c r="F606" i="2"/>
  <c r="F583" i="2"/>
  <c r="F564" i="2"/>
  <c r="F513" i="2"/>
  <c r="F498" i="2"/>
  <c r="F448" i="2"/>
  <c r="F430" i="2"/>
  <c r="F411" i="2"/>
  <c r="F396" i="2"/>
  <c r="F379" i="2"/>
  <c r="F322" i="2"/>
  <c r="F311" i="2"/>
  <c r="F300" i="2"/>
  <c r="F283" i="2"/>
  <c r="F263" i="2"/>
  <c r="F245" i="2"/>
  <c r="F206" i="2"/>
  <c r="F166" i="2"/>
  <c r="D167" i="23" s="1"/>
  <c r="Q167" i="23" s="1"/>
  <c r="AE167" i="23" s="1"/>
  <c r="F142" i="2"/>
  <c r="F113" i="2"/>
  <c r="F90" i="2"/>
  <c r="F46" i="2"/>
  <c r="D45" i="23" s="1"/>
  <c r="F30" i="2"/>
  <c r="F615" i="2"/>
  <c r="F598" i="2"/>
  <c r="F578" i="2"/>
  <c r="F508" i="2"/>
  <c r="F483" i="2"/>
  <c r="F463" i="2"/>
  <c r="D466" i="23" s="1"/>
  <c r="K466" i="23" s="1"/>
  <c r="F437" i="2"/>
  <c r="F418" i="2"/>
  <c r="F406" i="2"/>
  <c r="F391" i="2"/>
  <c r="F374" i="2"/>
  <c r="D377" i="23" s="1"/>
  <c r="M377" i="23" s="1"/>
  <c r="F307" i="2"/>
  <c r="F295" i="2"/>
  <c r="F272" i="2"/>
  <c r="F240" i="2"/>
  <c r="F217" i="2"/>
  <c r="F202" i="2"/>
  <c r="F185" i="2"/>
  <c r="F158" i="2"/>
  <c r="F123" i="2"/>
  <c r="F105" i="2"/>
  <c r="F75" i="2"/>
  <c r="F56" i="2"/>
  <c r="F608" i="2"/>
  <c r="F585" i="2"/>
  <c r="F570" i="2"/>
  <c r="F526" i="2"/>
  <c r="D528" i="23" s="1"/>
  <c r="F500" i="2"/>
  <c r="F475" i="2"/>
  <c r="F455" i="2"/>
  <c r="F432" i="2"/>
  <c r="F413" i="2"/>
  <c r="F402" i="2"/>
  <c r="F381" i="2"/>
  <c r="F369" i="2"/>
  <c r="F313" i="2"/>
  <c r="F302" i="2"/>
  <c r="F291" i="2"/>
  <c r="F264" i="2"/>
  <c r="F232" i="2"/>
  <c r="F221" i="2"/>
  <c r="F208" i="2"/>
  <c r="F170" i="2"/>
  <c r="D171" i="23" s="1"/>
  <c r="Q171" i="23" s="1"/>
  <c r="AE171" i="23" s="1"/>
  <c r="F147" i="2"/>
  <c r="F115" i="2"/>
  <c r="F92" i="2"/>
  <c r="F67" i="2"/>
  <c r="F48" i="2"/>
  <c r="F35" i="2"/>
  <c r="D34" i="23" s="1"/>
  <c r="S34" i="23" s="1"/>
  <c r="AE34" i="23" s="1"/>
  <c r="F617" i="2"/>
  <c r="F603" i="2"/>
  <c r="F580" i="2"/>
  <c r="F561" i="2"/>
  <c r="F510" i="2"/>
  <c r="F492" i="2"/>
  <c r="F466" i="2"/>
  <c r="F442" i="2"/>
  <c r="F424" i="2"/>
  <c r="F407" i="2"/>
  <c r="F393" i="2"/>
  <c r="F376" i="2"/>
  <c r="F319" i="2"/>
  <c r="F297" i="2"/>
  <c r="F274" i="2"/>
  <c r="F242" i="2"/>
  <c r="F226" i="2"/>
  <c r="F203" i="2"/>
  <c r="F160" i="2"/>
  <c r="F125" i="2"/>
  <c r="F110" i="2"/>
  <c r="F80" i="2"/>
  <c r="F58" i="2"/>
  <c r="F40" i="2"/>
  <c r="F612" i="2"/>
  <c r="F595" i="2"/>
  <c r="F572" i="2"/>
  <c r="F531" i="2"/>
  <c r="F502" i="2"/>
  <c r="F477" i="2"/>
  <c r="F460" i="2"/>
  <c r="F434" i="2"/>
  <c r="F415" i="2"/>
  <c r="F403" i="2"/>
  <c r="F383" i="2"/>
  <c r="F371" i="2"/>
  <c r="D374" i="23" s="1"/>
  <c r="M374" i="23" s="1"/>
  <c r="F304" i="2"/>
  <c r="F292" i="2"/>
  <c r="F266" i="2"/>
  <c r="F258" i="2"/>
  <c r="F234" i="2"/>
  <c r="F223" i="2"/>
  <c r="F210" i="2"/>
  <c r="F199" i="2"/>
  <c r="F177" i="2"/>
  <c r="F152" i="2"/>
  <c r="F117" i="2"/>
  <c r="F99" i="2"/>
  <c r="F69" i="2"/>
  <c r="F50" i="2"/>
  <c r="F32" i="2"/>
  <c r="J14" i="2"/>
  <c r="J565" i="2"/>
  <c r="K565" i="2" s="1"/>
  <c r="J525" i="2"/>
  <c r="K525" i="2" s="1"/>
  <c r="J412" i="2"/>
  <c r="K412" i="2" s="1"/>
  <c r="J408" i="2"/>
  <c r="K408" i="2" s="1"/>
  <c r="G385" i="2"/>
  <c r="H385" i="2" s="1"/>
  <c r="E388" i="23" s="1"/>
  <c r="J249" i="2"/>
  <c r="K249" i="2" s="1"/>
  <c r="J220" i="2"/>
  <c r="K220" i="2" s="1"/>
  <c r="G216" i="2"/>
  <c r="H216" i="2" s="1"/>
  <c r="E218" i="23" s="1"/>
  <c r="J207" i="2"/>
  <c r="K207" i="2" s="1"/>
  <c r="G179" i="2"/>
  <c r="H179" i="2" s="1"/>
  <c r="E181" i="23" s="1"/>
  <c r="J167" i="2"/>
  <c r="K167" i="2" s="1"/>
  <c r="G157" i="2"/>
  <c r="H157" i="2" s="1"/>
  <c r="E158" i="23" s="1"/>
  <c r="J146" i="2"/>
  <c r="K146" i="2" s="1"/>
  <c r="G122" i="2"/>
  <c r="H122" i="2" s="1"/>
  <c r="E123" i="23" s="1"/>
  <c r="J91" i="2"/>
  <c r="K91" i="2" s="1"/>
  <c r="G74" i="2"/>
  <c r="H74" i="2" s="1"/>
  <c r="E73" i="23" s="1"/>
  <c r="G565" i="2"/>
  <c r="H565" i="2" s="1"/>
  <c r="E567" i="23" s="1"/>
  <c r="AF567" i="23" s="1"/>
  <c r="J560" i="2"/>
  <c r="K560" i="2" s="1"/>
  <c r="G525" i="2"/>
  <c r="H525" i="2" s="1"/>
  <c r="E527" i="23" s="1"/>
  <c r="J509" i="2"/>
  <c r="K509" i="2" s="1"/>
  <c r="J423" i="2"/>
  <c r="K423" i="2" s="1"/>
  <c r="G412" i="2"/>
  <c r="H412" i="2" s="1"/>
  <c r="E414" i="23" s="1"/>
  <c r="J409" i="2"/>
  <c r="K409" i="2" s="1"/>
  <c r="G408" i="2"/>
  <c r="H408" i="2" s="1"/>
  <c r="E410" i="23" s="1"/>
  <c r="J261" i="2"/>
  <c r="K261" i="2" s="1"/>
  <c r="G249" i="2"/>
  <c r="H249" i="2" s="1"/>
  <c r="E251" i="23" s="1"/>
  <c r="J225" i="2"/>
  <c r="K225" i="2" s="1"/>
  <c r="G220" i="2"/>
  <c r="H220" i="2" s="1"/>
  <c r="E222" i="23" s="1"/>
  <c r="J218" i="2"/>
  <c r="K218" i="2" s="1"/>
  <c r="G207" i="2"/>
  <c r="H207" i="2" s="1"/>
  <c r="E209" i="23" s="1"/>
  <c r="G167" i="2"/>
  <c r="H167" i="2" s="1"/>
  <c r="E168" i="23" s="1"/>
  <c r="J159" i="2"/>
  <c r="K159" i="2" s="1"/>
  <c r="G146" i="2"/>
  <c r="H146" i="2" s="1"/>
  <c r="E147" i="23" s="1"/>
  <c r="J124" i="2"/>
  <c r="K124" i="2" s="1"/>
  <c r="J106" i="2"/>
  <c r="K106" i="2" s="1"/>
  <c r="G91" i="2"/>
  <c r="H91" i="2" s="1"/>
  <c r="E90" i="23" s="1"/>
  <c r="J79" i="2"/>
  <c r="K79" i="2" s="1"/>
  <c r="J589" i="2"/>
  <c r="K589" i="2" s="1"/>
  <c r="G560" i="2"/>
  <c r="H560" i="2" s="1"/>
  <c r="E562" i="23" s="1"/>
  <c r="AF562" i="23" s="1"/>
  <c r="G509" i="2"/>
  <c r="H509" i="2" s="1"/>
  <c r="E511" i="23" s="1"/>
  <c r="G423" i="2"/>
  <c r="H423" i="2" s="1"/>
  <c r="E425" i="23" s="1"/>
  <c r="G409" i="2"/>
  <c r="H409" i="2" s="1"/>
  <c r="E411" i="23" s="1"/>
  <c r="G261" i="2"/>
  <c r="H261" i="2" s="1"/>
  <c r="E263" i="23" s="1"/>
  <c r="G225" i="2"/>
  <c r="H225" i="2" s="1"/>
  <c r="E227" i="23" s="1"/>
  <c r="J222" i="2"/>
  <c r="K222" i="2" s="1"/>
  <c r="G218" i="2"/>
  <c r="H218" i="2" s="1"/>
  <c r="E220" i="23" s="1"/>
  <c r="J209" i="2"/>
  <c r="K209" i="2" s="1"/>
  <c r="J195" i="2"/>
  <c r="K195" i="2" s="1"/>
  <c r="J176" i="2"/>
  <c r="K176" i="2" s="1"/>
  <c r="G159" i="2"/>
  <c r="H159" i="2" s="1"/>
  <c r="E160" i="23" s="1"/>
  <c r="G124" i="2"/>
  <c r="H124" i="2" s="1"/>
  <c r="E125" i="23" s="1"/>
  <c r="G589" i="2"/>
  <c r="H589" i="2" s="1"/>
  <c r="E591" i="23" s="1"/>
  <c r="J562" i="2"/>
  <c r="K562" i="2" s="1"/>
  <c r="J511" i="2"/>
  <c r="K511" i="2" s="1"/>
  <c r="G222" i="2"/>
  <c r="H222" i="2" s="1"/>
  <c r="E224" i="23" s="1"/>
  <c r="J219" i="2"/>
  <c r="K219" i="2" s="1"/>
  <c r="G209" i="2"/>
  <c r="H209" i="2" s="1"/>
  <c r="E211" i="23" s="1"/>
  <c r="G195" i="2"/>
  <c r="H195" i="2" s="1"/>
  <c r="E197" i="23" s="1"/>
  <c r="J189" i="2"/>
  <c r="K189" i="2" s="1"/>
  <c r="G176" i="2"/>
  <c r="H176" i="2" s="1"/>
  <c r="E178" i="23" s="1"/>
  <c r="J111" i="2"/>
  <c r="K111" i="2" s="1"/>
  <c r="J20" i="2"/>
  <c r="K20" i="2" s="1"/>
  <c r="G562" i="2"/>
  <c r="H562" i="2" s="1"/>
  <c r="E564" i="23" s="1"/>
  <c r="AF564" i="23" s="1"/>
  <c r="G511" i="2"/>
  <c r="H511" i="2" s="1"/>
  <c r="E513" i="23" s="1"/>
  <c r="J224" i="2"/>
  <c r="K224" i="2" s="1"/>
  <c r="G219" i="2"/>
  <c r="H219" i="2" s="1"/>
  <c r="E221" i="23" s="1"/>
  <c r="J212" i="2"/>
  <c r="K212" i="2" s="1"/>
  <c r="G189" i="2"/>
  <c r="H189" i="2" s="1"/>
  <c r="E191" i="23" s="1"/>
  <c r="J178" i="2"/>
  <c r="K178" i="2" s="1"/>
  <c r="G111" i="2"/>
  <c r="H111" i="2" s="1"/>
  <c r="E112" i="23" s="1"/>
  <c r="J73" i="2"/>
  <c r="K73" i="2" s="1"/>
  <c r="J564" i="2"/>
  <c r="K564" i="2" s="1"/>
  <c r="J513" i="2"/>
  <c r="K513" i="2" s="1"/>
  <c r="J448" i="2"/>
  <c r="K448" i="2" s="1"/>
  <c r="J263" i="2"/>
  <c r="K263" i="2" s="1"/>
  <c r="G224" i="2"/>
  <c r="H224" i="2" s="1"/>
  <c r="E226" i="23" s="1"/>
  <c r="G212" i="2"/>
  <c r="H212" i="2" s="1"/>
  <c r="E214" i="23" s="1"/>
  <c r="G178" i="2"/>
  <c r="H178" i="2" s="1"/>
  <c r="E180" i="23" s="1"/>
  <c r="J166" i="2"/>
  <c r="K166" i="2" s="1"/>
  <c r="J113" i="2"/>
  <c r="K113" i="2" s="1"/>
  <c r="J90" i="2"/>
  <c r="K90" i="2" s="1"/>
  <c r="G73" i="2"/>
  <c r="H73" i="2" s="1"/>
  <c r="E72" i="23" s="1"/>
  <c r="G564" i="2"/>
  <c r="H564" i="2" s="1"/>
  <c r="E566" i="23" s="1"/>
  <c r="AF566" i="23" s="1"/>
  <c r="G513" i="2"/>
  <c r="H513" i="2" s="1"/>
  <c r="E515" i="23" s="1"/>
  <c r="J508" i="2"/>
  <c r="K508" i="2" s="1"/>
  <c r="G448" i="2"/>
  <c r="H448" i="2" s="1"/>
  <c r="E451" i="23" s="1"/>
  <c r="J418" i="2"/>
  <c r="K418" i="2" s="1"/>
  <c r="J406" i="2"/>
  <c r="K406" i="2" s="1"/>
  <c r="G263" i="2"/>
  <c r="H263" i="2" s="1"/>
  <c r="E265" i="23" s="1"/>
  <c r="J217" i="2"/>
  <c r="K217" i="2" s="1"/>
  <c r="J185" i="2"/>
  <c r="K185" i="2" s="1"/>
  <c r="G166" i="2"/>
  <c r="H166" i="2" s="1"/>
  <c r="E167" i="23" s="1"/>
  <c r="J158" i="2"/>
  <c r="K158" i="2" s="1"/>
  <c r="J123" i="2"/>
  <c r="K123" i="2" s="1"/>
  <c r="G113" i="2"/>
  <c r="H113" i="2" s="1"/>
  <c r="E114" i="23" s="1"/>
  <c r="J105" i="2"/>
  <c r="K105" i="2" s="1"/>
  <c r="G90" i="2"/>
  <c r="H90" i="2" s="1"/>
  <c r="E89" i="23" s="1"/>
  <c r="J75" i="2"/>
  <c r="K75" i="2" s="1"/>
  <c r="J35" i="2"/>
  <c r="K35" i="2" s="1"/>
  <c r="J570" i="2"/>
  <c r="K570" i="2" s="1"/>
  <c r="J526" i="2"/>
  <c r="K526" i="2" s="1"/>
  <c r="G508" i="2"/>
  <c r="H508" i="2" s="1"/>
  <c r="E510" i="23" s="1"/>
  <c r="G418" i="2"/>
  <c r="H418" i="2" s="1"/>
  <c r="E420" i="23" s="1"/>
  <c r="G406" i="2"/>
  <c r="H406" i="2" s="1"/>
  <c r="E408" i="23" s="1"/>
  <c r="J264" i="2"/>
  <c r="K264" i="2" s="1"/>
  <c r="J221" i="2"/>
  <c r="K221" i="2" s="1"/>
  <c r="G217" i="2"/>
  <c r="H217" i="2" s="1"/>
  <c r="E219" i="23" s="1"/>
  <c r="J208" i="2"/>
  <c r="K208" i="2" s="1"/>
  <c r="G185" i="2"/>
  <c r="H185" i="2" s="1"/>
  <c r="E187" i="23" s="1"/>
  <c r="J170" i="2"/>
  <c r="K170" i="2" s="1"/>
  <c r="G158" i="2"/>
  <c r="H158" i="2" s="1"/>
  <c r="E159" i="23" s="1"/>
  <c r="J147" i="2"/>
  <c r="K147" i="2" s="1"/>
  <c r="G123" i="2"/>
  <c r="H123" i="2" s="1"/>
  <c r="E124" i="23" s="1"/>
  <c r="J115" i="2"/>
  <c r="K115" i="2" s="1"/>
  <c r="G105" i="2"/>
  <c r="H105" i="2" s="1"/>
  <c r="E106" i="23" s="1"/>
  <c r="J92" i="2"/>
  <c r="K92" i="2" s="1"/>
  <c r="G75" i="2"/>
  <c r="H75" i="2" s="1"/>
  <c r="E74" i="23" s="1"/>
  <c r="G570" i="2"/>
  <c r="H570" i="2" s="1"/>
  <c r="E572" i="23" s="1"/>
  <c r="J561" i="2"/>
  <c r="K561" i="2" s="1"/>
  <c r="G526" i="2"/>
  <c r="H526" i="2" s="1"/>
  <c r="E528" i="23" s="1"/>
  <c r="J510" i="2"/>
  <c r="K510" i="2" s="1"/>
  <c r="J407" i="2"/>
  <c r="K407" i="2" s="1"/>
  <c r="J393" i="2"/>
  <c r="K393" i="2" s="1"/>
  <c r="J319" i="2"/>
  <c r="K319" i="2" s="1"/>
  <c r="G264" i="2"/>
  <c r="H264" i="2" s="1"/>
  <c r="E266" i="23" s="1"/>
  <c r="J226" i="2"/>
  <c r="K226" i="2" s="1"/>
  <c r="G221" i="2"/>
  <c r="H221" i="2" s="1"/>
  <c r="E223" i="23" s="1"/>
  <c r="G208" i="2"/>
  <c r="H208" i="2" s="1"/>
  <c r="E210" i="23" s="1"/>
  <c r="J188" i="2"/>
  <c r="K188" i="2" s="1"/>
  <c r="G170" i="2"/>
  <c r="H170" i="2" s="1"/>
  <c r="E171" i="23" s="1"/>
  <c r="J160" i="2"/>
  <c r="K160" i="2" s="1"/>
  <c r="J125" i="2"/>
  <c r="K125" i="2" s="1"/>
  <c r="G115" i="2"/>
  <c r="H115" i="2" s="1"/>
  <c r="E116" i="23" s="1"/>
  <c r="J110" i="2"/>
  <c r="K110" i="2" s="1"/>
  <c r="G92" i="2"/>
  <c r="H92" i="2" s="1"/>
  <c r="E91" i="23" s="1"/>
  <c r="G35" i="2"/>
  <c r="H35" i="2" s="1"/>
  <c r="E34" i="23" s="1"/>
  <c r="J32" i="2"/>
  <c r="K32" i="2" s="1"/>
  <c r="G561" i="2"/>
  <c r="H561" i="2" s="1"/>
  <c r="E563" i="23" s="1"/>
  <c r="AF563" i="23" s="1"/>
  <c r="G510" i="2"/>
  <c r="H510" i="2" s="1"/>
  <c r="E512" i="23" s="1"/>
  <c r="G407" i="2"/>
  <c r="H407" i="2" s="1"/>
  <c r="E409" i="23" s="1"/>
  <c r="G393" i="2"/>
  <c r="H393" i="2" s="1"/>
  <c r="E396" i="23" s="1"/>
  <c r="G319" i="2"/>
  <c r="H319" i="2" s="1"/>
  <c r="E321" i="23" s="1"/>
  <c r="J266" i="2"/>
  <c r="K266" i="2" s="1"/>
  <c r="G226" i="2"/>
  <c r="H226" i="2" s="1"/>
  <c r="E228" i="23" s="1"/>
  <c r="J223" i="2"/>
  <c r="K223" i="2" s="1"/>
  <c r="J210" i="2"/>
  <c r="K210" i="2" s="1"/>
  <c r="G188" i="2"/>
  <c r="H188" i="2" s="1"/>
  <c r="E190" i="23" s="1"/>
  <c r="J177" i="2"/>
  <c r="K177" i="2" s="1"/>
  <c r="G160" i="2"/>
  <c r="H160" i="2" s="1"/>
  <c r="E161" i="23" s="1"/>
  <c r="G125" i="2"/>
  <c r="H125" i="2" s="1"/>
  <c r="E126" i="23" s="1"/>
  <c r="J117" i="2"/>
  <c r="K117" i="2" s="1"/>
  <c r="G110" i="2"/>
  <c r="H110" i="2" s="1"/>
  <c r="E111" i="23" s="1"/>
  <c r="J69" i="2"/>
  <c r="K69" i="2" s="1"/>
  <c r="G20" i="2"/>
  <c r="H20" i="2" s="1"/>
  <c r="E19" i="23" s="1"/>
  <c r="J563" i="2"/>
  <c r="K563" i="2" s="1"/>
  <c r="J512" i="2"/>
  <c r="K512" i="2" s="1"/>
  <c r="J470" i="2"/>
  <c r="K470" i="2" s="1"/>
  <c r="J447" i="2"/>
  <c r="K447" i="2" s="1"/>
  <c r="J310" i="2"/>
  <c r="K310" i="2" s="1"/>
  <c r="G266" i="2"/>
  <c r="H266" i="2" s="1"/>
  <c r="E268" i="23" s="1"/>
  <c r="J262" i="2"/>
  <c r="K262" i="2" s="1"/>
  <c r="G223" i="2"/>
  <c r="H223" i="2" s="1"/>
  <c r="E225" i="23" s="1"/>
  <c r="G210" i="2"/>
  <c r="H210" i="2" s="1"/>
  <c r="E212" i="23" s="1"/>
  <c r="J205" i="2"/>
  <c r="K205" i="2" s="1"/>
  <c r="J190" i="2"/>
  <c r="K190" i="2" s="1"/>
  <c r="G177" i="2"/>
  <c r="H177" i="2" s="1"/>
  <c r="E179" i="23" s="1"/>
  <c r="J165" i="2"/>
  <c r="K165" i="2" s="1"/>
  <c r="G117" i="2"/>
  <c r="H117" i="2" s="1"/>
  <c r="E118" i="23" s="1"/>
  <c r="J112" i="2"/>
  <c r="K112" i="2" s="1"/>
  <c r="G69" i="2"/>
  <c r="H69" i="2" s="1"/>
  <c r="E68" i="23" s="1"/>
  <c r="G32" i="2"/>
  <c r="H32" i="2" s="1"/>
  <c r="E31" i="23" s="1"/>
  <c r="G563" i="2"/>
  <c r="H563" i="2" s="1"/>
  <c r="E565" i="23" s="1"/>
  <c r="AF565" i="23" s="1"/>
  <c r="G512" i="2"/>
  <c r="H512" i="2" s="1"/>
  <c r="E514" i="23" s="1"/>
  <c r="G470" i="2"/>
  <c r="H470" i="2" s="1"/>
  <c r="E473" i="23" s="1"/>
  <c r="G447" i="2"/>
  <c r="H447" i="2" s="1"/>
  <c r="E450" i="23" s="1"/>
  <c r="J385" i="2"/>
  <c r="K385" i="2" s="1"/>
  <c r="G310" i="2"/>
  <c r="H310" i="2" s="1"/>
  <c r="E312" i="23" s="1"/>
  <c r="G262" i="2"/>
  <c r="H262" i="2" s="1"/>
  <c r="E264" i="23" s="1"/>
  <c r="J216" i="2"/>
  <c r="K216" i="2" s="1"/>
  <c r="G205" i="2"/>
  <c r="H205" i="2" s="1"/>
  <c r="E207" i="23" s="1"/>
  <c r="G190" i="2"/>
  <c r="H190" i="2" s="1"/>
  <c r="E192" i="23" s="1"/>
  <c r="J179" i="2"/>
  <c r="K179" i="2" s="1"/>
  <c r="G165" i="2"/>
  <c r="H165" i="2" s="1"/>
  <c r="E166" i="23" s="1"/>
  <c r="J157" i="2"/>
  <c r="K157" i="2" s="1"/>
  <c r="J122" i="2"/>
  <c r="K122" i="2" s="1"/>
  <c r="G112" i="2"/>
  <c r="H112" i="2" s="1"/>
  <c r="E113" i="23" s="1"/>
  <c r="J74" i="2"/>
  <c r="K74" i="2" s="1"/>
  <c r="F20" i="2"/>
  <c r="F19" i="2"/>
  <c r="F18" i="2"/>
  <c r="F17" i="2"/>
  <c r="F16" i="2"/>
  <c r="F14" i="2"/>
  <c r="D13" i="23" s="1"/>
  <c r="AG13" i="23" s="1"/>
  <c r="F15" i="2"/>
  <c r="C13" i="1"/>
  <c r="B13" i="23"/>
  <c r="H110" i="3"/>
  <c r="G147" i="2" s="1"/>
  <c r="H147" i="2" s="1"/>
  <c r="E148" i="23" s="1"/>
  <c r="AF126" i="23" l="1"/>
  <c r="P126" i="23"/>
  <c r="AF520" i="23"/>
  <c r="Z520" i="23"/>
  <c r="AF148" i="23"/>
  <c r="R148" i="23"/>
  <c r="AF192" i="23"/>
  <c r="V192" i="23"/>
  <c r="AF514" i="23"/>
  <c r="X514" i="23"/>
  <c r="AF161" i="23"/>
  <c r="R161" i="23"/>
  <c r="AF396" i="23"/>
  <c r="L396" i="23"/>
  <c r="AF116" i="23"/>
  <c r="P116" i="23"/>
  <c r="AF266" i="23"/>
  <c r="N266" i="23"/>
  <c r="AF74" i="23"/>
  <c r="T74" i="23"/>
  <c r="AF187" i="23"/>
  <c r="V187" i="23"/>
  <c r="AF214" i="23"/>
  <c r="V214" i="23"/>
  <c r="AF388" i="23"/>
  <c r="N388" i="23"/>
  <c r="V188" i="23"/>
  <c r="AF188" i="23"/>
  <c r="AF213" i="23"/>
  <c r="V213" i="23"/>
  <c r="AF472" i="23"/>
  <c r="L472" i="23"/>
  <c r="AF183" i="23"/>
  <c r="V183" i="23"/>
  <c r="AF623" i="23"/>
  <c r="J623" i="23"/>
  <c r="AF572" i="23"/>
  <c r="H572" i="23"/>
  <c r="AD220" i="23"/>
  <c r="AF220" i="23"/>
  <c r="AF409" i="23"/>
  <c r="R409" i="23"/>
  <c r="AF167" i="23"/>
  <c r="R167" i="23"/>
  <c r="X515" i="23"/>
  <c r="AF515" i="23"/>
  <c r="AD226" i="23"/>
  <c r="AF226" i="23"/>
  <c r="V191" i="23"/>
  <c r="AF191" i="23"/>
  <c r="AF178" i="23"/>
  <c r="V178" i="23"/>
  <c r="J591" i="23"/>
  <c r="AF591" i="23"/>
  <c r="AD227" i="23"/>
  <c r="AF227" i="23"/>
  <c r="AF90" i="23"/>
  <c r="V90" i="23"/>
  <c r="AF222" i="23"/>
  <c r="AD222" i="23"/>
  <c r="AF158" i="23"/>
  <c r="R158" i="23"/>
  <c r="N290" i="23"/>
  <c r="AF290" i="23"/>
  <c r="Z518" i="23"/>
  <c r="AF518" i="23"/>
  <c r="AF328" i="23"/>
  <c r="N328" i="23"/>
  <c r="AF331" i="23"/>
  <c r="N331" i="23"/>
  <c r="AF80" i="23"/>
  <c r="T80" i="23"/>
  <c r="AF179" i="23"/>
  <c r="V179" i="23"/>
  <c r="AF180" i="23"/>
  <c r="V180" i="23"/>
  <c r="AF123" i="23"/>
  <c r="P123" i="23"/>
  <c r="AF207" i="23"/>
  <c r="V207" i="23"/>
  <c r="AF31" i="23"/>
  <c r="T31" i="23"/>
  <c r="AF212" i="23"/>
  <c r="V212" i="23"/>
  <c r="AF190" i="23"/>
  <c r="V190" i="23"/>
  <c r="AF512" i="23"/>
  <c r="X512" i="23"/>
  <c r="AF106" i="23"/>
  <c r="P106" i="23"/>
  <c r="AD219" i="23"/>
  <c r="AF219" i="23"/>
  <c r="AF125" i="23"/>
  <c r="P125" i="23"/>
  <c r="AF263" i="23"/>
  <c r="N263" i="23"/>
  <c r="AF527" i="23"/>
  <c r="AB527" i="23"/>
  <c r="AF85" i="23"/>
  <c r="T85" i="23"/>
  <c r="AF189" i="23"/>
  <c r="V189" i="23"/>
  <c r="AF516" i="23"/>
  <c r="X516" i="23"/>
  <c r="J622" i="23"/>
  <c r="AF622" i="23"/>
  <c r="L473" i="23"/>
  <c r="AF473" i="23"/>
  <c r="R414" i="23"/>
  <c r="AF414" i="23"/>
  <c r="AF264" i="23"/>
  <c r="N264" i="23"/>
  <c r="AF225" i="23"/>
  <c r="AD225" i="23"/>
  <c r="H19" i="23"/>
  <c r="AF19" i="23"/>
  <c r="AF171" i="23"/>
  <c r="R171" i="23"/>
  <c r="AF72" i="23"/>
  <c r="T72" i="23"/>
  <c r="AD221" i="23"/>
  <c r="AF221" i="23"/>
  <c r="AF197" i="23"/>
  <c r="V197" i="23"/>
  <c r="R160" i="23"/>
  <c r="AF160" i="23"/>
  <c r="R411" i="23"/>
  <c r="AF411" i="23"/>
  <c r="AF251" i="23"/>
  <c r="J251" i="23"/>
  <c r="AF181" i="23"/>
  <c r="V181" i="23"/>
  <c r="N287" i="23"/>
  <c r="AF287" i="23"/>
  <c r="AF169" i="23"/>
  <c r="R169" i="23"/>
  <c r="AF521" i="23"/>
  <c r="Z521" i="23"/>
  <c r="N329" i="23"/>
  <c r="AF329" i="23"/>
  <c r="AF79" i="23"/>
  <c r="T79" i="23"/>
  <c r="AF82" i="23"/>
  <c r="T82" i="23"/>
  <c r="AF451" i="23"/>
  <c r="V451" i="23"/>
  <c r="AF330" i="23"/>
  <c r="N330" i="23"/>
  <c r="AF113" i="23"/>
  <c r="P113" i="23"/>
  <c r="AF68" i="23"/>
  <c r="V68" i="23"/>
  <c r="AF312" i="23"/>
  <c r="N312" i="23"/>
  <c r="AF124" i="23"/>
  <c r="P124" i="23"/>
  <c r="AF89" i="23"/>
  <c r="V89" i="23"/>
  <c r="AF265" i="23"/>
  <c r="N265" i="23"/>
  <c r="AF211" i="23"/>
  <c r="V211" i="23"/>
  <c r="AF425" i="23"/>
  <c r="T425" i="23"/>
  <c r="AF147" i="23"/>
  <c r="R147" i="23"/>
  <c r="J553" i="23"/>
  <c r="H553" i="23"/>
  <c r="AF553" i="23"/>
  <c r="AF289" i="23"/>
  <c r="N289" i="23"/>
  <c r="AF128" i="23"/>
  <c r="P128" i="23"/>
  <c r="AF170" i="23"/>
  <c r="R170" i="23"/>
  <c r="AF471" i="23"/>
  <c r="L471" i="23"/>
  <c r="AF83" i="23"/>
  <c r="T83" i="23"/>
  <c r="X510" i="23"/>
  <c r="AF510" i="23"/>
  <c r="AF209" i="23"/>
  <c r="V209" i="23"/>
  <c r="T78" i="23"/>
  <c r="AF78" i="23"/>
  <c r="AF268" i="23"/>
  <c r="N268" i="23"/>
  <c r="AF111" i="23"/>
  <c r="P111" i="23"/>
  <c r="AD228" i="23"/>
  <c r="AF228" i="23"/>
  <c r="AF34" i="23"/>
  <c r="T34" i="23"/>
  <c r="AF210" i="23"/>
  <c r="V210" i="23"/>
  <c r="AB528" i="23"/>
  <c r="AF528" i="23"/>
  <c r="AF408" i="23"/>
  <c r="R408" i="23"/>
  <c r="AF513" i="23"/>
  <c r="X513" i="23"/>
  <c r="AF511" i="23"/>
  <c r="X511" i="23"/>
  <c r="AF410" i="23"/>
  <c r="R410" i="23"/>
  <c r="AF73" i="23"/>
  <c r="T73" i="23"/>
  <c r="AD218" i="23"/>
  <c r="AF218" i="23"/>
  <c r="AF288" i="23"/>
  <c r="N288" i="23"/>
  <c r="AF193" i="23"/>
  <c r="V193" i="23"/>
  <c r="AF517" i="23"/>
  <c r="X517" i="23"/>
  <c r="AF81" i="23"/>
  <c r="T81" i="23"/>
  <c r="N321" i="23"/>
  <c r="AF321" i="23"/>
  <c r="AF112" i="23"/>
  <c r="P112" i="23"/>
  <c r="AF118" i="23"/>
  <c r="P118" i="23"/>
  <c r="AF166" i="23"/>
  <c r="R166" i="23"/>
  <c r="AF450" i="23"/>
  <c r="V450" i="23"/>
  <c r="AF91" i="23"/>
  <c r="V91" i="23"/>
  <c r="AF223" i="23"/>
  <c r="AD223" i="23"/>
  <c r="AF159" i="23"/>
  <c r="R159" i="23"/>
  <c r="AF420" i="23"/>
  <c r="R420" i="23"/>
  <c r="AF114" i="23"/>
  <c r="P114" i="23"/>
  <c r="AF224" i="23"/>
  <c r="AD224" i="23"/>
  <c r="AF168" i="23"/>
  <c r="R168" i="23"/>
  <c r="AF519" i="23"/>
  <c r="Z519" i="23"/>
  <c r="AF182" i="23"/>
  <c r="V182" i="23"/>
  <c r="I350" i="2"/>
  <c r="F352" i="23" s="1"/>
  <c r="E352" i="23"/>
  <c r="I358" i="2"/>
  <c r="F360" i="23" s="1"/>
  <c r="E360" i="23"/>
  <c r="I359" i="2"/>
  <c r="F361" i="23" s="1"/>
  <c r="E361" i="23"/>
  <c r="I352" i="2"/>
  <c r="F354" i="23" s="1"/>
  <c r="E354" i="23"/>
  <c r="I360" i="2"/>
  <c r="F362" i="23" s="1"/>
  <c r="E362" i="23"/>
  <c r="I351" i="2"/>
  <c r="F353" i="23" s="1"/>
  <c r="E353" i="23"/>
  <c r="E554" i="23"/>
  <c r="E556" i="23"/>
  <c r="E555" i="23"/>
  <c r="I361" i="2"/>
  <c r="F363" i="23" s="1"/>
  <c r="E363" i="23"/>
  <c r="I353" i="2"/>
  <c r="F355" i="23" s="1"/>
  <c r="E355" i="23"/>
  <c r="AE252" i="23"/>
  <c r="I623" i="23"/>
  <c r="I622" i="23"/>
  <c r="V623" i="23"/>
  <c r="AD623" i="23"/>
  <c r="AB623" i="23"/>
  <c r="T623" i="23"/>
  <c r="P623" i="23"/>
  <c r="N623" i="23"/>
  <c r="L623" i="23"/>
  <c r="R623" i="23"/>
  <c r="Z623" i="23"/>
  <c r="X623" i="23"/>
  <c r="H623" i="23"/>
  <c r="T622" i="23"/>
  <c r="L622" i="23"/>
  <c r="N622" i="23"/>
  <c r="AD622" i="23"/>
  <c r="AB622" i="23"/>
  <c r="P622" i="23"/>
  <c r="Z622" i="23"/>
  <c r="X622" i="23"/>
  <c r="H622" i="23"/>
  <c r="R622" i="23"/>
  <c r="V622" i="23"/>
  <c r="L620" i="2"/>
  <c r="I620" i="2"/>
  <c r="F623" i="23" s="1"/>
  <c r="AK623" i="23" s="1"/>
  <c r="L619" i="2"/>
  <c r="I619" i="2"/>
  <c r="F622" i="23" s="1"/>
  <c r="AK622" i="23" s="1"/>
  <c r="V330" i="23"/>
  <c r="Z330" i="23"/>
  <c r="T330" i="23"/>
  <c r="J330" i="23"/>
  <c r="R330" i="23"/>
  <c r="L330" i="23"/>
  <c r="H330" i="23"/>
  <c r="X330" i="23"/>
  <c r="P330" i="23"/>
  <c r="AB330" i="23"/>
  <c r="AD330" i="23"/>
  <c r="L358" i="2"/>
  <c r="M279" i="23"/>
  <c r="I276" i="2"/>
  <c r="F278" i="23" s="1"/>
  <c r="AK278" i="23" s="1"/>
  <c r="D278" i="23"/>
  <c r="T183" i="23"/>
  <c r="J183" i="23"/>
  <c r="AB183" i="23"/>
  <c r="P183" i="23"/>
  <c r="L183" i="23"/>
  <c r="R183" i="23"/>
  <c r="AD183" i="23"/>
  <c r="X183" i="23"/>
  <c r="N183" i="23"/>
  <c r="H183" i="23"/>
  <c r="Z183" i="23"/>
  <c r="R328" i="23"/>
  <c r="L328" i="23"/>
  <c r="AD328" i="23"/>
  <c r="X328" i="23"/>
  <c r="H328" i="23"/>
  <c r="P328" i="23"/>
  <c r="Z328" i="23"/>
  <c r="AB328" i="23"/>
  <c r="T328" i="23"/>
  <c r="V328" i="23"/>
  <c r="J328" i="23"/>
  <c r="X331" i="23"/>
  <c r="J331" i="23"/>
  <c r="H331" i="23"/>
  <c r="Z331" i="23"/>
  <c r="T331" i="23"/>
  <c r="V331" i="23"/>
  <c r="AD331" i="23"/>
  <c r="L331" i="23"/>
  <c r="P331" i="23"/>
  <c r="AB331" i="23"/>
  <c r="R331" i="23"/>
  <c r="L359" i="2"/>
  <c r="M281" i="23"/>
  <c r="I278" i="2"/>
  <c r="F280" i="23" s="1"/>
  <c r="AK280" i="23" s="1"/>
  <c r="D280" i="23"/>
  <c r="T329" i="23"/>
  <c r="R329" i="23"/>
  <c r="J329" i="23"/>
  <c r="Z329" i="23"/>
  <c r="L329" i="23"/>
  <c r="H329" i="23"/>
  <c r="AB329" i="23"/>
  <c r="X329" i="23"/>
  <c r="P329" i="23"/>
  <c r="V329" i="23"/>
  <c r="AD329" i="23"/>
  <c r="L360" i="2"/>
  <c r="L361" i="2"/>
  <c r="AB182" i="23"/>
  <c r="P182" i="23"/>
  <c r="H182" i="23"/>
  <c r="AD182" i="23"/>
  <c r="J182" i="23"/>
  <c r="R182" i="23"/>
  <c r="T182" i="23"/>
  <c r="L182" i="23"/>
  <c r="X182" i="23"/>
  <c r="Z182" i="23"/>
  <c r="N182" i="23"/>
  <c r="M330" i="23"/>
  <c r="M334" i="23"/>
  <c r="M329" i="23"/>
  <c r="M333" i="23"/>
  <c r="M336" i="23"/>
  <c r="M328" i="23"/>
  <c r="L330" i="2"/>
  <c r="D332" i="23"/>
  <c r="M327" i="23"/>
  <c r="M326" i="23"/>
  <c r="U183" i="23"/>
  <c r="M331" i="23"/>
  <c r="M335" i="23"/>
  <c r="U182" i="23"/>
  <c r="D81" i="23"/>
  <c r="S81" i="23" s="1"/>
  <c r="AE81" i="23" s="1"/>
  <c r="I82" i="2"/>
  <c r="F81" i="23" s="1"/>
  <c r="L82" i="2"/>
  <c r="D83" i="23"/>
  <c r="S83" i="23" s="1"/>
  <c r="AE83" i="23" s="1"/>
  <c r="L84" i="2"/>
  <c r="I84" i="2"/>
  <c r="F83" i="23" s="1"/>
  <c r="AK83" i="23" s="1"/>
  <c r="L80" i="2"/>
  <c r="I80" i="2"/>
  <c r="F79" i="23" s="1"/>
  <c r="AK79" i="23" s="1"/>
  <c r="D82" i="23"/>
  <c r="S82" i="23" s="1"/>
  <c r="AE82" i="23" s="1"/>
  <c r="I83" i="2"/>
  <c r="F82" i="23" s="1"/>
  <c r="AK82" i="23" s="1"/>
  <c r="L83" i="2"/>
  <c r="L81" i="2"/>
  <c r="I81" i="2"/>
  <c r="F80" i="23" s="1"/>
  <c r="AK80" i="23" s="1"/>
  <c r="L180" i="2"/>
  <c r="I180" i="2"/>
  <c r="F182" i="23" s="1"/>
  <c r="AK182" i="23" s="1"/>
  <c r="L181" i="2"/>
  <c r="I181" i="2"/>
  <c r="F183" i="23" s="1"/>
  <c r="AK183" i="23" s="1"/>
  <c r="I333" i="2"/>
  <c r="F335" i="23" s="1"/>
  <c r="AK335" i="23" s="1"/>
  <c r="L333" i="2"/>
  <c r="I332" i="2"/>
  <c r="F334" i="23" s="1"/>
  <c r="AK334" i="23" s="1"/>
  <c r="L332" i="2"/>
  <c r="L334" i="2"/>
  <c r="I334" i="2"/>
  <c r="F336" i="23" s="1"/>
  <c r="AK336" i="23" s="1"/>
  <c r="L278" i="2"/>
  <c r="I279" i="2"/>
  <c r="F281" i="23" s="1"/>
  <c r="AK281" i="23" s="1"/>
  <c r="L279" i="2"/>
  <c r="L276" i="2"/>
  <c r="I277" i="2"/>
  <c r="F279" i="23" s="1"/>
  <c r="AK279" i="23" s="1"/>
  <c r="L277" i="2"/>
  <c r="I330" i="2"/>
  <c r="F332" i="23" s="1"/>
  <c r="AK332" i="23" s="1"/>
  <c r="I331" i="2"/>
  <c r="F333" i="23" s="1"/>
  <c r="AK333" i="23" s="1"/>
  <c r="L331" i="2"/>
  <c r="L328" i="2"/>
  <c r="I328" i="2"/>
  <c r="F330" i="23" s="1"/>
  <c r="AK330" i="23" s="1"/>
  <c r="I329" i="2"/>
  <c r="F331" i="23" s="1"/>
  <c r="AK331" i="23" s="1"/>
  <c r="L329" i="2"/>
  <c r="L326" i="2"/>
  <c r="I326" i="2"/>
  <c r="F328" i="23" s="1"/>
  <c r="AK328" i="23" s="1"/>
  <c r="I327" i="2"/>
  <c r="F329" i="23" s="1"/>
  <c r="L327" i="2"/>
  <c r="I325" i="2"/>
  <c r="F327" i="23" s="1"/>
  <c r="AK327" i="23" s="1"/>
  <c r="L325" i="2"/>
  <c r="L324" i="2"/>
  <c r="I324" i="2"/>
  <c r="F326" i="23" s="1"/>
  <c r="AK326" i="23" s="1"/>
  <c r="O134" i="23"/>
  <c r="O133" i="23"/>
  <c r="O132" i="23"/>
  <c r="L133" i="2"/>
  <c r="I133" i="2"/>
  <c r="F134" i="23" s="1"/>
  <c r="AK134" i="23" s="1"/>
  <c r="L132" i="2"/>
  <c r="I132" i="2"/>
  <c r="F133" i="23" s="1"/>
  <c r="AK133" i="23" s="1"/>
  <c r="I131" i="2"/>
  <c r="F132" i="23" s="1"/>
  <c r="AK132" i="23" s="1"/>
  <c r="L131" i="2"/>
  <c r="L521" i="23"/>
  <c r="AD521" i="23"/>
  <c r="AB521" i="23"/>
  <c r="R521" i="23"/>
  <c r="N521" i="23"/>
  <c r="P521" i="23"/>
  <c r="T521" i="23"/>
  <c r="V521" i="23"/>
  <c r="H521" i="23"/>
  <c r="X521" i="23"/>
  <c r="J521" i="23"/>
  <c r="V520" i="23"/>
  <c r="R520" i="23"/>
  <c r="P520" i="23"/>
  <c r="N520" i="23"/>
  <c r="J520" i="23"/>
  <c r="H520" i="23"/>
  <c r="AD520" i="23"/>
  <c r="AB520" i="23"/>
  <c r="X520" i="23"/>
  <c r="L520" i="23"/>
  <c r="T520" i="23"/>
  <c r="AD556" i="23"/>
  <c r="T556" i="23"/>
  <c r="P556" i="23"/>
  <c r="V556" i="23"/>
  <c r="G556" i="23"/>
  <c r="G555" i="23"/>
  <c r="I555" i="23" s="1"/>
  <c r="W516" i="23"/>
  <c r="AE516" i="23" s="1"/>
  <c r="W517" i="23"/>
  <c r="AE517" i="23" s="1"/>
  <c r="G554" i="23"/>
  <c r="G553" i="23"/>
  <c r="AE373" i="23"/>
  <c r="AE33" i="23"/>
  <c r="AE374" i="23"/>
  <c r="AE395" i="23"/>
  <c r="AE84" i="23"/>
  <c r="AA527" i="23"/>
  <c r="AE527" i="23" s="1"/>
  <c r="AG527" i="23" s="1"/>
  <c r="AH527" i="23" s="1"/>
  <c r="AA528" i="23"/>
  <c r="AE528" i="23" s="1"/>
  <c r="AG528" i="23" s="1"/>
  <c r="AH528" i="23" s="1"/>
  <c r="AE377" i="23"/>
  <c r="AE521" i="23"/>
  <c r="AB556" i="23"/>
  <c r="AE376" i="23"/>
  <c r="AE520" i="23"/>
  <c r="I518" i="2"/>
  <c r="F520" i="23" s="1"/>
  <c r="AK520" i="23" s="1"/>
  <c r="L518" i="2"/>
  <c r="L554" i="2"/>
  <c r="I554" i="2"/>
  <c r="L553" i="2"/>
  <c r="I553" i="2"/>
  <c r="L519" i="2"/>
  <c r="I519" i="2"/>
  <c r="F521" i="23" s="1"/>
  <c r="AK521" i="23" s="1"/>
  <c r="AG519" i="23"/>
  <c r="AH519" i="23" s="1"/>
  <c r="R518" i="23"/>
  <c r="T518" i="23"/>
  <c r="L518" i="23"/>
  <c r="AB518" i="23"/>
  <c r="P518" i="23"/>
  <c r="V518" i="23"/>
  <c r="N518" i="23"/>
  <c r="X518" i="23"/>
  <c r="J518" i="23"/>
  <c r="AD518" i="23"/>
  <c r="H518" i="23"/>
  <c r="Z516" i="23"/>
  <c r="AB516" i="23"/>
  <c r="L516" i="23"/>
  <c r="AD516" i="23"/>
  <c r="R516" i="23"/>
  <c r="N516" i="23"/>
  <c r="T516" i="23"/>
  <c r="H516" i="23"/>
  <c r="P516" i="23"/>
  <c r="V516" i="23"/>
  <c r="J516" i="23"/>
  <c r="AG518" i="23"/>
  <c r="AH518" i="23" s="1"/>
  <c r="V517" i="23"/>
  <c r="N517" i="23"/>
  <c r="L517" i="23"/>
  <c r="AD517" i="23"/>
  <c r="J517" i="23"/>
  <c r="AB517" i="23"/>
  <c r="H517" i="23"/>
  <c r="Z517" i="23"/>
  <c r="R517" i="23"/>
  <c r="P517" i="23"/>
  <c r="T517" i="23"/>
  <c r="V519" i="23"/>
  <c r="P519" i="23"/>
  <c r="J519" i="23"/>
  <c r="H519" i="23"/>
  <c r="X519" i="23"/>
  <c r="L519" i="23"/>
  <c r="AB519" i="23"/>
  <c r="T519" i="23"/>
  <c r="N519" i="23"/>
  <c r="AD519" i="23"/>
  <c r="R519" i="23"/>
  <c r="I469" i="2"/>
  <c r="F472" i="23" s="1"/>
  <c r="AK472" i="23" s="1"/>
  <c r="R472" i="23"/>
  <c r="T472" i="23"/>
  <c r="Z472" i="23"/>
  <c r="V472" i="23"/>
  <c r="X472" i="23"/>
  <c r="N472" i="23"/>
  <c r="H472" i="23"/>
  <c r="AB472" i="23"/>
  <c r="AD472" i="23"/>
  <c r="J472" i="23"/>
  <c r="P472" i="23"/>
  <c r="I517" i="2"/>
  <c r="F519" i="23" s="1"/>
  <c r="AK519" i="23" s="1"/>
  <c r="L517" i="2"/>
  <c r="L514" i="2"/>
  <c r="I514" i="2"/>
  <c r="F516" i="23" s="1"/>
  <c r="AK516" i="23" s="1"/>
  <c r="I516" i="2"/>
  <c r="F518" i="23" s="1"/>
  <c r="AK518" i="23" s="1"/>
  <c r="L516" i="2"/>
  <c r="I515" i="2"/>
  <c r="F517" i="23" s="1"/>
  <c r="AK517" i="23" s="1"/>
  <c r="L515" i="2"/>
  <c r="L469" i="2"/>
  <c r="AG213" i="23"/>
  <c r="AH213" i="23" s="1"/>
  <c r="H213" i="23"/>
  <c r="AD213" i="23"/>
  <c r="AB213" i="23"/>
  <c r="X213" i="23"/>
  <c r="L213" i="23"/>
  <c r="R213" i="23"/>
  <c r="P213" i="23"/>
  <c r="N213" i="23"/>
  <c r="Z213" i="23"/>
  <c r="T213" i="23"/>
  <c r="J213" i="23"/>
  <c r="K472" i="23"/>
  <c r="Z471" i="23"/>
  <c r="AD471" i="23"/>
  <c r="AB471" i="23"/>
  <c r="P471" i="23"/>
  <c r="N471" i="23"/>
  <c r="J471" i="23"/>
  <c r="X471" i="23"/>
  <c r="R471" i="23"/>
  <c r="H471" i="23"/>
  <c r="T471" i="23"/>
  <c r="V471" i="23"/>
  <c r="K471" i="23"/>
  <c r="I464" i="2"/>
  <c r="F467" i="23" s="1"/>
  <c r="AK467" i="23" s="1"/>
  <c r="L464" i="2"/>
  <c r="L468" i="2"/>
  <c r="I468" i="2"/>
  <c r="F471" i="23" s="1"/>
  <c r="AD169" i="23"/>
  <c r="J169" i="23"/>
  <c r="Z169" i="23"/>
  <c r="L169" i="23"/>
  <c r="P169" i="23"/>
  <c r="T169" i="23"/>
  <c r="V169" i="23"/>
  <c r="AB169" i="23"/>
  <c r="N169" i="23"/>
  <c r="X169" i="23"/>
  <c r="H169" i="23"/>
  <c r="V85" i="23"/>
  <c r="H85" i="23"/>
  <c r="AD85" i="23"/>
  <c r="X85" i="23"/>
  <c r="P85" i="23"/>
  <c r="N85" i="23"/>
  <c r="J85" i="23"/>
  <c r="L85" i="23"/>
  <c r="Z85" i="23"/>
  <c r="AB85" i="23"/>
  <c r="R85" i="23"/>
  <c r="R189" i="23"/>
  <c r="AB189" i="23"/>
  <c r="T189" i="23"/>
  <c r="N189" i="23"/>
  <c r="AD189" i="23"/>
  <c r="H189" i="23"/>
  <c r="P189" i="23"/>
  <c r="X189" i="23"/>
  <c r="J189" i="23"/>
  <c r="L189" i="23"/>
  <c r="Z189" i="23"/>
  <c r="AD83" i="23"/>
  <c r="P83" i="23"/>
  <c r="L83" i="23"/>
  <c r="H83" i="23"/>
  <c r="R83" i="23"/>
  <c r="AB83" i="23"/>
  <c r="X83" i="23"/>
  <c r="V83" i="23"/>
  <c r="J83" i="23"/>
  <c r="Z83" i="23"/>
  <c r="N83" i="23"/>
  <c r="Z82" i="23"/>
  <c r="AB82" i="23"/>
  <c r="R82" i="23"/>
  <c r="L82" i="23"/>
  <c r="H82" i="23"/>
  <c r="V82" i="23"/>
  <c r="X82" i="23"/>
  <c r="J82" i="23"/>
  <c r="P82" i="23"/>
  <c r="AD82" i="23"/>
  <c r="N82" i="23"/>
  <c r="T128" i="23"/>
  <c r="L128" i="23"/>
  <c r="H128" i="23"/>
  <c r="AB128" i="23"/>
  <c r="X128" i="23"/>
  <c r="V128" i="23"/>
  <c r="R128" i="23"/>
  <c r="J128" i="23"/>
  <c r="AD128" i="23"/>
  <c r="Z128" i="23"/>
  <c r="N128" i="23"/>
  <c r="AB170" i="23"/>
  <c r="P170" i="23"/>
  <c r="Z170" i="23"/>
  <c r="L170" i="23"/>
  <c r="AD170" i="23"/>
  <c r="T170" i="23"/>
  <c r="V170" i="23"/>
  <c r="N170" i="23"/>
  <c r="H170" i="23"/>
  <c r="J170" i="23"/>
  <c r="X170" i="23"/>
  <c r="AD193" i="23"/>
  <c r="Z193" i="23"/>
  <c r="L193" i="23"/>
  <c r="AB193" i="23"/>
  <c r="P193" i="23"/>
  <c r="N193" i="23"/>
  <c r="R193" i="23"/>
  <c r="H193" i="23"/>
  <c r="J193" i="23"/>
  <c r="X193" i="23"/>
  <c r="T193" i="23"/>
  <c r="V81" i="23"/>
  <c r="AD81" i="23"/>
  <c r="X81" i="23"/>
  <c r="N81" i="23"/>
  <c r="H81" i="23"/>
  <c r="L81" i="23"/>
  <c r="P81" i="23"/>
  <c r="J81" i="23"/>
  <c r="AB81" i="23"/>
  <c r="Z81" i="23"/>
  <c r="R81" i="23"/>
  <c r="L126" i="2"/>
  <c r="D127" i="23"/>
  <c r="O127" i="23" s="1"/>
  <c r="AG189" i="23"/>
  <c r="AH189" i="23" s="1"/>
  <c r="AG128" i="23"/>
  <c r="AH128" i="23" s="1"/>
  <c r="AG85" i="23"/>
  <c r="AH85" i="23" s="1"/>
  <c r="AG170" i="23"/>
  <c r="AH170" i="23" s="1"/>
  <c r="AG193" i="23"/>
  <c r="AH193" i="23" s="1"/>
  <c r="AG169" i="23"/>
  <c r="AH169" i="23" s="1"/>
  <c r="AE467" i="23"/>
  <c r="AE466" i="23"/>
  <c r="AE465" i="23"/>
  <c r="I191" i="2"/>
  <c r="F193" i="23" s="1"/>
  <c r="AK193" i="23" s="1"/>
  <c r="L191" i="2"/>
  <c r="L211" i="2"/>
  <c r="I211" i="2"/>
  <c r="F213" i="23" s="1"/>
  <c r="AK213" i="23" s="1"/>
  <c r="I187" i="2"/>
  <c r="F189" i="23" s="1"/>
  <c r="AK189" i="23" s="1"/>
  <c r="L187" i="2"/>
  <c r="Z188" i="23"/>
  <c r="AB188" i="23"/>
  <c r="J188" i="23"/>
  <c r="T188" i="23"/>
  <c r="X188" i="23"/>
  <c r="N188" i="23"/>
  <c r="H188" i="23"/>
  <c r="L188" i="23"/>
  <c r="AD188" i="23"/>
  <c r="R188" i="23"/>
  <c r="P188" i="23"/>
  <c r="I169" i="2"/>
  <c r="F170" i="23" s="1"/>
  <c r="AK170" i="23" s="1"/>
  <c r="L169" i="2"/>
  <c r="L85" i="2"/>
  <c r="I85" i="2"/>
  <c r="F84" i="23" s="1"/>
  <c r="AK84" i="23" s="1"/>
  <c r="I126" i="2"/>
  <c r="F127" i="23" s="1"/>
  <c r="AK127" i="23" s="1"/>
  <c r="I168" i="2"/>
  <c r="F169" i="23" s="1"/>
  <c r="L168" i="2"/>
  <c r="I86" i="2"/>
  <c r="F85" i="23" s="1"/>
  <c r="AK85" i="23" s="1"/>
  <c r="L86" i="2"/>
  <c r="I127" i="2"/>
  <c r="F128" i="23" s="1"/>
  <c r="AK128" i="23" s="1"/>
  <c r="L127" i="2"/>
  <c r="AE607" i="23"/>
  <c r="J528" i="23"/>
  <c r="H528" i="23"/>
  <c r="R528" i="23"/>
  <c r="X528" i="23"/>
  <c r="N528" i="23"/>
  <c r="T528" i="23"/>
  <c r="AD528" i="23"/>
  <c r="Z528" i="23"/>
  <c r="L528" i="23"/>
  <c r="V528" i="23"/>
  <c r="P528" i="23"/>
  <c r="V125" i="23"/>
  <c r="N125" i="23"/>
  <c r="J125" i="23"/>
  <c r="H125" i="23"/>
  <c r="AD125" i="23"/>
  <c r="Z125" i="23"/>
  <c r="L125" i="23"/>
  <c r="AB125" i="23"/>
  <c r="R125" i="23"/>
  <c r="T125" i="23"/>
  <c r="X125" i="23"/>
  <c r="Z168" i="23"/>
  <c r="AD168" i="23"/>
  <c r="X168" i="23"/>
  <c r="J168" i="23"/>
  <c r="N168" i="23"/>
  <c r="AB168" i="23"/>
  <c r="T168" i="23"/>
  <c r="H168" i="23"/>
  <c r="L168" i="23"/>
  <c r="P168" i="23"/>
  <c r="V168" i="23"/>
  <c r="Z289" i="23"/>
  <c r="AB289" i="23"/>
  <c r="R289" i="23"/>
  <c r="H289" i="23"/>
  <c r="P289" i="23"/>
  <c r="AD289" i="23"/>
  <c r="L289" i="23"/>
  <c r="J289" i="23"/>
  <c r="T289" i="23"/>
  <c r="V289" i="23"/>
  <c r="X289" i="23"/>
  <c r="V167" i="23"/>
  <c r="AD167" i="23"/>
  <c r="N167" i="23"/>
  <c r="X167" i="23"/>
  <c r="J167" i="23"/>
  <c r="P167" i="23"/>
  <c r="Z167" i="23"/>
  <c r="H167" i="23"/>
  <c r="AB167" i="23"/>
  <c r="L167" i="23"/>
  <c r="T167" i="23"/>
  <c r="V553" i="23"/>
  <c r="R553" i="23"/>
  <c r="AD553" i="23"/>
  <c r="P553" i="23"/>
  <c r="L553" i="23"/>
  <c r="X553" i="23"/>
  <c r="Z553" i="23"/>
  <c r="T553" i="23"/>
  <c r="AB553" i="23"/>
  <c r="N553" i="23"/>
  <c r="L352" i="2"/>
  <c r="Z171" i="23"/>
  <c r="L171" i="23"/>
  <c r="T171" i="23"/>
  <c r="V171" i="23"/>
  <c r="N171" i="23"/>
  <c r="P171" i="23"/>
  <c r="H171" i="23"/>
  <c r="AB171" i="23"/>
  <c r="AD171" i="23"/>
  <c r="X171" i="23"/>
  <c r="J171" i="23"/>
  <c r="J572" i="23"/>
  <c r="J576" i="23" s="1"/>
  <c r="R287" i="23"/>
  <c r="J287" i="23"/>
  <c r="P287" i="23"/>
  <c r="V287" i="23"/>
  <c r="AD287" i="23"/>
  <c r="H287" i="23"/>
  <c r="Z287" i="23"/>
  <c r="L287" i="23"/>
  <c r="AB287" i="23"/>
  <c r="T287" i="23"/>
  <c r="X287" i="23"/>
  <c r="L350" i="2"/>
  <c r="Z34" i="23"/>
  <c r="P34" i="23"/>
  <c r="R34" i="23"/>
  <c r="V34" i="23"/>
  <c r="N34" i="23"/>
  <c r="AB34" i="23"/>
  <c r="X34" i="23"/>
  <c r="J34" i="23"/>
  <c r="L34" i="23"/>
  <c r="AD34" i="23"/>
  <c r="H34" i="23"/>
  <c r="X527" i="23"/>
  <c r="J527" i="23"/>
  <c r="AD527" i="23"/>
  <c r="Z527" i="23"/>
  <c r="V527" i="23"/>
  <c r="R527" i="23"/>
  <c r="P527" i="23"/>
  <c r="L527" i="23"/>
  <c r="H527" i="23"/>
  <c r="T527" i="23"/>
  <c r="N527" i="23"/>
  <c r="P554" i="23"/>
  <c r="T554" i="23"/>
  <c r="N554" i="23"/>
  <c r="AD554" i="23"/>
  <c r="L351" i="2"/>
  <c r="L353" i="2"/>
  <c r="V290" i="23"/>
  <c r="Z290" i="23"/>
  <c r="T290" i="23"/>
  <c r="L290" i="23"/>
  <c r="X290" i="23"/>
  <c r="AB290" i="23"/>
  <c r="J290" i="23"/>
  <c r="R290" i="23"/>
  <c r="P290" i="23"/>
  <c r="AD290" i="23"/>
  <c r="H290" i="23"/>
  <c r="V288" i="23"/>
  <c r="Z288" i="23"/>
  <c r="T288" i="23"/>
  <c r="AB288" i="23"/>
  <c r="H288" i="23"/>
  <c r="R288" i="23"/>
  <c r="L288" i="23"/>
  <c r="P288" i="23"/>
  <c r="J288" i="23"/>
  <c r="AD288" i="23"/>
  <c r="X288" i="23"/>
  <c r="AG168" i="23"/>
  <c r="AH168" i="23" s="1"/>
  <c r="AG171" i="23"/>
  <c r="AH171" i="23" s="1"/>
  <c r="AG167" i="23"/>
  <c r="AH167" i="23" s="1"/>
  <c r="AG125" i="23"/>
  <c r="AH125" i="23" s="1"/>
  <c r="AG287" i="23"/>
  <c r="AH287" i="23" s="1"/>
  <c r="AG290" i="23"/>
  <c r="AH290" i="23" s="1"/>
  <c r="AG289" i="23"/>
  <c r="AH289" i="23" s="1"/>
  <c r="AG34" i="23"/>
  <c r="AH34" i="23" s="1"/>
  <c r="AG288" i="23"/>
  <c r="AH288" i="23" s="1"/>
  <c r="I288" i="2"/>
  <c r="F290" i="23" s="1"/>
  <c r="L288" i="2"/>
  <c r="I287" i="2"/>
  <c r="F289" i="23" s="1"/>
  <c r="AK289" i="23" s="1"/>
  <c r="L287" i="2"/>
  <c r="I286" i="2"/>
  <c r="F288" i="23" s="1"/>
  <c r="AK288" i="23" s="1"/>
  <c r="L286" i="2"/>
  <c r="L285" i="2"/>
  <c r="I285" i="2"/>
  <c r="F287" i="23" s="1"/>
  <c r="AK287" i="23" s="1"/>
  <c r="I552" i="2"/>
  <c r="L552" i="2"/>
  <c r="L551" i="2"/>
  <c r="I551" i="2"/>
  <c r="F553" i="23" s="1"/>
  <c r="AK553" i="23" s="1"/>
  <c r="I544" i="2"/>
  <c r="F546" i="23" s="1"/>
  <c r="AK546" i="23" s="1"/>
  <c r="L544" i="2"/>
  <c r="I537" i="2"/>
  <c r="F539" i="23" s="1"/>
  <c r="L537" i="2"/>
  <c r="I543" i="2"/>
  <c r="F545" i="23" s="1"/>
  <c r="AK545" i="23" s="1"/>
  <c r="L543" i="2"/>
  <c r="L547" i="2"/>
  <c r="I547" i="2"/>
  <c r="F549" i="23" s="1"/>
  <c r="AK549" i="23" s="1"/>
  <c r="I545" i="2"/>
  <c r="F547" i="23" s="1"/>
  <c r="AK547" i="23" s="1"/>
  <c r="L545" i="2"/>
  <c r="L546" i="2"/>
  <c r="I546" i="2"/>
  <c r="F548" i="23" s="1"/>
  <c r="AK548" i="23" s="1"/>
  <c r="L542" i="2"/>
  <c r="I542" i="2"/>
  <c r="F544" i="23" s="1"/>
  <c r="L538" i="2"/>
  <c r="I538" i="2"/>
  <c r="F540" i="23" s="1"/>
  <c r="AK540" i="23" s="1"/>
  <c r="L316" i="2"/>
  <c r="I316" i="2"/>
  <c r="F318" i="23" s="1"/>
  <c r="AK318" i="23" s="1"/>
  <c r="L315" i="2"/>
  <c r="I315" i="2"/>
  <c r="F317" i="23" s="1"/>
  <c r="AK317" i="23" s="1"/>
  <c r="L318" i="2"/>
  <c r="I318" i="2"/>
  <c r="F320" i="23" s="1"/>
  <c r="AK320" i="23" s="1"/>
  <c r="L317" i="2"/>
  <c r="I317" i="2"/>
  <c r="F319" i="23" s="1"/>
  <c r="AK319" i="23" s="1"/>
  <c r="L314" i="2"/>
  <c r="I314" i="2"/>
  <c r="F316" i="23" s="1"/>
  <c r="AK316" i="23" s="1"/>
  <c r="L181" i="23"/>
  <c r="Z181" i="23"/>
  <c r="AD181" i="23"/>
  <c r="J181" i="23"/>
  <c r="N181" i="23"/>
  <c r="X181" i="23"/>
  <c r="H181" i="23"/>
  <c r="AB181" i="23"/>
  <c r="T181" i="23"/>
  <c r="P181" i="23"/>
  <c r="R181" i="23"/>
  <c r="N68" i="23"/>
  <c r="N69" i="23" s="1"/>
  <c r="T68" i="23"/>
  <c r="T69" i="23" s="1"/>
  <c r="AD68" i="23"/>
  <c r="AD69" i="23" s="1"/>
  <c r="P68" i="23"/>
  <c r="P69" i="23" s="1"/>
  <c r="H68" i="23"/>
  <c r="H69" i="23" s="1"/>
  <c r="X68" i="23"/>
  <c r="X69" i="23" s="1"/>
  <c r="AB68" i="23"/>
  <c r="AB69" i="23" s="1"/>
  <c r="J68" i="23"/>
  <c r="J69" i="23" s="1"/>
  <c r="Z68" i="23"/>
  <c r="Z69" i="23" s="1"/>
  <c r="R68" i="23"/>
  <c r="R69" i="23" s="1"/>
  <c r="L68" i="23"/>
  <c r="L69" i="23" s="1"/>
  <c r="R268" i="23"/>
  <c r="J268" i="23"/>
  <c r="Z268" i="23"/>
  <c r="L268" i="23"/>
  <c r="AB268" i="23"/>
  <c r="P268" i="23"/>
  <c r="V268" i="23"/>
  <c r="X268" i="23"/>
  <c r="H268" i="23"/>
  <c r="AD268" i="23"/>
  <c r="T268" i="23"/>
  <c r="AD111" i="23"/>
  <c r="N111" i="23"/>
  <c r="X111" i="23"/>
  <c r="R111" i="23"/>
  <c r="J111" i="23"/>
  <c r="AB111" i="23"/>
  <c r="Z111" i="23"/>
  <c r="T111" i="23"/>
  <c r="L111" i="23"/>
  <c r="V111" i="23"/>
  <c r="H111" i="23"/>
  <c r="V74" i="23"/>
  <c r="L74" i="23"/>
  <c r="N74" i="23"/>
  <c r="AD74" i="23"/>
  <c r="H74" i="23"/>
  <c r="X74" i="23"/>
  <c r="R74" i="23"/>
  <c r="P74" i="23"/>
  <c r="J74" i="23"/>
  <c r="AB74" i="23"/>
  <c r="Z74" i="23"/>
  <c r="Z62" i="23"/>
  <c r="V62" i="23"/>
  <c r="P62" i="23"/>
  <c r="H62" i="23"/>
  <c r="X62" i="23"/>
  <c r="AB62" i="23"/>
  <c r="J62" i="23"/>
  <c r="N62" i="23"/>
  <c r="L62" i="23"/>
  <c r="R62" i="23"/>
  <c r="AD62" i="23"/>
  <c r="H226" i="23"/>
  <c r="V226" i="23"/>
  <c r="R226" i="23"/>
  <c r="P226" i="23"/>
  <c r="AB226" i="23"/>
  <c r="T226" i="23"/>
  <c r="N226" i="23"/>
  <c r="L226" i="23"/>
  <c r="Z226" i="23"/>
  <c r="J226" i="23"/>
  <c r="X226" i="23"/>
  <c r="G106" i="2"/>
  <c r="H106" i="2" s="1"/>
  <c r="AB222" i="23"/>
  <c r="T222" i="23"/>
  <c r="N222" i="23"/>
  <c r="Z222" i="23"/>
  <c r="J222" i="23"/>
  <c r="X222" i="23"/>
  <c r="H222" i="23"/>
  <c r="L222" i="23"/>
  <c r="V222" i="23"/>
  <c r="R222" i="23"/>
  <c r="P222" i="23"/>
  <c r="L50" i="2"/>
  <c r="I50" i="2"/>
  <c r="F49" i="23" s="1"/>
  <c r="AK49" i="23" s="1"/>
  <c r="D49" i="23"/>
  <c r="S49" i="23" s="1"/>
  <c r="I292" i="2"/>
  <c r="F294" i="23" s="1"/>
  <c r="AK294" i="23" s="1"/>
  <c r="L292" i="2"/>
  <c r="D294" i="23"/>
  <c r="M294" i="23" s="1"/>
  <c r="I531" i="2"/>
  <c r="F533" i="23" s="1"/>
  <c r="AK533" i="23" s="1"/>
  <c r="L531" i="2"/>
  <c r="D533" i="23"/>
  <c r="L424" i="2"/>
  <c r="I424" i="2"/>
  <c r="F426" i="23" s="1"/>
  <c r="AK426" i="23" s="1"/>
  <c r="D426" i="23"/>
  <c r="S426" i="23" s="1"/>
  <c r="L92" i="2"/>
  <c r="I92" i="2"/>
  <c r="F91" i="23" s="1"/>
  <c r="D91" i="23"/>
  <c r="U91" i="23" s="1"/>
  <c r="AE91" i="23" s="1"/>
  <c r="L313" i="2"/>
  <c r="I313" i="2"/>
  <c r="F315" i="23" s="1"/>
  <c r="AK315" i="23" s="1"/>
  <c r="D315" i="23"/>
  <c r="M315" i="23" s="1"/>
  <c r="L585" i="2"/>
  <c r="I585" i="2"/>
  <c r="F587" i="23" s="1"/>
  <c r="AK587" i="23" s="1"/>
  <c r="D587" i="23"/>
  <c r="I483" i="2"/>
  <c r="F486" i="23" s="1"/>
  <c r="AK486" i="23" s="1"/>
  <c r="L483" i="2"/>
  <c r="D486" i="23"/>
  <c r="I486" i="23" s="1"/>
  <c r="I166" i="2"/>
  <c r="F167" i="23" s="1"/>
  <c r="L166" i="2"/>
  <c r="I396" i="2"/>
  <c r="F399" i="23" s="1"/>
  <c r="AK399" i="23" s="1"/>
  <c r="L396" i="2"/>
  <c r="D399" i="23"/>
  <c r="K399" i="23" s="1"/>
  <c r="L51" i="2"/>
  <c r="I51" i="2"/>
  <c r="F50" i="23" s="1"/>
  <c r="AK50" i="23" s="1"/>
  <c r="D50" i="23"/>
  <c r="S50" i="23" s="1"/>
  <c r="L293" i="2"/>
  <c r="I293" i="2"/>
  <c r="F295" i="23" s="1"/>
  <c r="AK295" i="23" s="1"/>
  <c r="D295" i="23"/>
  <c r="M295" i="23" s="1"/>
  <c r="L532" i="2"/>
  <c r="I532" i="2"/>
  <c r="F534" i="23" s="1"/>
  <c r="AK534" i="23" s="1"/>
  <c r="D534" i="23"/>
  <c r="I204" i="2"/>
  <c r="F206" i="23" s="1"/>
  <c r="AK206" i="23" s="1"/>
  <c r="L204" i="2"/>
  <c r="D206" i="23"/>
  <c r="U206" i="23" s="1"/>
  <c r="L98" i="2"/>
  <c r="I98" i="2"/>
  <c r="F99" i="23" s="1"/>
  <c r="AK99" i="23" s="1"/>
  <c r="D99" i="23"/>
  <c r="O99" i="23" s="1"/>
  <c r="D316" i="23"/>
  <c r="M316" i="23" s="1"/>
  <c r="L589" i="2"/>
  <c r="L590" i="2" s="1"/>
  <c r="I589" i="2"/>
  <c r="D591" i="23"/>
  <c r="I225" i="2"/>
  <c r="F227" i="23" s="1"/>
  <c r="L225" i="2"/>
  <c r="D227" i="23"/>
  <c r="AC227" i="23" s="1"/>
  <c r="AE227" i="23" s="1"/>
  <c r="L438" i="2"/>
  <c r="I438" i="2"/>
  <c r="F440" i="23" s="1"/>
  <c r="AK440" i="23" s="1"/>
  <c r="D440" i="23"/>
  <c r="S440" i="23" s="1"/>
  <c r="I146" i="2"/>
  <c r="F147" i="23" s="1"/>
  <c r="AK147" i="23" s="1"/>
  <c r="L146" i="2"/>
  <c r="D147" i="23"/>
  <c r="Q147" i="23" s="1"/>
  <c r="AE147" i="23" s="1"/>
  <c r="I380" i="2"/>
  <c r="F383" i="23" s="1"/>
  <c r="AK383" i="23" s="1"/>
  <c r="L380" i="2"/>
  <c r="D383" i="23"/>
  <c r="M383" i="23" s="1"/>
  <c r="L626" i="2"/>
  <c r="I626" i="2"/>
  <c r="F629" i="23" s="1"/>
  <c r="AK629" i="23" s="1"/>
  <c r="D629" i="23"/>
  <c r="K629" i="23" s="1"/>
  <c r="L260" i="2"/>
  <c r="I260" i="2"/>
  <c r="F262" i="23" s="1"/>
  <c r="AK262" i="23" s="1"/>
  <c r="D262" i="23"/>
  <c r="M262" i="23" s="1"/>
  <c r="I482" i="2"/>
  <c r="F485" i="23" s="1"/>
  <c r="AK485" i="23" s="1"/>
  <c r="L482" i="2"/>
  <c r="D485" i="23"/>
  <c r="I485" i="23" s="1"/>
  <c r="L165" i="2"/>
  <c r="I165" i="2"/>
  <c r="F166" i="23" s="1"/>
  <c r="D166" i="23"/>
  <c r="Q166" i="23" s="1"/>
  <c r="AE166" i="23" s="1"/>
  <c r="I395" i="2"/>
  <c r="F398" i="23" s="1"/>
  <c r="AK398" i="23" s="1"/>
  <c r="L395" i="2"/>
  <c r="D398" i="23"/>
  <c r="K398" i="23" s="1"/>
  <c r="P321" i="23"/>
  <c r="X321" i="23"/>
  <c r="AD321" i="23"/>
  <c r="J321" i="23"/>
  <c r="AB321" i="23"/>
  <c r="V321" i="23"/>
  <c r="H321" i="23"/>
  <c r="L321" i="23"/>
  <c r="Z321" i="23"/>
  <c r="R321" i="23"/>
  <c r="T321" i="23"/>
  <c r="H116" i="23"/>
  <c r="N116" i="23"/>
  <c r="J116" i="23"/>
  <c r="L116" i="23"/>
  <c r="V116" i="23"/>
  <c r="X116" i="23"/>
  <c r="T116" i="23"/>
  <c r="AB116" i="23"/>
  <c r="Z116" i="23"/>
  <c r="AD116" i="23"/>
  <c r="R116" i="23"/>
  <c r="Z266" i="23"/>
  <c r="J266" i="23"/>
  <c r="X266" i="23"/>
  <c r="H266" i="23"/>
  <c r="V266" i="23"/>
  <c r="T266" i="23"/>
  <c r="R266" i="23"/>
  <c r="P266" i="23"/>
  <c r="L266" i="23"/>
  <c r="AD266" i="23"/>
  <c r="AB266" i="23"/>
  <c r="J451" i="23"/>
  <c r="N451" i="23"/>
  <c r="AD451" i="23"/>
  <c r="AB451" i="23"/>
  <c r="T451" i="23"/>
  <c r="L451" i="23"/>
  <c r="H451" i="23"/>
  <c r="Z451" i="23"/>
  <c r="P451" i="23"/>
  <c r="R451" i="23"/>
  <c r="X451" i="23"/>
  <c r="Z220" i="23"/>
  <c r="V220" i="23"/>
  <c r="J220" i="23"/>
  <c r="X220" i="23"/>
  <c r="H220" i="23"/>
  <c r="R220" i="23"/>
  <c r="AB220" i="23"/>
  <c r="T220" i="23"/>
  <c r="P220" i="23"/>
  <c r="L220" i="23"/>
  <c r="N220" i="23"/>
  <c r="N562" i="23"/>
  <c r="Z562" i="23"/>
  <c r="J562" i="23"/>
  <c r="X562" i="23"/>
  <c r="H562" i="23"/>
  <c r="R562" i="23"/>
  <c r="P562" i="23"/>
  <c r="L562" i="23"/>
  <c r="V562" i="23"/>
  <c r="T562" i="23"/>
  <c r="AB562" i="23"/>
  <c r="L69" i="2"/>
  <c r="I69" i="2"/>
  <c r="F68" i="23" s="1"/>
  <c r="AK68" i="23" s="1"/>
  <c r="D68" i="23"/>
  <c r="U68" i="23" s="1"/>
  <c r="AE68" i="23" s="1"/>
  <c r="I304" i="2"/>
  <c r="F306" i="23" s="1"/>
  <c r="AK306" i="23" s="1"/>
  <c r="L304" i="2"/>
  <c r="D306" i="23"/>
  <c r="M306" i="23" s="1"/>
  <c r="I572" i="2"/>
  <c r="F574" i="23" s="1"/>
  <c r="AK574" i="23" s="1"/>
  <c r="L572" i="2"/>
  <c r="D574" i="23"/>
  <c r="L226" i="2"/>
  <c r="I226" i="2"/>
  <c r="F228" i="23" s="1"/>
  <c r="AK228" i="23" s="1"/>
  <c r="D228" i="23"/>
  <c r="AC228" i="23" s="1"/>
  <c r="AE228" i="23" s="1"/>
  <c r="I442" i="2"/>
  <c r="F445" i="23" s="1"/>
  <c r="AK445" i="23" s="1"/>
  <c r="L442" i="2"/>
  <c r="D445" i="23"/>
  <c r="U445" i="23" s="1"/>
  <c r="I115" i="2"/>
  <c r="F116" i="23" s="1"/>
  <c r="AK116" i="23" s="1"/>
  <c r="L115" i="2"/>
  <c r="D116" i="23"/>
  <c r="O116" i="23" s="1"/>
  <c r="AE116" i="23" s="1"/>
  <c r="L369" i="2"/>
  <c r="I369" i="2"/>
  <c r="F372" i="23" s="1"/>
  <c r="AK372" i="23" s="1"/>
  <c r="D372" i="23"/>
  <c r="M372" i="23" s="1"/>
  <c r="L608" i="2"/>
  <c r="I608" i="2"/>
  <c r="F611" i="23" s="1"/>
  <c r="AK611" i="23" s="1"/>
  <c r="D611" i="23"/>
  <c r="G611" i="23" s="1"/>
  <c r="L272" i="2"/>
  <c r="I272" i="2"/>
  <c r="F274" i="23" s="1"/>
  <c r="AK274" i="23" s="1"/>
  <c r="D274" i="23"/>
  <c r="M274" i="23" s="1"/>
  <c r="L508" i="2"/>
  <c r="I508" i="2"/>
  <c r="F510" i="23" s="1"/>
  <c r="D510" i="23"/>
  <c r="W510" i="23" s="1"/>
  <c r="I192" i="2"/>
  <c r="F194" i="23" s="1"/>
  <c r="AK194" i="23" s="1"/>
  <c r="L192" i="2"/>
  <c r="D194" i="23"/>
  <c r="U194" i="23" s="1"/>
  <c r="L73" i="2"/>
  <c r="I73" i="2"/>
  <c r="F72" i="23" s="1"/>
  <c r="AK72" i="23" s="1"/>
  <c r="D72" i="23"/>
  <c r="S72" i="23" s="1"/>
  <c r="AE72" i="23" s="1"/>
  <c r="L305" i="2"/>
  <c r="I305" i="2"/>
  <c r="F307" i="23" s="1"/>
  <c r="AK307" i="23" s="1"/>
  <c r="D307" i="23"/>
  <c r="M307" i="23" s="1"/>
  <c r="L573" i="2"/>
  <c r="I573" i="2"/>
  <c r="F575" i="23" s="1"/>
  <c r="AK575" i="23" s="1"/>
  <c r="D575" i="23"/>
  <c r="I219" i="2"/>
  <c r="F221" i="23" s="1"/>
  <c r="L219" i="2"/>
  <c r="D221" i="23"/>
  <c r="AC221" i="23" s="1"/>
  <c r="AE221" i="23" s="1"/>
  <c r="I425" i="2"/>
  <c r="F427" i="23" s="1"/>
  <c r="AK427" i="23" s="1"/>
  <c r="L425" i="2"/>
  <c r="D427" i="23"/>
  <c r="S427" i="23" s="1"/>
  <c r="L116" i="2"/>
  <c r="I116" i="2"/>
  <c r="F117" i="23" s="1"/>
  <c r="AK117" i="23" s="1"/>
  <c r="D117" i="23"/>
  <c r="O117" i="23" s="1"/>
  <c r="I370" i="2"/>
  <c r="F373" i="23" s="1"/>
  <c r="AK373" i="23" s="1"/>
  <c r="L370" i="2"/>
  <c r="I241" i="2"/>
  <c r="F243" i="23" s="1"/>
  <c r="AK243" i="23" s="1"/>
  <c r="L241" i="2"/>
  <c r="D243" i="23"/>
  <c r="I243" i="23" s="1"/>
  <c r="I465" i="2"/>
  <c r="F468" i="23" s="1"/>
  <c r="AK468" i="23" s="1"/>
  <c r="L465" i="2"/>
  <c r="D468" i="23"/>
  <c r="K468" i="23" s="1"/>
  <c r="L167" i="2"/>
  <c r="I167" i="2"/>
  <c r="F168" i="23" s="1"/>
  <c r="L397" i="2"/>
  <c r="I397" i="2"/>
  <c r="F400" i="23" s="1"/>
  <c r="AK400" i="23" s="1"/>
  <c r="D400" i="23"/>
  <c r="K400" i="23" s="1"/>
  <c r="L34" i="2"/>
  <c r="I34" i="2"/>
  <c r="F33" i="23" s="1"/>
  <c r="AK33" i="23" s="1"/>
  <c r="L268" i="2"/>
  <c r="I268" i="2"/>
  <c r="F270" i="23" s="1"/>
  <c r="AK270" i="23" s="1"/>
  <c r="D270" i="23"/>
  <c r="M270" i="23" s="1"/>
  <c r="L504" i="2"/>
  <c r="I504" i="2"/>
  <c r="F506" i="23" s="1"/>
  <c r="AK506" i="23" s="1"/>
  <c r="D506" i="23"/>
  <c r="I190" i="2"/>
  <c r="F192" i="23" s="1"/>
  <c r="AK192" i="23" s="1"/>
  <c r="L190" i="2"/>
  <c r="D192" i="23"/>
  <c r="U192" i="23" s="1"/>
  <c r="AE192" i="23" s="1"/>
  <c r="Z264" i="23"/>
  <c r="AD264" i="23"/>
  <c r="AB264" i="23"/>
  <c r="J264" i="23"/>
  <c r="T264" i="23"/>
  <c r="X264" i="23"/>
  <c r="L264" i="23"/>
  <c r="H264" i="23"/>
  <c r="P264" i="23"/>
  <c r="V264" i="23"/>
  <c r="R264" i="23"/>
  <c r="H126" i="23"/>
  <c r="V126" i="23"/>
  <c r="L126" i="23"/>
  <c r="N126" i="23"/>
  <c r="R126" i="23"/>
  <c r="Z126" i="23"/>
  <c r="J126" i="23"/>
  <c r="AD126" i="23"/>
  <c r="AB126" i="23"/>
  <c r="X126" i="23"/>
  <c r="T126" i="23"/>
  <c r="X396" i="23"/>
  <c r="X401" i="23" s="1"/>
  <c r="U21" i="6" s="1"/>
  <c r="H396" i="23"/>
  <c r="H401" i="23" s="1"/>
  <c r="E21" i="6" s="1"/>
  <c r="V396" i="23"/>
  <c r="V401" i="23" s="1"/>
  <c r="S21" i="6" s="1"/>
  <c r="R396" i="23"/>
  <c r="R401" i="23" s="1"/>
  <c r="O21" i="6" s="1"/>
  <c r="P396" i="23"/>
  <c r="P401" i="23" s="1"/>
  <c r="M21" i="6" s="1"/>
  <c r="AD396" i="23"/>
  <c r="AD401" i="23" s="1"/>
  <c r="AA21" i="6" s="1"/>
  <c r="AB396" i="23"/>
  <c r="AB401" i="23" s="1"/>
  <c r="Y21" i="6" s="1"/>
  <c r="T396" i="23"/>
  <c r="T401" i="23" s="1"/>
  <c r="Q21" i="6" s="1"/>
  <c r="N396" i="23"/>
  <c r="N401" i="23" s="1"/>
  <c r="K21" i="6" s="1"/>
  <c r="Z396" i="23"/>
  <c r="Z401" i="23" s="1"/>
  <c r="W21" i="6" s="1"/>
  <c r="J396" i="23"/>
  <c r="J401" i="23" s="1"/>
  <c r="G21" i="6" s="1"/>
  <c r="AD106" i="23"/>
  <c r="N106" i="23"/>
  <c r="AB106" i="23"/>
  <c r="L106" i="23"/>
  <c r="Z106" i="23"/>
  <c r="J106" i="23"/>
  <c r="X106" i="23"/>
  <c r="V106" i="23"/>
  <c r="T106" i="23"/>
  <c r="R106" i="23"/>
  <c r="H106" i="23"/>
  <c r="L408" i="23"/>
  <c r="Z408" i="23"/>
  <c r="J408" i="23"/>
  <c r="X408" i="23"/>
  <c r="H408" i="23"/>
  <c r="V408" i="23"/>
  <c r="T408" i="23"/>
  <c r="P408" i="23"/>
  <c r="AD408" i="23"/>
  <c r="N408" i="23"/>
  <c r="AB408" i="23"/>
  <c r="X89" i="23"/>
  <c r="R89" i="23"/>
  <c r="J89" i="23"/>
  <c r="AD89" i="23"/>
  <c r="T89" i="23"/>
  <c r="AB89" i="23"/>
  <c r="Z89" i="23"/>
  <c r="P89" i="23"/>
  <c r="L89" i="23"/>
  <c r="N89" i="23"/>
  <c r="H89" i="23"/>
  <c r="R221" i="23"/>
  <c r="AB221" i="23"/>
  <c r="T221" i="23"/>
  <c r="Z221" i="23"/>
  <c r="N221" i="23"/>
  <c r="L221" i="23"/>
  <c r="J221" i="23"/>
  <c r="X221" i="23"/>
  <c r="H221" i="23"/>
  <c r="V221" i="23"/>
  <c r="P221" i="23"/>
  <c r="P251" i="23"/>
  <c r="P253" i="23" s="1"/>
  <c r="R251" i="23"/>
  <c r="R253" i="23" s="1"/>
  <c r="T251" i="23"/>
  <c r="T253" i="23" s="1"/>
  <c r="V251" i="23"/>
  <c r="V253" i="23" s="1"/>
  <c r="X251" i="23"/>
  <c r="X253" i="23" s="1"/>
  <c r="AB251" i="23"/>
  <c r="AB253" i="23" s="1"/>
  <c r="H251" i="23"/>
  <c r="H253" i="23" s="1"/>
  <c r="Z251" i="23"/>
  <c r="Z253" i="23" s="1"/>
  <c r="L251" i="23"/>
  <c r="L253" i="23" s="1"/>
  <c r="N251" i="23"/>
  <c r="N253" i="23" s="1"/>
  <c r="AD251" i="23"/>
  <c r="AD253" i="23" s="1"/>
  <c r="I99" i="2"/>
  <c r="F100" i="23" s="1"/>
  <c r="AK100" i="23" s="1"/>
  <c r="L99" i="2"/>
  <c r="D100" i="23"/>
  <c r="O100" i="23" s="1"/>
  <c r="D317" i="23"/>
  <c r="M317" i="23" s="1"/>
  <c r="I595" i="2"/>
  <c r="F598" i="23" s="1"/>
  <c r="AK598" i="23" s="1"/>
  <c r="L595" i="2"/>
  <c r="D598" i="23"/>
  <c r="G598" i="23" s="1"/>
  <c r="I242" i="2"/>
  <c r="F244" i="23" s="1"/>
  <c r="AK244" i="23" s="1"/>
  <c r="L242" i="2"/>
  <c r="D244" i="23"/>
  <c r="I244" i="23" s="1"/>
  <c r="I466" i="2"/>
  <c r="F469" i="23" s="1"/>
  <c r="AK469" i="23" s="1"/>
  <c r="L466" i="2"/>
  <c r="D469" i="23"/>
  <c r="K469" i="23" s="1"/>
  <c r="L147" i="2"/>
  <c r="I147" i="2"/>
  <c r="F148" i="23" s="1"/>
  <c r="AK148" i="23" s="1"/>
  <c r="D148" i="23"/>
  <c r="Q148" i="23" s="1"/>
  <c r="AE148" i="23" s="1"/>
  <c r="L381" i="2"/>
  <c r="I381" i="2"/>
  <c r="F384" i="23" s="1"/>
  <c r="AK384" i="23" s="1"/>
  <c r="D384" i="23"/>
  <c r="M384" i="23" s="1"/>
  <c r="I56" i="2"/>
  <c r="F55" i="23" s="1"/>
  <c r="AK55" i="23" s="1"/>
  <c r="L56" i="2"/>
  <c r="D55" i="23"/>
  <c r="S55" i="23" s="1"/>
  <c r="I295" i="2"/>
  <c r="F297" i="23" s="1"/>
  <c r="AK297" i="23" s="1"/>
  <c r="L295" i="2"/>
  <c r="D297" i="23"/>
  <c r="M297" i="23" s="1"/>
  <c r="L206" i="2"/>
  <c r="I206" i="2"/>
  <c r="F208" i="23" s="1"/>
  <c r="AK208" i="23" s="1"/>
  <c r="D208" i="23"/>
  <c r="U208" i="23" s="1"/>
  <c r="I411" i="2"/>
  <c r="F413" i="23" s="1"/>
  <c r="AK413" i="23" s="1"/>
  <c r="L411" i="2"/>
  <c r="D413" i="23"/>
  <c r="Q413" i="23" s="1"/>
  <c r="I100" i="2"/>
  <c r="F101" i="23" s="1"/>
  <c r="AK101" i="23" s="1"/>
  <c r="L100" i="2"/>
  <c r="D101" i="23"/>
  <c r="O101" i="23" s="1"/>
  <c r="D318" i="23"/>
  <c r="M318" i="23" s="1"/>
  <c r="L596" i="2"/>
  <c r="I596" i="2"/>
  <c r="F599" i="23" s="1"/>
  <c r="AK599" i="23" s="1"/>
  <c r="D599" i="23"/>
  <c r="G599" i="23" s="1"/>
  <c r="L443" i="2"/>
  <c r="I443" i="2"/>
  <c r="F446" i="23" s="1"/>
  <c r="AK446" i="23" s="1"/>
  <c r="D446" i="23"/>
  <c r="U446" i="23" s="1"/>
  <c r="I151" i="2"/>
  <c r="F152" i="23" s="1"/>
  <c r="AK152" i="23" s="1"/>
  <c r="L151" i="2"/>
  <c r="D152" i="23"/>
  <c r="S152" i="23" s="1"/>
  <c r="I382" i="2"/>
  <c r="F385" i="23" s="1"/>
  <c r="AK385" i="23" s="1"/>
  <c r="L382" i="2"/>
  <c r="D385" i="23"/>
  <c r="M385" i="23" s="1"/>
  <c r="L31" i="2"/>
  <c r="I31" i="2"/>
  <c r="F30" i="23" s="1"/>
  <c r="AK30" i="23" s="1"/>
  <c r="D30" i="23"/>
  <c r="S30" i="23" s="1"/>
  <c r="L261" i="2"/>
  <c r="I261" i="2"/>
  <c r="F263" i="23" s="1"/>
  <c r="D263" i="23"/>
  <c r="M263" i="23" s="1"/>
  <c r="AE263" i="23" s="1"/>
  <c r="L484" i="2"/>
  <c r="I484" i="2"/>
  <c r="F487" i="23" s="1"/>
  <c r="AK487" i="23" s="1"/>
  <c r="D487" i="23"/>
  <c r="I487" i="23" s="1"/>
  <c r="L193" i="2"/>
  <c r="I193" i="2"/>
  <c r="F195" i="23" s="1"/>
  <c r="AK195" i="23" s="1"/>
  <c r="D195" i="23"/>
  <c r="U195" i="23" s="1"/>
  <c r="L408" i="2"/>
  <c r="I408" i="2"/>
  <c r="F410" i="23" s="1"/>
  <c r="AK410" i="23" s="1"/>
  <c r="D410" i="23"/>
  <c r="Q410" i="23" s="1"/>
  <c r="AE410" i="23" s="1"/>
  <c r="L55" i="2"/>
  <c r="I55" i="2"/>
  <c r="F54" i="23" s="1"/>
  <c r="AK54" i="23" s="1"/>
  <c r="D54" i="23"/>
  <c r="S54" i="23" s="1"/>
  <c r="I294" i="2"/>
  <c r="F296" i="23" s="1"/>
  <c r="AK296" i="23" s="1"/>
  <c r="L294" i="2"/>
  <c r="D296" i="23"/>
  <c r="M296" i="23" s="1"/>
  <c r="I205" i="2"/>
  <c r="F207" i="23" s="1"/>
  <c r="AK207" i="23" s="1"/>
  <c r="L205" i="2"/>
  <c r="D207" i="23"/>
  <c r="U207" i="23" s="1"/>
  <c r="AE207" i="23" s="1"/>
  <c r="L410" i="2"/>
  <c r="I410" i="2"/>
  <c r="F412" i="23" s="1"/>
  <c r="AK412" i="23" s="1"/>
  <c r="D412" i="23"/>
  <c r="Q412" i="23" s="1"/>
  <c r="J118" i="23"/>
  <c r="L118" i="23"/>
  <c r="N118" i="23"/>
  <c r="R118" i="23"/>
  <c r="T118" i="23"/>
  <c r="V118" i="23"/>
  <c r="X118" i="23"/>
  <c r="AB118" i="23"/>
  <c r="Z118" i="23"/>
  <c r="H118" i="23"/>
  <c r="AD118" i="23"/>
  <c r="X409" i="23"/>
  <c r="H409" i="23"/>
  <c r="V409" i="23"/>
  <c r="T409" i="23"/>
  <c r="AB409" i="23"/>
  <c r="P409" i="23"/>
  <c r="N409" i="23"/>
  <c r="Z409" i="23"/>
  <c r="AD409" i="23"/>
  <c r="J409" i="23"/>
  <c r="L409" i="23"/>
  <c r="X148" i="23"/>
  <c r="L148" i="23"/>
  <c r="H148" i="23"/>
  <c r="Z148" i="23"/>
  <c r="J148" i="23"/>
  <c r="P148" i="23"/>
  <c r="V148" i="23"/>
  <c r="AB148" i="23"/>
  <c r="AD148" i="23"/>
  <c r="T148" i="23"/>
  <c r="N148" i="23"/>
  <c r="L114" i="23"/>
  <c r="T114" i="23"/>
  <c r="AB114" i="23"/>
  <c r="Z114" i="23"/>
  <c r="J114" i="23"/>
  <c r="AD114" i="23"/>
  <c r="N114" i="23"/>
  <c r="H114" i="23"/>
  <c r="R114" i="23"/>
  <c r="V114" i="23"/>
  <c r="X114" i="23"/>
  <c r="L515" i="23"/>
  <c r="T515" i="23"/>
  <c r="AB515" i="23"/>
  <c r="N515" i="23"/>
  <c r="V515" i="23"/>
  <c r="P515" i="23"/>
  <c r="H515" i="23"/>
  <c r="AD515" i="23"/>
  <c r="R515" i="23"/>
  <c r="J515" i="23"/>
  <c r="J178" i="23"/>
  <c r="R178" i="23"/>
  <c r="T178" i="23"/>
  <c r="AB178" i="23"/>
  <c r="X178" i="23"/>
  <c r="P178" i="23"/>
  <c r="N178" i="23"/>
  <c r="H178" i="23"/>
  <c r="L178" i="23"/>
  <c r="AD178" i="23"/>
  <c r="Z178" i="23"/>
  <c r="H227" i="23"/>
  <c r="Z227" i="23"/>
  <c r="V227" i="23"/>
  <c r="P227" i="23"/>
  <c r="T227" i="23"/>
  <c r="AB227" i="23"/>
  <c r="R227" i="23"/>
  <c r="N227" i="23"/>
  <c r="L227" i="23"/>
  <c r="J227" i="23"/>
  <c r="X227" i="23"/>
  <c r="I117" i="2"/>
  <c r="F118" i="23" s="1"/>
  <c r="AK118" i="23" s="1"/>
  <c r="L117" i="2"/>
  <c r="D118" i="23"/>
  <c r="O118" i="23" s="1"/>
  <c r="AE118" i="23" s="1"/>
  <c r="L371" i="2"/>
  <c r="I371" i="2"/>
  <c r="F374" i="23" s="1"/>
  <c r="AK374" i="23" s="1"/>
  <c r="I612" i="2"/>
  <c r="F615" i="23" s="1"/>
  <c r="AK615" i="23" s="1"/>
  <c r="L612" i="2"/>
  <c r="D615" i="23"/>
  <c r="I615" i="23" s="1"/>
  <c r="I492" i="2"/>
  <c r="F494" i="23" s="1"/>
  <c r="AK494" i="23" s="1"/>
  <c r="L492" i="2"/>
  <c r="D494" i="23"/>
  <c r="I170" i="2"/>
  <c r="F171" i="23" s="1"/>
  <c r="AK171" i="23" s="1"/>
  <c r="L170" i="2"/>
  <c r="I402" i="2"/>
  <c r="F404" i="23" s="1"/>
  <c r="AK404" i="23" s="1"/>
  <c r="L402" i="2"/>
  <c r="D404" i="23"/>
  <c r="Q404" i="23" s="1"/>
  <c r="L75" i="2"/>
  <c r="I75" i="2"/>
  <c r="F74" i="23" s="1"/>
  <c r="D74" i="23"/>
  <c r="S74" i="23" s="1"/>
  <c r="AE74" i="23" s="1"/>
  <c r="I307" i="2"/>
  <c r="F309" i="23" s="1"/>
  <c r="AK309" i="23" s="1"/>
  <c r="L307" i="2"/>
  <c r="D309" i="23"/>
  <c r="M309" i="23" s="1"/>
  <c r="I578" i="2"/>
  <c r="F580" i="23" s="1"/>
  <c r="AK580" i="23" s="1"/>
  <c r="L578" i="2"/>
  <c r="D580" i="23"/>
  <c r="I580" i="23" s="1"/>
  <c r="L430" i="2"/>
  <c r="I430" i="2"/>
  <c r="F432" i="23" s="1"/>
  <c r="AK432" i="23" s="1"/>
  <c r="D432" i="23"/>
  <c r="S432" i="23" s="1"/>
  <c r="L118" i="2"/>
  <c r="I118" i="2"/>
  <c r="F119" i="23" s="1"/>
  <c r="AK119" i="23" s="1"/>
  <c r="D119" i="23"/>
  <c r="O119" i="23" s="1"/>
  <c r="I372" i="2"/>
  <c r="F375" i="23" s="1"/>
  <c r="AK375" i="23" s="1"/>
  <c r="L372" i="2"/>
  <c r="D375" i="23"/>
  <c r="M375" i="23" s="1"/>
  <c r="I613" i="2"/>
  <c r="F616" i="23" s="1"/>
  <c r="AK616" i="23" s="1"/>
  <c r="L613" i="2"/>
  <c r="D616" i="23"/>
  <c r="I616" i="23" s="1"/>
  <c r="L243" i="2"/>
  <c r="I243" i="2"/>
  <c r="F245" i="23" s="1"/>
  <c r="AK245" i="23" s="1"/>
  <c r="D245" i="23"/>
  <c r="I245" i="23" s="1"/>
  <c r="L467" i="2"/>
  <c r="I467" i="2"/>
  <c r="F470" i="23" s="1"/>
  <c r="AK470" i="23" s="1"/>
  <c r="D470" i="23"/>
  <c r="K470" i="23" s="1"/>
  <c r="I176" i="2"/>
  <c r="F178" i="23" s="1"/>
  <c r="AK178" i="23" s="1"/>
  <c r="L176" i="2"/>
  <c r="D178" i="23"/>
  <c r="U178" i="23" s="1"/>
  <c r="AE178" i="23" s="1"/>
  <c r="I39" i="2"/>
  <c r="F38" i="23" s="1"/>
  <c r="AK38" i="23" s="1"/>
  <c r="L39" i="2"/>
  <c r="D38" i="23"/>
  <c r="S38" i="23" s="1"/>
  <c r="I273" i="2"/>
  <c r="F275" i="23" s="1"/>
  <c r="AK275" i="23" s="1"/>
  <c r="L273" i="2"/>
  <c r="D275" i="23"/>
  <c r="M275" i="23" s="1"/>
  <c r="I509" i="2"/>
  <c r="F511" i="23" s="1"/>
  <c r="AK511" i="23" s="1"/>
  <c r="L509" i="2"/>
  <c r="D511" i="23"/>
  <c r="W511" i="23" s="1"/>
  <c r="L207" i="2"/>
  <c r="I207" i="2"/>
  <c r="F209" i="23" s="1"/>
  <c r="D209" i="23"/>
  <c r="U209" i="23" s="1"/>
  <c r="AE209" i="23" s="1"/>
  <c r="I412" i="2"/>
  <c r="F414" i="23" s="1"/>
  <c r="AK414" i="23" s="1"/>
  <c r="L412" i="2"/>
  <c r="D414" i="23"/>
  <c r="Q414" i="23" s="1"/>
  <c r="AE414" i="23" s="1"/>
  <c r="I74" i="2"/>
  <c r="F73" i="23" s="1"/>
  <c r="L74" i="2"/>
  <c r="D73" i="23"/>
  <c r="S73" i="23" s="1"/>
  <c r="AE73" i="23" s="1"/>
  <c r="I306" i="2"/>
  <c r="F308" i="23" s="1"/>
  <c r="AK308" i="23" s="1"/>
  <c r="L306" i="2"/>
  <c r="D308" i="23"/>
  <c r="M308" i="23" s="1"/>
  <c r="L577" i="2"/>
  <c r="I577" i="2"/>
  <c r="F579" i="23" s="1"/>
  <c r="AK579" i="23" s="1"/>
  <c r="D579" i="23"/>
  <c r="I579" i="23" s="1"/>
  <c r="L426" i="2"/>
  <c r="I426" i="2"/>
  <c r="F428" i="23" s="1"/>
  <c r="AK428" i="23" s="1"/>
  <c r="D428" i="23"/>
  <c r="S428" i="23" s="1"/>
  <c r="L73" i="23"/>
  <c r="X73" i="23"/>
  <c r="P73" i="23"/>
  <c r="AB73" i="23"/>
  <c r="Z73" i="23"/>
  <c r="AD73" i="23"/>
  <c r="V73" i="23"/>
  <c r="N73" i="23"/>
  <c r="H73" i="23"/>
  <c r="J73" i="23"/>
  <c r="R73" i="23"/>
  <c r="N113" i="23"/>
  <c r="AD113" i="23"/>
  <c r="H113" i="23"/>
  <c r="X113" i="23"/>
  <c r="AB113" i="23"/>
  <c r="Z113" i="23"/>
  <c r="L113" i="23"/>
  <c r="V113" i="23"/>
  <c r="J113" i="23"/>
  <c r="R113" i="23"/>
  <c r="T113" i="23"/>
  <c r="AB312" i="23"/>
  <c r="Z312" i="23"/>
  <c r="V312" i="23"/>
  <c r="J312" i="23"/>
  <c r="T312" i="23"/>
  <c r="X312" i="23"/>
  <c r="AD312" i="23"/>
  <c r="L312" i="23"/>
  <c r="H312" i="23"/>
  <c r="P312" i="23"/>
  <c r="R312" i="23"/>
  <c r="V161" i="23"/>
  <c r="J161" i="23"/>
  <c r="P161" i="23"/>
  <c r="T161" i="23"/>
  <c r="AD161" i="23"/>
  <c r="Z161" i="23"/>
  <c r="AB161" i="23"/>
  <c r="X161" i="23"/>
  <c r="N161" i="23"/>
  <c r="L161" i="23"/>
  <c r="H161" i="23"/>
  <c r="X124" i="23"/>
  <c r="N124" i="23"/>
  <c r="AB124" i="23"/>
  <c r="T124" i="23"/>
  <c r="AD124" i="23"/>
  <c r="H124" i="23"/>
  <c r="V124" i="23"/>
  <c r="J124" i="23"/>
  <c r="Z124" i="23"/>
  <c r="R124" i="23"/>
  <c r="L124" i="23"/>
  <c r="H566" i="23"/>
  <c r="AB566" i="23"/>
  <c r="V566" i="23"/>
  <c r="T566" i="23"/>
  <c r="R566" i="23"/>
  <c r="P566" i="23"/>
  <c r="L566" i="23"/>
  <c r="N566" i="23"/>
  <c r="Z566" i="23"/>
  <c r="J566" i="23"/>
  <c r="X566" i="23"/>
  <c r="X197" i="23"/>
  <c r="H197" i="23"/>
  <c r="R197" i="23"/>
  <c r="P197" i="23"/>
  <c r="AD197" i="23"/>
  <c r="AB197" i="23"/>
  <c r="T197" i="23"/>
  <c r="N197" i="23"/>
  <c r="L197" i="23"/>
  <c r="Z197" i="23"/>
  <c r="J197" i="23"/>
  <c r="L591" i="23"/>
  <c r="L592" i="23" s="1"/>
  <c r="P591" i="23"/>
  <c r="P592" i="23" s="1"/>
  <c r="R591" i="23"/>
  <c r="R592" i="23" s="1"/>
  <c r="AD591" i="23"/>
  <c r="AD592" i="23" s="1"/>
  <c r="N591" i="23"/>
  <c r="N592" i="23" s="1"/>
  <c r="Z591" i="23"/>
  <c r="Z592" i="23" s="1"/>
  <c r="J592" i="23"/>
  <c r="X591" i="23"/>
  <c r="X592" i="23" s="1"/>
  <c r="H591" i="23"/>
  <c r="H592" i="23" s="1"/>
  <c r="AB591" i="23"/>
  <c r="AB592" i="23" s="1"/>
  <c r="AF592" i="23"/>
  <c r="V591" i="23"/>
  <c r="V592" i="23" s="1"/>
  <c r="T591" i="23"/>
  <c r="T592" i="23" s="1"/>
  <c r="Z90" i="23"/>
  <c r="J90" i="23"/>
  <c r="L90" i="23"/>
  <c r="T90" i="23"/>
  <c r="AB90" i="23"/>
  <c r="N90" i="23"/>
  <c r="AD90" i="23"/>
  <c r="P90" i="23"/>
  <c r="R90" i="23"/>
  <c r="H90" i="23"/>
  <c r="X90" i="23"/>
  <c r="AD410" i="23"/>
  <c r="N410" i="23"/>
  <c r="X410" i="23"/>
  <c r="AB410" i="23"/>
  <c r="T410" i="23"/>
  <c r="L410" i="23"/>
  <c r="Z410" i="23"/>
  <c r="H410" i="23"/>
  <c r="J410" i="23"/>
  <c r="V410" i="23"/>
  <c r="P410" i="23"/>
  <c r="I152" i="2"/>
  <c r="F153" i="23" s="1"/>
  <c r="AK153" i="23" s="1"/>
  <c r="L152" i="2"/>
  <c r="D153" i="23"/>
  <c r="S153" i="23" s="1"/>
  <c r="I383" i="2"/>
  <c r="F386" i="23" s="1"/>
  <c r="AK386" i="23" s="1"/>
  <c r="L383" i="2"/>
  <c r="D386" i="23"/>
  <c r="M386" i="23" s="1"/>
  <c r="L40" i="2"/>
  <c r="I40" i="2"/>
  <c r="F39" i="23" s="1"/>
  <c r="AK39" i="23" s="1"/>
  <c r="D39" i="23"/>
  <c r="S39" i="23" s="1"/>
  <c r="I274" i="2"/>
  <c r="F276" i="23" s="1"/>
  <c r="AK276" i="23" s="1"/>
  <c r="L274" i="2"/>
  <c r="D276" i="23"/>
  <c r="M276" i="23" s="1"/>
  <c r="I510" i="2"/>
  <c r="F512" i="23" s="1"/>
  <c r="AK512" i="23" s="1"/>
  <c r="L510" i="2"/>
  <c r="D512" i="23"/>
  <c r="I194" i="2"/>
  <c r="F196" i="23" s="1"/>
  <c r="AK196" i="23" s="1"/>
  <c r="L194" i="2"/>
  <c r="D196" i="23"/>
  <c r="U196" i="23" s="1"/>
  <c r="I105" i="2"/>
  <c r="F106" i="23" s="1"/>
  <c r="AK106" i="23" s="1"/>
  <c r="L105" i="2"/>
  <c r="D106" i="23"/>
  <c r="O106" i="23" s="1"/>
  <c r="AE106" i="23" s="1"/>
  <c r="D320" i="23"/>
  <c r="M320" i="23" s="1"/>
  <c r="L598" i="2"/>
  <c r="I598" i="2"/>
  <c r="F601" i="23" s="1"/>
  <c r="AK601" i="23" s="1"/>
  <c r="D601" i="23"/>
  <c r="G601" i="23" s="1"/>
  <c r="I448" i="2"/>
  <c r="F451" i="23" s="1"/>
  <c r="AK451" i="23" s="1"/>
  <c r="L448" i="2"/>
  <c r="D451" i="23"/>
  <c r="U451" i="23" s="1"/>
  <c r="AE451" i="23" s="1"/>
  <c r="L153" i="2"/>
  <c r="I153" i="2"/>
  <c r="F154" i="23" s="1"/>
  <c r="AK154" i="23" s="1"/>
  <c r="D154" i="23"/>
  <c r="S154" i="23" s="1"/>
  <c r="I384" i="2"/>
  <c r="F387" i="23" s="1"/>
  <c r="AK387" i="23" s="1"/>
  <c r="L384" i="2"/>
  <c r="D387" i="23"/>
  <c r="M387" i="23" s="1"/>
  <c r="L33" i="2"/>
  <c r="I33" i="2"/>
  <c r="F32" i="23" s="1"/>
  <c r="AK32" i="23" s="1"/>
  <c r="D32" i="23"/>
  <c r="S32" i="23" s="1"/>
  <c r="L493" i="2"/>
  <c r="I493" i="2"/>
  <c r="F495" i="23" s="1"/>
  <c r="AK495" i="23" s="1"/>
  <c r="D495" i="23"/>
  <c r="I195" i="2"/>
  <c r="F197" i="23" s="1"/>
  <c r="AK197" i="23" s="1"/>
  <c r="L195" i="2"/>
  <c r="D197" i="23"/>
  <c r="U197" i="23" s="1"/>
  <c r="AE197" i="23" s="1"/>
  <c r="I57" i="2"/>
  <c r="F56" i="23" s="1"/>
  <c r="AK56" i="23" s="1"/>
  <c r="L57" i="2"/>
  <c r="D56" i="23"/>
  <c r="S56" i="23" s="1"/>
  <c r="I296" i="2"/>
  <c r="F298" i="23" s="1"/>
  <c r="AK298" i="23" s="1"/>
  <c r="L296" i="2"/>
  <c r="D298" i="23"/>
  <c r="M298" i="23" s="1"/>
  <c r="I560" i="2"/>
  <c r="F562" i="23" s="1"/>
  <c r="AK562" i="23" s="1"/>
  <c r="L560" i="2"/>
  <c r="D562" i="23"/>
  <c r="AC562" i="23" s="1"/>
  <c r="AE562" i="23" s="1"/>
  <c r="L220" i="2"/>
  <c r="I220" i="2"/>
  <c r="F222" i="23" s="1"/>
  <c r="D222" i="23"/>
  <c r="AC222" i="23" s="1"/>
  <c r="AE222" i="23" s="1"/>
  <c r="I431" i="2"/>
  <c r="F433" i="23" s="1"/>
  <c r="AK433" i="23" s="1"/>
  <c r="L431" i="2"/>
  <c r="D433" i="23"/>
  <c r="S433" i="23" s="1"/>
  <c r="I101" i="2"/>
  <c r="F102" i="23" s="1"/>
  <c r="AK102" i="23" s="1"/>
  <c r="L101" i="2"/>
  <c r="D102" i="23"/>
  <c r="O102" i="23" s="1"/>
  <c r="D319" i="23"/>
  <c r="M319" i="23" s="1"/>
  <c r="I597" i="2"/>
  <c r="F600" i="23" s="1"/>
  <c r="AK600" i="23" s="1"/>
  <c r="L597" i="2"/>
  <c r="D600" i="23"/>
  <c r="G600" i="23" s="1"/>
  <c r="L447" i="2"/>
  <c r="I447" i="2"/>
  <c r="F450" i="23" s="1"/>
  <c r="AK450" i="23" s="1"/>
  <c r="D450" i="23"/>
  <c r="U450" i="23" s="1"/>
  <c r="AE450" i="23" s="1"/>
  <c r="H388" i="23"/>
  <c r="L388" i="23"/>
  <c r="R388" i="23"/>
  <c r="J388" i="23"/>
  <c r="AB388" i="23"/>
  <c r="AD388" i="23"/>
  <c r="Z388" i="23"/>
  <c r="X388" i="23"/>
  <c r="P388" i="23"/>
  <c r="V388" i="23"/>
  <c r="T388" i="23"/>
  <c r="T159" i="23"/>
  <c r="AD159" i="23"/>
  <c r="N159" i="23"/>
  <c r="J159" i="23"/>
  <c r="H159" i="23"/>
  <c r="AB159" i="23"/>
  <c r="V159" i="23"/>
  <c r="Z159" i="23"/>
  <c r="X159" i="23"/>
  <c r="L159" i="23"/>
  <c r="P159" i="23"/>
  <c r="V420" i="23"/>
  <c r="H420" i="23"/>
  <c r="X420" i="23"/>
  <c r="N420" i="23"/>
  <c r="AD420" i="23"/>
  <c r="T420" i="23"/>
  <c r="L420" i="23"/>
  <c r="AB420" i="23"/>
  <c r="J420" i="23"/>
  <c r="P420" i="23"/>
  <c r="Z420" i="23"/>
  <c r="P72" i="23"/>
  <c r="X72" i="23"/>
  <c r="AD72" i="23"/>
  <c r="N72" i="23"/>
  <c r="J72" i="23"/>
  <c r="AB72" i="23"/>
  <c r="V72" i="23"/>
  <c r="R72" i="23"/>
  <c r="L72" i="23"/>
  <c r="Z72" i="23"/>
  <c r="H72" i="23"/>
  <c r="P211" i="23"/>
  <c r="T211" i="23"/>
  <c r="N211" i="23"/>
  <c r="L211" i="23"/>
  <c r="AD211" i="23"/>
  <c r="AB211" i="23"/>
  <c r="Z211" i="23"/>
  <c r="J211" i="23"/>
  <c r="X211" i="23"/>
  <c r="H211" i="23"/>
  <c r="R211" i="23"/>
  <c r="R78" i="23"/>
  <c r="P78" i="23"/>
  <c r="AD78" i="23"/>
  <c r="N78" i="23"/>
  <c r="X78" i="23"/>
  <c r="AB78" i="23"/>
  <c r="L78" i="23"/>
  <c r="Z78" i="23"/>
  <c r="J78" i="23"/>
  <c r="V78" i="23"/>
  <c r="H78" i="23"/>
  <c r="X263" i="23"/>
  <c r="H263" i="23"/>
  <c r="V263" i="23"/>
  <c r="R263" i="23"/>
  <c r="AD263" i="23"/>
  <c r="L263" i="23"/>
  <c r="Z263" i="23"/>
  <c r="J263" i="23"/>
  <c r="T263" i="23"/>
  <c r="P263" i="23"/>
  <c r="AB263" i="23"/>
  <c r="L177" i="2"/>
  <c r="I177" i="2"/>
  <c r="F179" i="23" s="1"/>
  <c r="AK179" i="23" s="1"/>
  <c r="D179" i="23"/>
  <c r="U179" i="23" s="1"/>
  <c r="AE179" i="23" s="1"/>
  <c r="I403" i="2"/>
  <c r="F405" i="23" s="1"/>
  <c r="AK405" i="23" s="1"/>
  <c r="L403" i="2"/>
  <c r="D405" i="23"/>
  <c r="Q405" i="23" s="1"/>
  <c r="L58" i="2"/>
  <c r="I58" i="2"/>
  <c r="F57" i="23" s="1"/>
  <c r="AK57" i="23" s="1"/>
  <c r="D57" i="23"/>
  <c r="S57" i="23" s="1"/>
  <c r="L297" i="2"/>
  <c r="I297" i="2"/>
  <c r="F299" i="23" s="1"/>
  <c r="AK299" i="23" s="1"/>
  <c r="D299" i="23"/>
  <c r="M299" i="23" s="1"/>
  <c r="L561" i="2"/>
  <c r="I561" i="2"/>
  <c r="F563" i="23" s="1"/>
  <c r="AK563" i="23" s="1"/>
  <c r="D563" i="23"/>
  <c r="AC563" i="23" s="1"/>
  <c r="AE563" i="23" s="1"/>
  <c r="I208" i="2"/>
  <c r="F210" i="23" s="1"/>
  <c r="AK210" i="23" s="1"/>
  <c r="L208" i="2"/>
  <c r="D210" i="23"/>
  <c r="U210" i="23" s="1"/>
  <c r="AE210" i="23" s="1"/>
  <c r="L413" i="2"/>
  <c r="I413" i="2"/>
  <c r="F415" i="23" s="1"/>
  <c r="AK415" i="23" s="1"/>
  <c r="D415" i="23"/>
  <c r="Q415" i="23" s="1"/>
  <c r="L123" i="2"/>
  <c r="I123" i="2"/>
  <c r="F124" i="23" s="1"/>
  <c r="AK124" i="23" s="1"/>
  <c r="D124" i="23"/>
  <c r="O124" i="23" s="1"/>
  <c r="AE124" i="23" s="1"/>
  <c r="I374" i="2"/>
  <c r="F377" i="23" s="1"/>
  <c r="AK377" i="23" s="1"/>
  <c r="L374" i="2"/>
  <c r="I615" i="2"/>
  <c r="F618" i="23" s="1"/>
  <c r="AK618" i="23" s="1"/>
  <c r="L615" i="2"/>
  <c r="D618" i="23"/>
  <c r="I618" i="23" s="1"/>
  <c r="L245" i="2"/>
  <c r="I245" i="2"/>
  <c r="F247" i="23" s="1"/>
  <c r="AK247" i="23" s="1"/>
  <c r="D247" i="23"/>
  <c r="I247" i="23" s="1"/>
  <c r="I178" i="2"/>
  <c r="F180" i="23" s="1"/>
  <c r="AK180" i="23" s="1"/>
  <c r="L178" i="2"/>
  <c r="D180" i="23"/>
  <c r="U180" i="23" s="1"/>
  <c r="AE180" i="23" s="1"/>
  <c r="L404" i="2"/>
  <c r="I404" i="2"/>
  <c r="F406" i="23" s="1"/>
  <c r="AK406" i="23" s="1"/>
  <c r="D406" i="23"/>
  <c r="Q406" i="23" s="1"/>
  <c r="L41" i="2"/>
  <c r="I41" i="2"/>
  <c r="F40" i="23" s="1"/>
  <c r="AK40" i="23" s="1"/>
  <c r="D40" i="23"/>
  <c r="S40" i="23" s="1"/>
  <c r="L275" i="2"/>
  <c r="I275" i="2"/>
  <c r="F277" i="23" s="1"/>
  <c r="AK277" i="23" s="1"/>
  <c r="D277" i="23"/>
  <c r="M277" i="23" s="1"/>
  <c r="I511" i="2"/>
  <c r="F513" i="23" s="1"/>
  <c r="L511" i="2"/>
  <c r="D513" i="23"/>
  <c r="L209" i="2"/>
  <c r="I209" i="2"/>
  <c r="F211" i="23" s="1"/>
  <c r="AK211" i="23" s="1"/>
  <c r="D211" i="23"/>
  <c r="U211" i="23" s="1"/>
  <c r="AE211" i="23" s="1"/>
  <c r="L414" i="2"/>
  <c r="I414" i="2"/>
  <c r="F416" i="23" s="1"/>
  <c r="AK416" i="23" s="1"/>
  <c r="D416" i="23"/>
  <c r="Q416" i="23" s="1"/>
  <c r="I79" i="2"/>
  <c r="F78" i="23" s="1"/>
  <c r="AK78" i="23" s="1"/>
  <c r="L79" i="2"/>
  <c r="D78" i="23"/>
  <c r="S78" i="23" s="1"/>
  <c r="AE78" i="23" s="1"/>
  <c r="I308" i="2"/>
  <c r="F310" i="23" s="1"/>
  <c r="AK310" i="23" s="1"/>
  <c r="L308" i="2"/>
  <c r="D310" i="23"/>
  <c r="M310" i="23" s="1"/>
  <c r="L579" i="2"/>
  <c r="I579" i="2"/>
  <c r="F581" i="23" s="1"/>
  <c r="AK581" i="23" s="1"/>
  <c r="D581" i="23"/>
  <c r="I581" i="23" s="1"/>
  <c r="I231" i="2"/>
  <c r="F233" i="23" s="1"/>
  <c r="AK233" i="23" s="1"/>
  <c r="L231" i="2"/>
  <c r="D233" i="23"/>
  <c r="I233" i="23" s="1"/>
  <c r="L454" i="2"/>
  <c r="I454" i="2"/>
  <c r="F457" i="23" s="1"/>
  <c r="AK457" i="23" s="1"/>
  <c r="D457" i="23"/>
  <c r="I457" i="23" s="1"/>
  <c r="L122" i="2"/>
  <c r="I122" i="2"/>
  <c r="F123" i="23" s="1"/>
  <c r="D123" i="23"/>
  <c r="O123" i="23" s="1"/>
  <c r="AE123" i="23" s="1"/>
  <c r="L373" i="2"/>
  <c r="I373" i="2"/>
  <c r="F376" i="23" s="1"/>
  <c r="AK376" i="23" s="1"/>
  <c r="I614" i="2"/>
  <c r="F617" i="23" s="1"/>
  <c r="AK617" i="23" s="1"/>
  <c r="L614" i="2"/>
  <c r="D617" i="23"/>
  <c r="I617" i="23" s="1"/>
  <c r="I244" i="2"/>
  <c r="F246" i="23" s="1"/>
  <c r="AK246" i="23" s="1"/>
  <c r="L244" i="2"/>
  <c r="D246" i="23"/>
  <c r="I246" i="23" s="1"/>
  <c r="L470" i="2"/>
  <c r="I470" i="2"/>
  <c r="F473" i="23" s="1"/>
  <c r="AK473" i="23" s="1"/>
  <c r="D473" i="23"/>
  <c r="K473" i="23" s="1"/>
  <c r="AE473" i="23" s="1"/>
  <c r="T123" i="23"/>
  <c r="J123" i="23"/>
  <c r="N123" i="23"/>
  <c r="Z123" i="23"/>
  <c r="AD123" i="23"/>
  <c r="V123" i="23"/>
  <c r="AB123" i="23"/>
  <c r="R123" i="23"/>
  <c r="H123" i="23"/>
  <c r="X123" i="23"/>
  <c r="L123" i="23"/>
  <c r="L158" i="23"/>
  <c r="T158" i="23"/>
  <c r="Z158" i="23"/>
  <c r="J158" i="23"/>
  <c r="N158" i="23"/>
  <c r="P158" i="23"/>
  <c r="AD158" i="23"/>
  <c r="X158" i="23"/>
  <c r="AB158" i="23"/>
  <c r="H158" i="23"/>
  <c r="V158" i="23"/>
  <c r="V166" i="23"/>
  <c r="AB166" i="23"/>
  <c r="H166" i="23"/>
  <c r="J166" i="23"/>
  <c r="N166" i="23"/>
  <c r="AD166" i="23"/>
  <c r="Z166" i="23"/>
  <c r="X166" i="23"/>
  <c r="T166" i="23"/>
  <c r="L166" i="23"/>
  <c r="P166" i="23"/>
  <c r="Z179" i="23"/>
  <c r="H179" i="23"/>
  <c r="N179" i="23"/>
  <c r="AD179" i="23"/>
  <c r="T179" i="23"/>
  <c r="J179" i="23"/>
  <c r="X179" i="23"/>
  <c r="R179" i="23"/>
  <c r="P179" i="23"/>
  <c r="L179" i="23"/>
  <c r="AB179" i="23"/>
  <c r="X190" i="23"/>
  <c r="P190" i="23"/>
  <c r="N190" i="23"/>
  <c r="H190" i="23"/>
  <c r="AB190" i="23"/>
  <c r="L190" i="23"/>
  <c r="Z190" i="23"/>
  <c r="J190" i="23"/>
  <c r="R190" i="23"/>
  <c r="AD190" i="23"/>
  <c r="T190" i="23"/>
  <c r="N512" i="23"/>
  <c r="AB512" i="23"/>
  <c r="L512" i="23"/>
  <c r="J512" i="23"/>
  <c r="H512" i="23"/>
  <c r="V512" i="23"/>
  <c r="T512" i="23"/>
  <c r="R512" i="23"/>
  <c r="P512" i="23"/>
  <c r="AD512" i="23"/>
  <c r="Z147" i="23"/>
  <c r="J147" i="23"/>
  <c r="V147" i="23"/>
  <c r="X147" i="23"/>
  <c r="T147" i="23"/>
  <c r="H147" i="23"/>
  <c r="P147" i="23"/>
  <c r="AD147" i="23"/>
  <c r="N147" i="23"/>
  <c r="AB147" i="23"/>
  <c r="L147" i="23"/>
  <c r="X414" i="23"/>
  <c r="AD414" i="23"/>
  <c r="J414" i="23"/>
  <c r="L414" i="23"/>
  <c r="V414" i="23"/>
  <c r="P414" i="23"/>
  <c r="AB414" i="23"/>
  <c r="T414" i="23"/>
  <c r="N414" i="23"/>
  <c r="H414" i="23"/>
  <c r="Z414" i="23"/>
  <c r="I199" i="2"/>
  <c r="F201" i="23" s="1"/>
  <c r="AK201" i="23" s="1"/>
  <c r="L199" i="2"/>
  <c r="D201" i="23"/>
  <c r="U201" i="23" s="1"/>
  <c r="D79" i="23"/>
  <c r="S79" i="23" s="1"/>
  <c r="AE79" i="23" s="1"/>
  <c r="I580" i="2"/>
  <c r="F582" i="23" s="1"/>
  <c r="AK582" i="23" s="1"/>
  <c r="L580" i="2"/>
  <c r="D582" i="23"/>
  <c r="I582" i="23" s="1"/>
  <c r="L221" i="2"/>
  <c r="I221" i="2"/>
  <c r="F223" i="23" s="1"/>
  <c r="AK223" i="23" s="1"/>
  <c r="D223" i="23"/>
  <c r="AC223" i="23" s="1"/>
  <c r="AE223" i="23" s="1"/>
  <c r="L432" i="2"/>
  <c r="I432" i="2"/>
  <c r="F434" i="23" s="1"/>
  <c r="AK434" i="23" s="1"/>
  <c r="D434" i="23"/>
  <c r="S434" i="23" s="1"/>
  <c r="I158" i="2"/>
  <c r="F159" i="23" s="1"/>
  <c r="L158" i="2"/>
  <c r="D159" i="23"/>
  <c r="Q159" i="23" s="1"/>
  <c r="AE159" i="23" s="1"/>
  <c r="L391" i="2"/>
  <c r="I391" i="2"/>
  <c r="F394" i="23" s="1"/>
  <c r="AK394" i="23" s="1"/>
  <c r="D394" i="23"/>
  <c r="K394" i="23" s="1"/>
  <c r="L30" i="2"/>
  <c r="I30" i="2"/>
  <c r="F29" i="23" s="1"/>
  <c r="AK29" i="23" s="1"/>
  <c r="D29" i="23"/>
  <c r="S29" i="23" s="1"/>
  <c r="L263" i="2"/>
  <c r="I263" i="2"/>
  <c r="F265" i="23" s="1"/>
  <c r="AK265" i="23" s="1"/>
  <c r="D265" i="23"/>
  <c r="M265" i="23" s="1"/>
  <c r="AE265" i="23" s="1"/>
  <c r="L498" i="2"/>
  <c r="I498" i="2"/>
  <c r="F500" i="23" s="1"/>
  <c r="AK500" i="23" s="1"/>
  <c r="D500" i="23"/>
  <c r="L200" i="2"/>
  <c r="I200" i="2"/>
  <c r="F202" i="23" s="1"/>
  <c r="AK202" i="23" s="1"/>
  <c r="D202" i="23"/>
  <c r="U202" i="23" s="1"/>
  <c r="I62" i="2"/>
  <c r="F61" i="23" s="1"/>
  <c r="AK61" i="23" s="1"/>
  <c r="L62" i="2"/>
  <c r="D61" i="23"/>
  <c r="S61" i="23" s="1"/>
  <c r="I298" i="2"/>
  <c r="F300" i="23" s="1"/>
  <c r="AK300" i="23" s="1"/>
  <c r="L298" i="2"/>
  <c r="D300" i="23"/>
  <c r="M300" i="23" s="1"/>
  <c r="L562" i="2"/>
  <c r="I562" i="2"/>
  <c r="F564" i="23" s="1"/>
  <c r="AK564" i="23" s="1"/>
  <c r="D564" i="23"/>
  <c r="AC564" i="23" s="1"/>
  <c r="AE564" i="23" s="1"/>
  <c r="I222" i="2"/>
  <c r="F224" i="23" s="1"/>
  <c r="AK224" i="23" s="1"/>
  <c r="L222" i="2"/>
  <c r="D224" i="23"/>
  <c r="AC224" i="23" s="1"/>
  <c r="AE224" i="23" s="1"/>
  <c r="I433" i="2"/>
  <c r="F435" i="23" s="1"/>
  <c r="AK435" i="23" s="1"/>
  <c r="L433" i="2"/>
  <c r="D435" i="23"/>
  <c r="S435" i="23" s="1"/>
  <c r="L106" i="2"/>
  <c r="D107" i="23"/>
  <c r="O107" i="23" s="1"/>
  <c r="AE107" i="23" s="1"/>
  <c r="L602" i="2"/>
  <c r="I602" i="2"/>
  <c r="F605" i="23" s="1"/>
  <c r="AK605" i="23" s="1"/>
  <c r="D605" i="23"/>
  <c r="G605" i="23" s="1"/>
  <c r="I249" i="2"/>
  <c r="L249" i="2"/>
  <c r="L251" i="2" s="1"/>
  <c r="D251" i="23"/>
  <c r="I251" i="23" s="1"/>
  <c r="AE251" i="23" s="1"/>
  <c r="I474" i="2"/>
  <c r="F477" i="23" s="1"/>
  <c r="AK477" i="23" s="1"/>
  <c r="L474" i="2"/>
  <c r="D477" i="23"/>
  <c r="I477" i="23" s="1"/>
  <c r="I157" i="2"/>
  <c r="F158" i="23" s="1"/>
  <c r="AK158" i="23" s="1"/>
  <c r="L157" i="2"/>
  <c r="D158" i="23"/>
  <c r="Q158" i="23" s="1"/>
  <c r="AE158" i="23" s="1"/>
  <c r="I385" i="2"/>
  <c r="F388" i="23" s="1"/>
  <c r="AK388" i="23" s="1"/>
  <c r="L385" i="2"/>
  <c r="D388" i="23"/>
  <c r="M388" i="23" s="1"/>
  <c r="AE388" i="23" s="1"/>
  <c r="L29" i="2"/>
  <c r="I29" i="2"/>
  <c r="F28" i="23" s="1"/>
  <c r="AK28" i="23" s="1"/>
  <c r="D28" i="23"/>
  <c r="S28" i="23" s="1"/>
  <c r="L262" i="2"/>
  <c r="I262" i="2"/>
  <c r="F264" i="23" s="1"/>
  <c r="AK264" i="23" s="1"/>
  <c r="D264" i="23"/>
  <c r="M264" i="23" s="1"/>
  <c r="AE264" i="23" s="1"/>
  <c r="I497" i="2"/>
  <c r="F499" i="23" s="1"/>
  <c r="AK499" i="23" s="1"/>
  <c r="L497" i="2"/>
  <c r="D499" i="23"/>
  <c r="T450" i="23"/>
  <c r="R450" i="23"/>
  <c r="AD450" i="23"/>
  <c r="P450" i="23"/>
  <c r="AB450" i="23"/>
  <c r="L450" i="23"/>
  <c r="Z450" i="23"/>
  <c r="J450" i="23"/>
  <c r="N450" i="23"/>
  <c r="H450" i="23"/>
  <c r="X450" i="23"/>
  <c r="T210" i="23"/>
  <c r="N210" i="23"/>
  <c r="L210" i="23"/>
  <c r="AD210" i="23"/>
  <c r="Z210" i="23"/>
  <c r="J210" i="23"/>
  <c r="X210" i="23"/>
  <c r="H210" i="23"/>
  <c r="R210" i="23"/>
  <c r="P210" i="23"/>
  <c r="AB210" i="23"/>
  <c r="H187" i="23"/>
  <c r="AD187" i="23"/>
  <c r="T187" i="23"/>
  <c r="L187" i="23"/>
  <c r="Z187" i="23"/>
  <c r="R187" i="23"/>
  <c r="AB187" i="23"/>
  <c r="N187" i="23"/>
  <c r="P187" i="23"/>
  <c r="J187" i="23"/>
  <c r="X187" i="23"/>
  <c r="AB19" i="23"/>
  <c r="L19" i="23"/>
  <c r="X19" i="23"/>
  <c r="Z19" i="23"/>
  <c r="J19" i="23"/>
  <c r="V19" i="23"/>
  <c r="T19" i="23"/>
  <c r="R19" i="23"/>
  <c r="P19" i="23"/>
  <c r="AD19" i="23"/>
  <c r="N19" i="23"/>
  <c r="X224" i="23"/>
  <c r="H224" i="23"/>
  <c r="V224" i="23"/>
  <c r="R224" i="23"/>
  <c r="T224" i="23"/>
  <c r="P224" i="23"/>
  <c r="AB224" i="23"/>
  <c r="N224" i="23"/>
  <c r="Z224" i="23"/>
  <c r="J224" i="23"/>
  <c r="L224" i="23"/>
  <c r="L210" i="2"/>
  <c r="I210" i="2"/>
  <c r="F212" i="23" s="1"/>
  <c r="AK212" i="23" s="1"/>
  <c r="D212" i="23"/>
  <c r="U212" i="23" s="1"/>
  <c r="AE212" i="23" s="1"/>
  <c r="I415" i="2"/>
  <c r="F417" i="23" s="1"/>
  <c r="AK417" i="23" s="1"/>
  <c r="L415" i="2"/>
  <c r="D417" i="23"/>
  <c r="Q417" i="23" s="1"/>
  <c r="L110" i="2"/>
  <c r="I110" i="2"/>
  <c r="F111" i="23" s="1"/>
  <c r="AK111" i="23" s="1"/>
  <c r="D111" i="23"/>
  <c r="O111" i="23" s="1"/>
  <c r="AE111" i="23" s="1"/>
  <c r="L319" i="2"/>
  <c r="I319" i="2"/>
  <c r="F321" i="23" s="1"/>
  <c r="D321" i="23"/>
  <c r="M321" i="23" s="1"/>
  <c r="AE321" i="23" s="1"/>
  <c r="I603" i="2"/>
  <c r="F606" i="23" s="1"/>
  <c r="AK606" i="23" s="1"/>
  <c r="L603" i="2"/>
  <c r="D606" i="23"/>
  <c r="G606" i="23" s="1"/>
  <c r="L232" i="2"/>
  <c r="I232" i="2"/>
  <c r="F234" i="23" s="1"/>
  <c r="AK234" i="23" s="1"/>
  <c r="D234" i="23"/>
  <c r="I234" i="23" s="1"/>
  <c r="I455" i="2"/>
  <c r="F458" i="23" s="1"/>
  <c r="AK458" i="23" s="1"/>
  <c r="L455" i="2"/>
  <c r="D458" i="23"/>
  <c r="I458" i="23" s="1"/>
  <c r="L185" i="2"/>
  <c r="I185" i="2"/>
  <c r="F187" i="23" s="1"/>
  <c r="AK187" i="23" s="1"/>
  <c r="D187" i="23"/>
  <c r="U187" i="23" s="1"/>
  <c r="AE187" i="23" s="1"/>
  <c r="L406" i="2"/>
  <c r="I406" i="2"/>
  <c r="F408" i="23" s="1"/>
  <c r="D408" i="23"/>
  <c r="Q408" i="23" s="1"/>
  <c r="AE408" i="23" s="1"/>
  <c r="L46" i="2"/>
  <c r="I46" i="2"/>
  <c r="F45" i="23" s="1"/>
  <c r="AK45" i="23" s="1"/>
  <c r="S45" i="23"/>
  <c r="I283" i="2"/>
  <c r="F285" i="23" s="1"/>
  <c r="AK285" i="23" s="1"/>
  <c r="L283" i="2"/>
  <c r="D285" i="23"/>
  <c r="M285" i="23" s="1"/>
  <c r="L513" i="2"/>
  <c r="I513" i="2"/>
  <c r="F515" i="23" s="1"/>
  <c r="AK515" i="23" s="1"/>
  <c r="D515" i="23"/>
  <c r="I212" i="2"/>
  <c r="F214" i="23" s="1"/>
  <c r="AK214" i="23" s="1"/>
  <c r="L212" i="2"/>
  <c r="D214" i="23"/>
  <c r="U214" i="23" s="1"/>
  <c r="AE214" i="23" s="1"/>
  <c r="I416" i="2"/>
  <c r="F418" i="23" s="1"/>
  <c r="AK418" i="23" s="1"/>
  <c r="L416" i="2"/>
  <c r="D418" i="23"/>
  <c r="Q418" i="23" s="1"/>
  <c r="D80" i="23"/>
  <c r="S80" i="23" s="1"/>
  <c r="AE80" i="23" s="1"/>
  <c r="L309" i="2"/>
  <c r="I309" i="2"/>
  <c r="F311" i="23" s="1"/>
  <c r="AK311" i="23" s="1"/>
  <c r="D311" i="23"/>
  <c r="M311" i="23" s="1"/>
  <c r="I581" i="2"/>
  <c r="F583" i="23" s="1"/>
  <c r="AK583" i="23" s="1"/>
  <c r="L581" i="2"/>
  <c r="D583" i="23"/>
  <c r="I583" i="23" s="1"/>
  <c r="I233" i="2"/>
  <c r="F235" i="23" s="1"/>
  <c r="AK235" i="23" s="1"/>
  <c r="L233" i="2"/>
  <c r="D235" i="23"/>
  <c r="I235" i="23" s="1"/>
  <c r="L456" i="2"/>
  <c r="I456" i="2"/>
  <c r="F459" i="23" s="1"/>
  <c r="AK459" i="23" s="1"/>
  <c r="D459" i="23"/>
  <c r="I459" i="23" s="1"/>
  <c r="I124" i="2"/>
  <c r="F125" i="23" s="1"/>
  <c r="AK125" i="23" s="1"/>
  <c r="L124" i="2"/>
  <c r="L375" i="2"/>
  <c r="I375" i="2"/>
  <c r="F378" i="23" s="1"/>
  <c r="AK378" i="23" s="1"/>
  <c r="D378" i="23"/>
  <c r="M378" i="23" s="1"/>
  <c r="I616" i="2"/>
  <c r="F619" i="23" s="1"/>
  <c r="AK619" i="23" s="1"/>
  <c r="L616" i="2"/>
  <c r="D619" i="23"/>
  <c r="I619" i="23" s="1"/>
  <c r="I499" i="2"/>
  <c r="F501" i="23" s="1"/>
  <c r="AK501" i="23" s="1"/>
  <c r="L499" i="2"/>
  <c r="D501" i="23"/>
  <c r="I179" i="2"/>
  <c r="F181" i="23" s="1"/>
  <c r="L179" i="2"/>
  <c r="D181" i="23"/>
  <c r="U181" i="23" s="1"/>
  <c r="AE181" i="23" s="1"/>
  <c r="I405" i="2"/>
  <c r="F407" i="23" s="1"/>
  <c r="AK407" i="23" s="1"/>
  <c r="L405" i="2"/>
  <c r="D407" i="23"/>
  <c r="Q407" i="23" s="1"/>
  <c r="L42" i="2"/>
  <c r="I42" i="2"/>
  <c r="F41" i="23" s="1"/>
  <c r="AK41" i="23" s="1"/>
  <c r="D41" i="23"/>
  <c r="S41" i="23" s="1"/>
  <c r="I282" i="2"/>
  <c r="F284" i="23" s="1"/>
  <c r="AK284" i="23" s="1"/>
  <c r="L282" i="2"/>
  <c r="D284" i="23"/>
  <c r="M284" i="23" s="1"/>
  <c r="L512" i="2"/>
  <c r="I512" i="2"/>
  <c r="F514" i="23" s="1"/>
  <c r="D514" i="23"/>
  <c r="J192" i="23"/>
  <c r="X192" i="23"/>
  <c r="P192" i="23"/>
  <c r="T192" i="23"/>
  <c r="AD192" i="23"/>
  <c r="Z192" i="23"/>
  <c r="H192" i="23"/>
  <c r="R192" i="23"/>
  <c r="N192" i="23"/>
  <c r="L192" i="23"/>
  <c r="AB192" i="23"/>
  <c r="AB473" i="23"/>
  <c r="H473" i="23"/>
  <c r="AD473" i="23"/>
  <c r="J473" i="23"/>
  <c r="N473" i="23"/>
  <c r="V473" i="23"/>
  <c r="X473" i="23"/>
  <c r="Z473" i="23"/>
  <c r="P473" i="23"/>
  <c r="R473" i="23"/>
  <c r="T473" i="23"/>
  <c r="AD212" i="23"/>
  <c r="AB212" i="23"/>
  <c r="L212" i="23"/>
  <c r="J212" i="23"/>
  <c r="T212" i="23"/>
  <c r="N212" i="23"/>
  <c r="X212" i="23"/>
  <c r="P212" i="23"/>
  <c r="Z212" i="23"/>
  <c r="R212" i="23"/>
  <c r="H212" i="23"/>
  <c r="X31" i="23"/>
  <c r="Z31" i="23"/>
  <c r="J31" i="23"/>
  <c r="V31" i="23"/>
  <c r="H31" i="23"/>
  <c r="R31" i="23"/>
  <c r="P31" i="23"/>
  <c r="AD31" i="23"/>
  <c r="N31" i="23"/>
  <c r="AB31" i="23"/>
  <c r="L31" i="23"/>
  <c r="N563" i="23"/>
  <c r="Z563" i="23"/>
  <c r="J563" i="23"/>
  <c r="X563" i="23"/>
  <c r="H563" i="23"/>
  <c r="T563" i="23"/>
  <c r="R563" i="23"/>
  <c r="P563" i="23"/>
  <c r="L563" i="23"/>
  <c r="AB563" i="23"/>
  <c r="V563" i="23"/>
  <c r="T219" i="23"/>
  <c r="N219" i="23"/>
  <c r="Z219" i="23"/>
  <c r="J219" i="23"/>
  <c r="X219" i="23"/>
  <c r="H219" i="23"/>
  <c r="V219" i="23"/>
  <c r="R219" i="23"/>
  <c r="P219" i="23"/>
  <c r="L219" i="23"/>
  <c r="AB219" i="23"/>
  <c r="AD510" i="23"/>
  <c r="AB510" i="23"/>
  <c r="J510" i="23"/>
  <c r="V510" i="23"/>
  <c r="L510" i="23"/>
  <c r="N510" i="23"/>
  <c r="Z510" i="23"/>
  <c r="R510" i="23"/>
  <c r="P510" i="23"/>
  <c r="X180" i="23"/>
  <c r="H180" i="23"/>
  <c r="R180" i="23"/>
  <c r="AD180" i="23"/>
  <c r="N180" i="23"/>
  <c r="Z180" i="23"/>
  <c r="P180" i="23"/>
  <c r="AB180" i="23"/>
  <c r="L180" i="23"/>
  <c r="T180" i="23"/>
  <c r="J180" i="23"/>
  <c r="P80" i="23"/>
  <c r="AD80" i="23"/>
  <c r="N80" i="23"/>
  <c r="X80" i="23"/>
  <c r="AB80" i="23"/>
  <c r="L80" i="23"/>
  <c r="Z80" i="23"/>
  <c r="J80" i="23"/>
  <c r="H80" i="23"/>
  <c r="V80" i="23"/>
  <c r="R80" i="23"/>
  <c r="L513" i="23"/>
  <c r="Z513" i="23"/>
  <c r="J513" i="23"/>
  <c r="H513" i="23"/>
  <c r="V513" i="23"/>
  <c r="T513" i="23"/>
  <c r="R513" i="23"/>
  <c r="P513" i="23"/>
  <c r="AD513" i="23"/>
  <c r="N513" i="23"/>
  <c r="AB513" i="23"/>
  <c r="H411" i="23"/>
  <c r="J411" i="23"/>
  <c r="V411" i="23"/>
  <c r="T411" i="23"/>
  <c r="L411" i="23"/>
  <c r="P411" i="23"/>
  <c r="AD411" i="23"/>
  <c r="N411" i="23"/>
  <c r="AB411" i="23"/>
  <c r="Z411" i="23"/>
  <c r="X411" i="23"/>
  <c r="I223" i="2"/>
  <c r="F225" i="23" s="1"/>
  <c r="AK225" i="23" s="1"/>
  <c r="L223" i="2"/>
  <c r="D225" i="23"/>
  <c r="AC225" i="23" s="1"/>
  <c r="AE225" i="23" s="1"/>
  <c r="I434" i="2"/>
  <c r="F436" i="23" s="1"/>
  <c r="AK436" i="23" s="1"/>
  <c r="L434" i="2"/>
  <c r="D436" i="23"/>
  <c r="S436" i="23" s="1"/>
  <c r="L125" i="2"/>
  <c r="I125" i="2"/>
  <c r="F126" i="23" s="1"/>
  <c r="AK126" i="23" s="1"/>
  <c r="D126" i="23"/>
  <c r="O126" i="23" s="1"/>
  <c r="AE126" i="23" s="1"/>
  <c r="I376" i="2"/>
  <c r="F379" i="23" s="1"/>
  <c r="AK379" i="23" s="1"/>
  <c r="L376" i="2"/>
  <c r="D379" i="23"/>
  <c r="M379" i="23" s="1"/>
  <c r="I617" i="2"/>
  <c r="F620" i="23" s="1"/>
  <c r="AK620" i="23" s="1"/>
  <c r="L617" i="2"/>
  <c r="D620" i="23"/>
  <c r="I620" i="23" s="1"/>
  <c r="I475" i="2"/>
  <c r="F478" i="23" s="1"/>
  <c r="AK478" i="23" s="1"/>
  <c r="L475" i="2"/>
  <c r="D478" i="23"/>
  <c r="I478" i="23" s="1"/>
  <c r="I202" i="2"/>
  <c r="F204" i="23" s="1"/>
  <c r="AK204" i="23" s="1"/>
  <c r="L202" i="2"/>
  <c r="D204" i="23"/>
  <c r="U204" i="23" s="1"/>
  <c r="I300" i="2"/>
  <c r="F302" i="23" s="1"/>
  <c r="AK302" i="23" s="1"/>
  <c r="L300" i="2"/>
  <c r="D302" i="23"/>
  <c r="M302" i="23" s="1"/>
  <c r="I564" i="2"/>
  <c r="F566" i="23" s="1"/>
  <c r="AK566" i="23" s="1"/>
  <c r="L564" i="2"/>
  <c r="D566" i="23"/>
  <c r="AC566" i="23" s="1"/>
  <c r="AE566" i="23" s="1"/>
  <c r="L224" i="2"/>
  <c r="I224" i="2"/>
  <c r="F226" i="23" s="1"/>
  <c r="D226" i="23"/>
  <c r="AC226" i="23" s="1"/>
  <c r="AE226" i="23" s="1"/>
  <c r="L435" i="2"/>
  <c r="I435" i="2"/>
  <c r="F437" i="23" s="1"/>
  <c r="AK437" i="23" s="1"/>
  <c r="D437" i="23"/>
  <c r="S437" i="23" s="1"/>
  <c r="L111" i="2"/>
  <c r="I111" i="2"/>
  <c r="F112" i="23" s="1"/>
  <c r="D112" i="23"/>
  <c r="O112" i="23" s="1"/>
  <c r="AE112" i="23" s="1"/>
  <c r="I320" i="2"/>
  <c r="F322" i="23" s="1"/>
  <c r="AK322" i="23" s="1"/>
  <c r="L320" i="2"/>
  <c r="D322" i="23"/>
  <c r="M322" i="23" s="1"/>
  <c r="I604" i="2"/>
  <c r="F607" i="23" s="1"/>
  <c r="AK607" i="23" s="1"/>
  <c r="L604" i="2"/>
  <c r="I257" i="2"/>
  <c r="F259" i="23" s="1"/>
  <c r="AK259" i="23" s="1"/>
  <c r="L257" i="2"/>
  <c r="D259" i="23"/>
  <c r="M259" i="23" s="1"/>
  <c r="I476" i="2"/>
  <c r="F479" i="23" s="1"/>
  <c r="AK479" i="23" s="1"/>
  <c r="L476" i="2"/>
  <c r="D479" i="23"/>
  <c r="I479" i="23" s="1"/>
  <c r="I159" i="2"/>
  <c r="F160" i="23" s="1"/>
  <c r="L159" i="2"/>
  <c r="D160" i="23"/>
  <c r="Q160" i="23" s="1"/>
  <c r="AE160" i="23" s="1"/>
  <c r="L392" i="2"/>
  <c r="I392" i="2"/>
  <c r="F395" i="23" s="1"/>
  <c r="AK395" i="23" s="1"/>
  <c r="I47" i="2"/>
  <c r="F46" i="23" s="1"/>
  <c r="AK46" i="23" s="1"/>
  <c r="L47" i="2"/>
  <c r="D46" i="23"/>
  <c r="S46" i="23" s="1"/>
  <c r="L284" i="2"/>
  <c r="I284" i="2"/>
  <c r="F286" i="23" s="1"/>
  <c r="AK286" i="23" s="1"/>
  <c r="D286" i="23"/>
  <c r="M286" i="23" s="1"/>
  <c r="I525" i="2"/>
  <c r="F527" i="23" s="1"/>
  <c r="AK527" i="23" s="1"/>
  <c r="L525" i="2"/>
  <c r="L201" i="2"/>
  <c r="I201" i="2"/>
  <c r="F203" i="23" s="1"/>
  <c r="AK203" i="23" s="1"/>
  <c r="D203" i="23"/>
  <c r="U203" i="23" s="1"/>
  <c r="L299" i="2"/>
  <c r="I299" i="2"/>
  <c r="F301" i="23" s="1"/>
  <c r="AK301" i="23" s="1"/>
  <c r="D301" i="23"/>
  <c r="M301" i="23" s="1"/>
  <c r="I563" i="2"/>
  <c r="F565" i="23" s="1"/>
  <c r="AK565" i="23" s="1"/>
  <c r="L563" i="2"/>
  <c r="D565" i="23"/>
  <c r="AC565" i="23" s="1"/>
  <c r="AE565" i="23" s="1"/>
  <c r="J207" i="23"/>
  <c r="AD207" i="23"/>
  <c r="X207" i="23"/>
  <c r="N207" i="23"/>
  <c r="L207" i="23"/>
  <c r="Z207" i="23"/>
  <c r="H207" i="23"/>
  <c r="T207" i="23"/>
  <c r="R207" i="23"/>
  <c r="P207" i="23"/>
  <c r="AB207" i="23"/>
  <c r="T514" i="23"/>
  <c r="L514" i="23"/>
  <c r="R514" i="23"/>
  <c r="P514" i="23"/>
  <c r="AD514" i="23"/>
  <c r="Z514" i="23"/>
  <c r="N514" i="23"/>
  <c r="J514" i="23"/>
  <c r="AB514" i="23"/>
  <c r="H514" i="23"/>
  <c r="V514" i="23"/>
  <c r="R223" i="23"/>
  <c r="P223" i="23"/>
  <c r="AB223" i="23"/>
  <c r="J223" i="23"/>
  <c r="T223" i="23"/>
  <c r="N223" i="23"/>
  <c r="L223" i="23"/>
  <c r="Z223" i="23"/>
  <c r="H223" i="23"/>
  <c r="X223" i="23"/>
  <c r="V223" i="23"/>
  <c r="N572" i="23"/>
  <c r="R572" i="23"/>
  <c r="AB572" i="23"/>
  <c r="AD572" i="23"/>
  <c r="Z572" i="23"/>
  <c r="P572" i="23"/>
  <c r="V572" i="23"/>
  <c r="L572" i="23"/>
  <c r="T572" i="23"/>
  <c r="X572" i="23"/>
  <c r="Z112" i="23"/>
  <c r="T112" i="23"/>
  <c r="N112" i="23"/>
  <c r="H112" i="23"/>
  <c r="J112" i="23"/>
  <c r="V112" i="23"/>
  <c r="AB112" i="23"/>
  <c r="AD112" i="23"/>
  <c r="R112" i="23"/>
  <c r="L112" i="23"/>
  <c r="X112" i="23"/>
  <c r="R564" i="23"/>
  <c r="AB564" i="23"/>
  <c r="P564" i="23"/>
  <c r="L564" i="23"/>
  <c r="N564" i="23"/>
  <c r="Z564" i="23"/>
  <c r="J564" i="23"/>
  <c r="X564" i="23"/>
  <c r="H564" i="23"/>
  <c r="V564" i="23"/>
  <c r="T564" i="23"/>
  <c r="Z567" i="23"/>
  <c r="J567" i="23"/>
  <c r="X567" i="23"/>
  <c r="H567" i="23"/>
  <c r="P567" i="23"/>
  <c r="L567" i="23"/>
  <c r="R567" i="23"/>
  <c r="AB567" i="23"/>
  <c r="T567" i="23"/>
  <c r="V567" i="23"/>
  <c r="N567" i="23"/>
  <c r="L234" i="2"/>
  <c r="I234" i="2"/>
  <c r="F236" i="23" s="1"/>
  <c r="AK236" i="23" s="1"/>
  <c r="D236" i="23"/>
  <c r="I236" i="23" s="1"/>
  <c r="L460" i="2"/>
  <c r="I460" i="2"/>
  <c r="F463" i="23" s="1"/>
  <c r="AK463" i="23" s="1"/>
  <c r="D463" i="23"/>
  <c r="K463" i="23" s="1"/>
  <c r="I160" i="2"/>
  <c r="F161" i="23" s="1"/>
  <c r="AK161" i="23" s="1"/>
  <c r="L160" i="2"/>
  <c r="D161" i="23"/>
  <c r="Q161" i="23" s="1"/>
  <c r="AE161" i="23" s="1"/>
  <c r="I393" i="2"/>
  <c r="F396" i="23" s="1"/>
  <c r="AK396" i="23" s="1"/>
  <c r="L393" i="2"/>
  <c r="D396" i="23"/>
  <c r="K396" i="23" s="1"/>
  <c r="AE396" i="23" s="1"/>
  <c r="L35" i="2"/>
  <c r="I35" i="2"/>
  <c r="F34" i="23" s="1"/>
  <c r="L264" i="2"/>
  <c r="I264" i="2"/>
  <c r="F266" i="23" s="1"/>
  <c r="AK266" i="23" s="1"/>
  <c r="D266" i="23"/>
  <c r="M266" i="23" s="1"/>
  <c r="AE266" i="23" s="1"/>
  <c r="L500" i="2"/>
  <c r="I500" i="2"/>
  <c r="F502" i="23" s="1"/>
  <c r="AK502" i="23" s="1"/>
  <c r="D502" i="23"/>
  <c r="I217" i="2"/>
  <c r="F219" i="23" s="1"/>
  <c r="AK219" i="23" s="1"/>
  <c r="L217" i="2"/>
  <c r="D219" i="23"/>
  <c r="AC219" i="23" s="1"/>
  <c r="AE219" i="23" s="1"/>
  <c r="I418" i="2"/>
  <c r="F420" i="23" s="1"/>
  <c r="AK420" i="23" s="1"/>
  <c r="L418" i="2"/>
  <c r="D420" i="23"/>
  <c r="Q420" i="23" s="1"/>
  <c r="AE420" i="23" s="1"/>
  <c r="L90" i="2"/>
  <c r="I90" i="2"/>
  <c r="F89" i="23" s="1"/>
  <c r="D89" i="23"/>
  <c r="U89" i="23" s="1"/>
  <c r="AE89" i="23" s="1"/>
  <c r="L311" i="2"/>
  <c r="I311" i="2"/>
  <c r="F313" i="23" s="1"/>
  <c r="AK313" i="23" s="1"/>
  <c r="D313" i="23"/>
  <c r="M313" i="23" s="1"/>
  <c r="I583" i="2"/>
  <c r="F585" i="23" s="1"/>
  <c r="AK585" i="23" s="1"/>
  <c r="L583" i="2"/>
  <c r="D585" i="23"/>
  <c r="I585" i="23" s="1"/>
  <c r="I238" i="2"/>
  <c r="F240" i="23" s="1"/>
  <c r="AK240" i="23" s="1"/>
  <c r="L238" i="2"/>
  <c r="D240" i="23"/>
  <c r="I240" i="23" s="1"/>
  <c r="L461" i="2"/>
  <c r="I461" i="2"/>
  <c r="F464" i="23" s="1"/>
  <c r="AK464" i="23" s="1"/>
  <c r="D464" i="23"/>
  <c r="I140" i="2"/>
  <c r="F141" i="23" s="1"/>
  <c r="AK141" i="23" s="1"/>
  <c r="L140" i="2"/>
  <c r="D141" i="23"/>
  <c r="Q141" i="23" s="1"/>
  <c r="L377" i="2"/>
  <c r="I377" i="2"/>
  <c r="F380" i="23" s="1"/>
  <c r="AK380" i="23" s="1"/>
  <c r="D380" i="23"/>
  <c r="M380" i="23" s="1"/>
  <c r="L618" i="2"/>
  <c r="I618" i="2"/>
  <c r="F621" i="23" s="1"/>
  <c r="AK621" i="23" s="1"/>
  <c r="D621" i="23"/>
  <c r="I621" i="23" s="1"/>
  <c r="I265" i="2"/>
  <c r="F267" i="23" s="1"/>
  <c r="AK267" i="23" s="1"/>
  <c r="L265" i="2"/>
  <c r="D267" i="23"/>
  <c r="M267" i="23" s="1"/>
  <c r="I501" i="2"/>
  <c r="F503" i="23" s="1"/>
  <c r="AK503" i="23" s="1"/>
  <c r="L501" i="2"/>
  <c r="D503" i="23"/>
  <c r="I186" i="2"/>
  <c r="F188" i="23" s="1"/>
  <c r="AK188" i="23" s="1"/>
  <c r="L186" i="2"/>
  <c r="D188" i="23"/>
  <c r="U188" i="23" s="1"/>
  <c r="AE188" i="23" s="1"/>
  <c r="I66" i="2"/>
  <c r="F65" i="23" s="1"/>
  <c r="AK65" i="23" s="1"/>
  <c r="L66" i="2"/>
  <c r="D65" i="23"/>
  <c r="U65" i="23" s="1"/>
  <c r="L301" i="2"/>
  <c r="I301" i="2"/>
  <c r="F303" i="23" s="1"/>
  <c r="AK303" i="23" s="1"/>
  <c r="D303" i="23"/>
  <c r="M303" i="23" s="1"/>
  <c r="L565" i="2"/>
  <c r="I565" i="2"/>
  <c r="F567" i="23" s="1"/>
  <c r="AK567" i="23" s="1"/>
  <c r="D567" i="23"/>
  <c r="AC567" i="23" s="1"/>
  <c r="AE567" i="23" s="1"/>
  <c r="L216" i="2"/>
  <c r="I216" i="2"/>
  <c r="F218" i="23" s="1"/>
  <c r="AK218" i="23" s="1"/>
  <c r="D218" i="23"/>
  <c r="AC218" i="23" s="1"/>
  <c r="AE218" i="23" s="1"/>
  <c r="I417" i="2"/>
  <c r="F419" i="23" s="1"/>
  <c r="AK419" i="23" s="1"/>
  <c r="L417" i="2"/>
  <c r="D419" i="23"/>
  <c r="Q419" i="23" s="1"/>
  <c r="I310" i="2"/>
  <c r="F312" i="23" s="1"/>
  <c r="AK312" i="23" s="1"/>
  <c r="L310" i="2"/>
  <c r="D312" i="23"/>
  <c r="M312" i="23" s="1"/>
  <c r="AE312" i="23" s="1"/>
  <c r="I582" i="2"/>
  <c r="F584" i="23" s="1"/>
  <c r="AK584" i="23" s="1"/>
  <c r="L582" i="2"/>
  <c r="D584" i="23"/>
  <c r="I584" i="23" s="1"/>
  <c r="Z565" i="23"/>
  <c r="J565" i="23"/>
  <c r="X565" i="23"/>
  <c r="H565" i="23"/>
  <c r="AB565" i="23"/>
  <c r="V565" i="23"/>
  <c r="T565" i="23"/>
  <c r="R565" i="23"/>
  <c r="P565" i="23"/>
  <c r="L565" i="23"/>
  <c r="N565" i="23"/>
  <c r="V225" i="23"/>
  <c r="Z225" i="23"/>
  <c r="R225" i="23"/>
  <c r="P225" i="23"/>
  <c r="T225" i="23"/>
  <c r="L225" i="23"/>
  <c r="X225" i="23"/>
  <c r="AB225" i="23"/>
  <c r="N225" i="23"/>
  <c r="J225" i="23"/>
  <c r="H225" i="23"/>
  <c r="N79" i="23"/>
  <c r="AB79" i="23"/>
  <c r="L79" i="23"/>
  <c r="Z79" i="23"/>
  <c r="J79" i="23"/>
  <c r="V79" i="23"/>
  <c r="R79" i="23"/>
  <c r="X79" i="23"/>
  <c r="P79" i="23"/>
  <c r="H79" i="23"/>
  <c r="AD79" i="23"/>
  <c r="R228" i="23"/>
  <c r="P228" i="23"/>
  <c r="N228" i="23"/>
  <c r="L228" i="23"/>
  <c r="AB228" i="23"/>
  <c r="X228" i="23"/>
  <c r="Z228" i="23"/>
  <c r="J228" i="23"/>
  <c r="H228" i="23"/>
  <c r="V228" i="23"/>
  <c r="T228" i="23"/>
  <c r="AB265" i="23"/>
  <c r="L265" i="23"/>
  <c r="AD265" i="23"/>
  <c r="Z265" i="23"/>
  <c r="X265" i="23"/>
  <c r="H265" i="23"/>
  <c r="P265" i="23"/>
  <c r="J265" i="23"/>
  <c r="V265" i="23"/>
  <c r="T265" i="23"/>
  <c r="R265" i="23"/>
  <c r="N214" i="23"/>
  <c r="AD214" i="23"/>
  <c r="T214" i="23"/>
  <c r="Z214" i="23"/>
  <c r="R214" i="23"/>
  <c r="P214" i="23"/>
  <c r="X214" i="23"/>
  <c r="H214" i="23"/>
  <c r="AB214" i="23"/>
  <c r="J214" i="23"/>
  <c r="L214" i="23"/>
  <c r="Z160" i="23"/>
  <c r="AD160" i="23"/>
  <c r="H160" i="23"/>
  <c r="J160" i="23"/>
  <c r="V160" i="23"/>
  <c r="L160" i="23"/>
  <c r="N160" i="23"/>
  <c r="P160" i="23"/>
  <c r="X160" i="23"/>
  <c r="AB160" i="23"/>
  <c r="T160" i="23"/>
  <c r="V425" i="23"/>
  <c r="R425" i="23"/>
  <c r="N425" i="23"/>
  <c r="P425" i="23"/>
  <c r="AB425" i="23"/>
  <c r="L425" i="23"/>
  <c r="Z425" i="23"/>
  <c r="J425" i="23"/>
  <c r="H425" i="23"/>
  <c r="AD425" i="23"/>
  <c r="X425" i="23"/>
  <c r="X209" i="23"/>
  <c r="N209" i="23"/>
  <c r="H209" i="23"/>
  <c r="AB209" i="23"/>
  <c r="R209" i="23"/>
  <c r="P209" i="23"/>
  <c r="L209" i="23"/>
  <c r="AD209" i="23"/>
  <c r="T209" i="23"/>
  <c r="Z209" i="23"/>
  <c r="J209" i="23"/>
  <c r="L258" i="2"/>
  <c r="I258" i="2"/>
  <c r="F260" i="23" s="1"/>
  <c r="AK260" i="23" s="1"/>
  <c r="D260" i="23"/>
  <c r="M260" i="23" s="1"/>
  <c r="I477" i="2"/>
  <c r="F480" i="23" s="1"/>
  <c r="AK480" i="23" s="1"/>
  <c r="L477" i="2"/>
  <c r="D480" i="23"/>
  <c r="I480" i="23" s="1"/>
  <c r="I188" i="2"/>
  <c r="F190" i="23" s="1"/>
  <c r="L188" i="2"/>
  <c r="D190" i="23"/>
  <c r="U190" i="23" s="1"/>
  <c r="AE190" i="23" s="1"/>
  <c r="L407" i="2"/>
  <c r="I407" i="2"/>
  <c r="F409" i="23" s="1"/>
  <c r="AK409" i="23" s="1"/>
  <c r="D409" i="23"/>
  <c r="Q409" i="23" s="1"/>
  <c r="AE409" i="23" s="1"/>
  <c r="L48" i="2"/>
  <c r="I48" i="2"/>
  <c r="F47" i="23" s="1"/>
  <c r="AK47" i="23" s="1"/>
  <c r="D47" i="23"/>
  <c r="S47" i="23" s="1"/>
  <c r="L291" i="2"/>
  <c r="I291" i="2"/>
  <c r="F293" i="23" s="1"/>
  <c r="AK293" i="23" s="1"/>
  <c r="D293" i="23"/>
  <c r="M293" i="23" s="1"/>
  <c r="L526" i="2"/>
  <c r="I526" i="2"/>
  <c r="F528" i="23" s="1"/>
  <c r="AK528" i="23" s="1"/>
  <c r="I437" i="2"/>
  <c r="F439" i="23" s="1"/>
  <c r="AK439" i="23" s="1"/>
  <c r="L437" i="2"/>
  <c r="D439" i="23"/>
  <c r="S439" i="23" s="1"/>
  <c r="I113" i="2"/>
  <c r="F114" i="23" s="1"/>
  <c r="AK114" i="23" s="1"/>
  <c r="L113" i="2"/>
  <c r="D114" i="23"/>
  <c r="O114" i="23" s="1"/>
  <c r="AE114" i="23" s="1"/>
  <c r="I322" i="2"/>
  <c r="F324" i="23" s="1"/>
  <c r="AK324" i="23" s="1"/>
  <c r="L322" i="2"/>
  <c r="D324" i="23"/>
  <c r="M324" i="23" s="1"/>
  <c r="I606" i="2"/>
  <c r="F609" i="23" s="1"/>
  <c r="AK609" i="23" s="1"/>
  <c r="L606" i="2"/>
  <c r="D609" i="23"/>
  <c r="G609" i="23" s="1"/>
  <c r="L259" i="2"/>
  <c r="I259" i="2"/>
  <c r="F261" i="23" s="1"/>
  <c r="AK261" i="23" s="1"/>
  <c r="D261" i="23"/>
  <c r="M261" i="23" s="1"/>
  <c r="L478" i="2"/>
  <c r="I478" i="2"/>
  <c r="F481" i="23" s="1"/>
  <c r="AK481" i="23" s="1"/>
  <c r="D481" i="23"/>
  <c r="I481" i="23" s="1"/>
  <c r="L161" i="2"/>
  <c r="I161" i="2"/>
  <c r="F162" i="23" s="1"/>
  <c r="AK162" i="23" s="1"/>
  <c r="D162" i="23"/>
  <c r="Q162" i="23" s="1"/>
  <c r="L394" i="2"/>
  <c r="I394" i="2"/>
  <c r="F397" i="23" s="1"/>
  <c r="AK397" i="23" s="1"/>
  <c r="D397" i="23"/>
  <c r="K397" i="23" s="1"/>
  <c r="L49" i="2"/>
  <c r="I49" i="2"/>
  <c r="F48" i="23" s="1"/>
  <c r="AK48" i="23" s="1"/>
  <c r="D48" i="23"/>
  <c r="S48" i="23" s="1"/>
  <c r="L530" i="2"/>
  <c r="I530" i="2"/>
  <c r="F532" i="23" s="1"/>
  <c r="AK532" i="23" s="1"/>
  <c r="D532" i="23"/>
  <c r="I409" i="2"/>
  <c r="F411" i="23" s="1"/>
  <c r="L409" i="2"/>
  <c r="D411" i="23"/>
  <c r="Q411" i="23" s="1"/>
  <c r="AE411" i="23" s="1"/>
  <c r="I91" i="2"/>
  <c r="F90" i="23" s="1"/>
  <c r="L91" i="2"/>
  <c r="D90" i="23"/>
  <c r="U90" i="23" s="1"/>
  <c r="AE90" i="23" s="1"/>
  <c r="L312" i="2"/>
  <c r="I312" i="2"/>
  <c r="F314" i="23" s="1"/>
  <c r="AK314" i="23" s="1"/>
  <c r="D314" i="23"/>
  <c r="M314" i="23" s="1"/>
  <c r="I584" i="2"/>
  <c r="F586" i="23" s="1"/>
  <c r="AK586" i="23" s="1"/>
  <c r="L584" i="2"/>
  <c r="D586" i="23"/>
  <c r="I436" i="2"/>
  <c r="F438" i="23" s="1"/>
  <c r="AK438" i="23" s="1"/>
  <c r="L436" i="2"/>
  <c r="D438" i="23"/>
  <c r="S438" i="23" s="1"/>
  <c r="I112" i="2"/>
  <c r="F113" i="23" s="1"/>
  <c r="AK113" i="23" s="1"/>
  <c r="L112" i="2"/>
  <c r="D113" i="23"/>
  <c r="O113" i="23" s="1"/>
  <c r="AE113" i="23" s="1"/>
  <c r="L321" i="2"/>
  <c r="I321" i="2"/>
  <c r="F323" i="23" s="1"/>
  <c r="AK323" i="23" s="1"/>
  <c r="D323" i="23"/>
  <c r="M323" i="23" s="1"/>
  <c r="I605" i="2"/>
  <c r="F608" i="23" s="1"/>
  <c r="AK608" i="23" s="1"/>
  <c r="L605" i="2"/>
  <c r="D608" i="23"/>
  <c r="G608" i="23" s="1"/>
  <c r="Z218" i="23"/>
  <c r="J218" i="23"/>
  <c r="X218" i="23"/>
  <c r="H218" i="23"/>
  <c r="V218" i="23"/>
  <c r="R218" i="23"/>
  <c r="P218" i="23"/>
  <c r="N218" i="23"/>
  <c r="L218" i="23"/>
  <c r="AB218" i="23"/>
  <c r="T218" i="23"/>
  <c r="AB91" i="23"/>
  <c r="X91" i="23"/>
  <c r="AD91" i="23"/>
  <c r="Z91" i="23"/>
  <c r="N91" i="23"/>
  <c r="H91" i="23"/>
  <c r="J91" i="23"/>
  <c r="T91" i="23"/>
  <c r="R91" i="23"/>
  <c r="L91" i="23"/>
  <c r="P91" i="23"/>
  <c r="Z191" i="23"/>
  <c r="J191" i="23"/>
  <c r="AB191" i="23"/>
  <c r="T191" i="23"/>
  <c r="N191" i="23"/>
  <c r="X191" i="23"/>
  <c r="R191" i="23"/>
  <c r="L191" i="23"/>
  <c r="AD191" i="23"/>
  <c r="H191" i="23"/>
  <c r="P191" i="23"/>
  <c r="Z511" i="23"/>
  <c r="J511" i="23"/>
  <c r="N511" i="23"/>
  <c r="R511" i="23"/>
  <c r="P511" i="23"/>
  <c r="AB511" i="23"/>
  <c r="V511" i="23"/>
  <c r="AD511" i="23"/>
  <c r="L511" i="23"/>
  <c r="L32" i="2"/>
  <c r="I32" i="2"/>
  <c r="F31" i="23" s="1"/>
  <c r="AK31" i="23" s="1"/>
  <c r="D31" i="23"/>
  <c r="S31" i="23" s="1"/>
  <c r="AE31" i="23" s="1"/>
  <c r="I266" i="2"/>
  <c r="F268" i="23" s="1"/>
  <c r="AK268" i="23" s="1"/>
  <c r="L266" i="2"/>
  <c r="D268" i="23"/>
  <c r="M268" i="23" s="1"/>
  <c r="AE268" i="23" s="1"/>
  <c r="L502" i="2"/>
  <c r="I502" i="2"/>
  <c r="F504" i="23" s="1"/>
  <c r="AK504" i="23" s="1"/>
  <c r="D504" i="23"/>
  <c r="L203" i="2"/>
  <c r="I203" i="2"/>
  <c r="F205" i="23" s="1"/>
  <c r="AK205" i="23" s="1"/>
  <c r="D205" i="23"/>
  <c r="U205" i="23" s="1"/>
  <c r="L67" i="2"/>
  <c r="I67" i="2"/>
  <c r="F66" i="23" s="1"/>
  <c r="AK66" i="23" s="1"/>
  <c r="D66" i="23"/>
  <c r="U66" i="23" s="1"/>
  <c r="I302" i="2"/>
  <c r="F304" i="23" s="1"/>
  <c r="AK304" i="23" s="1"/>
  <c r="L302" i="2"/>
  <c r="D304" i="23"/>
  <c r="M304" i="23" s="1"/>
  <c r="I570" i="2"/>
  <c r="F572" i="23" s="1"/>
  <c r="AK572" i="23" s="1"/>
  <c r="L570" i="2"/>
  <c r="D572" i="23"/>
  <c r="G572" i="23" s="1"/>
  <c r="AE572" i="23" s="1"/>
  <c r="I240" i="2"/>
  <c r="F242" i="23" s="1"/>
  <c r="AK242" i="23" s="1"/>
  <c r="L240" i="2"/>
  <c r="D242" i="23"/>
  <c r="I242" i="23" s="1"/>
  <c r="I463" i="2"/>
  <c r="F466" i="23" s="1"/>
  <c r="AK466" i="23" s="1"/>
  <c r="L463" i="2"/>
  <c r="L142" i="2"/>
  <c r="I142" i="2"/>
  <c r="F143" i="23" s="1"/>
  <c r="AK143" i="23" s="1"/>
  <c r="D143" i="23"/>
  <c r="Q143" i="23" s="1"/>
  <c r="L379" i="2"/>
  <c r="I379" i="2"/>
  <c r="F382" i="23" s="1"/>
  <c r="AK382" i="23" s="1"/>
  <c r="D382" i="23"/>
  <c r="M382" i="23" s="1"/>
  <c r="I625" i="2"/>
  <c r="F628" i="23" s="1"/>
  <c r="AK628" i="23" s="1"/>
  <c r="L625" i="2"/>
  <c r="D628" i="23"/>
  <c r="K628" i="23" s="1"/>
  <c r="L267" i="2"/>
  <c r="I267" i="2"/>
  <c r="F269" i="23" s="1"/>
  <c r="AK269" i="23" s="1"/>
  <c r="D269" i="23"/>
  <c r="M269" i="23" s="1"/>
  <c r="I503" i="2"/>
  <c r="F505" i="23" s="1"/>
  <c r="AK505" i="23" s="1"/>
  <c r="L503" i="2"/>
  <c r="D505" i="23"/>
  <c r="I189" i="2"/>
  <c r="F191" i="23" s="1"/>
  <c r="AK191" i="23" s="1"/>
  <c r="L189" i="2"/>
  <c r="D191" i="23"/>
  <c r="U191" i="23" s="1"/>
  <c r="AE191" i="23" s="1"/>
  <c r="I68" i="2"/>
  <c r="F67" i="23" s="1"/>
  <c r="AK67" i="23" s="1"/>
  <c r="L68" i="2"/>
  <c r="D67" i="23"/>
  <c r="U67" i="23" s="1"/>
  <c r="I303" i="2"/>
  <c r="F305" i="23" s="1"/>
  <c r="AK305" i="23" s="1"/>
  <c r="L303" i="2"/>
  <c r="D305" i="23"/>
  <c r="M305" i="23" s="1"/>
  <c r="L571" i="2"/>
  <c r="I571" i="2"/>
  <c r="F573" i="23" s="1"/>
  <c r="AK573" i="23" s="1"/>
  <c r="D573" i="23"/>
  <c r="G573" i="23" s="1"/>
  <c r="L218" i="2"/>
  <c r="I218" i="2"/>
  <c r="F220" i="23" s="1"/>
  <c r="D220" i="23"/>
  <c r="AC220" i="23" s="1"/>
  <c r="AE220" i="23" s="1"/>
  <c r="L423" i="2"/>
  <c r="I423" i="2"/>
  <c r="F425" i="23" s="1"/>
  <c r="AK425" i="23" s="1"/>
  <c r="D425" i="23"/>
  <c r="S425" i="23" s="1"/>
  <c r="AE425" i="23" s="1"/>
  <c r="L114" i="2"/>
  <c r="I114" i="2"/>
  <c r="F115" i="23" s="1"/>
  <c r="AK115" i="23" s="1"/>
  <c r="D115" i="23"/>
  <c r="O115" i="23" s="1"/>
  <c r="L323" i="2"/>
  <c r="I323" i="2"/>
  <c r="F325" i="23" s="1"/>
  <c r="AK325" i="23" s="1"/>
  <c r="D325" i="23"/>
  <c r="M325" i="23" s="1"/>
  <c r="I607" i="2"/>
  <c r="F610" i="23" s="1"/>
  <c r="AK610" i="23" s="1"/>
  <c r="L607" i="2"/>
  <c r="D610" i="23"/>
  <c r="G610" i="23" s="1"/>
  <c r="I239" i="2"/>
  <c r="F241" i="23" s="1"/>
  <c r="AK241" i="23" s="1"/>
  <c r="L239" i="2"/>
  <c r="D241" i="23"/>
  <c r="I241" i="23" s="1"/>
  <c r="I462" i="2"/>
  <c r="F465" i="23" s="1"/>
  <c r="AK465" i="23" s="1"/>
  <c r="L462" i="2"/>
  <c r="L141" i="2"/>
  <c r="I141" i="2"/>
  <c r="F142" i="23" s="1"/>
  <c r="AK142" i="23" s="1"/>
  <c r="D142" i="23"/>
  <c r="Q142" i="23" s="1"/>
  <c r="I378" i="2"/>
  <c r="F381" i="23" s="1"/>
  <c r="AK381" i="23" s="1"/>
  <c r="L378" i="2"/>
  <c r="D381" i="23"/>
  <c r="M381" i="23" s="1"/>
  <c r="L624" i="2"/>
  <c r="I624" i="2"/>
  <c r="F627" i="23" s="1"/>
  <c r="D627" i="23"/>
  <c r="K627" i="23" s="1"/>
  <c r="D14" i="23"/>
  <c r="L15" i="2"/>
  <c r="D15" i="23"/>
  <c r="I16" i="2"/>
  <c r="F15" i="23" s="1"/>
  <c r="AK15" i="23" s="1"/>
  <c r="L16" i="2"/>
  <c r="D17" i="23"/>
  <c r="I18" i="2"/>
  <c r="F17" i="23" s="1"/>
  <c r="AK17" i="23" s="1"/>
  <c r="L18" i="2"/>
  <c r="D18" i="23"/>
  <c r="I19" i="2"/>
  <c r="F18" i="23" s="1"/>
  <c r="AK18" i="23" s="1"/>
  <c r="L19" i="2"/>
  <c r="D16" i="23"/>
  <c r="L17" i="2"/>
  <c r="I17" i="2"/>
  <c r="F16" i="23" s="1"/>
  <c r="AK16" i="23" s="1"/>
  <c r="D19" i="23"/>
  <c r="I20" i="2"/>
  <c r="F19" i="23" s="1"/>
  <c r="AK19" i="23" s="1"/>
  <c r="L20" i="2"/>
  <c r="AK168" i="23" l="1"/>
  <c r="AF352" i="23"/>
  <c r="N352" i="23"/>
  <c r="AK220" i="23"/>
  <c r="AK34" i="23"/>
  <c r="AK159" i="23"/>
  <c r="AK166" i="23"/>
  <c r="AF363" i="23"/>
  <c r="N363" i="23"/>
  <c r="AK352" i="23"/>
  <c r="AK169" i="23"/>
  <c r="AK263" i="23"/>
  <c r="AF362" i="23"/>
  <c r="AK362" i="23" s="1"/>
  <c r="N362" i="23"/>
  <c r="AK411" i="23"/>
  <c r="AK363" i="23"/>
  <c r="AF354" i="23"/>
  <c r="AK354" i="23" s="1"/>
  <c r="N354" i="23"/>
  <c r="AK73" i="23"/>
  <c r="AK408" i="23"/>
  <c r="AK209" i="23"/>
  <c r="AK160" i="23"/>
  <c r="AK539" i="23"/>
  <c r="F541" i="23"/>
  <c r="AK541" i="23" s="1"/>
  <c r="AK226" i="23"/>
  <c r="AK513" i="23"/>
  <c r="AD555" i="23"/>
  <c r="AF555" i="23"/>
  <c r="J555" i="23"/>
  <c r="H555" i="23"/>
  <c r="AK89" i="23"/>
  <c r="AK190" i="23"/>
  <c r="AK123" i="23"/>
  <c r="R556" i="23"/>
  <c r="AF556" i="23"/>
  <c r="J556" i="23"/>
  <c r="H556" i="23"/>
  <c r="AF361" i="23"/>
  <c r="AK361" i="23" s="1"/>
  <c r="N361" i="23"/>
  <c r="AK91" i="23"/>
  <c r="AK112" i="23"/>
  <c r="AK329" i="23"/>
  <c r="AK544" i="23"/>
  <c r="F550" i="23"/>
  <c r="AK550" i="23" s="1"/>
  <c r="X554" i="23"/>
  <c r="H554" i="23"/>
  <c r="AF554" i="23"/>
  <c r="J554" i="23"/>
  <c r="AK321" i="23"/>
  <c r="AK181" i="23"/>
  <c r="AK222" i="23"/>
  <c r="AK167" i="23"/>
  <c r="AK74" i="23"/>
  <c r="AK510" i="23"/>
  <c r="F522" i="23"/>
  <c r="AK290" i="23"/>
  <c r="AK81" i="23"/>
  <c r="AF353" i="23"/>
  <c r="AK353" i="23" s="1"/>
  <c r="N353" i="23"/>
  <c r="AF360" i="23"/>
  <c r="AK360" i="23" s="1"/>
  <c r="N360" i="23"/>
  <c r="AK221" i="23"/>
  <c r="F630" i="23"/>
  <c r="AK627" i="23"/>
  <c r="AK227" i="23"/>
  <c r="AK471" i="23"/>
  <c r="AF355" i="23"/>
  <c r="AK355" i="23" s="1"/>
  <c r="N355" i="23"/>
  <c r="AF35" i="23"/>
  <c r="AK90" i="23"/>
  <c r="AK514" i="23"/>
  <c r="Z554" i="23"/>
  <c r="Z556" i="23"/>
  <c r="X556" i="23"/>
  <c r="V554" i="23"/>
  <c r="L556" i="23"/>
  <c r="N555" i="23"/>
  <c r="L554" i="23"/>
  <c r="N556" i="23"/>
  <c r="V555" i="23"/>
  <c r="L555" i="23"/>
  <c r="P555" i="23"/>
  <c r="AB555" i="23"/>
  <c r="R555" i="23"/>
  <c r="X555" i="23"/>
  <c r="Z555" i="23"/>
  <c r="T555" i="23"/>
  <c r="F602" i="23"/>
  <c r="F624" i="23"/>
  <c r="F612" i="23"/>
  <c r="I363" i="2"/>
  <c r="AB554" i="23"/>
  <c r="R554" i="23"/>
  <c r="R557" i="23" s="1"/>
  <c r="I251" i="2"/>
  <c r="F253" i="23" s="1"/>
  <c r="F251" i="23"/>
  <c r="AK251" i="23" s="1"/>
  <c r="I106" i="2"/>
  <c r="F107" i="23" s="1"/>
  <c r="E107" i="23"/>
  <c r="C52" i="5"/>
  <c r="F365" i="23"/>
  <c r="F556" i="23"/>
  <c r="AK556" i="23" s="1"/>
  <c r="F554" i="23"/>
  <c r="AK554" i="23" s="1"/>
  <c r="F555" i="23"/>
  <c r="AK555" i="23" s="1"/>
  <c r="I590" i="2"/>
  <c r="F591" i="23"/>
  <c r="AK591" i="23" s="1"/>
  <c r="AF253" i="23"/>
  <c r="AG252" i="23"/>
  <c r="AH252" i="23" s="1"/>
  <c r="E85" i="5"/>
  <c r="I43" i="2"/>
  <c r="F42" i="23" s="1"/>
  <c r="I52" i="2"/>
  <c r="I36" i="2"/>
  <c r="F35" i="23" s="1"/>
  <c r="H624" i="23"/>
  <c r="Z624" i="23"/>
  <c r="Z631" i="23" s="1"/>
  <c r="W28" i="6" s="1"/>
  <c r="P624" i="23"/>
  <c r="P631" i="23" s="1"/>
  <c r="M28" i="6" s="1"/>
  <c r="AB624" i="23"/>
  <c r="AB631" i="23" s="1"/>
  <c r="Y28" i="6" s="1"/>
  <c r="AD624" i="23"/>
  <c r="AD631" i="23" s="1"/>
  <c r="AA28" i="6" s="1"/>
  <c r="AE622" i="23"/>
  <c r="V624" i="23"/>
  <c r="V631" i="23" s="1"/>
  <c r="S28" i="6" s="1"/>
  <c r="N624" i="23"/>
  <c r="N631" i="23" s="1"/>
  <c r="K28" i="6" s="1"/>
  <c r="R624" i="23"/>
  <c r="R631" i="23" s="1"/>
  <c r="O28" i="6" s="1"/>
  <c r="L624" i="23"/>
  <c r="G575" i="23"/>
  <c r="T624" i="23"/>
  <c r="T631" i="23" s="1"/>
  <c r="Q28" i="6" s="1"/>
  <c r="G574" i="23"/>
  <c r="X624" i="23"/>
  <c r="X631" i="23" s="1"/>
  <c r="U28" i="6" s="1"/>
  <c r="AE623" i="23"/>
  <c r="L621" i="2"/>
  <c r="I621" i="2"/>
  <c r="I520" i="2"/>
  <c r="L520" i="2"/>
  <c r="AE281" i="23"/>
  <c r="AE279" i="23"/>
  <c r="AB361" i="23"/>
  <c r="P361" i="23"/>
  <c r="T361" i="23"/>
  <c r="AD361" i="23"/>
  <c r="L361" i="23"/>
  <c r="Z361" i="23"/>
  <c r="J361" i="23"/>
  <c r="H361" i="23"/>
  <c r="V361" i="23"/>
  <c r="X361" i="23"/>
  <c r="R361" i="23"/>
  <c r="AH361" i="23"/>
  <c r="T360" i="23"/>
  <c r="L360" i="23"/>
  <c r="V360" i="23"/>
  <c r="H360" i="23"/>
  <c r="AD360" i="23"/>
  <c r="AB360" i="23"/>
  <c r="Z360" i="23"/>
  <c r="X360" i="23"/>
  <c r="R360" i="23"/>
  <c r="P360" i="23"/>
  <c r="J360" i="23"/>
  <c r="AH360" i="23"/>
  <c r="P362" i="23"/>
  <c r="T362" i="23"/>
  <c r="AD362" i="23"/>
  <c r="H362" i="23"/>
  <c r="R362" i="23"/>
  <c r="V362" i="23"/>
  <c r="AB362" i="23"/>
  <c r="L362" i="23"/>
  <c r="J362" i="23"/>
  <c r="Z362" i="23"/>
  <c r="X362" i="23"/>
  <c r="AH362" i="23"/>
  <c r="M280" i="23"/>
  <c r="M278" i="23"/>
  <c r="R363" i="23"/>
  <c r="Z363" i="23"/>
  <c r="H363" i="23"/>
  <c r="P363" i="23"/>
  <c r="V363" i="23"/>
  <c r="T363" i="23"/>
  <c r="J363" i="23"/>
  <c r="L363" i="23"/>
  <c r="X363" i="23"/>
  <c r="AD363" i="23"/>
  <c r="AB363" i="23"/>
  <c r="AH363" i="23"/>
  <c r="H184" i="23"/>
  <c r="AE326" i="23"/>
  <c r="AE328" i="23"/>
  <c r="AE329" i="23"/>
  <c r="AE331" i="23"/>
  <c r="AE327" i="23"/>
  <c r="AE336" i="23"/>
  <c r="AE182" i="23"/>
  <c r="AE183" i="23"/>
  <c r="M332" i="23"/>
  <c r="AE334" i="23"/>
  <c r="AE333" i="23"/>
  <c r="AE335" i="23"/>
  <c r="AE330" i="23"/>
  <c r="Z337" i="23"/>
  <c r="H337" i="23"/>
  <c r="AD337" i="23"/>
  <c r="X337" i="23"/>
  <c r="V337" i="23"/>
  <c r="T337" i="23"/>
  <c r="P337" i="23"/>
  <c r="J337" i="23"/>
  <c r="AB337" i="23"/>
  <c r="L337" i="23"/>
  <c r="R337" i="23"/>
  <c r="N184" i="23"/>
  <c r="AG81" i="23"/>
  <c r="AH81" i="23" s="1"/>
  <c r="AG82" i="23"/>
  <c r="AH82" i="23" s="1"/>
  <c r="P184" i="23"/>
  <c r="X184" i="23"/>
  <c r="AB184" i="23"/>
  <c r="Z184" i="23"/>
  <c r="T184" i="23"/>
  <c r="AD184" i="23"/>
  <c r="R184" i="23"/>
  <c r="L184" i="23"/>
  <c r="J184" i="23"/>
  <c r="AG83" i="23"/>
  <c r="AH83" i="23" s="1"/>
  <c r="L182" i="2"/>
  <c r="I182" i="2"/>
  <c r="F184" i="23" s="1"/>
  <c r="L363" i="2"/>
  <c r="I335" i="2"/>
  <c r="F337" i="23" s="1"/>
  <c r="L335" i="2"/>
  <c r="AG373" i="23"/>
  <c r="AH373" i="23" s="1"/>
  <c r="AG395" i="23"/>
  <c r="AH395" i="23" s="1"/>
  <c r="AG374" i="23"/>
  <c r="AH374" i="23" s="1"/>
  <c r="AE132" i="23"/>
  <c r="AE133" i="23"/>
  <c r="AE134" i="23"/>
  <c r="I556" i="23"/>
  <c r="AD563" i="23"/>
  <c r="I134" i="2"/>
  <c r="AG33" i="23"/>
  <c r="AH33" i="23" s="1"/>
  <c r="L134" i="2"/>
  <c r="AG377" i="23"/>
  <c r="AH377" i="23" s="1"/>
  <c r="AG84" i="23"/>
  <c r="AH84" i="23" s="1"/>
  <c r="AD564" i="23"/>
  <c r="AE555" i="23"/>
  <c r="J522" i="23"/>
  <c r="V557" i="23"/>
  <c r="AB522" i="23"/>
  <c r="P522" i="23"/>
  <c r="AD522" i="23"/>
  <c r="R522" i="23"/>
  <c r="L35" i="23"/>
  <c r="J35" i="23"/>
  <c r="P557" i="23"/>
  <c r="I553" i="23"/>
  <c r="N522" i="23"/>
  <c r="AD557" i="23"/>
  <c r="L522" i="23"/>
  <c r="AB557" i="23"/>
  <c r="V522" i="23"/>
  <c r="T557" i="23"/>
  <c r="I554" i="23"/>
  <c r="AG517" i="23"/>
  <c r="AH517" i="23" s="1"/>
  <c r="AG516" i="23"/>
  <c r="AH516" i="23" s="1"/>
  <c r="AE195" i="23"/>
  <c r="AE205" i="23"/>
  <c r="W515" i="23"/>
  <c r="AE240" i="23"/>
  <c r="AE204" i="23"/>
  <c r="Z499" i="23"/>
  <c r="W499" i="23"/>
  <c r="AE201" i="23"/>
  <c r="AE233" i="23"/>
  <c r="AE154" i="23"/>
  <c r="W512" i="23"/>
  <c r="AE412" i="23"/>
  <c r="AE244" i="23"/>
  <c r="AE270" i="23"/>
  <c r="W534" i="23"/>
  <c r="W533" i="23"/>
  <c r="Z503" i="23"/>
  <c r="W503" i="23"/>
  <c r="AE404" i="23"/>
  <c r="Z505" i="23"/>
  <c r="W505" i="23"/>
  <c r="Z504" i="23"/>
  <c r="W504" i="23"/>
  <c r="AE267" i="23"/>
  <c r="AE418" i="23"/>
  <c r="AE234" i="23"/>
  <c r="AE247" i="23"/>
  <c r="J253" i="23"/>
  <c r="AE601" i="23"/>
  <c r="AE152" i="23"/>
  <c r="AE242" i="23"/>
  <c r="AE261" i="23"/>
  <c r="AE260" i="23"/>
  <c r="AE141" i="23"/>
  <c r="Z502" i="23"/>
  <c r="W502" i="23"/>
  <c r="AE202" i="23"/>
  <c r="R172" i="23"/>
  <c r="AE246" i="23"/>
  <c r="W513" i="23"/>
  <c r="AE142" i="23"/>
  <c r="AE208" i="23"/>
  <c r="W532" i="23"/>
  <c r="AE236" i="23"/>
  <c r="AE203" i="23"/>
  <c r="AE406" i="23"/>
  <c r="AE405" i="23"/>
  <c r="AE600" i="23"/>
  <c r="AE413" i="23"/>
  <c r="AE598" i="23"/>
  <c r="AE241" i="23"/>
  <c r="AE269" i="23"/>
  <c r="AE162" i="23"/>
  <c r="AF163" i="23" s="1"/>
  <c r="AE419" i="23"/>
  <c r="Z501" i="23"/>
  <c r="W501" i="23"/>
  <c r="AE416" i="23"/>
  <c r="AE415" i="23"/>
  <c r="Z495" i="23"/>
  <c r="W495" i="23"/>
  <c r="AE153" i="23"/>
  <c r="Z494" i="23"/>
  <c r="W494" i="23"/>
  <c r="AE599" i="23"/>
  <c r="AE194" i="23"/>
  <c r="AE262" i="23"/>
  <c r="AG376" i="23"/>
  <c r="AH376" i="23" s="1"/>
  <c r="AE259" i="23"/>
  <c r="AE407" i="23"/>
  <c r="AE245" i="23"/>
  <c r="AE573" i="23"/>
  <c r="AE143" i="23"/>
  <c r="W514" i="23"/>
  <c r="AE235" i="23"/>
  <c r="AE417" i="23"/>
  <c r="Z500" i="23"/>
  <c r="W500" i="23"/>
  <c r="AE196" i="23"/>
  <c r="Z506" i="23"/>
  <c r="W506" i="23"/>
  <c r="AE243" i="23"/>
  <c r="AE206" i="23"/>
  <c r="AD567" i="23"/>
  <c r="AD566" i="23"/>
  <c r="AG521" i="23"/>
  <c r="AH521" i="23" s="1"/>
  <c r="AE67" i="23"/>
  <c r="AE323" i="23"/>
  <c r="AE48" i="23"/>
  <c r="AE439" i="23"/>
  <c r="AE47" i="23"/>
  <c r="AE301" i="23"/>
  <c r="AE41" i="23"/>
  <c r="AE311" i="23"/>
  <c r="AE310" i="23"/>
  <c r="AE433" i="23"/>
  <c r="AE32" i="23"/>
  <c r="AE117" i="23"/>
  <c r="AE274" i="23"/>
  <c r="AE383" i="23"/>
  <c r="AE99" i="23"/>
  <c r="AG520" i="23"/>
  <c r="AH520" i="23" s="1"/>
  <c r="AE381" i="23"/>
  <c r="AE46" i="23"/>
  <c r="AD565" i="23"/>
  <c r="AE435" i="23"/>
  <c r="AE29" i="23"/>
  <c r="AE298" i="23"/>
  <c r="AE276" i="23"/>
  <c r="AE119" i="23"/>
  <c r="AE385" i="23"/>
  <c r="AE398" i="23"/>
  <c r="AE295" i="23"/>
  <c r="AE294" i="23"/>
  <c r="AE127" i="23"/>
  <c r="AF129" i="23" s="1"/>
  <c r="AE115" i="23"/>
  <c r="AE438" i="23"/>
  <c r="AE305" i="23"/>
  <c r="AE304" i="23"/>
  <c r="AE324" i="23"/>
  <c r="AE436" i="23"/>
  <c r="AE378" i="23"/>
  <c r="AE45" i="23"/>
  <c r="AE300" i="23"/>
  <c r="AE434" i="23"/>
  <c r="AE40" i="23"/>
  <c r="AE57" i="23"/>
  <c r="AE309" i="23"/>
  <c r="AE55" i="23"/>
  <c r="AE66" i="23"/>
  <c r="AE380" i="23"/>
  <c r="AE65" i="23"/>
  <c r="AE322" i="23"/>
  <c r="AE325" i="23"/>
  <c r="AE397" i="23"/>
  <c r="AE303" i="23"/>
  <c r="AE286" i="23"/>
  <c r="AE387" i="23"/>
  <c r="AE400" i="23"/>
  <c r="AE427" i="23"/>
  <c r="AD562" i="23"/>
  <c r="AE426" i="23"/>
  <c r="AE293" i="23"/>
  <c r="AE382" i="23"/>
  <c r="AE314" i="23"/>
  <c r="AE313" i="23"/>
  <c r="AE437" i="23"/>
  <c r="AE379" i="23"/>
  <c r="AE28" i="23"/>
  <c r="AE394" i="23"/>
  <c r="Z512" i="23"/>
  <c r="AE319" i="23"/>
  <c r="AE56" i="23"/>
  <c r="AE39" i="23"/>
  <c r="AE275" i="23"/>
  <c r="AE432" i="23"/>
  <c r="AE296" i="23"/>
  <c r="AE317" i="23"/>
  <c r="AE307" i="23"/>
  <c r="AE445" i="23"/>
  <c r="AE50" i="23"/>
  <c r="AE49" i="23"/>
  <c r="AE302" i="23"/>
  <c r="AE284" i="23"/>
  <c r="AE61" i="23"/>
  <c r="AE102" i="23"/>
  <c r="AE308" i="23"/>
  <c r="Z515" i="23"/>
  <c r="AE318" i="23"/>
  <c r="AE384" i="23"/>
  <c r="AE100" i="23"/>
  <c r="AE306" i="23"/>
  <c r="AE315" i="23"/>
  <c r="AE375" i="23"/>
  <c r="AE30" i="23"/>
  <c r="AE101" i="23"/>
  <c r="AE372" i="23"/>
  <c r="AE440" i="23"/>
  <c r="AE285" i="23"/>
  <c r="AE277" i="23"/>
  <c r="AE299" i="23"/>
  <c r="AE320" i="23"/>
  <c r="AE386" i="23"/>
  <c r="AE428" i="23"/>
  <c r="AE38" i="23"/>
  <c r="AE54" i="23"/>
  <c r="AE446" i="23"/>
  <c r="AE297" i="23"/>
  <c r="AE316" i="23"/>
  <c r="AE399" i="23"/>
  <c r="I566" i="2"/>
  <c r="F568" i="23" s="1"/>
  <c r="L555" i="2"/>
  <c r="H35" i="23"/>
  <c r="V35" i="23"/>
  <c r="I555" i="2"/>
  <c r="P35" i="23"/>
  <c r="R35" i="23"/>
  <c r="AB35" i="23"/>
  <c r="Z35" i="23"/>
  <c r="X35" i="23"/>
  <c r="AE472" i="23"/>
  <c r="N35" i="23"/>
  <c r="AD35" i="23"/>
  <c r="AG466" i="23"/>
  <c r="AH466" i="23" s="1"/>
  <c r="AE471" i="23"/>
  <c r="R129" i="23"/>
  <c r="AD129" i="23"/>
  <c r="T129" i="23"/>
  <c r="J129" i="23"/>
  <c r="V129" i="23"/>
  <c r="H129" i="23"/>
  <c r="AG465" i="23"/>
  <c r="AH465" i="23" s="1"/>
  <c r="AG467" i="23"/>
  <c r="AH467" i="23" s="1"/>
  <c r="L129" i="23"/>
  <c r="Z129" i="23"/>
  <c r="AB129" i="23"/>
  <c r="X129" i="23"/>
  <c r="N129" i="23"/>
  <c r="J488" i="23"/>
  <c r="AE457" i="23"/>
  <c r="AE468" i="23"/>
  <c r="AE459" i="23"/>
  <c r="K464" i="23"/>
  <c r="AE458" i="23"/>
  <c r="AE469" i="23"/>
  <c r="AE463" i="23"/>
  <c r="J482" i="23"/>
  <c r="AE470" i="23"/>
  <c r="I128" i="2"/>
  <c r="F129" i="23" s="1"/>
  <c r="L128" i="2"/>
  <c r="L87" i="2"/>
  <c r="I87" i="2"/>
  <c r="J529" i="23"/>
  <c r="AD529" i="23"/>
  <c r="AH529" i="23"/>
  <c r="X172" i="23"/>
  <c r="L529" i="23"/>
  <c r="R529" i="23"/>
  <c r="L172" i="23"/>
  <c r="H529" i="23"/>
  <c r="AF172" i="23"/>
  <c r="AB172" i="23"/>
  <c r="P172" i="23"/>
  <c r="J172" i="23"/>
  <c r="T172" i="23"/>
  <c r="AG607" i="23"/>
  <c r="AH607" i="23" s="1"/>
  <c r="V172" i="23"/>
  <c r="V529" i="23"/>
  <c r="AD172" i="23"/>
  <c r="N529" i="23"/>
  <c r="Z529" i="23"/>
  <c r="AE585" i="23"/>
  <c r="N172" i="23"/>
  <c r="AE618" i="23"/>
  <c r="AE615" i="23"/>
  <c r="AE620" i="23"/>
  <c r="AE610" i="23"/>
  <c r="AE621" i="23"/>
  <c r="AE579" i="23"/>
  <c r="AE611" i="23"/>
  <c r="AE627" i="23"/>
  <c r="AE583" i="23"/>
  <c r="P529" i="23"/>
  <c r="AE605" i="23"/>
  <c r="H172" i="23"/>
  <c r="AE628" i="23"/>
  <c r="AE608" i="23"/>
  <c r="AE609" i="23"/>
  <c r="AE619" i="23"/>
  <c r="AE581" i="23"/>
  <c r="AE580" i="23"/>
  <c r="T529" i="23"/>
  <c r="AE616" i="23"/>
  <c r="AE629" i="23"/>
  <c r="AE582" i="23"/>
  <c r="AE584" i="23"/>
  <c r="AE606" i="23"/>
  <c r="Z172" i="23"/>
  <c r="AE617" i="23"/>
  <c r="R355" i="23"/>
  <c r="L355" i="23"/>
  <c r="AD355" i="23"/>
  <c r="P355" i="23"/>
  <c r="V355" i="23"/>
  <c r="Z355" i="23"/>
  <c r="X355" i="23"/>
  <c r="J355" i="23"/>
  <c r="AB355" i="23"/>
  <c r="T355" i="23"/>
  <c r="H355" i="23"/>
  <c r="AH355" i="23"/>
  <c r="Z353" i="23"/>
  <c r="AB353" i="23"/>
  <c r="T353" i="23"/>
  <c r="X353" i="23"/>
  <c r="L353" i="23"/>
  <c r="AD353" i="23"/>
  <c r="V353" i="23"/>
  <c r="J353" i="23"/>
  <c r="P353" i="23"/>
  <c r="R353" i="23"/>
  <c r="H353" i="23"/>
  <c r="AH353" i="23"/>
  <c r="V352" i="23"/>
  <c r="Z352" i="23"/>
  <c r="AB352" i="23"/>
  <c r="X352" i="23"/>
  <c r="R352" i="23"/>
  <c r="AD352" i="23"/>
  <c r="T352" i="23"/>
  <c r="P352" i="23"/>
  <c r="L352" i="23"/>
  <c r="H352" i="23"/>
  <c r="J352" i="23"/>
  <c r="AH352" i="23"/>
  <c r="X529" i="23"/>
  <c r="AD354" i="23"/>
  <c r="T354" i="23"/>
  <c r="J354" i="23"/>
  <c r="AB354" i="23"/>
  <c r="X354" i="23"/>
  <c r="L354" i="23"/>
  <c r="V354" i="23"/>
  <c r="P354" i="23"/>
  <c r="R354" i="23"/>
  <c r="Z354" i="23"/>
  <c r="H354" i="23"/>
  <c r="AH354" i="23"/>
  <c r="I398" i="2"/>
  <c r="C58" i="5" s="1"/>
  <c r="R452" i="23"/>
  <c r="AB452" i="23"/>
  <c r="I548" i="2"/>
  <c r="L548" i="2"/>
  <c r="L539" i="2"/>
  <c r="I539" i="2"/>
  <c r="X452" i="23"/>
  <c r="Z452" i="23"/>
  <c r="Z75" i="23"/>
  <c r="I107" i="2"/>
  <c r="L449" i="2"/>
  <c r="T452" i="23"/>
  <c r="I533" i="2"/>
  <c r="F535" i="23" s="1"/>
  <c r="H452" i="23"/>
  <c r="P75" i="23"/>
  <c r="V75" i="23"/>
  <c r="J452" i="23"/>
  <c r="AF452" i="23"/>
  <c r="L229" i="23"/>
  <c r="J75" i="23"/>
  <c r="H75" i="23"/>
  <c r="N75" i="23"/>
  <c r="L427" i="2"/>
  <c r="I148" i="2"/>
  <c r="L533" i="2"/>
  <c r="L574" i="2"/>
  <c r="AB75" i="23"/>
  <c r="P452" i="23"/>
  <c r="L398" i="2"/>
  <c r="E58" i="5" s="1"/>
  <c r="AD452" i="23"/>
  <c r="AF75" i="23"/>
  <c r="X75" i="23"/>
  <c r="L627" i="2"/>
  <c r="I627" i="2"/>
  <c r="R75" i="23"/>
  <c r="N452" i="23"/>
  <c r="L75" i="23"/>
  <c r="N229" i="23"/>
  <c r="X87" i="23"/>
  <c r="L163" i="23"/>
  <c r="T198" i="23"/>
  <c r="AB120" i="23"/>
  <c r="L149" i="23"/>
  <c r="L93" i="23"/>
  <c r="J271" i="23"/>
  <c r="X568" i="23"/>
  <c r="U26" i="6" s="1"/>
  <c r="X215" i="23"/>
  <c r="L566" i="2"/>
  <c r="AG220" i="23"/>
  <c r="AH220" i="23" s="1"/>
  <c r="P229" i="23"/>
  <c r="AD429" i="23"/>
  <c r="AG312" i="23"/>
  <c r="AH312" i="23" s="1"/>
  <c r="R576" i="23"/>
  <c r="R593" i="23" s="1"/>
  <c r="Z215" i="23"/>
  <c r="H474" i="23"/>
  <c r="I609" i="2"/>
  <c r="AG563" i="23"/>
  <c r="AH563" i="23" s="1"/>
  <c r="AG179" i="23"/>
  <c r="AH179" i="23" s="1"/>
  <c r="N87" i="23"/>
  <c r="X163" i="23"/>
  <c r="T389" i="23"/>
  <c r="T390" i="23" s="1"/>
  <c r="Q20" i="6" s="1"/>
  <c r="AB198" i="23"/>
  <c r="X120" i="23"/>
  <c r="I586" i="2"/>
  <c r="F588" i="23" s="1"/>
  <c r="L419" i="2"/>
  <c r="N149" i="23"/>
  <c r="X149" i="23"/>
  <c r="H487" i="23"/>
  <c r="AG148" i="23"/>
  <c r="AH148" i="23" s="1"/>
  <c r="P93" i="23"/>
  <c r="AD421" i="23"/>
  <c r="AA22" i="6" s="1"/>
  <c r="AB271" i="23"/>
  <c r="AG72" i="23"/>
  <c r="AH72" i="23" s="1"/>
  <c r="AG68" i="23"/>
  <c r="AH68" i="23" s="1"/>
  <c r="J568" i="23"/>
  <c r="G26" i="6" s="1"/>
  <c r="AG224" i="23"/>
  <c r="AH224" i="23" s="1"/>
  <c r="R229" i="23"/>
  <c r="AG190" i="23"/>
  <c r="AH190" i="23" s="1"/>
  <c r="H429" i="23"/>
  <c r="AG161" i="23"/>
  <c r="AH161" i="23" s="1"/>
  <c r="L215" i="23"/>
  <c r="T474" i="23"/>
  <c r="AB474" i="23"/>
  <c r="AB489" i="23" s="1"/>
  <c r="Y24" i="6" s="1"/>
  <c r="L52" i="2"/>
  <c r="L609" i="2"/>
  <c r="AG123" i="23"/>
  <c r="AH123" i="23" s="1"/>
  <c r="AG180" i="23"/>
  <c r="AH180" i="23" s="1"/>
  <c r="AD87" i="23"/>
  <c r="Z163" i="23"/>
  <c r="V389" i="23"/>
  <c r="V390" i="23" s="1"/>
  <c r="S20" i="6" s="1"/>
  <c r="AG450" i="23"/>
  <c r="AH450" i="23" s="1"/>
  <c r="H495" i="23"/>
  <c r="H120" i="23"/>
  <c r="L586" i="2"/>
  <c r="T149" i="23"/>
  <c r="L154" i="2"/>
  <c r="Z93" i="23"/>
  <c r="P421" i="23"/>
  <c r="M22" i="6" s="1"/>
  <c r="AD271" i="23"/>
  <c r="L444" i="2"/>
  <c r="Z568" i="23"/>
  <c r="W26" i="6" s="1"/>
  <c r="AG587" i="23"/>
  <c r="AH587" i="23" s="1"/>
  <c r="X429" i="23"/>
  <c r="AD474" i="23"/>
  <c r="AD489" i="23" s="1"/>
  <c r="AA24" i="6" s="1"/>
  <c r="AG572" i="23"/>
  <c r="AH572" i="23" s="1"/>
  <c r="V229" i="23"/>
  <c r="AG113" i="23"/>
  <c r="AH113" i="23" s="1"/>
  <c r="J429" i="23"/>
  <c r="H503" i="23"/>
  <c r="H502" i="23"/>
  <c r="N576" i="23"/>
  <c r="N593" i="23" s="1"/>
  <c r="N215" i="23"/>
  <c r="L269" i="2"/>
  <c r="R474" i="23"/>
  <c r="R489" i="23" s="1"/>
  <c r="O24" i="6" s="1"/>
  <c r="AG214" i="23"/>
  <c r="AH214" i="23" s="1"/>
  <c r="AG408" i="23"/>
  <c r="AH408" i="23" s="1"/>
  <c r="AG212" i="23"/>
  <c r="AH212" i="23" s="1"/>
  <c r="H499" i="23"/>
  <c r="AG158" i="23"/>
  <c r="AH158" i="23" s="1"/>
  <c r="AG564" i="23"/>
  <c r="AH564" i="23" s="1"/>
  <c r="AG473" i="23"/>
  <c r="AH473" i="23" s="1"/>
  <c r="P87" i="23"/>
  <c r="V163" i="23"/>
  <c r="AD198" i="23"/>
  <c r="AD120" i="23"/>
  <c r="H511" i="23"/>
  <c r="AG178" i="23"/>
  <c r="AH178" i="23" s="1"/>
  <c r="AD149" i="23"/>
  <c r="I154" i="2"/>
  <c r="AF93" i="23"/>
  <c r="R271" i="23"/>
  <c r="Z271" i="23"/>
  <c r="L76" i="2"/>
  <c r="AF568" i="23"/>
  <c r="AG166" i="23"/>
  <c r="AH166" i="23" s="1"/>
  <c r="AH172" i="23" s="1"/>
  <c r="AG591" i="23"/>
  <c r="AH591" i="23" s="1"/>
  <c r="AH592" i="23" s="1"/>
  <c r="AG388" i="23"/>
  <c r="AH388" i="23" s="1"/>
  <c r="AG191" i="23"/>
  <c r="AH191" i="23" s="1"/>
  <c r="L143" i="2"/>
  <c r="X576" i="23"/>
  <c r="X593" i="23" s="1"/>
  <c r="AG226" i="23"/>
  <c r="AH226" i="23" s="1"/>
  <c r="AG225" i="23"/>
  <c r="AH225" i="23" s="1"/>
  <c r="P474" i="23"/>
  <c r="P489" i="23" s="1"/>
  <c r="M24" i="6" s="1"/>
  <c r="AG181" i="23"/>
  <c r="AH181" i="23" s="1"/>
  <c r="L505" i="2"/>
  <c r="L162" i="2"/>
  <c r="I399" i="2"/>
  <c r="L213" i="2"/>
  <c r="AG124" i="23"/>
  <c r="AH124" i="23" s="1"/>
  <c r="R87" i="23"/>
  <c r="AB163" i="23"/>
  <c r="P389" i="23"/>
  <c r="P390" i="23" s="1"/>
  <c r="M20" i="6" s="1"/>
  <c r="P198" i="23"/>
  <c r="T120" i="23"/>
  <c r="N120" i="23"/>
  <c r="AG118" i="23"/>
  <c r="AH118" i="23" s="1"/>
  <c r="AB149" i="23"/>
  <c r="AG263" i="23"/>
  <c r="AH263" i="23" s="1"/>
  <c r="AB93" i="23"/>
  <c r="T421" i="23"/>
  <c r="Q22" i="6" s="1"/>
  <c r="V271" i="23"/>
  <c r="AG221" i="23"/>
  <c r="AH221" i="23" s="1"/>
  <c r="AG228" i="23"/>
  <c r="AH228" i="23" s="1"/>
  <c r="N568" i="23"/>
  <c r="K26" i="6" s="1"/>
  <c r="I171" i="2"/>
  <c r="AG31" i="23"/>
  <c r="AH31" i="23" s="1"/>
  <c r="I574" i="2"/>
  <c r="X229" i="23"/>
  <c r="H480" i="23"/>
  <c r="L429" i="23"/>
  <c r="T576" i="23"/>
  <c r="T593" i="23" s="1"/>
  <c r="AD215" i="23"/>
  <c r="I505" i="2"/>
  <c r="F507" i="23" s="1"/>
  <c r="I162" i="2"/>
  <c r="L399" i="2"/>
  <c r="AG78" i="23"/>
  <c r="AH78" i="23" s="1"/>
  <c r="AF87" i="23"/>
  <c r="H163" i="23"/>
  <c r="X389" i="23"/>
  <c r="X390" i="23" s="1"/>
  <c r="U20" i="6" s="1"/>
  <c r="AG451" i="23"/>
  <c r="AH451" i="23" s="1"/>
  <c r="AG106" i="23"/>
  <c r="AH106" i="23" s="1"/>
  <c r="R198" i="23"/>
  <c r="R120" i="23"/>
  <c r="H494" i="23"/>
  <c r="V149" i="23"/>
  <c r="T93" i="23"/>
  <c r="V421" i="23"/>
  <c r="S22" i="6" s="1"/>
  <c r="AB568" i="23"/>
  <c r="Y26" i="6" s="1"/>
  <c r="L171" i="2"/>
  <c r="AG219" i="23"/>
  <c r="AH219" i="23" s="1"/>
  <c r="H504" i="23"/>
  <c r="AF229" i="23"/>
  <c r="AG90" i="23"/>
  <c r="AH90" i="23" s="1"/>
  <c r="H481" i="23"/>
  <c r="AG114" i="23"/>
  <c r="AH114" i="23" s="1"/>
  <c r="AB429" i="23"/>
  <c r="AG89" i="23"/>
  <c r="AH89" i="23" s="1"/>
  <c r="AG266" i="23"/>
  <c r="AH266" i="23" s="1"/>
  <c r="I471" i="2"/>
  <c r="L576" i="23"/>
  <c r="L593" i="23" s="1"/>
  <c r="I27" i="6" s="1"/>
  <c r="AB215" i="23"/>
  <c r="J215" i="23"/>
  <c r="Z474" i="23"/>
  <c r="Z489" i="23" s="1"/>
  <c r="W24" i="6" s="1"/>
  <c r="AG187" i="23"/>
  <c r="AH187" i="23" s="1"/>
  <c r="AG321" i="23"/>
  <c r="AH321" i="23" s="1"/>
  <c r="L452" i="23"/>
  <c r="AG264" i="23"/>
  <c r="AH264" i="23" s="1"/>
  <c r="H477" i="23"/>
  <c r="AG107" i="23"/>
  <c r="H500" i="23"/>
  <c r="AG159" i="23"/>
  <c r="AH159" i="23" s="1"/>
  <c r="I457" i="2"/>
  <c r="H87" i="23"/>
  <c r="AD75" i="23"/>
  <c r="J163" i="23"/>
  <c r="Z389" i="23"/>
  <c r="Z390" i="23" s="1"/>
  <c r="W20" i="6" s="1"/>
  <c r="L107" i="2"/>
  <c r="J120" i="23"/>
  <c r="AG73" i="23"/>
  <c r="AH73" i="23" s="1"/>
  <c r="L494" i="2"/>
  <c r="P149" i="23"/>
  <c r="L59" i="2"/>
  <c r="AD93" i="23"/>
  <c r="H421" i="23"/>
  <c r="E22" i="6" s="1"/>
  <c r="P271" i="23"/>
  <c r="T568" i="23"/>
  <c r="Q26" i="6" s="1"/>
  <c r="H485" i="23"/>
  <c r="AG147" i="23"/>
  <c r="AH147" i="23" s="1"/>
  <c r="AG567" i="23"/>
  <c r="AH567" i="23" s="1"/>
  <c r="N421" i="23"/>
  <c r="K22" i="6" s="1"/>
  <c r="H505" i="23"/>
  <c r="J229" i="23"/>
  <c r="P429" i="23"/>
  <c r="L70" i="2"/>
  <c r="I93" i="2"/>
  <c r="L471" i="2"/>
  <c r="P215" i="23"/>
  <c r="AG565" i="23"/>
  <c r="AH565" i="23" s="1"/>
  <c r="AG566" i="23"/>
  <c r="AH566" i="23" s="1"/>
  <c r="X474" i="23"/>
  <c r="X489" i="23" s="1"/>
  <c r="U24" i="6" s="1"/>
  <c r="H501" i="23"/>
  <c r="L479" i="2"/>
  <c r="L457" i="2"/>
  <c r="V87" i="23"/>
  <c r="N163" i="23"/>
  <c r="AD389" i="23"/>
  <c r="AD390" i="23" s="1"/>
  <c r="AA20" i="6" s="1"/>
  <c r="H198" i="23"/>
  <c r="I494" i="2"/>
  <c r="F496" i="23" s="1"/>
  <c r="AF149" i="23"/>
  <c r="AG207" i="23"/>
  <c r="AH207" i="23" s="1"/>
  <c r="AG410" i="23"/>
  <c r="AH410" i="23" s="1"/>
  <c r="X421" i="23"/>
  <c r="U22" i="6" s="1"/>
  <c r="H271" i="23"/>
  <c r="AG192" i="23"/>
  <c r="AH192" i="23" s="1"/>
  <c r="V568" i="23"/>
  <c r="S26" i="6" s="1"/>
  <c r="L485" i="2"/>
  <c r="L148" i="2"/>
  <c r="I599" i="2"/>
  <c r="T229" i="23"/>
  <c r="Z229" i="23"/>
  <c r="N429" i="23"/>
  <c r="L93" i="2"/>
  <c r="V576" i="23"/>
  <c r="V593" i="23" s="1"/>
  <c r="R215" i="23"/>
  <c r="AG160" i="23"/>
  <c r="AH160" i="23" s="1"/>
  <c r="V474" i="23"/>
  <c r="V489" i="23" s="1"/>
  <c r="S24" i="6" s="1"/>
  <c r="L196" i="2"/>
  <c r="I479" i="2"/>
  <c r="J87" i="23"/>
  <c r="AD163" i="23"/>
  <c r="AB389" i="23"/>
  <c r="AB390" i="23" s="1"/>
  <c r="Y20" i="6" s="1"/>
  <c r="AG222" i="23"/>
  <c r="AH222" i="23" s="1"/>
  <c r="J198" i="23"/>
  <c r="X198" i="23"/>
  <c r="V120" i="23"/>
  <c r="J149" i="23"/>
  <c r="J93" i="23"/>
  <c r="J421" i="23"/>
  <c r="G22" i="6" s="1"/>
  <c r="L271" i="23"/>
  <c r="I386" i="2"/>
  <c r="L568" i="23"/>
  <c r="I26" i="6" s="1"/>
  <c r="I485" i="2"/>
  <c r="H486" i="23"/>
  <c r="AG91" i="23"/>
  <c r="AH91" i="23" s="1"/>
  <c r="AG586" i="23"/>
  <c r="AH586" i="23" s="1"/>
  <c r="AG209" i="23"/>
  <c r="AH209" i="23" s="1"/>
  <c r="Z429" i="23"/>
  <c r="AG268" i="23"/>
  <c r="AH268" i="23" s="1"/>
  <c r="AB229" i="23"/>
  <c r="AG411" i="23"/>
  <c r="AH411" i="23" s="1"/>
  <c r="R429" i="23"/>
  <c r="AG218" i="23"/>
  <c r="AH218" i="23" s="1"/>
  <c r="AG420" i="23"/>
  <c r="AH420" i="23" s="1"/>
  <c r="P576" i="23"/>
  <c r="P593" i="23" s="1"/>
  <c r="T215" i="23"/>
  <c r="N474" i="23"/>
  <c r="N489" i="23" s="1"/>
  <c r="K24" i="6" s="1"/>
  <c r="AG80" i="23"/>
  <c r="AH80" i="23" s="1"/>
  <c r="AG111" i="23"/>
  <c r="AH111" i="23" s="1"/>
  <c r="AG251" i="23"/>
  <c r="AH251" i="23" s="1"/>
  <c r="AG265" i="23"/>
  <c r="AH265" i="23" s="1"/>
  <c r="AG79" i="23"/>
  <c r="AH79" i="23" s="1"/>
  <c r="L235" i="2"/>
  <c r="Z87" i="23"/>
  <c r="J389" i="23"/>
  <c r="J390" i="23" s="1"/>
  <c r="G20" i="6" s="1"/>
  <c r="Z198" i="23"/>
  <c r="L120" i="23"/>
  <c r="AG414" i="23"/>
  <c r="AH414" i="23" s="1"/>
  <c r="AG74" i="23"/>
  <c r="AH74" i="23" s="1"/>
  <c r="R93" i="23"/>
  <c r="Z421" i="23"/>
  <c r="W22" i="6" s="1"/>
  <c r="L386" i="2"/>
  <c r="P568" i="23"/>
  <c r="M26" i="6" s="1"/>
  <c r="AB576" i="23"/>
  <c r="AB593" i="23" s="1"/>
  <c r="H389" i="23"/>
  <c r="H390" i="23" s="1"/>
  <c r="E20" i="6" s="1"/>
  <c r="AG227" i="23"/>
  <c r="AH227" i="23" s="1"/>
  <c r="L246" i="2"/>
  <c r="Z576" i="23"/>
  <c r="Z593" i="23" s="1"/>
  <c r="L527" i="2"/>
  <c r="AG112" i="23"/>
  <c r="AH112" i="23" s="1"/>
  <c r="H478" i="23"/>
  <c r="AG126" i="23"/>
  <c r="AH126" i="23" s="1"/>
  <c r="I119" i="2"/>
  <c r="L63" i="2"/>
  <c r="I235" i="2"/>
  <c r="F237" i="23" s="1"/>
  <c r="AG210" i="23"/>
  <c r="AH210" i="23" s="1"/>
  <c r="L87" i="23"/>
  <c r="P163" i="23"/>
  <c r="T163" i="23"/>
  <c r="R389" i="23"/>
  <c r="R390" i="23" s="1"/>
  <c r="O20" i="6" s="1"/>
  <c r="L198" i="23"/>
  <c r="L43" i="2"/>
  <c r="Z149" i="23"/>
  <c r="H93" i="23"/>
  <c r="X93" i="23"/>
  <c r="L421" i="23"/>
  <c r="I22" i="6" s="1"/>
  <c r="X271" i="23"/>
  <c r="H506" i="23"/>
  <c r="H510" i="23"/>
  <c r="AG116" i="23"/>
  <c r="AH116" i="23" s="1"/>
  <c r="R568" i="23"/>
  <c r="O26" i="6" s="1"/>
  <c r="I102" i="2"/>
  <c r="F103" i="23" s="1"/>
  <c r="AG188" i="23"/>
  <c r="AH188" i="23" s="1"/>
  <c r="AG223" i="23"/>
  <c r="AH223" i="23" s="1"/>
  <c r="H229" i="23"/>
  <c r="AG425" i="23"/>
  <c r="AH425" i="23" s="1"/>
  <c r="AG409" i="23"/>
  <c r="AH409" i="23" s="1"/>
  <c r="V429" i="23"/>
  <c r="L227" i="2"/>
  <c r="I246" i="2"/>
  <c r="F248" i="23" s="1"/>
  <c r="AG396" i="23"/>
  <c r="AH396" i="23" s="1"/>
  <c r="AD576" i="23"/>
  <c r="AD593" i="23" s="1"/>
  <c r="H215" i="23"/>
  <c r="I527" i="2"/>
  <c r="F529" i="23" s="1"/>
  <c r="H479" i="23"/>
  <c r="J474" i="23"/>
  <c r="L119" i="2"/>
  <c r="L36" i="2"/>
  <c r="I63" i="2"/>
  <c r="AG211" i="23"/>
  <c r="AH211" i="23" s="1"/>
  <c r="AB87" i="23"/>
  <c r="L389" i="23"/>
  <c r="L390" i="23" s="1"/>
  <c r="I20" i="6" s="1"/>
  <c r="AG562" i="23"/>
  <c r="AH562" i="23" s="1"/>
  <c r="AG197" i="23"/>
  <c r="AH197" i="23" s="1"/>
  <c r="N198" i="23"/>
  <c r="Z120" i="23"/>
  <c r="C19" i="5"/>
  <c r="L439" i="2"/>
  <c r="H149" i="23"/>
  <c r="L599" i="2"/>
  <c r="N93" i="23"/>
  <c r="AB421" i="23"/>
  <c r="Y22" i="6" s="1"/>
  <c r="T271" i="23"/>
  <c r="H568" i="23"/>
  <c r="E26" i="6" s="1"/>
  <c r="L102" i="2"/>
  <c r="AG19" i="23"/>
  <c r="AH19" i="23" s="1"/>
  <c r="AG15" i="23"/>
  <c r="AH15" i="23" s="1"/>
  <c r="AG16" i="23"/>
  <c r="AH16" i="23" s="1"/>
  <c r="AG17" i="23"/>
  <c r="AH17" i="23" s="1"/>
  <c r="AG18" i="23"/>
  <c r="AH18" i="23" s="1"/>
  <c r="AG14" i="23"/>
  <c r="AH14" i="23" s="1"/>
  <c r="C27" i="19"/>
  <c r="J30" i="3"/>
  <c r="J24" i="2" s="1"/>
  <c r="K24" i="2" s="1"/>
  <c r="L24" i="2" s="1"/>
  <c r="I449" i="2"/>
  <c r="I76" i="2"/>
  <c r="I15" i="2"/>
  <c r="F14" i="23" s="1"/>
  <c r="AK14" i="23" s="1"/>
  <c r="AK253" i="23" l="1"/>
  <c r="Z557" i="23"/>
  <c r="AF107" i="23"/>
  <c r="AK107" i="23" s="1"/>
  <c r="P107" i="23"/>
  <c r="L557" i="23"/>
  <c r="AK129" i="23"/>
  <c r="X557" i="23"/>
  <c r="N557" i="23"/>
  <c r="AH107" i="23"/>
  <c r="AK568" i="23"/>
  <c r="H557" i="23"/>
  <c r="F557" i="23"/>
  <c r="F559" i="23"/>
  <c r="H602" i="23"/>
  <c r="F631" i="23"/>
  <c r="AE554" i="23"/>
  <c r="AH253" i="23"/>
  <c r="C39" i="5"/>
  <c r="F163" i="23"/>
  <c r="AK163" i="23" s="1"/>
  <c r="C83" i="5"/>
  <c r="F576" i="23"/>
  <c r="C38" i="5"/>
  <c r="F155" i="23"/>
  <c r="C91" i="5"/>
  <c r="C71" i="5"/>
  <c r="F482" i="23"/>
  <c r="C69" i="5"/>
  <c r="C132" i="19" s="1"/>
  <c r="E132" i="19" s="1"/>
  <c r="D132" i="19" s="1"/>
  <c r="G132" i="19" s="1"/>
  <c r="H132" i="19" s="1"/>
  <c r="F460" i="23"/>
  <c r="C89" i="5"/>
  <c r="C25" i="5"/>
  <c r="F87" i="23"/>
  <c r="AK87" i="23" s="1"/>
  <c r="C31" i="5"/>
  <c r="F120" i="23"/>
  <c r="C72" i="5"/>
  <c r="F488" i="23"/>
  <c r="C88" i="5"/>
  <c r="C40" i="5"/>
  <c r="F172" i="23"/>
  <c r="AK172" i="23" s="1"/>
  <c r="C37" i="5"/>
  <c r="F149" i="23"/>
  <c r="AK149" i="23" s="1"/>
  <c r="C90" i="5"/>
  <c r="C36" i="5"/>
  <c r="F144" i="23"/>
  <c r="C30" i="5"/>
  <c r="F108" i="23"/>
  <c r="C33" i="5"/>
  <c r="F135" i="23"/>
  <c r="T107" i="23"/>
  <c r="T108" i="23" s="1"/>
  <c r="Z107" i="23"/>
  <c r="Z108" i="23" s="1"/>
  <c r="AB107" i="23"/>
  <c r="AB108" i="23" s="1"/>
  <c r="L107" i="23"/>
  <c r="L108" i="23" s="1"/>
  <c r="V107" i="23"/>
  <c r="V108" i="23" s="1"/>
  <c r="J107" i="23"/>
  <c r="J108" i="23" s="1"/>
  <c r="H107" i="23"/>
  <c r="H108" i="23" s="1"/>
  <c r="X107" i="23"/>
  <c r="X108" i="23" s="1"/>
  <c r="AD107" i="23"/>
  <c r="AD108" i="23" s="1"/>
  <c r="R107" i="23"/>
  <c r="R108" i="23" s="1"/>
  <c r="N107" i="23"/>
  <c r="N108" i="23" s="1"/>
  <c r="C26" i="5"/>
  <c r="F93" i="23"/>
  <c r="AK93" i="23" s="1"/>
  <c r="C24" i="5"/>
  <c r="F75" i="23"/>
  <c r="AK75" i="23" s="1"/>
  <c r="C57" i="5"/>
  <c r="C21" i="6" s="1"/>
  <c r="F401" i="23"/>
  <c r="C85" i="5"/>
  <c r="C142" i="19" s="1"/>
  <c r="E142" i="19" s="1"/>
  <c r="D142" i="19" s="1"/>
  <c r="F592" i="23"/>
  <c r="AK592" i="23" s="1"/>
  <c r="C55" i="5"/>
  <c r="C110" i="19" s="1"/>
  <c r="E110" i="19" s="1"/>
  <c r="D110" i="19" s="1"/>
  <c r="G110" i="19" s="1"/>
  <c r="H110" i="19" s="1"/>
  <c r="F389" i="23"/>
  <c r="C66" i="5"/>
  <c r="F452" i="23"/>
  <c r="AK452" i="23" s="1"/>
  <c r="C22" i="5"/>
  <c r="F62" i="23"/>
  <c r="C70" i="5"/>
  <c r="F474" i="23"/>
  <c r="C20" i="5"/>
  <c r="F51" i="23"/>
  <c r="AE575" i="23"/>
  <c r="E90" i="5"/>
  <c r="AE574" i="23"/>
  <c r="E91" i="5"/>
  <c r="E18" i="5"/>
  <c r="E37" i="5"/>
  <c r="E70" i="5"/>
  <c r="E39" i="5"/>
  <c r="E65" i="5"/>
  <c r="E25" i="5"/>
  <c r="E22" i="5"/>
  <c r="E72" i="5"/>
  <c r="E69" i="5"/>
  <c r="E66" i="5"/>
  <c r="E52" i="5"/>
  <c r="E84" i="5"/>
  <c r="E83" i="5"/>
  <c r="E29" i="5"/>
  <c r="E31" i="5"/>
  <c r="E71" i="5"/>
  <c r="E23" i="5"/>
  <c r="E63" i="5"/>
  <c r="E44" i="5"/>
  <c r="E21" i="5"/>
  <c r="AF630" i="23"/>
  <c r="AK630" i="23" s="1"/>
  <c r="E43" i="5"/>
  <c r="E46" i="5"/>
  <c r="E24" i="5"/>
  <c r="E89" i="5"/>
  <c r="E51" i="5"/>
  <c r="E55" i="5"/>
  <c r="E40" i="5"/>
  <c r="E38" i="5"/>
  <c r="E20" i="5"/>
  <c r="E88" i="5"/>
  <c r="E19" i="5"/>
  <c r="E26" i="5"/>
  <c r="E30" i="5"/>
  <c r="E45" i="5"/>
  <c r="E36" i="5"/>
  <c r="E33" i="5"/>
  <c r="J588" i="23"/>
  <c r="J593" i="23" s="1"/>
  <c r="G27" i="6" s="1"/>
  <c r="J624" i="23"/>
  <c r="J631" i="23" s="1"/>
  <c r="G28" i="6" s="1"/>
  <c r="AG623" i="23"/>
  <c r="AH623" i="23" s="1"/>
  <c r="AG622" i="23"/>
  <c r="AH622" i="23" s="1"/>
  <c r="AG242" i="23"/>
  <c r="AH242" i="23" s="1"/>
  <c r="T365" i="23"/>
  <c r="T367" i="23" s="1"/>
  <c r="Q19" i="6" s="1"/>
  <c r="V365" i="23"/>
  <c r="V367" i="23" s="1"/>
  <c r="S19" i="6" s="1"/>
  <c r="AE278" i="23"/>
  <c r="AF365" i="23"/>
  <c r="AK365" i="23" s="1"/>
  <c r="AG279" i="23"/>
  <c r="AH279" i="23" s="1"/>
  <c r="AE280" i="23"/>
  <c r="AG281" i="23"/>
  <c r="AH281" i="23" s="1"/>
  <c r="J365" i="23"/>
  <c r="J367" i="23" s="1"/>
  <c r="G19" i="6" s="1"/>
  <c r="R365" i="23"/>
  <c r="R367" i="23" s="1"/>
  <c r="O19" i="6" s="1"/>
  <c r="H365" i="23"/>
  <c r="H367" i="23" s="1"/>
  <c r="E19" i="6" s="1"/>
  <c r="X365" i="23"/>
  <c r="X367" i="23" s="1"/>
  <c r="U19" i="6" s="1"/>
  <c r="AH365" i="23"/>
  <c r="L365" i="23"/>
  <c r="L367" i="23" s="1"/>
  <c r="I19" i="6" s="1"/>
  <c r="AB365" i="23"/>
  <c r="AB367" i="23" s="1"/>
  <c r="Y19" i="6" s="1"/>
  <c r="P365" i="23"/>
  <c r="P367" i="23" s="1"/>
  <c r="M19" i="6" s="1"/>
  <c r="N365" i="23"/>
  <c r="AD365" i="23"/>
  <c r="AD367" i="23" s="1"/>
  <c r="AA19" i="6" s="1"/>
  <c r="Z365" i="23"/>
  <c r="Z367" i="23" s="1"/>
  <c r="W19" i="6" s="1"/>
  <c r="AG183" i="23"/>
  <c r="AH183" i="23" s="1"/>
  <c r="AG331" i="23"/>
  <c r="AH331" i="23" s="1"/>
  <c r="AG333" i="23"/>
  <c r="AH333" i="23" s="1"/>
  <c r="AG182" i="23"/>
  <c r="AH182" i="23" s="1"/>
  <c r="AG329" i="23"/>
  <c r="AH329" i="23" s="1"/>
  <c r="AG334" i="23"/>
  <c r="AH334" i="23" s="1"/>
  <c r="AG336" i="23"/>
  <c r="AH336" i="23" s="1"/>
  <c r="AG328" i="23"/>
  <c r="AH328" i="23" s="1"/>
  <c r="AG330" i="23"/>
  <c r="AH330" i="23" s="1"/>
  <c r="AE332" i="23"/>
  <c r="AG335" i="23"/>
  <c r="AH335" i="23" s="1"/>
  <c r="AG327" i="23"/>
  <c r="AH327" i="23" s="1"/>
  <c r="AG326" i="23"/>
  <c r="AH326" i="23" s="1"/>
  <c r="V184" i="23"/>
  <c r="AG203" i="23"/>
  <c r="AH203" i="23" s="1"/>
  <c r="AB529" i="23"/>
  <c r="AE556" i="23"/>
  <c r="AG153" i="23"/>
  <c r="AH153" i="23" s="1"/>
  <c r="AF62" i="23"/>
  <c r="AG154" i="23"/>
  <c r="AH154" i="23" s="1"/>
  <c r="AG413" i="23"/>
  <c r="AH413" i="23" s="1"/>
  <c r="T62" i="23"/>
  <c r="AG575" i="23"/>
  <c r="AH575" i="23" s="1"/>
  <c r="AG305" i="23"/>
  <c r="AH305" i="23" s="1"/>
  <c r="AG196" i="23"/>
  <c r="AH196" i="23" s="1"/>
  <c r="AG435" i="23"/>
  <c r="AH435" i="23" s="1"/>
  <c r="AG119" i="23"/>
  <c r="AH119" i="23" s="1"/>
  <c r="AG325" i="23"/>
  <c r="AH325" i="23" s="1"/>
  <c r="AG277" i="23"/>
  <c r="AH277" i="23" s="1"/>
  <c r="AG208" i="23"/>
  <c r="AH208" i="23" s="1"/>
  <c r="AG29" i="23"/>
  <c r="AH29" i="23" s="1"/>
  <c r="AG205" i="23"/>
  <c r="AH205" i="23" s="1"/>
  <c r="AG385" i="23"/>
  <c r="AH385" i="23" s="1"/>
  <c r="AG143" i="23"/>
  <c r="AH143" i="23" s="1"/>
  <c r="AG162" i="23"/>
  <c r="AH162" i="23" s="1"/>
  <c r="AH163" i="23" s="1"/>
  <c r="AG417" i="23"/>
  <c r="AH417" i="23" s="1"/>
  <c r="V93" i="23"/>
  <c r="AF198" i="23"/>
  <c r="AG235" i="23"/>
  <c r="AH235" i="23" s="1"/>
  <c r="AG39" i="23"/>
  <c r="AH39" i="23" s="1"/>
  <c r="AG573" i="23"/>
  <c r="AH573" i="23" s="1"/>
  <c r="AG270" i="23"/>
  <c r="AH270" i="23" s="1"/>
  <c r="AG195" i="23"/>
  <c r="AH195" i="23" s="1"/>
  <c r="H522" i="23"/>
  <c r="AG269" i="23"/>
  <c r="AH269" i="23" s="1"/>
  <c r="AG194" i="23"/>
  <c r="AH194" i="23" s="1"/>
  <c r="AG384" i="23"/>
  <c r="AH384" i="23" s="1"/>
  <c r="AG307" i="23"/>
  <c r="AH307" i="23" s="1"/>
  <c r="AG275" i="23"/>
  <c r="AH275" i="23" s="1"/>
  <c r="AG381" i="23"/>
  <c r="AH381" i="23" s="1"/>
  <c r="AG115" i="23"/>
  <c r="AH115" i="23" s="1"/>
  <c r="AD137" i="23"/>
  <c r="AA16" i="6" s="1"/>
  <c r="AG41" i="23"/>
  <c r="AH41" i="23" s="1"/>
  <c r="AG284" i="23"/>
  <c r="AH284" i="23" s="1"/>
  <c r="AG320" i="23"/>
  <c r="AH320" i="23" s="1"/>
  <c r="J137" i="23"/>
  <c r="G16" i="6" s="1"/>
  <c r="AG440" i="23"/>
  <c r="AH440" i="23" s="1"/>
  <c r="AG300" i="23"/>
  <c r="AH300" i="23" s="1"/>
  <c r="R137" i="23"/>
  <c r="O16" i="6" s="1"/>
  <c r="AG259" i="23"/>
  <c r="AH259" i="23" s="1"/>
  <c r="P108" i="23"/>
  <c r="Z137" i="23"/>
  <c r="W16" i="6" s="1"/>
  <c r="R149" i="23"/>
  <c r="V452" i="23"/>
  <c r="AG134" i="23"/>
  <c r="AH134" i="23" s="1"/>
  <c r="AG133" i="23"/>
  <c r="AH133" i="23" s="1"/>
  <c r="P135" i="23"/>
  <c r="AG132" i="23"/>
  <c r="AH132" i="23" s="1"/>
  <c r="AG56" i="23"/>
  <c r="AH56" i="23" s="1"/>
  <c r="AG54" i="23"/>
  <c r="AH54" i="23" s="1"/>
  <c r="AG267" i="23"/>
  <c r="AH267" i="23" s="1"/>
  <c r="AG276" i="23"/>
  <c r="AH276" i="23" s="1"/>
  <c r="AG245" i="23"/>
  <c r="AH245" i="23" s="1"/>
  <c r="Z507" i="23"/>
  <c r="AG244" i="23"/>
  <c r="AH244" i="23" s="1"/>
  <c r="AG316" i="23"/>
  <c r="AH316" i="23" s="1"/>
  <c r="AG296" i="23"/>
  <c r="AH296" i="23" s="1"/>
  <c r="AG439" i="23"/>
  <c r="AH439" i="23" s="1"/>
  <c r="Z522" i="23"/>
  <c r="AG315" i="23"/>
  <c r="AH315" i="23" s="1"/>
  <c r="L559" i="23"/>
  <c r="I25" i="6" s="1"/>
  <c r="AG241" i="23"/>
  <c r="AH241" i="23" s="1"/>
  <c r="AG318" i="23"/>
  <c r="AH318" i="23" s="1"/>
  <c r="AG599" i="23"/>
  <c r="AH599" i="23" s="1"/>
  <c r="AG30" i="23"/>
  <c r="AH30" i="23" s="1"/>
  <c r="AG61" i="23"/>
  <c r="AH61" i="23" s="1"/>
  <c r="AG99" i="23"/>
  <c r="AH99" i="23" s="1"/>
  <c r="AG311" i="23"/>
  <c r="AH311" i="23" s="1"/>
  <c r="AG322" i="23"/>
  <c r="AH322" i="23" s="1"/>
  <c r="AG434" i="23"/>
  <c r="AH434" i="23" s="1"/>
  <c r="AG28" i="23"/>
  <c r="AH28" i="23" s="1"/>
  <c r="AG32" i="23"/>
  <c r="AH32" i="23" s="1"/>
  <c r="AG55" i="23"/>
  <c r="AH55" i="23" s="1"/>
  <c r="AG50" i="23"/>
  <c r="AH50" i="23" s="1"/>
  <c r="AG314" i="23"/>
  <c r="AH314" i="23" s="1"/>
  <c r="AG426" i="23"/>
  <c r="AH426" i="23" s="1"/>
  <c r="AG295" i="23"/>
  <c r="AH295" i="23" s="1"/>
  <c r="AG438" i="23"/>
  <c r="AH438" i="23" s="1"/>
  <c r="AG436" i="23"/>
  <c r="AH436" i="23" s="1"/>
  <c r="AG100" i="23"/>
  <c r="AH100" i="23" s="1"/>
  <c r="AG412" i="23"/>
  <c r="AH412" i="23" s="1"/>
  <c r="AG262" i="23"/>
  <c r="AH262" i="23" s="1"/>
  <c r="AG419" i="23"/>
  <c r="AH419" i="23" s="1"/>
  <c r="AG407" i="23"/>
  <c r="AH407" i="23" s="1"/>
  <c r="V215" i="23"/>
  <c r="AG57" i="23"/>
  <c r="AH57" i="23" s="1"/>
  <c r="AG601" i="23"/>
  <c r="AH601" i="23" s="1"/>
  <c r="AG45" i="23"/>
  <c r="AH45" i="23" s="1"/>
  <c r="AG323" i="23"/>
  <c r="AH323" i="23" s="1"/>
  <c r="AG304" i="23"/>
  <c r="AH304" i="23" s="1"/>
  <c r="AG380" i="23"/>
  <c r="AH380" i="23" s="1"/>
  <c r="AG387" i="23"/>
  <c r="AH387" i="23" s="1"/>
  <c r="AG301" i="23"/>
  <c r="AH301" i="23" s="1"/>
  <c r="AG240" i="23"/>
  <c r="AH240" i="23" s="1"/>
  <c r="AG415" i="23"/>
  <c r="AH415" i="23" s="1"/>
  <c r="AG310" i="23"/>
  <c r="AH310" i="23" s="1"/>
  <c r="AK35" i="23"/>
  <c r="AG260" i="23"/>
  <c r="AH260" i="23" s="1"/>
  <c r="AG202" i="23"/>
  <c r="AH202" i="23" s="1"/>
  <c r="AG247" i="23"/>
  <c r="AH247" i="23" s="1"/>
  <c r="AG243" i="23"/>
  <c r="AH243" i="23" s="1"/>
  <c r="Z496" i="23"/>
  <c r="AG397" i="23"/>
  <c r="AH397" i="23" s="1"/>
  <c r="AG405" i="23"/>
  <c r="AH405" i="23" s="1"/>
  <c r="AG127" i="23"/>
  <c r="AH127" i="23" s="1"/>
  <c r="AH129" i="23" s="1"/>
  <c r="T87" i="23"/>
  <c r="AG48" i="23"/>
  <c r="AH48" i="23" s="1"/>
  <c r="AG433" i="23"/>
  <c r="AH433" i="23" s="1"/>
  <c r="AG382" i="23"/>
  <c r="AH382" i="23" s="1"/>
  <c r="AG303" i="23"/>
  <c r="AH303" i="23" s="1"/>
  <c r="AG302" i="23"/>
  <c r="AH302" i="23" s="1"/>
  <c r="AG309" i="23"/>
  <c r="AH309" i="23" s="1"/>
  <c r="AF120" i="23"/>
  <c r="AK120" i="23" s="1"/>
  <c r="AD568" i="23"/>
  <c r="AA26" i="6" s="1"/>
  <c r="T75" i="23"/>
  <c r="H576" i="23"/>
  <c r="H593" i="23" s="1"/>
  <c r="E27" i="6" s="1"/>
  <c r="V198" i="23"/>
  <c r="AG38" i="23"/>
  <c r="AH38" i="23" s="1"/>
  <c r="AG379" i="23"/>
  <c r="AH379" i="23" s="1"/>
  <c r="AG375" i="23"/>
  <c r="AH375" i="23" s="1"/>
  <c r="AG65" i="23"/>
  <c r="AH65" i="23" s="1"/>
  <c r="AG324" i="23"/>
  <c r="AH324" i="23" s="1"/>
  <c r="AG398" i="23"/>
  <c r="AH398" i="23" s="1"/>
  <c r="AG383" i="23"/>
  <c r="AH383" i="23" s="1"/>
  <c r="AG261" i="23"/>
  <c r="AH261" i="23" s="1"/>
  <c r="AG101" i="23"/>
  <c r="AH101" i="23" s="1"/>
  <c r="AG394" i="23"/>
  <c r="AH394" i="23" s="1"/>
  <c r="AG400" i="23"/>
  <c r="AH400" i="23" s="1"/>
  <c r="AG446" i="23"/>
  <c r="AH446" i="23" s="1"/>
  <c r="AG294" i="23"/>
  <c r="AH294" i="23" s="1"/>
  <c r="AG66" i="23"/>
  <c r="AH66" i="23" s="1"/>
  <c r="AG47" i="23"/>
  <c r="AH47" i="23" s="1"/>
  <c r="AG102" i="23"/>
  <c r="AH102" i="23" s="1"/>
  <c r="AG234" i="23"/>
  <c r="AH234" i="23" s="1"/>
  <c r="AG40" i="23"/>
  <c r="AH40" i="23" s="1"/>
  <c r="AG49" i="23"/>
  <c r="AH49" i="23" s="1"/>
  <c r="AG416" i="23"/>
  <c r="AH416" i="23" s="1"/>
  <c r="AD229" i="23"/>
  <c r="AD255" i="23" s="1"/>
  <c r="AA18" i="6" s="1"/>
  <c r="AF529" i="23"/>
  <c r="AK529" i="23" s="1"/>
  <c r="AG313" i="23"/>
  <c r="AH313" i="23" s="1"/>
  <c r="AG286" i="23"/>
  <c r="AH286" i="23" s="1"/>
  <c r="N559" i="23"/>
  <c r="K25" i="6" s="1"/>
  <c r="R421" i="23"/>
  <c r="O22" i="6" s="1"/>
  <c r="AF271" i="23"/>
  <c r="AG378" i="23"/>
  <c r="AH378" i="23" s="1"/>
  <c r="AF429" i="23"/>
  <c r="AG406" i="23"/>
  <c r="AH406" i="23" s="1"/>
  <c r="AG117" i="23"/>
  <c r="AH117" i="23" s="1"/>
  <c r="AG598" i="23"/>
  <c r="AH598" i="23" s="1"/>
  <c r="AG67" i="23"/>
  <c r="AH67" i="23" s="1"/>
  <c r="AG399" i="23"/>
  <c r="AH399" i="23" s="1"/>
  <c r="AG206" i="23"/>
  <c r="AH206" i="23" s="1"/>
  <c r="AG427" i="23"/>
  <c r="AH427" i="23" s="1"/>
  <c r="R163" i="23"/>
  <c r="AG306" i="23"/>
  <c r="AH306" i="23" s="1"/>
  <c r="AG308" i="23"/>
  <c r="AH308" i="23" s="1"/>
  <c r="AG141" i="23"/>
  <c r="AH141" i="23" s="1"/>
  <c r="AG319" i="23"/>
  <c r="AH319" i="23" s="1"/>
  <c r="AG233" i="23"/>
  <c r="AH233" i="23" s="1"/>
  <c r="AG204" i="23"/>
  <c r="AH204" i="23" s="1"/>
  <c r="AG437" i="23"/>
  <c r="AH437" i="23" s="1"/>
  <c r="T35" i="23"/>
  <c r="AG555" i="23"/>
  <c r="AH555" i="23" s="1"/>
  <c r="AG236" i="23"/>
  <c r="AH236" i="23" s="1"/>
  <c r="AG404" i="23"/>
  <c r="AH404" i="23" s="1"/>
  <c r="AG293" i="23"/>
  <c r="AH293" i="23" s="1"/>
  <c r="AF58" i="23"/>
  <c r="AG428" i="23"/>
  <c r="AH428" i="23" s="1"/>
  <c r="AG299" i="23"/>
  <c r="AH299" i="23" s="1"/>
  <c r="AG274" i="23"/>
  <c r="AH274" i="23" s="1"/>
  <c r="AG152" i="23"/>
  <c r="AH152" i="23" s="1"/>
  <c r="AG297" i="23"/>
  <c r="AH297" i="23" s="1"/>
  <c r="AG298" i="23"/>
  <c r="AH298" i="23" s="1"/>
  <c r="V559" i="23"/>
  <c r="S25" i="6" s="1"/>
  <c r="AF389" i="23"/>
  <c r="J95" i="23"/>
  <c r="P95" i="23"/>
  <c r="R559" i="23"/>
  <c r="O25" i="6" s="1"/>
  <c r="X95" i="23"/>
  <c r="AA532" i="23"/>
  <c r="AE553" i="23"/>
  <c r="Z95" i="23"/>
  <c r="H95" i="23"/>
  <c r="L95" i="23"/>
  <c r="AB95" i="23"/>
  <c r="AG317" i="23"/>
  <c r="AH317" i="23" s="1"/>
  <c r="P559" i="23"/>
  <c r="M25" i="6" s="1"/>
  <c r="E32" i="5"/>
  <c r="L136" i="2"/>
  <c r="AD95" i="23"/>
  <c r="R95" i="23"/>
  <c r="C32" i="5"/>
  <c r="I136" i="2"/>
  <c r="N95" i="23"/>
  <c r="AF42" i="23"/>
  <c r="AK42" i="23" s="1"/>
  <c r="J557" i="23"/>
  <c r="J559" i="23" s="1"/>
  <c r="G25" i="6" s="1"/>
  <c r="AD559" i="23"/>
  <c r="AA25" i="6" s="1"/>
  <c r="AF215" i="23"/>
  <c r="X522" i="23"/>
  <c r="X507" i="23"/>
  <c r="T429" i="23"/>
  <c r="N389" i="23"/>
  <c r="N390" i="23" s="1"/>
  <c r="K20" i="6" s="1"/>
  <c r="P120" i="23"/>
  <c r="AF421" i="23"/>
  <c r="V69" i="23"/>
  <c r="N271" i="23"/>
  <c r="R144" i="23"/>
  <c r="T155" i="23"/>
  <c r="T174" i="23" s="1"/>
  <c r="Q17" i="6" s="1"/>
  <c r="AG46" i="23"/>
  <c r="AH46" i="23" s="1"/>
  <c r="P129" i="23"/>
  <c r="AA534" i="23"/>
  <c r="AE512" i="23"/>
  <c r="AE515" i="23"/>
  <c r="L401" i="23"/>
  <c r="I21" i="6" s="1"/>
  <c r="T42" i="23"/>
  <c r="X496" i="23"/>
  <c r="X535" i="23"/>
  <c r="AF144" i="23"/>
  <c r="AK144" i="23" s="1"/>
  <c r="AF155" i="23"/>
  <c r="AK155" i="23" s="1"/>
  <c r="AG142" i="23"/>
  <c r="AH142" i="23" s="1"/>
  <c r="AG386" i="23"/>
  <c r="AH386" i="23" s="1"/>
  <c r="AG600" i="23"/>
  <c r="AH600" i="23" s="1"/>
  <c r="AF602" i="23"/>
  <c r="AK602" i="23" s="1"/>
  <c r="J237" i="23"/>
  <c r="AG372" i="23"/>
  <c r="AH372" i="23" s="1"/>
  <c r="AG418" i="23"/>
  <c r="AH418" i="23" s="1"/>
  <c r="AF237" i="23"/>
  <c r="AK237" i="23" s="1"/>
  <c r="AG246" i="23"/>
  <c r="AH246" i="23" s="1"/>
  <c r="AE514" i="23"/>
  <c r="AE513" i="23"/>
  <c r="J248" i="23"/>
  <c r="AG432" i="23"/>
  <c r="AH432" i="23" s="1"/>
  <c r="AG285" i="23"/>
  <c r="AH285" i="23" s="1"/>
  <c r="AG201" i="23"/>
  <c r="AH201" i="23" s="1"/>
  <c r="AG445" i="23"/>
  <c r="AH445" i="23" s="1"/>
  <c r="AF69" i="23"/>
  <c r="AA533" i="23"/>
  <c r="AF248" i="23"/>
  <c r="AK248" i="23" s="1"/>
  <c r="AF401" i="23"/>
  <c r="AF51" i="23"/>
  <c r="AK51" i="23" s="1"/>
  <c r="AF441" i="23"/>
  <c r="P103" i="23"/>
  <c r="V447" i="23"/>
  <c r="T441" i="23"/>
  <c r="AF103" i="23"/>
  <c r="AK103" i="23" s="1"/>
  <c r="T58" i="23"/>
  <c r="AF447" i="23"/>
  <c r="T51" i="23"/>
  <c r="AG472" i="23"/>
  <c r="AH472" i="23" s="1"/>
  <c r="U27" i="6"/>
  <c r="AA27" i="6"/>
  <c r="K27" i="6"/>
  <c r="Q27" i="6"/>
  <c r="O27" i="6"/>
  <c r="W27" i="6"/>
  <c r="Y27" i="6"/>
  <c r="M27" i="6"/>
  <c r="S27" i="6"/>
  <c r="AG471" i="23"/>
  <c r="AH471" i="23" s="1"/>
  <c r="AG468" i="23"/>
  <c r="AH468" i="23" s="1"/>
  <c r="E78" i="5"/>
  <c r="AG469" i="23"/>
  <c r="AH469" i="23" s="1"/>
  <c r="C78" i="5"/>
  <c r="AG458" i="23"/>
  <c r="AH458" i="23" s="1"/>
  <c r="AG457" i="23"/>
  <c r="AH457" i="23" s="1"/>
  <c r="AG459" i="23"/>
  <c r="AH459" i="23" s="1"/>
  <c r="AG463" i="23"/>
  <c r="AH463" i="23" s="1"/>
  <c r="AE464" i="23"/>
  <c r="L474" i="23"/>
  <c r="L489" i="23" s="1"/>
  <c r="I24" i="6" s="1"/>
  <c r="AG470" i="23"/>
  <c r="AH470" i="23" s="1"/>
  <c r="J460" i="23"/>
  <c r="J489" i="23" s="1"/>
  <c r="G24" i="6" s="1"/>
  <c r="AF460" i="23"/>
  <c r="AK460" i="23" s="1"/>
  <c r="C77" i="5"/>
  <c r="C136" i="19" s="1"/>
  <c r="E136" i="19" s="1"/>
  <c r="D136" i="19" s="1"/>
  <c r="I557" i="2"/>
  <c r="L557" i="2"/>
  <c r="AG585" i="23"/>
  <c r="AH585" i="23" s="1"/>
  <c r="AG629" i="23"/>
  <c r="AH629" i="23" s="1"/>
  <c r="AG605" i="23"/>
  <c r="AH605" i="23" s="1"/>
  <c r="AG579" i="23"/>
  <c r="AH579" i="23" s="1"/>
  <c r="AG615" i="23"/>
  <c r="AH615" i="23" s="1"/>
  <c r="AG617" i="23"/>
  <c r="AH617" i="23" s="1"/>
  <c r="AG628" i="23"/>
  <c r="AH628" i="23" s="1"/>
  <c r="AG627" i="23"/>
  <c r="AH627" i="23" s="1"/>
  <c r="AG581" i="23"/>
  <c r="AH581" i="23" s="1"/>
  <c r="AG610" i="23"/>
  <c r="AH610" i="23" s="1"/>
  <c r="AG609" i="23"/>
  <c r="AH609" i="23" s="1"/>
  <c r="AG580" i="23"/>
  <c r="AH580" i="23" s="1"/>
  <c r="AG583" i="23"/>
  <c r="AH583" i="23" s="1"/>
  <c r="AG618" i="23"/>
  <c r="AH618" i="23" s="1"/>
  <c r="AG621" i="23"/>
  <c r="AH621" i="23" s="1"/>
  <c r="AG608" i="23"/>
  <c r="AH608" i="23" s="1"/>
  <c r="AG611" i="23"/>
  <c r="AH611" i="23" s="1"/>
  <c r="AG616" i="23"/>
  <c r="AH616" i="23" s="1"/>
  <c r="AG606" i="23"/>
  <c r="AH606" i="23" s="1"/>
  <c r="AG584" i="23"/>
  <c r="AH584" i="23" s="1"/>
  <c r="AG582" i="23"/>
  <c r="AH582" i="23" s="1"/>
  <c r="C137" i="19"/>
  <c r="E137" i="19" s="1"/>
  <c r="D137" i="19" s="1"/>
  <c r="AF612" i="23"/>
  <c r="AK612" i="23" s="1"/>
  <c r="AF588" i="23"/>
  <c r="AK588" i="23" s="1"/>
  <c r="AG620" i="23"/>
  <c r="AH620" i="23" s="1"/>
  <c r="AG619" i="23"/>
  <c r="AH619" i="23" s="1"/>
  <c r="H612" i="23"/>
  <c r="L630" i="23"/>
  <c r="L631" i="23" s="1"/>
  <c r="R453" i="23"/>
  <c r="O23" i="6" s="1"/>
  <c r="E76" i="5"/>
  <c r="E77" i="5"/>
  <c r="C76" i="5"/>
  <c r="C135" i="19" s="1"/>
  <c r="E135" i="19" s="1"/>
  <c r="D135" i="19" s="1"/>
  <c r="G135" i="19" s="1"/>
  <c r="H135" i="19" s="1"/>
  <c r="C75" i="5"/>
  <c r="E75" i="5"/>
  <c r="E50" i="5"/>
  <c r="L365" i="2"/>
  <c r="AB453" i="23"/>
  <c r="Y23" i="6" s="1"/>
  <c r="Z453" i="23"/>
  <c r="W23" i="6" s="1"/>
  <c r="Z174" i="23"/>
  <c r="W17" i="6" s="1"/>
  <c r="X453" i="23"/>
  <c r="U23" i="6" s="1"/>
  <c r="P174" i="23"/>
  <c r="M17" i="6" s="1"/>
  <c r="P453" i="23"/>
  <c r="M23" i="6" s="1"/>
  <c r="H453" i="23"/>
  <c r="E23" i="6" s="1"/>
  <c r="J174" i="23"/>
  <c r="G17" i="6" s="1"/>
  <c r="L591" i="2"/>
  <c r="N453" i="23"/>
  <c r="K23" i="6" s="1"/>
  <c r="AB255" i="23"/>
  <c r="Y18" i="6" s="1"/>
  <c r="J453" i="23"/>
  <c r="G23" i="6" s="1"/>
  <c r="AB174" i="23"/>
  <c r="Y17" i="6" s="1"/>
  <c r="H174" i="23"/>
  <c r="E17" i="6" s="1"/>
  <c r="AD174" i="23"/>
  <c r="AA17" i="6" s="1"/>
  <c r="L174" i="23"/>
  <c r="I17" i="6" s="1"/>
  <c r="AH568" i="23"/>
  <c r="V174" i="23"/>
  <c r="S17" i="6" s="1"/>
  <c r="H496" i="23"/>
  <c r="E64" i="5"/>
  <c r="L252" i="2"/>
  <c r="L253" i="2" s="1"/>
  <c r="E60" i="5"/>
  <c r="C84" i="5"/>
  <c r="C141" i="19" s="1"/>
  <c r="E141" i="19" s="1"/>
  <c r="D141" i="19" s="1"/>
  <c r="I252" i="2"/>
  <c r="C47" i="5" s="1"/>
  <c r="L255" i="23"/>
  <c r="I18" i="6" s="1"/>
  <c r="E57" i="5"/>
  <c r="C80" i="5"/>
  <c r="E80" i="5"/>
  <c r="AD453" i="23"/>
  <c r="AA23" i="6" s="1"/>
  <c r="C51" i="5"/>
  <c r="C105" i="19" s="1"/>
  <c r="D105" i="19" s="1"/>
  <c r="C29" i="5"/>
  <c r="N174" i="23"/>
  <c r="K17" i="6" s="1"/>
  <c r="L453" i="23"/>
  <c r="I23" i="6" s="1"/>
  <c r="T255" i="23"/>
  <c r="Q18" i="6" s="1"/>
  <c r="I172" i="2"/>
  <c r="N255" i="23"/>
  <c r="K18" i="6" s="1"/>
  <c r="R255" i="23"/>
  <c r="O18" i="6" s="1"/>
  <c r="X174" i="23"/>
  <c r="U17" i="6" s="1"/>
  <c r="I628" i="2"/>
  <c r="AH108" i="23"/>
  <c r="AH93" i="23"/>
  <c r="AH452" i="23"/>
  <c r="AE503" i="23"/>
  <c r="T503" i="23"/>
  <c r="AE481" i="23"/>
  <c r="T481" i="23"/>
  <c r="AE504" i="23"/>
  <c r="T504" i="23"/>
  <c r="H507" i="23"/>
  <c r="AE477" i="23"/>
  <c r="T477" i="23"/>
  <c r="I486" i="2"/>
  <c r="AH87" i="23"/>
  <c r="X255" i="23"/>
  <c r="U18" i="6" s="1"/>
  <c r="L450" i="2"/>
  <c r="AE499" i="23"/>
  <c r="T499" i="23"/>
  <c r="AE502" i="23"/>
  <c r="T502" i="23"/>
  <c r="AE486" i="23"/>
  <c r="T486" i="23"/>
  <c r="L94" i="2"/>
  <c r="H488" i="23"/>
  <c r="C140" i="19"/>
  <c r="E140" i="19" s="1"/>
  <c r="D140" i="19" s="1"/>
  <c r="I387" i="2"/>
  <c r="AE485" i="23"/>
  <c r="T485" i="23"/>
  <c r="L172" i="2"/>
  <c r="H482" i="23"/>
  <c r="H255" i="23"/>
  <c r="E18" i="6" s="1"/>
  <c r="L387" i="2"/>
  <c r="AH229" i="23"/>
  <c r="AE501" i="23"/>
  <c r="T501" i="23"/>
  <c r="AE500" i="23"/>
  <c r="T500" i="23"/>
  <c r="AE478" i="23"/>
  <c r="T478" i="23"/>
  <c r="AE506" i="23"/>
  <c r="T506" i="23"/>
  <c r="AE511" i="23"/>
  <c r="T511" i="23"/>
  <c r="AE495" i="23"/>
  <c r="T495" i="23"/>
  <c r="AH75" i="23"/>
  <c r="AE487" i="23"/>
  <c r="T487" i="23"/>
  <c r="L628" i="2"/>
  <c r="AE505" i="23"/>
  <c r="T505" i="23"/>
  <c r="Z255" i="23"/>
  <c r="W18" i="6" s="1"/>
  <c r="L486" i="2"/>
  <c r="AE510" i="23"/>
  <c r="T510" i="23"/>
  <c r="AE479" i="23"/>
  <c r="T479" i="23"/>
  <c r="AE494" i="23"/>
  <c r="T494" i="23"/>
  <c r="AE480" i="23"/>
  <c r="T480" i="23"/>
  <c r="AH149" i="23"/>
  <c r="P255" i="23"/>
  <c r="M18" i="6" s="1"/>
  <c r="C18" i="5"/>
  <c r="I427" i="2"/>
  <c r="I269" i="2"/>
  <c r="I213" i="2"/>
  <c r="I70" i="2"/>
  <c r="C49" i="19"/>
  <c r="E49" i="19" s="1"/>
  <c r="D49" i="19" s="1"/>
  <c r="G49" i="19" s="1"/>
  <c r="H49" i="19" s="1"/>
  <c r="C47" i="19"/>
  <c r="E47" i="19" s="1"/>
  <c r="D47" i="19" s="1"/>
  <c r="G47" i="19" s="1"/>
  <c r="H47" i="19" s="1"/>
  <c r="A2" i="4"/>
  <c r="A5" i="4"/>
  <c r="L25" i="2"/>
  <c r="A4" i="4"/>
  <c r="A1" i="4"/>
  <c r="A7" i="4"/>
  <c r="A6" i="4"/>
  <c r="I59" i="2"/>
  <c r="C34" i="19"/>
  <c r="E34" i="19" s="1"/>
  <c r="D34" i="19" s="1"/>
  <c r="G34" i="19" s="1"/>
  <c r="H34" i="19" s="1"/>
  <c r="C42" i="19"/>
  <c r="E42" i="19" s="1"/>
  <c r="D42" i="19" s="1"/>
  <c r="G42" i="19" s="1"/>
  <c r="H42" i="19" s="1"/>
  <c r="E27" i="19"/>
  <c r="D27" i="19" s="1"/>
  <c r="G27" i="19" s="1"/>
  <c r="H27" i="19" s="1"/>
  <c r="I444" i="2"/>
  <c r="H29" i="3"/>
  <c r="H37" i="3"/>
  <c r="I439" i="2"/>
  <c r="I196" i="2"/>
  <c r="I227" i="2"/>
  <c r="C43" i="5"/>
  <c r="N137" i="23" l="1"/>
  <c r="K16" i="6" s="1"/>
  <c r="H137" i="23"/>
  <c r="E16" i="6" s="1"/>
  <c r="T137" i="23"/>
  <c r="Q16" i="6" s="1"/>
  <c r="AK62" i="23"/>
  <c r="AK401" i="23"/>
  <c r="AF108" i="23"/>
  <c r="AK108" i="23" s="1"/>
  <c r="V137" i="23"/>
  <c r="S16" i="6" s="1"/>
  <c r="AF390" i="23"/>
  <c r="AK389" i="23"/>
  <c r="L137" i="23"/>
  <c r="I16" i="6" s="1"/>
  <c r="C138" i="19"/>
  <c r="E138" i="19" s="1"/>
  <c r="D138" i="19" s="1"/>
  <c r="C26" i="6"/>
  <c r="X137" i="23"/>
  <c r="U16" i="6" s="1"/>
  <c r="AB137" i="23"/>
  <c r="Y16" i="6" s="1"/>
  <c r="C23" i="5"/>
  <c r="F69" i="23"/>
  <c r="AK69" i="23" s="1"/>
  <c r="C65" i="5"/>
  <c r="F447" i="23"/>
  <c r="AK447" i="23" s="1"/>
  <c r="C45" i="5"/>
  <c r="F215" i="23"/>
  <c r="AK215" i="23" s="1"/>
  <c r="C46" i="5"/>
  <c r="F229" i="23"/>
  <c r="AK229" i="23" s="1"/>
  <c r="C21" i="5"/>
  <c r="F58" i="23"/>
  <c r="AK58" i="23" s="1"/>
  <c r="F367" i="23"/>
  <c r="F271" i="23"/>
  <c r="AK271" i="23" s="1"/>
  <c r="C68" i="5"/>
  <c r="F489" i="23"/>
  <c r="C63" i="5"/>
  <c r="F429" i="23"/>
  <c r="AK429" i="23" s="1"/>
  <c r="C54" i="5"/>
  <c r="C20" i="6" s="1"/>
  <c r="F390" i="23"/>
  <c r="C35" i="5"/>
  <c r="C17" i="6" s="1"/>
  <c r="F174" i="23"/>
  <c r="C74" i="5"/>
  <c r="C44" i="5"/>
  <c r="F198" i="23"/>
  <c r="AK198" i="23" s="1"/>
  <c r="C82" i="5"/>
  <c r="F593" i="23"/>
  <c r="C64" i="5"/>
  <c r="F441" i="23"/>
  <c r="AK441" i="23" s="1"/>
  <c r="C28" i="5"/>
  <c r="F137" i="23"/>
  <c r="AF576" i="23"/>
  <c r="AG574" i="23"/>
  <c r="AH574" i="23" s="1"/>
  <c r="AH576" i="23" s="1"/>
  <c r="AF624" i="23"/>
  <c r="E54" i="5"/>
  <c r="R20" i="6" s="1"/>
  <c r="E82" i="5"/>
  <c r="E74" i="5"/>
  <c r="E49" i="5"/>
  <c r="E28" i="5"/>
  <c r="E68" i="5"/>
  <c r="E62" i="5"/>
  <c r="E35" i="5"/>
  <c r="E17" i="5"/>
  <c r="E42" i="5"/>
  <c r="N26" i="6"/>
  <c r="AH624" i="23"/>
  <c r="N337" i="23"/>
  <c r="N367" i="23" s="1"/>
  <c r="K19" i="6" s="1"/>
  <c r="AG280" i="23"/>
  <c r="AH280" i="23" s="1"/>
  <c r="AC22" i="6"/>
  <c r="AC21" i="6"/>
  <c r="AD21" i="6" s="1"/>
  <c r="AC20" i="6"/>
  <c r="AG278" i="23"/>
  <c r="AH278" i="23" s="1"/>
  <c r="AC26" i="6"/>
  <c r="AH184" i="23"/>
  <c r="AF184" i="23"/>
  <c r="AG332" i="23"/>
  <c r="AH332" i="23" s="1"/>
  <c r="AG556" i="23"/>
  <c r="AH556" i="23" s="1"/>
  <c r="AH155" i="23"/>
  <c r="V95" i="23"/>
  <c r="S15" i="6" s="1"/>
  <c r="AH120" i="23"/>
  <c r="AH447" i="23"/>
  <c r="AH198" i="23"/>
  <c r="V453" i="23"/>
  <c r="S23" i="6" s="1"/>
  <c r="AH35" i="23"/>
  <c r="P137" i="23"/>
  <c r="M16" i="6" s="1"/>
  <c r="AH135" i="23"/>
  <c r="AF135" i="23"/>
  <c r="Z559" i="23"/>
  <c r="W25" i="6" s="1"/>
  <c r="AH429" i="23"/>
  <c r="AH42" i="23"/>
  <c r="AH62" i="23"/>
  <c r="AH58" i="23"/>
  <c r="AH215" i="23"/>
  <c r="AH421" i="23"/>
  <c r="AH602" i="23"/>
  <c r="AH103" i="23"/>
  <c r="AH271" i="23"/>
  <c r="V255" i="23"/>
  <c r="S18" i="6" s="1"/>
  <c r="AH248" i="23"/>
  <c r="AH401" i="23"/>
  <c r="AH144" i="23"/>
  <c r="H631" i="23"/>
  <c r="E28" i="6" s="1"/>
  <c r="T522" i="23"/>
  <c r="AH441" i="23"/>
  <c r="AF174" i="23"/>
  <c r="AH389" i="23"/>
  <c r="AH390" i="23" s="1"/>
  <c r="AH237" i="23"/>
  <c r="AH51" i="23"/>
  <c r="R174" i="23"/>
  <c r="O17" i="6" s="1"/>
  <c r="AH69" i="23"/>
  <c r="AF453" i="23"/>
  <c r="T453" i="23"/>
  <c r="Q23" i="6" s="1"/>
  <c r="J255" i="23"/>
  <c r="G18" i="6" s="1"/>
  <c r="AG554" i="23"/>
  <c r="AH554" i="23" s="1"/>
  <c r="AG553" i="23"/>
  <c r="AH553" i="23" s="1"/>
  <c r="AF557" i="23"/>
  <c r="AK557" i="23" s="1"/>
  <c r="AE532" i="23"/>
  <c r="H559" i="23"/>
  <c r="E25" i="6" s="1"/>
  <c r="T95" i="23"/>
  <c r="X559" i="23"/>
  <c r="U25" i="6" s="1"/>
  <c r="AF95" i="23"/>
  <c r="AC27" i="6"/>
  <c r="AG512" i="23"/>
  <c r="AH512" i="23" s="1"/>
  <c r="AG515" i="23"/>
  <c r="AH515" i="23" s="1"/>
  <c r="AE534" i="23"/>
  <c r="AG514" i="23"/>
  <c r="AH514" i="23" s="1"/>
  <c r="AE533" i="23"/>
  <c r="AG513" i="23"/>
  <c r="AH513" i="23" s="1"/>
  <c r="I28" i="6"/>
  <c r="AH460" i="23"/>
  <c r="AH630" i="23"/>
  <c r="AH588" i="23"/>
  <c r="AH612" i="23"/>
  <c r="E87" i="5"/>
  <c r="C87" i="5"/>
  <c r="E47" i="5"/>
  <c r="T496" i="23"/>
  <c r="X21" i="6"/>
  <c r="T21" i="6"/>
  <c r="P21" i="6"/>
  <c r="R21" i="6"/>
  <c r="Z21" i="6"/>
  <c r="L21" i="6"/>
  <c r="N21" i="6"/>
  <c r="AB21" i="6"/>
  <c r="F21" i="6"/>
  <c r="V21" i="6"/>
  <c r="H21" i="6"/>
  <c r="C49" i="5"/>
  <c r="C19" i="6" s="1"/>
  <c r="C50" i="5"/>
  <c r="I253" i="2"/>
  <c r="E15" i="5"/>
  <c r="T488" i="23"/>
  <c r="H489" i="23"/>
  <c r="E24" i="6" s="1"/>
  <c r="AG480" i="23"/>
  <c r="AH480" i="23" s="1"/>
  <c r="AG494" i="23"/>
  <c r="AH494" i="23" s="1"/>
  <c r="AG510" i="23"/>
  <c r="AH510" i="23" s="1"/>
  <c r="AG511" i="23"/>
  <c r="AH511" i="23" s="1"/>
  <c r="T482" i="23"/>
  <c r="AG504" i="23"/>
  <c r="AH504" i="23" s="1"/>
  <c r="AG479" i="23"/>
  <c r="AH479" i="23" s="1"/>
  <c r="AG499" i="23"/>
  <c r="AH499" i="23" s="1"/>
  <c r="AG486" i="23"/>
  <c r="AH486" i="23" s="1"/>
  <c r="AG477" i="23"/>
  <c r="AH477" i="23" s="1"/>
  <c r="AG487" i="23"/>
  <c r="AH487" i="23" s="1"/>
  <c r="AG481" i="23"/>
  <c r="AH481" i="23" s="1"/>
  <c r="AG503" i="23"/>
  <c r="AH503" i="23" s="1"/>
  <c r="AG485" i="23"/>
  <c r="AH485" i="23" s="1"/>
  <c r="AG478" i="23"/>
  <c r="AH478" i="23" s="1"/>
  <c r="AG505" i="23"/>
  <c r="AH505" i="23" s="1"/>
  <c r="AG500" i="23"/>
  <c r="AH500" i="23" s="1"/>
  <c r="G24" i="2"/>
  <c r="H24" i="2" s="1"/>
  <c r="AG495" i="23"/>
  <c r="AH495" i="23" s="1"/>
  <c r="AG506" i="23"/>
  <c r="AH506" i="23" s="1"/>
  <c r="AG501" i="23"/>
  <c r="AH501" i="23" s="1"/>
  <c r="AG502" i="23"/>
  <c r="AH502" i="23" s="1"/>
  <c r="T507" i="23"/>
  <c r="I94" i="2"/>
  <c r="I419" i="2"/>
  <c r="I450" i="2"/>
  <c r="C109" i="19"/>
  <c r="E109" i="19" s="1"/>
  <c r="D109" i="19" s="1"/>
  <c r="G109" i="19" s="1"/>
  <c r="H109" i="19" s="1"/>
  <c r="C24" i="19"/>
  <c r="C107" i="19"/>
  <c r="K14" i="2"/>
  <c r="AK390" i="23" l="1"/>
  <c r="AK174" i="23"/>
  <c r="AF631" i="23"/>
  <c r="AK631" i="23" s="1"/>
  <c r="AK624" i="23"/>
  <c r="AF593" i="23"/>
  <c r="AK593" i="23" s="1"/>
  <c r="AK576" i="23"/>
  <c r="AF255" i="23"/>
  <c r="AK184" i="23"/>
  <c r="AF137" i="23"/>
  <c r="AK137" i="23" s="1"/>
  <c r="AK135" i="23"/>
  <c r="C28" i="6"/>
  <c r="V17" i="6"/>
  <c r="C25" i="19"/>
  <c r="E25" i="19" s="1"/>
  <c r="D25" i="19" s="1"/>
  <c r="G25" i="19" s="1"/>
  <c r="H25" i="19" s="1"/>
  <c r="C16" i="6"/>
  <c r="L16" i="6" s="1"/>
  <c r="C139" i="19"/>
  <c r="E139" i="19" s="1"/>
  <c r="D139" i="19" s="1"/>
  <c r="C27" i="6"/>
  <c r="X27" i="6" s="1"/>
  <c r="V28" i="6"/>
  <c r="C133" i="19"/>
  <c r="E133" i="19" s="1"/>
  <c r="D133" i="19" s="1"/>
  <c r="G133" i="19" s="1"/>
  <c r="H133" i="19" s="1"/>
  <c r="C25" i="6"/>
  <c r="J25" i="6" s="1"/>
  <c r="C131" i="19"/>
  <c r="E131" i="19" s="1"/>
  <c r="D131" i="19" s="1"/>
  <c r="G131" i="19" s="1"/>
  <c r="H131" i="19" s="1"/>
  <c r="C24" i="6"/>
  <c r="AB24" i="6" s="1"/>
  <c r="C62" i="5"/>
  <c r="C23" i="6" s="1"/>
  <c r="P23" i="6" s="1"/>
  <c r="F453" i="23"/>
  <c r="AK453" i="23" s="1"/>
  <c r="C60" i="5"/>
  <c r="F421" i="23"/>
  <c r="AK421" i="23" s="1"/>
  <c r="C42" i="5"/>
  <c r="C18" i="6" s="1"/>
  <c r="J18" i="6" s="1"/>
  <c r="F255" i="23"/>
  <c r="C17" i="5"/>
  <c r="C15" i="6" s="1"/>
  <c r="F95" i="23"/>
  <c r="AK95" i="23" s="1"/>
  <c r="I24" i="2"/>
  <c r="E23" i="23"/>
  <c r="AF23" i="23" s="1"/>
  <c r="V24" i="6"/>
  <c r="J24" i="6"/>
  <c r="F24" i="6"/>
  <c r="X16" i="6"/>
  <c r="H26" i="6"/>
  <c r="P26" i="6"/>
  <c r="V26" i="6"/>
  <c r="F26" i="6"/>
  <c r="P16" i="6"/>
  <c r="T26" i="6"/>
  <c r="T24" i="6"/>
  <c r="Z26" i="6"/>
  <c r="R26" i="6"/>
  <c r="L26" i="6"/>
  <c r="X26" i="6"/>
  <c r="R16" i="6"/>
  <c r="AB16" i="6"/>
  <c r="V16" i="6"/>
  <c r="F16" i="6"/>
  <c r="H16" i="6"/>
  <c r="T16" i="6"/>
  <c r="Z16" i="6"/>
  <c r="J16" i="6"/>
  <c r="J26" i="6"/>
  <c r="J17" i="6"/>
  <c r="N17" i="6"/>
  <c r="Z17" i="6"/>
  <c r="AB17" i="6"/>
  <c r="T17" i="6"/>
  <c r="L17" i="6"/>
  <c r="X17" i="6"/>
  <c r="F17" i="6"/>
  <c r="H17" i="6"/>
  <c r="R17" i="6"/>
  <c r="AD26" i="6"/>
  <c r="J21" i="6"/>
  <c r="AH337" i="23"/>
  <c r="AH367" i="23" s="1"/>
  <c r="AB26" i="6"/>
  <c r="AF337" i="23"/>
  <c r="AC17" i="6"/>
  <c r="AD17" i="6" s="1"/>
  <c r="N16" i="6"/>
  <c r="AC18" i="6"/>
  <c r="AC19" i="6"/>
  <c r="AH593" i="23"/>
  <c r="AH174" i="23"/>
  <c r="AH453" i="23"/>
  <c r="AH557" i="23"/>
  <c r="AH137" i="23"/>
  <c r="AH255" i="23"/>
  <c r="T559" i="23"/>
  <c r="Q25" i="6" s="1"/>
  <c r="AG532" i="23"/>
  <c r="AH532" i="23" s="1"/>
  <c r="T27" i="6"/>
  <c r="AG534" i="23"/>
  <c r="AH534" i="23" s="1"/>
  <c r="AB535" i="23"/>
  <c r="AB559" i="23" s="1"/>
  <c r="AC28" i="6"/>
  <c r="AG533" i="23"/>
  <c r="AH533" i="23" s="1"/>
  <c r="AH522" i="23"/>
  <c r="AF522" i="23"/>
  <c r="AK522" i="23" s="1"/>
  <c r="AD27" i="6"/>
  <c r="L27" i="6"/>
  <c r="Z27" i="6"/>
  <c r="H27" i="6"/>
  <c r="R27" i="6"/>
  <c r="N27" i="6"/>
  <c r="J27" i="6"/>
  <c r="P27" i="6"/>
  <c r="V27" i="6"/>
  <c r="AB27" i="6"/>
  <c r="T20" i="6"/>
  <c r="AB19" i="6"/>
  <c r="AH631" i="23"/>
  <c r="Z20" i="6"/>
  <c r="AD20" i="6"/>
  <c r="L20" i="6"/>
  <c r="N20" i="6"/>
  <c r="P20" i="6"/>
  <c r="F20" i="6"/>
  <c r="J20" i="6"/>
  <c r="X20" i="6"/>
  <c r="H20" i="6"/>
  <c r="N19" i="6"/>
  <c r="R19" i="6"/>
  <c r="X19" i="6"/>
  <c r="V19" i="6"/>
  <c r="F19" i="6"/>
  <c r="T19" i="6"/>
  <c r="P19" i="6"/>
  <c r="H19" i="6"/>
  <c r="J19" i="6"/>
  <c r="Z19" i="6"/>
  <c r="V20" i="6"/>
  <c r="AB20" i="6"/>
  <c r="L28" i="6"/>
  <c r="P28" i="6"/>
  <c r="X28" i="6"/>
  <c r="Z28" i="6"/>
  <c r="T28" i="6"/>
  <c r="R28" i="6"/>
  <c r="AB28" i="6"/>
  <c r="N28" i="6"/>
  <c r="J28" i="6"/>
  <c r="H28" i="6"/>
  <c r="F28" i="6"/>
  <c r="T489" i="23"/>
  <c r="Q24" i="6" s="1"/>
  <c r="AH507" i="23"/>
  <c r="AF507" i="23"/>
  <c r="AK507" i="23" s="1"/>
  <c r="AF488" i="23"/>
  <c r="AK488" i="23" s="1"/>
  <c r="AH488" i="23"/>
  <c r="AH496" i="23"/>
  <c r="AF482" i="23"/>
  <c r="AK482" i="23" s="1"/>
  <c r="AF496" i="23"/>
  <c r="AK496" i="23" s="1"/>
  <c r="AH482" i="23"/>
  <c r="C100" i="19"/>
  <c r="L14" i="2"/>
  <c r="L21" i="2" s="1"/>
  <c r="C40" i="19"/>
  <c r="C118" i="19"/>
  <c r="E118" i="19" s="1"/>
  <c r="D118" i="19" s="1"/>
  <c r="G118" i="19" s="1"/>
  <c r="H118" i="19" s="1"/>
  <c r="C120" i="19"/>
  <c r="E120" i="19" s="1"/>
  <c r="D120" i="19" s="1"/>
  <c r="G120" i="19" s="1"/>
  <c r="H120" i="19" s="1"/>
  <c r="C22" i="19"/>
  <c r="E22" i="19" s="1"/>
  <c r="D22" i="19" s="1"/>
  <c r="G22" i="19" s="1"/>
  <c r="H22" i="19" s="1"/>
  <c r="C122" i="19"/>
  <c r="E122" i="19" s="1"/>
  <c r="D122" i="19" s="1"/>
  <c r="G122" i="19" s="1"/>
  <c r="H122" i="19" s="1"/>
  <c r="C57" i="19"/>
  <c r="E57" i="19" s="1"/>
  <c r="D57" i="19" s="1"/>
  <c r="G57" i="19" s="1"/>
  <c r="H57" i="19" s="1"/>
  <c r="C119" i="19"/>
  <c r="E119" i="19" s="1"/>
  <c r="D119" i="19" s="1"/>
  <c r="G119" i="19" s="1"/>
  <c r="H119" i="19" s="1"/>
  <c r="C71" i="19"/>
  <c r="E71" i="19" s="1"/>
  <c r="D71" i="19" s="1"/>
  <c r="G71" i="19" s="1"/>
  <c r="H71" i="19" s="1"/>
  <c r="C64" i="19"/>
  <c r="E64" i="19" s="1"/>
  <c r="D64" i="19" s="1"/>
  <c r="G64" i="19" s="1"/>
  <c r="H64" i="19" s="1"/>
  <c r="C85" i="19"/>
  <c r="E85" i="19" s="1"/>
  <c r="D85" i="19" s="1"/>
  <c r="G85" i="19" s="1"/>
  <c r="H85" i="19" s="1"/>
  <c r="C19" i="19"/>
  <c r="E19" i="19" s="1"/>
  <c r="D19" i="19" s="1"/>
  <c r="G19" i="19" s="1"/>
  <c r="H19" i="19" s="1"/>
  <c r="C18" i="19"/>
  <c r="E18" i="19" s="1"/>
  <c r="D18" i="19" s="1"/>
  <c r="G18" i="19" s="1"/>
  <c r="H18" i="19" s="1"/>
  <c r="C92" i="19"/>
  <c r="E92" i="19" s="1"/>
  <c r="D92" i="19" s="1"/>
  <c r="G92" i="19" s="1"/>
  <c r="H92" i="19" s="1"/>
  <c r="C78" i="19"/>
  <c r="E78" i="19" s="1"/>
  <c r="D78" i="19" s="1"/>
  <c r="G78" i="19" s="1"/>
  <c r="H78" i="19" s="1"/>
  <c r="C124" i="19"/>
  <c r="E124" i="19" s="1"/>
  <c r="D124" i="19" s="1"/>
  <c r="G124" i="19" s="1"/>
  <c r="H124" i="19" s="1"/>
  <c r="C121" i="19"/>
  <c r="E121" i="19" s="1"/>
  <c r="D121" i="19" s="1"/>
  <c r="G121" i="19" s="1"/>
  <c r="H121" i="19" s="1"/>
  <c r="C96" i="19"/>
  <c r="E96" i="19" s="1"/>
  <c r="D96" i="19" s="1"/>
  <c r="G96" i="19" s="1"/>
  <c r="H96" i="19" s="1"/>
  <c r="C98" i="19"/>
  <c r="E98" i="19" s="1"/>
  <c r="D98" i="19" s="1"/>
  <c r="G98" i="19" s="1"/>
  <c r="H98" i="19" s="1"/>
  <c r="C97" i="19"/>
  <c r="E97" i="19" s="1"/>
  <c r="D97" i="19" s="1"/>
  <c r="G97" i="19" s="1"/>
  <c r="H97" i="19" s="1"/>
  <c r="C108" i="19"/>
  <c r="E108" i="19" s="1"/>
  <c r="D108" i="19" s="1"/>
  <c r="G108" i="19" s="1"/>
  <c r="H108" i="19" s="1"/>
  <c r="C95" i="19"/>
  <c r="E95" i="19" s="1"/>
  <c r="D95" i="19" s="1"/>
  <c r="G95" i="19" s="1"/>
  <c r="H95" i="19" s="1"/>
  <c r="C20" i="19"/>
  <c r="E20" i="19" s="1"/>
  <c r="D20" i="19" s="1"/>
  <c r="G20" i="19" s="1"/>
  <c r="H20" i="19" s="1"/>
  <c r="C23" i="19"/>
  <c r="E23" i="19" s="1"/>
  <c r="D23" i="19" s="1"/>
  <c r="G23" i="19" s="1"/>
  <c r="H23" i="19" s="1"/>
  <c r="C62" i="19"/>
  <c r="E62" i="19" s="1"/>
  <c r="D62" i="19" s="1"/>
  <c r="G62" i="19" s="1"/>
  <c r="H62" i="19" s="1"/>
  <c r="C91" i="19"/>
  <c r="E91" i="19" s="1"/>
  <c r="D91" i="19" s="1"/>
  <c r="G91" i="19" s="1"/>
  <c r="H91" i="19" s="1"/>
  <c r="C68" i="19"/>
  <c r="E68" i="19" s="1"/>
  <c r="D68" i="19" s="1"/>
  <c r="G68" i="19" s="1"/>
  <c r="H68" i="19" s="1"/>
  <c r="C79" i="19"/>
  <c r="E79" i="19" s="1"/>
  <c r="D79" i="19" s="1"/>
  <c r="G79" i="19" s="1"/>
  <c r="H79" i="19" s="1"/>
  <c r="C74" i="19"/>
  <c r="E74" i="19" s="1"/>
  <c r="D74" i="19" s="1"/>
  <c r="G74" i="19" s="1"/>
  <c r="H74" i="19" s="1"/>
  <c r="C84" i="19"/>
  <c r="E84" i="19" s="1"/>
  <c r="D84" i="19" s="1"/>
  <c r="G84" i="19" s="1"/>
  <c r="H84" i="19" s="1"/>
  <c r="C65" i="19"/>
  <c r="E65" i="19" s="1"/>
  <c r="D65" i="19" s="1"/>
  <c r="G65" i="19" s="1"/>
  <c r="H65" i="19" s="1"/>
  <c r="C76" i="19"/>
  <c r="E76" i="19" s="1"/>
  <c r="D76" i="19" s="1"/>
  <c r="G76" i="19" s="1"/>
  <c r="H76" i="19" s="1"/>
  <c r="C83" i="19"/>
  <c r="E83" i="19" s="1"/>
  <c r="D83" i="19" s="1"/>
  <c r="G83" i="19" s="1"/>
  <c r="H83" i="19" s="1"/>
  <c r="C58" i="19"/>
  <c r="E58" i="19" s="1"/>
  <c r="D58" i="19" s="1"/>
  <c r="G58" i="19" s="1"/>
  <c r="H58" i="19" s="1"/>
  <c r="C82" i="19"/>
  <c r="E82" i="19" s="1"/>
  <c r="D82" i="19" s="1"/>
  <c r="G82" i="19" s="1"/>
  <c r="H82" i="19" s="1"/>
  <c r="C54" i="19"/>
  <c r="E54" i="19" s="1"/>
  <c r="D54" i="19" s="1"/>
  <c r="G54" i="19" s="1"/>
  <c r="H54" i="19" s="1"/>
  <c r="C123" i="19"/>
  <c r="E123" i="19" s="1"/>
  <c r="D123" i="19" s="1"/>
  <c r="G123" i="19" s="1"/>
  <c r="H123" i="19" s="1"/>
  <c r="C69" i="19"/>
  <c r="E69" i="19" s="1"/>
  <c r="D69" i="19" s="1"/>
  <c r="G69" i="19" s="1"/>
  <c r="H69" i="19" s="1"/>
  <c r="C67" i="19"/>
  <c r="E67" i="19" s="1"/>
  <c r="D67" i="19" s="1"/>
  <c r="G67" i="19" s="1"/>
  <c r="H67" i="19" s="1"/>
  <c r="C63" i="19"/>
  <c r="E63" i="19" s="1"/>
  <c r="D63" i="19" s="1"/>
  <c r="G63" i="19" s="1"/>
  <c r="H63" i="19" s="1"/>
  <c r="C53" i="19"/>
  <c r="E53" i="19" s="1"/>
  <c r="D53" i="19" s="1"/>
  <c r="G53" i="19" s="1"/>
  <c r="H53" i="19" s="1"/>
  <c r="C61" i="19"/>
  <c r="E61" i="19" s="1"/>
  <c r="D61" i="19" s="1"/>
  <c r="G61" i="19" s="1"/>
  <c r="H61" i="19" s="1"/>
  <c r="C89" i="19"/>
  <c r="E89" i="19" s="1"/>
  <c r="D89" i="19" s="1"/>
  <c r="G89" i="19" s="1"/>
  <c r="H89" i="19" s="1"/>
  <c r="C77" i="19"/>
  <c r="E77" i="19" s="1"/>
  <c r="D77" i="19" s="1"/>
  <c r="G77" i="19" s="1"/>
  <c r="H77" i="19" s="1"/>
  <c r="C70" i="19"/>
  <c r="E70" i="19" s="1"/>
  <c r="D70" i="19" s="1"/>
  <c r="G70" i="19" s="1"/>
  <c r="H70" i="19" s="1"/>
  <c r="C81" i="19"/>
  <c r="E81" i="19" s="1"/>
  <c r="D81" i="19" s="1"/>
  <c r="G81" i="19" s="1"/>
  <c r="H81" i="19" s="1"/>
  <c r="C88" i="19"/>
  <c r="E88" i="19" s="1"/>
  <c r="D88" i="19" s="1"/>
  <c r="G88" i="19" s="1"/>
  <c r="H88" i="19" s="1"/>
  <c r="C86" i="19"/>
  <c r="E86" i="19" s="1"/>
  <c r="D86" i="19" s="1"/>
  <c r="G86" i="19" s="1"/>
  <c r="H86" i="19" s="1"/>
  <c r="C90" i="19"/>
  <c r="E90" i="19" s="1"/>
  <c r="D90" i="19" s="1"/>
  <c r="G90" i="19" s="1"/>
  <c r="H90" i="19" s="1"/>
  <c r="C72" i="19"/>
  <c r="E72" i="19" s="1"/>
  <c r="D72" i="19" s="1"/>
  <c r="G72" i="19" s="1"/>
  <c r="H72" i="19" s="1"/>
  <c r="C55" i="19"/>
  <c r="E55" i="19" s="1"/>
  <c r="D55" i="19" s="1"/>
  <c r="G55" i="19" s="1"/>
  <c r="H55" i="19" s="1"/>
  <c r="C93" i="19"/>
  <c r="E93" i="19" s="1"/>
  <c r="D93" i="19" s="1"/>
  <c r="G93" i="19" s="1"/>
  <c r="H93" i="19" s="1"/>
  <c r="C56" i="19"/>
  <c r="E56" i="19" s="1"/>
  <c r="D56" i="19" s="1"/>
  <c r="G56" i="19" s="1"/>
  <c r="H56" i="19" s="1"/>
  <c r="C60" i="19"/>
  <c r="E60" i="19" s="1"/>
  <c r="D60" i="19" s="1"/>
  <c r="G60" i="19" s="1"/>
  <c r="H60" i="19" s="1"/>
  <c r="C21" i="19"/>
  <c r="E21" i="19" s="1"/>
  <c r="D21" i="19" s="1"/>
  <c r="G21" i="19" s="1"/>
  <c r="H21" i="19" s="1"/>
  <c r="C75" i="19"/>
  <c r="E75" i="19" s="1"/>
  <c r="D75" i="19" s="1"/>
  <c r="G75" i="19" s="1"/>
  <c r="H75" i="19" s="1"/>
  <c r="C106" i="19"/>
  <c r="E24" i="19"/>
  <c r="D24" i="19" s="1"/>
  <c r="G24" i="19" s="1"/>
  <c r="H24" i="19" s="1"/>
  <c r="E107" i="19"/>
  <c r="D107" i="19" s="1"/>
  <c r="G107" i="19" s="1"/>
  <c r="H107" i="19" s="1"/>
  <c r="H20" i="3"/>
  <c r="G14" i="2" s="1"/>
  <c r="AK255" i="23" l="1"/>
  <c r="AF367" i="23"/>
  <c r="AK367" i="23" s="1"/>
  <c r="AK337" i="23"/>
  <c r="L25" i="6"/>
  <c r="AB18" i="6"/>
  <c r="N24" i="6"/>
  <c r="Z24" i="6"/>
  <c r="F25" i="6"/>
  <c r="H25" i="6"/>
  <c r="F18" i="6"/>
  <c r="L24" i="6"/>
  <c r="P24" i="6"/>
  <c r="T25" i="6"/>
  <c r="H18" i="6"/>
  <c r="N18" i="6"/>
  <c r="X18" i="6"/>
  <c r="AB25" i="6"/>
  <c r="V25" i="6"/>
  <c r="N25" i="6"/>
  <c r="P18" i="6"/>
  <c r="V23" i="6"/>
  <c r="L23" i="6"/>
  <c r="Z23" i="6"/>
  <c r="J23" i="6"/>
  <c r="T23" i="6"/>
  <c r="R23" i="6"/>
  <c r="X23" i="6"/>
  <c r="AB23" i="6"/>
  <c r="Z18" i="6"/>
  <c r="F23" i="6"/>
  <c r="F27" i="6"/>
  <c r="L18" i="6"/>
  <c r="V18" i="6"/>
  <c r="R18" i="6"/>
  <c r="N23" i="6"/>
  <c r="H24" i="6"/>
  <c r="P25" i="6"/>
  <c r="X25" i="6"/>
  <c r="H23" i="6"/>
  <c r="C116" i="19"/>
  <c r="E116" i="19" s="1"/>
  <c r="C22" i="6"/>
  <c r="X24" i="6"/>
  <c r="C94" i="19"/>
  <c r="E94" i="19" s="1"/>
  <c r="D94" i="19" s="1"/>
  <c r="G94" i="19" s="1"/>
  <c r="H94" i="19" s="1"/>
  <c r="J23" i="23"/>
  <c r="J24" i="23" s="1"/>
  <c r="G14" i="6" s="1"/>
  <c r="T23" i="23"/>
  <c r="T24" i="23" s="1"/>
  <c r="Q14" i="6" s="1"/>
  <c r="Z23" i="23"/>
  <c r="Z24" i="23" s="1"/>
  <c r="W14" i="6" s="1"/>
  <c r="AD23" i="23"/>
  <c r="AD24" i="23" s="1"/>
  <c r="AA14" i="6" s="1"/>
  <c r="X23" i="23"/>
  <c r="X24" i="23" s="1"/>
  <c r="U14" i="6" s="1"/>
  <c r="AF24" i="23"/>
  <c r="N23" i="23"/>
  <c r="N24" i="23" s="1"/>
  <c r="K14" i="6" s="1"/>
  <c r="P23" i="23"/>
  <c r="P24" i="23" s="1"/>
  <c r="M14" i="6" s="1"/>
  <c r="H23" i="23"/>
  <c r="H24" i="23" s="1"/>
  <c r="E14" i="6" s="1"/>
  <c r="AH23" i="23"/>
  <c r="AH24" i="23" s="1"/>
  <c r="AB23" i="23"/>
  <c r="AB24" i="23" s="1"/>
  <c r="Y14" i="6" s="1"/>
  <c r="R23" i="23"/>
  <c r="R24" i="23" s="1"/>
  <c r="O14" i="6" s="1"/>
  <c r="V23" i="23"/>
  <c r="V24" i="23" s="1"/>
  <c r="S14" i="6" s="1"/>
  <c r="L23" i="23"/>
  <c r="L24" i="23" s="1"/>
  <c r="I14" i="6" s="1"/>
  <c r="I25" i="2"/>
  <c r="F23" i="23"/>
  <c r="AK23" i="23" s="1"/>
  <c r="L630" i="2"/>
  <c r="P17" i="6"/>
  <c r="L19" i="6"/>
  <c r="AC23" i="6"/>
  <c r="T18" i="6"/>
  <c r="AC16" i="6"/>
  <c r="AD16" i="6" s="1"/>
  <c r="AD28" i="6"/>
  <c r="AH535" i="23"/>
  <c r="AH559" i="23" s="1"/>
  <c r="AF535" i="23"/>
  <c r="Z25" i="6"/>
  <c r="AC25" i="6"/>
  <c r="R24" i="6"/>
  <c r="AC24" i="6"/>
  <c r="R25" i="6"/>
  <c r="E13" i="5"/>
  <c r="C16" i="19"/>
  <c r="E16" i="19" s="1"/>
  <c r="D16" i="19" s="1"/>
  <c r="G16" i="19" s="1"/>
  <c r="H16" i="19" s="1"/>
  <c r="E100" i="19"/>
  <c r="D100" i="19" s="1"/>
  <c r="C99" i="19"/>
  <c r="E99" i="19" s="1"/>
  <c r="D99" i="19" s="1"/>
  <c r="G99" i="19" s="1"/>
  <c r="H99" i="19" s="1"/>
  <c r="AH95" i="23"/>
  <c r="C66" i="19"/>
  <c r="E66" i="19" s="1"/>
  <c r="D66" i="19" s="1"/>
  <c r="G66" i="19" s="1"/>
  <c r="H66" i="19" s="1"/>
  <c r="C87" i="19"/>
  <c r="E87" i="19" s="1"/>
  <c r="D87" i="19" s="1"/>
  <c r="G87" i="19" s="1"/>
  <c r="H87" i="19" s="1"/>
  <c r="C52" i="19"/>
  <c r="E52" i="19" s="1"/>
  <c r="D52" i="19" s="1"/>
  <c r="G52" i="19" s="1"/>
  <c r="H52" i="19" s="1"/>
  <c r="C59" i="19"/>
  <c r="E59" i="19" s="1"/>
  <c r="D59" i="19" s="1"/>
  <c r="G59" i="19" s="1"/>
  <c r="H59" i="19" s="1"/>
  <c r="C73" i="19"/>
  <c r="E73" i="19" s="1"/>
  <c r="D73" i="19" s="1"/>
  <c r="G73" i="19" s="1"/>
  <c r="H73" i="19" s="1"/>
  <c r="C80" i="19"/>
  <c r="E80" i="19" s="1"/>
  <c r="D80" i="19" s="1"/>
  <c r="G80" i="19" s="1"/>
  <c r="H80" i="19" s="1"/>
  <c r="C117" i="19"/>
  <c r="E117" i="19" s="1"/>
  <c r="D117" i="19" s="1"/>
  <c r="G117" i="19" s="1"/>
  <c r="H117" i="19" s="1"/>
  <c r="E40" i="19"/>
  <c r="D40" i="19" s="1"/>
  <c r="G40" i="19" s="1"/>
  <c r="H40" i="19" s="1"/>
  <c r="E106" i="19"/>
  <c r="C15" i="19"/>
  <c r="E15" i="19" s="1"/>
  <c r="D15" i="19" s="1"/>
  <c r="G15" i="19" s="1"/>
  <c r="H15" i="19" s="1"/>
  <c r="H14" i="2"/>
  <c r="AF559" i="23" l="1"/>
  <c r="AK559" i="23" s="1"/>
  <c r="AK535" i="23"/>
  <c r="P22" i="6"/>
  <c r="N22" i="6"/>
  <c r="J22" i="6"/>
  <c r="X22" i="6"/>
  <c r="L22" i="6"/>
  <c r="T22" i="6"/>
  <c r="R22" i="6"/>
  <c r="V22" i="6"/>
  <c r="F22" i="6"/>
  <c r="AB22" i="6"/>
  <c r="H22" i="6"/>
  <c r="Z22" i="6"/>
  <c r="D116" i="19"/>
  <c r="G116" i="19" s="1"/>
  <c r="H116" i="19" s="1"/>
  <c r="AC14" i="6"/>
  <c r="F24" i="23"/>
  <c r="AK24" i="23" s="1"/>
  <c r="C15" i="5"/>
  <c r="I14" i="2"/>
  <c r="E13" i="23"/>
  <c r="E94" i="5"/>
  <c r="AD25" i="6"/>
  <c r="AD19" i="6"/>
  <c r="C39" i="19"/>
  <c r="E39" i="19" s="1"/>
  <c r="D39" i="19" s="1"/>
  <c r="G39" i="19" s="1"/>
  <c r="H39" i="19" s="1"/>
  <c r="C31" i="19"/>
  <c r="E31" i="19" s="1"/>
  <c r="D31" i="19" s="1"/>
  <c r="G31" i="19" s="1"/>
  <c r="H31" i="19" s="1"/>
  <c r="C30" i="19"/>
  <c r="D106" i="19"/>
  <c r="G106" i="19" s="1"/>
  <c r="H106" i="19" s="1"/>
  <c r="H13" i="23" l="1"/>
  <c r="AF13" i="23"/>
  <c r="AF20" i="23" s="1"/>
  <c r="C14" i="19"/>
  <c r="E14" i="19" s="1"/>
  <c r="D14" i="19" s="1"/>
  <c r="G14" i="19" s="1"/>
  <c r="H14" i="19" s="1"/>
  <c r="C14" i="6"/>
  <c r="H20" i="23"/>
  <c r="E13" i="6" s="1"/>
  <c r="P13" i="23"/>
  <c r="P20" i="23" s="1"/>
  <c r="M13" i="6" s="1"/>
  <c r="X13" i="23"/>
  <c r="X20" i="23" s="1"/>
  <c r="U13" i="6" s="1"/>
  <c r="AD13" i="23"/>
  <c r="AD20" i="23" s="1"/>
  <c r="AA13" i="6" s="1"/>
  <c r="Z13" i="23"/>
  <c r="Z20" i="23" s="1"/>
  <c r="W13" i="6" s="1"/>
  <c r="L13" i="23"/>
  <c r="L20" i="23" s="1"/>
  <c r="I13" i="6" s="1"/>
  <c r="AH13" i="23"/>
  <c r="AH20" i="23" s="1"/>
  <c r="J13" i="23"/>
  <c r="J20" i="23" s="1"/>
  <c r="G13" i="6" s="1"/>
  <c r="T13" i="23"/>
  <c r="T20" i="23" s="1"/>
  <c r="Q13" i="6" s="1"/>
  <c r="N13" i="23"/>
  <c r="N20" i="23" s="1"/>
  <c r="K13" i="6" s="1"/>
  <c r="AB13" i="23"/>
  <c r="AB20" i="23" s="1"/>
  <c r="Y13" i="6" s="1"/>
  <c r="R13" i="23"/>
  <c r="R20" i="23" s="1"/>
  <c r="O13" i="6" s="1"/>
  <c r="V13" i="23"/>
  <c r="V20" i="23" s="1"/>
  <c r="S13" i="6" s="1"/>
  <c r="I21" i="2"/>
  <c r="I630" i="2" s="1"/>
  <c r="C94" i="5" s="1"/>
  <c r="F13" i="23"/>
  <c r="AK13" i="23" s="1"/>
  <c r="F40" i="5"/>
  <c r="F33" i="5"/>
  <c r="T15" i="6"/>
  <c r="W15" i="6"/>
  <c r="X15" i="6" s="1"/>
  <c r="Z633" i="23"/>
  <c r="AA15" i="6"/>
  <c r="O15" i="6"/>
  <c r="P15" i="6" s="1"/>
  <c r="I15" i="6"/>
  <c r="J15" i="6" s="1"/>
  <c r="Q15" i="6"/>
  <c r="R15" i="6" s="1"/>
  <c r="T633" i="23"/>
  <c r="E15" i="6"/>
  <c r="H633" i="23"/>
  <c r="G15" i="6"/>
  <c r="K15" i="6"/>
  <c r="L15" i="6" s="1"/>
  <c r="M15" i="6"/>
  <c r="N15" i="6" s="1"/>
  <c r="P633" i="23"/>
  <c r="Y15" i="6"/>
  <c r="Z15" i="6" s="1"/>
  <c r="U15" i="6"/>
  <c r="V15" i="6" s="1"/>
  <c r="F78" i="5"/>
  <c r="F70" i="5"/>
  <c r="F52" i="5"/>
  <c r="F76" i="5"/>
  <c r="F20" i="5"/>
  <c r="F19" i="5"/>
  <c r="F75" i="5"/>
  <c r="F47" i="5"/>
  <c r="AD18" i="6"/>
  <c r="AD14" i="6"/>
  <c r="AD23" i="6"/>
  <c r="E30" i="19"/>
  <c r="AB633" i="23" l="1"/>
  <c r="N633" i="23"/>
  <c r="AD633" i="23"/>
  <c r="X633" i="23"/>
  <c r="H14" i="6"/>
  <c r="T14" i="6"/>
  <c r="R14" i="6"/>
  <c r="N14" i="6"/>
  <c r="J14" i="6"/>
  <c r="AB14" i="6"/>
  <c r="P14" i="6"/>
  <c r="X14" i="6"/>
  <c r="L14" i="6"/>
  <c r="V14" i="6"/>
  <c r="F14" i="6"/>
  <c r="Z14" i="6"/>
  <c r="L633" i="23"/>
  <c r="J633" i="23"/>
  <c r="R633" i="23"/>
  <c r="AC13" i="6"/>
  <c r="AC43" i="6" s="1"/>
  <c r="V633" i="23"/>
  <c r="F20" i="23"/>
  <c r="F633" i="23" s="1"/>
  <c r="C13" i="5"/>
  <c r="G33" i="6"/>
  <c r="H15" i="6"/>
  <c r="F15" i="6"/>
  <c r="AC15" i="6"/>
  <c r="AB15" i="6"/>
  <c r="AD22" i="6"/>
  <c r="D30" i="19"/>
  <c r="AK20" i="23" l="1"/>
  <c r="C13" i="19"/>
  <c r="E13" i="19" s="1"/>
  <c r="D13" i="19" s="1"/>
  <c r="G13" i="19" s="1"/>
  <c r="H13" i="19" s="1"/>
  <c r="C13" i="6"/>
  <c r="AC33" i="6"/>
  <c r="AC45" i="6" s="1"/>
  <c r="AD15" i="6"/>
  <c r="G30" i="19"/>
  <c r="H30" i="19" s="1"/>
  <c r="C33" i="6" l="1"/>
  <c r="R13" i="6"/>
  <c r="Z13" i="6"/>
  <c r="P13" i="6"/>
  <c r="N13" i="6"/>
  <c r="F13" i="6"/>
  <c r="AB13" i="6"/>
  <c r="X13" i="6"/>
  <c r="V13" i="6"/>
  <c r="T13" i="6"/>
  <c r="L13" i="6"/>
  <c r="H13" i="6"/>
  <c r="J13" i="6"/>
  <c r="D33" i="5"/>
  <c r="D52" i="5"/>
  <c r="D47" i="5"/>
  <c r="D40" i="5"/>
  <c r="D70" i="5"/>
  <c r="D20" i="5"/>
  <c r="D21" i="5"/>
  <c r="D76" i="5"/>
  <c r="D19" i="5"/>
  <c r="D78" i="5"/>
  <c r="D75" i="5"/>
  <c r="AD33" i="6"/>
  <c r="AD13" i="6"/>
  <c r="AD34" i="6" l="1"/>
  <c r="H33" i="6"/>
  <c r="AC40" i="6"/>
  <c r="D26" i="5"/>
  <c r="D32" i="5"/>
  <c r="D90" i="5"/>
  <c r="D88" i="5"/>
  <c r="D89" i="5"/>
  <c r="D91" i="5"/>
  <c r="D37" i="5"/>
  <c r="D51" i="5"/>
  <c r="D87" i="5"/>
  <c r="F26" i="5" l="1"/>
  <c r="F32" i="5"/>
  <c r="F87" i="5"/>
  <c r="F51" i="5"/>
  <c r="F90" i="5"/>
  <c r="F89" i="5"/>
  <c r="F91" i="5"/>
  <c r="F88" i="5"/>
  <c r="F37" i="5"/>
  <c r="C113" i="19"/>
  <c r="F71" i="5" l="1"/>
  <c r="F72" i="5"/>
  <c r="D72" i="5"/>
  <c r="D71" i="5"/>
  <c r="D58" i="5"/>
  <c r="F58" i="5"/>
  <c r="F35" i="5"/>
  <c r="D35" i="5"/>
  <c r="D31" i="5"/>
  <c r="F31" i="5"/>
  <c r="D30" i="5"/>
  <c r="F30" i="5"/>
  <c r="D29" i="5"/>
  <c r="F29" i="5"/>
  <c r="D39" i="5"/>
  <c r="D38" i="5"/>
  <c r="D36" i="5"/>
  <c r="F38" i="5"/>
  <c r="F36" i="5"/>
  <c r="F39" i="5"/>
  <c r="D82" i="5"/>
  <c r="F82" i="5"/>
  <c r="D83" i="5"/>
  <c r="D84" i="5"/>
  <c r="D85" i="5"/>
  <c r="F85" i="5"/>
  <c r="F83" i="5"/>
  <c r="F84" i="5"/>
  <c r="D50" i="5"/>
  <c r="F50" i="5"/>
  <c r="D80" i="5"/>
  <c r="D57" i="5"/>
  <c r="F80" i="5"/>
  <c r="F57" i="5"/>
  <c r="D77" i="5"/>
  <c r="D68" i="5"/>
  <c r="D74" i="5"/>
  <c r="D69" i="5"/>
  <c r="C111" i="19"/>
  <c r="E113" i="19"/>
  <c r="D113" i="19" s="1"/>
  <c r="G113" i="19" s="1"/>
  <c r="H113" i="19" s="1"/>
  <c r="E33" i="6" l="1"/>
  <c r="Y33" i="6"/>
  <c r="Z33" i="6" s="1"/>
  <c r="K33" i="6"/>
  <c r="L33" i="6" s="1"/>
  <c r="M33" i="6"/>
  <c r="N33" i="6" s="1"/>
  <c r="AA33" i="6"/>
  <c r="AB33" i="6" s="1"/>
  <c r="S33" i="6"/>
  <c r="T33" i="6" s="1"/>
  <c r="W33" i="6"/>
  <c r="X33" i="6" s="1"/>
  <c r="O33" i="6"/>
  <c r="P33" i="6" s="1"/>
  <c r="U33" i="6"/>
  <c r="V33" i="6" s="1"/>
  <c r="Q33" i="6"/>
  <c r="R33" i="6" s="1"/>
  <c r="I33" i="6"/>
  <c r="J33" i="6" s="1"/>
  <c r="D21" i="6"/>
  <c r="D26" i="6"/>
  <c r="D24" i="6"/>
  <c r="D27" i="6"/>
  <c r="D28" i="6"/>
  <c r="D25" i="6"/>
  <c r="D17" i="6"/>
  <c r="D20" i="6"/>
  <c r="D19" i="6"/>
  <c r="D22" i="6"/>
  <c r="D16" i="6"/>
  <c r="D23" i="6"/>
  <c r="D18" i="6"/>
  <c r="D14" i="6"/>
  <c r="D15" i="6"/>
  <c r="C153" i="19"/>
  <c r="E111" i="19"/>
  <c r="E153" i="19" s="1"/>
  <c r="D15" i="5"/>
  <c r="D17" i="5"/>
  <c r="D66" i="5"/>
  <c r="D64" i="5"/>
  <c r="D55" i="5"/>
  <c r="D28" i="5"/>
  <c r="D65" i="5"/>
  <c r="D13" i="5"/>
  <c r="D25" i="5"/>
  <c r="D62" i="5"/>
  <c r="D42" i="5"/>
  <c r="D44" i="5"/>
  <c r="D63" i="5"/>
  <c r="D46" i="5"/>
  <c r="D22" i="5"/>
  <c r="D60" i="5"/>
  <c r="D24" i="5"/>
  <c r="D18" i="5"/>
  <c r="D49" i="5"/>
  <c r="D43" i="5"/>
  <c r="D45" i="5"/>
  <c r="D54" i="5"/>
  <c r="D23" i="5"/>
  <c r="F18" i="5"/>
  <c r="F49" i="5"/>
  <c r="F45" i="5"/>
  <c r="F28" i="5"/>
  <c r="F42" i="5"/>
  <c r="F43" i="5"/>
  <c r="F46" i="5"/>
  <c r="F64" i="5"/>
  <c r="F44" i="5"/>
  <c r="F13" i="5"/>
  <c r="F60" i="5"/>
  <c r="F65" i="5"/>
  <c r="F17" i="5"/>
  <c r="F66" i="5"/>
  <c r="F77" i="5"/>
  <c r="F68" i="5"/>
  <c r="F54" i="5"/>
  <c r="F69" i="5"/>
  <c r="F74" i="5"/>
  <c r="F15" i="5"/>
  <c r="F23" i="5"/>
  <c r="F21" i="5"/>
  <c r="F62" i="5"/>
  <c r="F24" i="5"/>
  <c r="F22" i="5"/>
  <c r="F55" i="5"/>
  <c r="F25" i="5"/>
  <c r="F63" i="5"/>
  <c r="D13" i="6"/>
  <c r="F33" i="6" l="1"/>
  <c r="E34" i="6"/>
  <c r="G34" i="6" s="1"/>
  <c r="D94" i="5"/>
  <c r="F94" i="5"/>
  <c r="F34" i="6"/>
  <c r="D33" i="6"/>
  <c r="D111" i="19"/>
  <c r="H34" i="6" l="1"/>
  <c r="G111" i="19"/>
  <c r="H111" i="19" s="1"/>
  <c r="D153" i="19"/>
  <c r="G153" i="19" s="1"/>
  <c r="H153" i="19" s="1"/>
  <c r="I34" i="6" l="1"/>
  <c r="K34" i="6" l="1"/>
  <c r="L34" i="6" s="1"/>
  <c r="J34" i="6"/>
  <c r="M34" i="6" l="1"/>
  <c r="N34" i="6" s="1"/>
  <c r="O34" i="6" l="1"/>
  <c r="P34" i="6" s="1"/>
  <c r="Q34" i="6" l="1"/>
  <c r="S34" i="6" s="1"/>
  <c r="AG464" i="23"/>
  <c r="AH464" i="23" s="1"/>
  <c r="AH474" i="23" s="1"/>
  <c r="R34" i="6" l="1"/>
  <c r="U34" i="6"/>
  <c r="T34" i="6"/>
  <c r="AH489" i="23"/>
  <c r="AH633" i="23" s="1"/>
  <c r="AF474" i="23"/>
  <c r="AK474" i="23" s="1"/>
  <c r="W34" i="6" l="1"/>
  <c r="V34" i="6"/>
  <c r="AF489" i="23"/>
  <c r="AF633" i="23" l="1"/>
  <c r="AK633" i="23" s="1"/>
  <c r="AK489" i="23"/>
  <c r="Y34" i="6"/>
  <c r="X34" i="6"/>
  <c r="AD24" i="6"/>
  <c r="D707" i="3"/>
  <c r="AF638" i="23" l="1"/>
  <c r="AA34" i="6"/>
  <c r="AB34" i="6" s="1"/>
  <c r="Z34" i="6"/>
</calcChain>
</file>

<file path=xl/comments1.xml><?xml version="1.0" encoding="utf-8"?>
<comments xmlns="http://schemas.openxmlformats.org/spreadsheetml/2006/main">
  <authors>
    <author>Tamires dos Santos Soares da Silva</author>
    <author>Poema Bidarra Oliveira</author>
  </authors>
  <commentList>
    <comment ref="D135" authorId="0" shapeId="0">
      <text>
        <r>
          <rPr>
            <b/>
            <sz val="9"/>
            <color indexed="81"/>
            <rFont val="Segoe UI"/>
            <family val="2"/>
          </rPr>
          <t>Tamires dos Santos Soares da Silva:</t>
        </r>
        <r>
          <rPr>
            <sz val="9"/>
            <color indexed="81"/>
            <rFont val="Segoe UI"/>
            <family val="2"/>
          </rPr>
          <t xml:space="preserve">
NÃO COLOCADO NO ORÇA FASCIO
</t>
        </r>
      </text>
    </comment>
    <comment ref="D145" authorId="0" shapeId="0">
      <text>
        <r>
          <rPr>
            <b/>
            <sz val="9"/>
            <color indexed="81"/>
            <rFont val="Segoe UI"/>
            <family val="2"/>
          </rPr>
          <t>Tamires dos Santos Soares da Silva:</t>
        </r>
        <r>
          <rPr>
            <sz val="9"/>
            <color indexed="81"/>
            <rFont val="Segoe UI"/>
            <family val="2"/>
          </rPr>
          <t xml:space="preserve">
NÃO CONSTA NO ORÇA FASCIO
</t>
        </r>
      </text>
    </comment>
    <comment ref="D685" authorId="0" shapeId="0">
      <text>
        <r>
          <rPr>
            <b/>
            <sz val="9"/>
            <color indexed="81"/>
            <rFont val="Segoe UI"/>
            <family val="2"/>
          </rPr>
          <t>Tamires dos Santos Soares da Silva:</t>
        </r>
        <r>
          <rPr>
            <sz val="9"/>
            <color indexed="81"/>
            <rFont val="Segoe UI"/>
            <family val="2"/>
          </rPr>
          <t xml:space="preserve">
NÃO COLOCADO NO ORÇA FASCIO
</t>
        </r>
      </text>
    </comment>
    <comment ref="D695" authorId="0" shapeId="0">
      <text>
        <r>
          <rPr>
            <b/>
            <sz val="9"/>
            <color indexed="81"/>
            <rFont val="Segoe UI"/>
            <family val="2"/>
          </rPr>
          <t>Tamires dos Santos Soares da Silva:</t>
        </r>
        <r>
          <rPr>
            <sz val="9"/>
            <color indexed="81"/>
            <rFont val="Segoe UI"/>
            <family val="2"/>
          </rPr>
          <t xml:space="preserve">
NÃO COLOCADO NO ORÇA FASCIO
</t>
        </r>
      </text>
    </comment>
    <comment ref="D1324" authorId="1" shapeId="0">
      <text>
        <r>
          <rPr>
            <b/>
            <sz val="9"/>
            <color indexed="81"/>
            <rFont val="Segoe UI"/>
            <family val="2"/>
          </rPr>
          <t>Poema Bidarra Oliveira:</t>
        </r>
        <r>
          <rPr>
            <sz val="9"/>
            <color indexed="81"/>
            <rFont val="Segoe UI"/>
            <family val="2"/>
          </rPr>
          <t xml:space="preserve">
mudou de 10,30 para 6,58</t>
        </r>
      </text>
    </comment>
    <comment ref="D2174" authorId="0" shapeId="0">
      <text>
        <r>
          <rPr>
            <b/>
            <sz val="9"/>
            <color indexed="81"/>
            <rFont val="Segoe UI"/>
            <family val="2"/>
          </rPr>
          <t>Tamires dos Santos Soares da Silva:</t>
        </r>
        <r>
          <rPr>
            <sz val="9"/>
            <color indexed="81"/>
            <rFont val="Segoe UI"/>
            <family val="2"/>
          </rPr>
          <t xml:space="preserve">
NÃO CONSTA NO ORÇA FASCIO
</t>
        </r>
      </text>
    </comment>
  </commentList>
</comments>
</file>

<file path=xl/sharedStrings.xml><?xml version="1.0" encoding="utf-8"?>
<sst xmlns="http://schemas.openxmlformats.org/spreadsheetml/2006/main" count="89043" uniqueCount="27998">
  <si>
    <t>GOVERNO DO ESTADO DE MATO GROSSO</t>
  </si>
  <si>
    <t>OBRA:</t>
  </si>
  <si>
    <t>LOCAL:</t>
  </si>
  <si>
    <t>PROP:</t>
  </si>
  <si>
    <t>END:</t>
  </si>
  <si>
    <t>MEMORIAL DE CALCULO</t>
  </si>
  <si>
    <t>ITEM</t>
  </si>
  <si>
    <t>1.0</t>
  </si>
  <si>
    <t>m²</t>
  </si>
  <si>
    <t>REMOÇÃO DE CHAPAS E PERFIS DE DRYWALL, DE FORMA MANUAL, SEM REAPROVEITAMENTO. AF_12/2017</t>
  </si>
  <si>
    <t>REMOÇÃO DE FORRO DE GESSO, DE FORMA MANUAL, SEM REAPROVEITAMENTO. AF_12/2017</t>
  </si>
  <si>
    <t>REMOÇÃO DE PORTAS, DE FORMA MANUAL, SEM REAPROVEITAMENTO. AF_12/2017</t>
  </si>
  <si>
    <t>M2</t>
  </si>
  <si>
    <t>REMOÇÃO DE JANELAS, DE FORMA MANUAL, SEM REAPROVEITAMENTO. AF_12/2017</t>
  </si>
  <si>
    <t>FONTE:</t>
  </si>
  <si>
    <t>AZULEJISTA OU LADRILHISTA COM ENCARGOS COMPLEMENTARES</t>
  </si>
  <si>
    <t>H</t>
  </si>
  <si>
    <t>SERVENTE COM ENCARGOS COMPLEMENTARES</t>
  </si>
  <si>
    <t>QUANTIDADE</t>
  </si>
  <si>
    <t>P. UNIT</t>
  </si>
  <si>
    <t>CUSTO</t>
  </si>
  <si>
    <t>SERVIÇOS</t>
  </si>
  <si>
    <t>CODIGO</t>
  </si>
  <si>
    <t>FONTE</t>
  </si>
  <si>
    <t>UND</t>
  </si>
  <si>
    <t>QTD</t>
  </si>
  <si>
    <t>P. TOTAL</t>
  </si>
  <si>
    <t xml:space="preserve">DEMOLIÇÃO </t>
  </si>
  <si>
    <t>M3</t>
  </si>
  <si>
    <t>PEDREIRO COM ENCARGOS COMPLEMENTARES</t>
  </si>
  <si>
    <t>REMOÇÃO DE VIDRO TEMPERADO FIXADO EM PERFIL U. AF_01/2021</t>
  </si>
  <si>
    <t>REMOÇÃO DE LOUÇAS, DE FORMA MANUAL, SEM REAPROVEITAMENTO. AF_12/2017</t>
  </si>
  <si>
    <t>und</t>
  </si>
  <si>
    <t>DEMOLIÇÃO DE REVESTIMENTO CERÂMICO, DE FORMA MANUAL, SEM REAPROVEITAMENTO. AF_12/2017</t>
  </si>
  <si>
    <t>L</t>
  </si>
  <si>
    <t>ISS</t>
  </si>
  <si>
    <t>PIS</t>
  </si>
  <si>
    <t>COFINS</t>
  </si>
  <si>
    <t>SERVIÇOS PRELIMINARES</t>
  </si>
  <si>
    <t>INSUMO</t>
  </si>
  <si>
    <t>M</t>
  </si>
  <si>
    <t>KG</t>
  </si>
  <si>
    <t>CARPINTEIRO DE FORMAS COM ENCARGOS COMPLEMENTARES</t>
  </si>
  <si>
    <t>FONTE SETOP - ED-48436</t>
  </si>
  <si>
    <t>1.1</t>
  </si>
  <si>
    <t>ADMINISTRAÇÃO LOCAL DE OBRA</t>
  </si>
  <si>
    <t>ENGENHEIRO CIVIL DE OBRA PLENO COM ENCARGOS COMPLEMENTARES</t>
  </si>
  <si>
    <t>MESTRE DE OBRAS COM ENCARGOS COMPLEMENTARES</t>
  </si>
  <si>
    <t>TOPOGRAFO COM ENCARGOS COMPLEMENTARES</t>
  </si>
  <si>
    <t>AUXILIAR DE ESCRITORIO COM ENCARGOS COMPLEMENTARES</t>
  </si>
  <si>
    <t>2.0</t>
  </si>
  <si>
    <t>2.1</t>
  </si>
  <si>
    <t>3.0</t>
  </si>
  <si>
    <t>3.1</t>
  </si>
  <si>
    <t>3.2</t>
  </si>
  <si>
    <t>3.3</t>
  </si>
  <si>
    <t>3.4</t>
  </si>
  <si>
    <t>3.5</t>
  </si>
  <si>
    <t>3.6</t>
  </si>
  <si>
    <t>4.0</t>
  </si>
  <si>
    <t>ALVENARIA E FECHAMENTO</t>
  </si>
  <si>
    <t>MASSA ÚNICA, PARA RECEBIMENTO DE PINTURA OU CERÂMICA, ARGAMASSA INDUSTRIALIZADA, PREPARO MECÂNICO, APLICADO COM EQUIPAMENTO DE MISTURA E PROJEÇÃO DE 1,5 M3/H EM FACES INTERNAS DE PAREDES, ESPESSURA DE 5MM, SEM EXECUÇÃO DE TALISCAS. AF_06/2014</t>
  </si>
  <si>
    <t>4.1</t>
  </si>
  <si>
    <t>4.2</t>
  </si>
  <si>
    <t>4.3</t>
  </si>
  <si>
    <t>4.4</t>
  </si>
  <si>
    <t>5.0</t>
  </si>
  <si>
    <t>5.1</t>
  </si>
  <si>
    <t>5.2</t>
  </si>
  <si>
    <t>REVESTIMENTO CERÂMICO PARA PISO COM PLACAS TIPO PORCELANATO DE DIMENSÕES 60X60 CM APLICADA EM AMBIENTES DE ÁREA MAIOR QUE 10 M². AF_06/2014</t>
  </si>
  <si>
    <t>QUADRO RESUMO DE SERVIÇOS</t>
  </si>
  <si>
    <t>V. TOTAL</t>
  </si>
  <si>
    <t>PESO</t>
  </si>
  <si>
    <t>REVESTIMENTO CERÂMICO PARA PAREDES EXTERNAS EM PASTILHAS DE PORCELANA 5 X 5 CM (PLACAS DE 30 X 30 CM), ALINHADAS A PRUMO, APLICADO EM SUPERFÍCIES INTERNAS DA SACADA. AF_06/2014</t>
  </si>
  <si>
    <t>RODAPÉ CERÂMICO DE 7CM DE ALTURA COM PLACAS TIPO ESMALTADA EXTRA DE DIMENSÕES 60X60CM. AF_06/2014</t>
  </si>
  <si>
    <t>FONTE 88650</t>
  </si>
  <si>
    <t>COMPOSIÇÃO DE CUSTO UNITARIO</t>
  </si>
  <si>
    <t>5.3</t>
  </si>
  <si>
    <t>5.4</t>
  </si>
  <si>
    <t>SINAPI</t>
  </si>
  <si>
    <t>PINTURA</t>
  </si>
  <si>
    <t>APLICAÇÃO MANUAL DE PINTURA COM TINTA LÁTEX ACRÍLICA EM PAREDES, DUAS DEMÃOS. AF_06/2014</t>
  </si>
  <si>
    <t>SEPLAG - SECRETARIA DE ESTADO DE PLANEJAMENTO E GESTÃO/MT</t>
  </si>
  <si>
    <t>PLANILHA ORÇAMENTARIA DE SERVIÇOS</t>
  </si>
  <si>
    <t>1.2</t>
  </si>
  <si>
    <t>=5,00*2,50</t>
  </si>
  <si>
    <t>=8,00*4,00</t>
  </si>
  <si>
    <t>CRONOGRAMA FISICO FINANCEIRO</t>
  </si>
  <si>
    <t>SERVIÇO</t>
  </si>
  <si>
    <t>30 DIAS</t>
  </si>
  <si>
    <t>60 DIAS</t>
  </si>
  <si>
    <t>90 DIAS</t>
  </si>
  <si>
    <t>120 DIAS</t>
  </si>
  <si>
    <t>RESUMO</t>
  </si>
  <si>
    <t>VALOR</t>
  </si>
  <si>
    <t>TOTAL DA OBRA &gt;&gt;&gt;</t>
  </si>
  <si>
    <t>CENTRO POLITICO ADMINISTRATIVO</t>
  </si>
  <si>
    <t>150 DIAS</t>
  </si>
  <si>
    <t>180 DIAS</t>
  </si>
  <si>
    <t>210 DIAS</t>
  </si>
  <si>
    <t>240 DIAS</t>
  </si>
  <si>
    <t>270 DIAS</t>
  </si>
  <si>
    <t>300 DIAS</t>
  </si>
  <si>
    <t>330 DIAS</t>
  </si>
  <si>
    <t>360 DIAS</t>
  </si>
  <si>
    <t>VALOR TOTAL ACUMULADO &gt;&gt;&gt;</t>
  </si>
  <si>
    <t>m³</t>
  </si>
  <si>
    <t>=1</t>
  </si>
  <si>
    <t>=2</t>
  </si>
  <si>
    <t>5.5</t>
  </si>
  <si>
    <t>SETOP - ED-50200</t>
  </si>
  <si>
    <t>SETOP - ED-50206</t>
  </si>
  <si>
    <t>SETOP - ED-50199</t>
  </si>
  <si>
    <t xml:space="preserve">PLACA FOTOLUMINESCENTE (TIPO : E5|FORMATO: QUADRADA DIMENSÃO: 300MMX300MM INFORMAÇÃO: PICTOGRAMA SEM TEXTO - EXTINTOR DE INCÊNDIO </t>
  </si>
  <si>
    <t>SETOP - ED-50207</t>
  </si>
  <si>
    <t>SETOP - ED-50201</t>
  </si>
  <si>
    <t>PLACA FOTOLUMINESCENTE (TIPO : S1|FORMATO: RETANGULAR|DIMENSÃO: 380MMX190MM INFORMAÇÃO: PICTOGRAMA SEM TEXTO - SAÍDA DE EMERGÊNCIA DIREITA)</t>
  </si>
  <si>
    <t>SETOP - ED-50202</t>
  </si>
  <si>
    <t>PLACA FOTOLUMINESCENTE (TIPO : S1|FORMATO: RETANGULAR|DIMENSÃO: 380MMX190MM INFORMAÇÃO: PICTOGRAMA SEM TEXTO - SAÍDA DE EMERGÊNCIA ESQUERDA)</t>
  </si>
  <si>
    <t>SETOP - ED-50204</t>
  </si>
  <si>
    <t>SETOP - ED-50205</t>
  </si>
  <si>
    <t>SETOP - ED-50203</t>
  </si>
  <si>
    <t>COMPOSIÇÃO DE CUSTO UNITÁRIO PARA INCENDIO E PANICO</t>
  </si>
  <si>
    <t>PREVENÇÃO E COMBATE A INCÊNDIO</t>
  </si>
  <si>
    <t>ELETROBOMBA E ACESSÓRIOS</t>
  </si>
  <si>
    <t>SIRENE PARA ALARME DE BOMBA EM FUNCIONAMENTO, 220V</t>
  </si>
  <si>
    <t>ABRIGO, HIDRANTE, MANGUEIRA E EXTINTOR</t>
  </si>
  <si>
    <t>SETOP - ED-50181</t>
  </si>
  <si>
    <t>AUXILIAR DE ENCANADOR OU BOMBEIRO HIDRÁULICO COM ENCARGOS COMPLEMENTARES</t>
  </si>
  <si>
    <t>SETOP - ED-50188</t>
  </si>
  <si>
    <t>SETOP - ED-50189</t>
  </si>
  <si>
    <t>SETOP - ED-50195</t>
  </si>
  <si>
    <t xml:space="preserve">TAMPA DE FERRO FUNDIDO PARA HIDRANTE DE RECALQUE </t>
  </si>
  <si>
    <t>kg</t>
  </si>
  <si>
    <t>SETOP - ED-50196</t>
  </si>
  <si>
    <t>LUMINÁRIA DE EMERGÊNCIA (TIPO: FLUORESCENTE QUANTIDADE DE LÂMPADA: 1| POTÊNCIA: 8W)</t>
  </si>
  <si>
    <t>ELETRICISTA COM ENCARGOS COMPLEMENTARES</t>
  </si>
  <si>
    <t>AUXILIAR DE ELETRICISTA COM ENCARGOS COMPLEMENTARES</t>
  </si>
  <si>
    <t>ENCANADOR OU BOMBEIRO HIDRÁULICO COM ENCARGOS COMPLEMENTARES</t>
  </si>
  <si>
    <t>SETOP - ED-50187</t>
  </si>
  <si>
    <t>SETOP - ED-50183</t>
  </si>
  <si>
    <t>PROPRIA</t>
  </si>
  <si>
    <t>EXTINTOR DE INCÊNDIO PORTÁTIL COM CARGA DE CO2 DE 4 KG, CLASSE BC - FORNECIMENTO E INSTALAÇÃO. AF_10/2020_P</t>
  </si>
  <si>
    <t>EXTINTOR DE INCÊNDIO PORTÁTIL COM CARGA DE ÁGUA PRESSURIZADA DE 10 L, CLASSE A - FORNECIMENTO E INSTALAÇÃO. AF_10/2020_P</t>
  </si>
  <si>
    <t>PLACA FOTOLUMINESCENTE (TIPO : S1|FORMATO: RETANGULAR|DIMENSÃO: 380MMX190MM INFORMAÇÃO: PICTOGRAMA SEM TEXTO - SAÍDA DE EMERGÊNCIA)</t>
  </si>
  <si>
    <t>PLACA FOTOLUMINESCENTE (TIPO : S1|FORMATO: RETANGULAR|DIMENSÃO: 316MMX158MM INFORMAÇÃO: PICTOGRAMA SEM TEXTO - ESCADA DE EMERGÊNCIA)</t>
  </si>
  <si>
    <t>PLACA FOTOLUMINESCENTE (TIPO : S10 FORMATO: RETANGULAR DIMENSÃO: 380MMX190MM INFORMAÇÃO: PICTOGRAMA SEM TEXTO - SAIDA DE EMERGÊNCIA)</t>
  </si>
  <si>
    <t>PLACA FOTOLUMINESCENTE (TIPO : S17 FORMATO: RETANGULAR|DIMENSÃO: 380MMX190MM INFORMAÇÃO: COM TEXTO - (INDICAÇÃO DE PAVIMENTO)</t>
  </si>
  <si>
    <t>PLACA FOTOLUMINESCENTE (TIPO : M4 FORMATO: RETANGULAR DIMENSÃO: 240MMX120MM INFORMAÇÃO: PICTOGRAMA SEM TEXTO - ACESSO ESCADA DE EMERGÊNCIA DESCE)</t>
  </si>
  <si>
    <t>PLACA FOTOLUMINESCENTE (TIPO : E1 FORMATO: QUADRADO DIMENSÃO: 200MMX200MM INFORMAÇÃO: PICTOGRAMA SEM TEXTO - ALARME SONORO)</t>
  </si>
  <si>
    <t>PLACA FOTOLUMINESCENTE (TIPO : E3 FORMATO: QUADRADO DIMENSÃO: 125MMX1250MM INFORMAÇÃO: PICTOGRAMA SEM TEXTO - BOMBA DE INCÊNDIO)</t>
  </si>
  <si>
    <t>PLACA FOTOLUMINESCENTE (TIPO : E2 FORMATO: QUADRADO DIMENSÃO: 125MX250MM INFORMAÇÃO: PICTOGRAMA SEM TEXTO - ALARME INCÊNDIO)</t>
  </si>
  <si>
    <t>PLACA FOTOLUMINESCENTE (TIPO : P1 FORMATO: CIRCULAR DIÂMETRO: 252MM INFORMAÇÃO: PICTOGRAMA SEM TEXTO - PROIBIDO FUMAR)</t>
  </si>
  <si>
    <t>PLACA FOTOLUMINESCENTE (TIPO : P4 FORMATO: CIRCULAR DIÂMETRO: 252MM INFORMAÇÃO: PICTOGRAMA SEM TEXTO - EM CASO DE INCÊNDIO NÃO USAR O ELEVADOR)</t>
  </si>
  <si>
    <t>PLACA FOTOLUMINESCENTE FORMATO: RETANGULAR 250MMX350MM INFORMAÇÃO: PICTOGRAMA - PERIGO INFLAMÁVEL)</t>
  </si>
  <si>
    <t>PLACA FOTOLUMINESCENTE (TIPO : P16 FORMATO: RETANGULAR 250MMX350MM INFORMAÇÃO: PICTOGRAMA - PERIGO,NÃO FUME)</t>
  </si>
  <si>
    <t>SETOP - ED-50177</t>
  </si>
  <si>
    <t>SERRALHEIRO COM ENCARGOS COMPLEMENTARES</t>
  </si>
  <si>
    <t>MONTAGEM E DESMONTAGEM DE ANDAIME MODULAR FACHADEIRO, COM PISO METÁLICO, PARA EDIFICAÇÕES COM MÚLTIPLOS PAVIMENTOS (EXCLUSIVE ANDAIME E LIMPEZA). AF_11/2017</t>
  </si>
  <si>
    <t>PINTOR COM ENCARGOS COMPLEMENTARES</t>
  </si>
  <si>
    <t>PINTURA DE PISO COM TINTA EPÓXI, APLICAÇÃO MANUAL, 2 DEMÃOS, INCLUSO PRIMER EPÓXI. AF_05/2021</t>
  </si>
  <si>
    <t>RUA C, CENTRO POLÍTICO ADMINISTRATIVO, CUIABÁ – MT</t>
  </si>
  <si>
    <t>COMPOSIÇÃO PROPRIA</t>
  </si>
  <si>
    <t>REMOÇÃO DE LUMINÁRIAS, DE FORMA MANUAL, SEM REAPROVEITAMENTO. AF_12/2017</t>
  </si>
  <si>
    <t>FONTE: 97638 REMOÇÃO DE CHAPAS E PERFIS DE DRYWALL, DE FORMA MANUAL, SEM REAPROVEITAMENTO. AF_12/2017</t>
  </si>
  <si>
    <t>DEMOLIÇÃO DE ALVENARIA DE TIJOLO CERAMICO, DE FORMA MANUAL, SEM REAPROVEITAMENTO. AF_12/2017</t>
  </si>
  <si>
    <t>TAPA VISTA DE MICTÓRIO EM GRANITO CINZA POLIDO, ESP = 3CM, ASSENTADO COM ARGAMASSA COLANTE AC III-E . AF_01/2021</t>
  </si>
  <si>
    <t>ASSENTO SANITÁRIO CONVENCIONAL - FORNECIMENTO E INSTALACAO. AF_01/2020</t>
  </si>
  <si>
    <t>TUBOS</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</si>
  <si>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</si>
  <si>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</si>
  <si>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</si>
  <si>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</si>
  <si>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</si>
  <si>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</si>
  <si>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</si>
  <si>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</si>
  <si>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</si>
  <si>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</si>
  <si>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CAIXA SIFONADA, PVC, DN 100 X 100 X 50 MM, FORNECIDA E INSTALADA EM RAMAIS DE ENCAMINHAMENTO DE ÁGUA PLUVIAL. AF_12/2014</t>
  </si>
  <si>
    <t>FONTE SINAPI</t>
  </si>
  <si>
    <t>100868 -BARRA DE APOIO RETA, EM ACO INOX POLIDO, COMPRIMENTO 80 CM,  FIXADA NA PAREDE - FORNECIMENTO E INSTALAÇÃO. AF_01/2020</t>
  </si>
  <si>
    <t>BARRA DE APOIO RETA, EM ACO INOX POLIDO, COMPRIMENTO 40 CM,  FIXADA NA PAREDE - FORNECIMENTO E INSTALAÇÃO. AF_01/2020</t>
  </si>
  <si>
    <t>UN</t>
  </si>
  <si>
    <t>100849 - ASSENTO SANITÁRIO CONVENCIONAL - FORNECIMENTO E INSTALACAO. AF_01/2020</t>
  </si>
  <si>
    <t>ASSENTO SANITÁRIO PCD - FORNECIMENTO E INSTALACAO. AF_01/2020</t>
  </si>
  <si>
    <t>VÁLVULA DE DESCARGA METÁLICA PARA MICTORIO, ACABAMENTO METALICO CROMADO - FORNECIMENTO E INSTALAÇÃO. AF_01/2019</t>
  </si>
  <si>
    <t>99635 - VÁLVULA DE DESCARGA METÁLICA, BASE 1 1/2 ", ACABAMENTO METALICO CROMADO - FORNECIMENTO E INSTALAÇÃO. AF_01/2019</t>
  </si>
  <si>
    <t>COTAÇÃO</t>
  </si>
  <si>
    <t>FITA VEDA ROSCA EM ROLOS DE 18 MM X 50 M (L X C)</t>
  </si>
  <si>
    <t>DUCHA HIGIÊNICA, ACABAMENTO METALICO CROMADO - FORNECIMENTO E INSTALAÇÃO. AF_01/2019</t>
  </si>
  <si>
    <t>MARMORISTA/GRANITEIRO COM ENCARGOS COMPLEMENTARES</t>
  </si>
  <si>
    <t>BANCADA DE GRANITO CINZA POLIDO, DE 3,18 X 0,60 M, PARA LAVATÓRIO - FORNECIMENTO E INSTALAÇÃO. AF_01/2020</t>
  </si>
  <si>
    <t>86895 - BANCADA DE GRANITO CINZA POLIDO, DE 3,18 X 0,60 M, PARA LAVATÓRIO - FORNECIMENTO E INSTALAÇÃO. AF_01/2020</t>
  </si>
  <si>
    <t>BANCADA DE GRANITO CINZA POLIDO, DE 0,50 X 0,50 M, PARA LAVATÓRIO - FORNECIMENTO E INSTALAÇÃO. AF_01/2020</t>
  </si>
  <si>
    <t>86895 - BANCADA DE GRANITO CINZA POLIDO, DE 0,50 X 0,50 M, PARA LAVATÓRIO - FORNECIMENTO E INSTALAÇÃO. AF_01/2020</t>
  </si>
  <si>
    <t>BANCADA DE GRANITO BRANCO SIENA, DE 1,00 X 0,50 M, PARA LAVATÓRIO - FORNECIMENTO E INSTALAÇÃO. AF_01/2020</t>
  </si>
  <si>
    <t>BANCADA DE GRANITO BRANCO SIENA, DE 2,05 X 0,60 M, PARA LAVATÓRIO - FORNECIMENTO E INSTALAÇÃO. AF_01/2020</t>
  </si>
  <si>
    <t>BANCADA DE GRANITO BRANCO SIENA, DE 1,90 X 0,60 M, PARA LAVATÓRIO - FORNECIMENTO E INSTALAÇÃO. AF_01/2020</t>
  </si>
  <si>
    <t>SAIA E FRONTÃO  EM GRANITO POLIDO - BRANCO SIENA  PARA LAVATÓRIO - FORNECIMENTO E INSTALAÇÃO. AF_01/2020</t>
  </si>
  <si>
    <t>FONTE SETOP</t>
  </si>
  <si>
    <t>ED-48351 TESTEIRA EM GRANITO CINZA ANDORINHA</t>
  </si>
  <si>
    <t>86893 - BANCADA DE MÁRMORE BRANCO POLIDO, DE 1,50 X 0,60 M, PARA PIA DE COZINHA - FORNECIMENTO E INSTALAÇÃO. AF_01/2020</t>
  </si>
  <si>
    <t>BANCADA DE MÁRMORE BRANCO POLIDO, DE 2,30 X 0,60 M, PARA PIA DE COZINHA - FORNECIMENTO E INSTALAÇÃO. AF_01/2020</t>
  </si>
  <si>
    <t>BANCADA DE MÁRMORE BRANCO POLIDO, DE 7,56 X 0,60 M, PARA PIA DE COZINHA - FORNECIMENTO E INSTALAÇÃO. AF_01/2020</t>
  </si>
  <si>
    <t>BANCADA DE MÁRMORE BRANCO POLIDO, DE 1,16 X 0,60 M, PARA PIA DE COZINHA - FORNECIMENTO E INSTALAÇÃO. AF_01/2020</t>
  </si>
  <si>
    <t>ED-48353 BANCO INTERNO EM CONCRETO E ALVENARIA, ACABAMENTO EM VERNIZ, E = 8 CM, L = 40 CM</t>
  </si>
  <si>
    <t>M²</t>
  </si>
  <si>
    <t>BANCADA DE GRANITO BRANCO SIENA, DE 0,80 X 0,60 M, PARA LAVATÓRIO - FORNECIMENTO E INSTALAÇÃO. AF_01/2020</t>
  </si>
  <si>
    <t>86901 - CUBA DE EMBUTIR OVAL EM LOUÇA BRANCA, 35 X 50CM OU EQUIVALENTE - FORNECIMENTO E INSTALAÇÃO. AF_01/2020</t>
  </si>
  <si>
    <t>CUBA DE EMBUTIR OVAL EM LOUÇA BRANCA DECA OU SIMILAR 48,5 X 37,50CM OU EQUIVALENTE - FORNECIMENTO E INSTALAÇÃO. AF_01/2020</t>
  </si>
  <si>
    <t>CUBA DE SOBREPOR  EM LOUÇA BRANCA DECA OU SIMILAR L.735  OU EQUIVALENTE - FORNECIMENTO E INSTALAÇÃO. AF_01/2020</t>
  </si>
  <si>
    <t>CUBA DE EMBUTIR RETANGULAR  EM LOUÇA BRANCA DECA OU SIMILAR L.1071.17  OU EQUIVALENTE - FORNECIMENTO E INSTALAÇÃO. AF_01/2020</t>
  </si>
  <si>
    <t>CUBA DE EMBUTIR RETANGULAR  EM LOUÇA BRANCA DECA OU SIMILAR L.1071.17  OU EQUIVALENTE</t>
  </si>
  <si>
    <t>86900 - CUBA DE EMBUTIR RETANGULAR DE AÇO INOXIDÁVEL, 46 X 30 X 12 CM - FORNECIMENTO E INSTALAÇÃO. AF_01/2020</t>
  </si>
  <si>
    <t>CUBA DE EMBUTIR RETANGULAR DE AÇO INOXIDÁVEL, 48 X 35 X 12 CM - FORNECIMENTO E INSTALAÇÃO. AF_01/2020</t>
  </si>
  <si>
    <t>86906 - TORNEIRA CROMADA DE MESA, 1/2 OU 3/4, PARA LAVATÓRIO, PADRÃO POPULAR - FORNECIMENTO E INSTALAÇÃO. AF_01/2020</t>
  </si>
  <si>
    <t>TORNEIRA CROMADA DEMATIC ECO FECHAMENTO AUTOMATICO DECA 1173.C OU SIMILAR - FORNECIMENTO E INSTALAÇÃO. AF_01/2020</t>
  </si>
  <si>
    <t xml:space="preserve">TORNEIRA CROMADA DEMATIC ECO FECHAMENTO AUTOMATICO DECA 1173.C OU SIMILAR </t>
  </si>
  <si>
    <t>TORNEIRA CONFORTO DECA OU SIMILAR - FORNECIMENTO E INSTALAÇÃO. AF_01/2020</t>
  </si>
  <si>
    <t>TORNEIRA CONFORTO DECA OU SIMILAR</t>
  </si>
  <si>
    <t>TORNEIRA CROMADA DEMATIC ECO FECHAMENTO AUTOMATICO DECA 1172.C.LNK OU SIMILAR - FORNECIMENTO E INSTALAÇÃO. AF_01/2020</t>
  </si>
  <si>
    <t>TORNEIRA CROMADA DEMATIC ECO FECHAMENTO AUTOMATICO DECA 1172.C.LNK OU SIMILAR</t>
  </si>
  <si>
    <t>TORNEIRA CROMADA DE MESA DECA 1167.C34 OU SIMILAR - FORNECIMENTO E INSTALAÇÃO. AF_01/2020</t>
  </si>
  <si>
    <t>TORNEIRA CROMADA DE MESA DECA 1167.C34 OU SIMILAR</t>
  </si>
  <si>
    <t>TORNEIRA CROMADA LONGA 1158 TRIO DOCAL OU SIMILAR - FORNECIMENTO E INSTALAÇÃO. AF_01/2020</t>
  </si>
  <si>
    <t xml:space="preserve">TORNEIRA CROMADA LONGA 1158 TRIO DOCAL OU SIMILAR </t>
  </si>
  <si>
    <t>FRALDÁRIO ARTICULADO  0,85X0,56X0,12 - FORNECIMENTO E INSTALAÇÃO. AF_01/2020</t>
  </si>
  <si>
    <t>PROPRIO</t>
  </si>
  <si>
    <t>AJUDANTE DE PEDREIRO COM ENCARGOS COMPLEMENTARES</t>
  </si>
  <si>
    <t>FRALDÁRIO ARTICULADO  0,85X0,56X0,12</t>
  </si>
  <si>
    <t>95545 - SABONETEIRA DE PAREDE EM METAL CROMADO, INCLUSO FIXAÇÃO. AF_01/2020</t>
  </si>
  <si>
    <t>SABONETEIRA DE PAREDE  SYRIUS, DOCOL COD 00175106 OU SIMILAR</t>
  </si>
  <si>
    <t>SABONETEIRA DE PAREDE  SYRIUS, DOCOL CODIGO 00175106 OU SIMILAR - FORNECIMENTO E INSTALAÇÃO. AF_01/2020</t>
  </si>
  <si>
    <t>VÁLVULA DE DESCARGA HYDRACONFORTO DECA OU SIMILAR - FORNECIMENTO E INSTALAÇÃO. AF_01/2019</t>
  </si>
  <si>
    <t>DIVISORIA SANITÁRIA, TIPO CABINE, EM MÁRMORE BRANCO POLIDO, ESP = 3CM, ASSENTADO COM ARGAMASSA COLANTE AC III-E, EXCLUSIVE FERRAGENS. AF_01/2021</t>
  </si>
  <si>
    <t>PUXADOR PARA PCD, FIXADO NA PORTA - FORNECIMENTO E INSTALAÇÃO. AF_01/2020</t>
  </si>
  <si>
    <t>PORTA EM ALUMÍNIO DE ABRIR TIPO VENEZIANA COM GUARNIÇÃO, FIXAÇÃO COM PARAFUSOS - FORNECIMENTO E INSTALAÇÃO. AF_12/2019</t>
  </si>
  <si>
    <t>91341 - PORTA EM ALUMÍNIO DE ABRIR TIPO VENEZIANA COM GUARNIÇÃO, FIXAÇÃO COM PARAFUSOS - FORNECIMENTO E INSTALAÇÃO. AF_12/2019</t>
  </si>
  <si>
    <t>PORTAS</t>
  </si>
  <si>
    <t>JANELAS E VIDROS FIXOS</t>
  </si>
  <si>
    <t>PORTA PIVOTANTE DE VIDRO TEMPERADO, 2 FOLHAS DE 90X210 CM, ESPESSURA DE 10MM, INCLUSIVE ACESSÓRIOS. AF_01/2021</t>
  </si>
  <si>
    <t>102183 - PORTA PIVOTANTE DE VIDRO TEMPERADO, 2 FOLHAS DE 90X210 CM, ESPESSURA DE 10MM, INCLUSIVE ACESSÓRIOS. AF_01/2021</t>
  </si>
  <si>
    <t>VIDRACEIRO COM ENCARGOS COMPLEMENTARES</t>
  </si>
  <si>
    <t>TOTAL DA COMPOSIÇÃO &gt;&gt;&gt;</t>
  </si>
  <si>
    <t>COMPOSIÇÃO</t>
  </si>
  <si>
    <t>100702 - PORTA DE CORRER DE ALUMÍNIO, COM DUAS FOLHAS PARA VIDRO, INCLUSO VIDRO LISO INCOLOR, FECHADURA E PUXADOR, SEM ALIZAR. AF_12/2019</t>
  </si>
  <si>
    <t>Mão de Obra</t>
  </si>
  <si>
    <t>Materiais</t>
  </si>
  <si>
    <t>CHP</t>
  </si>
  <si>
    <t>m</t>
  </si>
  <si>
    <t>GUINDAUTO HIDRÁULICO, CAPACIDADE MÁXIMA DE CARGA 6200 KG, MOMENTO MÁXIMO DE CARGA 11,7 TM, ALCANCE MÁXIMO HORIZONTAL 9,70 M, INCLUSIVE CAMINHÃO TOCO PBT 16.000 KG, POTÊNCIA DE 189 CV - CHP DIURNO. AF_06/2014</t>
  </si>
  <si>
    <t>PINTURA COM TINTA ALQUÍDICA DE ACABAMENTO (ESMALTE SINTÉTICO BRILHANTE) PULVERIZADA SOBRE SUPERFÍCIES METÁLICAS (EXCETO PERFIL) EXECUTADO EM OBRA (02 DEMÃOS). AF_01/2020_P</t>
  </si>
  <si>
    <t>APARELHO PARA CORTE E SOLDA OXI-ACETILENO SOBRE RODAS, INCLUSIVE CILINDROS E MAÇARICOS - CHP DIURNO. AF_12/2015</t>
  </si>
  <si>
    <t>FONE:</t>
  </si>
  <si>
    <t>BANCADA DE GRANITO PRETO POLIDO, DE 2,35X 0,60 M, PARA PIA DE COZINHA - FORNECIMENTO E INSTALAÇÃO. AF_01/2020</t>
  </si>
  <si>
    <t>cjt</t>
  </si>
  <si>
    <t>ACIONADOR MANUAL (BOTOEIRA) TIPO QUEBRA-VIDRO, P/INCENDIO</t>
  </si>
  <si>
    <t>BOTOEIRA LIGA-DESLIGA PARA BOMBA DE INCÊNDIO MODELO BLD-1, MARCA VERIN OU SIMILAR</t>
  </si>
  <si>
    <t>CONJUNTO DE MANGUEIRA PARA COMBATE A INCÊNDIO EM FIBRA DE POLIESTER PURA, COM 1.1/2", REVESTIDA INTERNAMENTE, COMPRIMENTO DE 15M - FORNECIMENTO E INSTALAÇÃO. AF_10/2020</t>
  </si>
  <si>
    <t>NIPLE, EM FERRO GALVANIZADO, DN 65 (2 1/2"), CONEXÃO ROSQUEADA, INSTALADO EM PRUMADAS - FORNECIMENTO E INSTALAÇÃO. AF_10/2020</t>
  </si>
  <si>
    <t>TÊ,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</si>
  <si>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</si>
  <si>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UNIÃO, EM FERRO GALVANIZADO, DN 65 (2 1/2"), CONEXÃO ROSQUEADA, INSTALADO EM PRUMADAS - FORNECIMENTO E INSTALAÇÃO. AF_10/2020</t>
  </si>
  <si>
    <t>SEPLAG INC 01</t>
  </si>
  <si>
    <t>SEPLAG INC 02</t>
  </si>
  <si>
    <t>SEPLAG INC 03</t>
  </si>
  <si>
    <t>SEPLAG INC 04</t>
  </si>
  <si>
    <t>SEPLAG INC 05</t>
  </si>
  <si>
    <t>SEPLAG INC 06</t>
  </si>
  <si>
    <t>SEPLAG INC 07</t>
  </si>
  <si>
    <t>SEPLAG INC 08</t>
  </si>
  <si>
    <t>SEPLAG INC 09</t>
  </si>
  <si>
    <t>SEPLAG INC 10</t>
  </si>
  <si>
    <t>SEPLAG INC 11</t>
  </si>
  <si>
    <t>SEPLAG INC 12</t>
  </si>
  <si>
    <t>SEPLAG INC 13</t>
  </si>
  <si>
    <t>SEPLAG INC 14</t>
  </si>
  <si>
    <t>SEPLAG INC 15</t>
  </si>
  <si>
    <t>SEPLAG INC 16</t>
  </si>
  <si>
    <t>SEPLAG INC 17</t>
  </si>
  <si>
    <t>SEPLAG INC 18</t>
  </si>
  <si>
    <t>SEPLAG INC 19</t>
  </si>
  <si>
    <t>SEPLAG INC 20</t>
  </si>
  <si>
    <t>SEPLAG INC 21</t>
  </si>
  <si>
    <t>SEPLAG INC 22</t>
  </si>
  <si>
    <t>SEPLAG INC 23</t>
  </si>
  <si>
    <t>SEPLAG INC 24</t>
  </si>
  <si>
    <t>SEPLAG INC 25</t>
  </si>
  <si>
    <t>SEPLAG INC 26</t>
  </si>
  <si>
    <t>SEPLAG INC 27</t>
  </si>
  <si>
    <t>SEPLAG INC 28</t>
  </si>
  <si>
    <t>SEPLAG INC 29</t>
  </si>
  <si>
    <t>ILUMINAÇÃO SINALIZAÇÃO</t>
  </si>
  <si>
    <t>ESTRUTURA DE CONCRETO - INFRAESTRUTURA</t>
  </si>
  <si>
    <t>MOVIMENTO DE SOLO</t>
  </si>
  <si>
    <t>PREPARO DE FUNDO DE VALA COM LARGURA MENOR QUE 1,5 M (ACERTO DO SOLO NATURAL). AF_08/2020</t>
  </si>
  <si>
    <t>REATERRO MANUAL DE VALAS COM COMPACTAÇÃO MECANIZADA. AF_04/2016</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</si>
  <si>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</si>
  <si>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</si>
  <si>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</si>
  <si>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BLOCO, VIGA BALDRAME OU SAPATA UTILIZANDO AÇO CA-50 DE 10 MM - MONTAGEM. AF_06/2017</t>
  </si>
  <si>
    <t>ARMAÇÃO DE BLOCO, VIGA BALDRAME OU SAPATA UTILIZANDO AÇO CA-50 DE 12,5 MM - MONTAGEM. AF_06/2017</t>
  </si>
  <si>
    <t>ARMAÇÃO DE BLOCO, VIGA BALDRAME E SAPATA UTILIZANDO AÇO CA-60 DE 5 MM - MONTAGEM. AF_06/2017</t>
  </si>
  <si>
    <t>FABRICAÇÃO, MONTAGEM E DESMONTAGEM DE FÔRMA PARA VIGA BALDRAME, EM MADEIRA SERRADA, E=25 MM, 4 UTILIZAÇÕES. AF_06/2017</t>
  </si>
  <si>
    <t>FABRICAÇÃO DE FÔRMA PARA VIGAS, EM CHAPA DE MADEIRA COMPENSADA RESINADA, E = 17 MM. AF_09/2020</t>
  </si>
  <si>
    <t>CONCRETO FCK = 20MPA, TRAÇO 1:2,6:2,9 (EM MASSA SECA DE CIMENTO/ AREIA MÉDIA/ SEIXO ROLADO) - PREPARO MECÂNICO COM BETONEIRA 600 L. AF_05/2021</t>
  </si>
  <si>
    <t>FITA DE DEMARCAÇÃO 50MMX30M - COR VERMELHA</t>
  </si>
  <si>
    <t>SEPLAG INC 30</t>
  </si>
  <si>
    <t>ABRIGO METALICO PARA EXTINTORES 75X30X25</t>
  </si>
  <si>
    <t>SEPLAG INC 31</t>
  </si>
  <si>
    <t>EXTINTOR DE INCÊNDIO PORTÁTIL COM CARGA DE PQS DE 4 KG, CLASSE BC - FORNECIMENTO E INSTALAÇÃO. AF_10/2020_P</t>
  </si>
  <si>
    <t>COMPOSIÇÃO DE CUSTO UNITARIO SPDA</t>
  </si>
  <si>
    <t>SEPLAG SPDA 03</t>
  </si>
  <si>
    <t>SEPLAG SPDA 04</t>
  </si>
  <si>
    <t>SEPLAG SPDA 05</t>
  </si>
  <si>
    <t>CARTUCHO PARA SOLDA EXOTÊRMICA Nº 90</t>
  </si>
  <si>
    <t>CARTUCHO PARA SOLDA EXOTÊRMICA Nº 115</t>
  </si>
  <si>
    <t>TAMPA DE FERRO FUNDIDO 300MM PARA CAIXA DE INSPEÇÃO DE ATERRAMENTO</t>
  </si>
  <si>
    <t>CONECTOR DE MEDIÇÃO BIMETÁLICO TEL-565</t>
  </si>
  <si>
    <t>CAIXA DE INSPEÇÃO SUSPENSA PVC TEL-541</t>
  </si>
  <si>
    <t>TERMINAL AEREO BASE PLANA GALVANIZADO A QUENTE - BARRA CHATA</t>
  </si>
  <si>
    <t>ELETRODUTO RÍGIDO ROSCÁVEL, PVC, DN 32 MM (1"), PARA CIRCUITOS TERMINAIS, INSTALADO EM PAREDE - FORNECIMENTO E INSTALAÇÃO. AF_12/2015</t>
  </si>
  <si>
    <t>CORDOALHA DE COBRE NU 50 MM², NÃO ENTERRADA, COM ISOLADOR - FORNECIMENTO E INSTALAÇÃO. AF_12/2017</t>
  </si>
  <si>
    <t>SETOP ED-48442</t>
  </si>
  <si>
    <t>SEPLAG SPDA 01</t>
  </si>
  <si>
    <t>SEPLAG SPDA 02</t>
  </si>
  <si>
    <t>SEPLAG SPDA 06</t>
  </si>
  <si>
    <t>SEPLAG SPDA 07</t>
  </si>
  <si>
    <t>SEPLAG SPDA 08</t>
  </si>
  <si>
    <t>SEPLAG SPDA 09</t>
  </si>
  <si>
    <t>SEPLAG SPDA 10</t>
  </si>
  <si>
    <t>SEPLAG SPDA 11</t>
  </si>
  <si>
    <t>SEPLAG SPDA 12</t>
  </si>
  <si>
    <t>SEPLAG SPDA 13</t>
  </si>
  <si>
    <t>SILICONE ESTRUTURAL CARTUCHO BRANCA 420GR</t>
  </si>
  <si>
    <t>SEPLAG SPDA 14</t>
  </si>
  <si>
    <t>VALVULA DE SUCÇÃO 2.1/2", FORNECIMENTO E INSTALAÇÃO</t>
  </si>
  <si>
    <t>SETOP - ED-48287</t>
  </si>
  <si>
    <t>REGISTRO DE GAVETA 2.1/2" COM HASTE ASCENDENTE DE BRONZE, FORNECIMENTO E INSTALAÇÃO</t>
  </si>
  <si>
    <t>SENSOR DE FUMAÇA NC-102 OU SIMILAR</t>
  </si>
  <si>
    <t>SEPLAG INC 32</t>
  </si>
  <si>
    <t>SEPLAG INC 33</t>
  </si>
  <si>
    <t>SEPLAG INC 34</t>
  </si>
  <si>
    <t>SEPLAG INC 35</t>
  </si>
  <si>
    <t>EXECUÇÃO DE ALMOXARIFADO EM CANTEIRO DE OBRA EM CHAPA DE MADEIRA COMPENSADA, INCLUSO PRATELEIRAS. AF_02/2016</t>
  </si>
  <si>
    <t xml:space="preserve">FONTE: SETOP ED-48450 </t>
  </si>
  <si>
    <t>SETOP ED-17821</t>
  </si>
  <si>
    <t>COMPOSICAO</t>
  </si>
  <si>
    <t>LOUÇAS E METAIS</t>
  </si>
  <si>
    <t>APLICAÇÃO MANUAL DE FUNDO SELADOR ACRÍLICO EM PANOS COM PRESENÇA DE VÃOS DE EDIFÍCIOS DE MÚLTIPLOS PAVIMENTOS. AF_06/2014</t>
  </si>
  <si>
    <t>APLICAÇÃO MANUAL DE MASSA ACRÍLICA EM PANOS DE FACHADA COM PRESENÇA DE VÃOS, DE EDIFÍCIOS DE MÚLTIPLOS PAVIMENTOS, DUAS DEMÃOS. AF_05/2017</t>
  </si>
  <si>
    <t>APLICAÇÃO MANUAL DE TINTA LÁTEX ACRÍLICA EM PANOS COM PRESENÇA DE VÃOS DE EDIFÍCIOS DE MÚLTIPLOS PAVIMENTOS, DUAS DEMÃOS. AF_11/2016</t>
  </si>
  <si>
    <t>VASO SANITARIO SIFONADO CONVENCIONAL COM LOUÇA BRANCA, INCLUSO CONJUNTO DE LIGAÇÃO PARA BACIA SANITÁRIA AJUSTÁVEL - FORNECIMENTO E INSTALAÇÃO. AF_10/2016</t>
  </si>
  <si>
    <t>SEPLAG ARQ 01</t>
  </si>
  <si>
    <t>SEPLAG ARQ 02</t>
  </si>
  <si>
    <t>SEPLAG ARQ 03</t>
  </si>
  <si>
    <t>SEPLAG ARQ 04</t>
  </si>
  <si>
    <t>SEPLAG ARQ 05</t>
  </si>
  <si>
    <t>SEPLAG ARQ 06</t>
  </si>
  <si>
    <t>SEPLAG ARQ 07</t>
  </si>
  <si>
    <t>SEPLAG ARQ 08</t>
  </si>
  <si>
    <t>SEPLAG ARQ 09</t>
  </si>
  <si>
    <t>SEPLAG ARQ 10</t>
  </si>
  <si>
    <t>SEPLAG ARQ 11</t>
  </si>
  <si>
    <t>SEPLAG ARQ 12</t>
  </si>
  <si>
    <t>SEPLAG ARQ 13</t>
  </si>
  <si>
    <t>SEPLAG  ARQ 14</t>
  </si>
  <si>
    <t>SEPLAG ARQ 15</t>
  </si>
  <si>
    <t>SEPLAG ARQ 16</t>
  </si>
  <si>
    <t>SEPLAG ARQ 17</t>
  </si>
  <si>
    <t>SEPLAG  ARQ 18</t>
  </si>
  <si>
    <t>SEPLAG  ARQ 19</t>
  </si>
  <si>
    <t>SEPLAG  ARQ 20</t>
  </si>
  <si>
    <t>SEPLAG ARQ 21</t>
  </si>
  <si>
    <t>SEPLAG  ARQ 22</t>
  </si>
  <si>
    <t>SEPLAG ARQ 23</t>
  </si>
  <si>
    <t>SEPLAG ARQ 24</t>
  </si>
  <si>
    <t>SEPLAG ARQ 25</t>
  </si>
  <si>
    <t>SEPLAG ARQ 26</t>
  </si>
  <si>
    <t>SEPLAG ARQ 27</t>
  </si>
  <si>
    <t>SEPLAG ARQ 28</t>
  </si>
  <si>
    <t>SEPLAG ARQ 29</t>
  </si>
  <si>
    <t>SEPLAG ARQ 30</t>
  </si>
  <si>
    <t>SEPLAG ARQ 31</t>
  </si>
  <si>
    <t>SEPLAG ARQ 32</t>
  </si>
  <si>
    <t>SEPLAG ARQ 33</t>
  </si>
  <si>
    <t>SEPLAG ARQ 34</t>
  </si>
  <si>
    <t>SEPLAG ARQ 35</t>
  </si>
  <si>
    <t>SEPLAG ARQ 36</t>
  </si>
  <si>
    <t>SEPLAG ARQ 37</t>
  </si>
  <si>
    <t>SEPLAG ARQ 38</t>
  </si>
  <si>
    <t>SEPLAG ARQ 39</t>
  </si>
  <si>
    <t>SEPLAG ARQ 40</t>
  </si>
  <si>
    <t>SEPLAG ARQ 41</t>
  </si>
  <si>
    <t>SEPLAG ARQ 42</t>
  </si>
  <si>
    <t>SEPLAG ARQ 43</t>
  </si>
  <si>
    <t>SEPLAG ARQ 44</t>
  </si>
  <si>
    <t>SEPLAG ARQ 45</t>
  </si>
  <si>
    <t>SEPLAG ARQ 46</t>
  </si>
  <si>
    <t>SEPLAG ARQ 47</t>
  </si>
  <si>
    <t>FONTE: SEINFRA C4501</t>
  </si>
  <si>
    <t>TERMINAL A COMPRESSAO EM COBRE ESTANHADO PARA CABO 50 MM2, 1 FURO E 1 COMPRESSAO, PARA PARAFUSO DE FIXACAO M8, FORNECIMENTO E INSTALAÇÃO</t>
  </si>
  <si>
    <t>ABRACADEIRA EM ACO PARA AMARRACAO DE ELETRODUTOS, TIPO D, COM 1" E CUNHA DE FIXACAO, FORNECIMENTO E INSTALAÇÃO</t>
  </si>
  <si>
    <t>MOLDE PARA SOLDA EXOTÊRMICA HCL 3/4,5-5, FORNECIMENTO E INSTALAÇÃO</t>
  </si>
  <si>
    <t>CARTUCHO PARA SOLDA EXOTÊRMICA Nº 115, FORNECIMENTO E INSTALAÇÃO</t>
  </si>
  <si>
    <t>CARTUCHO PARA SOLDA EXOTÊRMICA Nº 90, FORNECIMENTO E INSTALAÇÃO</t>
  </si>
  <si>
    <t>TAMPA DE FERRO FUNDIDO 300MM PARA CAIXA DE INSPEÇÃO DE ATERRAMENTO, FORNECIMENTO E INSTALAÇÃO</t>
  </si>
  <si>
    <t>CONECTOR DE MEDIÇÃO BIMETÁLICO TEL-565, FORNECIMENTO E INSTALAÇÃO</t>
  </si>
  <si>
    <t>CAIXA DE INSPEÇÃO SUSPENSA PVC TEL-541, FORNECIMENTO E INSTALAÇÃO</t>
  </si>
  <si>
    <t>ABRACADEIRA DE LATAO PARA FIXACAO DE CABO PARA-RAIO, DIMENSOES 32 X 24 X 24 MM, FORNECIMENTO E INSTALAÇÃO</t>
  </si>
  <si>
    <t>TERMINAL AEREO BASE PLANA GALVANIZADO A QUENTE - BARRA CHATA, FORNECIMENTO E INSTALAÇÃO</t>
  </si>
  <si>
    <t>SILICONE ESTRUTURAL CARTUCHO BRANCA 420GR, FORNECIMENTO E INSTALAÇÃO</t>
  </si>
  <si>
    <t>15.1</t>
  </si>
  <si>
    <t>15.2</t>
  </si>
  <si>
    <t>SEPLAG ARQ 48</t>
  </si>
  <si>
    <t>BANCADA DE MÁRMORE BRANCO POLIDO, DE 1,50 X 0,60 M, PARA PIA DE COZINHA - FORNECIMENTO E INSTALAÇÃO. AF_01/2020</t>
  </si>
  <si>
    <t>FORRO EM PLACAS DE GESSO, PARA AMBIENTES COMERCIAIS. AF_05/2017_P</t>
  </si>
  <si>
    <t>FUNDAÇÃO</t>
  </si>
  <si>
    <t>SEPLAG  ARQ 49</t>
  </si>
  <si>
    <t xml:space="preserve">        PRECOS DE INSUMOS - BANCO NACIONAL</t>
  </si>
  <si>
    <t/>
  </si>
  <si>
    <t>LOCALIDADE: 4160 - CUIABA</t>
  </si>
  <si>
    <t>ENCARGOS SOCIAIS (%) HORISTA 113,04  MENSALISTA  71,63</t>
  </si>
  <si>
    <t xml:space="preserve">CODIGO  </t>
  </si>
  <si>
    <t>DESCRICAO DO INSUMO</t>
  </si>
  <si>
    <t xml:space="preserve">M2    </t>
  </si>
  <si>
    <t xml:space="preserve">UN    </t>
  </si>
  <si>
    <t xml:space="preserve">L     </t>
  </si>
  <si>
    <t xml:space="preserve">M     </t>
  </si>
  <si>
    <t xml:space="preserve">KG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</si>
  <si>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</si>
  <si>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</si>
  <si>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</si>
  <si>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</si>
  <si>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</si>
  <si>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</si>
  <si>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</si>
  <si>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</si>
  <si>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</si>
  <si>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</si>
  <si>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</si>
  <si>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</si>
  <si>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</si>
  <si>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</si>
  <si>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</si>
  <si>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</si>
  <si>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</si>
  <si>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</si>
  <si>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</si>
  <si>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</si>
  <si>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</si>
  <si>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</si>
  <si>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</si>
  <si>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</si>
  <si>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</si>
  <si>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</si>
  <si>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</si>
  <si>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</si>
  <si>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</si>
  <si>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</si>
  <si>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</si>
  <si>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</si>
  <si>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</si>
  <si>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</si>
  <si>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</si>
  <si>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</si>
  <si>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</si>
  <si>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</si>
  <si>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</si>
  <si>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</si>
  <si>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</si>
  <si>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</si>
  <si>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</si>
  <si>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</si>
  <si>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</si>
  <si>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</si>
  <si>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</si>
  <si>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</si>
  <si>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</si>
  <si>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</si>
  <si>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</si>
  <si>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</si>
  <si>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</si>
  <si>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</si>
  <si>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</si>
  <si>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</si>
  <si>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</si>
  <si>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</si>
  <si>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</si>
  <si>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</si>
  <si>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</si>
  <si>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</si>
  <si>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</si>
  <si>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</si>
  <si>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</si>
  <si>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</si>
  <si>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</si>
  <si>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</si>
  <si>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</si>
  <si>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</si>
  <si>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</si>
  <si>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</si>
  <si>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</si>
  <si>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</si>
  <si>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</si>
  <si>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</si>
  <si>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</si>
  <si>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</si>
  <si>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</si>
  <si>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</si>
  <si>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</si>
  <si>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</si>
  <si>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</si>
  <si>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</si>
  <si>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</si>
  <si>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</si>
  <si>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</si>
  <si>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</si>
  <si>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</si>
  <si>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</si>
  <si>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</si>
  <si>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</si>
  <si>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</si>
  <si>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</si>
  <si>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</si>
  <si>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</si>
  <si>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</si>
  <si>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</si>
  <si>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</si>
  <si>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</si>
  <si>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</si>
  <si>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</si>
  <si>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</si>
  <si>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</si>
  <si>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</si>
  <si>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</si>
  <si>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</si>
  <si>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</si>
  <si>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</si>
  <si>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</si>
  <si>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</si>
  <si>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</si>
  <si>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</si>
  <si>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</si>
  <si>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</si>
  <si>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</si>
  <si>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</si>
  <si>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</si>
  <si>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</si>
  <si>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</si>
  <si>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</si>
  <si>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</si>
  <si>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</si>
  <si>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</si>
  <si>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</si>
  <si>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</si>
  <si>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</si>
  <si>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</si>
  <si>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</si>
  <si>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</si>
  <si>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</si>
  <si>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</si>
  <si>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</si>
  <si>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</si>
  <si>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</si>
  <si>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</si>
  <si>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</si>
  <si>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</si>
  <si>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</si>
  <si>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</si>
  <si>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</si>
  <si>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</si>
  <si>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</si>
  <si>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</si>
  <si>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</si>
  <si>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</si>
  <si>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</si>
  <si>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</si>
  <si>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</si>
  <si>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</si>
  <si>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</si>
  <si>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</si>
  <si>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</si>
  <si>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</si>
  <si>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</si>
  <si>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</si>
  <si>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</si>
  <si>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</si>
  <si>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</si>
  <si>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</si>
  <si>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</si>
  <si>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</si>
  <si>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</si>
  <si>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</si>
  <si>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</si>
  <si>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</si>
  <si>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</si>
  <si>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</si>
  <si>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</si>
  <si>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</si>
  <si>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</si>
  <si>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</si>
  <si>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</si>
  <si>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</si>
  <si>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</si>
  <si>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</si>
  <si>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</si>
  <si>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</si>
  <si>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</si>
  <si>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</si>
  <si>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</si>
  <si>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</si>
  <si>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</si>
  <si>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</si>
  <si>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</si>
  <si>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</si>
  <si>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</si>
  <si>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</si>
  <si>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</si>
  <si>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</si>
  <si>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</si>
  <si>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</si>
  <si>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</si>
  <si>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</si>
  <si>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</si>
  <si>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</si>
  <si>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</si>
  <si>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</si>
  <si>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</si>
  <si>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</si>
  <si>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</si>
  <si>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</si>
  <si>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</si>
  <si>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</si>
  <si>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</si>
  <si>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</si>
  <si>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</si>
  <si>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</si>
  <si>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</si>
  <si>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</si>
  <si>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</si>
  <si>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</si>
  <si>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</si>
  <si>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</si>
  <si>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</si>
  <si>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</si>
  <si>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</si>
  <si>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</si>
  <si>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</si>
  <si>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</si>
  <si>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</si>
  <si>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</si>
  <si>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</si>
  <si>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</si>
  <si>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</si>
  <si>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</si>
  <si>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</si>
  <si>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</si>
  <si>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</si>
  <si>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</si>
  <si>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</si>
  <si>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</si>
  <si>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</si>
  <si>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</si>
  <si>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</si>
  <si>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</si>
  <si>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</si>
  <si>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</si>
  <si>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</si>
  <si>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</si>
  <si>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</si>
  <si>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</si>
  <si>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</si>
  <si>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</si>
  <si>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</si>
  <si>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</si>
  <si>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</si>
  <si>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</si>
  <si>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</si>
  <si>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</si>
  <si>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</si>
  <si>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</si>
  <si>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</si>
  <si>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</si>
  <si>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</si>
  <si>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</si>
  <si>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</si>
  <si>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</si>
  <si>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</si>
  <si>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</si>
  <si>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</si>
  <si>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</si>
  <si>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</si>
  <si>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</si>
  <si>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</si>
  <si>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</si>
  <si>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</si>
  <si>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</si>
  <si>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</si>
  <si>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</si>
  <si>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</si>
  <si>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</si>
  <si>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</si>
  <si>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</si>
  <si>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</si>
  <si>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</si>
  <si>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</si>
  <si>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</si>
  <si>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</si>
  <si>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</si>
  <si>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</si>
  <si>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</si>
  <si>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</si>
  <si>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</si>
  <si>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</si>
  <si>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</si>
  <si>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</si>
  <si>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</si>
  <si>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</si>
  <si>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</si>
  <si>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</si>
  <si>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</si>
  <si>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</si>
  <si>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</si>
  <si>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</si>
  <si>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</si>
  <si>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</si>
  <si>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</si>
  <si>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</si>
  <si>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</si>
  <si>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</si>
  <si>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</si>
  <si>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</si>
  <si>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</si>
  <si>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</si>
  <si>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</si>
  <si>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</si>
  <si>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</si>
  <si>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</si>
  <si>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</si>
  <si>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</si>
  <si>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</si>
  <si>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</si>
  <si>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</si>
  <si>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</si>
  <si>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</si>
  <si>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</si>
  <si>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</si>
  <si>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</si>
  <si>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</si>
  <si>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</si>
  <si>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</si>
  <si>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</si>
  <si>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</si>
  <si>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</si>
  <si>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</si>
  <si>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</si>
  <si>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</si>
  <si>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</si>
  <si>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</si>
  <si>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</si>
  <si>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</si>
  <si>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</si>
  <si>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</si>
  <si>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</si>
  <si>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</si>
  <si>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</si>
  <si>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</si>
  <si>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</si>
  <si>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</si>
  <si>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</si>
  <si>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</si>
  <si>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</si>
  <si>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</si>
  <si>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</si>
  <si>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</si>
  <si>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</si>
  <si>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</si>
  <si>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</si>
  <si>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</si>
  <si>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</si>
  <si>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</si>
  <si>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</si>
  <si>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</si>
  <si>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</si>
  <si>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</si>
  <si>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</si>
  <si>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</si>
  <si>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</si>
  <si>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</si>
  <si>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</si>
  <si>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</si>
  <si>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</si>
  <si>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</si>
  <si>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</si>
  <si>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</si>
  <si>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</si>
  <si>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</si>
  <si>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</si>
  <si>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</si>
  <si>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</si>
  <si>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</si>
  <si>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</si>
  <si>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</si>
  <si>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</si>
  <si>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</si>
  <si>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</si>
  <si>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</si>
  <si>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</si>
  <si>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</si>
  <si>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</si>
  <si>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</si>
  <si>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</si>
  <si>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</si>
  <si>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</si>
  <si>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</si>
  <si>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</si>
  <si>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</si>
  <si>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</si>
  <si>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</si>
  <si>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</si>
  <si>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</si>
  <si>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</si>
  <si>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</si>
  <si>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</si>
  <si>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</si>
  <si>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</si>
  <si>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</si>
  <si>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</si>
  <si>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</si>
  <si>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</si>
  <si>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</si>
  <si>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</si>
  <si>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</si>
  <si>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</si>
  <si>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</si>
  <si>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</si>
  <si>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</si>
  <si>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</si>
  <si>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</si>
  <si>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</si>
  <si>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</si>
  <si>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</si>
  <si>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</si>
  <si>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</si>
  <si>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</si>
  <si>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</si>
  <si>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</si>
  <si>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</si>
  <si>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</si>
  <si>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</si>
  <si>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</si>
  <si>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</si>
  <si>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</si>
  <si>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</si>
  <si>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</si>
  <si>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</si>
  <si>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</si>
  <si>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</si>
  <si>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</si>
  <si>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</si>
  <si>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</si>
  <si>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</si>
  <si>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</si>
  <si>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</si>
  <si>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</si>
  <si>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</si>
  <si>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</si>
  <si>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</si>
  <si>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</si>
  <si>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</si>
  <si>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</si>
  <si>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</si>
  <si>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</si>
  <si>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</si>
  <si>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</si>
  <si>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</si>
  <si>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</si>
  <si>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</si>
  <si>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</si>
  <si>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</si>
  <si>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</si>
  <si>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</si>
  <si>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</si>
  <si>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</si>
  <si>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</si>
  <si>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</si>
  <si>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</si>
  <si>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</si>
  <si>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</si>
  <si>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</si>
  <si>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</si>
  <si>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</si>
  <si>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</si>
  <si>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</si>
  <si>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</si>
  <si>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</si>
  <si>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</si>
  <si>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</si>
  <si>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</si>
  <si>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</si>
  <si>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</si>
  <si>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</si>
  <si>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</si>
  <si>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</si>
  <si>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</si>
  <si>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</si>
  <si>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</si>
  <si>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</si>
  <si>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</si>
  <si>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</si>
  <si>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</si>
  <si>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</si>
  <si>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</si>
  <si>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</si>
  <si>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</si>
  <si>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</si>
  <si>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</si>
  <si>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</si>
  <si>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</si>
  <si>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</si>
  <si>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</si>
  <si>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</si>
  <si>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</si>
  <si>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</si>
  <si>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</si>
  <si>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</si>
  <si>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</si>
  <si>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</si>
  <si>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</si>
  <si>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</si>
  <si>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</si>
  <si>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</si>
  <si>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</si>
  <si>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</si>
  <si>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</si>
  <si>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</si>
  <si>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</si>
  <si>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</si>
  <si>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</si>
  <si>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</si>
  <si>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</si>
  <si>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</si>
  <si>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</si>
  <si>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</si>
  <si>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</si>
  <si>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</si>
  <si>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</si>
  <si>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</si>
  <si>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</si>
  <si>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</si>
  <si>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</si>
  <si>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</si>
  <si>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</si>
  <si>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</si>
  <si>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</si>
  <si>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</si>
  <si>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</si>
  <si>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</si>
  <si>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</si>
  <si>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</si>
  <si>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</si>
  <si>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</si>
  <si>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</si>
  <si>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</si>
  <si>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</si>
  <si>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</si>
  <si>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</si>
  <si>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</si>
  <si>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</si>
  <si>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</si>
  <si>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</si>
  <si>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</si>
  <si>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</si>
  <si>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</si>
  <si>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</si>
  <si>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</si>
  <si>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</si>
  <si>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</si>
  <si>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</si>
  <si>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</si>
  <si>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</si>
  <si>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</si>
  <si>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</si>
  <si>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</si>
  <si>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</si>
  <si>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</si>
  <si>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</si>
  <si>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</si>
  <si>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</si>
  <si>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</si>
  <si>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</si>
  <si>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</si>
  <si>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</si>
  <si>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</si>
  <si>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</si>
  <si>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</si>
  <si>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</si>
  <si>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</si>
  <si>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</si>
  <si>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</si>
  <si>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</si>
  <si>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</si>
  <si>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</si>
  <si>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</si>
  <si>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</si>
  <si>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</si>
  <si>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</si>
  <si>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</si>
  <si>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</si>
  <si>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</si>
  <si>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</si>
  <si>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</si>
  <si>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</si>
  <si>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</si>
  <si>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</si>
  <si>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</si>
  <si>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</si>
  <si>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</si>
  <si>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</si>
  <si>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</si>
  <si>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</si>
  <si>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</si>
  <si>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</si>
  <si>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</si>
  <si>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</si>
  <si>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</si>
  <si>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</si>
  <si>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</si>
  <si>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</si>
  <si>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</si>
  <si>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</si>
  <si>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</si>
  <si>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</si>
  <si>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</si>
  <si>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</si>
  <si>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</si>
  <si>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</si>
  <si>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</si>
  <si>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</si>
  <si>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</si>
  <si>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</si>
  <si>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</si>
  <si>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</si>
  <si>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</si>
  <si>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</si>
  <si>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</si>
  <si>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</si>
  <si>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</si>
  <si>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</si>
  <si>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</si>
  <si>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</si>
  <si>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</si>
  <si>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</si>
  <si>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</si>
  <si>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</si>
  <si>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</si>
  <si>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</si>
  <si>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</si>
  <si>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</si>
  <si>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</si>
  <si>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</si>
  <si>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</si>
  <si>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</si>
  <si>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</si>
  <si>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</si>
  <si>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</si>
  <si>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</si>
  <si>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</si>
  <si>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</si>
  <si>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</si>
  <si>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</si>
  <si>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</si>
  <si>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</si>
  <si>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</si>
  <si>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</si>
  <si>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</si>
  <si>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</si>
  <si>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</si>
  <si>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</si>
  <si>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</si>
  <si>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</si>
  <si>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</si>
  <si>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</si>
  <si>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</si>
  <si>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</si>
  <si>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</si>
  <si>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</si>
  <si>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</si>
  <si>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</si>
  <si>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</si>
  <si>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</si>
  <si>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</si>
  <si>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</si>
  <si>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</si>
  <si>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</si>
  <si>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</si>
  <si>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</si>
  <si>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</si>
  <si>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</si>
  <si>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</si>
  <si>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</si>
  <si>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</si>
  <si>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</si>
  <si>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</si>
  <si>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</si>
  <si>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</si>
  <si>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</si>
  <si>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</si>
  <si>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</si>
  <si>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</si>
  <si>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</si>
  <si>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</si>
  <si>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</si>
  <si>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</si>
  <si>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</si>
  <si>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</si>
  <si>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</si>
  <si>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</si>
  <si>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</si>
  <si>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</si>
  <si>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</si>
  <si>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</si>
  <si>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</si>
  <si>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</si>
  <si>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</si>
  <si>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</si>
  <si>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</si>
  <si>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</si>
  <si>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</si>
  <si>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</si>
  <si>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</si>
  <si>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</si>
  <si>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</si>
  <si>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</si>
  <si>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</si>
  <si>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</si>
  <si>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</si>
  <si>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</si>
  <si>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</si>
  <si>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</si>
  <si>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</si>
  <si>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</si>
  <si>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</si>
  <si>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</si>
  <si>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</si>
  <si>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</si>
  <si>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</si>
  <si>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</si>
  <si>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</si>
  <si>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</si>
  <si>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</si>
  <si>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</si>
  <si>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</si>
  <si>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</si>
  <si>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</si>
  <si>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</si>
  <si>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</si>
  <si>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</si>
  <si>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</si>
  <si>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</si>
  <si>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</si>
  <si>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</si>
  <si>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</si>
  <si>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</si>
  <si>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</si>
  <si>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</si>
  <si>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</si>
  <si>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</si>
  <si>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</si>
  <si>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</si>
  <si>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</si>
  <si>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</si>
  <si>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</si>
  <si>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</si>
  <si>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</si>
  <si>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</si>
  <si>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</si>
  <si>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</si>
  <si>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</si>
  <si>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</si>
  <si>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</si>
  <si>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</si>
  <si>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</si>
  <si>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</si>
  <si>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</si>
  <si>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</si>
  <si>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</si>
  <si>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</si>
  <si>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</si>
  <si>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</si>
  <si>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</si>
  <si>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</si>
  <si>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</si>
  <si>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</si>
  <si>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</si>
  <si>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</si>
  <si>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</si>
  <si>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</si>
  <si>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</si>
  <si>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</si>
  <si>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</si>
  <si>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</si>
  <si>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</si>
  <si>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</si>
  <si>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</si>
  <si>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</si>
  <si>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</si>
  <si>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</si>
  <si>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</si>
  <si>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</si>
  <si>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</si>
  <si>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</si>
  <si>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</si>
  <si>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</si>
  <si>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</si>
  <si>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</si>
  <si>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</si>
  <si>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</si>
  <si>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</si>
  <si>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</si>
  <si>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</si>
  <si>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</si>
  <si>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</si>
  <si>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</si>
  <si>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</si>
  <si>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</si>
  <si>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</si>
  <si>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</si>
  <si>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</si>
  <si>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</si>
  <si>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</si>
  <si>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</si>
  <si>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</si>
  <si>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</si>
  <si>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</si>
  <si>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</si>
  <si>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</si>
  <si>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</si>
  <si>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</si>
  <si>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</si>
  <si>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</si>
  <si>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</si>
  <si>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</si>
  <si>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</si>
  <si>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</si>
  <si>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</si>
  <si>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</si>
  <si>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</si>
  <si>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</si>
  <si>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</si>
  <si>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</si>
  <si>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</si>
  <si>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</si>
  <si>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</si>
  <si>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</si>
  <si>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</si>
  <si>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</si>
  <si>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</si>
  <si>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</si>
  <si>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</si>
  <si>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</si>
  <si>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</si>
  <si>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</si>
  <si>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</si>
  <si>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</si>
  <si>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</si>
  <si>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</si>
  <si>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</si>
  <si>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</si>
  <si>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</si>
  <si>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</si>
  <si>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</si>
  <si>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</si>
  <si>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</si>
  <si>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</si>
  <si>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</si>
  <si>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</si>
  <si>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</si>
  <si>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</si>
  <si>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</si>
  <si>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</si>
  <si>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</si>
  <si>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</si>
  <si>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</si>
  <si>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</si>
  <si>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</si>
  <si>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</si>
  <si>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</si>
  <si>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</si>
  <si>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</si>
  <si>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</si>
  <si>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</si>
  <si>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</si>
  <si>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</si>
  <si>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</si>
  <si>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</si>
  <si>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</si>
  <si>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</si>
  <si>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</si>
  <si>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</si>
  <si>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</si>
  <si>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</si>
  <si>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</si>
  <si>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</si>
  <si>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</si>
  <si>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</si>
  <si>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</si>
  <si>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</si>
  <si>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</si>
  <si>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</si>
  <si>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</si>
  <si>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</si>
  <si>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</si>
  <si>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</si>
  <si>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</si>
  <si>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</si>
  <si>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</si>
  <si>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</si>
  <si>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</si>
  <si>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</si>
  <si>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</si>
  <si>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</si>
  <si>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</si>
  <si>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</si>
  <si>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</si>
  <si>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</si>
  <si>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</si>
  <si>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</si>
  <si>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</si>
  <si>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</si>
  <si>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</si>
  <si>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</si>
  <si>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</si>
  <si>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</si>
  <si>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</si>
  <si>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</si>
  <si>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</si>
  <si>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</si>
  <si>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</si>
  <si>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</si>
  <si>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</si>
  <si>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</si>
  <si>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</si>
  <si>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</si>
  <si>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</si>
  <si>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</si>
  <si>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</si>
  <si>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</si>
  <si>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</si>
  <si>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</si>
  <si>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</si>
  <si>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</si>
  <si>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</si>
  <si>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</si>
  <si>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</si>
  <si>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</si>
  <si>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</si>
  <si>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</si>
  <si>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</si>
  <si>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</si>
  <si>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</si>
  <si>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</si>
  <si>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</si>
  <si>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</si>
  <si>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</si>
  <si>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</si>
  <si>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</si>
  <si>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</si>
  <si>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</si>
  <si>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</si>
  <si>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</si>
  <si>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</si>
  <si>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</si>
  <si>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</si>
  <si>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</si>
  <si>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</si>
  <si>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</si>
  <si>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</si>
  <si>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</si>
  <si>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</si>
  <si>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</si>
  <si>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</si>
  <si>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</si>
  <si>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</si>
  <si>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</si>
  <si>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</si>
  <si>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</si>
  <si>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</si>
  <si>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</si>
  <si>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</si>
  <si>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</si>
  <si>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</si>
  <si>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</si>
  <si>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</si>
  <si>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</si>
  <si>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</si>
  <si>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</si>
  <si>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</si>
  <si>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</si>
  <si>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</si>
  <si>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</si>
  <si>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</si>
  <si>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</si>
  <si>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</si>
  <si>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</si>
  <si>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</si>
  <si>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</si>
  <si>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</si>
  <si>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</si>
  <si>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</si>
  <si>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</si>
  <si>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</si>
  <si>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</si>
  <si>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</si>
  <si>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</si>
  <si>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</si>
  <si>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</si>
  <si>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</si>
  <si>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</si>
  <si>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</si>
  <si>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</si>
  <si>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</si>
  <si>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</si>
  <si>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</si>
  <si>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</si>
  <si>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</si>
  <si>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</si>
  <si>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</si>
  <si>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</si>
  <si>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</si>
  <si>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</si>
  <si>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</si>
  <si>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</si>
  <si>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</si>
  <si>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</si>
  <si>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</si>
  <si>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</si>
  <si>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</si>
  <si>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</si>
  <si>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</si>
  <si>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</si>
  <si>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</si>
  <si>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</si>
  <si>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</si>
  <si>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</si>
  <si>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</si>
  <si>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</si>
  <si>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</si>
  <si>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</si>
  <si>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</si>
  <si>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</si>
  <si>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</si>
  <si>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</si>
  <si>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</si>
  <si>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</si>
  <si>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</si>
  <si>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</si>
  <si>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</si>
  <si>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</si>
  <si>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</si>
  <si>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</si>
  <si>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</si>
  <si>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</si>
  <si>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</si>
  <si>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</si>
  <si>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</si>
  <si>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</si>
  <si>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</si>
  <si>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</si>
  <si>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</si>
  <si>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</si>
  <si>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</si>
  <si>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</si>
  <si>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</si>
  <si>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</si>
  <si>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</si>
  <si>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</si>
  <si>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</si>
  <si>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</si>
  <si>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</si>
  <si>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</si>
  <si>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</si>
  <si>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</si>
  <si>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</si>
  <si>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</si>
  <si>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</si>
  <si>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</si>
  <si>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</si>
  <si>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</si>
  <si>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</si>
  <si>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</si>
  <si>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</si>
  <si>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</si>
  <si>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</si>
  <si>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</si>
  <si>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</si>
  <si>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</si>
  <si>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</si>
  <si>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</si>
  <si>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</si>
  <si>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</si>
  <si>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</si>
  <si>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</si>
  <si>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</si>
  <si>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</si>
  <si>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</si>
  <si>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</si>
  <si>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</si>
  <si>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</si>
  <si>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</si>
  <si>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</si>
  <si>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</si>
  <si>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</si>
  <si>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</si>
  <si>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</si>
  <si>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</si>
  <si>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</si>
  <si>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</si>
  <si>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</si>
  <si>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</si>
  <si>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</si>
  <si>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</si>
  <si>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</si>
  <si>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</si>
  <si>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</si>
  <si>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</si>
  <si>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</si>
  <si>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</si>
  <si>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</si>
  <si>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</si>
  <si>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</si>
  <si>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</si>
  <si>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</si>
  <si>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</si>
  <si>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</si>
  <si>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</si>
  <si>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</si>
  <si>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</si>
  <si>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</si>
  <si>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</si>
  <si>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</si>
  <si>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</si>
  <si>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</si>
  <si>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</si>
  <si>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</si>
  <si>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</si>
  <si>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</si>
  <si>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</si>
  <si>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</si>
  <si>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</si>
  <si>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</si>
  <si>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</si>
  <si>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</si>
  <si>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</si>
  <si>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</si>
  <si>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</si>
  <si>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</si>
  <si>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</si>
  <si>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</si>
  <si>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</si>
  <si>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</si>
  <si>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</si>
  <si>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</si>
  <si>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</si>
  <si>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</si>
  <si>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</si>
  <si>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</si>
  <si>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</si>
  <si>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</si>
  <si>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</si>
  <si>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</si>
  <si>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</si>
  <si>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</si>
  <si>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</si>
  <si>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</si>
  <si>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</si>
  <si>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</si>
  <si>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</si>
  <si>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</si>
  <si>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</si>
  <si>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</si>
  <si>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</si>
  <si>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</si>
  <si>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</si>
  <si>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</si>
  <si>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</si>
  <si>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</si>
  <si>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</si>
  <si>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</si>
  <si>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</si>
  <si>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</si>
  <si>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</si>
  <si>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</si>
  <si>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</si>
  <si>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</si>
  <si>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</si>
  <si>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</si>
  <si>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</si>
  <si>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</si>
  <si>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</si>
  <si>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</si>
  <si>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</si>
  <si>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</si>
  <si>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</si>
  <si>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</si>
  <si>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</si>
  <si>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</si>
  <si>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</si>
  <si>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</si>
  <si>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</si>
  <si>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</si>
  <si>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</si>
  <si>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</si>
  <si>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</si>
  <si>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</si>
  <si>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</si>
  <si>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</si>
  <si>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</si>
  <si>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</si>
  <si>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</si>
  <si>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</si>
  <si>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</si>
  <si>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</si>
  <si>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</si>
  <si>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</si>
  <si>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</si>
  <si>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</si>
  <si>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</si>
  <si>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</si>
  <si>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</si>
  <si>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</si>
  <si>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</si>
  <si>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</si>
  <si>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</si>
  <si>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</si>
  <si>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</si>
  <si>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</si>
  <si>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</si>
  <si>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</si>
  <si>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</si>
  <si>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</si>
  <si>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</si>
  <si>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</si>
  <si>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</si>
  <si>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</si>
  <si>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</si>
  <si>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</si>
  <si>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</si>
  <si>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</si>
  <si>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</si>
  <si>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</si>
  <si>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</si>
  <si>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</si>
  <si>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</si>
  <si>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</si>
  <si>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</si>
  <si>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</si>
  <si>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</si>
  <si>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</si>
  <si>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</si>
  <si>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</si>
  <si>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</si>
  <si>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</si>
  <si>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</si>
  <si>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</si>
  <si>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</si>
  <si>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</si>
  <si>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</si>
  <si>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</si>
  <si>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</si>
  <si>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</si>
  <si>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</si>
  <si>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</si>
  <si>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</si>
  <si>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</si>
  <si>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</si>
  <si>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</si>
  <si>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</si>
  <si>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</si>
  <si>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</si>
  <si>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</si>
  <si>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</si>
  <si>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</si>
  <si>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</si>
  <si>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</si>
  <si>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</si>
  <si>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</si>
  <si>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</si>
  <si>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</si>
  <si>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</si>
  <si>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</si>
  <si>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</si>
  <si>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</si>
  <si>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</si>
  <si>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</si>
  <si>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</si>
  <si>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</si>
  <si>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</si>
  <si>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</si>
  <si>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</si>
  <si>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</si>
  <si>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</si>
  <si>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</si>
  <si>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</si>
  <si>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</si>
  <si>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</si>
  <si>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</si>
  <si>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</si>
  <si>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</si>
  <si>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</si>
  <si>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</si>
  <si>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</si>
  <si>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</si>
  <si>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</si>
  <si>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</si>
  <si>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</si>
  <si>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</si>
  <si>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</si>
  <si>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</si>
  <si>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</si>
  <si>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</si>
  <si>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</si>
  <si>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</si>
  <si>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</si>
  <si>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</si>
  <si>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</si>
  <si>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</si>
  <si>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</si>
  <si>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</si>
  <si>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</si>
  <si>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</si>
  <si>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</si>
  <si>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</si>
  <si>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</si>
  <si>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</si>
  <si>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</si>
  <si>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</si>
  <si>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</si>
  <si>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</si>
  <si>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</si>
  <si>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</si>
  <si>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</si>
  <si>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</si>
  <si>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</si>
  <si>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</si>
  <si>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</si>
  <si>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</si>
  <si>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</si>
  <si>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</si>
  <si>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</si>
  <si>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</si>
  <si>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</si>
  <si>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</si>
  <si>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</si>
  <si>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</si>
  <si>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</si>
  <si>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</si>
  <si>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</si>
  <si>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</si>
  <si>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</si>
  <si>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</si>
  <si>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</si>
  <si>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</si>
  <si>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</si>
  <si>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</si>
  <si>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</si>
  <si>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</si>
  <si>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</si>
  <si>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</si>
  <si>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</si>
  <si>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</si>
  <si>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</si>
  <si>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</si>
  <si>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</si>
  <si>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</si>
  <si>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</si>
  <si>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</si>
  <si>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</si>
  <si>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</si>
  <si>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</si>
  <si>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</si>
  <si>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</si>
  <si>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</si>
  <si>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</si>
  <si>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</si>
  <si>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</si>
  <si>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</si>
  <si>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</si>
  <si>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</si>
  <si>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</si>
  <si>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</si>
  <si>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</si>
  <si>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</si>
  <si>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</si>
  <si>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</si>
  <si>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</si>
  <si>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</si>
  <si>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</si>
  <si>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</si>
  <si>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</si>
  <si>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</si>
  <si>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</si>
  <si>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</si>
  <si>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</si>
  <si>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</si>
  <si>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</si>
  <si>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</si>
  <si>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</si>
  <si>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</si>
  <si>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</si>
  <si>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</si>
  <si>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</si>
  <si>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</si>
  <si>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</si>
  <si>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</si>
  <si>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</si>
  <si>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</si>
  <si>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</si>
  <si>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</si>
  <si>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</si>
  <si>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</si>
  <si>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</si>
  <si>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</si>
  <si>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</si>
  <si>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</si>
  <si>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</si>
  <si>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</si>
  <si>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</si>
  <si>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</si>
  <si>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</si>
  <si>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</si>
  <si>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</si>
  <si>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</si>
  <si>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</si>
  <si>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</si>
  <si>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</si>
  <si>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</si>
  <si>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</si>
  <si>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</si>
  <si>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</si>
  <si>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</si>
  <si>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</si>
  <si>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</si>
  <si>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</si>
  <si>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</si>
  <si>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</si>
  <si>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</si>
  <si>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</si>
  <si>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</si>
  <si>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</si>
  <si>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</si>
  <si>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</si>
  <si>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</si>
  <si>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</si>
  <si>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</si>
  <si>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</si>
  <si>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</si>
  <si>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</si>
  <si>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</si>
  <si>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</si>
  <si>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</si>
  <si>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</si>
  <si>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</si>
  <si>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</si>
  <si>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</si>
  <si>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</si>
  <si>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</si>
  <si>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</si>
  <si>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</si>
  <si>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</si>
  <si>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</si>
  <si>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</si>
  <si>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</si>
  <si>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</si>
  <si>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</si>
  <si>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</si>
  <si>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</si>
  <si>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</si>
  <si>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</si>
  <si>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</si>
  <si>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</si>
  <si>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</si>
  <si>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</si>
  <si>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</si>
  <si>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</si>
  <si>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</si>
  <si>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</si>
  <si>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</si>
  <si>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</si>
  <si>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</si>
  <si>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</si>
  <si>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</si>
  <si>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</si>
  <si>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</si>
  <si>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</si>
  <si>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</si>
  <si>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</si>
  <si>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</si>
  <si>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</si>
  <si>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</si>
  <si>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</si>
  <si>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</si>
  <si>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</si>
  <si>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</si>
  <si>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</si>
  <si>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</si>
  <si>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</si>
  <si>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</si>
  <si>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</si>
  <si>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</si>
  <si>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</si>
  <si>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</si>
  <si>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</si>
  <si>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</si>
  <si>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</si>
  <si>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</si>
  <si>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</si>
  <si>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</si>
  <si>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</si>
  <si>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</si>
  <si>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</si>
  <si>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</si>
  <si>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</si>
  <si>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</si>
  <si>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</si>
  <si>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</si>
  <si>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</si>
  <si>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</si>
  <si>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</si>
  <si>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</si>
  <si>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</si>
  <si>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</si>
  <si>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</si>
  <si>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</si>
  <si>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</si>
  <si>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</si>
  <si>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</si>
  <si>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</si>
  <si>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</si>
  <si>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</si>
  <si>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</si>
  <si>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</si>
  <si>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</si>
  <si>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</si>
  <si>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</si>
  <si>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</si>
  <si>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</si>
  <si>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</si>
  <si>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</si>
  <si>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</si>
  <si>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</si>
  <si>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</si>
  <si>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</si>
  <si>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</si>
  <si>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</si>
  <si>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</si>
  <si>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</si>
  <si>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</si>
  <si>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</si>
  <si>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</si>
  <si>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</si>
  <si>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</si>
  <si>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</si>
  <si>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</si>
  <si>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</si>
  <si>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</si>
  <si>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</si>
  <si>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</si>
  <si>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</si>
  <si>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</si>
  <si>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</si>
  <si>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</si>
  <si>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</si>
  <si>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</si>
  <si>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</si>
  <si>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</si>
  <si>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</si>
  <si>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</si>
  <si>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</si>
  <si>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</si>
  <si>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</si>
  <si>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</si>
  <si>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</si>
  <si>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</si>
  <si>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</si>
  <si>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</si>
  <si>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</si>
  <si>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</si>
  <si>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</si>
  <si>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</si>
  <si>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</si>
  <si>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</si>
  <si>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</si>
  <si>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</si>
  <si>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</si>
  <si>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</si>
  <si>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</si>
  <si>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</si>
  <si>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</si>
  <si>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</si>
  <si>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</si>
  <si>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</si>
  <si>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</si>
  <si>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</si>
  <si>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</si>
  <si>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</si>
  <si>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</si>
  <si>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</si>
  <si>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</si>
  <si>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</si>
  <si>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</si>
  <si>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</si>
  <si>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</si>
  <si>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</si>
  <si>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</si>
  <si>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</si>
  <si>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</si>
  <si>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</si>
  <si>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</si>
  <si>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</si>
  <si>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</si>
  <si>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</si>
  <si>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</si>
  <si>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</si>
  <si>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</si>
  <si>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</si>
  <si>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</si>
  <si>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</si>
  <si>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</si>
  <si>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</si>
  <si>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</si>
  <si>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</si>
  <si>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</si>
  <si>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</si>
  <si>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</si>
  <si>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</si>
  <si>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</si>
  <si>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</si>
  <si>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</si>
  <si>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</si>
  <si>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</si>
  <si>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</si>
  <si>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</si>
  <si>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</si>
  <si>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</si>
  <si>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</si>
  <si>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</si>
  <si>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</si>
  <si>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</si>
  <si>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</si>
  <si>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</si>
  <si>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</si>
  <si>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</si>
  <si>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</si>
  <si>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</si>
  <si>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</si>
  <si>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</si>
  <si>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</si>
  <si>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</si>
  <si>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</si>
  <si>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</si>
  <si>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</si>
  <si>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</si>
  <si>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</si>
  <si>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</si>
  <si>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</si>
  <si>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</si>
  <si>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</si>
  <si>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</si>
  <si>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</si>
  <si>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</si>
  <si>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</si>
  <si>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</si>
  <si>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</si>
  <si>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</si>
  <si>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</si>
  <si>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</si>
  <si>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</si>
  <si>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</si>
  <si>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</si>
  <si>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</si>
  <si>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</si>
  <si>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</si>
  <si>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</si>
  <si>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</si>
  <si>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</si>
  <si>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</si>
  <si>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</si>
  <si>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</si>
  <si>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</si>
  <si>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</si>
  <si>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</si>
  <si>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</si>
  <si>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</si>
  <si>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</si>
  <si>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</si>
  <si>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</si>
  <si>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</si>
  <si>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</si>
  <si>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</si>
  <si>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</si>
  <si>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</si>
  <si>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</si>
  <si>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</si>
  <si>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</si>
  <si>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</si>
  <si>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</si>
  <si>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</si>
  <si>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</si>
  <si>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</si>
  <si>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</si>
  <si>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</si>
  <si>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</si>
  <si>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</si>
  <si>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</si>
  <si>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</si>
  <si>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</si>
  <si>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</si>
  <si>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</si>
  <si>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</si>
  <si>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</si>
  <si>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</si>
  <si>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</si>
  <si>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</si>
  <si>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</si>
  <si>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</si>
  <si>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</si>
  <si>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</si>
  <si>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</si>
  <si>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</si>
  <si>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</si>
  <si>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</si>
  <si>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</si>
  <si>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</si>
  <si>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</si>
  <si>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</si>
  <si>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</si>
  <si>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</si>
  <si>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</si>
  <si>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</si>
  <si>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</si>
  <si>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</si>
  <si>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</si>
  <si>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</si>
  <si>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</si>
  <si>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</si>
  <si>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</si>
  <si>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</si>
  <si>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</si>
  <si>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</si>
  <si>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</si>
  <si>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</si>
  <si>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</si>
  <si>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</si>
  <si>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</si>
  <si>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</si>
  <si>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</si>
  <si>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</si>
  <si>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</si>
  <si>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</si>
  <si>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</si>
  <si>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</si>
  <si>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</si>
  <si>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</si>
  <si>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</si>
  <si>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</si>
  <si>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</si>
  <si>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</si>
  <si>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</si>
  <si>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</si>
  <si>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</si>
  <si>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</si>
  <si>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</si>
  <si>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</si>
  <si>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</si>
  <si>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</si>
  <si>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</si>
  <si>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</si>
  <si>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</si>
  <si>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</si>
  <si>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</si>
  <si>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</si>
  <si>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</si>
  <si>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</si>
  <si>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</si>
  <si>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</si>
  <si>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</si>
  <si>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</si>
  <si>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</si>
  <si>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</si>
  <si>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</si>
  <si>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</si>
  <si>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</si>
  <si>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</si>
  <si>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</si>
  <si>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</si>
  <si>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</si>
  <si>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</si>
  <si>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</si>
  <si>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</si>
  <si>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</si>
  <si>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</si>
  <si>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</si>
  <si>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</si>
  <si>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</si>
  <si>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</si>
  <si>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</si>
  <si>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</si>
  <si>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</si>
  <si>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</si>
  <si>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</si>
  <si>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</si>
  <si>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</si>
  <si>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</si>
  <si>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</si>
  <si>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</si>
  <si>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</si>
  <si>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</si>
  <si>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</si>
  <si>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</si>
  <si>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</si>
  <si>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</si>
  <si>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</si>
  <si>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</si>
  <si>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</si>
  <si>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</si>
  <si>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</si>
  <si>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</si>
  <si>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</si>
  <si>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</si>
  <si>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</si>
  <si>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</si>
  <si>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</si>
  <si>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</si>
  <si>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</si>
  <si>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</si>
  <si>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</si>
  <si>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</si>
  <si>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</si>
  <si>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</si>
  <si>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</si>
  <si>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</si>
  <si>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</si>
  <si>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</si>
  <si>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</si>
  <si>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</si>
  <si>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</si>
  <si>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</si>
  <si>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</si>
  <si>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</si>
  <si>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</si>
  <si>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</si>
  <si>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</si>
  <si>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</si>
  <si>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</si>
  <si>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</si>
  <si>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</si>
  <si>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</si>
  <si>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</si>
  <si>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</si>
  <si>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</si>
  <si>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</si>
  <si>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</si>
  <si>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</si>
  <si>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</si>
  <si>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</si>
  <si>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</si>
  <si>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</si>
  <si>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</si>
  <si>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</si>
  <si>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</si>
  <si>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</si>
  <si>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</si>
  <si>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</si>
  <si>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</si>
  <si>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</si>
  <si>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</si>
  <si>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</si>
  <si>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</si>
  <si>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</si>
  <si>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</si>
  <si>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</si>
  <si>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</si>
  <si>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</si>
  <si>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</si>
  <si>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</si>
  <si>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</si>
  <si>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</si>
  <si>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</si>
  <si>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</si>
  <si>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</si>
  <si>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</si>
  <si>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</si>
  <si>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</si>
  <si>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</si>
  <si>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</si>
  <si>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</si>
  <si>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</si>
  <si>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</si>
  <si>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</si>
  <si>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</si>
  <si>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</si>
  <si>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</si>
  <si>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</si>
  <si>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</si>
  <si>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</si>
  <si>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</si>
  <si>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</si>
  <si>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</si>
  <si>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</si>
  <si>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</si>
  <si>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</si>
  <si>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</si>
  <si>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</si>
  <si>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</si>
  <si>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</si>
  <si>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</si>
  <si>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</si>
  <si>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</si>
  <si>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</si>
  <si>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</si>
  <si>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</si>
  <si>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</si>
  <si>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</si>
  <si>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</si>
  <si>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</si>
  <si>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</si>
  <si>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</si>
  <si>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</si>
  <si>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</si>
  <si>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</si>
  <si>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</si>
  <si>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</si>
  <si>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</si>
  <si>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</si>
  <si>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</si>
  <si>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</si>
  <si>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</si>
  <si>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</si>
  <si>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</si>
  <si>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</si>
  <si>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</si>
  <si>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</si>
  <si>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</si>
  <si>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</si>
  <si>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</si>
  <si>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</si>
  <si>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</si>
  <si>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</si>
  <si>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</si>
  <si>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</si>
  <si>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</si>
  <si>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</si>
  <si>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</si>
  <si>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</si>
  <si>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</si>
  <si>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</si>
  <si>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</si>
  <si>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</si>
  <si>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</si>
  <si>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</si>
  <si>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</si>
  <si>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</si>
  <si>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</si>
  <si>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</si>
  <si>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</si>
  <si>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</si>
  <si>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</si>
  <si>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</si>
  <si>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</si>
  <si>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</si>
  <si>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</si>
  <si>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</si>
  <si>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</si>
  <si>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</si>
  <si>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</si>
  <si>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</si>
  <si>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</si>
  <si>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</si>
  <si>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</si>
  <si>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</si>
  <si>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</si>
  <si>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</si>
  <si>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</si>
  <si>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</si>
  <si>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</si>
  <si>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</si>
  <si>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</si>
  <si>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</si>
  <si>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</si>
  <si>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</si>
  <si>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</si>
  <si>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</si>
  <si>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</si>
  <si>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</si>
  <si>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</si>
  <si>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</si>
  <si>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</si>
  <si>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</si>
  <si>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</si>
  <si>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</si>
  <si>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</si>
  <si>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</si>
  <si>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</si>
  <si>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</si>
  <si>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</si>
  <si>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</si>
  <si>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</si>
  <si>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</si>
  <si>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</si>
  <si>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</si>
  <si>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</si>
  <si>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</si>
  <si>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</si>
  <si>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</si>
  <si>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</si>
  <si>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</si>
  <si>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</si>
  <si>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</si>
  <si>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</si>
  <si>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</si>
  <si>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</si>
  <si>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</si>
  <si>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</si>
  <si>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</si>
  <si>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</si>
  <si>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</si>
  <si>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</si>
  <si>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</si>
  <si>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</si>
  <si>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</si>
  <si>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</si>
  <si>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</si>
  <si>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</si>
  <si>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</si>
  <si>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</si>
  <si>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</si>
  <si>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</si>
  <si>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</si>
  <si>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</si>
  <si>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</si>
  <si>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</si>
  <si>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</si>
  <si>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</si>
  <si>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</si>
  <si>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</si>
  <si>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</si>
  <si>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</si>
  <si>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</si>
  <si>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</si>
  <si>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</si>
  <si>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</si>
  <si>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</si>
  <si>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</si>
  <si>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</si>
  <si>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</si>
  <si>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</si>
  <si>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</si>
  <si>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</si>
  <si>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</si>
  <si>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</si>
  <si>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</si>
  <si>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</si>
  <si>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</si>
  <si>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</si>
  <si>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</si>
  <si>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</si>
  <si>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</si>
  <si>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</si>
  <si>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</si>
  <si>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</si>
  <si>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</si>
  <si>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</si>
  <si>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</si>
  <si>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</si>
  <si>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</si>
  <si>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</si>
  <si>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</si>
  <si>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</si>
  <si>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</si>
  <si>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</si>
  <si>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</si>
  <si>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</si>
  <si>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</si>
  <si>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</si>
  <si>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</si>
  <si>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</si>
  <si>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</si>
  <si>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</si>
  <si>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</si>
  <si>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</si>
  <si>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</si>
  <si>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</si>
  <si>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</si>
  <si>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</si>
  <si>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</si>
  <si>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</si>
  <si>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</si>
  <si>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</si>
  <si>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</si>
  <si>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</si>
  <si>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</si>
  <si>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</si>
  <si>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</si>
  <si>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</si>
  <si>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</si>
  <si>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</si>
  <si>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</si>
  <si>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</si>
  <si>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</si>
  <si>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</si>
  <si>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</si>
  <si>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</si>
  <si>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</si>
  <si>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</si>
  <si>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</si>
  <si>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</si>
  <si>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</si>
  <si>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</si>
  <si>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</si>
  <si>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</si>
  <si>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</si>
  <si>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</si>
  <si>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</si>
  <si>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</si>
  <si>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</si>
  <si>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</si>
  <si>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</si>
  <si>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</si>
  <si>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</si>
  <si>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</si>
  <si>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</si>
  <si>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</si>
  <si>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</si>
  <si>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</si>
  <si>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</si>
  <si>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</si>
  <si>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</si>
  <si>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</si>
  <si>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</si>
  <si>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</si>
  <si>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</si>
  <si>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</si>
  <si>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</si>
  <si>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</si>
  <si>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</si>
  <si>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</si>
  <si>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</si>
  <si>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</si>
  <si>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</si>
  <si>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</si>
  <si>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</si>
  <si>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</si>
  <si>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</si>
  <si>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</si>
  <si>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</si>
  <si>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</si>
  <si>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</si>
  <si>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</si>
  <si>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</si>
  <si>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</si>
  <si>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</si>
  <si>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</si>
  <si>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</si>
  <si>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</si>
  <si>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</si>
  <si>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</si>
  <si>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</si>
  <si>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</si>
  <si>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</si>
  <si>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</si>
  <si>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</si>
  <si>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</si>
  <si>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</si>
  <si>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</si>
  <si>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</si>
  <si>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</si>
  <si>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</si>
  <si>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</si>
  <si>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</si>
  <si>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</si>
  <si>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</si>
  <si>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</si>
  <si>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</si>
  <si>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</si>
  <si>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</si>
  <si>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</si>
  <si>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</si>
  <si>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</si>
  <si>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</si>
  <si>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</si>
  <si>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</si>
  <si>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</si>
  <si>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</si>
  <si>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</si>
  <si>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</si>
  <si>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</si>
  <si>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</si>
  <si>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</si>
  <si>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</si>
  <si>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</si>
  <si>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</si>
  <si>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</si>
  <si>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</si>
  <si>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</si>
  <si>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</si>
  <si>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</si>
  <si>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</si>
  <si>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</si>
  <si>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</si>
  <si>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</si>
  <si>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</si>
  <si>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</si>
  <si>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</si>
  <si>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</si>
  <si>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</si>
  <si>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</si>
  <si>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</si>
  <si>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</si>
  <si>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</si>
  <si>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</si>
  <si>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</si>
  <si>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</si>
  <si>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</si>
  <si>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</si>
  <si>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</si>
  <si>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</si>
  <si>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</si>
  <si>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</si>
  <si>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</si>
  <si>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</si>
  <si>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</si>
  <si>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</si>
  <si>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</si>
  <si>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</si>
  <si>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</si>
  <si>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</si>
  <si>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</si>
  <si>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</si>
  <si>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</si>
  <si>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</si>
  <si>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</si>
  <si>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</si>
  <si>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</si>
  <si>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</si>
  <si>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</si>
  <si>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</si>
  <si>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</si>
  <si>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</si>
  <si>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</si>
  <si>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</si>
  <si>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</si>
  <si>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</si>
  <si>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</si>
  <si>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</si>
  <si>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</si>
  <si>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</si>
  <si>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</si>
  <si>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</si>
  <si>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</si>
  <si>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</si>
  <si>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</si>
  <si>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</si>
  <si>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</si>
  <si>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</si>
  <si>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</si>
  <si>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</si>
  <si>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</si>
  <si>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</si>
  <si>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</si>
  <si>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</si>
  <si>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</si>
  <si>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</si>
  <si>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</si>
  <si>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</si>
  <si>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</si>
  <si>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</si>
  <si>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</si>
  <si>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</si>
  <si>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</si>
  <si>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</si>
  <si>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</si>
  <si>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</si>
  <si>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</si>
  <si>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</si>
  <si>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</si>
  <si>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</si>
  <si>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</si>
  <si>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</si>
  <si>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</si>
  <si>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</si>
  <si>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</si>
  <si>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</si>
  <si>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</si>
  <si>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</si>
  <si>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</si>
  <si>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</si>
  <si>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</si>
  <si>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</si>
  <si>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</si>
  <si>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</si>
  <si>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</si>
  <si>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</si>
  <si>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</si>
  <si>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</si>
  <si>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</si>
  <si>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</si>
  <si>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</si>
  <si>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</si>
  <si>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</si>
  <si>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</si>
  <si>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</si>
  <si>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</si>
  <si>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</si>
  <si>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</si>
  <si>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</si>
  <si>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</si>
  <si>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</si>
  <si>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</si>
  <si>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</si>
  <si>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</si>
  <si>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</si>
  <si>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</si>
  <si>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</si>
  <si>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</si>
  <si>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</si>
  <si>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</si>
  <si>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</si>
  <si>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</si>
  <si>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</si>
  <si>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</si>
  <si>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</si>
  <si>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</si>
  <si>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</si>
  <si>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</si>
  <si>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</si>
  <si>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</si>
  <si>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</si>
  <si>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</si>
  <si>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</si>
  <si>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</si>
  <si>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</si>
  <si>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</si>
  <si>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</si>
  <si>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</si>
  <si>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</si>
  <si>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</si>
  <si>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</si>
  <si>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</si>
  <si>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</si>
  <si>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</si>
  <si>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</si>
  <si>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</si>
  <si>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</si>
  <si>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</si>
  <si>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</si>
  <si>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</si>
  <si>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</si>
  <si>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</si>
  <si>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</si>
  <si>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</si>
  <si>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</si>
  <si>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</si>
  <si>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</si>
  <si>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</si>
  <si>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</si>
  <si>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</si>
  <si>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</si>
  <si>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</si>
  <si>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</si>
  <si>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</si>
  <si>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</si>
  <si>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</si>
  <si>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</si>
  <si>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</si>
  <si>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</si>
  <si>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</si>
  <si>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</si>
  <si>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</si>
  <si>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</si>
  <si>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</si>
  <si>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</si>
  <si>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</si>
  <si>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</si>
  <si>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</si>
  <si>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</si>
  <si>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</si>
  <si>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</si>
  <si>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</si>
  <si>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</si>
  <si>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</si>
  <si>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</si>
  <si>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</si>
  <si>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</si>
  <si>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</si>
  <si>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</si>
  <si>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</si>
  <si>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</si>
  <si>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</si>
  <si>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</si>
  <si>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</si>
  <si>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</si>
  <si>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</si>
  <si>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</si>
  <si>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</si>
  <si>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</si>
  <si>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</si>
  <si>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</si>
  <si>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</si>
  <si>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</si>
  <si>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</si>
  <si>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</si>
  <si>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</si>
  <si>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</si>
  <si>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</si>
  <si>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</si>
  <si>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</si>
  <si>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</si>
  <si>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</si>
  <si>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</si>
  <si>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</si>
  <si>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</si>
  <si>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</si>
  <si>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</si>
  <si>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</si>
  <si>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</si>
  <si>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</si>
  <si>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</si>
  <si>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</si>
  <si>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</si>
  <si>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</si>
  <si>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</si>
  <si>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</si>
  <si>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</si>
  <si>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</si>
  <si>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</si>
  <si>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</si>
  <si>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</si>
  <si>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</si>
  <si>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</si>
  <si>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</si>
  <si>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</si>
  <si>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</si>
  <si>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</si>
  <si>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</si>
  <si>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</si>
  <si>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</si>
  <si>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</si>
  <si>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</si>
  <si>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</si>
  <si>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</si>
  <si>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</si>
  <si>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</si>
  <si>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</si>
  <si>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</si>
  <si>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</si>
  <si>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</si>
  <si>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</si>
  <si>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</si>
  <si>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</si>
  <si>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</si>
  <si>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</si>
  <si>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</si>
  <si>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</si>
  <si>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</si>
  <si>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</si>
  <si>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</si>
  <si>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</si>
  <si>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</si>
  <si>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</si>
  <si>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</si>
  <si>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</si>
  <si>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</si>
  <si>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</si>
  <si>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</si>
  <si>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</si>
  <si>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</si>
  <si>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</si>
  <si>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</si>
  <si>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</si>
  <si>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</si>
  <si>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</si>
  <si>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</si>
  <si>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</si>
  <si>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</si>
  <si>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</si>
  <si>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</si>
  <si>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</si>
  <si>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</si>
  <si>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</si>
  <si>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</si>
  <si>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</si>
  <si>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</si>
  <si>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</si>
  <si>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</si>
  <si>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</si>
  <si>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</si>
  <si>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</si>
  <si>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</si>
  <si>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</si>
  <si>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</si>
  <si>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</si>
  <si>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</si>
  <si>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</si>
  <si>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</si>
  <si>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</si>
  <si>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</si>
  <si>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</si>
  <si>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</si>
  <si>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</si>
  <si>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</si>
  <si>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</si>
  <si>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</si>
  <si>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</si>
  <si>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</si>
  <si>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</si>
  <si>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</si>
  <si>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</si>
  <si>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</si>
  <si>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</si>
  <si>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</si>
  <si>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</si>
  <si>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</si>
  <si>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</si>
  <si>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</si>
  <si>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</si>
  <si>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</si>
  <si>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</si>
  <si>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</si>
  <si>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</si>
  <si>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</si>
  <si>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</si>
  <si>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</si>
  <si>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</si>
  <si>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</si>
  <si>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</si>
  <si>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</si>
  <si>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</si>
  <si>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</si>
  <si>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</si>
  <si>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</si>
  <si>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</si>
  <si>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</si>
  <si>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</si>
  <si>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</si>
  <si>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</si>
  <si>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</si>
  <si>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</si>
  <si>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</si>
  <si>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</si>
  <si>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</si>
  <si>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</si>
  <si>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</si>
  <si>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</si>
  <si>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</si>
  <si>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</si>
  <si>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</si>
  <si>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</si>
  <si>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</si>
  <si>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</si>
  <si>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</si>
  <si>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</si>
  <si>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</si>
  <si>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</si>
  <si>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</si>
  <si>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</si>
  <si>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</si>
  <si>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</si>
  <si>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</si>
  <si>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</si>
  <si>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</si>
  <si>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</si>
  <si>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</si>
  <si>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</si>
  <si>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</si>
  <si>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</si>
  <si>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</si>
  <si>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</si>
  <si>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</si>
  <si>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</si>
  <si>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</si>
  <si>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</si>
  <si>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</si>
  <si>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</si>
  <si>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</si>
  <si>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</si>
  <si>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</si>
  <si>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</si>
  <si>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</si>
  <si>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</si>
  <si>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</si>
  <si>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</si>
  <si>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</si>
  <si>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</si>
  <si>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</si>
  <si>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</si>
  <si>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</si>
  <si>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</si>
  <si>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</si>
  <si>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</si>
  <si>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</si>
  <si>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</si>
  <si>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</si>
  <si>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</si>
  <si>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</si>
  <si>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</si>
  <si>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</si>
  <si>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</si>
  <si>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</si>
  <si>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</si>
  <si>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</si>
  <si>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</si>
  <si>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</si>
  <si>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</si>
  <si>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</si>
  <si>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</si>
  <si>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</si>
  <si>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</si>
  <si>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</si>
  <si>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</si>
  <si>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</si>
  <si>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</si>
  <si>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</si>
  <si>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</si>
  <si>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</si>
  <si>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</si>
  <si>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</si>
  <si>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</si>
  <si>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</si>
  <si>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</si>
  <si>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</si>
  <si>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</si>
  <si>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</si>
  <si>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</si>
  <si>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</si>
  <si>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</si>
  <si>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</si>
  <si>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</si>
  <si>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</si>
  <si>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</si>
  <si>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</si>
  <si>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</si>
  <si>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</si>
  <si>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</si>
  <si>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</si>
  <si>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</si>
  <si>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</si>
  <si>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</si>
  <si>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</si>
  <si>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</si>
  <si>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</si>
  <si>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</si>
  <si>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</si>
  <si>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</si>
  <si>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</si>
  <si>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</si>
  <si>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</si>
  <si>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</si>
  <si>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</si>
  <si>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</si>
  <si>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</si>
  <si>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</si>
  <si>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</si>
  <si>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</si>
  <si>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</si>
  <si>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</si>
  <si>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</si>
  <si>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</si>
  <si>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</si>
  <si>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</si>
  <si>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</si>
  <si>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</si>
  <si>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</si>
  <si>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</si>
  <si>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</si>
  <si>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</si>
  <si>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</si>
  <si>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</si>
  <si>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</si>
  <si>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</si>
  <si>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</si>
  <si>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</si>
  <si>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</si>
  <si>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</si>
  <si>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</si>
  <si>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</si>
  <si>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</si>
  <si>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</si>
  <si>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</si>
  <si>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</si>
  <si>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</si>
  <si>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</si>
  <si>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</si>
  <si>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</si>
  <si>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</si>
  <si>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</si>
  <si>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</si>
  <si>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</si>
  <si>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</si>
  <si>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</si>
  <si>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</si>
  <si>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</si>
  <si>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</si>
  <si>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</si>
  <si>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</si>
  <si>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</si>
  <si>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</si>
  <si>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</si>
  <si>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</si>
  <si>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</si>
  <si>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</si>
  <si>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</si>
  <si>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</si>
  <si>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</si>
  <si>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</si>
  <si>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</si>
  <si>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</si>
  <si>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</si>
  <si>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</si>
  <si>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</si>
  <si>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</si>
  <si>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</si>
  <si>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</si>
  <si>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</si>
  <si>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</si>
  <si>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</si>
  <si>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</si>
  <si>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</si>
  <si>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</si>
  <si>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</si>
  <si>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</si>
  <si>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</si>
  <si>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</si>
  <si>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</si>
  <si>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</si>
  <si>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</si>
  <si>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</si>
  <si>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</si>
  <si>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</si>
  <si>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</si>
  <si>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</si>
  <si>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</si>
  <si>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</si>
  <si>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</si>
  <si>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</si>
  <si>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</si>
  <si>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</si>
  <si>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</si>
  <si>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</si>
  <si>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</si>
  <si>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</si>
  <si>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</si>
  <si>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</si>
  <si>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</si>
  <si>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</si>
  <si>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</si>
  <si>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</si>
  <si>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</si>
  <si>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</si>
  <si>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</si>
  <si>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</si>
  <si>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</si>
  <si>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</si>
  <si>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</si>
  <si>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</si>
  <si>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</si>
  <si>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</si>
  <si>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</si>
  <si>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</si>
  <si>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</si>
  <si>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</si>
  <si>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</si>
  <si>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</si>
  <si>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</si>
  <si>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</si>
  <si>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</si>
  <si>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</si>
  <si>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</si>
  <si>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</si>
  <si>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</si>
  <si>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</si>
  <si>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</si>
  <si>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</si>
  <si>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</si>
  <si>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</si>
  <si>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</si>
  <si>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</si>
  <si>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</si>
  <si>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</si>
  <si>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</si>
  <si>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</si>
  <si>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</si>
  <si>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</si>
  <si>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</si>
  <si>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</si>
  <si>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</si>
  <si>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</si>
  <si>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</si>
  <si>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</si>
  <si>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</si>
  <si>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</si>
  <si>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</si>
  <si>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</si>
  <si>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</si>
  <si>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</si>
  <si>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</si>
  <si>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</si>
  <si>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</si>
  <si>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</si>
  <si>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</si>
  <si>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</si>
  <si>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</si>
  <si>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</si>
  <si>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</si>
  <si>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</si>
  <si>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</si>
  <si>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</si>
  <si>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</si>
  <si>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</si>
  <si>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</si>
  <si>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</si>
  <si>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</si>
  <si>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</si>
  <si>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</si>
  <si>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</si>
  <si>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</si>
  <si>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</si>
  <si>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</si>
  <si>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</si>
  <si>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</si>
  <si>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</si>
  <si>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</si>
  <si>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</si>
  <si>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</si>
  <si>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</si>
  <si>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</si>
  <si>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</si>
  <si>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</si>
  <si>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</si>
  <si>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</si>
  <si>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</si>
  <si>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</si>
  <si>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</si>
  <si>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</si>
  <si>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</si>
  <si>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</si>
  <si>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</si>
  <si>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</si>
  <si>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</si>
  <si>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</si>
  <si>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</si>
  <si>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</si>
  <si>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</si>
  <si>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</si>
  <si>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</si>
  <si>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</si>
  <si>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</si>
  <si>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</si>
  <si>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</si>
  <si>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</si>
  <si>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</si>
  <si>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</si>
  <si>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</si>
  <si>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</si>
  <si>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</si>
  <si>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</si>
  <si>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</si>
  <si>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</si>
  <si>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</si>
  <si>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</si>
  <si>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</si>
  <si>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</si>
  <si>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</si>
  <si>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</si>
  <si>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</si>
  <si>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</si>
  <si>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</si>
  <si>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</si>
  <si>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</si>
  <si>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</si>
  <si>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</si>
  <si>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</si>
  <si>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</si>
  <si>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</si>
  <si>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</si>
  <si>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</si>
  <si>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</si>
  <si>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</si>
  <si>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</si>
  <si>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</si>
  <si>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</si>
  <si>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</si>
  <si>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</si>
  <si>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</si>
  <si>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</si>
  <si>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</si>
  <si>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</si>
  <si>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</si>
  <si>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</si>
  <si>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</si>
  <si>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</si>
  <si>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</si>
  <si>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</si>
  <si>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</si>
  <si>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</si>
  <si>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</si>
  <si>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</si>
  <si>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</si>
  <si>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</si>
  <si>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</si>
  <si>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</si>
  <si>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</si>
  <si>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</si>
  <si>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</si>
  <si>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</si>
  <si>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</si>
  <si>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</si>
  <si>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</si>
  <si>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</si>
  <si>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</si>
  <si>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</si>
  <si>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</si>
  <si>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</si>
  <si>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</si>
  <si>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</si>
  <si>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</si>
  <si>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</si>
  <si>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</si>
  <si>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</si>
  <si>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</si>
  <si>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</si>
  <si>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</si>
  <si>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</si>
  <si>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</si>
  <si>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</si>
  <si>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</si>
  <si>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</si>
  <si>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</si>
  <si>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</si>
  <si>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</si>
  <si>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</si>
  <si>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</si>
  <si>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</si>
  <si>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</si>
  <si>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</si>
  <si>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</si>
  <si>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</si>
  <si>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</si>
  <si>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</si>
  <si>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</si>
  <si>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</si>
  <si>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</si>
  <si>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</si>
  <si>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</si>
  <si>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</si>
  <si>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</si>
  <si>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</si>
  <si>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</si>
  <si>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</si>
  <si>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</si>
  <si>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</si>
  <si>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</si>
  <si>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</si>
  <si>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</si>
  <si>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</si>
  <si>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</si>
  <si>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</si>
  <si>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</si>
  <si>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</si>
  <si>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</si>
  <si>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</si>
  <si>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</si>
  <si>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</si>
  <si>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</si>
  <si>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</si>
  <si>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</si>
  <si>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</si>
  <si>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</si>
  <si>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</si>
  <si>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</si>
  <si>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</si>
  <si>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</si>
  <si>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</si>
  <si>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</si>
  <si>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</si>
  <si>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</si>
  <si>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</si>
  <si>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</si>
  <si>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</si>
  <si>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</si>
  <si>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</si>
  <si>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</si>
  <si>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</si>
  <si>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</si>
  <si>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</si>
  <si>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</si>
  <si>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</si>
  <si>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</si>
  <si>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</si>
  <si>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</si>
  <si>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</si>
  <si>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</si>
  <si>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</si>
  <si>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</si>
  <si>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</si>
  <si>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</si>
  <si>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</si>
  <si>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</si>
  <si>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</si>
  <si>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</si>
  <si>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</si>
  <si>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</si>
  <si>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</si>
  <si>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</si>
  <si>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</si>
  <si>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CO2 DE 6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</si>
  <si>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</si>
  <si>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</si>
  <si>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</si>
  <si>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</si>
  <si>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</si>
  <si>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</si>
  <si>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</si>
  <si>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</si>
  <si>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</si>
  <si>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</si>
  <si>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</si>
  <si>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</si>
  <si>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</si>
  <si>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</si>
  <si>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</si>
  <si>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</si>
  <si>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</si>
  <si>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</si>
  <si>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</si>
  <si>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</si>
  <si>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</si>
  <si>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</si>
  <si>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</si>
  <si>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</si>
  <si>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</si>
  <si>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</si>
  <si>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</si>
  <si>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</si>
  <si>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</si>
  <si>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</si>
  <si>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</si>
  <si>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</si>
  <si>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</si>
  <si>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</si>
  <si>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</si>
  <si>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</si>
  <si>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</si>
  <si>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</si>
  <si>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</si>
  <si>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</si>
  <si>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</si>
  <si>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</si>
  <si>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</si>
  <si>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</si>
  <si>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</si>
  <si>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</si>
  <si>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</si>
  <si>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</si>
  <si>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</si>
  <si>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</si>
  <si>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</si>
  <si>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</si>
  <si>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</si>
  <si>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</si>
  <si>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</si>
  <si>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</si>
  <si>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</si>
  <si>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</si>
  <si>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</si>
  <si>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</si>
  <si>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</si>
  <si>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</si>
  <si>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</si>
  <si>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</si>
  <si>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</si>
  <si>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</si>
  <si>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</si>
  <si>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</si>
  <si>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</si>
  <si>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</si>
  <si>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</si>
  <si>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</si>
  <si>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</si>
  <si>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</si>
  <si>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</si>
  <si>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</si>
  <si>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</si>
  <si>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</si>
  <si>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</si>
  <si>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</si>
  <si>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</si>
  <si>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</si>
  <si>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</si>
  <si>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</si>
  <si>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</si>
  <si>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</si>
  <si>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</si>
  <si>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</si>
  <si>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</si>
  <si>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</si>
  <si>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</si>
  <si>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</si>
  <si>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</si>
  <si>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</si>
  <si>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</si>
  <si>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</si>
  <si>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</si>
  <si>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</si>
  <si>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</si>
  <si>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</si>
  <si>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</si>
  <si>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</si>
  <si>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</si>
  <si>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</si>
  <si>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</si>
  <si>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</si>
  <si>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</si>
  <si>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</si>
  <si>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</si>
  <si>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</si>
  <si>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</si>
  <si>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</si>
  <si>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</si>
  <si>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</si>
  <si>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</si>
  <si>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</si>
  <si>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</si>
  <si>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</si>
  <si>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</si>
  <si>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</si>
  <si>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</si>
  <si>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</si>
  <si>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</si>
  <si>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</si>
  <si>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</si>
  <si>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</si>
  <si>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</si>
  <si>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</si>
  <si>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</si>
  <si>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</si>
  <si>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</si>
  <si>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</si>
  <si>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</si>
  <si>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</si>
  <si>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</si>
  <si>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</si>
  <si>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</si>
  <si>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</si>
  <si>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</si>
  <si>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</si>
  <si>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</si>
  <si>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</si>
  <si>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</si>
  <si>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</si>
  <si>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</si>
  <si>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</si>
  <si>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</si>
  <si>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</si>
  <si>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</si>
  <si>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</si>
  <si>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</si>
  <si>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</si>
  <si>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</si>
  <si>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</si>
  <si>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</si>
  <si>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</si>
  <si>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</si>
  <si>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</si>
  <si>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</si>
  <si>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</si>
  <si>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</si>
  <si>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</si>
  <si>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</si>
  <si>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</si>
  <si>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</si>
  <si>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</si>
  <si>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</si>
  <si>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</si>
  <si>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</si>
  <si>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</si>
  <si>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</si>
  <si>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</si>
  <si>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</si>
  <si>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</si>
  <si>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</si>
  <si>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</si>
  <si>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</si>
  <si>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</si>
  <si>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</si>
  <si>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</si>
  <si>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</si>
  <si>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</si>
  <si>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</si>
  <si>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</si>
  <si>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</si>
  <si>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</si>
  <si>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</si>
  <si>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</si>
  <si>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</si>
  <si>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</si>
  <si>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</si>
  <si>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</si>
  <si>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</si>
  <si>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</si>
  <si>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</si>
  <si>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</si>
  <si>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</si>
  <si>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</si>
  <si>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</si>
  <si>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</si>
  <si>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</si>
  <si>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</si>
  <si>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</si>
  <si>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</si>
  <si>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</si>
  <si>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</si>
  <si>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</si>
  <si>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</si>
  <si>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</si>
  <si>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</si>
  <si>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</si>
  <si>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</si>
  <si>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</si>
  <si>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</si>
  <si>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</si>
  <si>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</si>
  <si>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</si>
  <si>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</si>
  <si>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</si>
  <si>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</si>
  <si>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</si>
  <si>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</si>
  <si>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</si>
  <si>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</si>
  <si>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</si>
  <si>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</si>
  <si>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</si>
  <si>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</si>
  <si>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</si>
  <si>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</si>
  <si>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</si>
  <si>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</si>
  <si>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</si>
  <si>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</si>
  <si>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</si>
  <si>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</si>
  <si>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</si>
  <si>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</si>
  <si>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</si>
  <si>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</si>
  <si>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</si>
  <si>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</si>
  <si>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</si>
  <si>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</si>
  <si>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</si>
  <si>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</si>
  <si>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</si>
  <si>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</si>
  <si>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</si>
  <si>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</si>
  <si>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</si>
  <si>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</si>
  <si>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</si>
  <si>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</si>
  <si>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</si>
  <si>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</si>
  <si>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</si>
  <si>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</si>
  <si>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</si>
  <si>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</si>
  <si>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</si>
  <si>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</si>
  <si>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</si>
  <si>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</si>
  <si>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</si>
  <si>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</si>
  <si>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</si>
  <si>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</si>
  <si>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</si>
  <si>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</si>
  <si>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</si>
  <si>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</si>
  <si>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</si>
  <si>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</si>
  <si>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</si>
  <si>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</si>
  <si>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</si>
  <si>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</si>
  <si>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</si>
  <si>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</si>
  <si>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</si>
  <si>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</si>
  <si>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</si>
  <si>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</si>
  <si>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</si>
  <si>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</si>
  <si>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</si>
  <si>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</si>
  <si>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</si>
  <si>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</si>
  <si>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</si>
  <si>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</si>
  <si>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</si>
  <si>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</si>
  <si>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</si>
  <si>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</si>
  <si>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</si>
  <si>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</si>
  <si>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</si>
  <si>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</si>
  <si>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</si>
  <si>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</si>
  <si>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</si>
  <si>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</si>
  <si>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</si>
  <si>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</si>
  <si>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</si>
  <si>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</si>
  <si>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</si>
  <si>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</si>
  <si>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</si>
  <si>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</si>
  <si>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</si>
  <si>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</si>
  <si>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</si>
  <si>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</si>
  <si>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</si>
  <si>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</si>
  <si>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</si>
  <si>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</si>
  <si>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</si>
  <si>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</si>
  <si>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</si>
  <si>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</si>
  <si>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</si>
  <si>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</si>
  <si>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</si>
  <si>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</si>
  <si>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</si>
  <si>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</si>
  <si>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</si>
  <si>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</si>
  <si>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</si>
  <si>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</si>
  <si>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</si>
  <si>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</si>
  <si>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</si>
  <si>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</si>
  <si>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</si>
  <si>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</si>
  <si>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</si>
  <si>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</si>
  <si>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</si>
  <si>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</si>
  <si>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</si>
  <si>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</si>
  <si>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</si>
  <si>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</si>
  <si>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</si>
  <si>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</si>
  <si>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</si>
  <si>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</si>
  <si>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</si>
  <si>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</si>
  <si>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</si>
  <si>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</si>
  <si>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</si>
  <si>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</si>
  <si>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</si>
  <si>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</si>
  <si>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</si>
  <si>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</si>
  <si>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</si>
  <si>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</si>
  <si>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</si>
  <si>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</si>
  <si>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</si>
  <si>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</si>
  <si>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</si>
  <si>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</si>
  <si>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</si>
  <si>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</si>
  <si>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</si>
  <si>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</si>
  <si>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</si>
  <si>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</si>
  <si>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</si>
  <si>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</si>
  <si>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</si>
  <si>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</si>
  <si>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</si>
  <si>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</si>
  <si>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</si>
  <si>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</si>
  <si>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</si>
  <si>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</si>
  <si>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</si>
  <si>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</si>
  <si>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</si>
  <si>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</si>
  <si>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</si>
  <si>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</si>
  <si>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</si>
  <si>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</si>
  <si>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</si>
  <si>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</si>
  <si>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</si>
  <si>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</si>
  <si>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</si>
  <si>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</si>
  <si>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</si>
  <si>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</si>
  <si>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</si>
  <si>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</si>
  <si>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</si>
  <si>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</si>
  <si>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</si>
  <si>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</si>
  <si>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</si>
  <si>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</si>
  <si>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</si>
  <si>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</si>
  <si>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</si>
  <si>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</si>
  <si>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</si>
  <si>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</si>
  <si>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</si>
  <si>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</si>
  <si>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</si>
  <si>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</si>
  <si>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</si>
  <si>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</si>
  <si>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</si>
  <si>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</si>
  <si>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</si>
  <si>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</si>
  <si>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</si>
  <si>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</si>
  <si>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</si>
  <si>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</si>
  <si>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</si>
  <si>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</si>
  <si>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</si>
  <si>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</si>
  <si>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</si>
  <si>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</si>
  <si>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</si>
  <si>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</si>
  <si>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</si>
  <si>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</si>
  <si>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</si>
  <si>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</si>
  <si>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</si>
  <si>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</si>
  <si>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</si>
  <si>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</si>
  <si>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</si>
  <si>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</si>
  <si>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</si>
  <si>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</si>
  <si>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</si>
  <si>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</si>
  <si>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</si>
  <si>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</si>
  <si>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</si>
  <si>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</si>
  <si>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</si>
  <si>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</si>
  <si>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</si>
  <si>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</si>
  <si>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</si>
  <si>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</si>
  <si>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</si>
  <si>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</si>
  <si>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</si>
  <si>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</si>
  <si>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</si>
  <si>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</si>
  <si>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</si>
  <si>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</si>
  <si>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</si>
  <si>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</si>
  <si>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</si>
  <si>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</si>
  <si>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</si>
  <si>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</si>
  <si>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</si>
  <si>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</si>
  <si>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</si>
  <si>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</si>
  <si>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</si>
  <si>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</si>
  <si>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</si>
  <si>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</si>
  <si>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</si>
  <si>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</si>
  <si>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</si>
  <si>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</si>
  <si>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</si>
  <si>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</si>
  <si>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</si>
  <si>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</si>
  <si>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</si>
  <si>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</si>
  <si>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</si>
  <si>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</si>
  <si>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</si>
  <si>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</si>
  <si>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</si>
  <si>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</si>
  <si>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</si>
  <si>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</si>
  <si>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</si>
  <si>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</si>
  <si>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</si>
  <si>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</si>
  <si>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</si>
  <si>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</si>
  <si>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</si>
  <si>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</si>
  <si>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</si>
  <si>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</si>
  <si>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</si>
  <si>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</si>
  <si>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</si>
  <si>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</si>
  <si>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</si>
  <si>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</si>
  <si>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</si>
  <si>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</si>
  <si>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</si>
  <si>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</si>
  <si>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</si>
  <si>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</si>
  <si>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</si>
  <si>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</si>
  <si>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</si>
  <si>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</si>
  <si>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</si>
  <si>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</si>
  <si>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</si>
  <si>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</si>
  <si>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</si>
  <si>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</si>
  <si>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</si>
  <si>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</si>
  <si>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</si>
  <si>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</si>
  <si>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</si>
  <si>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</si>
  <si>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</si>
  <si>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</si>
  <si>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</si>
  <si>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</si>
  <si>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</si>
  <si>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</si>
  <si>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</si>
  <si>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</si>
  <si>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</si>
  <si>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</si>
  <si>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</si>
  <si>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</si>
  <si>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</si>
  <si>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</si>
  <si>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</si>
  <si>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</si>
  <si>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</si>
  <si>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</si>
  <si>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</si>
  <si>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</si>
  <si>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</si>
  <si>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</si>
  <si>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</si>
  <si>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</si>
  <si>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</si>
  <si>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</si>
  <si>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</si>
  <si>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</si>
  <si>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</si>
  <si>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</si>
  <si>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</si>
  <si>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</si>
  <si>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</si>
  <si>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</si>
  <si>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</si>
  <si>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</si>
  <si>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</si>
  <si>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</si>
  <si>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</si>
  <si>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</si>
  <si>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</si>
  <si>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</si>
  <si>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</si>
  <si>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</si>
  <si>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</si>
  <si>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</si>
  <si>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</si>
  <si>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</si>
  <si>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</si>
  <si>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</si>
  <si>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</si>
  <si>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</si>
  <si>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</si>
  <si>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</si>
  <si>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</si>
  <si>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</si>
  <si>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</si>
  <si>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</si>
  <si>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</si>
  <si>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</si>
  <si>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</si>
  <si>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</si>
  <si>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</si>
  <si>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</si>
  <si>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</si>
  <si>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</si>
  <si>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</si>
  <si>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</si>
  <si>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</si>
  <si>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</si>
  <si>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</si>
  <si>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</si>
  <si>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</si>
  <si>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</si>
  <si>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</si>
  <si>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</si>
  <si>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</si>
  <si>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</si>
  <si>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</si>
  <si>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</si>
  <si>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</si>
  <si>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</si>
  <si>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</si>
  <si>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</si>
  <si>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</si>
  <si>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</si>
  <si>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</si>
  <si>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</si>
  <si>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</si>
  <si>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</si>
  <si>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</si>
  <si>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</si>
  <si>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</si>
  <si>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</si>
  <si>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</si>
  <si>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</si>
  <si>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</si>
  <si>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</si>
  <si>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</si>
  <si>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</si>
  <si>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</si>
  <si>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</si>
  <si>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</si>
  <si>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</si>
  <si>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</si>
  <si>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</si>
  <si>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</si>
  <si>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</si>
  <si>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</si>
  <si>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</si>
  <si>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</si>
  <si>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</si>
  <si>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</si>
  <si>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</si>
  <si>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</si>
  <si>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</si>
  <si>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</si>
  <si>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</si>
  <si>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</si>
  <si>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</si>
  <si>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</si>
  <si>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</si>
  <si>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</si>
  <si>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</si>
  <si>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</si>
  <si>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</si>
  <si>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</si>
  <si>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</si>
  <si>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</si>
  <si>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</si>
  <si>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</si>
  <si>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</si>
  <si>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</si>
  <si>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</si>
  <si>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</si>
  <si>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</si>
  <si>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</si>
  <si>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</si>
  <si>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</si>
  <si>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</si>
  <si>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</si>
  <si>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</si>
  <si>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</si>
  <si>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</si>
  <si>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</si>
  <si>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</si>
  <si>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</si>
  <si>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</si>
  <si>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</si>
  <si>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</si>
  <si>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</si>
  <si>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</si>
  <si>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</si>
  <si>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</si>
  <si>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</si>
  <si>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</si>
  <si>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</si>
  <si>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</si>
  <si>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</si>
  <si>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</si>
  <si>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</si>
  <si>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</si>
  <si>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</si>
  <si>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</si>
  <si>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</si>
  <si>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</si>
  <si>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</si>
  <si>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</si>
  <si>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</si>
  <si>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</si>
  <si>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</si>
  <si>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</si>
  <si>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</si>
  <si>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</si>
  <si>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</si>
  <si>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</si>
  <si>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</si>
  <si>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</si>
  <si>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</si>
  <si>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</si>
  <si>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</si>
  <si>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</si>
  <si>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</si>
  <si>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</si>
  <si>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</si>
  <si>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</si>
  <si>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</si>
  <si>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</si>
  <si>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</si>
  <si>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</si>
  <si>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</si>
  <si>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</si>
  <si>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</si>
  <si>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</si>
  <si>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</si>
  <si>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</si>
  <si>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</si>
  <si>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</si>
  <si>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</si>
  <si>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</si>
  <si>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</si>
  <si>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</si>
  <si>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</si>
  <si>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</si>
  <si>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</si>
  <si>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</si>
  <si>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</si>
  <si>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</si>
  <si>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</si>
  <si>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</si>
  <si>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</si>
  <si>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</si>
  <si>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</si>
  <si>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</si>
  <si>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</si>
  <si>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</si>
  <si>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</si>
  <si>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</si>
  <si>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</si>
  <si>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</si>
  <si>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</si>
  <si>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</si>
  <si>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</si>
  <si>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</si>
  <si>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</si>
  <si>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</si>
  <si>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</si>
  <si>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</si>
  <si>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</si>
  <si>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</si>
  <si>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</si>
  <si>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</si>
  <si>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</si>
  <si>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</si>
  <si>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</si>
  <si>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</si>
  <si>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</si>
  <si>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</si>
  <si>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</si>
  <si>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</si>
  <si>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</si>
  <si>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</si>
  <si>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</si>
  <si>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</si>
  <si>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</si>
  <si>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</si>
  <si>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</si>
  <si>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</si>
  <si>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</si>
  <si>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</si>
  <si>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</si>
  <si>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</si>
  <si>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</si>
  <si>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</si>
  <si>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</si>
  <si>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</si>
  <si>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</si>
  <si>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</si>
  <si>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</si>
  <si>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</si>
  <si>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</si>
  <si>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</si>
  <si>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</si>
  <si>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</si>
  <si>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</si>
  <si>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</si>
  <si>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</si>
  <si>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</si>
  <si>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</si>
  <si>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</si>
  <si>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</si>
  <si>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</si>
  <si>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</si>
  <si>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</si>
  <si>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</si>
  <si>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</si>
  <si>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</si>
  <si>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</si>
  <si>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</si>
  <si>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</si>
  <si>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</si>
  <si>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</si>
  <si>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</si>
  <si>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</si>
  <si>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</si>
  <si>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</si>
  <si>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</si>
  <si>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</si>
  <si>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</si>
  <si>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</si>
  <si>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</si>
  <si>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</si>
  <si>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</si>
  <si>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</si>
  <si>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</si>
  <si>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</si>
  <si>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</si>
  <si>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</si>
  <si>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</si>
  <si>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</si>
  <si>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</si>
  <si>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</si>
  <si>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</si>
  <si>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</si>
  <si>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</si>
  <si>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</si>
  <si>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</si>
  <si>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</si>
  <si>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</si>
  <si>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</si>
  <si>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</si>
  <si>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</si>
  <si>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</si>
  <si>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</si>
  <si>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</si>
  <si>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</si>
  <si>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</si>
  <si>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</si>
  <si>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</si>
  <si>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</si>
  <si>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</si>
  <si>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</si>
  <si>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</si>
  <si>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</si>
  <si>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</si>
  <si>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</si>
  <si>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</si>
  <si>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</si>
  <si>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</si>
  <si>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</si>
  <si>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</si>
  <si>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</si>
  <si>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</si>
  <si>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</si>
  <si>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</si>
  <si>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</si>
  <si>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</si>
  <si>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</si>
  <si>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</si>
  <si>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</si>
  <si>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</si>
  <si>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</si>
  <si>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</si>
  <si>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</si>
  <si>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</si>
  <si>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</si>
  <si>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</si>
  <si>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</si>
  <si>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</si>
  <si>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</si>
  <si>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</si>
  <si>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</si>
  <si>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</si>
  <si>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</si>
  <si>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</si>
  <si>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</si>
  <si>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</si>
  <si>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</si>
  <si>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</si>
  <si>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</si>
  <si>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</si>
  <si>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</si>
  <si>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</si>
  <si>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</si>
  <si>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</si>
  <si>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</si>
  <si>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</si>
  <si>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</si>
  <si>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</si>
  <si>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</si>
  <si>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</si>
  <si>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</si>
  <si>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</si>
  <si>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</si>
  <si>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</si>
  <si>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</si>
  <si>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</si>
  <si>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</si>
  <si>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</si>
  <si>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</si>
  <si>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</si>
  <si>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</si>
  <si>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</si>
  <si>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</si>
  <si>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</si>
  <si>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</si>
  <si>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</si>
  <si>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</si>
  <si>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</si>
  <si>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</si>
  <si>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</si>
  <si>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</si>
  <si>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</si>
  <si>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</si>
  <si>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</si>
  <si>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</si>
  <si>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</si>
  <si>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</si>
  <si>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</si>
  <si>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</si>
  <si>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</si>
  <si>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</si>
  <si>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</si>
  <si>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</si>
  <si>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</si>
  <si>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</si>
  <si>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</si>
  <si>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</si>
  <si>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</si>
  <si>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</si>
  <si>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</si>
  <si>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</si>
  <si>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</si>
  <si>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</si>
  <si>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</si>
  <si>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</si>
  <si>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</si>
  <si>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</si>
  <si>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</si>
  <si>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</si>
  <si>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</si>
  <si>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</si>
  <si>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</si>
  <si>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</si>
  <si>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</si>
  <si>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</si>
  <si>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</si>
  <si>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</si>
  <si>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</si>
  <si>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</si>
  <si>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</si>
  <si>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</si>
  <si>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</si>
  <si>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</si>
  <si>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</si>
  <si>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</si>
  <si>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</si>
  <si>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</si>
  <si>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</si>
  <si>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</si>
  <si>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</si>
  <si>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</si>
  <si>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</si>
  <si>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</si>
  <si>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</si>
  <si>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</si>
  <si>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</si>
  <si>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</si>
  <si>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</si>
  <si>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</si>
  <si>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</si>
  <si>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</si>
  <si>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</si>
  <si>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</si>
  <si>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</si>
  <si>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</si>
  <si>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</si>
  <si>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</si>
  <si>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</si>
  <si>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</si>
  <si>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</si>
  <si>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</si>
  <si>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</si>
  <si>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</si>
  <si>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</si>
  <si>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</si>
  <si>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</si>
  <si>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</si>
  <si>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</si>
  <si>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</si>
  <si>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</si>
  <si>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</si>
  <si>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</si>
  <si>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</si>
  <si>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</si>
  <si>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</si>
  <si>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</si>
  <si>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</si>
  <si>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</si>
  <si>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</si>
  <si>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</si>
  <si>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</si>
  <si>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</si>
  <si>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</si>
  <si>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</si>
  <si>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</si>
  <si>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</si>
  <si>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</si>
  <si>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</si>
  <si>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</si>
  <si>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</si>
  <si>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</si>
  <si>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</si>
  <si>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</si>
  <si>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</si>
  <si>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</si>
  <si>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</si>
  <si>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</si>
  <si>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</si>
  <si>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</si>
  <si>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</si>
  <si>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</si>
  <si>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</si>
  <si>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</si>
  <si>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</si>
  <si>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</si>
  <si>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</si>
  <si>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</si>
  <si>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</si>
  <si>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</si>
  <si>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</si>
  <si>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</si>
  <si>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</si>
  <si>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</si>
  <si>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</si>
  <si>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</si>
  <si>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</si>
  <si>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</si>
  <si>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</si>
  <si>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</si>
  <si>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</si>
  <si>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</si>
  <si>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</si>
  <si>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</si>
  <si>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</si>
  <si>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</si>
  <si>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</si>
  <si>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</si>
  <si>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</si>
  <si>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</si>
  <si>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</si>
  <si>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</si>
  <si>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</si>
  <si>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</si>
  <si>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</si>
  <si>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</si>
  <si>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</si>
  <si>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</si>
  <si>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</si>
  <si>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</si>
  <si>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</si>
  <si>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</si>
  <si>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</si>
  <si>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</si>
  <si>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</si>
  <si>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</si>
  <si>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</si>
  <si>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</si>
  <si>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</si>
  <si>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</si>
  <si>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</si>
  <si>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</si>
  <si>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</si>
  <si>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</si>
  <si>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</si>
  <si>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</si>
  <si>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</si>
  <si>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</si>
  <si>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</si>
  <si>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</si>
  <si>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</si>
  <si>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</si>
  <si>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</si>
  <si>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</si>
  <si>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</si>
  <si>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</si>
  <si>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</si>
  <si>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</si>
  <si>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</si>
  <si>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</si>
  <si>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</si>
  <si>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</si>
  <si>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</si>
  <si>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</si>
  <si>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</si>
  <si>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</si>
  <si>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</si>
  <si>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</si>
  <si>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</si>
  <si>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</si>
  <si>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</si>
  <si>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</si>
  <si>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</si>
  <si>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</si>
  <si>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</si>
  <si>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</si>
  <si>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</si>
  <si>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</si>
  <si>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</si>
  <si>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</si>
  <si>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</si>
  <si>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</si>
  <si>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</si>
  <si>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</si>
  <si>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</si>
  <si>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</si>
  <si>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</si>
  <si>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</si>
  <si>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</si>
  <si>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</si>
  <si>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</si>
  <si>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</si>
  <si>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</si>
  <si>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</si>
  <si>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</si>
  <si>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</si>
  <si>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</si>
  <si>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</si>
  <si>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</si>
  <si>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</si>
  <si>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</si>
  <si>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</si>
  <si>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</si>
  <si>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</si>
  <si>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</si>
  <si>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</si>
  <si>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</si>
  <si>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</si>
  <si>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</si>
  <si>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</si>
  <si>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</si>
  <si>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</si>
  <si>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</si>
  <si>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</si>
  <si>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</si>
  <si>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</si>
  <si>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</si>
  <si>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</si>
  <si>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</si>
  <si>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</si>
  <si>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</si>
  <si>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</si>
  <si>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</si>
  <si>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</si>
  <si>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</si>
  <si>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</si>
  <si>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</si>
  <si>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</si>
  <si>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</si>
  <si>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</si>
  <si>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</si>
  <si>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</si>
  <si>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</si>
  <si>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</si>
  <si>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</si>
  <si>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</si>
  <si>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</si>
  <si>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</si>
  <si>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</si>
  <si>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</si>
  <si>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</si>
  <si>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</si>
  <si>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</si>
  <si>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</si>
  <si>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</si>
  <si>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</si>
  <si>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</si>
  <si>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</si>
  <si>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</si>
  <si>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</si>
  <si>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</si>
  <si>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</si>
  <si>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</si>
  <si>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</si>
  <si>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</si>
  <si>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</si>
  <si>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</si>
  <si>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</si>
  <si>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</si>
  <si>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</si>
  <si>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</si>
  <si>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</si>
  <si>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</si>
  <si>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</si>
  <si>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</si>
  <si>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</si>
  <si>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</si>
  <si>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</si>
  <si>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</si>
  <si>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</si>
  <si>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</si>
  <si>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</si>
  <si>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</si>
  <si>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</si>
  <si>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</si>
  <si>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</si>
  <si>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</si>
  <si>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</si>
  <si>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</si>
  <si>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</si>
  <si>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</si>
  <si>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</si>
  <si>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</si>
  <si>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</si>
  <si>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</si>
  <si>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</si>
  <si>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</si>
  <si>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</si>
  <si>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</si>
  <si>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</si>
  <si>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</si>
  <si>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</si>
  <si>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</si>
  <si>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</si>
  <si>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</si>
  <si>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</si>
  <si>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</si>
  <si>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</si>
  <si>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</si>
  <si>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</si>
  <si>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</si>
  <si>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</si>
  <si>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</si>
  <si>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</si>
  <si>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</si>
  <si>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</si>
  <si>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</si>
  <si>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</si>
  <si>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</si>
  <si>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</si>
  <si>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</si>
  <si>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</si>
  <si>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</si>
  <si>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</si>
  <si>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</si>
  <si>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</si>
  <si>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</si>
  <si>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</si>
  <si>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</si>
  <si>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</si>
  <si>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</si>
  <si>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</si>
  <si>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</si>
  <si>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</si>
  <si>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</si>
  <si>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</si>
  <si>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</si>
  <si>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</si>
  <si>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</si>
  <si>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</si>
  <si>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</si>
  <si>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</si>
  <si>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</si>
  <si>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</si>
  <si>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</si>
  <si>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</si>
  <si>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</si>
  <si>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</si>
  <si>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</si>
  <si>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</si>
  <si>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</si>
  <si>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</si>
  <si>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</si>
  <si>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</si>
  <si>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</si>
  <si>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</si>
  <si>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</si>
  <si>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</si>
  <si>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</si>
  <si>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</si>
  <si>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</si>
  <si>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</si>
  <si>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</si>
  <si>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</si>
  <si>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</si>
  <si>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</si>
  <si>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</si>
  <si>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</si>
  <si>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</si>
  <si>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</si>
  <si>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</si>
  <si>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</si>
  <si>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</si>
  <si>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</si>
  <si>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</si>
  <si>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</si>
  <si>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</si>
  <si>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</si>
  <si>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</si>
  <si>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</si>
  <si>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</si>
  <si>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</si>
  <si>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</si>
  <si>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</si>
  <si>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</si>
  <si>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</si>
  <si>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</si>
  <si>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</si>
  <si>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</si>
  <si>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</si>
  <si>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</si>
  <si>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</si>
  <si>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</si>
  <si>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</si>
  <si>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</si>
  <si>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</si>
  <si>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</si>
  <si>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</si>
  <si>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</si>
  <si>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</si>
  <si>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</si>
  <si>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</si>
  <si>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</si>
  <si>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</si>
  <si>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</si>
  <si>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</si>
  <si>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</si>
  <si>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</si>
  <si>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</si>
  <si>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</si>
  <si>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</si>
  <si>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</si>
  <si>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</si>
  <si>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</si>
  <si>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</si>
  <si>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</si>
  <si>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</si>
  <si>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</si>
  <si>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</si>
  <si>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</si>
  <si>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</si>
  <si>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</si>
  <si>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</si>
  <si>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</si>
  <si>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</si>
  <si>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</si>
  <si>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</si>
  <si>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</si>
  <si>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</si>
  <si>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</si>
  <si>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</si>
  <si>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</si>
  <si>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</si>
  <si>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</si>
  <si>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</si>
  <si>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</si>
  <si>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</si>
  <si>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</si>
  <si>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</si>
  <si>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</si>
  <si>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</si>
  <si>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</si>
  <si>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</si>
  <si>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</si>
  <si>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</si>
  <si>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</si>
  <si>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</si>
  <si>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</si>
  <si>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</si>
  <si>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</si>
  <si>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</si>
  <si>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</si>
  <si>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</si>
  <si>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</si>
  <si>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</si>
  <si>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</si>
  <si>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</si>
  <si>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</si>
  <si>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</si>
  <si>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</si>
  <si>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</si>
  <si>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</si>
  <si>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</si>
  <si>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</si>
  <si>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</si>
  <si>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</si>
  <si>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</si>
  <si>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</si>
  <si>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</si>
  <si>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</si>
  <si>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</si>
  <si>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</si>
  <si>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</si>
  <si>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</si>
  <si>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</si>
  <si>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</si>
  <si>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</si>
  <si>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</si>
  <si>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</si>
  <si>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</si>
  <si>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</si>
  <si>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</si>
  <si>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</si>
  <si>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</si>
  <si>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</si>
  <si>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</si>
  <si>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</si>
  <si>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</si>
  <si>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</si>
  <si>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</si>
  <si>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</si>
  <si>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</si>
  <si>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</si>
  <si>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</si>
  <si>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</si>
  <si>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</si>
  <si>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</si>
  <si>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</si>
  <si>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</si>
  <si>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</si>
  <si>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</si>
  <si>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</si>
  <si>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</si>
  <si>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</si>
  <si>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</si>
  <si>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</si>
  <si>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</si>
  <si>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</si>
  <si>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</si>
  <si>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</si>
  <si>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</si>
  <si>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</si>
  <si>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</si>
  <si>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</si>
  <si>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</si>
  <si>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</si>
  <si>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</si>
  <si>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</si>
  <si>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</si>
  <si>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</si>
  <si>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</si>
  <si>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</si>
  <si>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</si>
  <si>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</si>
  <si>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</si>
  <si>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</si>
  <si>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</si>
  <si>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</si>
  <si>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</si>
  <si>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</si>
  <si>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</si>
  <si>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</si>
  <si>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</si>
  <si>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</si>
  <si>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</si>
  <si>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</si>
  <si>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</si>
  <si>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</si>
  <si>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</si>
  <si>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</si>
  <si>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</si>
  <si>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</si>
  <si>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</si>
  <si>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</si>
  <si>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</si>
  <si>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</si>
  <si>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</si>
  <si>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</si>
  <si>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</si>
  <si>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</si>
  <si>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</si>
  <si>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</si>
  <si>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</si>
  <si>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</si>
  <si>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</si>
  <si>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</si>
  <si>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</si>
  <si>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</si>
  <si>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</si>
  <si>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</si>
  <si>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</si>
  <si>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</si>
  <si>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</si>
  <si>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</si>
  <si>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</si>
  <si>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</si>
  <si>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</si>
  <si>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</si>
  <si>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</si>
  <si>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</si>
  <si>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</si>
  <si>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</si>
  <si>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</si>
  <si>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</si>
  <si>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</si>
  <si>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</si>
  <si>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</si>
  <si>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</si>
  <si>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</si>
  <si>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</si>
  <si>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</si>
  <si>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</si>
  <si>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</si>
  <si>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</si>
  <si>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</si>
  <si>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</si>
  <si>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</si>
  <si>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</si>
  <si>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</si>
  <si>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</si>
  <si>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</si>
  <si>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</si>
  <si>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</si>
  <si>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</si>
  <si>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</si>
  <si>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</si>
  <si>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</si>
  <si>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</si>
  <si>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</si>
  <si>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</si>
  <si>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</si>
  <si>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</si>
  <si>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</si>
  <si>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</si>
  <si>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</si>
  <si>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</si>
  <si>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</si>
  <si>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</si>
  <si>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</si>
  <si>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</si>
  <si>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</si>
  <si>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</si>
  <si>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</si>
  <si>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</si>
  <si>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</si>
  <si>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</si>
  <si>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</si>
  <si>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</si>
  <si>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</si>
  <si>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</si>
  <si>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</si>
  <si>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</si>
  <si>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</si>
  <si>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</si>
  <si>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</si>
  <si>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</si>
  <si>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</si>
  <si>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</si>
  <si>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</si>
  <si>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</si>
  <si>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</si>
  <si>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</si>
  <si>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</si>
  <si>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</si>
  <si>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</si>
  <si>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</si>
  <si>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</si>
  <si>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</si>
  <si>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</si>
  <si>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</si>
  <si>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</si>
  <si>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</si>
  <si>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</si>
  <si>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</si>
  <si>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</si>
  <si>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</si>
  <si>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</si>
  <si>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</si>
  <si>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</si>
  <si>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</si>
  <si>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</si>
  <si>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</si>
  <si>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</si>
  <si>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</si>
  <si>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</si>
  <si>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</si>
  <si>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</si>
  <si>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</si>
  <si>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</si>
  <si>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</si>
  <si>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</si>
  <si>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</si>
  <si>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</si>
  <si>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</si>
  <si>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</si>
  <si>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</si>
  <si>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</si>
  <si>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</si>
  <si>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</si>
  <si>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</si>
  <si>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</si>
  <si>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</si>
  <si>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</si>
  <si>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</si>
  <si>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</si>
  <si>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</si>
  <si>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</si>
  <si>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</si>
  <si>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</si>
  <si>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</si>
  <si>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</si>
  <si>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</si>
  <si>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</si>
  <si>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</si>
  <si>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</si>
  <si>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</si>
  <si>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</si>
  <si>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</si>
  <si>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</si>
  <si>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</si>
  <si>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</si>
  <si>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</si>
  <si>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</si>
  <si>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</si>
  <si>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</si>
  <si>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</si>
  <si>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</si>
  <si>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</si>
  <si>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</si>
  <si>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</si>
  <si>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</si>
  <si>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</si>
  <si>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</si>
  <si>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</si>
  <si>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</si>
  <si>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</si>
  <si>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</si>
  <si>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</si>
  <si>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</si>
  <si>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</si>
  <si>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</si>
  <si>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</si>
  <si>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</si>
  <si>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</si>
  <si>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</si>
  <si>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</si>
  <si>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</si>
  <si>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</si>
  <si>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</si>
  <si>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</si>
  <si>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</si>
  <si>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</si>
  <si>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</si>
  <si>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</si>
  <si>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</si>
  <si>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</si>
  <si>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</si>
  <si>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</si>
  <si>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</si>
  <si>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</si>
  <si>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</si>
  <si>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</si>
  <si>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</si>
  <si>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</si>
  <si>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</si>
  <si>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</si>
  <si>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</si>
  <si>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</si>
  <si>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</si>
  <si>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</si>
  <si>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</si>
  <si>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</si>
  <si>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</si>
  <si>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</si>
  <si>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</si>
  <si>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</si>
  <si>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</si>
  <si>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</si>
  <si>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</si>
  <si>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</si>
  <si>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</si>
  <si>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</si>
  <si>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</si>
  <si>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</si>
  <si>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</si>
  <si>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</si>
  <si>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</si>
  <si>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</si>
  <si>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</si>
  <si>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</si>
  <si>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</si>
  <si>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</si>
  <si>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</si>
  <si>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</si>
  <si>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</si>
  <si>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</si>
  <si>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</si>
  <si>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</si>
  <si>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</si>
  <si>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</si>
  <si>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</si>
  <si>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</si>
  <si>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</si>
  <si>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</si>
  <si>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</si>
  <si>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</si>
  <si>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</si>
  <si>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</si>
  <si>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</si>
  <si>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</si>
  <si>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</si>
  <si>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</si>
  <si>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</si>
  <si>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</si>
  <si>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</si>
  <si>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</si>
  <si>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</si>
  <si>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</si>
  <si>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</si>
  <si>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</si>
  <si>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</si>
  <si>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</si>
  <si>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</si>
  <si>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</si>
  <si>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</si>
  <si>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</si>
  <si>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</si>
  <si>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</si>
  <si>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</si>
  <si>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</si>
  <si>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</si>
  <si>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</si>
  <si>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</si>
  <si>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</si>
  <si>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</si>
  <si>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</si>
  <si>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</si>
  <si>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</si>
  <si>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</si>
  <si>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</si>
  <si>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</si>
  <si>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</si>
  <si>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</si>
  <si>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</si>
  <si>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</si>
  <si>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</si>
  <si>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</si>
  <si>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</si>
  <si>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</si>
  <si>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</si>
  <si>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</si>
  <si>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</si>
  <si>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</si>
  <si>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</si>
  <si>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</si>
  <si>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</si>
  <si>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</si>
  <si>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</si>
  <si>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</si>
  <si>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</si>
  <si>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</si>
  <si>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</si>
  <si>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</si>
  <si>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</si>
  <si>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</si>
  <si>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</si>
  <si>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</si>
  <si>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</si>
  <si>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</si>
  <si>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</si>
  <si>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</si>
  <si>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</si>
  <si>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</si>
  <si>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</si>
  <si>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</si>
  <si>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</si>
  <si>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</si>
  <si>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</si>
  <si>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</si>
  <si>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</si>
  <si>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</si>
  <si>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</si>
  <si>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</si>
  <si>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</si>
  <si>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</si>
  <si>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</si>
  <si>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</si>
  <si>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</si>
  <si>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</si>
  <si>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</si>
  <si>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</si>
  <si>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</si>
  <si>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</si>
  <si>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</si>
  <si>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</si>
  <si>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</si>
  <si>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</si>
  <si>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</si>
  <si>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</si>
  <si>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</si>
  <si>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</si>
  <si>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</si>
  <si>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</si>
  <si>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</si>
  <si>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</si>
  <si>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</si>
  <si>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</si>
  <si>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</si>
  <si>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</si>
  <si>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</si>
  <si>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</si>
  <si>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</si>
  <si>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</si>
  <si>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</si>
  <si>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</si>
  <si>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</si>
  <si>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</si>
  <si>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</si>
  <si>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</si>
  <si>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</si>
  <si>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</si>
  <si>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</si>
  <si>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</si>
  <si>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</si>
  <si>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</si>
  <si>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</si>
  <si>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</si>
  <si>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</si>
  <si>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</si>
  <si>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</si>
  <si>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</si>
  <si>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</si>
  <si>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</si>
  <si>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</si>
  <si>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</si>
  <si>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</si>
  <si>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</si>
  <si>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</si>
  <si>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</si>
  <si>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</si>
  <si>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</si>
  <si>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</si>
  <si>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</si>
  <si>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</si>
  <si>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</si>
  <si>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</si>
  <si>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</si>
  <si>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</si>
  <si>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</si>
  <si>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</si>
  <si>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</si>
  <si>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</si>
  <si>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</si>
  <si>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</si>
  <si>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</si>
  <si>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</si>
  <si>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</si>
  <si>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</si>
  <si>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</si>
  <si>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</si>
  <si>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</si>
  <si>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</si>
  <si>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</si>
  <si>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</si>
  <si>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</si>
  <si>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</si>
  <si>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</si>
  <si>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</si>
  <si>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</si>
  <si>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</si>
  <si>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</si>
  <si>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</si>
  <si>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</si>
  <si>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</si>
  <si>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</si>
  <si>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</si>
  <si>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</si>
  <si>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</si>
  <si>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</si>
  <si>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</si>
  <si>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</si>
  <si>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</si>
  <si>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</si>
  <si>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</si>
  <si>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</si>
  <si>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</si>
  <si>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</si>
  <si>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</si>
  <si>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</si>
  <si>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</si>
  <si>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</si>
  <si>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</si>
  <si>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</si>
  <si>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</si>
  <si>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</si>
  <si>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</si>
  <si>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</si>
  <si>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</si>
  <si>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</si>
  <si>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</si>
  <si>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</si>
  <si>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</si>
  <si>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</si>
  <si>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</si>
  <si>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</si>
  <si>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</si>
  <si>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</si>
  <si>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</si>
  <si>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</si>
  <si>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</si>
  <si>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</si>
  <si>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</si>
  <si>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</si>
  <si>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</si>
  <si>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</si>
  <si>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</si>
  <si>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</si>
  <si>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</si>
  <si>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</si>
  <si>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</si>
  <si>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</si>
  <si>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</si>
  <si>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</si>
  <si>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</si>
  <si>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</si>
  <si>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</si>
  <si>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</si>
  <si>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</si>
  <si>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</si>
  <si>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</si>
  <si>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</si>
  <si>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</si>
  <si>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</si>
  <si>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</si>
  <si>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</si>
  <si>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</si>
  <si>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</si>
  <si>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</si>
  <si>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</si>
  <si>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</si>
  <si>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</si>
  <si>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</si>
  <si>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</si>
  <si>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</si>
  <si>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</si>
  <si>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</si>
  <si>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</si>
  <si>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</si>
  <si>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</si>
  <si>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</si>
  <si>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</si>
  <si>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</si>
  <si>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</si>
  <si>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</si>
  <si>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</si>
  <si>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</si>
  <si>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</si>
  <si>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</si>
  <si>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</si>
  <si>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</si>
  <si>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</si>
  <si>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</si>
  <si>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</si>
  <si>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</si>
  <si>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</si>
  <si>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</si>
  <si>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</si>
  <si>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</si>
  <si>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</si>
  <si>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</si>
  <si>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</si>
  <si>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</si>
  <si>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</si>
  <si>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</si>
  <si>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</si>
  <si>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</si>
  <si>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</si>
  <si>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</si>
  <si>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</si>
  <si>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</si>
  <si>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</si>
  <si>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</si>
  <si>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</si>
  <si>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</si>
  <si>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</si>
  <si>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</si>
  <si>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</si>
  <si>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</si>
  <si>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</si>
  <si>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</si>
  <si>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</si>
  <si>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</si>
  <si>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</si>
  <si>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</si>
  <si>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</si>
  <si>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</si>
  <si>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</si>
  <si>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</si>
  <si>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</si>
  <si>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</si>
  <si>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</si>
  <si>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</si>
  <si>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</si>
  <si>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</si>
  <si>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</si>
  <si>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</si>
  <si>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</si>
  <si>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</si>
  <si>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</si>
  <si>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</si>
  <si>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</si>
  <si>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</si>
  <si>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</si>
  <si>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</si>
  <si>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</si>
  <si>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</si>
  <si>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</si>
  <si>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</si>
  <si>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</si>
  <si>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</si>
  <si>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</si>
  <si>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</si>
  <si>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</si>
  <si>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</si>
  <si>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</si>
  <si>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</si>
  <si>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</si>
  <si>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</si>
  <si>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</si>
  <si>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</si>
  <si>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</si>
  <si>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</si>
  <si>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</si>
  <si>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</si>
  <si>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</si>
  <si>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</si>
  <si>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</si>
  <si>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</si>
  <si>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</si>
  <si>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</si>
  <si>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</si>
  <si>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</si>
  <si>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</si>
  <si>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</si>
  <si>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</si>
  <si>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</si>
  <si>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</si>
  <si>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</si>
  <si>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</si>
  <si>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</si>
  <si>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</si>
  <si>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</si>
  <si>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</si>
  <si>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</si>
  <si>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</si>
  <si>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</si>
  <si>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</si>
  <si>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</si>
  <si>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</si>
  <si>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</si>
  <si>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</si>
  <si>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</si>
  <si>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</si>
  <si>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</si>
  <si>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</si>
  <si>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</si>
  <si>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</si>
  <si>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</si>
  <si>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</si>
  <si>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</si>
  <si>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</si>
  <si>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</si>
  <si>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</si>
  <si>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</si>
  <si>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</si>
  <si>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</si>
  <si>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</si>
  <si>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</si>
  <si>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</si>
  <si>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</si>
  <si>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</si>
  <si>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</si>
  <si>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</si>
  <si>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</si>
  <si>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</si>
  <si>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</si>
  <si>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</si>
  <si>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</si>
  <si>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</si>
  <si>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</si>
  <si>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</si>
  <si>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</si>
  <si>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</si>
  <si>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</si>
  <si>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</si>
  <si>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</si>
  <si>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</si>
  <si>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</si>
  <si>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</si>
  <si>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</si>
  <si>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</si>
  <si>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</si>
  <si>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</si>
  <si>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</si>
  <si>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</si>
  <si>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</si>
  <si>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</si>
  <si>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</si>
  <si>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</si>
  <si>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</si>
  <si>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</si>
  <si>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</si>
  <si>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</si>
  <si>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</si>
  <si>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</si>
  <si>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</si>
  <si>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</si>
  <si>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</si>
  <si>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</si>
  <si>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</si>
  <si>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</si>
  <si>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</si>
  <si>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</si>
  <si>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</si>
  <si>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</si>
  <si>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</si>
  <si>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</si>
  <si>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</si>
  <si>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</si>
  <si>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</si>
  <si>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</si>
  <si>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</si>
  <si>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</si>
  <si>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</si>
  <si>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</si>
  <si>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</si>
  <si>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</si>
  <si>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</si>
  <si>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</si>
  <si>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</si>
  <si>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</si>
  <si>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</si>
  <si>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</si>
  <si>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</si>
  <si>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</si>
  <si>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</si>
  <si>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</si>
  <si>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</si>
  <si>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</si>
  <si>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</si>
  <si>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</si>
  <si>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</si>
  <si>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</si>
  <si>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</si>
  <si>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</si>
  <si>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</si>
  <si>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</si>
  <si>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</si>
  <si>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</si>
  <si>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</si>
  <si>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</si>
  <si>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</si>
  <si>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</si>
  <si>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</si>
  <si>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</si>
  <si>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</si>
  <si>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</si>
  <si>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</si>
  <si>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</si>
  <si>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</si>
  <si>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</si>
  <si>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</si>
  <si>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</si>
  <si>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</si>
  <si>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</si>
  <si>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</si>
  <si>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</si>
  <si>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</si>
  <si>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</si>
  <si>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</si>
  <si>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</si>
  <si>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</si>
  <si>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</si>
  <si>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</si>
  <si>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</si>
  <si>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</si>
  <si>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</si>
  <si>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</si>
  <si>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</si>
  <si>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</si>
  <si>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</si>
  <si>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</si>
  <si>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</si>
  <si>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</si>
  <si>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</si>
  <si>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</si>
  <si>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</si>
  <si>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</si>
  <si>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</si>
  <si>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</si>
  <si>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</si>
  <si>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</si>
  <si>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</si>
  <si>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</si>
  <si>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</si>
  <si>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</si>
  <si>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</si>
  <si>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</si>
  <si>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</si>
  <si>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</si>
  <si>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</si>
  <si>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</si>
  <si>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</si>
  <si>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</si>
  <si>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</si>
  <si>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</si>
  <si>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</si>
  <si>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</si>
  <si>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</si>
  <si>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</si>
  <si>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</si>
  <si>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</si>
  <si>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</si>
  <si>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</si>
  <si>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</si>
  <si>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</si>
  <si>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</si>
  <si>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</si>
  <si>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</si>
  <si>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</si>
  <si>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</si>
  <si>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</si>
  <si>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</si>
  <si>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</si>
  <si>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</si>
  <si>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</si>
  <si>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</si>
  <si>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</si>
  <si>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</si>
  <si>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</si>
  <si>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</si>
  <si>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</si>
  <si>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</si>
  <si>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</si>
  <si>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</si>
  <si>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</si>
  <si>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</si>
  <si>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</si>
  <si>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</si>
  <si>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</si>
  <si>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</si>
  <si>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</si>
  <si>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</si>
  <si>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</si>
  <si>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</si>
  <si>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</si>
  <si>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</si>
  <si>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</si>
  <si>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</si>
  <si>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</si>
  <si>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</si>
  <si>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</si>
  <si>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</si>
  <si>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</si>
  <si>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</si>
  <si>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</si>
  <si>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</si>
  <si>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</si>
  <si>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</si>
  <si>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</si>
  <si>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</si>
  <si>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</si>
  <si>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</si>
  <si>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</si>
  <si>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</si>
  <si>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</si>
  <si>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</si>
  <si>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</si>
  <si>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</si>
  <si>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</si>
  <si>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</si>
  <si>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</si>
  <si>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</si>
  <si>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</si>
  <si>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</si>
  <si>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</si>
  <si>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</si>
  <si>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</si>
  <si>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</si>
  <si>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</si>
  <si>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</si>
  <si>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</si>
  <si>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</si>
  <si>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</si>
  <si>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</si>
  <si>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</si>
  <si>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</si>
  <si>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</si>
  <si>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</si>
  <si>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</si>
  <si>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</si>
  <si>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</si>
  <si>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</si>
  <si>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</si>
  <si>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</si>
  <si>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</si>
  <si>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</si>
  <si>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</si>
  <si>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</si>
  <si>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</si>
  <si>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</si>
  <si>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</si>
  <si>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</si>
  <si>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</si>
  <si>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</si>
  <si>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</si>
  <si>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</si>
  <si>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</si>
  <si>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</si>
  <si>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</si>
  <si>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</si>
  <si>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</si>
  <si>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</si>
  <si>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</si>
  <si>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</si>
  <si>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</si>
  <si>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</si>
  <si>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</si>
  <si>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</si>
  <si>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</si>
  <si>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</si>
  <si>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</si>
  <si>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</si>
  <si>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</si>
  <si>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</si>
  <si>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</si>
  <si>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</si>
  <si>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</si>
  <si>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</si>
  <si>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</si>
  <si>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</si>
  <si>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</si>
  <si>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</si>
  <si>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</si>
  <si>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</si>
  <si>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</si>
  <si>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</si>
  <si>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</si>
  <si>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</si>
  <si>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</si>
  <si>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</si>
  <si>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</si>
  <si>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</si>
  <si>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</si>
  <si>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</si>
  <si>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</si>
  <si>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</si>
  <si>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</si>
  <si>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</si>
  <si>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</si>
  <si>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</si>
  <si>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</si>
  <si>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</si>
  <si>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</si>
  <si>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</si>
  <si>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</si>
  <si>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</si>
  <si>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</si>
  <si>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</si>
  <si>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</si>
  <si>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</si>
  <si>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</si>
  <si>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</si>
  <si>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</si>
  <si>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</si>
  <si>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</si>
  <si>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</si>
  <si>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</si>
  <si>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</si>
  <si>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</si>
  <si>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</si>
  <si>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</si>
  <si>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</si>
  <si>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</si>
  <si>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</si>
  <si>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</si>
  <si>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</si>
  <si>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</si>
  <si>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</si>
  <si>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</si>
  <si>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</si>
  <si>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</si>
  <si>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</si>
  <si>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</si>
  <si>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</si>
  <si>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</si>
  <si>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</si>
  <si>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</si>
  <si>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</si>
  <si>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</si>
  <si>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</si>
  <si>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</si>
  <si>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</si>
  <si>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</si>
  <si>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</si>
  <si>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</si>
  <si>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</si>
  <si>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</si>
  <si>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</si>
  <si>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</si>
  <si>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</si>
  <si>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</si>
  <si>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</si>
  <si>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</si>
  <si>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</si>
  <si>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</si>
  <si>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</si>
  <si>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</si>
  <si>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</si>
  <si>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</si>
  <si>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</si>
  <si>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</si>
  <si>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</si>
  <si>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</si>
  <si>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</si>
  <si>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</si>
  <si>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</si>
  <si>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</si>
  <si>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</si>
  <si>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</si>
  <si>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</si>
  <si>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</si>
  <si>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</si>
  <si>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</si>
  <si>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</si>
  <si>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</si>
  <si>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</si>
  <si>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</si>
  <si>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</si>
  <si>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</si>
  <si>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</si>
  <si>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</si>
  <si>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</si>
  <si>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</si>
  <si>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</si>
  <si>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</si>
  <si>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</si>
  <si>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</si>
  <si>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</si>
  <si>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</si>
  <si>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</si>
  <si>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</si>
  <si>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</si>
  <si>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</si>
  <si>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</si>
  <si>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</si>
  <si>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</si>
  <si>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</si>
  <si>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</si>
  <si>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</si>
  <si>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</si>
  <si>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</si>
  <si>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</si>
  <si>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</si>
  <si>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</si>
  <si>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</si>
  <si>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</si>
  <si>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</si>
  <si>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</si>
  <si>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</si>
  <si>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</si>
  <si>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</si>
  <si>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</si>
  <si>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</si>
  <si>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</si>
  <si>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</si>
  <si>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</si>
  <si>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</si>
  <si>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</si>
  <si>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</si>
  <si>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</si>
  <si>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</si>
  <si>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</si>
  <si>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</si>
  <si>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</si>
  <si>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</si>
  <si>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</si>
  <si>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</si>
  <si>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</si>
  <si>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</si>
  <si>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</si>
  <si>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</si>
  <si>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</si>
  <si>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</si>
  <si>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</si>
  <si>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</si>
  <si>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</si>
  <si>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</si>
  <si>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</si>
  <si>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</si>
  <si>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</si>
  <si>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</si>
  <si>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</si>
  <si>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</si>
  <si>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</si>
  <si>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</si>
  <si>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</si>
  <si>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</si>
  <si>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</si>
  <si>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</si>
  <si>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</si>
  <si>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</si>
  <si>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</si>
  <si>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</si>
  <si>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</si>
  <si>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</si>
  <si>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</si>
  <si>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</si>
  <si>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</si>
  <si>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</si>
  <si>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</si>
  <si>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</si>
  <si>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</si>
  <si>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</si>
  <si>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</si>
  <si>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</si>
  <si>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</si>
  <si>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</si>
  <si>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</si>
  <si>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</si>
  <si>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</si>
  <si>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</si>
  <si>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</si>
  <si>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</si>
  <si>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</si>
  <si>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</si>
  <si>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</si>
  <si>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</si>
  <si>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</si>
  <si>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</si>
  <si>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</si>
  <si>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</si>
  <si>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</si>
  <si>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</si>
  <si>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</si>
  <si>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</si>
  <si>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</si>
  <si>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</si>
  <si>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</si>
  <si>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</si>
  <si>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</si>
  <si>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</si>
  <si>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</si>
  <si>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</si>
  <si>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</si>
  <si>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</si>
  <si>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</si>
  <si>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</si>
  <si>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</si>
  <si>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</si>
  <si>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</si>
  <si>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</si>
  <si>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</si>
  <si>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</si>
  <si>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</si>
  <si>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</si>
  <si>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</si>
  <si>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</si>
  <si>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</si>
  <si>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</si>
  <si>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</si>
  <si>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</si>
  <si>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</si>
  <si>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</si>
  <si>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</si>
  <si>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</si>
  <si>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</si>
  <si>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</si>
  <si>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</si>
  <si>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</si>
  <si>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</si>
  <si>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</si>
  <si>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</si>
  <si>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</si>
  <si>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</si>
  <si>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</si>
  <si>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</si>
  <si>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</si>
  <si>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</si>
  <si>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</si>
  <si>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</si>
  <si>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</si>
  <si>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</si>
  <si>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</si>
  <si>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</si>
  <si>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</si>
  <si>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</si>
  <si>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</si>
  <si>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</si>
  <si>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</si>
  <si>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</si>
  <si>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</si>
  <si>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</si>
  <si>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</si>
  <si>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</si>
  <si>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</si>
  <si>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</si>
  <si>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</si>
  <si>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</si>
  <si>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</si>
  <si>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</si>
  <si>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</si>
  <si>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</si>
  <si>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</si>
  <si>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</si>
  <si>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</si>
  <si>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</si>
  <si>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</si>
  <si>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</si>
  <si>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</si>
  <si>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</si>
  <si>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</si>
  <si>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</si>
  <si>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</si>
  <si>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</si>
  <si>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</si>
  <si>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</si>
  <si>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</si>
  <si>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</si>
  <si>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</si>
  <si>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</si>
  <si>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</si>
  <si>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</si>
  <si>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</si>
  <si>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</si>
  <si>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</si>
  <si>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</si>
  <si>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</si>
  <si>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</si>
  <si>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</si>
  <si>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</si>
  <si>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</si>
  <si>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</si>
  <si>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</si>
  <si>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</si>
  <si>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</si>
  <si>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</si>
  <si>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</si>
  <si>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</si>
  <si>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</si>
  <si>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</si>
  <si>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</si>
  <si>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</si>
  <si>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</si>
  <si>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</si>
  <si>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</si>
  <si>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</si>
  <si>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</si>
  <si>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</si>
  <si>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</si>
  <si>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</si>
  <si>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</si>
  <si>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</si>
  <si>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</si>
  <si>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</si>
  <si>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</si>
  <si>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</si>
  <si>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</si>
  <si>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</si>
  <si>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</si>
  <si>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</si>
  <si>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</si>
  <si>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</si>
  <si>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</si>
  <si>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</si>
  <si>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</si>
  <si>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</si>
  <si>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</si>
  <si>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</si>
  <si>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</si>
  <si>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</si>
  <si>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</si>
  <si>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</si>
  <si>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</si>
  <si>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</si>
  <si>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</si>
  <si>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</si>
  <si>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</si>
  <si>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</si>
  <si>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</si>
  <si>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</si>
  <si>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</si>
  <si>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</si>
  <si>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</si>
  <si>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</si>
  <si>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</si>
  <si>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</si>
  <si>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</si>
  <si>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</si>
  <si>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</si>
  <si>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</si>
  <si>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</si>
  <si>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</si>
  <si>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</si>
  <si>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</si>
  <si>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</si>
  <si>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</si>
  <si>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</si>
  <si>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</si>
  <si>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</si>
  <si>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</si>
  <si>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</si>
  <si>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</si>
  <si>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</si>
  <si>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</si>
  <si>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</si>
  <si>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</si>
  <si>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</si>
  <si>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</si>
  <si>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</si>
  <si>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</si>
  <si>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</si>
  <si>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</si>
  <si>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</si>
  <si>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</si>
  <si>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</si>
  <si>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</si>
  <si>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</si>
  <si>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</si>
  <si>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</si>
  <si>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</si>
  <si>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</si>
  <si>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</si>
  <si>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</si>
  <si>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</si>
  <si>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</si>
  <si>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</si>
  <si>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</si>
  <si>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</si>
  <si>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</si>
  <si>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</si>
  <si>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</si>
  <si>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</si>
  <si>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</si>
  <si>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</si>
  <si>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</si>
  <si>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</si>
  <si>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</si>
  <si>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</si>
  <si>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</si>
  <si>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</si>
  <si>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</si>
  <si>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</si>
  <si>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</si>
  <si>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</si>
  <si>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</si>
  <si>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</si>
  <si>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</si>
  <si>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</si>
  <si>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</si>
  <si>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</si>
  <si>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</si>
  <si>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</si>
  <si>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</si>
  <si>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</si>
  <si>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</si>
  <si>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</si>
  <si>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</si>
  <si>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</si>
  <si>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</si>
  <si>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</si>
  <si>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</si>
  <si>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</si>
  <si>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</si>
  <si>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</si>
  <si>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</si>
  <si>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</si>
  <si>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</si>
  <si>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</si>
  <si>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</si>
  <si>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</si>
  <si>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</si>
  <si>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</si>
  <si>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</si>
  <si>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</si>
  <si>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</si>
  <si>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</si>
  <si>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</si>
  <si>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</si>
  <si>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</si>
  <si>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</si>
  <si>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</si>
  <si>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</si>
  <si>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</si>
  <si>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</si>
  <si>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</si>
  <si>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</si>
  <si>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</si>
  <si>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</si>
  <si>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</si>
  <si>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</si>
  <si>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</si>
  <si>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</si>
  <si>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</si>
  <si>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</si>
  <si>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</si>
  <si>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</si>
  <si>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</si>
  <si>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</si>
  <si>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</si>
  <si>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</si>
  <si>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</si>
  <si>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</si>
  <si>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</si>
  <si>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</si>
  <si>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</si>
  <si>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</si>
  <si>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</si>
  <si>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</si>
  <si>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</si>
  <si>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</si>
  <si>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</si>
  <si>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</si>
  <si>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</si>
  <si>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</si>
  <si>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</si>
  <si>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</si>
  <si>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</si>
  <si>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</si>
  <si>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</si>
  <si>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</si>
  <si>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</si>
  <si>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</si>
  <si>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</si>
  <si>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</si>
  <si>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</si>
  <si>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</si>
  <si>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</si>
  <si>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</si>
  <si>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</si>
  <si>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</si>
  <si>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</si>
  <si>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</si>
  <si>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</si>
  <si>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</si>
  <si>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</si>
  <si>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</si>
  <si>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</si>
  <si>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</si>
  <si>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</si>
  <si>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</si>
  <si>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</si>
  <si>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</si>
  <si>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</si>
  <si>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</si>
  <si>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</si>
  <si>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</si>
  <si>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</si>
  <si>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</si>
  <si>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</si>
  <si>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</si>
  <si>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</si>
  <si>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</si>
  <si>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</si>
  <si>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</si>
  <si>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</si>
  <si>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</si>
  <si>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</si>
  <si>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</si>
  <si>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</si>
  <si>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</si>
  <si>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</si>
  <si>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</si>
  <si>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</si>
  <si>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</si>
  <si>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</si>
  <si>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</si>
  <si>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</si>
  <si>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</si>
  <si>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</si>
  <si>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</si>
  <si>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</si>
  <si>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</si>
  <si>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</si>
  <si>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</si>
  <si>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</si>
  <si>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</si>
  <si>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</si>
  <si>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</si>
  <si>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</si>
  <si>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</si>
  <si>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</si>
  <si>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</si>
  <si>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</si>
  <si>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</si>
  <si>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</si>
  <si>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</si>
  <si>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</si>
  <si>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</si>
  <si>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</si>
  <si>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</si>
  <si>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</si>
  <si>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</si>
  <si>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</si>
  <si>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</si>
  <si>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</si>
  <si>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</si>
  <si>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</si>
  <si>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</si>
  <si>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</si>
  <si>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</si>
  <si>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</si>
  <si>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</si>
  <si>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</si>
  <si>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</si>
  <si>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</si>
  <si>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</si>
  <si>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</si>
  <si>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</si>
  <si>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</si>
  <si>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</si>
  <si>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</si>
  <si>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</si>
  <si>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</si>
  <si>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</si>
  <si>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</si>
  <si>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</si>
  <si>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</si>
  <si>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</si>
  <si>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</si>
  <si>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</si>
  <si>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</si>
  <si>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</si>
  <si>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</si>
  <si>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</si>
  <si>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</si>
  <si>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</si>
  <si>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</si>
  <si>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</si>
  <si>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</si>
  <si>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</si>
  <si>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</si>
  <si>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</si>
  <si>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</si>
  <si>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</si>
  <si>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</si>
  <si>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</si>
  <si>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</si>
  <si>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</si>
  <si>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</si>
  <si>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</si>
  <si>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</si>
  <si>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</si>
  <si>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</si>
  <si>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</si>
  <si>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</si>
  <si>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</si>
  <si>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</si>
  <si>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</si>
  <si>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</si>
  <si>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</si>
  <si>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</si>
  <si>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</si>
  <si>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</si>
  <si>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</si>
  <si>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</si>
  <si>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</si>
  <si>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</si>
  <si>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</si>
  <si>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</si>
  <si>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</si>
  <si>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</si>
  <si>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</si>
  <si>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</si>
  <si>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</si>
  <si>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</si>
  <si>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</si>
  <si>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</si>
  <si>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</si>
  <si>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</si>
  <si>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</si>
  <si>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</si>
  <si>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</si>
  <si>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</si>
  <si>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</si>
  <si>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</si>
  <si>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</si>
  <si>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</si>
  <si>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</si>
  <si>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</si>
  <si>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</si>
  <si>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</si>
  <si>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</si>
  <si>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</si>
  <si>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</si>
  <si>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</si>
  <si>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</si>
  <si>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</si>
  <si>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</si>
  <si>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</si>
  <si>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</si>
  <si>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</si>
  <si>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</si>
  <si>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</si>
  <si>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</si>
  <si>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</si>
  <si>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</si>
  <si>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</si>
  <si>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</si>
  <si>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</si>
  <si>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</si>
  <si>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</si>
  <si>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</si>
  <si>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PLACAS E PILARETES DE CONCRETO, DE FORMA MANUAL, SEM REAPROVEITAMENTO. AF_12/2017</t>
  </si>
  <si>
    <t>REMOÇÃO DE FORROS DE DRYWALL, PVC E FIBROMINERAL,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</si>
  <si>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</si>
  <si>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</si>
  <si>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</si>
  <si>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</si>
  <si>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</si>
  <si>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</si>
  <si>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</si>
  <si>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</si>
  <si>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</si>
  <si>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</si>
  <si>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</si>
  <si>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</si>
  <si>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</si>
  <si>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</si>
  <si>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</si>
  <si>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</si>
  <si>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</si>
  <si>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</si>
  <si>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</si>
  <si>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</si>
  <si>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</si>
  <si>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</si>
  <si>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</si>
  <si>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</si>
  <si>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</si>
  <si>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</si>
  <si>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</si>
  <si>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</si>
  <si>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</si>
  <si>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</si>
  <si>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</si>
  <si>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</si>
  <si>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</si>
  <si>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</si>
  <si>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</si>
  <si>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</si>
  <si>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</si>
  <si>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</si>
  <si>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</si>
  <si>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</si>
  <si>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</si>
  <si>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</si>
  <si>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</si>
  <si>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</si>
  <si>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</si>
  <si>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</si>
  <si>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</si>
  <si>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</si>
  <si>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</si>
  <si>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</si>
  <si>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</si>
  <si>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</si>
  <si>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</si>
  <si>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</si>
  <si>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</si>
  <si>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</si>
  <si>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</si>
  <si>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</si>
  <si>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</si>
  <si>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</si>
  <si>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</si>
  <si>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</si>
  <si>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</si>
  <si>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</si>
  <si>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</si>
  <si>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</si>
  <si>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</si>
  <si>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</si>
  <si>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</si>
  <si>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</si>
  <si>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</si>
  <si>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</si>
  <si>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</si>
  <si>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</si>
  <si>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</si>
  <si>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</si>
  <si>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</si>
  <si>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</si>
  <si>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</si>
  <si>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</si>
  <si>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</si>
  <si>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</si>
  <si>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</si>
  <si>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</si>
  <si>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</si>
  <si>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</si>
  <si>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</si>
  <si>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</si>
  <si>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</si>
  <si>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</si>
  <si>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</si>
  <si>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</si>
  <si>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</si>
  <si>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</si>
  <si>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</si>
  <si>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</si>
  <si>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</si>
  <si>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</si>
  <si>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</si>
  <si>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</si>
  <si>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</si>
  <si>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</si>
  <si>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</si>
  <si>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</si>
  <si>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</si>
  <si>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</si>
  <si>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</si>
  <si>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</si>
  <si>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</si>
  <si>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</si>
  <si>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</si>
  <si>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</si>
  <si>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</si>
  <si>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</si>
  <si>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</si>
  <si>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</si>
  <si>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</si>
  <si>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</si>
  <si>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</si>
  <si>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</si>
  <si>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</si>
  <si>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</si>
  <si>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</si>
  <si>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</si>
  <si>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</si>
  <si>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</si>
  <si>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</si>
  <si>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</si>
  <si>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</si>
  <si>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</si>
  <si>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</si>
  <si>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</si>
  <si>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</si>
  <si>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</si>
  <si>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</si>
  <si>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</si>
  <si>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</si>
  <si>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</si>
  <si>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</si>
  <si>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</si>
  <si>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</si>
  <si>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</si>
  <si>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</si>
  <si>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</si>
  <si>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</si>
  <si>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</si>
  <si>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</si>
  <si>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</si>
  <si>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</si>
  <si>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</si>
  <si>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</si>
  <si>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</si>
  <si>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</si>
  <si>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</si>
  <si>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</si>
  <si>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</si>
  <si>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</si>
  <si>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</si>
  <si>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</si>
  <si>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</si>
  <si>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</si>
  <si>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</si>
  <si>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</si>
  <si>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</si>
  <si>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</si>
  <si>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</si>
  <si>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</si>
  <si>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</si>
  <si>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</si>
  <si>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</si>
  <si>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</si>
  <si>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</si>
  <si>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</si>
  <si>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</si>
  <si>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</si>
  <si>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</si>
  <si>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</si>
  <si>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</si>
  <si>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</si>
  <si>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</si>
  <si>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</si>
  <si>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</si>
  <si>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</si>
  <si>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</si>
  <si>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</si>
  <si>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</si>
  <si>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</si>
  <si>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</si>
  <si>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</si>
  <si>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</si>
  <si>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</si>
  <si>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</si>
  <si>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</si>
  <si>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</si>
  <si>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</si>
  <si>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</si>
  <si>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</si>
  <si>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</si>
  <si>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</si>
  <si>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</si>
  <si>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</si>
  <si>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</si>
  <si>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</si>
  <si>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</si>
  <si>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</si>
  <si>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</si>
  <si>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</si>
  <si>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</si>
  <si>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</si>
  <si>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</si>
  <si>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</si>
  <si>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</si>
  <si>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</si>
  <si>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</si>
  <si>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</si>
  <si>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</si>
  <si>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</si>
  <si>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</si>
  <si>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</si>
  <si>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</si>
  <si>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</si>
  <si>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</si>
  <si>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</si>
  <si>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</si>
  <si>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</si>
  <si>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</si>
  <si>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</si>
  <si>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</si>
  <si>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</si>
  <si>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</si>
  <si>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</si>
  <si>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</si>
  <si>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</si>
  <si>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</si>
  <si>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</si>
  <si>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</si>
  <si>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</si>
  <si>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</si>
  <si>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</si>
  <si>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</si>
  <si>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</si>
  <si>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</si>
  <si>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</si>
  <si>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</si>
  <si>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</si>
  <si>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</si>
  <si>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</si>
  <si>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</si>
  <si>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</si>
  <si>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</si>
  <si>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</si>
  <si>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</si>
  <si>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</si>
  <si>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</si>
  <si>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</si>
  <si>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</si>
  <si>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</si>
  <si>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</si>
  <si>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</si>
  <si>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</si>
  <si>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</si>
  <si>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</si>
  <si>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</si>
  <si>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</si>
  <si>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</si>
  <si>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</si>
  <si>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</si>
  <si>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</si>
  <si>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</si>
  <si>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</si>
  <si>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</si>
  <si>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</si>
  <si>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</si>
  <si>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</si>
  <si>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</si>
  <si>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</si>
  <si>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</si>
  <si>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</si>
  <si>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</si>
  <si>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</si>
  <si>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</si>
  <si>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</si>
  <si>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</si>
  <si>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</si>
  <si>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</si>
  <si>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</si>
  <si>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</si>
  <si>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</si>
  <si>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</si>
  <si>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</si>
  <si>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</si>
  <si>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</si>
  <si>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</si>
  <si>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</si>
  <si>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</si>
  <si>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</si>
  <si>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</si>
  <si>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</si>
  <si>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</si>
  <si>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</si>
  <si>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</si>
  <si>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</si>
  <si>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</si>
  <si>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</si>
  <si>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</si>
  <si>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</si>
  <si>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</si>
  <si>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</si>
  <si>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</si>
  <si>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</si>
  <si>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</si>
  <si>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</si>
  <si>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</si>
  <si>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</si>
  <si>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</si>
  <si>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</si>
  <si>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</si>
  <si>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</si>
  <si>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</si>
  <si>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</si>
  <si>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</si>
  <si>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</si>
  <si>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</si>
  <si>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</si>
  <si>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</si>
  <si>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</si>
  <si>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</si>
  <si>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</si>
  <si>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</si>
  <si>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</si>
  <si>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</si>
  <si>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</si>
  <si>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</si>
  <si>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</si>
  <si>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</si>
  <si>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</si>
  <si>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</si>
  <si>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</si>
  <si>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</si>
  <si>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</si>
  <si>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</si>
  <si>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</si>
  <si>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</si>
  <si>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</si>
  <si>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</si>
  <si>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</si>
  <si>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</si>
  <si>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</si>
  <si>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</si>
  <si>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</si>
  <si>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</si>
  <si>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</si>
  <si>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</si>
  <si>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</si>
  <si>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</si>
  <si>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</si>
  <si>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</si>
  <si>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</si>
  <si>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</si>
  <si>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</si>
  <si>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</si>
  <si>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</si>
  <si>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</si>
  <si>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</si>
  <si>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</si>
  <si>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</si>
  <si>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</si>
  <si>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</si>
  <si>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</si>
  <si>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</si>
  <si>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</si>
  <si>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</si>
  <si>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</si>
  <si>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</si>
  <si>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</si>
  <si>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</si>
  <si>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</si>
  <si>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</si>
  <si>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</si>
  <si>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</si>
  <si>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</si>
  <si>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</si>
  <si>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</si>
  <si>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</si>
  <si>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</si>
  <si>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</si>
  <si>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</si>
  <si>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</si>
  <si>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</si>
  <si>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</si>
  <si>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</si>
  <si>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</si>
  <si>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</si>
  <si>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</si>
  <si>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</si>
  <si>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</si>
  <si>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</si>
  <si>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</si>
  <si>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</si>
  <si>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</si>
  <si>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</si>
  <si>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</si>
  <si>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</si>
  <si>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</si>
  <si>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</si>
  <si>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</si>
  <si>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</si>
  <si>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</si>
  <si>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</si>
  <si>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</si>
  <si>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</si>
  <si>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</si>
  <si>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</si>
  <si>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</si>
  <si>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</si>
  <si>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</si>
  <si>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</si>
  <si>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</si>
  <si>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</si>
  <si>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</si>
  <si>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</si>
  <si>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</si>
  <si>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</si>
  <si>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</si>
  <si>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</si>
  <si>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</si>
  <si>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</si>
  <si>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</si>
  <si>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</si>
  <si>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</si>
  <si>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</si>
  <si>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</si>
  <si>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</si>
  <si>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</si>
  <si>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</si>
  <si>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</si>
  <si>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</si>
  <si>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</si>
  <si>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</si>
  <si>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</si>
  <si>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</si>
  <si>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</si>
  <si>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</si>
  <si>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</si>
  <si>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</si>
  <si>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</si>
  <si>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</si>
  <si>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</si>
  <si>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</si>
  <si>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</si>
  <si>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</si>
  <si>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</si>
  <si>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</si>
  <si>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</si>
  <si>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</si>
  <si>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</si>
  <si>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</si>
  <si>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</si>
  <si>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</si>
  <si>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</si>
  <si>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</si>
  <si>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</si>
  <si>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</si>
  <si>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</si>
  <si>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</si>
  <si>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</si>
  <si>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</si>
  <si>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</si>
  <si>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</si>
  <si>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</si>
  <si>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</si>
  <si>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</si>
  <si>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</si>
  <si>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</si>
  <si>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</si>
  <si>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</si>
  <si>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</si>
  <si>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</si>
  <si>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</si>
  <si>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</si>
  <si>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</si>
  <si>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</si>
  <si>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</si>
  <si>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</si>
  <si>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</si>
  <si>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</si>
  <si>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</si>
  <si>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</si>
  <si>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</si>
  <si>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</si>
  <si>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</si>
  <si>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</si>
  <si>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</si>
  <si>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</si>
  <si>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</si>
  <si>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</si>
  <si>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</si>
  <si>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</si>
  <si>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</si>
  <si>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</si>
  <si>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</si>
  <si>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</si>
  <si>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</si>
  <si>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</si>
  <si>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</si>
  <si>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</si>
  <si>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</si>
  <si>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</si>
  <si>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</si>
  <si>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</si>
  <si>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</si>
  <si>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</si>
  <si>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</si>
  <si>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</si>
  <si>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</si>
  <si>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</si>
  <si>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</si>
  <si>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</si>
  <si>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</si>
  <si>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</si>
  <si>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</si>
  <si>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</si>
  <si>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</si>
  <si>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</si>
  <si>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</si>
  <si>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</si>
  <si>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</si>
  <si>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</si>
  <si>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</si>
  <si>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</si>
  <si>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</si>
  <si>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</si>
  <si>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</si>
  <si>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</si>
  <si>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</si>
  <si>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</si>
  <si>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</si>
  <si>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</si>
  <si>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</si>
  <si>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</si>
  <si>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</si>
  <si>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</si>
  <si>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</si>
  <si>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</si>
  <si>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</si>
  <si>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</si>
  <si>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</si>
  <si>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</si>
  <si>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</si>
  <si>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</si>
  <si>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</si>
  <si>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</si>
  <si>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</si>
  <si>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</si>
  <si>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</si>
  <si>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</si>
  <si>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</si>
  <si>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</si>
  <si>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</si>
  <si>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</si>
  <si>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</si>
  <si>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</si>
  <si>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</si>
  <si>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</si>
  <si>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</si>
  <si>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</si>
  <si>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</si>
  <si>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</si>
  <si>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NÃO DESONERADO</t>
  </si>
  <si>
    <t>DESONERADO</t>
  </si>
  <si>
    <t>BDI NÃO DESON</t>
  </si>
  <si>
    <t>BDI DESON</t>
  </si>
  <si>
    <t>SEM DESON</t>
  </si>
  <si>
    <t>DESON</t>
  </si>
  <si>
    <t>NÃO DESON</t>
  </si>
  <si>
    <r>
      <t>COMPOSIÇÃO DA PARCELA DE BDI (BONIFICAÇÕES E DESPESAS INDIRETAS)</t>
    </r>
    <r>
      <rPr>
        <b/>
        <sz val="10"/>
        <rFont val="Arial"/>
        <family val="2"/>
      </rPr>
      <t xml:space="preserve"> COM DESONERAÇÃO - OBRAS</t>
    </r>
  </si>
  <si>
    <t>CÁLCULO DE BDI DETALHADO</t>
  </si>
  <si>
    <t>Conforme Acórdão nº. 2622 de 25 de setembro de 2013 do T.C.U.</t>
  </si>
  <si>
    <t>Descrição Despesas</t>
  </si>
  <si>
    <t>%</t>
  </si>
  <si>
    <t>Administração Central (AC)</t>
  </si>
  <si>
    <t>Custos financeiros (DF)</t>
  </si>
  <si>
    <t>Riscos ( C )</t>
  </si>
  <si>
    <t>Seguros e Garantias (S)</t>
  </si>
  <si>
    <t>Lucro ( L )</t>
  </si>
  <si>
    <t>Impostos - Tributos ( I )</t>
  </si>
  <si>
    <t>CPRB  Lei nº 13161/2015</t>
  </si>
  <si>
    <t>Total</t>
  </si>
  <si>
    <t>onde:</t>
  </si>
  <si>
    <t>AC = taxa de Administração Central;</t>
  </si>
  <si>
    <t>S = taxa de seguros;</t>
  </si>
  <si>
    <t>R = taxa de riscos;</t>
  </si>
  <si>
    <t>G = taxa de garantias;</t>
  </si>
  <si>
    <t>DF = taxa das despesas financeiras;</t>
  </si>
  <si>
    <t>L = taxa de lucro;</t>
  </si>
  <si>
    <t>I = taxa de tributos/impostos (PIS, COFINS, ISSQN);</t>
  </si>
  <si>
    <t>CPRB = contribuição previdenciária sobre a receita bruta (incluir 4,5% a partir de 01/12/2015, Lei 13.161/2015).</t>
  </si>
  <si>
    <r>
      <t xml:space="preserve">COMPOSIÇÃO DA PARCELA DE BDI (BONIFICAÇÕES E DESPESAS INDIRETAS) </t>
    </r>
    <r>
      <rPr>
        <b/>
        <sz val="10"/>
        <rFont val="Arial"/>
        <family val="2"/>
      </rPr>
      <t>SEM DESONERAÇÃO</t>
    </r>
    <r>
      <rPr>
        <sz val="10"/>
        <rFont val="Arial"/>
        <family val="2"/>
      </rPr>
      <t xml:space="preserve"> - OBRAS</t>
    </r>
  </si>
  <si>
    <t>COMPOSIÇÃO DA PARCELA DE BDI (BONIFICAÇÕES E DESPESAS INDIRETAS) COM DESONERAÇÃO - DIFERENCIADO</t>
  </si>
  <si>
    <r>
      <t xml:space="preserve">COMPOSIÇÃO DA PARCELA DE BDI (BONIFICAÇÕES E DESPESAS INDIRETAS) </t>
    </r>
    <r>
      <rPr>
        <b/>
        <sz val="10"/>
        <rFont val="Arial"/>
        <family val="2"/>
      </rPr>
      <t>SEM DESONERAÇÃO - DIFERENCIADO</t>
    </r>
  </si>
  <si>
    <t>SEPLAG ARQ 50</t>
  </si>
  <si>
    <t>FELTRO EM LA DE ROCHA, 1 FACE REVESTIDA COM PAPEL ALUMINIZADO, EM ROLO, DENSIDADE = 32 KG/M3, E=*50* MM</t>
  </si>
  <si>
    <t>1,0000000</t>
  </si>
  <si>
    <t>P. UNIT:</t>
  </si>
  <si>
    <t>CNPJ:</t>
  </si>
  <si>
    <t>CONTATO:</t>
  </si>
  <si>
    <t>FORNECEDOR:</t>
  </si>
  <si>
    <t>DATA:</t>
  </si>
  <si>
    <t>BARRA DE APOIO RETA, EM ACO INOX POLIDO, COMPRIMENTO 40CM, DIAMETRO MINIMO 3 CM.</t>
  </si>
  <si>
    <t>ASSENTO SANITARIO DE PLASTICO, TIPO PCD.</t>
  </si>
  <si>
    <t>VÁLVULA DE DESCARGA HYDRACONFORTO DECA OU SIMILAR.</t>
  </si>
  <si>
    <t>LAVATORIO / CUBA DE EMBUTIR, OVAL, DE LOUCA BRANCA, SEM LADRAO, DIMENSOES *48,5 X 37,5* CM (L X C)</t>
  </si>
  <si>
    <t>KIT PORTA PRONTA PRETA LISA SÓLIDA PORMADE.</t>
  </si>
  <si>
    <t>CUBA DE SOBREPOR  EM LOUÇA BRANCA DECA OU SIMILAR L.735  OU EQUIVALENTE.</t>
  </si>
  <si>
    <t xml:space="preserve">COTAÇÃO DE SERVIÇOS COMPOSIÇÃO INCÊNDIO </t>
  </si>
  <si>
    <t>PLACA FOTOLUMINESCENTE (TIPO : E8 FORMATO: QUADRADA DIMENSÃO: 300MMX300MM INFORMAÇÃO: PICTOGRAMA SEM TEXTO - ABRIGO DE MANGUEIRA E HIDRANTE)</t>
  </si>
  <si>
    <t>4.1.2</t>
  </si>
  <si>
    <t>4.1.3</t>
  </si>
  <si>
    <t>4.3.1</t>
  </si>
  <si>
    <t>4.2.2</t>
  </si>
  <si>
    <t>4.3.2</t>
  </si>
  <si>
    <t>4.3.3</t>
  </si>
  <si>
    <t>4.4.1</t>
  </si>
  <si>
    <t>4.4.2</t>
  </si>
  <si>
    <t>4.4.3</t>
  </si>
  <si>
    <t>1º PAVIMENTO</t>
  </si>
  <si>
    <t>5.1.1</t>
  </si>
  <si>
    <t>5.1.2</t>
  </si>
  <si>
    <t>5.1.3</t>
  </si>
  <si>
    <t>5.2.1</t>
  </si>
  <si>
    <t>5.2.2</t>
  </si>
  <si>
    <t>5.3.3</t>
  </si>
  <si>
    <t>5.4.1</t>
  </si>
  <si>
    <t>5.4.2</t>
  </si>
  <si>
    <t>5.4.3</t>
  </si>
  <si>
    <t>3.1.1</t>
  </si>
  <si>
    <t>3.1.2</t>
  </si>
  <si>
    <t>3.1.3</t>
  </si>
  <si>
    <t>3.1.4</t>
  </si>
  <si>
    <t>3.1.5</t>
  </si>
  <si>
    <t>3.1.6</t>
  </si>
  <si>
    <t>3.2.1</t>
  </si>
  <si>
    <t>3.2.2</t>
  </si>
  <si>
    <t>3.2.3</t>
  </si>
  <si>
    <t>3.3.1</t>
  </si>
  <si>
    <t>3.3.2</t>
  </si>
  <si>
    <t>3.4.1</t>
  </si>
  <si>
    <t>3.4.2</t>
  </si>
  <si>
    <t>3.4.3</t>
  </si>
  <si>
    <t>3.4.4</t>
  </si>
  <si>
    <t>3.5.1</t>
  </si>
  <si>
    <t>3.6.1</t>
  </si>
  <si>
    <t>3.6.2</t>
  </si>
  <si>
    <t>3.6.3</t>
  </si>
  <si>
    <t>PELÍCULA DE SEGURANÇA PARA PAINES DE VIDRO, FONECIMENTO E INSTALAÇÃO.</t>
  </si>
  <si>
    <t>SEPLAG ARQ 51</t>
  </si>
  <si>
    <t>CONTRA FOGO</t>
  </si>
  <si>
    <t>65 9610-2267</t>
  </si>
  <si>
    <t>27.244.187/0001-25</t>
  </si>
  <si>
    <t>TODIMO</t>
  </si>
  <si>
    <t>(65)2128-5500</t>
  </si>
  <si>
    <t>COMPOSIÇÃO DE CUSTO UNITÁRIO PARA INSTALAÇÕES ELETRICAS</t>
  </si>
  <si>
    <t>SEPLAG ELE 01</t>
  </si>
  <si>
    <t>ARRUELA LISA REDONDA (DIÂMETRO 6,35MM (1/4") PESO/100PÇ: 0,204 KG)</t>
  </si>
  <si>
    <t>ELETROCALHA METÁLICA (TIPO: LISA SEM VIROLA TRATAMENTO: PRÉ-ZINCADO CHAPA: N°18 MEDIDAS: 50X50X300MM)</t>
  </si>
  <si>
    <t>PARAFUSO (ROSCA: INTEIRA APLICAÇÃO: ELETROCALHA E PERFILADO CABEÇA: LENTILHA MATERIAL: INOX ACABAMENTO: CROMADO BITOLA: 1/4" [6,35MM] X1/2" [12,7MM]  PESO/100PÇ: 0,541KG)</t>
  </si>
  <si>
    <t>PORCA SEXTAVADA ( MATERIAL: AÇO|  DIÂMETRO : 6,35MM [1/4"] PESO/100 PÇ : 0,320 KG)</t>
  </si>
  <si>
    <t>TALA RETA (TIPO: AUTOPORTANTE TRATAMENTO: PRÉ-ZINCADO CHAPA: N°18 MEDIDA: 50MM APLICAÇÃO: EMENDA PARA ELETROCALHA)</t>
  </si>
  <si>
    <t>TAMPA PARA ELETROCALHA METÁLICA ( TIPO: ENCAIXE TRATAMENTO: PRÉ- ZINCADO|CHAPA: N°24 MEDIDA: 50MM)</t>
  </si>
  <si>
    <t>SEPLAG ELE 02</t>
  </si>
  <si>
    <t>ELETROCALHA METÁLICA (TIPO: LISA SEM VIROLA TRATAMENTO: PRÉ-ZINCADO CHAPA: N°18 MEDIDAS: 100X50X300MM)</t>
  </si>
  <si>
    <t>TAMPA PARA ELETROCALHA METÁLICA ( TIPO: ENCAIXE TRATAMENTO: PRÉ- ZINCADO|CHAPA: N°24 MEDIDA: 100MM)</t>
  </si>
  <si>
    <t>SEPLAG ELE 03</t>
  </si>
  <si>
    <t>TAMPA PARA ELETROCALHA METÁLICA ( TIPO: ENCAIXE TRATAMENTO: PRÉ- ZINCADO|CHAPA: N°24 MEDIDA: 200MM)</t>
  </si>
  <si>
    <t>SETOP - ED-19511</t>
  </si>
  <si>
    <t>SEPLAG ELE 04</t>
  </si>
  <si>
    <t>TAMPA PARA ELETROCALHA METÁLICA ( TIPO: ENCAIXE TRATAMENTO: PRÉ- ZINCADO|CHAPA: N°24 MEDIDA: 300MM)</t>
  </si>
  <si>
    <t>SEPLAG ELE 05</t>
  </si>
  <si>
    <t>SEPLAG ELE 06</t>
  </si>
  <si>
    <t>FONTE: SETOP ED-51084</t>
  </si>
  <si>
    <t>TERMINAL A COMPRESSAO EM COBRE ESTANHADO 1FURO PARA CABO 16 MM2</t>
  </si>
  <si>
    <t>SEPLAG ELE 07</t>
  </si>
  <si>
    <t>TERMINAL A COMPRESSAO EM COBRE ESTANHADO 1FURO PARA CABO 25 MM2</t>
  </si>
  <si>
    <t>SEPLAG ELE 08</t>
  </si>
  <si>
    <t>TERMINAL A COMPRESSAO EM COBRE ESTANHADO 1FURO PARA CABO 35 MM2</t>
  </si>
  <si>
    <t>SEPLAG ELE 09</t>
  </si>
  <si>
    <t>TERMINAL A COMPRESSAO EM COBRE ESTANHADO 1FURO PARA CABO 50 MM2</t>
  </si>
  <si>
    <t>SEPLAG ELE 10</t>
  </si>
  <si>
    <t>TERMINAL A COMPRESSAO EM COBRE ESTANHADO 1FURO PARA CABO 70 MM2</t>
  </si>
  <si>
    <t>SEPLAG ELE 11</t>
  </si>
  <si>
    <t>TERMINAL A COMPRESSAO EM COBRE ESTANHADO 1FURO PARA CABO 95 MM2</t>
  </si>
  <si>
    <t>SEPLAG ELE 12</t>
  </si>
  <si>
    <t>TERMINAL A COMPRESSAO EM COBRE ESTANHADO 1FURO PARA CABO 120 MM2</t>
  </si>
  <si>
    <t>SEPLAG ELE 13</t>
  </si>
  <si>
    <t>TERMINAL A COMPRESSAO EM COBRE ESTANHADO 1FURO PARA CABO 150 MM2</t>
  </si>
  <si>
    <t>SEPLAG ELE 14</t>
  </si>
  <si>
    <t>TERMINAL A COMPRESSAO EM COBRE ESTANHADO 1FURO PARA CABO 185 MM2</t>
  </si>
  <si>
    <t>SEPLAG ELE 15</t>
  </si>
  <si>
    <t>TERMINAL A COMPRESSAO EM COBRE ESTANHADO 1FURO PARA CABO 240 MM2</t>
  </si>
  <si>
    <t>SEPLAG ELE 16</t>
  </si>
  <si>
    <t>TERMINAL OLHAL PARA CABO DE 1,50MM2 À 2,50MM2, FORNECIMENTO E INSTALAÇÃO</t>
  </si>
  <si>
    <t>FONTE : SEINFRA - C3482</t>
  </si>
  <si>
    <t>TERMINAL OLHAL PARA CABO DE 1,50mm2 A 2,50mm2</t>
  </si>
  <si>
    <t>SEPLAG ELE 17</t>
  </si>
  <si>
    <t>TERMINAL OLHAL PARA CABO DE 4,0MM2 À 6,0MM2, FORNECIMENTO E INSTALAÇÃO</t>
  </si>
  <si>
    <t>FONTE : SEINFRA - C3483</t>
  </si>
  <si>
    <t>TERMINAL OLHAL PARA CABO DE 4,0mm2 A 6,0mm2</t>
  </si>
  <si>
    <t>SEPLAG ELE 18</t>
  </si>
  <si>
    <t>TERMINAL TIPO PINO PARA CABO DE 1,50MM2 À ,2,50MM2, FORNECIMENTO E INSTALAÇÃO</t>
  </si>
  <si>
    <t>TERMINAL TIPO PINO PARA CABO DE 1,50mm2 A 2,50mm2</t>
  </si>
  <si>
    <t>TERMINAL TIPO PINO  PARA CABO DE 4,0MM2 À 6,0MM2, FORNECIMENTO E INSTALAÇÃO</t>
  </si>
  <si>
    <t>SEPLAG ELE 19</t>
  </si>
  <si>
    <t>SEPLAG ELE 20</t>
  </si>
  <si>
    <t>DISJUNTOR TRIPOLAR TIPO DIN, CORRENTE NOMINAL DE 63A - FORNECIMENTO E INSTALAÇÃO. AF_10/2020</t>
  </si>
  <si>
    <t>FONTE: SETOP ED-49266</t>
  </si>
  <si>
    <t>SEPLAG ELE 21</t>
  </si>
  <si>
    <t>DISJUNTOR TRIPOLAR TIPO DIN, CORRENTE NOMINAL DE 80A - FORNECIMENTO E INSTALAÇÃO. AF_10/2020</t>
  </si>
  <si>
    <t>DISJUNTOR TRIPOLAR TIPO DIN, CORRENTE NOMINAL DE 200A - FORNECIMENTO E INSTALAÇÃO. AF_10/2020</t>
  </si>
  <si>
    <t>SEPLAG ELE 22</t>
  </si>
  <si>
    <t>SEPLAG ELE 23</t>
  </si>
  <si>
    <t>SEPLAG ELE 24</t>
  </si>
  <si>
    <t>SUPRESSOR DE SURTO PARA PROTEÇÃO CLASSE 1 - 45 KA, FORNECIMENTO E INSTALAÇÃO</t>
  </si>
  <si>
    <t>FONTE: SETOP ED-49527</t>
  </si>
  <si>
    <t>SEPLAG ELE 25</t>
  </si>
  <si>
    <t>SUPRESSOR DE SURTO PARA PROTEÇÃO CLASSE 2 - 25 KA, FORNECIMENTO E INSTALAÇÃO</t>
  </si>
  <si>
    <t>SUPRESSOR DE SURTO PARA PROTEÇÃO CLASSE 2 - 8 KA, FORNECIMENTO E INSTALAÇÃO</t>
  </si>
  <si>
    <t>SEPLAG ELE 26</t>
  </si>
  <si>
    <t>GAVETA DE VENTILAÇÃO COM 4 VENTILADORES PARA RACK 19"</t>
  </si>
  <si>
    <t>FONTE: SETOP ED-48372</t>
  </si>
  <si>
    <t>SEPLAG ELE 27</t>
  </si>
  <si>
    <t>FONTE: SETOP ED-48375</t>
  </si>
  <si>
    <t>RÉGUA COM 8 TOMADAS (2P+T), PARA FIXAÇÃO NO RACK DE 19" (1U) - 10A 110/220V</t>
  </si>
  <si>
    <t>SEPLAG ARQ 52</t>
  </si>
  <si>
    <t>BANCADA GRANITO PRETO  150 X 60 CM, COM CUBA DE EMBUTIR DE AÇO, VÁLVULA AMERICANA EM METAL, SIFÃO FLEXÍVEL EM PVC, ENGATE FLEXÍVEL 30 CM, TORNEIRA CROMADA LONGA, DE PAREDE, 1/2 OU 3/4 R - FORNEC. E INSTALAÇÃO. AF_01/2020</t>
  </si>
  <si>
    <t>SEPLAG ELE 28</t>
  </si>
  <si>
    <t>FONTE: SEINFRA C3762</t>
  </si>
  <si>
    <t>SEPLAG ELE 29</t>
  </si>
  <si>
    <t>PATCH CORD 1,5M CAT 6 FURUKAWA OU EQUIVALENTE TÉCNICO REF: CARTHOM'S OU EQUIVALENTE TÉCNICO, FORNECIMENTO E INSTALAÇÃO</t>
  </si>
  <si>
    <t>PATCH CORD 1,5M CAT 6 FURUKAWA OU EQUIVALENTE TÉCNICO REF: CARTHOM'S OU EQUIVALENTE TÉCNICO</t>
  </si>
  <si>
    <t>SEPLAG ELE 30</t>
  </si>
  <si>
    <t>PATCH CORD 2,5M CAT 6 FURUKAWA OU EQUIVALENTE TÉCNICO REF: CARTHOM'S OU EQUIVALENTE TÉCNICO, FORNECIMENTO E INSTALAÇÃO</t>
  </si>
  <si>
    <t>PATCH CORD 2,5M CAT 6 FURUKAWA OU EQUIVALENTE TÉCNICO REF: CARTHOM'S OU EQUIVALENTE TÉCNICO</t>
  </si>
  <si>
    <t>SEPLAG ELE 31</t>
  </si>
  <si>
    <t>GUIA DE CABOS 19" 1U, FORNECIMENTO E INSTALAÇÃO</t>
  </si>
  <si>
    <t>GUIA DE CABOS 19" 1U</t>
  </si>
  <si>
    <t>SEPLAG ELE 32</t>
  </si>
  <si>
    <t>SEPLAG ARQ 53</t>
  </si>
  <si>
    <t>SEPLAG ARQ 54</t>
  </si>
  <si>
    <t>SEPLAG ARQ 55</t>
  </si>
  <si>
    <t>BANCADA DE GRANITO CINZA POLIDO, DE 1,15 X 0,60 M, PARA LAVATÓRIO - FORNECIMENTO E INSTALAÇÃO. AF_01/2020</t>
  </si>
  <si>
    <t>COMPOSIÇÃO DE BDI  - CONFRME ACORDÃO TCU</t>
  </si>
  <si>
    <t>SEPLAG ELE 33</t>
  </si>
  <si>
    <t>BANDEJA MÓVEL, PADRÃO 19"</t>
  </si>
  <si>
    <t xml:space="preserve"> PATCH PANEL 24 PORTAS, CATEGORIA "6" FURUKAWA, FORNECIMENTO E INSTALAÇÃO</t>
  </si>
  <si>
    <t>SEPLAG ELE 34</t>
  </si>
  <si>
    <t>FONTE : SEINFRA - C3768</t>
  </si>
  <si>
    <t xml:space="preserve"> PATCH PANEL 24 PORTAS, CATEGORIA "6" FURUKAWA</t>
  </si>
  <si>
    <t>FONTE : SEINFRA - C4567</t>
  </si>
  <si>
    <t>PÇ</t>
  </si>
  <si>
    <t>5.3.1</t>
  </si>
  <si>
    <t>5.3.2</t>
  </si>
  <si>
    <t>SEPLAG ARQ 56</t>
  </si>
  <si>
    <t>BANCADA DE GRANITO BRANCO POLIDO, DE 1,60 X 0,60 M, PARA LAVATÓRIO - FORNECIMENTO E INSTALAÇÃO. AF_01/2020</t>
  </si>
  <si>
    <t>SEPLAG ARQ 57</t>
  </si>
  <si>
    <t>SEPLAG ARQ 58</t>
  </si>
  <si>
    <t>SEPLAG ARQ 59</t>
  </si>
  <si>
    <t>BANCADA DE GRANITO BRANCO POLIDO, DE 2,30 X 0,60 M, PARA COZINHA - FORNECIMENTO E INSTALAÇÃO. AF_01/2020</t>
  </si>
  <si>
    <t>BANCADA DE GRANITO BRANCO POLIDO, DE 2,25 X 0,60 M - FORNECIMENTO E INSTALAÇÃO. AF_01/2020</t>
  </si>
  <si>
    <t>BANCADA DE GRANITO BRANCO POLIDO, DE 5,96 X 0,60 M, PARA COZINHA - FORNECIMENTO E INSTALAÇÃO. AF_01/2020</t>
  </si>
  <si>
    <t>SEPLAG ARQ 60</t>
  </si>
  <si>
    <t>BANCADA DE GRANITO BRANCO POLIDO, DE 2,66 X 0,60 M, PARA COZINHA - FORNECIMENTO E INSTALAÇÃO. AF_01/2020</t>
  </si>
  <si>
    <t>SEPLAG ARQ 61</t>
  </si>
  <si>
    <t>BANCADA DE GRANITO CINZA POLIDO, DE 2,35 X 0,60 M, PARA COZINHA - FORNECIMENTO E INSTALAÇÃO. AF_01/2020</t>
  </si>
  <si>
    <t>SEPLAG ARQ 62</t>
  </si>
  <si>
    <t>TANQUE DE EMBUTIR RETANGULAR DE AÇO INOXIDÁVEL, 48 X 35 X 12 CM - FORNECIMENTO E INSTALAÇÃO. AF_01/2020</t>
  </si>
  <si>
    <t>PORTA EM ALUMÍNIO DE ABRIR TIPO VENEZIANA 0,60x1,70 m COM GUARNIÇÃO, FIXAÇÃO COM PARAFUSOS - FORNECIMENTO E INSTALAÇÃO. AF_12/2019</t>
  </si>
  <si>
    <t xml:space="preserve">FIXAÇÃO DE ELETROCALHA/LEITO HORIZONTAL COM LARGURA MENOR OU IGUAL A 200 MM EM LAJE, COM SUPORTE EM PERFILADO, INCLUSIVE PERFILADO, VERGALHÃO E ACESSÓRIOS, </t>
  </si>
  <si>
    <t>TERMINAL TIPO PINO PARA CABO DE 4,0mm2 A 6,0mm2</t>
  </si>
  <si>
    <t>RACK FECHADO PADRÃO 19" X 40U'S, DIMENSÕES: PROFUNDIDADE ÚTIL MÍNIMA DE 650MM, PROFUNDIDADE, LARGURA E ALTURA TOTAIS MÁXIMAS DE 800X650X2000MM. COM FURAÇÕES 2000MM. COM FURAÇÕES PARA MODULO DE VENTILAÇÃO.</t>
  </si>
  <si>
    <t>TANQUE DE POLIETILENO 1.000 LITROS, TAMPA ROSCAVEL, TIPO FORTLEV</t>
  </si>
  <si>
    <t>TANQUE DE POLIETILENO 2.000 LITROS, TAMPA ROSCAVEL, TIPO FORTLEV</t>
  </si>
  <si>
    <t>TANQUE DE POLIETILENO 3.000 LITROS, TAMPA ROSCAVEL, TIPO FORTLEV</t>
  </si>
  <si>
    <t>COTAÇÃO DE SERVIÇOS ELÉTRICO</t>
  </si>
  <si>
    <t>COTAÇÃO DE SERVIÇOS HIDRÁULICOS</t>
  </si>
  <si>
    <t>COTAÇÃO DE SERVIÇOS SPDA</t>
  </si>
  <si>
    <t>SEPLAG ARQ 63</t>
  </si>
  <si>
    <t xml:space="preserve">REMOÇÃO DE PORTAS DE ALUMINIO </t>
  </si>
  <si>
    <t>16.1</t>
  </si>
  <si>
    <t>16.1.1</t>
  </si>
  <si>
    <t>16.1.2</t>
  </si>
  <si>
    <t>SEPLAG  ARQ 64</t>
  </si>
  <si>
    <t>SEPLAG  ARQ 65</t>
  </si>
  <si>
    <t>BEIRA RIO</t>
  </si>
  <si>
    <t>FIREX</t>
  </si>
  <si>
    <t>PIZZATO</t>
  </si>
  <si>
    <t xml:space="preserve"> und</t>
  </si>
  <si>
    <t>COLUNA</t>
  </si>
  <si>
    <t>VERDÃO</t>
  </si>
  <si>
    <t>LOJA ELÉTRICA</t>
  </si>
  <si>
    <t>MADEIRA MADEIRA</t>
  </si>
  <si>
    <t>LEROY MERLIN</t>
  </si>
  <si>
    <t>PELÍCULA DE SEGURANÇA (P/VIDRO)</t>
  </si>
  <si>
    <t>EMPÓRIO DO ADESIVO</t>
  </si>
  <si>
    <t>ELÉTRICA INCÊNDIO</t>
  </si>
  <si>
    <t>ELETRODUTO FLEXÍVEL, EM AÇO GALVANIZADO, REVESTIDO EXTERNAMENTE COM PVC PRETO (3/4")</t>
  </si>
  <si>
    <t>SEPLAG INC 36</t>
  </si>
  <si>
    <t>SEPLAG INC 37</t>
  </si>
  <si>
    <t>REDUÇÃO CONDULETE PARA ELETRODUTO METÁLICO DE 1'' PARA 3/4''</t>
  </si>
  <si>
    <t>(65) 36341717</t>
  </si>
  <si>
    <t>37.470.911/0001-92</t>
  </si>
  <si>
    <t>(65) 3618-2500</t>
  </si>
  <si>
    <t>08.139.615/0001-05</t>
  </si>
  <si>
    <t>(65) 3388-0800</t>
  </si>
  <si>
    <t>DANIEL MAYKE OLIVEIRA FERREIRA</t>
  </si>
  <si>
    <t>SEPLAG HIDR 01</t>
  </si>
  <si>
    <t>BUCHA DE REDUÇÃO, PVC MARROM, SOLDÁVEL, DN60MM X 25MM - FORNECIMENTO E INSTALAÇÃO.</t>
  </si>
  <si>
    <t>BUCHA DE REDUÇÃO, PVC MARROM, SOLDÁVEL, DN60MM X 50MM - FORNECIMENTO E INSTALAÇÃO.</t>
  </si>
  <si>
    <t>BUCHA DE REDUÇÃO, PVC MARROM, SOLDÁVEL, DN50MM X 25MM - FORNECIMENTO E INSTALAÇÃO.</t>
  </si>
  <si>
    <t>SEPLAG HIDR 02</t>
  </si>
  <si>
    <t>SEPLAG HIDR 03</t>
  </si>
  <si>
    <t>SEPLAG HIDR 04</t>
  </si>
  <si>
    <t>BUCHA DE REDUÇÃO, PVC MARROM, SOLDÁVEL, DN75MM X 50MM - FORNECIMENTO E INSTALAÇÃO.</t>
  </si>
  <si>
    <t>SEPLAG HIDR 05</t>
  </si>
  <si>
    <t>SEPLAG HIDR 06</t>
  </si>
  <si>
    <t>SEPLAG HIDR 07</t>
  </si>
  <si>
    <t>TANQUE DE POLIETILENO 1.000L COM TAMPA ROSCAVEL MODELO FORT LEVE OU SIMILAR - FORNECIMENTO E INSTALAÇÃO</t>
  </si>
  <si>
    <t>SINAPI 102607</t>
  </si>
  <si>
    <t>SEPLAG HIDR 08</t>
  </si>
  <si>
    <t>TANQUE DE POLIETILENO 2.000L COM TAMPA ROSCAVEL MODELO FORT LEVE OU SIMILAR - FORNECIMENTO E INSTALAÇÃO</t>
  </si>
  <si>
    <t>TANQUE DE POLIETILENO 3.000L COM TAMPA ROSCAVEL MODELO FORT LEVE OU SIMILAR - FORNECIMENTO E INSTALAÇÃO</t>
  </si>
  <si>
    <t>SEPLAG HIDR 09</t>
  </si>
  <si>
    <t>SEPLAG HIDR 10</t>
  </si>
  <si>
    <t>SEPLAG HIDR 11</t>
  </si>
  <si>
    <t>SEPLAG HIDR 12</t>
  </si>
  <si>
    <t>SEPLAG HIDR 13</t>
  </si>
  <si>
    <t>INSTALAÇÕES HIDRÁULICAS</t>
  </si>
  <si>
    <t>15.1.1</t>
  </si>
  <si>
    <t>15.1.2</t>
  </si>
  <si>
    <t>15.1.3</t>
  </si>
  <si>
    <t>15.1.4</t>
  </si>
  <si>
    <t>15.2.1</t>
  </si>
  <si>
    <t>15.2.2</t>
  </si>
  <si>
    <t>15.2.3</t>
  </si>
  <si>
    <t>15.2.4</t>
  </si>
  <si>
    <t>16.0</t>
  </si>
  <si>
    <t>16.1.3</t>
  </si>
  <si>
    <t>16.1.4</t>
  </si>
  <si>
    <t>ESGOTAMENTO COM MOTO-BOMBA AUTOESCORVANTE</t>
  </si>
  <si>
    <t>SPDA - SISTEMA DE PROTEÇÃO CONTRA DESARGA ATMOSFERICA</t>
  </si>
  <si>
    <t>REPASSE</t>
  </si>
  <si>
    <t>CONTRAPARTIDA</t>
  </si>
  <si>
    <t>FATOR</t>
  </si>
  <si>
    <t>QUADRO DE COMPOSIÇÃO DE INVESTIMENTO</t>
  </si>
  <si>
    <t>0,0148000</t>
  </si>
  <si>
    <t>0,0200000</t>
  </si>
  <si>
    <t>0,0225000</t>
  </si>
  <si>
    <t>0,0365000</t>
  </si>
  <si>
    <t>0,1350000</t>
  </si>
  <si>
    <t>SINAPI 89482</t>
  </si>
  <si>
    <t>SEPLAG HIDR 14</t>
  </si>
  <si>
    <t xml:space="preserve">CAIXA SIFONADA, PVC, 150 X 150 X 50 MM, COM GRELHA REDONDA, BRANCA, FORNECIMENTO E INSTALAÇÃO                                                                                                                                                                                                                                                                                                                                                                                                                                      </t>
  </si>
  <si>
    <t xml:space="preserve">JUNCAO SIMPLES, PVC, DN 100 X 50 MM, SERIE NORMAL PARA ESGOTO PREDIAL , FORNECIMENTO E INSTALAÇÃO                                                                                                                                                                                                                                                                                                                                                                                                                                    </t>
  </si>
  <si>
    <t>SINAPI 102710</t>
  </si>
  <si>
    <t>SEPLAG HIDR 15</t>
  </si>
  <si>
    <t xml:space="preserve">REDUCAO EXCENTRICA PVC P/ ESG PREDIAL DN 100 X 50MM, FORNECIEMENTO E INSTALAÇÃO                                                                                                                                                                                                                                                                                                                                                                                                                                                       </t>
  </si>
  <si>
    <t>SINAPI 89549</t>
  </si>
  <si>
    <t>0,0300000</t>
  </si>
  <si>
    <t>0,0700000</t>
  </si>
  <si>
    <t>SEPLAG HIDR 16</t>
  </si>
  <si>
    <t>TERMINAL DE VENTILAÇÃO, FORNECIMENTO E INSTALAÇÃO</t>
  </si>
  <si>
    <t>SEPLAG HIDR 17</t>
  </si>
  <si>
    <t>SEPLAG INC 38</t>
  </si>
  <si>
    <t>REDUÇÃO CONDULETE PARA ELETRODUTO METÁLICO DE 1"PARA 3/4", FORNECIMENTO E INSTALAÇÃO</t>
  </si>
  <si>
    <t>VER PROJETO</t>
  </si>
  <si>
    <t>FITA DE DEMARCAÇÃO 50MMX30M - COR AMARELA</t>
  </si>
  <si>
    <t>SEPLAG  ARQ 66</t>
  </si>
  <si>
    <t>0,1000000</t>
  </si>
  <si>
    <t>88497 - APLICAÇÃO E LIXAMENTO DE MASSA LÁTEX EM PAREDES, DUAS DEMÃOS. AF_06/2014</t>
  </si>
  <si>
    <t>APLICAÇÃO DE TINTA CIMENTO QUEIMADO EM PAREDES, DUAS DEMÃOS.</t>
  </si>
  <si>
    <t>TINTA CIMENTO QUEIMADO</t>
  </si>
  <si>
    <t>BG-057</t>
  </si>
  <si>
    <t>CL-009</t>
  </si>
  <si>
    <t>CL-011</t>
  </si>
  <si>
    <t>CM-063</t>
  </si>
  <si>
    <t>LG-068</t>
  </si>
  <si>
    <t>LG-074</t>
  </si>
  <si>
    <t>LG-076</t>
  </si>
  <si>
    <t>LG-077</t>
  </si>
  <si>
    <t>LG-085</t>
  </si>
  <si>
    <t>LG-092</t>
  </si>
  <si>
    <t>MP-347</t>
  </si>
  <si>
    <t>Fecho max-ar linha gold</t>
  </si>
  <si>
    <t>Guarnição em EPDM p/ pingadeira</t>
  </si>
  <si>
    <t>Guarnição em EPDM para vidro</t>
  </si>
  <si>
    <t>Espuma adesiva 1 face</t>
  </si>
  <si>
    <t>Guarnição em EPDM p/ marco max-ar</t>
  </si>
  <si>
    <t>PRESILHA DE FIXAÇÃO DO ARREMATE MP-347</t>
  </si>
  <si>
    <t>Parafuso zincado phillips flangeado autobrocante 4,2 x 16mm</t>
  </si>
  <si>
    <t>PARAF. PANELA PHILIPS INOX 4,8 X32 PONTA PILOTO</t>
  </si>
  <si>
    <t>CHUMBADOR DE CM-063/060</t>
  </si>
  <si>
    <t>SEPLAG  ARQ 67</t>
  </si>
  <si>
    <t>SEPLAG  ARQ 68</t>
  </si>
  <si>
    <t>SEPLAG  ARQ 69</t>
  </si>
  <si>
    <t>SEPLAG  ARQ 70</t>
  </si>
  <si>
    <t>SEPLAG  ARQ 71</t>
  </si>
  <si>
    <t>30-049</t>
  </si>
  <si>
    <t>30-051</t>
  </si>
  <si>
    <t>30-054</t>
  </si>
  <si>
    <t>30-235</t>
  </si>
  <si>
    <t>BG-010</t>
  </si>
  <si>
    <t>CL-006 Macho de conexão para canal de 8.5 mm</t>
  </si>
  <si>
    <t>CL-011 Cunha de conexão para canal de 8.5mm</t>
  </si>
  <si>
    <t>CL-015</t>
  </si>
  <si>
    <t xml:space="preserve">E-613 Remate para contramarco cadeirinha. </t>
  </si>
  <si>
    <t>Y-721 Contramarco tipo cadeirinha</t>
  </si>
  <si>
    <t>Fecho mini direito L. 20/25/30</t>
  </si>
  <si>
    <t>Botão de fixação do arremate para o arremate</t>
  </si>
  <si>
    <t>SEPLAG  ARQ 72</t>
  </si>
  <si>
    <t>SEPLAG  ARQ 73</t>
  </si>
  <si>
    <t>SEPLAG  ARQ 74</t>
  </si>
  <si>
    <t>SEPLAG  ARQ 75</t>
  </si>
  <si>
    <t>SEPLAG  ARQ 76</t>
  </si>
  <si>
    <t>SEPLAG  ARQ 77</t>
  </si>
  <si>
    <t>SEPLAG  ARQ 78</t>
  </si>
  <si>
    <t>SEPLAG  ARQ 79</t>
  </si>
  <si>
    <t>SEPLAG  ARQ 80</t>
  </si>
  <si>
    <t>SEPLAG  ARQ 81</t>
  </si>
  <si>
    <t>SEPLAG  ARQ 82</t>
  </si>
  <si>
    <t>SEPLAG  ARQ 83</t>
  </si>
  <si>
    <t>SEPLAG  ARQ 84</t>
  </si>
  <si>
    <t>SEPLAG  ARQ 85</t>
  </si>
  <si>
    <t>SEPLAG  ARQ 86</t>
  </si>
  <si>
    <t>SEPLAG  ARQ 87</t>
  </si>
  <si>
    <t>SEPLAG  ARQ 88</t>
  </si>
  <si>
    <t>SEPLAG  ARQ 89</t>
  </si>
  <si>
    <t>SEPLAG  ARQ 90</t>
  </si>
  <si>
    <t>SEPLAG  ARQ 91</t>
  </si>
  <si>
    <t>SEPLAG  ARQ 92</t>
  </si>
  <si>
    <t>SEPLAG  ARQ 93</t>
  </si>
  <si>
    <t>SEPLAG  ARQ 94</t>
  </si>
  <si>
    <t>SEPLAG  ARQ 95</t>
  </si>
  <si>
    <t>SEPLAG  ARQ 96</t>
  </si>
  <si>
    <t>SEPLAG  ARQ 97</t>
  </si>
  <si>
    <t>SEPLAG  ARQ 98</t>
  </si>
  <si>
    <t>SEPLAG  ARQ 99</t>
  </si>
  <si>
    <t xml:space="preserve">m </t>
  </si>
  <si>
    <t>KIT PORTA PRONTA PRETA LISA SÓLIDA PORMADE O,90X2,10,ACABAMENTO DE COR UNIFORME, MARCOS E ALIZARES EM PVC WOOD, RESISTENTES A ESTUFAMENTOS. FORNECIMENTO E INSTALAÇÃO</t>
  </si>
  <si>
    <t>KIT PORTA PRONTA PRETA LISA SÓLIDA PORMADE O,70X2,10,ACABAMENTO DE COR UNIFORME, MARCOS E ALIZARES EM PVC WOOD, RESISTENTES A ESTUFAMENTOS. FORNECIMENTO E INSTALAÇÃO</t>
  </si>
  <si>
    <t>Silicone neutro incolor 280 g</t>
  </si>
  <si>
    <t xml:space="preserve">ELÉTRICA </t>
  </si>
  <si>
    <t>SEPLAG  ARQ 100</t>
  </si>
  <si>
    <t>PERGOLADO (3,10 X4,55 m) EM MADEIRA DE LEI MACIÇA  TRATADA, FORNECIMENTO E INSTALAÇÃO</t>
  </si>
  <si>
    <t>SEPLAG  ARQ 101</t>
  </si>
  <si>
    <t>PERGOLADO (14,33 X 21,50 m) EM MADEIRA DE LEI MACIÇA  TRATADA, FORNECIMENTO E INSTALAÇÃO</t>
  </si>
  <si>
    <t>COMPOSIÇÃO DE CUSTO UNITÁRIO PARA PAISAGISMO</t>
  </si>
  <si>
    <t>CICA h: 50 cm</t>
  </si>
  <si>
    <t>MUDA DE CICA H= 50 CM, FORNECIMENTO E PLANTIO.</t>
  </si>
  <si>
    <t>SEPLAG PAISG 01</t>
  </si>
  <si>
    <t>SEPLAG PAISG 02</t>
  </si>
  <si>
    <t>SEPLAG PAISG 03</t>
  </si>
  <si>
    <t>Tamareira Silvestre h: 3,0 m</t>
  </si>
  <si>
    <t>TAMAREIRA SILVESTRE H= 3,0 M, FORNECIMENTO E PLANTIO.</t>
  </si>
  <si>
    <t>MUDA DE DIANELA H= 50 CM, FORNECIMENTO E PLANTIO.</t>
  </si>
  <si>
    <t xml:space="preserve">Dianela (muda) </t>
  </si>
  <si>
    <t>SEPLAG PAISG 04</t>
  </si>
  <si>
    <t>Mini Lantana Amarela (muda)</t>
  </si>
  <si>
    <t>MUDA DE MINI LANTANA AMARELA H= 50 CM, FORNECIMENTO E PLANTIO.</t>
  </si>
  <si>
    <t>SEPLAG PAISG 05</t>
  </si>
  <si>
    <t>Abacaxi Roxo (muda)</t>
  </si>
  <si>
    <t>MUDA DE ABACAXI ROXO H= 50 CM, FORNECIMENTO E PLANTIO.</t>
  </si>
  <si>
    <t>SEPLAG PAISG 06</t>
  </si>
  <si>
    <t>Grama Amendoim (muda)</t>
  </si>
  <si>
    <t>MUDA DE GRAMA AMENDOIM, FORNECIMENTO E PLANTIO.</t>
  </si>
  <si>
    <t>SEPLAG PAISG 07</t>
  </si>
  <si>
    <t>Clorofito (muda)</t>
  </si>
  <si>
    <t>MUDA DE CLOROFITO H=50 CM, FORNECIMENTO E PLANTIO.</t>
  </si>
  <si>
    <t>SEPLAG PAISG 08</t>
  </si>
  <si>
    <t>Agave Variegata (muda)</t>
  </si>
  <si>
    <t>MUDA DE AGAVE VARRIEGATA H=50 CM, FORNECIMENTO E PLANTIO.</t>
  </si>
  <si>
    <t>SEPLAG PAISG 09</t>
  </si>
  <si>
    <t>Agave Palito )muda)</t>
  </si>
  <si>
    <t>MUDA DE AGAVE PALITO H=50 CM, FORNECIMENTO E PLANTIO.</t>
  </si>
  <si>
    <t>SEPLAG PAISG 10</t>
  </si>
  <si>
    <t>Bromélia Neoregelia Vandarm (muda)</t>
  </si>
  <si>
    <t>MUDA DE BROMELIA NEOREGELIA VANDARM H=50 CM, FORNECIMENTO E PLANTIO.</t>
  </si>
  <si>
    <t>SEPLAG PAISG 11</t>
  </si>
  <si>
    <t>Setecrésia (muda)</t>
  </si>
  <si>
    <t>MUDA DE SETECRÉSIA H=50 CM, FORNECIMENTO E PLANTIO.</t>
  </si>
  <si>
    <t>SEPLAG PAISG 12</t>
  </si>
  <si>
    <t>Mini Lantana Lilás (muda)</t>
  </si>
  <si>
    <t>MUDA DE MINI LANTANA LILAS H=50 CM, FORNECIMENTO E PLANTIO.</t>
  </si>
  <si>
    <t>SEPLAG PAISG 13</t>
  </si>
  <si>
    <t>Rabo de Raposa h: 3,5</t>
  </si>
  <si>
    <t>RABO DE RAPOSA H=3,50 M, FORNECIMENTO E PLANTIO.</t>
  </si>
  <si>
    <t>SEPLAG PAISG 14</t>
  </si>
  <si>
    <t>Capim Rubro Negro (muda)</t>
  </si>
  <si>
    <t>MUDA DE CAPIM RUBRO NEGRO H=50 CM, FORNECIMENTO E PLANTIO.</t>
  </si>
  <si>
    <t>SEPLAG PAISG 15</t>
  </si>
  <si>
    <t>Palmeira Azul (Bismarckia) h: 2,50m</t>
  </si>
  <si>
    <t>MUDA DE PALMEIRA AZUL (BISMARCKIA) H=2,50 CM, FORNECIMENTO E PLANTIO.</t>
  </si>
  <si>
    <t>SEPLAG PAISG 16</t>
  </si>
  <si>
    <t>Russélia (muda)</t>
  </si>
  <si>
    <t>MUDA DE RUSSÉLIA H=50 CM, FORNECIMENTO E PLANTIO.</t>
  </si>
  <si>
    <t>SEPLAG PAISG 17</t>
  </si>
  <si>
    <t>Pata de Elefante h: 60 cm</t>
  </si>
  <si>
    <t>SEPLAG PAISG 18</t>
  </si>
  <si>
    <t>Dracaena Reflexa h: 80 cm</t>
  </si>
  <si>
    <t>MUDA DE DRACAENA REFLEXA H=80 CM, FORNECIMENTO E PLANTIO.</t>
  </si>
  <si>
    <t>SEPLAG PAISG 19</t>
  </si>
  <si>
    <t>Pinheiro Budista h: 1,00 m</t>
  </si>
  <si>
    <t>MUDA DE PINHEIRO BUDISTA H=100 CM, FORNECIMENTO E PLANTIO.</t>
  </si>
  <si>
    <t>SEPLAG PAISG 20</t>
  </si>
  <si>
    <t>Amor Agarradinho (muda)</t>
  </si>
  <si>
    <t>MUDA DE AMOR AGARRADINHO H=50 CM, FORNECIMENTO E PLANTIO.</t>
  </si>
  <si>
    <t>SEPLAG PAISG 21</t>
  </si>
  <si>
    <t>Espirradeira Rosa - Estacionamento externos)</t>
  </si>
  <si>
    <t>MUDA DE ESPIRRADEIRA ROSA H=50 CM, FORNECIMENTO E PLANTIO.</t>
  </si>
  <si>
    <t>SEPLAG PAISG 22</t>
  </si>
  <si>
    <t>Guaimbê h: 60 cm muda</t>
  </si>
  <si>
    <t>MUDA DE GUAIMBÊ H=60 CM, FORNECIMENTO E PLANTIO.</t>
  </si>
  <si>
    <t>SEPLAG PAISG 23</t>
  </si>
  <si>
    <t>Moréia (muda)</t>
  </si>
  <si>
    <t>MUDA DE MORÉIA H=60 CM, FORNECIMENTO E PLANTIO.</t>
  </si>
  <si>
    <t>SEPLAG PAISG 24</t>
  </si>
  <si>
    <t>Agáve Dragão h: 40 cm</t>
  </si>
  <si>
    <t>MUDA DE AGÁVE DRAGÃO H=40 CM, FORNECIMENTO E PLANTIO.</t>
  </si>
  <si>
    <t>SEPLAG PAISG 25</t>
  </si>
  <si>
    <t>Palmeira Leque h: 1,0 m p/ Vaso</t>
  </si>
  <si>
    <t>MUDA DE PALMEIRA LEQUE H=100 CM, FORNECIMENTO E PLANTIO.</t>
  </si>
  <si>
    <t>Bambu Mosso h: 1,20 p/ Vaso</t>
  </si>
  <si>
    <t>MUDA DE BAMBU MOSSO H=120 CM, FORNECIMENTO E PLANTIO.</t>
  </si>
  <si>
    <t>SEPLAG PAISG 26</t>
  </si>
  <si>
    <t>SEPLAG PAISG 27</t>
  </si>
  <si>
    <t>Pacová p/ Vaso</t>
  </si>
  <si>
    <t>MUDA DE PACOVÁ H=100 CM, FORNECIMENTO E PLANTIO.</t>
  </si>
  <si>
    <t>SEPLAG PAISG 28</t>
  </si>
  <si>
    <t>Espada de São Jorge 2 mudas por vaso</t>
  </si>
  <si>
    <t>MUDA DE ESPADA DE SÃO JORGE H=70 CM, FORNECIMENTO E PLANTIO.</t>
  </si>
  <si>
    <t>SEPLAG PAISG 29</t>
  </si>
  <si>
    <t>BRITA BRANCA PARA JARDIM, FORNECIMENTO E ESPALHAMENTO.</t>
  </si>
  <si>
    <t>Brita Branca para jardim</t>
  </si>
  <si>
    <t>MUDA DE PATA DE ELEFANTE H=70 CM, FORNECIMENTO E PLANTIO.</t>
  </si>
  <si>
    <t>SEPLAG PAISG 30</t>
  </si>
  <si>
    <t>Limitador de Grama (metro)</t>
  </si>
  <si>
    <t>LIMITADOR DE GRAMA, FORNECIMENTO E INSTALAÇÃO</t>
  </si>
  <si>
    <t>COTAÇÃO PAISAGISMO</t>
  </si>
  <si>
    <t>SEPLAG HIDR 18</t>
  </si>
  <si>
    <t>SEPLAG HIDR 19</t>
  </si>
  <si>
    <t>SEPLAG HIDR 20</t>
  </si>
  <si>
    <t>SEPLAG HIDR 21</t>
  </si>
  <si>
    <t>SEPLAG HIDR 22</t>
  </si>
  <si>
    <t>SEPLAG HIDR 23</t>
  </si>
  <si>
    <t>SEPLAG HIDR 24</t>
  </si>
  <si>
    <t>SEPLAG HIDR 25</t>
  </si>
  <si>
    <t>SEPLAG HIDR 26</t>
  </si>
  <si>
    <t>SEPLAG HIDR 27</t>
  </si>
  <si>
    <t>SEPLAG HIDR 28</t>
  </si>
  <si>
    <t>SEPLAG HIDR 29</t>
  </si>
  <si>
    <t>SEPLAG HIDR 30</t>
  </si>
  <si>
    <t>SEPLAG HIDR 31</t>
  </si>
  <si>
    <t>SEPLAG HIDR 32</t>
  </si>
  <si>
    <t>SEPLAG HIDR 33</t>
  </si>
  <si>
    <t>SEPLAG HIDR 34</t>
  </si>
  <si>
    <t>SEPLAG HIDR 35</t>
  </si>
  <si>
    <t>SEPLAG HIDR 36</t>
  </si>
  <si>
    <t>SEPLAG HIDR 37</t>
  </si>
  <si>
    <t>COMPOSIÇÃO DE CUSTO UNITÁRIO PARA ACESSIBILIDADE</t>
  </si>
  <si>
    <t>SEPLAG HIDR 38</t>
  </si>
  <si>
    <t>SEPLAG HIDR 39</t>
  </si>
  <si>
    <t>SEPLAG HIDR 40</t>
  </si>
  <si>
    <t>SEPLAG HIDR 41</t>
  </si>
  <si>
    <t>SEPLAG HIDR 42</t>
  </si>
  <si>
    <t>DRENAGEM DE AGUAS PLUVIAIS</t>
  </si>
  <si>
    <t>SEPLAG HIDR 43</t>
  </si>
  <si>
    <t>SEPLAG HIDR 44</t>
  </si>
  <si>
    <t>LASTRO DE TERRA PRETA, FORNECIMENTO E INSTALAÇÃO</t>
  </si>
  <si>
    <t>SEPLAG PAISG 31</t>
  </si>
  <si>
    <t>SEPLAG PAISG 32</t>
  </si>
  <si>
    <t>REGULARIZAÇÃO DE SUPERFICIE DE FORMA MANUAL</t>
  </si>
  <si>
    <t>COBERTURA</t>
  </si>
  <si>
    <t>SEPLAG  ARQ 102</t>
  </si>
  <si>
    <t>COBERTURA METALICA</t>
  </si>
  <si>
    <t>ESTRUTURA METALICA EM ACO ESTRUTURAL PARA COBERTURA METALICA APOIADA EM LAJE DE CONCRETO, FORNECIMENTO E INSTALAÇÃO</t>
  </si>
  <si>
    <t>FACHADA</t>
  </si>
  <si>
    <t>ESTRUTURA DE CONCRETO</t>
  </si>
  <si>
    <t>SEPLAG ARQ 103</t>
  </si>
  <si>
    <t>FONTE: SINAPI 68054 JAN/2019</t>
  </si>
  <si>
    <t>PORTAO EM PERFIS ATE 4"X1.1/2"  E CHAPAS COM ESPESSURA DE ATE 3,00 MM EM ALUMINIO, FORNECIMENTO E INSTALAÇÃO</t>
  </si>
  <si>
    <t>SEPLAG PAISG 33</t>
  </si>
  <si>
    <t>REMOÇÃO DE ARBUSTO DE PORTE ATE 1,50M DE FORMA MANUAL</t>
  </si>
  <si>
    <t>SEPLAG ARQ 104</t>
  </si>
  <si>
    <t>SEPLAG ACESS 01</t>
  </si>
  <si>
    <t>SEPLAG ACESS 02</t>
  </si>
  <si>
    <t>SEPLAG ACESS 03</t>
  </si>
  <si>
    <t>SEPLAG ACESS 04</t>
  </si>
  <si>
    <t xml:space="preserve">SINALIZAÇÃO VISUAL P/ DEGRAU DE ESCADA - ESPELHO E PISO   (FOTOLUMINESCENTE) - DIMENSÃO DE 3X 20 CM </t>
  </si>
  <si>
    <t>SEPLAG ACESS 05</t>
  </si>
  <si>
    <t>SEPLAG ACESS 06</t>
  </si>
  <si>
    <t>SEPLAG ACESS 07</t>
  </si>
  <si>
    <t>ACESSIBILIDADE</t>
  </si>
  <si>
    <t>COTAÇÃO DE ACESSIBILIDADE</t>
  </si>
  <si>
    <t>14.924.088/0001-42</t>
  </si>
  <si>
    <t>15.375.991/0006-79</t>
  </si>
  <si>
    <t>65 36175000</t>
  </si>
  <si>
    <t xml:space="preserve">BACIA SANITÁRIA PIANO DECA </t>
  </si>
  <si>
    <t xml:space="preserve">ASSENTO TERMOFIXO </t>
  </si>
  <si>
    <t>CUBA DE LOUÇA QUADRADA DE APOIO - CÓD.L.73.17 - BRANCO GELO - DECA</t>
  </si>
  <si>
    <t>VÁLVULA DE DESCARGA HYDRA PLUS 1.1/2 HYDRA PLUS 255.C.112</t>
  </si>
  <si>
    <t>SPOT LED DE EMBUTIR TIPO DICRÓICA 5W QUADRADA BRANCO FRIO, MARCA AVANT OU SIMILAR</t>
  </si>
  <si>
    <t>NAIARA BISSI</t>
  </si>
  <si>
    <t>PAINEL LED DE EMBUTIR QUADRADO 60CM 45 W 6500 K, BRANCO FRIO, MARCA AVANT OU SIMILAR</t>
  </si>
  <si>
    <t>PAINEL LED DE EMBUTIR QUADRADO 30CM 24 W 6500 K, BRANCO FRIO, MARCA AVANT OU SIMILAR</t>
  </si>
  <si>
    <t>PAINEL LED DE EMBUTIR DE ALUMINIO, 3M, 65MM PARA DUAS FITAS LED DE 20W, BRANCO FRIO, MARCA ITAMONTE OU SIMILAR.</t>
  </si>
  <si>
    <t>65 2123-2600</t>
  </si>
  <si>
    <t>PAINEL LED DE EMBUTIR DE ALUMINIO, 1M, 65MM PARA DUAS FITAS LED DE 20W, BRANCO FRIO, MARCA ITAMONTE OU SIMILAR.</t>
  </si>
  <si>
    <t>BALIZADOR DE SOBREPOR DE PAREDE 4X2, 2W, PRETO, LUZ BRANCO QUENTE, MARCA ILLUMIPRO OU SIMILAR.</t>
  </si>
  <si>
    <t>LUMINARIA DE PAREDE TIPO ARANDELA, 5 VIDROS COR BRANCA</t>
  </si>
  <si>
    <t>SEPLAG HIDR 45</t>
  </si>
  <si>
    <t>SEPLAG HIDR 46</t>
  </si>
  <si>
    <t>SEPLAG HIDR 47</t>
  </si>
  <si>
    <t>SEPLAG HIDR 48</t>
  </si>
  <si>
    <t>SEPLAG HIDR 49</t>
  </si>
  <si>
    <t xml:space="preserve">CURVA DE 90º 40MM CURTA PARA ESGOTA PRIMARIO, FORNECIEMENTO E INSTALAÇÃO                                                                                                                                                                                                                                                                                                                                                                                                                                                       </t>
  </si>
  <si>
    <t>SPOT DE EMBUTIR LED REDONDO PAR PARA MDF 2700KW, 1W, DIÂMETRO DE 3CM, ALUMINIO PRATA, MARCA BRILIA OU SIMILAR.</t>
  </si>
  <si>
    <t>LUMINÁRIA PENDENTE LINEA EM MADEIRA 130CM, PARA LÂMPADA T8 120 CM, DE 40W COM ALIMENTAÇÃO POR UMA EXTREMIDADE, MEDIDAS DE 130X7,50X8 CM, MARCA PLUG DESIGN OU SIMILAR</t>
  </si>
  <si>
    <t>LUMINÁRIA CORPO EM MADEIRA MACIÇA JEQUITIBÁ 5X5X30 CM, COM SOQUETE GU10 PARA LÂMPADA MINI DICRÓICA LED 10W, MARCA PLUG DESIGN OU SIMILAR.</t>
  </si>
  <si>
    <t>BRILIA LÂMPADA TUBE LED 18W 6500K</t>
  </si>
  <si>
    <t xml:space="preserve">STELLA LAMPADA DICRÓICA 6W GU10 LED </t>
  </si>
  <si>
    <t>LUMINÁRIA PENDENTE ANEL RING PRETO 1 ARCO 20W, 40CM COM LED INTEGRADO, MARCA STARLUMEN OU SIMILAR.</t>
  </si>
  <si>
    <t>STELLA FITA 5W/M 12V 5M IP20 6500K</t>
  </si>
  <si>
    <t>SEPLAG ARQ 105</t>
  </si>
  <si>
    <t>SEPLAG ARQ 106</t>
  </si>
  <si>
    <t>SEPLAG ARQ 107</t>
  </si>
  <si>
    <t>REFERÊNCIA SINAPI - 95469</t>
  </si>
  <si>
    <t>SEPLAG  ARQ 108</t>
  </si>
  <si>
    <t>ASSENTO SANITÁRIO TERMOFIXO - FORNECIMENTO E INSTALACAO.</t>
  </si>
  <si>
    <t xml:space="preserve">CUBA DE EMBUTIR QUADRADA DE APOIO  EM LOUÇA BRANCA DECA OU SIMILAR - FORNECIMENTO E INSTALAÇÃO. </t>
  </si>
  <si>
    <t>SEPLAG ARQ 109</t>
  </si>
  <si>
    <t>SEPLAG ARQ 110</t>
  </si>
  <si>
    <t>VÁLVULA DE DESCARGA HYDRA PLUS DECA OU SIMILAR - FORNECIMENTO E INSTALAÇÃO. AF_01/2019</t>
  </si>
  <si>
    <t>SEPLAG ELE 35</t>
  </si>
  <si>
    <t>FONTE : SINAPI - 97593</t>
  </si>
  <si>
    <t>SEPLAG ELE 36</t>
  </si>
  <si>
    <t>SEPLAG ELE 37</t>
  </si>
  <si>
    <t>SEPLAG ELE 38</t>
  </si>
  <si>
    <t>SEPLAG ELE 39</t>
  </si>
  <si>
    <t>SEPLAG ELE 40</t>
  </si>
  <si>
    <t>SEPLAG ELE 41</t>
  </si>
  <si>
    <t>SEPLAG ELE 42</t>
  </si>
  <si>
    <t>SEPLAG ELE 43</t>
  </si>
  <si>
    <t>SEPLAG ELE 44</t>
  </si>
  <si>
    <t>SEPLAG ELE 45</t>
  </si>
  <si>
    <t>SEPLAG ARQ 111</t>
  </si>
  <si>
    <t>SEPLAG ARQ 112</t>
  </si>
  <si>
    <t>REVESTIMENTO DE PAREDE DE GRANITO BRANCO SIENA, DE 2,00 X 1,00 M - FORNECIMENTO E INSTALAÇÃO.</t>
  </si>
  <si>
    <t>PORTA PRETA LISA SÓLIDA PORMADE O,70X2,10 DE CORRER, INCLUSO ADUELA 1A, ALIZAR 1A, TRILHO E FECHADURA, ACABAMENTO DE COR UNIFORME, RESISTENTES A ESTUFAMENTOS. FORNECIMENTO E INSTALAÇÃO</t>
  </si>
  <si>
    <t>SEPLAG ARQ 113</t>
  </si>
  <si>
    <t>BANCADA DE GRANITO BRANCO SIENA, DE 1,55 X 0,50 M, PARA LAVATÓRIO - FORNECIMENTO E INSTALAÇÃO. AF_01/2020</t>
  </si>
  <si>
    <t>SEPLAG ARQ 114</t>
  </si>
  <si>
    <t>BANCADA DE GRANITO BRANCO SIENA, DE 2,00 X 0,58 M, PARA COZINHA - FORNECIMENTO E INSTALAÇÃO. AF_01/2020</t>
  </si>
  <si>
    <t>08.538.254/0001-70</t>
  </si>
  <si>
    <t>ANA MARIA</t>
  </si>
  <si>
    <t>ALVENARIA E REVESTIMENTO</t>
  </si>
  <si>
    <t>ESTRUTURA METÁLICA</t>
  </si>
  <si>
    <t>J01- JANELA MAXIN AR 12,60 x 0,90 (12 JANELAS DE 1,05). FORNECIMENTO E INSTALAÇÃO.</t>
  </si>
  <si>
    <t>J02- JANELA MAXIN AR 12,60 x 1,70 (12 JANELAS DE 1,05). FORNECIMENTO E INSTALAÇÃO.</t>
  </si>
  <si>
    <t>J17- JANELA MAXIN AR 7,15 x ,90 (7 JANELA DE 1,02). FORNECIMENTO E INSTALAÇÃO.</t>
  </si>
  <si>
    <t>J18- JANELA MAXIN AR 12,50 x ,90 (12 JANELAS DE 1,05). FORNECIMENTO E INSTALAÇÃO.</t>
  </si>
  <si>
    <t>J16- JANELA MAXIN AR 9,4 x 1,70 (9 JANELAS DE 1,04). FORNECIMENTO E INSTALAÇÃO.</t>
  </si>
  <si>
    <t>J20- JANELA MAXIN AR 8,3 x 1,70 (8 JANELAS DE 1,03). FORNECIMENTO E INSTALAÇÃO.</t>
  </si>
  <si>
    <t>J21- JANELA MAXIN AR 3,00 x ,90 (3 JANELAS DE 1,00). FORNECIMENTO E INSTALAÇÃO.</t>
  </si>
  <si>
    <t>J23- JANELA MAXINA AR 12,60 x 0,80 (12 JANELA DE 1,05). FORNECIMENTO E INSTALAÇÃO.</t>
  </si>
  <si>
    <t>J28- JANELA MAXIN AR 8,40 x ,90 (8 JANELAS DE 1,05). FORNECIMENTO E INSTALAÇÃO.</t>
  </si>
  <si>
    <t>J13- JANELA MAXIN AR 1,00 x ,50 (2 JANELAS DE 0,50). FORNECIMENTO E INSTALAÇÃO.</t>
  </si>
  <si>
    <t xml:space="preserve">J25- JANELA MAXIN AR 0,70 x 0,50. FORNECIMENTO E INSTALAÇÃO. </t>
  </si>
  <si>
    <t>4.3.4</t>
  </si>
  <si>
    <t>J31- JANELA MAXIN AR 1,40 x 0,50 (2 JANELAS DE 0,70). FORNECIMENTO E INSTALAÇÃO.</t>
  </si>
  <si>
    <t>J03- JANELA MAXIN AR 7,00 x ,90 (7 JANELAS DE 1,00). FORNECIMENTO E INSTALAÇÃO.</t>
  </si>
  <si>
    <t>J04- JANELA MAXIN AR 4,00 x 1,70 (4 JANELAS DE 1,00). FORNECIMENTO E INSTALAÇÃO.</t>
  </si>
  <si>
    <t>J05- JANELA MAXIN AR 8,33 x 2,80 (8 JANELAS DE 1,04). FORNECIMENTO E INSTALAÇÃO.</t>
  </si>
  <si>
    <t>J06- JANELA MAXIN AR 12,60 x 2,80 ( 12 JANELAS DE 1,05). FORNECIMENTO E INSTALAÇÃO.</t>
  </si>
  <si>
    <t>J07- JANELA MAXIN AR 10,50 x 2,80 ( 10 JANELAS DE 1,05). FORNECIMENTO E INSTALAÇÃO.</t>
  </si>
  <si>
    <t>J11- JANELA MAXIN AR 3,00 x 1,70 (3 JANELAS DE 1,00). FORNECIMENTO E INSTALAÇÃO.</t>
  </si>
  <si>
    <t>J12- JANELA MAXIN AR 6,00 x 1,70 (6 JANELAS DE 1,00). FORNECIMENTO E INSTALAÇÃO.</t>
  </si>
  <si>
    <t>J14- JANELA MAXIN AR 9,00 x 1,70 (9 JANELAS DE 1,00). FORNECIMENTO E INSTALAÇÃO.</t>
  </si>
  <si>
    <t>J15- JANELA MAXIN AR 11,6 x 1,70 (11 JANELAS DE 1,05). FORNECIMENTO E INSTALAÇÃO.</t>
  </si>
  <si>
    <t>J27- JANELA MAXIM AR 3,1 x 1,70 (3 JANELA DE 1,03). FORNECIMENTO E INSTALAÇÃO.</t>
  </si>
  <si>
    <t>J26- JANELA MAXIM AR 2 x 1,70 (2 JANELAS DE 1,00). FORNECIMENTO E INSTALAÇÃO.</t>
  </si>
  <si>
    <t>J09- JANELA MAXIM AR 2,20 x ,50 (4 JANELAS DE 0,55). FORNECIMENTO E INSTALAÇÃO.</t>
  </si>
  <si>
    <t>PLACA DE OBRA EM CHAPA DE ACO GALVANIZADO. FORNECIMENTO E INSTALAÇÃO.</t>
  </si>
  <si>
    <t>ADMINISTRAÇÃO LOCAL DE OBRA.</t>
  </si>
  <si>
    <t>DEMOLIÇÃO DE DIVISÓRIA NAVAL, INCLUSIVE AFASTAMENTO.</t>
  </si>
  <si>
    <t>REMOÇÃO DE BRISE EM ESTRUTURA DE ALUMINIO.</t>
  </si>
  <si>
    <t>DEMOLIÇÃO DE CONCRETO SIMPLES - COM EQUIPAMENTO ELÉTRICO, INCLUSIVE AFASTAMENTO.</t>
  </si>
  <si>
    <t>APLICAÇÃO DE EPOXI INDUSTRIALIZADO PARA REVESTIMENTOS DE PAREDE/PISO COM JUNTAS DE ATÉ 1MM DE ESPESSURA. FORNECIMENTO E INSTALAÇÃO.</t>
  </si>
  <si>
    <t>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t>
  </si>
  <si>
    <t>REVESTIMENTO CERÂMICO PARA PISO COM PLACAS TIPO PORCELANATO RETIFICADO 
0,61X0,61m ARTSY CEMENT NATURAL, COR CINZA
PORTOBELLO OU SIMILAR, ARGAMASSA TIPO AC III, APLICADAS EM AMBIENTES DE ÁREA MAIOR QUE 5 M2 NA ALTURA INTEIRA DAS PAREDES. FORNECIMENTO E INSTALAÇÃO. AF_06/2014</t>
  </si>
  <si>
    <t>RODAPÉ CERÂMICO DE 7CM DE ALTURA COM PLACAS TIPO PORCELANATO DE DIMENSÕES 60X60CM. FORNECIMENTO E INSTALAÇÃO. AF_06/2014</t>
  </si>
  <si>
    <t>KIT PORTA PRONTA PRETA LISA SÓLIDA PORMADE O,80X2,10,ACABAMENTO DE COR UNIFORME, MARCOS E ALIZARES EM PVC WOOD, RESISTENTES A ESTUFAMENTOS. FORNECIMENTO E INSTALAÇÃO.</t>
  </si>
  <si>
    <t>PORTA PIVOTANTE DE VIDRO TEMPERADO, 2 FOLHAS DE 80X210 CM, ESPESSURA DE 10MM, INCLUSIVE ACESSÓRIOS. FORNECIMENTO E INSTALAÇÃO. AF_01/2021</t>
  </si>
  <si>
    <t>PORTA PIVOTANTE DE VIDRO TEMPERADO, 2 FOLHAS DE 100X210 CM, ESPESSURA DE 10MM, INCLUSIVE ACESSÓRIOS. FORNCECIMENTO E INSTALAÇÃO. AF_01/2021</t>
  </si>
  <si>
    <t>PORTA PIVOTANTE DE VIDRO TEMPERADO, 2 FOLHAS DE 150X210 CM, ESPESSURA DE 10MM, INCLUSIVE ACESSÓRIOS. FORNECIMENTO E INSTALAÇÃO. AF_01/2021</t>
  </si>
  <si>
    <t>PORTA PIVOTANTE DE VIDRO TEMPERADO, 1 FOLHAS DE 80X210 CM, ESPESSURA DE 10MM, INCLUSIVE ACESSÓRIOS. FORNECIMENTO E INSATALAÇÃO. AF_01/2021</t>
  </si>
  <si>
    <t>PORTA DE CORRER EM  VIDRO TEMPERADO, 4 FOLHAS (2 FIXAS E DUAS MOVEIS) DE 80X210 CM, ESPESSURA DE 10MM, INCLUSIVE ACESSÓRIOS. FORNECIMENTO E INSTALAÇÃO. AF_01/2021</t>
  </si>
  <si>
    <t>BANCO INTERNO EM CONCRETO E ALVENARIA, ACABAMENTO EM VERNIZ, E = 8 CM, L = 40 CM. FORNECIMENTO E INSTALAÇÃO.</t>
  </si>
  <si>
    <t>INSTALAÇÃO DE ISOLAMENTO COM LÃ DE ROCHA EM PAREDES DRYWALL. FORNECIMENTO E INSTALAÇÃO. AF_06/2017</t>
  </si>
  <si>
    <t>PORTA PIVOTANTE DE VIDRO TEMPERADO, 2 FOLHAS DE 85X210 CM, ESPESSURA DE 10MM, INCLUSIVE ACESSÓRIOS. FORNECIMENTO E INSTALAÇÃO. AF_01/2021</t>
  </si>
  <si>
    <t>PORTA PIVOTANTE DE VIDRO TEMPERADO, 2 FOLHAS DE 75X210 CM, ESPESSURA DE 10MM, INCLUSIVE ACESSÓRIOS. FORNECIMENTO E INSTALAÇÃO. AF_01/2021</t>
  </si>
  <si>
    <t>J19- JANELA MAXIN AR 12,50 x 2,80 (12 JANELAS DE 1,04) FORNECIMENTO E INSTALAÇÃO.</t>
  </si>
  <si>
    <t>REVESTIMENTO CERÂMICO PARA PAREDES INTERNAS COM PLACAS TIPO PORCELANATO RETIFICADO 0,30X0,90m  PORTOBELLO OU SIMILAR, ARGAMASSA TIPO AC III, APLICADAS EM AMBIENTES DE ÁREA MAIOR QUE 5 M2 NA ALTURA INTEIRA DAS PAREDES. FORNECIMENTO E INSTALAÇÃO. AF_06/2014</t>
  </si>
  <si>
    <t>BACIA SANITÁRIA DECA COM LOUÇA BRANCA. FORNECIMENTO E INSTALAÇÃO.</t>
  </si>
  <si>
    <t>PORTA DE CORRER EM  VIDRO TEMPERADO, 1 FOLHA DE 90X210 CM, ESPESSURA DE 10MM, INCLUSIVE ACESSÓRIOS. FORNECIMENTO E INSTALAÇÃO AF_01/2021</t>
  </si>
  <si>
    <t>J08- janela maxim ar 4,50 x ,50 (9 Janelas de 0,50). FORNECIMENTO E INSTALAÇÃO.</t>
  </si>
  <si>
    <t>J24- janela maxim ar 10,25 x ,90 (10 Janelas de 1,02). FORNECIMENTO E INSTALAÇÃO.</t>
  </si>
  <si>
    <t>J29- janela maxim ar 0,50 x 0,50. FORNECIMENTO E INSTALAÇÃO.</t>
  </si>
  <si>
    <t>J30- janela maxim ar 0,90 x 0,90. FORNECIMENTO E INSTALAÇÃO.</t>
  </si>
  <si>
    <t>J32- janela maxim ar 1,90 x 0,50 (4 Janelas de 0,475).  FORNECIMENTO E INSTALAÇÃO.</t>
  </si>
  <si>
    <t>J33- janela maxim ar 2,28 x 1,70 (2 Janelas de 1,14).  FORNECIMENTO E INSTALAÇÃO.</t>
  </si>
  <si>
    <t>SIRENE PARA ALARME DE BOMBA EM FUNCIONAMENTO, 220V.  FORNECIMENTO E INSTALAÇÃO.</t>
  </si>
  <si>
    <t>ELETROBOMBA MOTOR DE 3,0 CV, 220V, TRIFÁSICO COM CAPACIDADE DE VAZÃO DE 2501/MIN. A 18 MCA DE PRESSÃO.  FORNECIMENTO E INSTALAÇÃO.</t>
  </si>
  <si>
    <t>ACIONADOR MANUAL (BOTOEIRA) TIPO QUEBRA-VIDRO, P/INCENDIO.  FORNECIMENTO E INSTALAÇÃO.</t>
  </si>
  <si>
    <t>BOTOEIRA LIGA-DESLIGA PARA BOMBA DE INCÊNDIO MODELO BLD-1, MARCA VERIN OU SIMILAR.  FORNECIMENTO E INSTALAÇÃO.</t>
  </si>
  <si>
    <t>ABRIGO EM CHAPA TIPO EXTERNO 1 PORTA DE AÇO CARBONO, COMPLETO, VIDRO TRANSPARENTE, COM A INSCRIÇÃO "INCÊNDIO", SUPORTE BASCULANTE PARA MANGUEIRA PINTADO DE VERMELHO NAS DIMENSÕES 90 X 60 X 17 CM.  FORNECIMENTO E INSTALAÇÃO.</t>
  </si>
  <si>
    <t>ADAPTADOR EM LATAO P/ INSTALACAO PREDIAL DE COMBATE A INCENDIO ENGATE RAPIDO 1 1/2" X ROSCA INTERNA 5 FIOS 2 1/2" .  FORNECIMENTO E INSTALAÇÃO.</t>
  </si>
  <si>
    <t>CHAVE PARA CONEXÕES DE ENGATE RÁPIDO,
(STORZ), 63 x 38 MM.  FORNECIMENTO E INSTALAÇÃO.</t>
  </si>
  <si>
    <t>HIDRANTE DE RECALQUE COMPLETO EM CAIXA DE ALVENARIA.  FORNECIMENTO E INSTALAÇÃO.</t>
  </si>
  <si>
    <t>TUBO ACO GALVANIZADO COM COSTURA, CLASSE LEVE, DN 65 MM ( 2 1/2"), E = 3,35 MM, * 6,23* KG/M (NBR 5580).  FORNECIMENTO E INSTALAÇÃO.</t>
  </si>
  <si>
    <t>PLACA FOTOLUMINESCENTE "E1" - (ALARME SONORO).  FORNECIMENTO E INSTALAÇÃO.</t>
  </si>
  <si>
    <t>PLACA FOTOLUMINESCENTE "E2" - (ALARME INCÊNDIO).  FORNECIMENTO E INSTALAÇÃO.</t>
  </si>
  <si>
    <t>PLACA FOTOLUMINESCENTE "E3" - (BOMBA DE INCÊNDIO).  FORNECIMENTO E INSTALAÇÃO.</t>
  </si>
  <si>
    <t>PLACA FOTOLUMINESCENTE (TIPO : E5|FORMATO: QUADRADA DIMENSÃO: 300MMX300MM INFORMAÇÃO: PICTOGRAMA SEM TEXTO - EXTINTOR DE INCÊNDIO.  FORNECIMENTO E INSTALAÇÃO.</t>
  </si>
  <si>
    <t>PLACA FOTOLUMINESCENTE "P1" - D = 252 MM (PROIBIDO FUMAR).  FORNECIMENTO E INSTALAÇÃO.</t>
  </si>
  <si>
    <t>PLACA FOTOLUMINESCENTE "P4" - D = 252 MM (EM CASO DE INCÊNDIO NÃO USAR O ELEVADOR).  FORNECIMENTO E INSTALAÇÃO.</t>
  </si>
  <si>
    <t>PLACA FOTOLUMINESCENTE "P16" - 250 MM X350 (PERIGO, NÃO FUME).  FORNECIMENTO E INSTALAÇÃO.</t>
  </si>
  <si>
    <t>PLACA FOTOLUMINESCENTE  - 250 MM X350 (PERIGO, INFLAMÁVEL).  FORNECIMENTO E INSTALAÇÃO.</t>
  </si>
  <si>
    <t>PLACA FOTOLUMINESCENTE "S1" OU "S2"- 380 X 190 MM (SAÍDA - DIREITA).  FORNECIMENTO E INSTALAÇÃO.</t>
  </si>
  <si>
    <t>PLACA FOTOLUMINESCENTE "S1" OU "S2"- 380 X 190 MM (SAÍDA - ESQUERDA).  FORNECIMENTO E INSTALAÇÃO.</t>
  </si>
  <si>
    <t>PLACA FOTOLUMINESCENTE "S3"- 316X 158 MM (SAÍDA EMERGÊNCIA).  FORNECIMENTO E INSTALAÇÃO.</t>
  </si>
  <si>
    <t>PLACA FOTOLUMINESCENTE "S8"- 316X 158 MM (ESCADA DE EMERGÊNCIA).  FORNECIMENTO E INSTALAÇÃO.</t>
  </si>
  <si>
    <t>PLACA FOTOLUMINESCENTE "S12" - 316 X 158 MM (SAÍDA EMERGENCIA).  FORNECIMENTO E INSTALAÇÃO.</t>
  </si>
  <si>
    <t>PLACA FOTOLUMINESCENTE "S17" - 316 X 158 MM (INDICAÇÃO DE PAVIMENTO).  FORNECIMENTO E INSTALAÇÃO.</t>
  </si>
  <si>
    <t>PLACA FOTOLUMINESCENTE "M4" - 240 X 120 MM (ACESSO DE ESCADA DE EMRGÊNCIA).  FORNECIMENTO E INSTALAÇÃO.</t>
  </si>
  <si>
    <t>DEMARCAÇÃO DE PISO PARA LOCAÇÃO DE EXTINTORES.  FORNECIMENTO E INSTALAÇÃO.</t>
  </si>
  <si>
    <t>LUMINÁRIA DE EMERGÊNCIA AUTÔNOMA IE-16 COM LÂMPADA DE 8 W.  FORNECIMENTO E INSTALAÇÃO.</t>
  </si>
  <si>
    <t>BASE DECORATIVA PARA EXTINTORES, FORNECIMENTO E INSTALAÇÃO.  FORNECIMENTO E INSTALAÇÃO.</t>
  </si>
  <si>
    <t>ABRIGO METALICO PARA EXTINTORES 75X30X25, FORNECIMENTO E INSTALAÇÃO.  FORNECIMENTO E INSTALAÇÃO.</t>
  </si>
  <si>
    <t>SUPORTE PARA FIXAÇÃO DE TUBULAÇÃO DE HIDRANTE  DE 2.1/2".  FORNECIMENTO E INSTALAÇÃO.</t>
  </si>
  <si>
    <t>SENSOR DE FUMAÇA NC-102 OU SIMILAR.  FORNECIMENTO E INSTALAÇÃO.</t>
  </si>
  <si>
    <t>FORNECIMENTO E INSTALAÇÃO DE BATERIA SELADA PARA CENTRAL DE ALARME E DETECÇÃO 12V/ 5A  - 08693/ORSE. FORNECIMENTO E INSTALAÇÃO.</t>
  </si>
  <si>
    <t xml:space="preserve">Sealtube 3/4 "ELETRODUTO FLEXÍVEL, EM AÇO GALVANIZADO, REVESTIDO EXTERNAMENTE COM PVC PRETO ( 3/4"), INCLUSIVE CONEXÕES, SUPORTES E FIXAÇÃO. FORNECIMENTO E INSTALAÇÃO. </t>
  </si>
  <si>
    <t>CABO DE COBRE FLEXIVEL BLINDADO PARA INCÊNDIO 3 VIAS + TERRA, SEÇÃO 2,5mm². FORNECIMENTO E INSTALAÇÃO.</t>
  </si>
  <si>
    <t>ELETROCALHA LISA (50X50X300)MM EM CHAPA DE AÇO GALVANIZADO #18, COM TRATAMENTO PRÉ-ZINCADO, INCLUSIVE TAMPA DE ENCAIXE, FIXAÇÃO SUPERIOR, CONEXÕES E ACESSÓRIOS. FORNECIMENTO E INSTALAÇÃO.</t>
  </si>
  <si>
    <t>ELETROCALHA LISA (100X50X300)MM EM CHAPA DE AÇO GALVANIZADO #18, COM TRATAMENTO PRÉ-ZINCADO, INCLUSIVE TAMPA DE ENCAIXE, FIXAÇÃO SUPERIOR, CONEXÕES E ACESSÓRIOS. FORNECIMENTO E INSTALAÇÃO.</t>
  </si>
  <si>
    <t>ELETROCALHA LISA (200X50X300)MM EM CHAPA DE AÇO GALVANIZADO #18, COM TRATAMENTO PRÉ-ZINCADO, INCLUSIVE TAMPA DE ENCAIXE, FIXAÇÃO SUPERIOR, CONEXÕES E ACESSÓRIOS. FORNECIMENTO E INSTALAÇÃO.</t>
  </si>
  <si>
    <t>ELETROCALHA LISA (300X50X300)MM EM CHAPA DE AÇO GALVANIZADO #18, COM TRATAMENTO PRÉ-ZINCADO, INCLUSIVE TAMPA DE ENCAIXE, FIXAÇÃO SUPERIOR, CONEXÕES E ACESSÓRIOS. FORNECIMENTO E INSTALAÇÃO.</t>
  </si>
  <si>
    <t>Painel de entrada para disjuntor principal de 1200A, mais 1 disjuntor de 600A, 1 disjuntor de 400A e 2 disjuntores de 125A no secundário, com os respectivos barramentos e com multímedidor para painel acoplado.FORNECIMENTO E INSTALAÇÃO.</t>
  </si>
  <si>
    <t>TERMINAL A COMPRESSAO EM COBRE ESTANHADO 1 FURO PARA CABO 16 MM2. FORNECIMENTO E INSTALAÇÃO.</t>
  </si>
  <si>
    <t>TERMINAL A COMPRESSAO EM COBRE ESTANHADO 1 FURO PARA CABO 25 MM2. FORNECIMENTO E INSTALAÇÃO.</t>
  </si>
  <si>
    <t>TERMINAL A COMPRESSAO EM COBRE ESTANHADO 1 FURO PARA CABO 35 MM2. FORNECIMENTO E INSTALAÇÃO.</t>
  </si>
  <si>
    <t>TERMINAL A COMPRESSAO EM COBRE ESTANHADO 1 FURO PARA CABO 50 MM2. FORNECIMENTO E INSTALAÇÃO.</t>
  </si>
  <si>
    <t>TERMINAL A COMPRESSAO EM COBRE ESTANHADO 1 FURO PARA CABO 70 MM2. FORNECIMENTO E INSTALAÇÃO.</t>
  </si>
  <si>
    <t>TERMINAL A COMPRESSAO EM COBRE ESTANHADO 1 FURO PARA CABO 95 MM2. FORNECIMENTO E INSTALAÇÃO.</t>
  </si>
  <si>
    <t>TERMINAL A COMPRESSAO EM COBRE ESTANHADO 1 FURO PARA CABO 120 MM2. FORNECIMENTO E INSTALAÇÃO.</t>
  </si>
  <si>
    <t>TERMINAL A COMPRESSAO EM COBRE ESTANHADO 1 FURO PARA CABO 150 MM2. FORNECIMENTO E INSTALAÇÃO.</t>
  </si>
  <si>
    <t>TERMINAL A COMPRESSAO EM COBRE ESTANHADO 1 FURO PARA CABO 185 MM2. FORNECIMENTO E INSTALAÇÃO.</t>
  </si>
  <si>
    <t>TERMINAL A COMPRESSAO EM COBRE ESTANHADO 1 FURO PARA CABO 240 MM2. FORNECIMENTO E INSTALAÇÃO.</t>
  </si>
  <si>
    <t>GAVETA DE VENTILAÇÃO COM 4 VENTILADORES PARA RACK 19". FORNECIMENTO E INSTALAÇÃO.</t>
  </si>
  <si>
    <t>RÉGUA COM 8 TOMADAS (2P+T), PARA FIXAÇÃO NO RACK DE 19" (1U). FORNECIMENTO E INSTALAÇÃO.</t>
  </si>
  <si>
    <t>RACK FECHADO PADRÃO 19" X 40U'S, DIMENSÕES: PROFUNDIDADE ÚTIL MÍNIMA DE 650MM, PROFUNDIDADE, LARGURA E ALTURA TOTAIS MÁXIMAS DE 800X650X2000MM. COM FURAÇÕES PARA MODULO DE VENTILAÇÃO.FORNECIMENTO E INSTALAÇÃO.</t>
  </si>
  <si>
    <t>BANDEJA MÓVEL, PADRÃO 19", FORNECIMENTO INSTALAÇÃO</t>
  </si>
  <si>
    <t>LUMINÁRIA TIPO SPOT LED DE EMBUTIR TIPO DICRÓICA 5W QUADRADA BRANCO FRIO, MARCA AVANT OU SIMILAR. FORNECIMENTO E INSTALAÇÃO.</t>
  </si>
  <si>
    <t>LUMINÁRIA TIPO PAINEL LED DE EMBUTIR QUADRADA 60CM 45W 6500K, BRANCO FRIO, MARCA AVANT OU SIMILAR. FORNECIMENTO E INSTALAÇÃO.</t>
  </si>
  <si>
    <t>LUMINÁRIA TIPO PAINEL LED DE EMBUTIR QUADRADA 30CM 24W 6500K, BRANCO FRIO, MARCA AVANT OU SIMILAR. FORNECIMENTO E INSTALAÇÃO.</t>
  </si>
  <si>
    <t>LUMINÁRIA TIPO PAINEL LED DE EMBUTIR DE ALUMINIO 3M, 65MM, PARA DUAS FITAS LED DE 20W, BRANCO FRIO, MARCA ITAMONTE OU SIMILAR. FORNECIMENTO E INSTALAÇÃO.</t>
  </si>
  <si>
    <t>LUMINÁRIA TIPO PAINEL LED DE EMBUTIR DE ALUMINIO 1M, 65MM, PARA DUAS FITAS LED DE 20W, BRANCO FRIO, MARCA ITAMONTE OU SIMILAR. FORNECIMENTO E INSTALAÇÃO.</t>
  </si>
  <si>
    <t>LUMINÁRIA TIPO BALIZADOR DE SOBREPOR 4X2, 2W, PRETO, LUZ BRANCO QUENTE, MARCA ILLUMIPO OU SIMILAR. FORNECIMENTO E INSTALAÇÃO.</t>
  </si>
  <si>
    <t>LUMINÁRIA TIPO ARANDELA 5 VIDROS, COR BRANCA. FORNECIMENTO E INSTALAÇÃO.</t>
  </si>
  <si>
    <t>LUMINÁRIA TIPO SPOT LED DE EMBUTIR REDONDO PAR PARA MDF 2700KW, 1W, DIÂMETRO DE 3CM, ALUMINIO PRATA, MARCA BRILIA OU SIMILAR.FORNECIMENTO E INSTALAÇÃO.</t>
  </si>
  <si>
    <t>LUMINÁRIA PENDENTE LINEA EM MADEIRA 130CM, PARA LÂMPADA T8 120 CM, DE 40W COM ALIMENTAÇÃO POR UMA EXTREMIDADE, MEDIDAS DE 130X7,50X8 CM, MARCA PLUG DESIGN OU SIMILAR. FORNECIMENTO E INSTALAÇÃO.</t>
  </si>
  <si>
    <t>LUMINÁRIA CORPO EM MADEIRA MACIÇA JEQUITIBÁ 5X5X30 CM, COM SOQUETE GU10 PARA LÂMPADA MINI DICRÓICA LED 10W, MARCA PLUG DESIGN OU SIMILAR.FORNECIMENTO E INSTALAÇÃO.</t>
  </si>
  <si>
    <t>LUMINÁRIA PENDENTE ANEL RING PRETO 1 ARCO 20W, 40CM COM LED INTEGRADO, MARCA STARLUMEN OU SIMILAR.FORNECIMENTO E INSTALAÇÃO.</t>
  </si>
  <si>
    <t>JOELHO DE REDUCAO, PVC SOLDAVEL, 90 GRAUS, 32 MM X 25 MM, PARA AGUA FRIA PREDIAL. FORNECIMENTO E INSTALAÇÃO.</t>
  </si>
  <si>
    <t>BUCHA DE REDUCAO DE PVC, SOLDAVEL, LONGA, COM 50 X 32 MM, PARA AGUA FRIA PREDIAL. FORNECIMENTO E INSTALAÇÃO.</t>
  </si>
  <si>
    <t>REMOÇÃO DE RESERVATÓRIO POLIETILENO 1.000L COM TAMPA, INCL TRANSPORTE VERTICAL. FORNECIMENTO E INSTALAÇÃO.</t>
  </si>
  <si>
    <t>REMOÇÃO DE RESERVATÓRIO POLIETILENO 2.000L COM TAMPA, INCL TRANSPORTE VERTICAL.FORNECIMENTO E INSTALAÇÃO.</t>
  </si>
  <si>
    <t>REMOÇÃO DE RESERVATÓRIO POLIETILENO 2.400L COM TAMPA, INCL TRANSPORTE VERTICAL. FORNECIMENTO E INSTALAÇÃO.</t>
  </si>
  <si>
    <t>REMOÇÃO DE RESERVATÓRIO POLIETILENO 5.000L COM TAMPA, INCL TRANSPORTE VERTICAL.FORNECIMENTO E INSTALAÇÃO.</t>
  </si>
  <si>
    <t>REDUÇÃO EXCÊNTRICA, PVC, SERIE R, ÁGUA PLUVIAL, DN 100 X 50 MM, JUNTA PLÁSTICA, FORNECIDO E INSTALADO EM RAMAL DE ENCAMINHAMENTO. AF_12/2014. FORNECIMENTO E INSTALAÇÃO.</t>
  </si>
  <si>
    <t>PLACA DE PORTA EM BRAILE 20X8CM (AMBIENTES EM GERAL). FORNECIMENTO E INSTALAÇÃO.</t>
  </si>
  <si>
    <t>PLACA DE PORTA EM BRAILE (SANITARIOS)                               (5X15CM). FORNECIMENTO E INSTALAÇÃO.</t>
  </si>
  <si>
    <t>SINALIZAÇÃO VISUAL P/ DEGRAU DE ESCADA - ESPELHO E PISO   (FOTOLUMINESCENTE). FORNECIMENTO E INSTALAÇÃO.</t>
  </si>
  <si>
    <t>SINALIZAÇÃO TATIL DE PAVIMENTO- PARA CORRIMÃO E RAMPA. FORNECIMENTO E INSTALAÇÃO.</t>
  </si>
  <si>
    <t>PISO TATIL DIRECIONAL INTERNO CINZA (EM PORCELANATO) 25X25. FORNECIMENTO E INSTALAÇÃO.</t>
  </si>
  <si>
    <t>PISO TATIL ALERTA INTERNO CINZA (EM PORCELANATO) 25X25. FORNECIMENTO E INSTALAÇÃO.</t>
  </si>
  <si>
    <t>PINTURA ESMALTE EM TUBO GALVANIZADO, DUAS (2) DEMÃOS, INCLUSIVE UMA (1) DEMÃO DE FUNDO ANTICORROSIVO</t>
  </si>
  <si>
    <t>SEPLAG INC 39</t>
  </si>
  <si>
    <t>SEPLAG SPDA 15</t>
  </si>
  <si>
    <t>CABO DE COBRE NU 50 MM² - FORNECIMENTO E INSTALAÇÃO. AF_12/2017</t>
  </si>
  <si>
    <t>CABO DE COBRE NU 50 MM2 MEIO-DURO</t>
  </si>
  <si>
    <t xml:space="preserve">BARRA CHATA DE ALUMINIO 1/4"X3/4" BARRA DE 6M, FORNECIMENTO E INSTALAÇÃO. </t>
  </si>
  <si>
    <t>BARRA CHATA DE ALUMINIO 1/4"X3/4" BARRA DE 6M</t>
  </si>
  <si>
    <t>BASE ( SUPORTE GUIA) PARA BARRA CHATA DE ALUMINIO 1/4"X3/4" 6M. FORNECIMENTO E INSTALAÇÃO.</t>
  </si>
  <si>
    <t>BASE ( SUPORTE GUIA) PARA BARRA CHATA DE ALUMINIO 1/4" X 3/4", BARRA DE 6M</t>
  </si>
  <si>
    <t>CAIXA DE EQUIPOTENCIALIZAÇÃO 40X40X10 CM , FORNECIMENTO E INSTALAÇÃO</t>
  </si>
  <si>
    <t>CAIXA DE EQUIPOTENCIALIZAÇÃO 40X40X10 CM</t>
  </si>
  <si>
    <t>SEPLAG INC 40</t>
  </si>
  <si>
    <t>CRUZETA, EM FERRO GALVANIZADO, DN 65 (2 1/2"), CONEXÃO ROSQUEADA, INSTALADO EM PRUMADAS - FORNECIMENTO E INSTALAÇÃO. AF_10/2020</t>
  </si>
  <si>
    <t>SEPLAG ARQ 115</t>
  </si>
  <si>
    <t xml:space="preserve">TUBO ACO INOXIDAVEL, DN 40 MM ( 1 1/2")                                                                                                                                                                                                                                                                                                                                                                                               </t>
  </si>
  <si>
    <t xml:space="preserve">TUBO ACO INOXIDAVEL, DN 32 MM ( 1")                                                                                                                                                                                                                                                                                                                                                                                               </t>
  </si>
  <si>
    <t>(65) 3361-2342</t>
  </si>
  <si>
    <t>06.048.962/0001-05</t>
  </si>
  <si>
    <t>DAFFNY DELAFINA</t>
  </si>
  <si>
    <t>RLS PAISAGISMO</t>
  </si>
  <si>
    <t>SEPLAG ARQ 116</t>
  </si>
  <si>
    <t>CORRIMÃO DUPLO EM TUBO AÇO INOXIDAVEL 1 1/2", COM CHUMBADORES PARA FIXAÇÃO NO PISO</t>
  </si>
  <si>
    <t>GUARDA CORPO COM CORRIMÃO DUPLO  EM TUBO DE AÇO INOXIDAVEL 1 1/2", COM CHUMBADORES PARA FIXAÇÃO NO PISO</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</si>
  <si>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</si>
  <si>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</si>
  <si>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</si>
  <si>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</si>
  <si>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</si>
  <si>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</si>
  <si>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</si>
  <si>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</si>
  <si>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</si>
  <si>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</si>
  <si>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</si>
  <si>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</si>
  <si>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</si>
  <si>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</si>
  <si>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</si>
  <si>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</si>
  <si>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</si>
  <si>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</si>
  <si>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</si>
  <si>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</si>
  <si>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</si>
  <si>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</si>
  <si>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</si>
  <si>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</si>
  <si>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</si>
  <si>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</si>
  <si>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</si>
  <si>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</si>
  <si>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</si>
  <si>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</si>
  <si>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</si>
  <si>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</si>
  <si>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</si>
  <si>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</si>
  <si>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</si>
  <si>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</si>
  <si>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</si>
  <si>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</si>
  <si>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</si>
  <si>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</si>
  <si>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</si>
  <si>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</si>
  <si>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</si>
  <si>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</si>
  <si>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</si>
  <si>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</si>
  <si>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</si>
  <si>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</si>
  <si>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</si>
  <si>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</si>
  <si>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</si>
  <si>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</si>
  <si>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</si>
  <si>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</si>
  <si>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</si>
  <si>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</si>
  <si>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</si>
  <si>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</si>
  <si>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</si>
  <si>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</si>
  <si>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</si>
  <si>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</si>
  <si>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</si>
  <si>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</si>
  <si>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</si>
  <si>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</si>
  <si>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</si>
  <si>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</si>
  <si>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</si>
  <si>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</si>
  <si>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</si>
  <si>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</si>
  <si>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</si>
  <si>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</si>
  <si>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</si>
  <si>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</si>
  <si>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</si>
  <si>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</si>
  <si>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</si>
  <si>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</si>
  <si>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</si>
  <si>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</si>
  <si>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</si>
  <si>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</si>
  <si>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</si>
  <si>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</si>
  <si>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</si>
  <si>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</si>
  <si>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</si>
  <si>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</si>
  <si>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</si>
  <si>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</si>
  <si>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</si>
  <si>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</si>
  <si>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</si>
  <si>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</si>
  <si>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</si>
  <si>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</si>
  <si>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</si>
  <si>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</si>
  <si>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</si>
  <si>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</si>
  <si>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</si>
  <si>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</si>
  <si>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</si>
  <si>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</si>
  <si>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</si>
  <si>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</si>
  <si>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</si>
  <si>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</si>
  <si>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</si>
  <si>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</si>
  <si>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</si>
  <si>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</si>
  <si>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</si>
  <si>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</si>
  <si>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</si>
  <si>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</si>
  <si>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</si>
  <si>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</si>
  <si>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</si>
  <si>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</si>
  <si>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</si>
  <si>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</si>
  <si>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</si>
  <si>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</si>
  <si>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</si>
  <si>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</si>
  <si>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</si>
  <si>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</si>
  <si>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</si>
  <si>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</si>
  <si>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</si>
  <si>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</si>
  <si>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</si>
  <si>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</si>
  <si>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</si>
  <si>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</si>
  <si>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</si>
  <si>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</si>
  <si>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</si>
  <si>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</si>
  <si>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</si>
  <si>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</si>
  <si>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</si>
  <si>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</si>
  <si>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</si>
  <si>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</si>
  <si>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</si>
  <si>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</si>
  <si>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</si>
  <si>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</si>
  <si>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</si>
  <si>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</si>
  <si>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</si>
  <si>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</si>
  <si>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</si>
  <si>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</si>
  <si>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</si>
  <si>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</si>
  <si>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</si>
  <si>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</si>
  <si>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</si>
  <si>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</si>
  <si>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</si>
  <si>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</si>
  <si>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</si>
  <si>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</si>
  <si>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</si>
  <si>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</si>
  <si>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</si>
  <si>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</si>
  <si>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</si>
  <si>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</si>
  <si>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</si>
  <si>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</si>
  <si>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</si>
  <si>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</si>
  <si>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</si>
  <si>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</si>
  <si>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</si>
  <si>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</si>
  <si>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</si>
  <si>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</si>
  <si>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</si>
  <si>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</si>
  <si>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</si>
  <si>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</si>
  <si>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</si>
  <si>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</si>
  <si>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</si>
  <si>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</si>
  <si>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</si>
  <si>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</si>
  <si>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</si>
  <si>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</si>
  <si>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</si>
  <si>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</si>
  <si>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</si>
  <si>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</si>
  <si>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</si>
  <si>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</si>
  <si>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</si>
  <si>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</si>
  <si>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</si>
  <si>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</si>
  <si>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</si>
  <si>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</si>
  <si>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</si>
  <si>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</si>
  <si>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</si>
  <si>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</si>
  <si>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</si>
  <si>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</si>
  <si>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</si>
  <si>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</si>
  <si>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</si>
  <si>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</si>
  <si>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</si>
  <si>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</si>
  <si>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</si>
  <si>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</si>
  <si>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</si>
  <si>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</si>
  <si>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</si>
  <si>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</si>
  <si>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</si>
  <si>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</si>
  <si>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</si>
  <si>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</si>
  <si>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</si>
  <si>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</si>
  <si>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</si>
  <si>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</si>
  <si>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</si>
  <si>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</si>
  <si>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</si>
  <si>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</si>
  <si>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</si>
  <si>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</si>
  <si>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</si>
  <si>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</si>
  <si>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</si>
  <si>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</si>
  <si>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</si>
  <si>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</si>
  <si>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</si>
  <si>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</si>
  <si>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</si>
  <si>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</si>
  <si>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</si>
  <si>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</si>
  <si>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</si>
  <si>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</si>
  <si>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</si>
  <si>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</si>
  <si>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</si>
  <si>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</si>
  <si>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</si>
  <si>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</si>
  <si>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</si>
  <si>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</si>
  <si>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</si>
  <si>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</si>
  <si>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</si>
  <si>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</si>
  <si>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</si>
  <si>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</si>
  <si>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</si>
  <si>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</si>
  <si>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</si>
  <si>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</si>
  <si>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</si>
  <si>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</si>
  <si>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</si>
  <si>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</si>
  <si>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</si>
  <si>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</si>
  <si>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</si>
  <si>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</si>
  <si>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</si>
  <si>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</si>
  <si>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</si>
  <si>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</si>
  <si>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</si>
  <si>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</si>
  <si>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</si>
  <si>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</si>
  <si>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</si>
  <si>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</si>
  <si>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</si>
  <si>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</si>
  <si>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</si>
  <si>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</si>
  <si>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</si>
  <si>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</si>
  <si>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</si>
  <si>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</si>
  <si>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</si>
  <si>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</si>
  <si>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</si>
  <si>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</si>
  <si>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</si>
  <si>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</si>
  <si>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</si>
  <si>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</si>
  <si>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</si>
  <si>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</si>
  <si>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</si>
  <si>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</si>
  <si>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</si>
  <si>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</si>
  <si>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</si>
  <si>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</si>
  <si>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</si>
  <si>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</si>
  <si>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</si>
  <si>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</si>
  <si>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</si>
  <si>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</si>
  <si>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</si>
  <si>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</si>
  <si>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</si>
  <si>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</si>
  <si>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</si>
  <si>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</si>
  <si>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</si>
  <si>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</si>
  <si>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</si>
  <si>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</si>
  <si>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</si>
  <si>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</si>
  <si>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</si>
  <si>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</si>
  <si>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</si>
  <si>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</si>
  <si>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</si>
  <si>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</si>
  <si>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</si>
  <si>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</si>
  <si>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</si>
  <si>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</si>
  <si>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</si>
  <si>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</si>
  <si>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</si>
  <si>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</si>
  <si>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</si>
  <si>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</si>
  <si>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</si>
  <si>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</si>
  <si>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</si>
  <si>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</si>
  <si>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</si>
  <si>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</si>
  <si>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</si>
  <si>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</si>
  <si>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</si>
  <si>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</si>
  <si>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</si>
  <si>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</si>
  <si>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</si>
  <si>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</si>
  <si>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</si>
  <si>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</si>
  <si>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</si>
  <si>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</si>
  <si>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</si>
  <si>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</si>
  <si>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</si>
  <si>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</si>
  <si>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</si>
  <si>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</si>
  <si>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</si>
  <si>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</si>
  <si>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</si>
  <si>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</si>
  <si>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</si>
  <si>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</si>
  <si>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</si>
  <si>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</si>
  <si>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</si>
  <si>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</si>
  <si>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</si>
  <si>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</si>
  <si>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</si>
  <si>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</si>
  <si>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</si>
  <si>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</si>
  <si>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</si>
  <si>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</si>
  <si>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</si>
  <si>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</si>
  <si>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</si>
  <si>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</si>
  <si>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</si>
  <si>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</si>
  <si>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</si>
  <si>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</si>
  <si>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</si>
  <si>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</si>
  <si>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</si>
  <si>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</si>
  <si>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</si>
  <si>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</si>
  <si>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</si>
  <si>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</si>
  <si>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</si>
  <si>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</si>
  <si>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</si>
  <si>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</si>
  <si>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</si>
  <si>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</si>
  <si>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</si>
  <si>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</si>
  <si>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</si>
  <si>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</si>
  <si>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</si>
  <si>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</si>
  <si>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</si>
  <si>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</si>
  <si>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</si>
  <si>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</si>
  <si>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</si>
  <si>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</si>
  <si>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</si>
  <si>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</si>
  <si>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</si>
  <si>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</si>
  <si>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</si>
  <si>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</si>
  <si>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</si>
  <si>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</si>
  <si>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</si>
  <si>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</si>
  <si>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</si>
  <si>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</si>
  <si>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</si>
  <si>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</si>
  <si>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</si>
  <si>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</si>
  <si>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</si>
  <si>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</si>
  <si>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</si>
  <si>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</si>
  <si>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</si>
  <si>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</si>
  <si>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</si>
  <si>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</si>
  <si>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</si>
  <si>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</si>
  <si>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</si>
  <si>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</si>
  <si>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</si>
  <si>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</si>
  <si>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</si>
  <si>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</si>
  <si>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</si>
  <si>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</si>
  <si>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</si>
  <si>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</si>
  <si>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</si>
  <si>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</si>
  <si>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</si>
  <si>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</si>
  <si>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</si>
  <si>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</si>
  <si>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</si>
  <si>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</si>
  <si>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</si>
  <si>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</si>
  <si>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</si>
  <si>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</si>
  <si>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</si>
  <si>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</si>
  <si>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</si>
  <si>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</si>
  <si>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</si>
  <si>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</si>
  <si>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</si>
  <si>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</si>
  <si>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</si>
  <si>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</si>
  <si>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</si>
  <si>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</si>
  <si>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</si>
  <si>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</si>
  <si>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</si>
  <si>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</si>
  <si>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</si>
  <si>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</si>
  <si>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</si>
  <si>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</si>
  <si>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</si>
  <si>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</si>
  <si>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</si>
  <si>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</si>
  <si>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</si>
  <si>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</si>
  <si>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</si>
  <si>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</si>
  <si>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</si>
  <si>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</si>
  <si>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</si>
  <si>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</si>
  <si>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</si>
  <si>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</si>
  <si>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</si>
  <si>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</si>
  <si>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</si>
  <si>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</si>
  <si>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</si>
  <si>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</si>
  <si>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</si>
  <si>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</si>
  <si>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</si>
  <si>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</si>
  <si>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</si>
  <si>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</si>
  <si>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</si>
  <si>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</si>
  <si>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</si>
  <si>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</si>
  <si>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</si>
  <si>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</si>
  <si>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</si>
  <si>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</si>
  <si>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</si>
  <si>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</si>
  <si>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</si>
  <si>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</si>
  <si>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</si>
  <si>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</si>
  <si>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</si>
  <si>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</si>
  <si>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</si>
  <si>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</si>
  <si>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</si>
  <si>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</si>
  <si>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</si>
  <si>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</si>
  <si>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</si>
  <si>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</si>
  <si>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</si>
  <si>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</si>
  <si>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</si>
  <si>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</si>
  <si>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</si>
  <si>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</si>
  <si>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</si>
  <si>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</si>
  <si>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</si>
  <si>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</si>
  <si>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</si>
  <si>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</si>
  <si>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</si>
  <si>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</si>
  <si>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</si>
  <si>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</si>
  <si>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</si>
  <si>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</si>
  <si>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</si>
  <si>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</si>
  <si>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</si>
  <si>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</si>
  <si>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</si>
  <si>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</si>
  <si>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</si>
  <si>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</si>
  <si>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</si>
  <si>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</si>
  <si>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</si>
  <si>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</si>
  <si>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</si>
  <si>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</si>
  <si>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</si>
  <si>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</si>
  <si>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</si>
  <si>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</si>
  <si>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</si>
  <si>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</si>
  <si>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</si>
  <si>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</si>
  <si>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</si>
  <si>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</si>
  <si>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</si>
  <si>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</si>
  <si>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</si>
  <si>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</si>
  <si>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</si>
  <si>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</si>
  <si>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</si>
  <si>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</si>
  <si>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</si>
  <si>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</si>
  <si>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</si>
  <si>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</si>
  <si>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</si>
  <si>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</si>
  <si>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</si>
  <si>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</si>
  <si>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</si>
  <si>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</si>
  <si>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</si>
  <si>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</si>
  <si>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</si>
  <si>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</si>
  <si>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</si>
  <si>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</si>
  <si>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</si>
  <si>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</si>
  <si>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</si>
  <si>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</si>
  <si>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</si>
  <si>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</si>
  <si>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</si>
  <si>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</si>
  <si>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</si>
  <si>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</si>
  <si>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</si>
  <si>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</si>
  <si>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</si>
  <si>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</si>
  <si>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</si>
  <si>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</si>
  <si>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</si>
  <si>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</si>
  <si>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</si>
  <si>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</si>
  <si>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</si>
  <si>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</si>
  <si>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</si>
  <si>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</si>
  <si>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</si>
  <si>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</si>
  <si>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</si>
  <si>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</si>
  <si>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</si>
  <si>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</si>
  <si>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</si>
  <si>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</si>
  <si>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</si>
  <si>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</si>
  <si>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</si>
  <si>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</si>
  <si>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</si>
  <si>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</si>
  <si>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</si>
  <si>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</si>
  <si>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</si>
  <si>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</si>
  <si>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</si>
  <si>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</si>
  <si>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</si>
  <si>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</si>
  <si>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</si>
  <si>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</si>
  <si>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</si>
  <si>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</si>
  <si>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</si>
  <si>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</si>
  <si>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</si>
  <si>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</si>
  <si>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</si>
  <si>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</si>
  <si>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</si>
  <si>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</si>
  <si>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</si>
  <si>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</si>
  <si>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</si>
  <si>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</si>
  <si>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</si>
  <si>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</si>
  <si>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</si>
  <si>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</si>
  <si>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</si>
  <si>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</si>
  <si>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</si>
  <si>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</si>
  <si>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</si>
  <si>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</si>
  <si>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</si>
  <si>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</si>
  <si>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</si>
  <si>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</si>
  <si>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</si>
  <si>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</si>
  <si>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</si>
  <si>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</si>
  <si>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</si>
  <si>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</si>
  <si>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</si>
  <si>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</si>
  <si>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</si>
  <si>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</si>
  <si>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</si>
  <si>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</si>
  <si>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</si>
  <si>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</si>
  <si>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</si>
  <si>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</si>
  <si>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</si>
  <si>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</si>
  <si>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</si>
  <si>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</si>
  <si>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</si>
  <si>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</si>
  <si>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</si>
  <si>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</si>
  <si>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</si>
  <si>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</si>
  <si>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</si>
  <si>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</si>
  <si>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</si>
  <si>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</si>
  <si>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</si>
  <si>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</si>
  <si>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</si>
  <si>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</si>
  <si>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</si>
  <si>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</si>
  <si>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</si>
  <si>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</si>
  <si>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</si>
  <si>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</si>
  <si>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</si>
  <si>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</si>
  <si>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</si>
  <si>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</si>
  <si>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</si>
  <si>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</si>
  <si>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</si>
  <si>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</si>
  <si>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</si>
  <si>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</si>
  <si>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</si>
  <si>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</si>
  <si>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</si>
  <si>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</si>
  <si>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</si>
  <si>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</si>
  <si>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</si>
  <si>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</si>
  <si>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</si>
  <si>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</si>
  <si>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</si>
  <si>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</si>
  <si>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</si>
  <si>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</si>
  <si>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</si>
  <si>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</si>
  <si>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</si>
  <si>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</si>
  <si>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</si>
  <si>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</si>
  <si>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</si>
  <si>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</si>
  <si>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</si>
  <si>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</si>
  <si>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</si>
  <si>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</si>
  <si>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</si>
  <si>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</si>
  <si>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</si>
  <si>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</si>
  <si>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</si>
  <si>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</si>
  <si>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</si>
  <si>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</si>
  <si>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</si>
  <si>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</si>
  <si>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</si>
  <si>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</si>
  <si>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</si>
  <si>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</si>
  <si>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</si>
  <si>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</si>
  <si>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</si>
  <si>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</si>
  <si>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</si>
  <si>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</si>
  <si>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</si>
  <si>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</si>
  <si>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</si>
  <si>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</si>
  <si>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</si>
  <si>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</si>
  <si>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</si>
  <si>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</si>
  <si>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</si>
  <si>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</si>
  <si>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</si>
  <si>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</si>
  <si>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</si>
  <si>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</si>
  <si>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</si>
  <si>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</si>
  <si>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</si>
  <si>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</si>
  <si>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</si>
  <si>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</si>
  <si>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</si>
  <si>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</si>
  <si>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</si>
  <si>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</si>
  <si>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</si>
  <si>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</si>
  <si>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</si>
  <si>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</si>
  <si>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</si>
  <si>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</si>
  <si>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</si>
  <si>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</si>
  <si>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</si>
  <si>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</si>
  <si>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</si>
  <si>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</si>
  <si>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</si>
  <si>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</si>
  <si>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</si>
  <si>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</si>
  <si>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</si>
  <si>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</si>
  <si>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</si>
  <si>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</si>
  <si>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</si>
  <si>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</si>
  <si>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</si>
  <si>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</si>
  <si>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</si>
  <si>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</si>
  <si>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</si>
  <si>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</si>
  <si>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</si>
  <si>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</si>
  <si>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</si>
  <si>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</si>
  <si>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</si>
  <si>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</si>
  <si>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</si>
  <si>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</si>
  <si>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</si>
  <si>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</si>
  <si>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</si>
  <si>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</si>
  <si>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</si>
  <si>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</si>
  <si>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</si>
  <si>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</si>
  <si>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</si>
  <si>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</si>
  <si>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</si>
  <si>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</si>
  <si>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</si>
  <si>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</si>
  <si>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</si>
  <si>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</si>
  <si>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</si>
  <si>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</si>
  <si>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</si>
  <si>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</si>
  <si>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</si>
  <si>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</si>
  <si>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</si>
  <si>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</si>
  <si>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</si>
  <si>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</si>
  <si>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</si>
  <si>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</si>
  <si>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</si>
  <si>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</si>
  <si>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</si>
  <si>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</si>
  <si>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</si>
  <si>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</si>
  <si>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</si>
  <si>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</si>
  <si>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</si>
  <si>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</si>
  <si>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</si>
  <si>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</si>
  <si>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</si>
  <si>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</si>
  <si>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</si>
  <si>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</si>
  <si>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</si>
  <si>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</si>
  <si>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</si>
  <si>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</si>
  <si>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</si>
  <si>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</si>
  <si>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</si>
  <si>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</si>
  <si>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</si>
  <si>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</si>
  <si>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</si>
  <si>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</si>
  <si>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</si>
  <si>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</si>
  <si>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</si>
  <si>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</si>
  <si>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</si>
  <si>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</si>
  <si>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</si>
  <si>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</si>
  <si>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</si>
  <si>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</si>
  <si>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</si>
  <si>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</si>
  <si>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</si>
  <si>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</si>
  <si>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</si>
  <si>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</si>
  <si>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</si>
  <si>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</si>
  <si>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</si>
  <si>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</si>
  <si>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</si>
  <si>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</si>
  <si>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</si>
  <si>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</si>
  <si>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</si>
  <si>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</si>
  <si>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</si>
  <si>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</si>
  <si>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</si>
  <si>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</si>
  <si>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</si>
  <si>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</si>
  <si>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</si>
  <si>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</si>
  <si>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</si>
  <si>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</si>
  <si>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</si>
  <si>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</si>
  <si>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</si>
  <si>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</si>
  <si>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</si>
  <si>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</si>
  <si>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</si>
  <si>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</si>
  <si>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</si>
  <si>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</si>
  <si>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</si>
  <si>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</si>
  <si>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</si>
  <si>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</si>
  <si>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</si>
  <si>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</si>
  <si>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</si>
  <si>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</si>
  <si>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</si>
  <si>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</si>
  <si>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</si>
  <si>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</si>
  <si>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</si>
  <si>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</si>
  <si>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</si>
  <si>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</si>
  <si>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</si>
  <si>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</si>
  <si>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</si>
  <si>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</si>
  <si>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</si>
  <si>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</si>
  <si>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</si>
  <si>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</si>
  <si>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</si>
  <si>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</si>
  <si>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</si>
  <si>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</si>
  <si>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</si>
  <si>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</si>
  <si>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</si>
  <si>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</si>
  <si>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</si>
  <si>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</si>
  <si>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</si>
  <si>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</si>
  <si>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</si>
  <si>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</si>
  <si>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</si>
  <si>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</si>
  <si>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</si>
  <si>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</si>
  <si>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</si>
  <si>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</si>
  <si>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</si>
  <si>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</si>
  <si>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</si>
  <si>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</si>
  <si>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</si>
  <si>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</si>
  <si>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</si>
  <si>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</si>
  <si>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</si>
  <si>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</si>
  <si>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</si>
  <si>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</si>
  <si>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</si>
  <si>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</si>
  <si>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</si>
  <si>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</si>
  <si>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</si>
  <si>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</si>
  <si>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</si>
  <si>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</si>
  <si>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</si>
  <si>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</si>
  <si>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</si>
  <si>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</si>
  <si>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</si>
  <si>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</si>
  <si>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</si>
  <si>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</si>
  <si>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</si>
  <si>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</si>
  <si>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</si>
  <si>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</si>
  <si>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</si>
  <si>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</si>
  <si>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</si>
  <si>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</si>
  <si>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</si>
  <si>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</si>
  <si>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</si>
  <si>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</si>
  <si>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</si>
  <si>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</si>
  <si>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</si>
  <si>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</si>
  <si>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</si>
  <si>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</si>
  <si>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</si>
  <si>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</si>
  <si>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</si>
  <si>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</si>
  <si>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</si>
  <si>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</si>
  <si>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</si>
  <si>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</si>
  <si>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</si>
  <si>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</si>
  <si>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</si>
  <si>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</si>
  <si>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</si>
  <si>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</si>
  <si>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</si>
  <si>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</si>
  <si>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</si>
  <si>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</si>
  <si>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</si>
  <si>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</si>
  <si>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</si>
  <si>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</si>
  <si>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</si>
  <si>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</si>
  <si>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</si>
  <si>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</si>
  <si>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</si>
  <si>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</si>
  <si>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</si>
  <si>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</si>
  <si>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</si>
  <si>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</si>
  <si>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</si>
  <si>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</si>
  <si>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</si>
  <si>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</si>
  <si>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</si>
  <si>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</si>
  <si>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</si>
  <si>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</si>
  <si>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</si>
  <si>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</si>
  <si>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</si>
  <si>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</si>
  <si>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</si>
  <si>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</si>
  <si>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</si>
  <si>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</si>
  <si>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</si>
  <si>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</si>
  <si>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</si>
  <si>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</si>
  <si>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</si>
  <si>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</si>
  <si>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</si>
  <si>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</si>
  <si>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</si>
  <si>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</si>
  <si>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</si>
  <si>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</si>
  <si>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</si>
  <si>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</si>
  <si>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</si>
  <si>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</si>
  <si>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</si>
  <si>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</si>
  <si>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</si>
  <si>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</si>
  <si>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</si>
  <si>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</si>
  <si>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</si>
  <si>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</si>
  <si>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</si>
  <si>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</si>
  <si>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</si>
  <si>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</si>
  <si>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</si>
  <si>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</si>
  <si>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</si>
  <si>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</si>
  <si>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</si>
  <si>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</si>
  <si>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</si>
  <si>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</si>
  <si>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</si>
  <si>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</si>
  <si>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</si>
  <si>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</si>
  <si>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</si>
  <si>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</si>
  <si>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</si>
  <si>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</si>
  <si>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</si>
  <si>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</si>
  <si>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</si>
  <si>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</si>
  <si>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</si>
  <si>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</si>
  <si>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</si>
  <si>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</si>
  <si>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</si>
  <si>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</si>
  <si>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</si>
  <si>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</si>
  <si>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</si>
  <si>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</si>
  <si>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</si>
  <si>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</si>
  <si>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</si>
  <si>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</si>
  <si>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</si>
  <si>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</si>
  <si>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</si>
  <si>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</si>
  <si>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</si>
  <si>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</si>
  <si>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</si>
  <si>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</si>
  <si>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</si>
  <si>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</si>
  <si>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</si>
  <si>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</si>
  <si>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</si>
  <si>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</si>
  <si>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</si>
  <si>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</si>
  <si>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</si>
  <si>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</si>
  <si>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</si>
  <si>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</si>
  <si>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</si>
  <si>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</si>
  <si>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</si>
  <si>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</si>
  <si>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</si>
  <si>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</si>
  <si>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</si>
  <si>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</si>
  <si>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</si>
  <si>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</si>
  <si>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</si>
  <si>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</si>
  <si>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</si>
  <si>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</si>
  <si>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</si>
  <si>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</si>
  <si>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</si>
  <si>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</si>
  <si>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</si>
  <si>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</si>
  <si>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</si>
  <si>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</si>
  <si>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</si>
  <si>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</si>
  <si>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</si>
  <si>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</si>
  <si>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</si>
  <si>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</si>
  <si>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</si>
  <si>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</si>
  <si>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</si>
  <si>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</si>
  <si>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</si>
  <si>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</si>
  <si>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</si>
  <si>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</si>
  <si>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</si>
  <si>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</si>
  <si>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</si>
  <si>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</si>
  <si>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</si>
  <si>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</si>
  <si>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</si>
  <si>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</si>
  <si>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</si>
  <si>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</si>
  <si>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</si>
  <si>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</si>
  <si>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</si>
  <si>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</si>
  <si>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</si>
  <si>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</si>
  <si>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</si>
  <si>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</si>
  <si>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</si>
  <si>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</si>
  <si>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</si>
  <si>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</si>
  <si>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</si>
  <si>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</si>
  <si>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</si>
  <si>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</si>
  <si>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</si>
  <si>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</si>
  <si>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</si>
  <si>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</si>
  <si>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</si>
  <si>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</si>
  <si>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</si>
  <si>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</si>
  <si>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</si>
  <si>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</si>
  <si>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</si>
  <si>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</si>
  <si>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</si>
  <si>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</si>
  <si>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</si>
  <si>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</si>
  <si>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</si>
  <si>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</si>
  <si>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</si>
  <si>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</si>
  <si>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</si>
  <si>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</si>
  <si>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</si>
  <si>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</si>
  <si>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</si>
  <si>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</si>
  <si>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</si>
  <si>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</si>
  <si>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</si>
  <si>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</si>
  <si>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</si>
  <si>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</si>
  <si>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</si>
  <si>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</si>
  <si>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</si>
  <si>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</si>
  <si>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</si>
  <si>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</si>
  <si>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</si>
  <si>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</si>
  <si>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</si>
  <si>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</si>
  <si>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</si>
  <si>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</si>
  <si>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</si>
  <si>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</si>
  <si>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</si>
  <si>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</si>
  <si>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</si>
  <si>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</si>
  <si>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</si>
  <si>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</si>
  <si>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</si>
  <si>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</si>
  <si>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</si>
  <si>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</si>
  <si>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</si>
  <si>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</si>
  <si>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</si>
  <si>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</si>
  <si>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</si>
  <si>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</si>
  <si>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</si>
  <si>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</si>
  <si>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</si>
  <si>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</si>
  <si>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</si>
  <si>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</si>
  <si>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</si>
  <si>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</si>
  <si>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</si>
  <si>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</si>
  <si>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</si>
  <si>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</si>
  <si>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</si>
  <si>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</si>
  <si>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</si>
  <si>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</si>
  <si>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</si>
  <si>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</si>
  <si>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</si>
  <si>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</si>
  <si>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</si>
  <si>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</si>
  <si>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</si>
  <si>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</si>
  <si>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</si>
  <si>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</si>
  <si>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</si>
  <si>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</si>
  <si>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</si>
  <si>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</si>
  <si>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</si>
  <si>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</si>
  <si>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</si>
  <si>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</si>
  <si>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</si>
  <si>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</si>
  <si>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</si>
  <si>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</si>
  <si>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</si>
  <si>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</si>
  <si>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</si>
  <si>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</si>
  <si>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</si>
  <si>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</si>
  <si>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</si>
  <si>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</si>
  <si>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</si>
  <si>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</si>
  <si>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</si>
  <si>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</si>
  <si>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</si>
  <si>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</si>
  <si>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</si>
  <si>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</si>
  <si>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</si>
  <si>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</si>
  <si>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</si>
  <si>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</si>
  <si>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</si>
  <si>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</si>
  <si>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</si>
  <si>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</si>
  <si>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</si>
  <si>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</si>
  <si>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</si>
  <si>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</si>
  <si>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</si>
  <si>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</si>
  <si>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</si>
  <si>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</si>
  <si>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</si>
  <si>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</si>
  <si>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</si>
  <si>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</si>
  <si>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</si>
  <si>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</si>
  <si>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</si>
  <si>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</si>
  <si>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</si>
  <si>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</si>
  <si>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</si>
  <si>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</si>
  <si>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</si>
  <si>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</si>
  <si>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</si>
  <si>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</si>
  <si>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</si>
  <si>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</si>
  <si>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</si>
  <si>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</si>
  <si>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</si>
  <si>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</si>
  <si>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</si>
  <si>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</si>
  <si>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</si>
  <si>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</si>
  <si>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</si>
  <si>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</si>
  <si>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</si>
  <si>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</si>
  <si>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</si>
  <si>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</si>
  <si>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</si>
  <si>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</si>
  <si>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</si>
  <si>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</si>
  <si>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</si>
  <si>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</si>
  <si>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</si>
  <si>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</si>
  <si>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</si>
  <si>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</si>
  <si>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</si>
  <si>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</si>
  <si>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</si>
  <si>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</si>
  <si>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</si>
  <si>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</si>
  <si>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</si>
  <si>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</si>
  <si>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</si>
  <si>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</si>
  <si>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</si>
  <si>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</si>
  <si>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</si>
  <si>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</si>
  <si>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</si>
  <si>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</si>
  <si>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</si>
  <si>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</si>
  <si>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</si>
  <si>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</si>
  <si>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</si>
  <si>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</si>
  <si>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</si>
  <si>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</si>
  <si>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</si>
  <si>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</si>
  <si>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</si>
  <si>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</si>
  <si>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</si>
  <si>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</si>
  <si>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</si>
  <si>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</si>
  <si>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</si>
  <si>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</si>
  <si>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</si>
  <si>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</si>
  <si>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</si>
  <si>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</si>
  <si>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</si>
  <si>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</si>
  <si>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</si>
  <si>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</si>
  <si>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</si>
  <si>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</si>
  <si>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</si>
  <si>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</si>
  <si>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</si>
  <si>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</si>
  <si>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</si>
  <si>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</si>
  <si>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</si>
  <si>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</si>
  <si>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</si>
  <si>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</si>
  <si>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</si>
  <si>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</si>
  <si>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</si>
  <si>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</si>
  <si>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</si>
  <si>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</si>
  <si>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</si>
  <si>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</si>
  <si>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</si>
  <si>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</si>
  <si>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</si>
  <si>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</si>
  <si>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</si>
  <si>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</si>
  <si>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</si>
  <si>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</si>
  <si>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</si>
  <si>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</si>
  <si>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</si>
  <si>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</si>
  <si>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</si>
  <si>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</si>
  <si>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</si>
  <si>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</si>
  <si>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</si>
  <si>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</si>
  <si>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</si>
  <si>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</si>
  <si>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</si>
  <si>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</si>
  <si>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</si>
  <si>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</si>
  <si>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</si>
  <si>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</si>
  <si>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</si>
  <si>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</si>
  <si>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</si>
  <si>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</si>
  <si>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</si>
  <si>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</si>
  <si>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</si>
  <si>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</si>
  <si>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</si>
  <si>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</si>
  <si>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</si>
  <si>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</si>
  <si>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</si>
  <si>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</si>
  <si>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</si>
  <si>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</si>
  <si>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</si>
  <si>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</si>
  <si>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</si>
  <si>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</si>
  <si>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</si>
  <si>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</si>
  <si>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</si>
  <si>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</si>
  <si>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</si>
  <si>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</si>
  <si>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</si>
  <si>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</si>
  <si>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</si>
  <si>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</si>
  <si>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</si>
  <si>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</si>
  <si>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</si>
  <si>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</si>
  <si>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</si>
  <si>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</si>
  <si>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</si>
  <si>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</si>
  <si>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</si>
  <si>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</si>
  <si>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</si>
  <si>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</si>
  <si>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</si>
  <si>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</si>
  <si>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</si>
  <si>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</si>
  <si>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</si>
  <si>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</si>
  <si>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</si>
  <si>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</si>
  <si>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</si>
  <si>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</si>
  <si>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</si>
  <si>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</si>
  <si>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</si>
  <si>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</si>
  <si>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</si>
  <si>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</si>
  <si>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</si>
  <si>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</si>
  <si>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</si>
  <si>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</si>
  <si>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</si>
  <si>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</si>
  <si>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</si>
  <si>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</si>
  <si>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</si>
  <si>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</si>
  <si>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</si>
  <si>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</si>
  <si>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</si>
  <si>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</si>
  <si>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</si>
  <si>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</si>
  <si>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</si>
  <si>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</si>
  <si>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</si>
  <si>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</si>
  <si>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</si>
  <si>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</si>
  <si>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</si>
  <si>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</si>
  <si>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</si>
  <si>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</si>
  <si>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</si>
  <si>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</si>
  <si>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</si>
  <si>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</si>
  <si>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</si>
  <si>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</si>
  <si>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</si>
  <si>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</si>
  <si>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</si>
  <si>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</si>
  <si>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</si>
  <si>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</si>
  <si>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</si>
  <si>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</si>
  <si>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</si>
  <si>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</si>
  <si>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</si>
  <si>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</si>
  <si>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</si>
  <si>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</si>
  <si>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</si>
  <si>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</si>
  <si>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</si>
  <si>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</si>
  <si>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</si>
  <si>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</si>
  <si>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</si>
  <si>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</si>
  <si>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</si>
  <si>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</si>
  <si>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</si>
  <si>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</si>
  <si>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</si>
  <si>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</si>
  <si>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</si>
  <si>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</si>
  <si>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</si>
  <si>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</si>
  <si>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</si>
  <si>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</si>
  <si>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</si>
  <si>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</si>
  <si>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</si>
  <si>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</si>
  <si>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</si>
  <si>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</si>
  <si>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</si>
  <si>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</si>
  <si>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</si>
  <si>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</si>
  <si>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</si>
  <si>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</si>
  <si>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</si>
  <si>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</si>
  <si>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</si>
  <si>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</si>
  <si>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</si>
  <si>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</si>
  <si>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</si>
  <si>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</si>
  <si>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</si>
  <si>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</si>
  <si>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</si>
  <si>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</si>
  <si>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</si>
  <si>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</si>
  <si>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</si>
  <si>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</si>
  <si>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</si>
  <si>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</si>
  <si>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</si>
  <si>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</si>
  <si>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</si>
  <si>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</si>
  <si>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</si>
  <si>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</si>
  <si>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</si>
  <si>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</si>
  <si>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</si>
  <si>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</si>
  <si>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</si>
  <si>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</si>
  <si>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</si>
  <si>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</si>
  <si>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</si>
  <si>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</si>
  <si>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</si>
  <si>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</si>
  <si>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</si>
  <si>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</si>
  <si>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</si>
  <si>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</si>
  <si>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</si>
  <si>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</si>
  <si>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</si>
  <si>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</si>
  <si>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</si>
  <si>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</si>
  <si>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</si>
  <si>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</si>
  <si>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</si>
  <si>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</si>
  <si>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</si>
  <si>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</si>
  <si>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</si>
  <si>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</si>
  <si>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</si>
  <si>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</si>
  <si>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</si>
  <si>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</si>
  <si>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</si>
  <si>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</si>
  <si>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</si>
  <si>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</si>
  <si>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</si>
  <si>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</si>
  <si>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</si>
  <si>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</si>
  <si>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</si>
  <si>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</si>
  <si>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</si>
  <si>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</si>
  <si>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</si>
  <si>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</si>
  <si>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</si>
  <si>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</si>
  <si>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</si>
  <si>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</si>
  <si>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</si>
  <si>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</si>
  <si>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</si>
  <si>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</si>
  <si>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</si>
  <si>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</si>
  <si>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</si>
  <si>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</si>
  <si>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</si>
  <si>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</si>
  <si>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</si>
  <si>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</si>
  <si>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</si>
  <si>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</si>
  <si>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</si>
  <si>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</si>
  <si>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</si>
  <si>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</si>
  <si>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</si>
  <si>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</si>
  <si>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</si>
  <si>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</si>
  <si>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</si>
  <si>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</si>
  <si>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</si>
  <si>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</si>
  <si>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</si>
  <si>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</si>
  <si>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</si>
  <si>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</si>
  <si>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</si>
  <si>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</si>
  <si>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</si>
  <si>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</si>
  <si>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</si>
  <si>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</si>
  <si>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</si>
  <si>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</si>
  <si>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</si>
  <si>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</si>
  <si>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</si>
  <si>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</si>
  <si>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</si>
  <si>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</si>
  <si>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</si>
  <si>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</si>
  <si>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</si>
  <si>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</si>
  <si>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</si>
  <si>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</si>
  <si>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</si>
  <si>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</si>
  <si>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</si>
  <si>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</si>
  <si>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</si>
  <si>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</si>
  <si>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</si>
  <si>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</si>
  <si>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</si>
  <si>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</si>
  <si>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</si>
  <si>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</si>
  <si>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</si>
  <si>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</si>
  <si>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</si>
  <si>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</si>
  <si>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</si>
  <si>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</si>
  <si>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</si>
  <si>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</si>
  <si>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</si>
  <si>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</si>
  <si>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</si>
  <si>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</si>
  <si>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</si>
  <si>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</si>
  <si>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</si>
  <si>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</si>
  <si>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</si>
  <si>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</si>
  <si>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</si>
  <si>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</si>
  <si>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</si>
  <si>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</si>
  <si>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</si>
  <si>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</si>
  <si>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</si>
  <si>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</si>
  <si>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</si>
  <si>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</si>
  <si>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</si>
  <si>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</si>
  <si>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</si>
  <si>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</si>
  <si>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</si>
  <si>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</si>
  <si>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</si>
  <si>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</si>
  <si>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</si>
  <si>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</si>
  <si>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</si>
  <si>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</si>
  <si>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</si>
  <si>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</si>
  <si>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</si>
  <si>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</si>
  <si>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</si>
  <si>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</si>
  <si>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</si>
  <si>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</si>
  <si>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</si>
  <si>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</si>
  <si>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</si>
  <si>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</si>
  <si>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</si>
  <si>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</si>
  <si>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</si>
  <si>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</si>
  <si>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</si>
  <si>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</si>
  <si>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</si>
  <si>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</si>
  <si>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</si>
  <si>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</si>
  <si>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</si>
  <si>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</si>
  <si>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</si>
  <si>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</si>
  <si>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</si>
  <si>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</si>
  <si>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</si>
  <si>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</si>
  <si>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</si>
  <si>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</si>
  <si>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</si>
  <si>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</si>
  <si>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</si>
  <si>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</si>
  <si>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</si>
  <si>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</si>
  <si>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</si>
  <si>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</si>
  <si>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</si>
  <si>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</si>
  <si>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</si>
  <si>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</si>
  <si>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</si>
  <si>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</si>
  <si>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</si>
  <si>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</si>
  <si>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</si>
  <si>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</si>
  <si>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</si>
  <si>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</si>
  <si>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</si>
  <si>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</si>
  <si>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</si>
  <si>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</si>
  <si>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</si>
  <si>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</si>
  <si>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</si>
  <si>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</si>
  <si>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</si>
  <si>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</si>
  <si>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</si>
  <si>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</si>
  <si>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</si>
  <si>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</si>
  <si>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</si>
  <si>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</si>
  <si>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</si>
  <si>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</si>
  <si>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</si>
  <si>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</si>
  <si>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</si>
  <si>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</si>
  <si>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</si>
  <si>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</si>
  <si>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</si>
  <si>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</si>
  <si>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</si>
  <si>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</si>
  <si>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</si>
  <si>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</si>
  <si>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</si>
  <si>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</si>
  <si>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</si>
  <si>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</si>
  <si>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</si>
  <si>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</si>
  <si>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</si>
  <si>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</si>
  <si>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</si>
  <si>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</si>
  <si>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</si>
  <si>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</si>
  <si>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</si>
  <si>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</si>
  <si>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</si>
  <si>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</si>
  <si>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</si>
  <si>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</si>
  <si>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</si>
  <si>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</si>
  <si>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</si>
  <si>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</si>
  <si>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</si>
  <si>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</si>
  <si>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</si>
  <si>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</si>
  <si>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</si>
  <si>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</si>
  <si>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</si>
  <si>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</si>
  <si>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</si>
  <si>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</si>
  <si>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</si>
  <si>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</si>
  <si>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</si>
  <si>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</si>
  <si>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</si>
  <si>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</si>
  <si>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</si>
  <si>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</si>
  <si>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</si>
  <si>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</si>
  <si>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</si>
  <si>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</si>
  <si>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</si>
  <si>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</si>
  <si>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</si>
  <si>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</si>
  <si>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</si>
  <si>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</si>
  <si>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</si>
  <si>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</si>
  <si>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</si>
  <si>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</si>
  <si>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</si>
  <si>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</si>
  <si>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</si>
  <si>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</si>
  <si>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</si>
  <si>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</si>
  <si>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</si>
  <si>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</si>
  <si>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</si>
  <si>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</si>
  <si>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</si>
  <si>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</si>
  <si>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</si>
  <si>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</si>
  <si>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</si>
  <si>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</si>
  <si>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</si>
  <si>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</si>
  <si>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</si>
  <si>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</si>
  <si>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</si>
  <si>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</si>
  <si>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</si>
  <si>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</si>
  <si>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</si>
  <si>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</si>
  <si>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</si>
  <si>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</si>
  <si>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</si>
  <si>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</si>
  <si>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</si>
  <si>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</si>
  <si>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</si>
  <si>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</si>
  <si>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</si>
  <si>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</si>
  <si>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</si>
  <si>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</si>
  <si>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</si>
  <si>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</si>
  <si>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</si>
  <si>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</si>
  <si>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</si>
  <si>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</si>
  <si>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</si>
  <si>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</si>
  <si>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</si>
  <si>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</si>
  <si>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</si>
  <si>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</si>
  <si>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</si>
  <si>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</si>
  <si>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</si>
  <si>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</si>
  <si>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</si>
  <si>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</si>
  <si>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</si>
  <si>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</si>
  <si>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</si>
  <si>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</si>
  <si>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</si>
  <si>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</si>
  <si>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</si>
  <si>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</si>
  <si>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</si>
  <si>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</si>
  <si>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</si>
  <si>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</si>
  <si>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</si>
  <si>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</si>
  <si>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</si>
  <si>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</si>
  <si>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</si>
  <si>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</si>
  <si>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</si>
  <si>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</si>
  <si>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</si>
  <si>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</si>
  <si>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</si>
  <si>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</si>
  <si>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</si>
  <si>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</si>
  <si>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</si>
  <si>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</si>
  <si>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</si>
  <si>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</si>
  <si>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</si>
  <si>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</si>
  <si>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</si>
  <si>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</si>
  <si>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</si>
  <si>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</si>
  <si>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</si>
  <si>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</si>
  <si>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</si>
  <si>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</si>
  <si>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</si>
  <si>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</si>
  <si>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</si>
  <si>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</si>
  <si>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</si>
  <si>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</si>
  <si>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</si>
  <si>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</si>
  <si>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</si>
  <si>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</si>
  <si>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</si>
  <si>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</si>
  <si>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</si>
  <si>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</si>
  <si>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</si>
  <si>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</si>
  <si>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</si>
  <si>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</si>
  <si>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</si>
  <si>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</si>
  <si>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</si>
  <si>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</si>
  <si>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</si>
  <si>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</si>
  <si>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</si>
  <si>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</si>
  <si>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</si>
  <si>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</si>
  <si>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</si>
  <si>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</si>
  <si>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</si>
  <si>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</si>
  <si>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</si>
  <si>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</si>
  <si>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</si>
  <si>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</si>
  <si>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</si>
  <si>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</si>
  <si>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</si>
  <si>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</si>
  <si>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</si>
  <si>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</si>
  <si>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</si>
  <si>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</si>
  <si>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</si>
  <si>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</si>
  <si>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</si>
  <si>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</si>
  <si>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</si>
  <si>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</si>
  <si>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</si>
  <si>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</si>
  <si>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</si>
  <si>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</si>
  <si>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</si>
  <si>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</si>
  <si>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</si>
  <si>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</si>
  <si>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</si>
  <si>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</si>
  <si>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</si>
  <si>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</si>
  <si>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</si>
  <si>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</si>
  <si>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</si>
  <si>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</si>
  <si>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</si>
  <si>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</si>
  <si>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</si>
  <si>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</si>
  <si>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</si>
  <si>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</si>
  <si>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</si>
  <si>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</si>
  <si>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</si>
  <si>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</si>
  <si>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</si>
  <si>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</si>
  <si>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</si>
  <si>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</si>
  <si>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</si>
  <si>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</si>
  <si>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</si>
  <si>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</si>
  <si>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</si>
  <si>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</si>
  <si>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</si>
  <si>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</si>
  <si>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</si>
  <si>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</si>
  <si>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</si>
  <si>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</si>
  <si>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</si>
  <si>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</si>
  <si>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</si>
  <si>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</si>
  <si>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</si>
  <si>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</si>
  <si>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</si>
  <si>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</si>
  <si>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</si>
  <si>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</si>
  <si>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</si>
  <si>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</si>
  <si>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</si>
  <si>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</si>
  <si>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</si>
  <si>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</si>
  <si>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</si>
  <si>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</si>
  <si>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</si>
  <si>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</si>
  <si>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</si>
  <si>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</si>
  <si>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</si>
  <si>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</si>
  <si>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</si>
  <si>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</si>
  <si>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</si>
  <si>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</si>
  <si>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</si>
  <si>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</si>
  <si>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</si>
  <si>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</si>
  <si>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</si>
  <si>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</si>
  <si>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</si>
  <si>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</si>
  <si>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</si>
  <si>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</si>
  <si>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</si>
  <si>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</si>
  <si>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</si>
  <si>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</si>
  <si>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</si>
  <si>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</si>
  <si>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</si>
  <si>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</si>
  <si>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</si>
  <si>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</si>
  <si>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</si>
  <si>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</si>
  <si>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</si>
  <si>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</si>
  <si>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</si>
  <si>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</si>
  <si>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</si>
  <si>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</si>
  <si>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</si>
  <si>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</si>
  <si>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</si>
  <si>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</si>
  <si>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</si>
  <si>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</si>
  <si>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</si>
  <si>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</si>
  <si>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</si>
  <si>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</si>
  <si>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</si>
  <si>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</si>
  <si>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</si>
  <si>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</si>
  <si>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</si>
  <si>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</si>
  <si>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</si>
  <si>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</si>
  <si>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</si>
  <si>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</si>
  <si>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</si>
  <si>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</si>
  <si>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</si>
  <si>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</si>
  <si>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</si>
  <si>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</si>
  <si>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</si>
  <si>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</si>
  <si>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</si>
  <si>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</si>
  <si>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</si>
  <si>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</si>
  <si>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</si>
  <si>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</si>
  <si>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</si>
  <si>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</si>
  <si>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</si>
  <si>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</si>
  <si>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</si>
  <si>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</si>
  <si>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</si>
  <si>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</si>
  <si>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</si>
  <si>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</si>
  <si>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</si>
  <si>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</si>
  <si>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</si>
  <si>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</si>
  <si>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</si>
  <si>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</si>
  <si>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</si>
  <si>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</si>
  <si>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</si>
  <si>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</si>
  <si>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</si>
  <si>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</si>
  <si>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</si>
  <si>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</si>
  <si>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</si>
  <si>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</si>
  <si>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</si>
  <si>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</si>
  <si>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</si>
  <si>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</si>
  <si>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</si>
  <si>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</si>
  <si>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</si>
  <si>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</si>
  <si>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</si>
  <si>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</si>
  <si>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</si>
  <si>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</si>
  <si>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</si>
  <si>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</si>
  <si>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</si>
  <si>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</si>
  <si>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</si>
  <si>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</si>
  <si>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</si>
  <si>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</si>
  <si>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</si>
  <si>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</si>
  <si>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</si>
  <si>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</si>
  <si>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</si>
  <si>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</si>
  <si>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</si>
  <si>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</si>
  <si>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</si>
  <si>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</si>
  <si>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</si>
  <si>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</si>
  <si>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</si>
  <si>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</si>
  <si>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</si>
  <si>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</si>
  <si>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</si>
  <si>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</si>
  <si>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</si>
  <si>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</si>
  <si>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</si>
  <si>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</si>
  <si>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</si>
  <si>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</si>
  <si>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</si>
  <si>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</si>
  <si>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</si>
  <si>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</si>
  <si>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</si>
  <si>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</si>
  <si>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</si>
  <si>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</si>
  <si>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</si>
  <si>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</si>
  <si>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</si>
  <si>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</si>
  <si>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</si>
  <si>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</si>
  <si>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</si>
  <si>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</si>
  <si>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</si>
  <si>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</si>
  <si>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</si>
  <si>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</si>
  <si>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</si>
  <si>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</si>
  <si>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</si>
  <si>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</si>
  <si>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</si>
  <si>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</si>
  <si>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</si>
  <si>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</si>
  <si>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</si>
  <si>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</si>
  <si>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</si>
  <si>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</si>
  <si>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</si>
  <si>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</si>
  <si>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</si>
  <si>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</si>
  <si>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</si>
  <si>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</si>
  <si>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</si>
  <si>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</si>
  <si>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</si>
  <si>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</si>
  <si>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</si>
  <si>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</si>
  <si>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</si>
  <si>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</si>
  <si>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</si>
  <si>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</si>
  <si>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</si>
  <si>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</si>
  <si>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</si>
  <si>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</si>
  <si>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</si>
  <si>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</si>
  <si>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</si>
  <si>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</si>
  <si>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</si>
  <si>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</si>
  <si>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</si>
  <si>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</si>
  <si>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</si>
  <si>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</si>
  <si>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</si>
  <si>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</si>
  <si>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</si>
  <si>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</si>
  <si>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</si>
  <si>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</si>
  <si>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</si>
  <si>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</si>
  <si>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</si>
  <si>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</si>
  <si>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</si>
  <si>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</si>
  <si>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</si>
  <si>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</si>
  <si>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</si>
  <si>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</si>
  <si>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</si>
  <si>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</si>
  <si>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</si>
  <si>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</si>
  <si>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</si>
  <si>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</si>
  <si>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</si>
  <si>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</si>
  <si>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</si>
  <si>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</si>
  <si>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</si>
  <si>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</si>
  <si>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</si>
  <si>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</si>
  <si>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</si>
  <si>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</si>
  <si>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</si>
  <si>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</si>
  <si>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</si>
  <si>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</si>
  <si>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</si>
  <si>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</si>
  <si>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</si>
  <si>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</si>
  <si>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</si>
  <si>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</si>
  <si>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</si>
  <si>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</si>
  <si>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</si>
  <si>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</si>
  <si>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</si>
  <si>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</si>
  <si>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</si>
  <si>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</si>
  <si>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</si>
  <si>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</si>
  <si>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</si>
  <si>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</si>
  <si>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</si>
  <si>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</si>
  <si>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</si>
  <si>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</si>
  <si>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</si>
  <si>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</si>
  <si>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</si>
  <si>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</si>
  <si>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</si>
  <si>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</si>
  <si>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</si>
  <si>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</si>
  <si>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</si>
  <si>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</si>
  <si>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</si>
  <si>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</si>
  <si>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</si>
  <si>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</si>
  <si>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</si>
  <si>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</si>
  <si>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</si>
  <si>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</si>
  <si>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</si>
  <si>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</si>
  <si>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</si>
  <si>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</si>
  <si>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</si>
  <si>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</si>
  <si>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</si>
  <si>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</si>
  <si>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</si>
  <si>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</si>
  <si>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</si>
  <si>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</si>
  <si>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</si>
  <si>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</si>
  <si>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</si>
  <si>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</si>
  <si>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</si>
  <si>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</si>
  <si>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</si>
  <si>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</si>
  <si>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</si>
  <si>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</si>
  <si>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</si>
  <si>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</si>
  <si>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</si>
  <si>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</si>
  <si>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</si>
  <si>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</si>
  <si>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</si>
  <si>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</si>
  <si>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</si>
  <si>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</si>
  <si>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</si>
  <si>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</si>
  <si>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</si>
  <si>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</si>
  <si>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</si>
  <si>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</si>
  <si>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</si>
  <si>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</si>
  <si>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</si>
  <si>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</si>
  <si>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</si>
  <si>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</si>
  <si>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</si>
  <si>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</si>
  <si>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</si>
  <si>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</si>
  <si>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</si>
  <si>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</si>
  <si>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</si>
  <si>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</si>
  <si>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</si>
  <si>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</si>
  <si>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</si>
  <si>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</si>
  <si>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</si>
  <si>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</si>
  <si>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</si>
  <si>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</si>
  <si>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</si>
  <si>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</si>
  <si>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</si>
  <si>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</si>
  <si>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</si>
  <si>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</si>
  <si>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</si>
  <si>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</si>
  <si>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</si>
  <si>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</si>
  <si>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</si>
  <si>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</si>
  <si>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</si>
  <si>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</si>
  <si>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</si>
  <si>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</si>
  <si>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</si>
  <si>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</si>
  <si>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</si>
  <si>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</si>
  <si>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</si>
  <si>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</si>
  <si>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</si>
  <si>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</si>
  <si>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</si>
  <si>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</si>
  <si>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</si>
  <si>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</si>
  <si>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</si>
  <si>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</si>
  <si>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</si>
  <si>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</si>
  <si>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</si>
  <si>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</si>
  <si>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</si>
  <si>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</si>
  <si>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</si>
  <si>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</si>
  <si>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</si>
  <si>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</si>
  <si>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</si>
  <si>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</si>
  <si>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</si>
  <si>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</si>
  <si>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</si>
  <si>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</si>
  <si>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</si>
  <si>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</si>
  <si>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</si>
  <si>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</si>
  <si>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</si>
  <si>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</si>
  <si>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</si>
  <si>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</si>
  <si>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</si>
  <si>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</si>
  <si>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</si>
  <si>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</si>
  <si>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</si>
  <si>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</si>
  <si>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</si>
  <si>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</si>
  <si>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</si>
  <si>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</si>
  <si>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</si>
  <si>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</si>
  <si>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</si>
  <si>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</si>
  <si>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</si>
  <si>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</si>
  <si>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</si>
  <si>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</si>
  <si>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</si>
  <si>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</si>
  <si>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</si>
  <si>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</si>
  <si>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</si>
  <si>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</si>
  <si>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</si>
  <si>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</si>
  <si>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</si>
  <si>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</si>
  <si>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</si>
  <si>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</si>
  <si>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</si>
  <si>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</si>
  <si>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</si>
  <si>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</si>
  <si>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</si>
  <si>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</si>
  <si>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</si>
  <si>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</si>
  <si>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</si>
  <si>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</si>
  <si>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</si>
  <si>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</si>
  <si>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</si>
  <si>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</si>
  <si>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</si>
  <si>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</si>
  <si>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</si>
  <si>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</si>
  <si>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</si>
  <si>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</si>
  <si>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</si>
  <si>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</si>
  <si>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</si>
  <si>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</si>
  <si>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</si>
  <si>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</si>
  <si>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</si>
  <si>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</si>
  <si>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</si>
  <si>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</si>
  <si>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</si>
  <si>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</si>
  <si>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</si>
  <si>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</si>
  <si>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</si>
  <si>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</si>
  <si>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</si>
  <si>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</si>
  <si>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</si>
  <si>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</si>
  <si>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</si>
  <si>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</si>
  <si>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</si>
  <si>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</si>
  <si>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</si>
  <si>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</si>
  <si>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</si>
  <si>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</si>
  <si>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</si>
  <si>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</si>
  <si>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</si>
  <si>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</si>
  <si>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</si>
  <si>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</si>
  <si>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</si>
  <si>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</si>
  <si>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</si>
  <si>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</si>
  <si>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</si>
  <si>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</si>
  <si>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</si>
  <si>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</si>
  <si>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</si>
  <si>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</si>
  <si>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</si>
  <si>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</si>
  <si>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</si>
  <si>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</si>
  <si>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</si>
  <si>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</si>
  <si>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</si>
  <si>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</si>
  <si>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</si>
  <si>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</si>
  <si>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</si>
  <si>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</si>
  <si>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</si>
  <si>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</si>
  <si>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</si>
  <si>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</si>
  <si>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</si>
  <si>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</si>
  <si>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</si>
  <si>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</si>
  <si>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</si>
  <si>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</si>
  <si>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</si>
  <si>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</si>
  <si>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</si>
  <si>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</si>
  <si>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</si>
  <si>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</si>
  <si>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</si>
  <si>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</si>
  <si>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</si>
  <si>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</si>
  <si>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</si>
  <si>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</si>
  <si>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</si>
  <si>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</si>
  <si>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</si>
  <si>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</si>
  <si>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</si>
  <si>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</si>
  <si>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</si>
  <si>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</si>
  <si>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</si>
  <si>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</si>
  <si>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</si>
  <si>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</si>
  <si>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</si>
  <si>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</si>
  <si>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</si>
  <si>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</si>
  <si>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</si>
  <si>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</si>
  <si>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</si>
  <si>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</si>
  <si>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</si>
  <si>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</si>
  <si>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</si>
  <si>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</si>
  <si>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</si>
  <si>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</si>
  <si>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</si>
  <si>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</si>
  <si>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</si>
  <si>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</si>
  <si>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</si>
  <si>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</si>
  <si>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</si>
  <si>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</si>
  <si>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</si>
  <si>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</si>
  <si>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</si>
  <si>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</si>
  <si>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</si>
  <si>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</si>
  <si>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</si>
  <si>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</si>
  <si>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</si>
  <si>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</si>
  <si>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</si>
  <si>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</si>
  <si>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</si>
  <si>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</si>
  <si>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</si>
  <si>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</si>
  <si>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</si>
  <si>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</si>
  <si>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</si>
  <si>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</si>
  <si>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</si>
  <si>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</si>
  <si>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</si>
  <si>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</si>
  <si>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</si>
  <si>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</si>
  <si>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</si>
  <si>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</si>
  <si>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</si>
  <si>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</si>
  <si>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</si>
  <si>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</si>
  <si>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</si>
  <si>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</si>
  <si>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</si>
  <si>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</si>
  <si>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</si>
  <si>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</si>
  <si>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</si>
  <si>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</si>
  <si>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</si>
  <si>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</si>
  <si>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</si>
  <si>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</si>
  <si>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</si>
  <si>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</si>
  <si>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</si>
  <si>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</si>
  <si>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</si>
  <si>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</si>
  <si>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</si>
  <si>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</si>
  <si>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</si>
  <si>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</si>
  <si>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</si>
  <si>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</si>
  <si>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</si>
  <si>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</si>
  <si>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</si>
  <si>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</si>
  <si>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</si>
  <si>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</si>
  <si>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</si>
  <si>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</si>
  <si>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</si>
  <si>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</si>
  <si>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</si>
  <si>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</si>
  <si>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</si>
  <si>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</si>
  <si>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</si>
  <si>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</si>
  <si>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</si>
  <si>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</si>
  <si>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</si>
  <si>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</si>
  <si>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</si>
  <si>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</si>
  <si>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</si>
  <si>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</si>
  <si>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</si>
  <si>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</si>
  <si>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</si>
  <si>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</si>
  <si>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</si>
  <si>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</si>
  <si>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</si>
  <si>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</si>
  <si>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</si>
  <si>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</si>
  <si>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</si>
  <si>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</si>
  <si>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</si>
  <si>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</si>
  <si>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</si>
  <si>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</si>
  <si>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</si>
  <si>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</si>
  <si>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</si>
  <si>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</si>
  <si>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</si>
  <si>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</si>
  <si>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</si>
  <si>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</si>
  <si>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</si>
  <si>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</si>
  <si>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</si>
  <si>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</si>
  <si>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</si>
  <si>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</si>
  <si>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</si>
  <si>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</si>
  <si>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</si>
  <si>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</si>
  <si>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</si>
  <si>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</si>
  <si>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</si>
  <si>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</si>
  <si>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</si>
  <si>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</si>
  <si>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</si>
  <si>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</si>
  <si>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</si>
  <si>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</si>
  <si>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</si>
  <si>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</si>
  <si>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</si>
  <si>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</si>
  <si>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</si>
  <si>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</si>
  <si>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</si>
  <si>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</si>
  <si>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</si>
  <si>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</si>
  <si>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</si>
  <si>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</si>
  <si>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</si>
  <si>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</si>
  <si>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</si>
  <si>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</si>
  <si>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</si>
  <si>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</si>
  <si>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</si>
  <si>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</si>
  <si>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</si>
  <si>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</si>
  <si>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</si>
  <si>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</si>
  <si>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</si>
  <si>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</si>
  <si>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</si>
  <si>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</si>
  <si>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</si>
  <si>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</si>
  <si>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</si>
  <si>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</si>
  <si>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</si>
  <si>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</si>
  <si>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</si>
  <si>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</si>
  <si>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</si>
  <si>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</si>
  <si>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</si>
  <si>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</si>
  <si>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</si>
  <si>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</si>
  <si>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</si>
  <si>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</si>
  <si>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</si>
  <si>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</si>
  <si>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</si>
  <si>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</si>
  <si>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</si>
  <si>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</si>
  <si>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</si>
  <si>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</si>
  <si>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</si>
  <si>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</si>
  <si>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</si>
  <si>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</si>
  <si>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</si>
  <si>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</si>
  <si>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</si>
  <si>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</si>
  <si>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</si>
  <si>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</si>
  <si>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</si>
  <si>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</si>
  <si>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</si>
  <si>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</si>
  <si>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</si>
  <si>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</si>
  <si>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</si>
  <si>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</si>
  <si>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</si>
  <si>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</si>
  <si>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</si>
  <si>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</si>
  <si>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</si>
  <si>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</si>
  <si>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</si>
  <si>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</si>
  <si>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</si>
  <si>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</si>
  <si>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</si>
  <si>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</si>
  <si>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</si>
  <si>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</si>
  <si>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</si>
  <si>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</si>
  <si>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</si>
  <si>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</si>
  <si>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</si>
  <si>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</si>
  <si>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</si>
  <si>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</si>
  <si>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</si>
  <si>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</si>
  <si>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</si>
  <si>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</si>
  <si>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</si>
  <si>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</si>
  <si>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</si>
  <si>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</si>
  <si>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</si>
  <si>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</si>
  <si>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</si>
  <si>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</si>
  <si>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</si>
  <si>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</si>
  <si>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</si>
  <si>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</si>
  <si>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</si>
  <si>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</si>
  <si>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</si>
  <si>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</si>
  <si>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</si>
  <si>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</si>
  <si>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</si>
  <si>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</si>
  <si>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</si>
  <si>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</si>
  <si>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</si>
  <si>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</si>
  <si>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</si>
  <si>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</si>
  <si>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</si>
  <si>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</si>
  <si>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</si>
  <si>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</si>
  <si>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</si>
  <si>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</si>
  <si>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</si>
  <si>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</si>
  <si>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</si>
  <si>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</si>
  <si>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</si>
  <si>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</si>
  <si>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</si>
  <si>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</si>
  <si>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</si>
  <si>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</si>
  <si>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</si>
  <si>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</si>
  <si>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</si>
  <si>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</si>
  <si>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</si>
  <si>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</si>
  <si>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</si>
  <si>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</si>
  <si>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</si>
  <si>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</si>
  <si>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</si>
  <si>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</si>
  <si>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</si>
  <si>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</si>
  <si>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</si>
  <si>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</si>
  <si>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</si>
  <si>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</si>
  <si>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</si>
  <si>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</si>
  <si>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</si>
  <si>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</si>
  <si>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</si>
  <si>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</si>
  <si>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</si>
  <si>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</si>
  <si>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</si>
  <si>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</si>
  <si>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</si>
  <si>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</si>
  <si>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</si>
  <si>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</si>
  <si>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</si>
  <si>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</si>
  <si>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</si>
  <si>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</si>
  <si>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</si>
  <si>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</si>
  <si>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</si>
  <si>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</si>
  <si>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</si>
  <si>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</si>
  <si>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</si>
  <si>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</si>
  <si>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</si>
  <si>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</si>
  <si>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</si>
  <si>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</si>
  <si>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</si>
  <si>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</si>
  <si>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</si>
  <si>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</si>
  <si>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</si>
  <si>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</si>
  <si>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</si>
  <si>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</si>
  <si>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</si>
  <si>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</si>
  <si>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</si>
  <si>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</si>
  <si>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</si>
  <si>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</si>
  <si>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</si>
  <si>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</si>
  <si>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</si>
  <si>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</si>
  <si>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</si>
  <si>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</si>
  <si>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</si>
  <si>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</si>
  <si>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</si>
  <si>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</si>
  <si>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</si>
  <si>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</si>
  <si>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</si>
  <si>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</si>
  <si>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</si>
  <si>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</si>
  <si>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</si>
  <si>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</si>
  <si>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</si>
  <si>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</si>
  <si>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</si>
  <si>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</si>
  <si>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</si>
  <si>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</si>
  <si>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</si>
  <si>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</si>
  <si>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</si>
  <si>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</si>
  <si>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</si>
  <si>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</si>
  <si>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</si>
  <si>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</si>
  <si>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</si>
  <si>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</si>
  <si>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</si>
  <si>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</si>
  <si>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</si>
  <si>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</si>
  <si>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</si>
  <si>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</si>
  <si>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</si>
  <si>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</si>
  <si>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</si>
  <si>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</si>
  <si>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</si>
  <si>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</si>
  <si>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</si>
  <si>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</si>
  <si>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</si>
  <si>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</si>
  <si>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</si>
  <si>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</si>
  <si>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</si>
  <si>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</si>
  <si>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</si>
  <si>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</si>
  <si>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</si>
  <si>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</si>
  <si>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</si>
  <si>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</si>
  <si>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</si>
  <si>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</si>
  <si>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</si>
  <si>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</si>
  <si>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</si>
  <si>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</si>
  <si>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</si>
  <si>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</si>
  <si>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</si>
  <si>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</si>
  <si>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</si>
  <si>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</si>
  <si>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</si>
  <si>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</si>
  <si>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</si>
  <si>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</si>
  <si>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</si>
  <si>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</si>
  <si>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</si>
  <si>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</si>
  <si>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</si>
  <si>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</si>
  <si>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</si>
  <si>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</si>
  <si>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</si>
  <si>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</si>
  <si>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</si>
  <si>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</si>
  <si>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</si>
  <si>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</si>
  <si>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</si>
  <si>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</si>
  <si>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</si>
  <si>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</si>
  <si>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</si>
  <si>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</si>
  <si>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</si>
  <si>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</si>
  <si>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</si>
  <si>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</si>
  <si>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</si>
  <si>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</si>
  <si>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</si>
  <si>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</si>
  <si>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</si>
  <si>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</si>
  <si>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</si>
  <si>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</si>
  <si>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</si>
  <si>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</si>
  <si>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</si>
  <si>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</si>
  <si>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</si>
  <si>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</si>
  <si>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</si>
  <si>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</si>
  <si>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</si>
  <si>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</si>
  <si>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</si>
  <si>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</si>
  <si>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</si>
  <si>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</si>
  <si>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</si>
  <si>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</si>
  <si>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</si>
  <si>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</si>
  <si>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</si>
  <si>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</si>
  <si>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</si>
  <si>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</si>
  <si>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</si>
  <si>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</si>
  <si>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</si>
  <si>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</si>
  <si>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</si>
  <si>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</si>
  <si>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</si>
  <si>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</si>
  <si>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</si>
  <si>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</si>
  <si>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</si>
  <si>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</si>
  <si>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</si>
  <si>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</si>
  <si>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</si>
  <si>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</si>
  <si>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</si>
  <si>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</si>
  <si>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</si>
  <si>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</si>
  <si>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</si>
  <si>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</si>
  <si>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</si>
  <si>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</si>
  <si>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</si>
  <si>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</si>
  <si>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</si>
  <si>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</si>
  <si>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</si>
  <si>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</si>
  <si>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</si>
  <si>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</si>
  <si>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</si>
  <si>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</si>
  <si>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</si>
  <si>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</si>
  <si>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</si>
  <si>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</si>
  <si>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</si>
  <si>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</si>
  <si>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</si>
  <si>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</si>
  <si>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</si>
  <si>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</si>
  <si>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</si>
  <si>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</si>
  <si>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</si>
  <si>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</si>
  <si>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</si>
  <si>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</si>
  <si>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</si>
  <si>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</si>
  <si>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</si>
  <si>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</si>
  <si>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</si>
  <si>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</si>
  <si>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</si>
  <si>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</si>
  <si>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</si>
  <si>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</si>
  <si>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</si>
  <si>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</si>
  <si>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</si>
  <si>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</si>
  <si>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</si>
  <si>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</si>
  <si>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</si>
  <si>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</si>
  <si>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</si>
  <si>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</si>
  <si>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</si>
  <si>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</si>
  <si>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</si>
  <si>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</si>
  <si>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</si>
  <si>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</si>
  <si>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</si>
  <si>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</si>
  <si>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</si>
  <si>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</si>
  <si>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</si>
  <si>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</si>
  <si>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</si>
  <si>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</si>
  <si>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</si>
  <si>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</si>
  <si>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</si>
  <si>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</si>
  <si>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</si>
  <si>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</si>
  <si>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</si>
  <si>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</si>
  <si>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</si>
  <si>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</si>
  <si>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</si>
  <si>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</si>
  <si>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</si>
  <si>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</si>
  <si>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</si>
  <si>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</si>
  <si>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</si>
  <si>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</si>
  <si>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</si>
  <si>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</si>
  <si>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</si>
  <si>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</si>
  <si>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</si>
  <si>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</si>
  <si>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</si>
  <si>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</si>
  <si>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</si>
  <si>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</si>
  <si>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</si>
  <si>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</si>
  <si>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</si>
  <si>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</si>
  <si>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</si>
  <si>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</si>
  <si>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</si>
  <si>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</si>
  <si>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</si>
  <si>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</si>
  <si>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</si>
  <si>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</si>
  <si>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</si>
  <si>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</si>
  <si>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</si>
  <si>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</si>
  <si>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</si>
  <si>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</si>
  <si>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</si>
  <si>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</si>
  <si>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</si>
  <si>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</si>
  <si>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</si>
  <si>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</si>
  <si>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</si>
  <si>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</si>
  <si>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</si>
  <si>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</si>
  <si>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</si>
  <si>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</si>
  <si>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</si>
  <si>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</si>
  <si>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</si>
  <si>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</si>
  <si>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</si>
  <si>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</si>
  <si>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</si>
  <si>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</si>
  <si>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</si>
  <si>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</si>
  <si>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</si>
  <si>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</si>
  <si>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</si>
  <si>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</si>
  <si>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</si>
  <si>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</si>
  <si>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</si>
  <si>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</si>
  <si>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</si>
  <si>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</si>
  <si>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</si>
  <si>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</si>
  <si>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</si>
  <si>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</si>
  <si>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</si>
  <si>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</si>
  <si>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</si>
  <si>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</si>
  <si>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</si>
  <si>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</si>
  <si>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</si>
  <si>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</si>
  <si>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</si>
  <si>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</si>
  <si>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</si>
  <si>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</si>
  <si>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</si>
  <si>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</si>
  <si>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</si>
  <si>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</si>
  <si>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</si>
  <si>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</si>
  <si>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</si>
  <si>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</si>
  <si>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</si>
  <si>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</si>
  <si>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</si>
  <si>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</si>
  <si>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</si>
  <si>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</si>
  <si>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</si>
  <si>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</si>
  <si>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</si>
  <si>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</si>
  <si>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</si>
  <si>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</si>
  <si>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</si>
  <si>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</si>
  <si>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</si>
  <si>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</si>
  <si>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</si>
  <si>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</si>
  <si>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</si>
  <si>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</si>
  <si>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</si>
  <si>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</si>
  <si>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</si>
  <si>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</si>
  <si>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</si>
  <si>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</si>
  <si>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</si>
  <si>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</si>
  <si>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</si>
  <si>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</si>
  <si>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</si>
  <si>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</si>
  <si>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</si>
  <si>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</si>
  <si>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</si>
  <si>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</si>
  <si>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</si>
  <si>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</si>
  <si>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</si>
  <si>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</si>
  <si>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</si>
  <si>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</si>
  <si>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</si>
  <si>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</si>
  <si>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</si>
  <si>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</si>
  <si>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</si>
  <si>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</si>
  <si>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</si>
  <si>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</si>
  <si>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</si>
  <si>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</si>
  <si>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</si>
  <si>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</si>
  <si>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</si>
  <si>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</si>
  <si>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</si>
  <si>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</si>
  <si>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</si>
  <si>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</si>
  <si>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</si>
  <si>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</si>
  <si>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</si>
  <si>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</si>
  <si>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</si>
  <si>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</si>
  <si>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</si>
  <si>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</si>
  <si>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</si>
  <si>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</si>
  <si>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</si>
  <si>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</si>
  <si>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</si>
  <si>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</si>
  <si>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</si>
  <si>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</si>
  <si>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</si>
  <si>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</si>
  <si>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</si>
  <si>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</si>
  <si>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</si>
  <si>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</si>
  <si>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</si>
  <si>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</si>
  <si>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</si>
  <si>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</si>
  <si>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</si>
  <si>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</si>
  <si>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</si>
  <si>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</si>
  <si>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</si>
  <si>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</si>
  <si>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</si>
  <si>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</si>
  <si>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</si>
  <si>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</si>
  <si>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</si>
  <si>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</si>
  <si>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</si>
  <si>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</si>
  <si>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</si>
  <si>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</si>
  <si>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</si>
  <si>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</si>
  <si>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</si>
  <si>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</si>
  <si>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</si>
  <si>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</si>
  <si>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</si>
  <si>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</si>
  <si>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</si>
  <si>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</si>
  <si>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</si>
  <si>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</si>
  <si>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</si>
  <si>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</si>
  <si>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</si>
  <si>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</si>
  <si>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</si>
  <si>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</si>
  <si>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</si>
  <si>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</si>
  <si>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</si>
  <si>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</si>
  <si>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</si>
  <si>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</si>
  <si>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</si>
  <si>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</si>
  <si>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</si>
  <si>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</si>
  <si>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</si>
  <si>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</si>
  <si>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</si>
  <si>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</si>
  <si>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</si>
  <si>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</si>
  <si>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</si>
  <si>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</si>
  <si>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</si>
  <si>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</si>
  <si>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</si>
  <si>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</si>
  <si>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</si>
  <si>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</si>
  <si>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</si>
  <si>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</si>
  <si>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</si>
  <si>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</si>
  <si>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</si>
  <si>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</si>
  <si>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</si>
  <si>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</si>
  <si>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</si>
  <si>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</si>
  <si>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</si>
  <si>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</si>
  <si>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</si>
  <si>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</si>
  <si>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</si>
  <si>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</si>
  <si>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</si>
  <si>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</si>
  <si>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</si>
  <si>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</si>
  <si>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</si>
  <si>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</si>
  <si>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</si>
  <si>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</si>
  <si>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</si>
  <si>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</si>
  <si>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</si>
  <si>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</si>
  <si>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</si>
  <si>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</si>
  <si>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</si>
  <si>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</si>
  <si>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</si>
  <si>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</si>
  <si>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</si>
  <si>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</si>
  <si>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</si>
  <si>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</si>
  <si>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</si>
  <si>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</si>
  <si>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</si>
  <si>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</si>
  <si>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</si>
  <si>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</si>
  <si>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</si>
  <si>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</si>
  <si>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</si>
  <si>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</si>
  <si>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</si>
  <si>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</si>
  <si>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</si>
  <si>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</si>
  <si>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</si>
  <si>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</si>
  <si>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</si>
  <si>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</si>
  <si>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</si>
  <si>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</si>
  <si>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</si>
  <si>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</si>
  <si>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</si>
  <si>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</si>
  <si>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</si>
  <si>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</si>
  <si>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</si>
  <si>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</si>
  <si>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</si>
  <si>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</si>
  <si>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</si>
  <si>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</si>
  <si>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</si>
  <si>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</si>
  <si>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</si>
  <si>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</si>
  <si>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</si>
  <si>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</si>
  <si>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</si>
  <si>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</si>
  <si>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</si>
  <si>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</si>
  <si>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</si>
  <si>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</si>
  <si>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</si>
  <si>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</si>
  <si>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</si>
  <si>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</si>
  <si>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</si>
  <si>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</si>
  <si>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</si>
  <si>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</si>
  <si>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</si>
  <si>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</si>
  <si>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</si>
  <si>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</si>
  <si>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</si>
  <si>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</si>
  <si>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</si>
  <si>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</si>
  <si>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</si>
  <si>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</si>
  <si>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</si>
  <si>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</si>
  <si>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</si>
  <si>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</si>
  <si>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</si>
  <si>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</si>
  <si>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</si>
  <si>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</si>
  <si>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</si>
  <si>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</si>
  <si>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</si>
  <si>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</si>
  <si>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</si>
  <si>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</si>
  <si>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</si>
  <si>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</si>
  <si>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</si>
  <si>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</si>
  <si>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</si>
  <si>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</si>
  <si>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</si>
  <si>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</si>
  <si>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</si>
  <si>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</si>
  <si>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</si>
  <si>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</si>
  <si>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</si>
  <si>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</si>
  <si>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</si>
  <si>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</si>
  <si>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</si>
  <si>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</si>
  <si>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</si>
  <si>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</si>
  <si>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</si>
  <si>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</si>
  <si>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</si>
  <si>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</si>
  <si>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</si>
  <si>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</si>
  <si>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</si>
  <si>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</si>
  <si>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</si>
  <si>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</si>
  <si>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</si>
  <si>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</si>
  <si>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</si>
  <si>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</si>
  <si>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</si>
  <si>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</si>
  <si>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</si>
  <si>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</si>
  <si>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</si>
  <si>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</si>
  <si>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</si>
  <si>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</si>
  <si>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</si>
  <si>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</si>
  <si>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</si>
  <si>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</si>
  <si>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</si>
  <si>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</si>
  <si>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</si>
  <si>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</si>
  <si>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</si>
  <si>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</si>
  <si>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</si>
  <si>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</si>
  <si>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</si>
  <si>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</si>
  <si>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</si>
  <si>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</si>
  <si>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</si>
  <si>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</si>
  <si>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</si>
  <si>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</si>
  <si>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</si>
  <si>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</si>
  <si>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</si>
  <si>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</si>
  <si>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</si>
  <si>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</si>
  <si>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</si>
  <si>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</si>
  <si>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</si>
  <si>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</si>
  <si>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</si>
  <si>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</si>
  <si>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</si>
  <si>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</si>
  <si>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</si>
  <si>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</si>
  <si>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</si>
  <si>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</si>
  <si>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</si>
  <si>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</si>
  <si>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</si>
  <si>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</si>
  <si>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</si>
  <si>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</si>
  <si>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</si>
  <si>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</si>
  <si>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</si>
  <si>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</si>
  <si>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</si>
  <si>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</si>
  <si>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</si>
  <si>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</si>
  <si>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</si>
  <si>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</si>
  <si>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</si>
  <si>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</si>
  <si>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</si>
  <si>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</si>
  <si>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</si>
  <si>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</si>
  <si>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</si>
  <si>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</si>
  <si>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</si>
  <si>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</si>
  <si>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</si>
  <si>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</si>
  <si>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</si>
  <si>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</si>
  <si>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</si>
  <si>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</si>
  <si>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</si>
  <si>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</si>
  <si>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</si>
  <si>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</si>
  <si>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</si>
  <si>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</si>
  <si>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</si>
  <si>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</si>
  <si>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</si>
  <si>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</si>
  <si>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</si>
  <si>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</si>
  <si>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</si>
  <si>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</si>
  <si>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</si>
  <si>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</si>
  <si>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</si>
  <si>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</si>
  <si>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</si>
  <si>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</si>
  <si>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</si>
  <si>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</si>
  <si>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</si>
  <si>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</si>
  <si>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</si>
  <si>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</si>
  <si>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</si>
  <si>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</si>
  <si>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</si>
  <si>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</si>
  <si>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</si>
  <si>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</si>
  <si>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</si>
  <si>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</si>
  <si>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</si>
  <si>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</si>
  <si>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</si>
  <si>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</si>
  <si>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</si>
  <si>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</si>
  <si>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</si>
  <si>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</si>
  <si>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</si>
  <si>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</si>
  <si>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</si>
  <si>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</si>
  <si>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</si>
  <si>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</si>
  <si>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</si>
  <si>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</si>
  <si>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</si>
  <si>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</si>
  <si>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</si>
  <si>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</si>
  <si>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</si>
  <si>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</si>
  <si>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</si>
  <si>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</si>
  <si>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</si>
  <si>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</si>
  <si>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</si>
  <si>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</si>
  <si>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</si>
  <si>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</si>
  <si>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</si>
  <si>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</si>
  <si>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</si>
  <si>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</si>
  <si>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</si>
  <si>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</si>
  <si>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</si>
  <si>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</si>
  <si>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</si>
  <si>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</si>
  <si>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</si>
  <si>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</si>
  <si>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</si>
  <si>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</si>
  <si>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</si>
  <si>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</si>
  <si>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</si>
  <si>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</si>
  <si>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</si>
  <si>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</si>
  <si>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</si>
  <si>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</si>
  <si>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</si>
  <si>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</si>
  <si>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</si>
  <si>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</si>
  <si>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</si>
  <si>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</si>
  <si>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</si>
  <si>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</si>
  <si>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</si>
  <si>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</si>
  <si>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</si>
  <si>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</si>
  <si>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</si>
  <si>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</si>
  <si>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</si>
  <si>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</si>
  <si>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</si>
  <si>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</si>
  <si>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</si>
  <si>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</si>
  <si>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</si>
  <si>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</si>
  <si>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</si>
  <si>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</si>
  <si>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</si>
  <si>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</si>
  <si>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</si>
  <si>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</si>
  <si>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</si>
  <si>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</si>
  <si>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</si>
  <si>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</si>
  <si>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</si>
  <si>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</si>
  <si>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</si>
  <si>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</si>
  <si>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</si>
  <si>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</si>
  <si>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</si>
  <si>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</si>
  <si>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</si>
  <si>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</si>
  <si>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</si>
  <si>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</si>
  <si>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</si>
  <si>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</si>
  <si>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</si>
  <si>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</si>
  <si>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</si>
  <si>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</si>
  <si>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</si>
  <si>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</si>
  <si>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</si>
  <si>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</si>
  <si>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</si>
  <si>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</si>
  <si>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</si>
  <si>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</si>
  <si>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</si>
  <si>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</si>
  <si>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</si>
  <si>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</si>
  <si>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</si>
  <si>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</si>
  <si>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</si>
  <si>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</si>
  <si>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</si>
  <si>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</si>
  <si>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</si>
  <si>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</si>
  <si>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</si>
  <si>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</si>
  <si>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</si>
  <si>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</si>
  <si>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</si>
  <si>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</si>
  <si>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</si>
  <si>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</si>
  <si>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</si>
  <si>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</si>
  <si>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</si>
  <si>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</si>
  <si>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</si>
  <si>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</si>
  <si>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</si>
  <si>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</si>
  <si>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</si>
  <si>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</si>
  <si>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</si>
  <si>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</si>
  <si>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</si>
  <si>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</si>
  <si>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</si>
  <si>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</si>
  <si>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</si>
  <si>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</si>
  <si>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</si>
  <si>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</si>
  <si>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</si>
  <si>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</si>
  <si>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</si>
  <si>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</si>
  <si>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</si>
  <si>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</si>
  <si>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</si>
  <si>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</si>
  <si>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</si>
  <si>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</si>
  <si>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</si>
  <si>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</si>
  <si>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</si>
  <si>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</si>
  <si>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</si>
  <si>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</si>
  <si>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</si>
  <si>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</si>
  <si>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</si>
  <si>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</si>
  <si>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</si>
  <si>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</si>
  <si>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</si>
  <si>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</si>
  <si>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</si>
  <si>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</si>
  <si>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</si>
  <si>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</si>
  <si>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</si>
  <si>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</si>
  <si>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</si>
  <si>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</si>
  <si>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</si>
  <si>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</si>
  <si>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</si>
  <si>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</si>
  <si>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</si>
  <si>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</si>
  <si>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</si>
  <si>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</si>
  <si>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</si>
  <si>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</si>
  <si>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</si>
  <si>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</si>
  <si>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</si>
  <si>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</si>
  <si>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</si>
  <si>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</si>
  <si>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</si>
  <si>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</si>
  <si>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</si>
  <si>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</si>
  <si>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</si>
  <si>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</si>
  <si>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</si>
  <si>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</si>
  <si>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</si>
  <si>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</si>
  <si>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</si>
  <si>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</si>
  <si>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</si>
  <si>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</si>
  <si>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</si>
  <si>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</si>
  <si>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</si>
  <si>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</si>
  <si>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</si>
  <si>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</si>
  <si>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</si>
  <si>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</si>
  <si>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</si>
  <si>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</si>
  <si>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</si>
  <si>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</si>
  <si>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</si>
  <si>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</si>
  <si>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</si>
  <si>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</si>
  <si>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</si>
  <si>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</si>
  <si>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</si>
  <si>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</si>
  <si>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</si>
  <si>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</si>
  <si>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</si>
  <si>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</si>
  <si>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</si>
  <si>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</si>
  <si>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</si>
  <si>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</si>
  <si>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</si>
  <si>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</si>
  <si>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</si>
  <si>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</si>
  <si>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</si>
  <si>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</si>
  <si>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</si>
  <si>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</si>
  <si>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</si>
  <si>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</si>
  <si>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</si>
  <si>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</si>
  <si>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</si>
  <si>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</si>
  <si>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</si>
  <si>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</si>
  <si>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</si>
  <si>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</si>
  <si>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</si>
  <si>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</si>
  <si>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</si>
  <si>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</si>
  <si>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</si>
  <si>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</si>
  <si>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</si>
  <si>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</si>
  <si>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</si>
  <si>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</si>
  <si>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</si>
  <si>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</si>
  <si>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</si>
  <si>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</si>
  <si>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</si>
  <si>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</si>
  <si>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</si>
  <si>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</si>
  <si>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</si>
  <si>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</si>
  <si>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</si>
  <si>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</si>
  <si>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</si>
  <si>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</si>
  <si>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</si>
  <si>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</si>
  <si>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</si>
  <si>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</si>
  <si>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</si>
  <si>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</si>
  <si>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</si>
  <si>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</si>
  <si>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</si>
  <si>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</si>
  <si>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</si>
  <si>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</si>
  <si>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</si>
  <si>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</si>
  <si>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</si>
  <si>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</si>
  <si>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</si>
  <si>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</si>
  <si>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</si>
  <si>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</si>
  <si>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</si>
  <si>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</si>
  <si>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</si>
  <si>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</si>
  <si>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</si>
  <si>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</si>
  <si>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</si>
  <si>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</si>
  <si>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</si>
  <si>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</si>
  <si>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</si>
  <si>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</si>
  <si>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</si>
  <si>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</si>
  <si>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</si>
  <si>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</si>
  <si>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</si>
  <si>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</si>
  <si>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</si>
  <si>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</si>
  <si>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</si>
  <si>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</si>
  <si>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</si>
  <si>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</si>
  <si>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</si>
  <si>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</si>
  <si>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</si>
  <si>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</si>
  <si>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</si>
  <si>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</si>
  <si>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</si>
  <si>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</si>
  <si>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</si>
  <si>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</si>
  <si>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</si>
  <si>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</si>
  <si>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</si>
  <si>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</si>
  <si>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</si>
  <si>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</si>
  <si>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</si>
  <si>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</si>
  <si>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</si>
  <si>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</si>
  <si>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</si>
  <si>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</si>
  <si>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</si>
  <si>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</si>
  <si>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</si>
  <si>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</si>
  <si>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</si>
  <si>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</si>
  <si>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</si>
  <si>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</si>
  <si>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</si>
  <si>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</si>
  <si>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</si>
  <si>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</si>
  <si>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</si>
  <si>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</si>
  <si>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</si>
  <si>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</si>
  <si>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</si>
  <si>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</si>
  <si>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</si>
  <si>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</si>
  <si>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</si>
  <si>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</si>
  <si>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</si>
  <si>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</si>
  <si>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</si>
  <si>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</si>
  <si>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</si>
  <si>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</si>
  <si>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</si>
  <si>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</si>
  <si>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</si>
  <si>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</si>
  <si>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</si>
  <si>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</si>
  <si>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</si>
  <si>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</si>
  <si>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</si>
  <si>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</si>
  <si>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</si>
  <si>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</si>
  <si>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</si>
  <si>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</si>
  <si>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</si>
  <si>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</si>
  <si>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</si>
  <si>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</si>
  <si>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</si>
  <si>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</si>
  <si>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</si>
  <si>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</si>
  <si>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</si>
  <si>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</si>
  <si>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</si>
  <si>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</si>
  <si>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</si>
  <si>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</si>
  <si>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</si>
  <si>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</si>
  <si>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</si>
  <si>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</si>
  <si>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</si>
  <si>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</si>
  <si>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</si>
  <si>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</si>
  <si>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</si>
  <si>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</si>
  <si>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</si>
  <si>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</si>
  <si>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</si>
  <si>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</si>
  <si>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</si>
  <si>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</si>
  <si>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</si>
  <si>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</si>
  <si>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</si>
  <si>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</si>
  <si>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</si>
  <si>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</si>
  <si>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</si>
  <si>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</si>
  <si>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</si>
  <si>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</si>
  <si>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</si>
  <si>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</si>
  <si>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</si>
  <si>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</si>
  <si>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</si>
  <si>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</si>
  <si>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</si>
  <si>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</si>
  <si>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</si>
  <si>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</si>
  <si>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</si>
  <si>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</si>
  <si>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</si>
  <si>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</si>
  <si>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</si>
  <si>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</si>
  <si>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</si>
  <si>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</si>
  <si>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</si>
  <si>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</si>
  <si>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</si>
  <si>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</si>
  <si>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</si>
  <si>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</si>
  <si>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</si>
  <si>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</si>
  <si>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</si>
  <si>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</si>
  <si>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</si>
  <si>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</si>
  <si>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</si>
  <si>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</si>
  <si>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</si>
  <si>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</si>
  <si>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</si>
  <si>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</si>
  <si>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</si>
  <si>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</si>
  <si>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</si>
  <si>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</si>
  <si>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</si>
  <si>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</si>
  <si>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</si>
  <si>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</si>
  <si>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</si>
  <si>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</si>
  <si>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</si>
  <si>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</si>
  <si>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</si>
  <si>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</si>
  <si>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</si>
  <si>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</si>
  <si>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</si>
  <si>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</si>
  <si>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</si>
  <si>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</si>
  <si>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</si>
  <si>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</si>
  <si>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</si>
  <si>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</si>
  <si>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</si>
  <si>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</si>
  <si>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</si>
  <si>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</si>
  <si>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</si>
  <si>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</si>
  <si>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</si>
  <si>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</si>
  <si>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</si>
  <si>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</si>
  <si>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</si>
  <si>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</si>
  <si>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</si>
  <si>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</si>
  <si>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</si>
  <si>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</si>
  <si>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</si>
  <si>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</si>
  <si>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</si>
  <si>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</si>
  <si>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</si>
  <si>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</si>
  <si>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</si>
  <si>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</si>
  <si>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</si>
  <si>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</si>
  <si>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</si>
  <si>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</si>
  <si>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</si>
  <si>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</si>
  <si>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</si>
  <si>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</si>
  <si>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</si>
  <si>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</si>
  <si>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</si>
  <si>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</si>
  <si>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</si>
  <si>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</si>
  <si>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</si>
  <si>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</si>
  <si>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</si>
  <si>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</si>
  <si>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</si>
  <si>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</si>
  <si>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</si>
  <si>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</si>
  <si>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</si>
  <si>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</si>
  <si>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</si>
  <si>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</si>
  <si>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</si>
  <si>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</si>
  <si>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</si>
  <si>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</si>
  <si>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</si>
  <si>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</si>
  <si>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</si>
  <si>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</si>
  <si>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</si>
  <si>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</si>
  <si>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</si>
  <si>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</si>
  <si>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</si>
  <si>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</si>
  <si>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</si>
  <si>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</si>
  <si>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</si>
  <si>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</si>
  <si>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</si>
  <si>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</si>
  <si>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</si>
  <si>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</si>
  <si>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</si>
  <si>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</si>
  <si>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</si>
  <si>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</si>
  <si>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</si>
  <si>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</si>
  <si>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</si>
  <si>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</si>
  <si>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</si>
  <si>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</si>
  <si>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</si>
  <si>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</si>
  <si>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</si>
  <si>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</si>
  <si>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</si>
  <si>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</si>
  <si>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</si>
  <si>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</si>
  <si>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</si>
  <si>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</si>
  <si>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</si>
  <si>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</si>
  <si>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</si>
  <si>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</si>
  <si>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</si>
  <si>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</si>
  <si>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</si>
  <si>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</si>
  <si>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</si>
  <si>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</si>
  <si>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</si>
  <si>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</si>
  <si>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</si>
  <si>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</si>
  <si>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</si>
  <si>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</si>
  <si>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</si>
  <si>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</si>
  <si>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</si>
  <si>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</si>
  <si>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</si>
  <si>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</si>
  <si>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</si>
  <si>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</si>
  <si>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</si>
  <si>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</si>
  <si>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</si>
  <si>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</si>
  <si>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</si>
  <si>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</si>
  <si>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</si>
  <si>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</si>
  <si>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</si>
  <si>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</si>
  <si>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</si>
  <si>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</si>
  <si>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</si>
  <si>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</si>
  <si>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</si>
  <si>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</si>
  <si>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</si>
  <si>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</si>
  <si>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</si>
  <si>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</si>
  <si>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</si>
  <si>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</si>
  <si>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</si>
  <si>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</si>
  <si>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</si>
  <si>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</si>
  <si>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</si>
  <si>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</si>
  <si>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</si>
  <si>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</si>
  <si>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</si>
  <si>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</si>
  <si>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</si>
  <si>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</si>
  <si>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</si>
  <si>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</si>
  <si>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</si>
  <si>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</si>
  <si>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</si>
  <si>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</si>
  <si>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</si>
  <si>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</si>
  <si>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</si>
  <si>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</si>
  <si>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</si>
  <si>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</si>
  <si>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</si>
  <si>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</si>
  <si>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</si>
  <si>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</si>
  <si>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</si>
  <si>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</si>
  <si>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</si>
  <si>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</si>
  <si>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</si>
  <si>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</si>
  <si>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</si>
  <si>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</si>
  <si>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</si>
  <si>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</si>
  <si>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</si>
  <si>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</si>
  <si>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</si>
  <si>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</si>
  <si>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</si>
  <si>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</si>
  <si>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</si>
  <si>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</si>
  <si>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</si>
  <si>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</si>
  <si>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</si>
  <si>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</si>
  <si>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</si>
  <si>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</si>
  <si>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</si>
  <si>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</si>
  <si>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</si>
  <si>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</si>
  <si>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</si>
  <si>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</si>
  <si>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</si>
  <si>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</si>
  <si>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</si>
  <si>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</si>
  <si>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</si>
  <si>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</si>
  <si>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</si>
  <si>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</si>
  <si>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</si>
  <si>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</si>
  <si>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</si>
  <si>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</si>
  <si>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</si>
  <si>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</si>
  <si>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</si>
  <si>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</si>
  <si>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</si>
  <si>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</si>
  <si>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</si>
  <si>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</si>
  <si>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</si>
  <si>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</si>
  <si>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</si>
  <si>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</si>
  <si>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</si>
  <si>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</si>
  <si>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</si>
  <si>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</si>
  <si>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</si>
  <si>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</si>
  <si>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</si>
  <si>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</si>
  <si>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</si>
  <si>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</si>
  <si>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</si>
  <si>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</si>
  <si>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</si>
  <si>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</si>
  <si>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</si>
  <si>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</si>
  <si>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</si>
  <si>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</si>
  <si>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</si>
  <si>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</si>
  <si>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</si>
  <si>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</si>
  <si>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</si>
  <si>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</si>
  <si>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</si>
  <si>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</si>
  <si>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</si>
  <si>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</si>
  <si>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</si>
  <si>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</si>
  <si>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</si>
  <si>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</si>
  <si>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</si>
  <si>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</si>
  <si>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</si>
  <si>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</si>
  <si>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</si>
  <si>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</si>
  <si>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</si>
  <si>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</si>
  <si>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</si>
  <si>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</si>
  <si>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</si>
  <si>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</si>
  <si>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</si>
  <si>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</si>
  <si>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</si>
  <si>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</si>
  <si>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</si>
  <si>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</si>
  <si>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</si>
  <si>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</si>
  <si>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</si>
  <si>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</si>
  <si>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</si>
  <si>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</si>
  <si>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</si>
  <si>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</si>
  <si>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</si>
  <si>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</si>
  <si>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</si>
  <si>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</si>
  <si>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</si>
  <si>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</si>
  <si>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</si>
  <si>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</si>
  <si>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</si>
  <si>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</si>
  <si>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</si>
  <si>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</si>
  <si>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</si>
  <si>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</si>
  <si>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</si>
  <si>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</si>
  <si>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</si>
  <si>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</si>
  <si>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</si>
  <si>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</si>
  <si>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</si>
  <si>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</si>
  <si>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</si>
  <si>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</si>
  <si>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</si>
  <si>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</si>
  <si>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</si>
  <si>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</si>
  <si>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</si>
  <si>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</si>
  <si>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</si>
  <si>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</si>
  <si>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</si>
  <si>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</si>
  <si>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</si>
  <si>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</si>
  <si>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</si>
  <si>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</si>
  <si>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</si>
  <si>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</si>
  <si>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</si>
  <si>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</si>
  <si>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</si>
  <si>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</si>
  <si>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</si>
  <si>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</si>
  <si>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</si>
  <si>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</si>
  <si>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</si>
  <si>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</si>
  <si>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</si>
  <si>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</si>
  <si>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</si>
  <si>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</si>
  <si>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</si>
  <si>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</si>
  <si>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</si>
  <si>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</si>
  <si>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</si>
  <si>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</si>
  <si>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</si>
  <si>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</si>
  <si>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</si>
  <si>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</si>
  <si>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</si>
  <si>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</si>
  <si>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</si>
  <si>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</si>
  <si>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</si>
  <si>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</si>
  <si>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</si>
  <si>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</si>
  <si>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</si>
  <si>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</si>
  <si>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</si>
  <si>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</si>
  <si>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</si>
  <si>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</si>
  <si>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</si>
  <si>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</si>
  <si>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</si>
  <si>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</si>
  <si>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</si>
  <si>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</si>
  <si>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</si>
  <si>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</si>
  <si>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</si>
  <si>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</si>
  <si>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</si>
  <si>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</si>
  <si>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</si>
  <si>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</si>
  <si>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</si>
  <si>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</si>
  <si>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</si>
  <si>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</si>
  <si>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</si>
  <si>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</si>
  <si>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</si>
  <si>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</si>
  <si>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</si>
  <si>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</si>
  <si>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</si>
  <si>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</si>
  <si>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</si>
  <si>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</si>
  <si>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</si>
  <si>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</si>
  <si>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</si>
  <si>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</si>
  <si>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</si>
  <si>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</si>
  <si>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</si>
  <si>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</si>
  <si>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</si>
  <si>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</si>
  <si>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</si>
  <si>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</si>
  <si>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</si>
  <si>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</si>
  <si>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</si>
  <si>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</si>
  <si>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</si>
  <si>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</si>
  <si>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</si>
  <si>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</si>
  <si>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</si>
  <si>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</si>
  <si>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</si>
  <si>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</si>
  <si>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</si>
  <si>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</si>
  <si>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</si>
  <si>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</si>
  <si>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</si>
  <si>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</si>
  <si>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</si>
  <si>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</si>
  <si>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</si>
  <si>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</si>
  <si>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</si>
  <si>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</si>
  <si>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</si>
  <si>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</si>
  <si>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</si>
  <si>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</si>
  <si>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</si>
  <si>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</si>
  <si>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</si>
  <si>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</si>
  <si>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</si>
  <si>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</si>
  <si>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</si>
  <si>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</si>
  <si>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</si>
  <si>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</si>
  <si>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</si>
  <si>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</si>
  <si>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</si>
  <si>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</si>
  <si>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</si>
  <si>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</si>
  <si>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</si>
  <si>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</si>
  <si>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</si>
  <si>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</si>
  <si>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</si>
  <si>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</si>
  <si>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</si>
  <si>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</si>
  <si>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</si>
  <si>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</si>
  <si>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</si>
  <si>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</si>
  <si>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</si>
  <si>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</si>
  <si>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</si>
  <si>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</si>
  <si>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</si>
  <si>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</si>
  <si>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</si>
  <si>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</si>
  <si>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</si>
  <si>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</si>
  <si>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</si>
  <si>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</si>
  <si>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</si>
  <si>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</si>
  <si>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</si>
  <si>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</si>
  <si>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</si>
  <si>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</si>
  <si>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</si>
  <si>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</si>
  <si>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</si>
  <si>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</si>
  <si>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</si>
  <si>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</si>
  <si>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</si>
  <si>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</si>
  <si>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</si>
  <si>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</si>
  <si>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</si>
  <si>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</si>
  <si>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</si>
  <si>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</si>
  <si>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</si>
  <si>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</si>
  <si>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</si>
  <si>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</si>
  <si>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</si>
  <si>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</si>
  <si>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</si>
  <si>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</si>
  <si>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</si>
  <si>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</si>
  <si>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</si>
  <si>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</si>
  <si>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</si>
  <si>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</si>
  <si>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</si>
  <si>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</si>
  <si>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</si>
  <si>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</si>
  <si>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</si>
  <si>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</si>
  <si>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</si>
  <si>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</si>
  <si>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</si>
  <si>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</si>
  <si>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</si>
  <si>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</si>
  <si>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</si>
  <si>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</si>
  <si>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</si>
  <si>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</si>
  <si>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</si>
  <si>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</si>
  <si>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</si>
  <si>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</si>
  <si>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</si>
  <si>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</si>
  <si>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</si>
  <si>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</si>
  <si>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</si>
  <si>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</si>
  <si>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</si>
  <si>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</si>
  <si>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</si>
  <si>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</si>
  <si>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</si>
  <si>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</si>
  <si>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</si>
  <si>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</si>
  <si>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</si>
  <si>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</si>
  <si>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</si>
  <si>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</si>
  <si>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</si>
  <si>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</si>
  <si>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</si>
  <si>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</si>
  <si>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</si>
  <si>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</si>
  <si>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</si>
  <si>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</si>
  <si>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</si>
  <si>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</si>
  <si>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</si>
  <si>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</si>
  <si>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</si>
  <si>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</si>
  <si>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</si>
  <si>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</si>
  <si>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</si>
  <si>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</si>
  <si>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</si>
  <si>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</si>
  <si>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</si>
  <si>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</si>
  <si>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</si>
  <si>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</si>
  <si>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</si>
  <si>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</si>
  <si>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</si>
  <si>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</si>
  <si>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</si>
  <si>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</si>
  <si>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</si>
  <si>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</si>
  <si>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</si>
  <si>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</si>
  <si>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</si>
  <si>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</si>
  <si>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</si>
  <si>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</si>
  <si>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</si>
  <si>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</si>
  <si>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</si>
  <si>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</si>
  <si>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</si>
  <si>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</si>
  <si>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</si>
  <si>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</si>
  <si>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</si>
  <si>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</si>
  <si>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</si>
  <si>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</si>
  <si>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</si>
  <si>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</si>
  <si>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</si>
  <si>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</si>
  <si>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</si>
  <si>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</si>
  <si>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</si>
  <si>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</si>
  <si>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</si>
  <si>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</si>
  <si>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</si>
  <si>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</si>
  <si>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</si>
  <si>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</si>
  <si>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</si>
  <si>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</si>
  <si>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</si>
  <si>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</si>
  <si>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</si>
  <si>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</si>
  <si>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</si>
  <si>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</si>
  <si>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</si>
  <si>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</si>
  <si>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</si>
  <si>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</si>
  <si>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</si>
  <si>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</si>
  <si>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</si>
  <si>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</si>
  <si>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</si>
  <si>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</si>
  <si>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</si>
  <si>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</si>
  <si>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</si>
  <si>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</si>
  <si>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</si>
  <si>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</si>
  <si>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</si>
  <si>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</si>
  <si>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</si>
  <si>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</si>
  <si>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</si>
  <si>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</si>
  <si>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</si>
  <si>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</si>
  <si>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</si>
  <si>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</si>
  <si>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</si>
  <si>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</si>
  <si>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</si>
  <si>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</si>
  <si>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</si>
  <si>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</si>
  <si>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</si>
  <si>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</si>
  <si>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</si>
  <si>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</si>
  <si>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</si>
  <si>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</si>
  <si>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</si>
  <si>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</si>
  <si>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</si>
  <si>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</si>
  <si>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</si>
  <si>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</si>
  <si>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</si>
  <si>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</si>
  <si>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</si>
  <si>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</si>
  <si>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</si>
  <si>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</si>
  <si>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</si>
  <si>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</si>
  <si>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</si>
  <si>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</si>
  <si>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</si>
  <si>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</si>
  <si>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</si>
  <si>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</si>
  <si>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</si>
  <si>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</si>
  <si>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</si>
  <si>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</si>
  <si>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</si>
  <si>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</si>
  <si>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</si>
  <si>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</si>
  <si>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</si>
  <si>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</si>
  <si>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</si>
  <si>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</si>
  <si>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</si>
  <si>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</si>
  <si>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</si>
  <si>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</si>
  <si>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</si>
  <si>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</si>
  <si>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</si>
  <si>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</si>
  <si>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</si>
  <si>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</si>
  <si>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</si>
  <si>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</si>
  <si>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</si>
  <si>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</si>
  <si>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</si>
  <si>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</si>
  <si>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</si>
  <si>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</si>
  <si>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</si>
  <si>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</si>
  <si>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</si>
  <si>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</si>
  <si>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</si>
  <si>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</si>
  <si>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</si>
  <si>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</si>
  <si>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</si>
  <si>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</si>
  <si>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</si>
  <si>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</si>
  <si>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</si>
  <si>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</si>
  <si>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</si>
  <si>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</si>
  <si>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</si>
  <si>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</si>
  <si>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</si>
  <si>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</si>
  <si>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</si>
  <si>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</si>
  <si>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</si>
  <si>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</si>
  <si>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</si>
  <si>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</si>
  <si>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</si>
  <si>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</si>
  <si>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</si>
  <si>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</si>
  <si>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</si>
  <si>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</si>
  <si>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</si>
  <si>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</si>
  <si>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</si>
  <si>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</si>
  <si>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</si>
  <si>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</si>
  <si>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</si>
  <si>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</si>
  <si>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</si>
  <si>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</si>
  <si>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</si>
  <si>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</si>
  <si>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</si>
  <si>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</si>
  <si>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</si>
  <si>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</si>
  <si>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</si>
  <si>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</si>
  <si>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</si>
  <si>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</si>
  <si>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</si>
  <si>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</si>
  <si>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</si>
  <si>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</si>
  <si>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</si>
  <si>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</si>
  <si>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</si>
  <si>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</si>
  <si>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</si>
  <si>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</si>
  <si>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</si>
  <si>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</si>
  <si>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</si>
  <si>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</si>
  <si>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</si>
  <si>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</si>
  <si>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</si>
  <si>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</si>
  <si>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</si>
  <si>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</si>
  <si>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</si>
  <si>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</si>
  <si>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</si>
  <si>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</si>
  <si>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</si>
  <si>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</si>
  <si>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</si>
  <si>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</si>
  <si>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</si>
  <si>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</si>
  <si>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</si>
  <si>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</si>
  <si>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</si>
  <si>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</si>
  <si>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</si>
  <si>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</si>
  <si>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</si>
  <si>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</si>
  <si>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</si>
  <si>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</si>
  <si>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</si>
  <si>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</si>
  <si>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</si>
  <si>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</si>
  <si>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</si>
  <si>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</si>
  <si>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</si>
  <si>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</si>
  <si>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</si>
  <si>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</si>
  <si>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</si>
  <si>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</si>
  <si>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</si>
  <si>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</si>
  <si>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</si>
  <si>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</si>
  <si>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</si>
  <si>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</si>
  <si>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</si>
  <si>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</si>
  <si>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</si>
  <si>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</si>
  <si>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</si>
  <si>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</si>
  <si>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</si>
  <si>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</si>
  <si>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</si>
  <si>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</si>
  <si>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</si>
  <si>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</si>
  <si>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</si>
  <si>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</si>
  <si>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</si>
  <si>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</si>
  <si>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</si>
  <si>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</si>
  <si>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</si>
  <si>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</si>
  <si>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</si>
  <si>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</si>
  <si>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</si>
  <si>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</si>
  <si>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</si>
  <si>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</si>
  <si>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</si>
  <si>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</si>
  <si>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</si>
  <si>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</si>
  <si>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</si>
  <si>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</si>
  <si>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</si>
  <si>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</si>
  <si>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</si>
  <si>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</si>
  <si>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</si>
  <si>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</si>
  <si>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</si>
  <si>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</si>
  <si>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</si>
  <si>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</si>
  <si>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</si>
  <si>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</si>
  <si>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</si>
  <si>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</si>
  <si>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</si>
  <si>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</si>
  <si>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</si>
  <si>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</si>
  <si>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</si>
  <si>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</si>
  <si>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</si>
  <si>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</si>
  <si>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</si>
  <si>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</si>
  <si>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</si>
  <si>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</si>
  <si>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</si>
  <si>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</si>
  <si>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</si>
  <si>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</si>
  <si>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</si>
  <si>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</si>
  <si>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</si>
  <si>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</si>
  <si>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</si>
  <si>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</si>
  <si>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</si>
  <si>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</si>
  <si>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</si>
  <si>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</si>
  <si>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</si>
  <si>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</si>
  <si>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</si>
  <si>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</si>
  <si>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</si>
  <si>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</si>
  <si>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</si>
  <si>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</si>
  <si>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</si>
  <si>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</si>
  <si>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</si>
  <si>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</si>
  <si>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</si>
  <si>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</si>
  <si>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</si>
  <si>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</si>
  <si>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</si>
  <si>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</si>
  <si>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</si>
  <si>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</si>
  <si>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</si>
  <si>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</si>
  <si>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</si>
  <si>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</si>
  <si>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</si>
  <si>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</si>
  <si>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</si>
  <si>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</si>
  <si>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</si>
  <si>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</si>
  <si>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</si>
  <si>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</si>
  <si>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</si>
  <si>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</si>
  <si>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</si>
  <si>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</si>
  <si>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</si>
  <si>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</si>
  <si>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</si>
  <si>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</si>
  <si>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</si>
  <si>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</si>
  <si>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</si>
  <si>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</si>
  <si>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</si>
  <si>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</si>
  <si>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</si>
  <si>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</si>
  <si>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</si>
  <si>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</si>
  <si>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</si>
  <si>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</si>
  <si>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</si>
  <si>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</si>
  <si>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</si>
  <si>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</si>
  <si>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</si>
  <si>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</si>
  <si>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</si>
  <si>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</si>
  <si>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</si>
  <si>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</si>
  <si>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</si>
  <si>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</si>
  <si>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</si>
  <si>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</si>
  <si>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</si>
  <si>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</si>
  <si>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</si>
  <si>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</si>
  <si>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</si>
  <si>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</si>
  <si>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</si>
  <si>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</si>
  <si>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</si>
  <si>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</si>
  <si>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</si>
  <si>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</si>
  <si>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</si>
  <si>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</si>
  <si>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</si>
  <si>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</si>
  <si>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</si>
  <si>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</si>
  <si>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</si>
  <si>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</si>
  <si>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</si>
  <si>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</si>
  <si>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</si>
  <si>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</si>
  <si>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</si>
  <si>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</si>
  <si>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</si>
  <si>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</si>
  <si>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</si>
  <si>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</si>
  <si>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</si>
  <si>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</si>
  <si>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</si>
  <si>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</si>
  <si>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</si>
  <si>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</si>
  <si>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</si>
  <si>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</si>
  <si>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</si>
  <si>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</si>
  <si>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</si>
  <si>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</si>
  <si>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</si>
  <si>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</si>
  <si>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</si>
  <si>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</si>
  <si>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</si>
  <si>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</si>
  <si>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</si>
  <si>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</si>
  <si>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</si>
  <si>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</si>
  <si>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</si>
  <si>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</si>
  <si>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</si>
  <si>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</si>
  <si>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</si>
  <si>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</si>
  <si>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</si>
  <si>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</si>
  <si>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</si>
  <si>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DEMOLIÇÃO</t>
  </si>
  <si>
    <t>4.1.1</t>
  </si>
  <si>
    <t>1.3</t>
  </si>
  <si>
    <t>1.4</t>
  </si>
  <si>
    <t>1.5</t>
  </si>
  <si>
    <t>1.6</t>
  </si>
  <si>
    <t>=15*8,30</t>
  </si>
  <si>
    <t>=8*3,5</t>
  </si>
  <si>
    <t>SEPLAG ARQ 117</t>
  </si>
  <si>
    <t>PORTICO PRINCIAL - ESTRUTURA METALICA, FORNECIMENTO E INSTALAÇÃO</t>
  </si>
  <si>
    <t>SEPLAG ARQ 118</t>
  </si>
  <si>
    <t>PORTICO PERICIA - ESTRUTURA METALICA, FORNECIMENTO E INSTALAÇÃO</t>
  </si>
  <si>
    <t>REVESTIMENTO EM ACM (ALUMINIO COMPOSTO) FIXADO EM ESTRUTURA METALICA. FORNCECIMENTO E INSTALAÇÃO.</t>
  </si>
  <si>
    <t>SEPLAG ARQ 119</t>
  </si>
  <si>
    <t>DESCIDAS DE CALHA</t>
  </si>
  <si>
    <t>SEPLAG HIDR 50</t>
  </si>
  <si>
    <t>SEPLAG HIDR 51</t>
  </si>
  <si>
    <t xml:space="preserve"> PLU-GRE-010 TUBO PVC, SÉRIE R, ÁGUA PLUVIAL, DN 100 MM, FORNECIDO E INSTALADO EM RAMAL DE ENCAMINHAMENTO. GRELHA HEMISFÉRICA DE FERRO FUNDIDO Ø 100 MM (4")</t>
  </si>
  <si>
    <t>SEPLAG HIDR 52</t>
  </si>
  <si>
    <t>GRELHA HEMISFÉRICA FLEXÍVEL DE SIMPLE ENCAIXE NOS CONDUTORES  DN 100 MM, FORNECIMENTO E INSTALAÇÃO</t>
  </si>
  <si>
    <t>SEPLAG HIDR 53</t>
  </si>
  <si>
    <t>SEPLAG HIDR 54</t>
  </si>
  <si>
    <t>90696 - TUBO DE PVC PARA REDE COLETORA DE ESGOTO DE PAREDE MACIÇA, DN 200 MM, JUNTA ELÁSTICA - FORNECIMENTO E ASSENTAMENTO. AF_01/2021</t>
  </si>
  <si>
    <t>94871 - TUBO DE PEAD CORRUGADO DE DUPLA PAREDE PARA REDE COLETORA DE ESGOTO, DN 300 MM, JUNTA ELÁSTICA INTEGRADA - FORNECIMENTO E ASSENTAMENTO. AF_01/2021</t>
  </si>
  <si>
    <t>TUBO CORRUGADO PEAD, PAREDE DUPLA, INTERNA LISA, JEI, DN/DI 300 MM, PARA SANEAMENTO, FORNECIMENTO E INSTALAÇÃO</t>
  </si>
  <si>
    <t xml:space="preserve"> DRE-CAN-005 - CANALETA PARA DRENAGEM, PRÉ-MOLDADA, TIPO MEIA CANA, DIÂMETRO 30CM, EXCLUSIVE TAMPA, INCLUSIVE ASSENTAMENTO EM ARGAMASSA, TRAÇO 1:3 (CIMENTO E AREIA), ESCAVAÇÃO, TRANSPORTE E RETIRADA DO MATERIAL ESCAVADO (EM CAÇAMBA)</t>
  </si>
  <si>
    <t>CANALETA MEIA CANA PRÉ-MOLDADA DE CONCRETO (D = 30 CM) - FORNECIMENTO E INSTALAÇÃO.</t>
  </si>
  <si>
    <t>LASTRO DE AREIA COM AREIA GROSSA (PARA ASSENTAMENTO DA TUBULAÇÃO ENTERRADA)</t>
  </si>
  <si>
    <t>FONTE SINAPI CBA</t>
  </si>
  <si>
    <t>040615 - ENCHIMENTO DE NIVEL DE PISO ATE 60cm C/LASTRO DE AREIA GROSSA</t>
  </si>
  <si>
    <t>TUBO PVC, SERIE NORMAL, ÁGUA PLUVIAL, DN 200 MM, FORNECIMENTO E INSTALAÇÃO.</t>
  </si>
  <si>
    <t>SEPLAG HIDR 55</t>
  </si>
  <si>
    <t>APILOAMENTO COM MAÇO DE 30KG (PARA O FUNDO DA VALA)</t>
  </si>
  <si>
    <t>REATERRO MANUAL DE VALA (PARA ASSENTAMENTO DA TUBULAÇÃO ENTERRADA)</t>
  </si>
  <si>
    <t>73964/006 - REATERRO DE VALA COM COMPACTAÇÃO MANUAL</t>
  </si>
  <si>
    <t>SEPLAG HIDR 56</t>
  </si>
  <si>
    <t>SEPLAG HIDR 57</t>
  </si>
  <si>
    <t>SEPLAG HIDR 58</t>
  </si>
  <si>
    <t>ALVENARIA EM TIJOLO CERÂMICO MACIÇO 5X10X20CM 1 VEZ (ESPESSURA 20CM), ASSENTADO COM ARGAMASSA TRAÇO 1:2:8 (CIMENTO, CAL E AREIA)  (reconstrução da mureta)</t>
  </si>
  <si>
    <t>72131 - ALVENARIA EM TIJOLO CERAMICO MACICO 5X10X20CM 1 VEZ (ESPESSURA 20CM), ASSENTADO COM ARGAMASSA TRACO 1:2:8 (CIMENTO, CAL E AREIA)</t>
  </si>
  <si>
    <t>SEPLAG HIDR 59</t>
  </si>
  <si>
    <t>REBOCO ARGAMASSA TRAÇO 1:4,5 (CAL E AREIA FINA), ESPESSURA, 0,5CM, PREPARO MECANICO DA ARGAMASSA. (reconstrução da mureta)</t>
  </si>
  <si>
    <t>FONTE SINAPI CBA - Cuiabá</t>
  </si>
  <si>
    <t>121300 - CHAPISCO/EMBOCO/REBOCO-PORTICO FACHADA PRINCIPAL</t>
  </si>
  <si>
    <t>SEPLAG HIDR 60</t>
  </si>
  <si>
    <t>DEMOLIÇÃO MEIO-FIO S/ SARJETA DE CONCRETO</t>
  </si>
  <si>
    <t>022520 - RETIRADA MEIO-FIO EM CONCRETO</t>
  </si>
  <si>
    <t>FONTE SINAPI CBA - CUIABÁ</t>
  </si>
  <si>
    <t>30.04.100 PISO TÁTIL DE CONCRETO, ALERTA / DIRECIONAL, INTERTRAVADO, ESPESSURA DE 6 CM, COM REJUNTE EM AREIA</t>
  </si>
  <si>
    <t>SEPLAG HIDR 61</t>
  </si>
  <si>
    <t>FONTE CPOS</t>
  </si>
  <si>
    <t>SEPLAG HIDR 62</t>
  </si>
  <si>
    <t>89754 - LUVA DE CORRER, PVC, SERIE NORMAL, ESGOTO PREDIAL, DN 50 MM, JUNTA ELÁSTICA, FORNECIDO E INSTALADO EM RAMAL DE DESCARGA OU RAMAL DE ESGOTO SANITÁRIO. AF_12/2014</t>
  </si>
  <si>
    <t>SEPLAG HIDR 63</t>
  </si>
  <si>
    <t>92351 - JOELHO 90 GRAUS, EM FERRO GALVANIZADO, DN 50 (2"), CONEXÃO ROSQUEADA, INSTALADO EM PRUMADAS - FORNECIMENTO E INSTALAÇÃO. AF_10/2020</t>
  </si>
  <si>
    <t>FONTE ORSE</t>
  </si>
  <si>
    <t>1318 - Nípel de pvc rígido roscável diâm = 2"</t>
  </si>
  <si>
    <t>SEPLAG HIDR 64</t>
  </si>
  <si>
    <t>NÍPEL DE PVC RÍGIDO ROSCÁVEL D=2", FORNECIMENTO E INSTALAÇÃO</t>
  </si>
  <si>
    <t>LUVA DE CORRER PARA TUBO SOLDAVEL, PVC, 50 MM, FORNECIMENTO E INSTALAÇÃO</t>
  </si>
  <si>
    <t>SEPLAG HIDR 65</t>
  </si>
  <si>
    <t xml:space="preserve">FONTE </t>
  </si>
  <si>
    <t>LUVA DE REDUÇÃO EM PEAD DE ALTA DENSIDADE PE100-DIÂMETRO = 90X63 MM</t>
  </si>
  <si>
    <t>SEPLAG HIDR 66</t>
  </si>
  <si>
    <t>REMOÇÃO DE REDES COLETORAS DE ESGOTO EM PVC JE, PONTA E BOLSA, DN 100 MM</t>
  </si>
  <si>
    <t>6395 - Remoção de redes coletoras de esgoto em PVC JE, ponta e bolsa, DN 100mm</t>
  </si>
  <si>
    <t>SEPLAG HIDR 67</t>
  </si>
  <si>
    <t>REMOÇÃO DE REDES COLETORAS DE ESGOTO EM PVC JE, PONTA E BOLSA, DN 150 MM</t>
  </si>
  <si>
    <t>GRELHA HEMISFÉRICA DE FERRO FUNDIDO PARA ÁGUAS PLUVIAIS (DIÂMETRO DA SEÇÃO: 4")</t>
  </si>
  <si>
    <t>CONSTRUÇÃO DO PISO TÁTIL, FORNECIMENTO E INSTALAÇÃO</t>
  </si>
  <si>
    <t>LUVA DE REDUÇÃO EM PEAD 90X63mm, FORNECIMENTO E INSTALAÇÃO</t>
  </si>
  <si>
    <t>SEPLAG HIDR 68</t>
  </si>
  <si>
    <t>1537 Curva 45° curta em pvc rígido soldável, diâm = 100mm</t>
  </si>
  <si>
    <t>CURVA 45° LONGA PVCE  100MM, FORNECIMENTO E INSTALAÇÃO</t>
  </si>
  <si>
    <t>=40</t>
  </si>
  <si>
    <t>SEPLAG HIDR 69</t>
  </si>
  <si>
    <t>JOELHO 90 GRAUS, BRUTO, LATÃO, DN 50MM, INSTALADO EM PRUMADA DE ÁGUA - FORNECIMENTO E INSTALAÇÃO</t>
  </si>
  <si>
    <t>BANHEIRO QUÍMICO</t>
  </si>
  <si>
    <t>ATIVA LOCAÇÃO</t>
  </si>
  <si>
    <t>(65) 3665-4224</t>
  </si>
  <si>
    <t>02.580.316/0004-78</t>
  </si>
  <si>
    <t>LAEDMIR CRISTIAN DA CUNHA SANTOS</t>
  </si>
  <si>
    <t>und/mensal</t>
  </si>
  <si>
    <t>SEPLAG ARQ 120</t>
  </si>
  <si>
    <t>SEPLAG PAISG 34</t>
  </si>
  <si>
    <t>GRAMA ESMERALDA, FORNECIMENTO E PLANTIO.</t>
  </si>
  <si>
    <t>SEPLAG ARQ 121</t>
  </si>
  <si>
    <t>BANHEIRO QUÍMICO, FORNECIMENTO E INSTALAÇÃO.</t>
  </si>
  <si>
    <t>1.7</t>
  </si>
  <si>
    <t>SEPLAG PAISG 35</t>
  </si>
  <si>
    <t>J22- JANELA MAXIN AR 6,58 x 0,80 (10 JANELAS DE 1,03). FORNECIMENTO E INSTALAÇÃO.</t>
  </si>
  <si>
    <t>3.2.4</t>
  </si>
  <si>
    <t>FONTE: ORSE 08344</t>
  </si>
  <si>
    <t>REMOÇÃO DE CHAPA METALICA</t>
  </si>
  <si>
    <t>CORTE E REMOÇÃO DE PERFIS METÁLICOS</t>
  </si>
  <si>
    <t>TRANSPORTE</t>
  </si>
  <si>
    <t>SEPLAG ARQ 122</t>
  </si>
  <si>
    <t>ESCADA PERÍCIA, FORNECIMENTO E INSTALAÇÃO</t>
  </si>
  <si>
    <t xml:space="preserve">EQUIPAMENTOS </t>
  </si>
  <si>
    <t>MÃO DE OBRA</t>
  </si>
  <si>
    <t>MATERIAIS</t>
  </si>
  <si>
    <t>FONTE: ORSE 12189</t>
  </si>
  <si>
    <t>FONTE: ORSE 12385</t>
  </si>
  <si>
    <t>SEPLAG PAISG 36</t>
  </si>
  <si>
    <t>RASGO EM DRYWAL PARA RAMAIS/ DISTRIBUIÇÃO COM DIAMETROS MENORES OU IGUAIS A 40 MM. AF_05/2015</t>
  </si>
  <si>
    <t>90443 - RASGO EM ALVENARIA PARA RAMAIS/ DISTRIBUIÇÃO COM DIAMETROS MENORES OU IGUAIS A 40 MM</t>
  </si>
  <si>
    <t>SEPLAG HIDR 70</t>
  </si>
  <si>
    <t>1144 - Joelho de redução 90º de pvc rígido soldável, marrom diâm = 32 x 25mm</t>
  </si>
  <si>
    <t xml:space="preserve"> JOELHO DE REDUCAO, PVC SOLDAVEL, 90 GRAUS, 32 MM X 25 MM, PARA AGUA FRIA PREDIAL, FORNECIMENTO E INSTALAÇÃO</t>
  </si>
  <si>
    <t>SINAPI 73970/001 12/2019</t>
  </si>
  <si>
    <t>REMOÇÃO DE DIVISÓRIA DE PEDRAS ( MÁRMORE, GRANITO, ARDÓSIA, MARMORITE), INCLUSIVE AFASTAMENTO.</t>
  </si>
  <si>
    <t>15.0</t>
  </si>
  <si>
    <t>15.2.5</t>
  </si>
  <si>
    <t>15.2.6</t>
  </si>
  <si>
    <t>15.2.7</t>
  </si>
  <si>
    <t>15.2.8</t>
  </si>
  <si>
    <t>15.2.9</t>
  </si>
  <si>
    <t>15.3</t>
  </si>
  <si>
    <t>15.3.1</t>
  </si>
  <si>
    <t>ELEVADOR</t>
  </si>
  <si>
    <t>SEPLAG ARQ 123</t>
  </si>
  <si>
    <t>CHAPA DE AÇO INOX PARA PROTEÇÃO DAS PORTAS DOS BANHEIROS (PCD) - 2 FACES. FORNECIMENTO E INSTALAÇÃO.</t>
  </si>
  <si>
    <t>CPU - 03</t>
  </si>
  <si>
    <t>SEPLAG ARQ 124</t>
  </si>
  <si>
    <t>RETIRADA DE GUARDA-CORPO OU GRADIL EM GERAL.</t>
  </si>
  <si>
    <t>FONTE:  CPOS 04.0100</t>
  </si>
  <si>
    <t>SEPLAG ARQ 125</t>
  </si>
  <si>
    <t xml:space="preserve">FORNECIMENTO DE TUBO DE AÇO INOXIDAVEL DN 32 MM "1", PARA INSTALAÇÃO DE BARRAS INTERMEDIARIAS NO GUARDA CORPO </t>
  </si>
  <si>
    <t>AÇOFER</t>
  </si>
  <si>
    <t>03989217/0002-45</t>
  </si>
  <si>
    <t>INOXTAK</t>
  </si>
  <si>
    <t>29935326/0001-92</t>
  </si>
  <si>
    <t>VALDEMIR</t>
  </si>
  <si>
    <t>SEPLAG ARQ 126</t>
  </si>
  <si>
    <t>PISO EM GRANITO APLICADO EM AMBIENTES. FORNECIMENTO E INSTALAÇÃO.</t>
  </si>
  <si>
    <t>FONTE: SINAPI 98671</t>
  </si>
  <si>
    <t>SEPLAG ARQ 127</t>
  </si>
  <si>
    <t>TUBO DE AÇO INOXIDAVEL DN 40 MM 1. 1/2" PARA CORRIMÃO. FORNECIMENTO E INSTALAÇÃO.</t>
  </si>
  <si>
    <t xml:space="preserve">TUBO ACO INOXIDAVEL, DN 40 MM ( 1 1/2")      </t>
  </si>
  <si>
    <t xml:space="preserve">BARRA ACO INOXIDAVEL, DN 10 MM (3/8'')       </t>
  </si>
  <si>
    <t>SEPLAG ARQ 128</t>
  </si>
  <si>
    <t xml:space="preserve">GUARDA CORPO COM CORRIMÃO DUPLO  EM TUBO DE AÇO INOXIDAVEL 1 1/2", COM CHUMBADORES PARA FIXAÇÃO NO PISO </t>
  </si>
  <si>
    <t xml:space="preserve">TUBO ACO INOXIDAVEL, DN 50 MM ( 2")            </t>
  </si>
  <si>
    <t>SEPLAG ELE 46</t>
  </si>
  <si>
    <t>CONDULETE DE ALUMÍNIO, TIPO LL, PARA ELETRODUTO DE AÇO GALVANIZADO DN DE 20 MM (3/4"), APARENTE - FONECIMENTO E INSTALAÇÃO.</t>
  </si>
  <si>
    <t>FONTE : SINAPI - 95787</t>
  </si>
  <si>
    <t>SEPLAG ELE 47</t>
  </si>
  <si>
    <t>TOMADA DE REDE RJ45 - FORNECIMENTO E INSTALAÇÃO.</t>
  </si>
  <si>
    <t>FONTE : SINAPI - 98307</t>
  </si>
  <si>
    <t>PASSARELA METALICA TIPO 01, FORNECIMENTO E INSTALAÇÃO</t>
  </si>
  <si>
    <t>SEPLAG ARQ 129</t>
  </si>
  <si>
    <t>(11) 41160144</t>
  </si>
  <si>
    <t>170.83057/0001-02</t>
  </si>
  <si>
    <t>WILLIAN PEREIRA</t>
  </si>
  <si>
    <t>SEPLAG ELE 48</t>
  </si>
  <si>
    <t>POWER BALUN 16 CANAIS RJ45, FORNECIMENTO E INSTALAÇÃO.</t>
  </si>
  <si>
    <t>POWER BALUN 16 CANAIS RJ45</t>
  </si>
  <si>
    <t>(65) 3624-3703</t>
  </si>
  <si>
    <t>SEPLAG ELE 49</t>
  </si>
  <si>
    <t>CONVERSOR BALUM RJ45/P4, FORNECIMENTO E INSTALAÇÃO.</t>
  </si>
  <si>
    <t>CONVERSOR BALUN RJ45/94</t>
  </si>
  <si>
    <t>SEPLAG ELE 50</t>
  </si>
  <si>
    <t>SEPLAG ELE 51</t>
  </si>
  <si>
    <t>FONTE: SINAPI 95787</t>
  </si>
  <si>
    <t>CONDULETE DE ALUMÍNIO, TIPO LL, PARA ELETRODUTO DE AÇO GALVANIZADO DN 20 MM (3/4''), APARENTE - FORNECIMENTO E INSTALAÇÃO. AF_11/2016_P</t>
  </si>
  <si>
    <t>SEPLAG ELE 52</t>
  </si>
  <si>
    <t>CONDULETE DE ALUMÍNIO, TIPO LR, PARA ELETRODUTO DE AÇO GALVANIZADO 1.1/2'', COM TAMPA - FORNECIMENTO E INSTALAÇÃO. AF_11/2016_P</t>
  </si>
  <si>
    <t>SEPLAG ELE 53</t>
  </si>
  <si>
    <t>CONECTOR CÔNICO UNIDUT 1.1/2" COM TAMPA, FORNECIMENTO E INSTALAÇÃO.</t>
  </si>
  <si>
    <t>SEPLAG ELE 54</t>
  </si>
  <si>
    <t>ELETROCALHA PERF. GALVANIZADA TIPO "U" COM TAMPA 50X50X3000 mm + SUPORTE PARA ELETROCALHA LISA OU PERFURADA EM AÇO GALVANIZADO, LARGURA 500 OU 800 mm, ESPAÇADO A CADA 1,50 M. FORNECIMENTO E INSTALAÇÃO.</t>
  </si>
  <si>
    <t>ELETROCALHA METÁLICA PERFURADA 50X50X3000 mm</t>
  </si>
  <si>
    <t>BRAÇADEIRA GALVANIZADA TIPO D1", FORNECIMENTO E INSTALAÇÃO.</t>
  </si>
  <si>
    <t>SEPLAG ELE 55</t>
  </si>
  <si>
    <t>SEPLAG ELE 56</t>
  </si>
  <si>
    <t>BRAÇADEIRA GALVANIZADA TIPO D1.1/2", FORNECIMENTO E INSTALAÇÃO.</t>
  </si>
  <si>
    <t>SEPLAG ELE 57</t>
  </si>
  <si>
    <t>BRAÇADEIRA GALVANIZADA TIPO D3/4", FORNECIMENTO E INSTALAÇÃO.</t>
  </si>
  <si>
    <t>COPAFER</t>
  </si>
  <si>
    <t>(11) 4001-0100</t>
  </si>
  <si>
    <t>PLANETA ACESSIVEL</t>
  </si>
  <si>
    <t>SHEILA MARIA BRAGA</t>
  </si>
  <si>
    <t>WRS ACESSIBILIDADE</t>
  </si>
  <si>
    <t>NATALIA GARGANTINI</t>
  </si>
  <si>
    <t>40.526.033/0001-94</t>
  </si>
  <si>
    <t>MAPA TÁTIL C/ PEDESTAL EM AÇO(40X60). FORNECIMENTO E INSTALAÇÃO.</t>
  </si>
  <si>
    <t>(65) 3627-2777</t>
  </si>
  <si>
    <t>(65) 3021-0303</t>
  </si>
  <si>
    <t>SUPERTEC</t>
  </si>
  <si>
    <t>(65) 3634-2266</t>
  </si>
  <si>
    <t>01184625/0002-02</t>
  </si>
  <si>
    <t>ELIAS MAGNO DA SILVA MONTEIRO</t>
  </si>
  <si>
    <t>ELIAS MAGNO DA SILVA MONSTEIRO</t>
  </si>
  <si>
    <t>SOLUÇÃO LOCAÇÃO E LOGISTICA</t>
  </si>
  <si>
    <t>(65) 9243-2075</t>
  </si>
  <si>
    <t>17505616/0001-17</t>
  </si>
  <si>
    <t xml:space="preserve">SETOR ADMNISTRATIVO </t>
  </si>
  <si>
    <t>(11) 4036-7986</t>
  </si>
  <si>
    <t>21366659/0001-36</t>
  </si>
  <si>
    <t>(47) 3801-4256</t>
  </si>
  <si>
    <t>09350434/0001-96</t>
  </si>
  <si>
    <t>(11) 2339-6396</t>
  </si>
  <si>
    <t>SETOR DE VENDAS</t>
  </si>
  <si>
    <t>40526033/0001-94</t>
  </si>
  <si>
    <t>(11) 4116-0144</t>
  </si>
  <si>
    <t>17083057/0001-02</t>
  </si>
  <si>
    <t>(11) 2012-6262</t>
  </si>
  <si>
    <t>23447624/0001-57</t>
  </si>
  <si>
    <t>(47) 3801-4259</t>
  </si>
  <si>
    <t>PRIMEINOX</t>
  </si>
  <si>
    <t>(65) 3057-1573</t>
  </si>
  <si>
    <t>26163786/0001-51</t>
  </si>
  <si>
    <t>WILKER BORGES</t>
  </si>
  <si>
    <t>CHAPA DE INOX PARA PORTAS, 0,40 cm de largura</t>
  </si>
  <si>
    <t>SEPLAG ACESS 08</t>
  </si>
  <si>
    <t>ADESIVO DE ESPAÇO RESERVADO PARA CADEIRANTE (0,80x1,20)</t>
  </si>
  <si>
    <t>PASSARELA METALICA TIPO 02, FORNECIMENTO E INSTALAÇÃO</t>
  </si>
  <si>
    <t>https://torneiraeletronica.com.br/produto/assento-bacia-deficiente-com-abertura-de-fisico-frontal-plus-care-duraguard-81-001/160987</t>
  </si>
  <si>
    <t>SOLUCENTER</t>
  </si>
  <si>
    <t>VIVEIROS MATO GROSSO</t>
  </si>
  <si>
    <t>(65) 3627-2410</t>
  </si>
  <si>
    <t>(65) 3054-0178</t>
  </si>
  <si>
    <t>JESSIKA FIGUEIREDO</t>
  </si>
  <si>
    <t>(65) 3617-5000</t>
  </si>
  <si>
    <t>(65) 2128-9401</t>
  </si>
  <si>
    <t>(65) 2128-5500</t>
  </si>
  <si>
    <t>ESTRUTURAL</t>
  </si>
  <si>
    <t>CHAPA DE AÇO EXPANDIDA 1200X3000 3MM</t>
  </si>
  <si>
    <t>FERMAT</t>
  </si>
  <si>
    <t>(65) 3644-5555</t>
  </si>
  <si>
    <t>03658692/0005-81</t>
  </si>
  <si>
    <t>CLEBERSON PINHO DE ALMEIDA</t>
  </si>
  <si>
    <t>(65) 3661-3702</t>
  </si>
  <si>
    <t>27243896/0001-96</t>
  </si>
  <si>
    <t>GISELE OLIVEIRA DA COSTA</t>
  </si>
  <si>
    <t>(65) 3367-1334</t>
  </si>
  <si>
    <t>31169390/0004-02</t>
  </si>
  <si>
    <t>VIVEIRO DO HOLANDES</t>
  </si>
  <si>
    <t>28.634.700/0001-57</t>
  </si>
  <si>
    <t>(65) 3052-9098</t>
  </si>
  <si>
    <t>SEICHOS ORNAMENTAIS GRANDES DIAMETRO DE 60CM, TIPO SEIXO ROLADO, ORNAMENTAIS, FORNECIMENTO E ESPALHAMENTO.</t>
  </si>
  <si>
    <t>(65) 3052-4200</t>
  </si>
  <si>
    <t>JUNIOR</t>
  </si>
  <si>
    <t>DESMONTE ESCADA PERÍCIA</t>
  </si>
  <si>
    <t>FACHADA DE ACM (ALUMINIO COMPOSTO) FIXADO ESTRUTURA METALICA. FORNCECIMENTO E INSTALAÇÃO.</t>
  </si>
  <si>
    <t>FACHADA DE VIDRO TEMPERADO DE 10mm FIXADO EM ESTRUTURA METALICA. FORNECIMENTO E INSTALAÇÃO.</t>
  </si>
  <si>
    <t>PLINIO JULIO MAGALHAES AZEVEDO</t>
  </si>
  <si>
    <t>SEPLAG ARQ 130</t>
  </si>
  <si>
    <t>SEPLAG ARQ 131</t>
  </si>
  <si>
    <t>KIT PORTA PRONTA PRETA LISA SÓLIDA PORMADE O,60X2,10,ACABAMENTO DE COR UNIFORME, MARCOS E ALIZARES EM PVC WOOD, RESISTENTES A ESTUFAMENTOS. FORNECIMENTO E INSTALAÇÃO.</t>
  </si>
  <si>
    <t>SEPLAG ARQ 132</t>
  </si>
  <si>
    <t>PORTA PRETA LISA SÓLIDA PORMADE O,80X2,10 DE CORRER, INCLUSO ADUELA 1A, ALIZAR 1A, TRILHO E FECHADURA, ACABAMENTO DE COR UNIFORME, RESISTENTES A ESTUFAMENTOS. FORNECIMENTO E INSTALAÇÃO</t>
  </si>
  <si>
    <t>SEPLAG ARQ 133</t>
  </si>
  <si>
    <t>americanas.com.br/produto/4262639525</t>
  </si>
  <si>
    <t>MOINHO MATERIAIS PARA CONSTRUÇÃO</t>
  </si>
  <si>
    <t>(65) 3317-5000</t>
  </si>
  <si>
    <t>07.790.953/0002-20</t>
  </si>
  <si>
    <t>(42) 98402-4257</t>
  </si>
  <si>
    <t>10.652.922/0002-18</t>
  </si>
  <si>
    <t>PISO PORCELANATO ESMALTADO TEXTUTA DE MADEIRA - 20x120 cm - RETIFICADO - MARROM NATURAL. FORNECIMENTO E INSTALAÇÃO. AF_06/2014</t>
  </si>
  <si>
    <t>PISO PORCELANATO ESMALTADO TEXTUTA DE MADEIRA - 20x120 cm</t>
  </si>
  <si>
    <t>PORCA DE AÇO PARA PARAFUSO 5/16</t>
  </si>
  <si>
    <t>ARRUELA DE AÇO PARA PARAFUSO 5/16</t>
  </si>
  <si>
    <t>BARRA ROSCADA DIAMETRO DE 5/16</t>
  </si>
  <si>
    <t>PORTA PIVOTANTE DE VIDRO TEMPERADO, 1 FOLHAS DE 90X210 CM, ESPESSURA DE 10MM, INCLUSIVE ACESSÓRIOS. FORNECIMENTO E INSTALAÇÃO. AF_01/2021</t>
  </si>
  <si>
    <t>SEPLAG ARQ 134</t>
  </si>
  <si>
    <t>GRADE EM ESTRUTURA METALICA PARA PROTEÇÃO DA PASSARELA TIPO 01, FORNECIMENTO E INSTALAÇÃO.</t>
  </si>
  <si>
    <t>MARIN BRASIL</t>
  </si>
  <si>
    <t> 10.888.700/0001-18 </t>
  </si>
  <si>
    <t>https://www.marinbrasil.com.br/cuba-de-embutir-tramontina-lavinia-48-bl-em-aco-inox-acetinado-48-x-34-x-18-cm-com-valvula-94027102/p?idsku=465&amp;gclid=Cj0KCQiAjc2QBhDgARIsAMc3SqRlJHzTYno5DyGQlHQNYp2vZL0L5EuVaXp5iP0F3uIYh3mXLr5-nmEaAgwHEALw_wcB</t>
  </si>
  <si>
    <t>(11) 94949-9000</t>
  </si>
  <si>
    <t>TRAMONTINA STORE</t>
  </si>
  <si>
    <t>https://www.tramontinastore.com/cuba-de-embutir-tramontina-lavinia-48-bl-em-aco-inox-acetinado-48x34-cm_94027103/p?idsku=94027103&amp;gclid=Cj0KCQiAjc2QBhDgARIsAMc3SqRwtSJQAahdKQWECibiA6rfSE6xszTVQvb5MjGM17rhyoTjyezCnXkaAqfAEALw_wcB</t>
  </si>
  <si>
    <t>(11) 4861-3981</t>
  </si>
  <si>
    <t> 61.652.608/0001-95</t>
  </si>
  <si>
    <t>63.004.030.0030-20</t>
  </si>
  <si>
    <t>CASA E CONSTRUÇÃO</t>
  </si>
  <si>
    <t>MAGAZINE LUIZA</t>
  </si>
  <si>
    <t>47.960.950/1088-36</t>
  </si>
  <si>
    <t>https://lojaobrafacil.com.br/torneira-mesa-fechamento-automatico-link-deca-1172clnk</t>
  </si>
  <si>
    <t>LOJA OBRA FACIL</t>
  </si>
  <si>
    <t>(11) 3031-6891</t>
  </si>
  <si>
    <t>https://www.copafer.com.br/torneira-de-mesa-para-lavatorio-decamatic-conforto-1173-c-conf-deca-p1105206?region_id=000001</t>
  </si>
  <si>
    <t>https://www.madeiramadeira.com.br/trocador-de-fraldas-fraldario-ultra-clean-horizontal-para-fixar-na-parede-2735600.html?seller=6327&amp;origem=pla-2735600&amp;utm_source=google&amp;utm_medium=cpc&amp;utm_content=trocadores-1186&amp;utm_term=&amp;utm_id=14873982716&amp;gclid=Cj0KCQiAjc2QBhDgARIsAMc3SqSenWpDaA1rU3fAmsedKC80VjrKjmWgLFI46HgRQGy3HWfI1eiB-OoaAgDrEALw_wcB</t>
  </si>
  <si>
    <t>10.490.181/0001-35</t>
  </si>
  <si>
    <t>AMERICANAS</t>
  </si>
  <si>
    <t xml:space="preserve">TUBO ACO INOXIDAVEL, DN 32 MM ( 1")      </t>
  </si>
  <si>
    <t>MEDIÇÃO PARA CRONOGRAMA</t>
  </si>
  <si>
    <t>(11) 40071380</t>
  </si>
  <si>
    <t>01.438.784/0048-60</t>
  </si>
  <si>
    <t>https://www.leroymerlin.com.br/cuba-de-embutir-ceramica-oval-l37-17-16x48,5x37,5-cm-branca-deca_85237852</t>
  </si>
  <si>
    <t>CASA MATTOS</t>
  </si>
  <si>
    <t>(32) 99982-3645</t>
  </si>
  <si>
    <t>19.525.302/0001-01</t>
  </si>
  <si>
    <t>https://www.casamattos.com.br/torneira-deca-decamatic-link-1172-c-lnk-para-lavatorio-com-fechamento-automatico?parceiro=1906&amp;utm_source=google-products&amp;utm_medium=shopping&amp;utm_source=google&amp;utm_medium=shopping&amp;utm_campaign=shopping_melhoresofertas_todososestados&amp;utm_content=produtos_selecionados&amp;gclid=CjwKCAiAsNKQBhAPEiwAB-I5zQdZbUKLes_zcr8KdWg5st-ekaraMgfOyevYhMVAGNQx6uYKhvZ-QxoCLR4QAvD_BwE</t>
  </si>
  <si>
    <t>ABC DA CONSTRUÇÃO</t>
  </si>
  <si>
    <t>38.542.718/0052-22 </t>
  </si>
  <si>
    <t>https://www.abcdaconstrucao.com.br/produto/saboneteira-de-parede-flat-cromado-docol-87624?keyword=&amp;creative=541111541219&amp;gclid=CjwKCAiAsNKQBhAPEiwAB-I5zXX5r6cWAdFS_oxQN84c4fMlWR4XRbcNeq0TznmEbgF8S_exXd0YWhoCVnkQAvD_BwE</t>
  </si>
  <si>
    <t>https://www.telhanorte.com.br/saboneteira-cromada-para-parede-single-docol-955825/p</t>
  </si>
  <si>
    <t>TELHA NORTE</t>
  </si>
  <si>
    <t>(11) 3434-3610</t>
  </si>
  <si>
    <t> 03.840.986/0056-70</t>
  </si>
  <si>
    <t>AMAZON</t>
  </si>
  <si>
    <t>15.436.940/0001-03</t>
  </si>
  <si>
    <t>10.888.700/0001-18</t>
  </si>
  <si>
    <t>https://www.amazon.com.br/Encaixe-Acetinado-50X40cm-Tramontina-94400107/dp/B00V8IOPCW/ref=asc_df_B00V8IOPCW/?tag=googleshopp00-20&amp;linkCode=df0&amp;hvadid=379712965665&amp;hvpos=&amp;hvnetw=g&amp;hvrand=129698377791234914&amp;hvpone=&amp;hvptwo=&amp;hvqmt=&amp;hvdev=c&amp;hvdvcmdl=&amp;hvlocint=&amp;hvlocphy=1001602&amp;hvtargid=pla-813186002531&amp;psc=1</t>
  </si>
  <si>
    <t>https://www.marinbrasil.com.br/tanque-de-encaixe-30l-em-aco-inox-polido-50x40-cm-outlet-tramontina-94900385/p?idsku=1401&amp;gclid=CjwKCAiAsNKQBhAPEiwAB-I5zXetkD0lWI3EuaN4SwTcUv8gnaJtppdE3ccZQP_j88rNUfq20LtmKxoCfegQAvD_BwE</t>
  </si>
  <si>
    <t>1ª fase de obra</t>
  </si>
  <si>
    <t>2ª fase de obra</t>
  </si>
  <si>
    <t>SALDO</t>
  </si>
  <si>
    <t>4.2.1</t>
  </si>
  <si>
    <t>TUDO HIDRÁULICA E ELÉTRICA</t>
  </si>
  <si>
    <t>(65) 3321-0009</t>
  </si>
  <si>
    <t>15.987.913/0001-10</t>
  </si>
  <si>
    <t>CABOS PARA TERMINAIS</t>
  </si>
  <si>
    <t>COMUM</t>
  </si>
  <si>
    <t>REDEBRAS</t>
  </si>
  <si>
    <t>SEPLAG ELE 58</t>
  </si>
  <si>
    <t>CONECTOR FÊMEA RJ=45, CAT. 6RJ45 (CM8V), FORNECIMENTO E INSTALAÇÃO.</t>
  </si>
  <si>
    <t>SEPLAG ELE 59</t>
  </si>
  <si>
    <t>SEPLAG ELE 60</t>
  </si>
  <si>
    <t>SEPLAG ELE 61</t>
  </si>
  <si>
    <t>PATCH CORD 5,0M CAT 6, FORNECIMENTO E INSTALAÇÃO.</t>
  </si>
  <si>
    <t>SEPLAG ELE 62</t>
  </si>
  <si>
    <t>PATCH CORD 7,0M CAT 6, FORNECIMENTO E INSTALAÇÃO.</t>
  </si>
  <si>
    <t>PATCH CORD 10,0M CAT 6, FORNECIMENTO E INSTALAÇÃO.</t>
  </si>
  <si>
    <t>PATCH CORD 12,0M CAT 6, FORNECIMENTO E INSTALAÇÃO.</t>
  </si>
  <si>
    <t>SEPLAG ELE 63</t>
  </si>
  <si>
    <t>CERTIFICAÇÃO DE PONTO LÓGICO, FONERCIMENTO E INSTALAÇÃO.</t>
  </si>
  <si>
    <t xml:space="preserve"> IDENTIFICAÇÃO E CERTIFICAÇÃO DE REDE DE LÓGICA INC. EMISSÃO DE RELATÓRIO</t>
  </si>
  <si>
    <t>SEPLAG ELE 64</t>
  </si>
  <si>
    <t>BANDEJA PARA RACK 19", DESLIZANTE, PERFURADA, 400mm DE PROFUNDIDADE, FONECIMENTO E INSTALAÇÃO.</t>
  </si>
  <si>
    <t>BANDEJA RACK 19", DESLIZANTE, PERFURADA, 400 mm DE PROFUNDIDADE.</t>
  </si>
  <si>
    <t>SEPLAG ELE 66</t>
  </si>
  <si>
    <t>CAIXA DE PISO 4"X2" OU 4"X4", EM ALUMÍNIO, FORNECIMENTO E INSTALAÇÃO.</t>
  </si>
  <si>
    <t>SEPLAG ELE 65</t>
  </si>
  <si>
    <t>SEPLAG ELE 67</t>
  </si>
  <si>
    <t>CONDULETE DE ALUMÍNIO, TIPO C, PARA ELETRODUTO DE AÇO GALVANIZADO (1 1/4"), APARENTE, FORNECIMENTO E INSTALAÇÃO.</t>
  </si>
  <si>
    <t>SEPLAG ELE 68</t>
  </si>
  <si>
    <t>CONDULETE DE ALUMÍNIO, TIPO C, PARA ELETRODUTO DE AÇO GALVANIZADO (2"), APARENTE, FORNECIMENTO E INSTALAÇÃO.</t>
  </si>
  <si>
    <t>SEPLAG ELE 69</t>
  </si>
  <si>
    <t>CABO UTP 4 PARES CAT 6, FORNECIMENTO E INSTALAÇÃO.</t>
  </si>
  <si>
    <t>SEPLAG ELE 70</t>
  </si>
  <si>
    <t>CAIXA DE PASSAGEM METALICA DE SOBREPOR COM TAMPA PARAFUSADA, DIMENSÕES 300X300X100 MM, FORNECIMENTO E INSTALAÇÃO.</t>
  </si>
  <si>
    <t>SEPLAG ELE 71</t>
  </si>
  <si>
    <t>TAMPA CEGA PARA CONDULETE METÁLICO 4X4", FORNECIMENTO E INSTALAÇÃO.</t>
  </si>
  <si>
    <t>SEPLAG ELE 72</t>
  </si>
  <si>
    <t>SAÍDA HORIZONTAL PARA ELETRODUTO 2", FORNECIMENTO E INSTALAÇÃO.</t>
  </si>
  <si>
    <t>SAÍDA HORIZONTAL PARA ELETRODUTO 2"</t>
  </si>
  <si>
    <t>SEPLAG ELE 73</t>
  </si>
  <si>
    <t>SEPLAG ELE 74</t>
  </si>
  <si>
    <t>CRUZETA HORIZONTAL 90º P/ELETROCALHA 100X50 MM</t>
  </si>
  <si>
    <t>SEPLAG ELE 75</t>
  </si>
  <si>
    <t>SEPLAG ELE 76</t>
  </si>
  <si>
    <t>ELETROCALHA LISA (150X50X300)MM EM CHAPA DE AÇO GALVANIZADO #18, COM TRATAMENTO PRÉ-ZINCADO, INCLUSIVE TAMPA DE ENCAIXE, FIXAÇÃO SUPERIOR, CONEXÕES E ACESSÓRIOS. FORNECIMENTO E INSTALAÇÃO.</t>
  </si>
  <si>
    <t>CONDULETE DE ALUMÍNIO, TIPO C, PARA ELETRODUTO DE AÇO GALVANIZADO (1 1/2"), APARENTE, FORNECIMENTO E INSTALAÇÃO.</t>
  </si>
  <si>
    <t>SAÍDA HORIZONTAL PARA ELETRODUTO 1", FORNECIMENTO E INSTALAÇÃO.</t>
  </si>
  <si>
    <t>SAÍDA HORIZONTAL PARA ELETRODUTO 1"</t>
  </si>
  <si>
    <t xml:space="preserve"> CRUZETA (X) HORIZONTAL 90º, 300X50MM FORNECIMENTO E INSTALAÇÃO.</t>
  </si>
  <si>
    <t>CRUZETA (X) HORIZONTAL 90º, 100X50MM FORNECIMENTO E INSTALAÇÃO.</t>
  </si>
  <si>
    <t>CURVA (X) HORIZONTAL 90º, 200X50MM FORNECIMENTO E INSTALAÇÃO.</t>
  </si>
  <si>
    <t>SEPLAG ELE 77</t>
  </si>
  <si>
    <t>CURVA (X) HORIZONTAL 90º, 100X50MM FORNECIMENTO E INSTALAÇÃO.</t>
  </si>
  <si>
    <t>SEPLAG ELE 78</t>
  </si>
  <si>
    <t>CURVA (X) HORIZONTAL 90º, 50X50MM FORNECIMENTO E INSTALAÇÃO.</t>
  </si>
  <si>
    <t>CURVA HORIZONTAL 90º P/ELETROCALHA 200X50 MM</t>
  </si>
  <si>
    <t>CURVAA HORIZONTAL 90º P/ELETROCALHA 50X50 MM</t>
  </si>
  <si>
    <t>SEPLAG ELE 79</t>
  </si>
  <si>
    <t>REDUÇÃO CONCÊNTRICA, 100X50MM FORNECIMENTO E INSTALAÇÃO.</t>
  </si>
  <si>
    <t>REDUÇÃO CONCÊNTRICA P/ELETROCALHA 100X50 MM</t>
  </si>
  <si>
    <t>SEPLAG ELE 82</t>
  </si>
  <si>
    <t xml:space="preserve"> T HORIZONTAL (X) HORIZONTAL 90º, 150X50MM FORNECIMENTO E INSTALAÇÃO.</t>
  </si>
  <si>
    <t>T HORIZONTAL 90º P/ELETROCALHA 150X50 MM</t>
  </si>
  <si>
    <t>SEPLAG ELE 80</t>
  </si>
  <si>
    <t xml:space="preserve"> T HORIZONTAL (X) HORIZONTAL 90º, 200X50MM FORNECIMENTO E INSTALAÇÃO.</t>
  </si>
  <si>
    <t>T HORIZONTAL 90º P/ELETROCALHA 200X50 MM</t>
  </si>
  <si>
    <t>SEPLAG ELE 81</t>
  </si>
  <si>
    <t xml:space="preserve"> T HORIZONTAL (X) HORIZONTAL 90º, 300X50MM FORNECIMENTO E INSTALAÇÃO.</t>
  </si>
  <si>
    <t>T HORIZONTAL 90º P/ELETROCALHA 300X50 MM</t>
  </si>
  <si>
    <t xml:space="preserve"> T HORIZONTAL (X) HORIZONTAL 90º, 100X50MM FORNECIMENTO E INSTALAÇÃO.</t>
  </si>
  <si>
    <t>T HORIZONTAL 90º P/ELETROCALHA 100X50 MM</t>
  </si>
  <si>
    <t>SEPLAG ELE 83</t>
  </si>
  <si>
    <t xml:space="preserve"> T HORIZONTAL (X) HORIZONTAL 90º, 50X50MM FORNECIMENTO E INSTALAÇÃO.</t>
  </si>
  <si>
    <t>T HORIZONTAL 90º P/ELETROCALHA 50X50 MM</t>
  </si>
  <si>
    <t>SEPLAG ELE 87</t>
  </si>
  <si>
    <t>TALA PLANA PERFURADA 100MM PARA ELETROCALHA METÁLICA, FORNCECIMENTO E INSTALAÇÃO.</t>
  </si>
  <si>
    <t>TALA PLANA PERFURADA 100MM PARA ELETROCALHA METÁLICA.</t>
  </si>
  <si>
    <t>SEPLAG ELE 84</t>
  </si>
  <si>
    <t>SEPLAG ELE 85</t>
  </si>
  <si>
    <t>BRAÇADEIRA GALVANIZADA TIPO D1.1/4", FORNECIMENTO E INSTALAÇÃO.</t>
  </si>
  <si>
    <t>SEPLAG ELE 86</t>
  </si>
  <si>
    <t>BRAÇADEIRA GALVANIZADA TIPO D2", FORNECIMENTO E INSTALAÇÃO.</t>
  </si>
  <si>
    <t>ELETRODUTO DE AÇO GALVANIZADO, CLASSE SEMI PESADO, 2", APARENTE, INSTALADO EM PAREDE - FORNECIMENTO E INSTALAÇÃO.</t>
  </si>
  <si>
    <t>SEPLAG ELE 88</t>
  </si>
  <si>
    <t>RACK TIPO ARMÁRIO 19" 44U, FORNECIMENTO E INSTALAÇÃO.</t>
  </si>
  <si>
    <t>GABRIEL SOARES BRANDÃO</t>
  </si>
  <si>
    <t>(65) 3025-4300</t>
  </si>
  <si>
    <t>07.237.858/0001-13</t>
  </si>
  <si>
    <t>GENILDO ALEXANDRE LEITE</t>
  </si>
  <si>
    <t>17.354.683/0001-88</t>
  </si>
  <si>
    <t>WBX RACKS</t>
  </si>
  <si>
    <t>(41) 3514-5945</t>
  </si>
  <si>
    <t>33.522.589/0001-47</t>
  </si>
  <si>
    <t>https://wbxracks.com.br/produto/rack-piso-fechado-44u-x-670mm/</t>
  </si>
  <si>
    <t>SANTIL</t>
  </si>
  <si>
    <t>(11) 3998-3000</t>
  </si>
  <si>
    <t>49.474.398/0008-63</t>
  </si>
  <si>
    <t>04.181.115/0001-80</t>
  </si>
  <si>
    <t>SEPLAG ARQ 135</t>
  </si>
  <si>
    <t>ACABAMENTO DE METAL CROMADO PARA REGISTRO PEQUENO, DE PAREDE, 1/2 " OU 3/4 "</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</si>
  <si>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</si>
  <si>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</si>
  <si>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</si>
  <si>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</si>
  <si>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</si>
  <si>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</si>
  <si>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</si>
  <si>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</si>
  <si>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</si>
  <si>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</si>
  <si>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</si>
  <si>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</si>
  <si>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</si>
  <si>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</si>
  <si>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</si>
  <si>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</si>
  <si>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</si>
  <si>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</si>
  <si>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</si>
  <si>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</si>
  <si>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</si>
  <si>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AQUECEDOR DE OLEO BPF (FLUIDO) TERMICO, CAPACIDADE DE 300.000  KCAL/H</t>
  </si>
  <si>
    <t>ARMADOR (HORISTA)</t>
  </si>
  <si>
    <t>AUXILIAR DE AZULEJISTA (HORISTA)</t>
  </si>
  <si>
    <t>AUXILIAR DE PEDREIRO (HORISTA)</t>
  </si>
  <si>
    <t>AZULEJISTA OU LADRILHEIRO (HORISTA)</t>
  </si>
  <si>
    <t>BENTONITA, ARGILA CONSTITUIDA POR  MONTMORILONITA</t>
  </si>
  <si>
    <t>BETONEIRA CAPACIDADE NOMINAL 600 L, CAPACIDADE DE MISTURA 440 L, MOTOR A GASOLINA POTENCIA 10 HP, COM  CARREGADOR</t>
  </si>
  <si>
    <t>BOMBA TRIPLEX COM MOTOR A DIESEL, NACIONAL, DIAMETRO DE SUCCAO DE 2  1/2''</t>
  </si>
  <si>
    <t>CALCETEIRO (HORISTA)</t>
  </si>
  <si>
    <t>CARVAO ANTRACITO PARA FILTRO, GRAO VARIANDO DE 0,8 ATE 1,1 MM, COEFICIENTE DE UNIFORMIDADE MENOR QUE 1,7 MM (POSTO JAZIDA/PRODUTOR)</t>
  </si>
  <si>
    <t>CIMENTO PORTLAND ESTRUTURAL BRANCO  CPB-32</t>
  </si>
  <si>
    <t>CONJ. DE FERRAGENS PARA PORTA DE VIDRO TEMPERADO, EM ZAMAC CROMADO, CONTEMPLANDO DOBRADICA INF., DOBRADICA SUP., PIVO PARA DOBRADICA INF., PIVO PARA DOBRADICA SUP., FECHADURA CENTRAL EM ZAMC. CROMADO, CONTRA FECHADURA DE PRESSAO</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</si>
  <si>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</si>
  <si>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</si>
  <si>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</si>
  <si>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</si>
  <si>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</si>
  <si>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</si>
  <si>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</si>
  <si>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</si>
  <si>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</si>
  <si>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FERTILIZANTE NPK -  10:10:10</t>
  </si>
  <si>
    <t>FUNDO SINTETICO NIVELADOR BRANCO FOSCO PARA MADEIRA</t>
  </si>
  <si>
    <t>GESSEIRO (HORISTA)</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</si>
  <si>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</si>
  <si>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</si>
  <si>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</si>
  <si>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50 M, CAPACIDADE MAXIMA 100 T, POTENCIA 350 KW,  TRACAO 10 X 6</t>
  </si>
  <si>
    <t>IMPERMEABILIZADOR (HORISTA)</t>
  </si>
  <si>
    <t>JARDINEIRO (HORISTA)</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</si>
  <si>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</si>
  <si>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</si>
  <si>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</si>
  <si>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</si>
  <si>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</si>
  <si>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</si>
  <si>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</si>
  <si>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</si>
  <si>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</si>
  <si>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</si>
  <si>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</si>
  <si>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</si>
  <si>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</si>
  <si>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</si>
  <si>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</si>
  <si>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</si>
  <si>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</si>
  <si>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</si>
  <si>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</si>
  <si>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</si>
  <si>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</si>
  <si>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</si>
  <si>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</si>
  <si>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</si>
  <si>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</si>
  <si>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</si>
  <si>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</si>
  <si>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</si>
  <si>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</si>
  <si>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</si>
  <si>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</si>
  <si>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</si>
  <si>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</si>
  <si>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</si>
  <si>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</si>
  <si>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</si>
  <si>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</si>
  <si>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</si>
  <si>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PONTEIRO PARA MARTELO ROMPEDOR, DIAMETRO = *28* MM, COMPRIMENTO = *520* MM, ENCAIXE  SEXTAVADO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</si>
  <si>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</si>
  <si>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</si>
  <si>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</si>
  <si>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</si>
  <si>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</si>
  <si>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</si>
  <si>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</si>
  <si>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</si>
  <si>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</si>
  <si>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</si>
  <si>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</si>
  <si>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</si>
  <si>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</si>
  <si>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</si>
  <si>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</si>
  <si>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</si>
  <si>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</si>
  <si>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</si>
  <si>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</si>
  <si>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</si>
  <si>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</si>
  <si>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</si>
  <si>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</si>
  <si>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</si>
  <si>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</si>
  <si>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</si>
  <si>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</si>
  <si>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</si>
  <si>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</si>
  <si>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</si>
  <si>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</si>
  <si>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</si>
  <si>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</si>
  <si>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</si>
  <si>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</si>
  <si>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</si>
  <si>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</si>
  <si>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</si>
  <si>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</si>
  <si>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</si>
  <si>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</si>
  <si>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</si>
  <si>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</si>
  <si>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</si>
  <si>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</si>
  <si>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</si>
  <si>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</si>
  <si>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</si>
  <si>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</si>
  <si>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</si>
  <si>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</si>
  <si>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RASTELEIRO HORISTA</t>
  </si>
  <si>
    <t>REBOLO ABRASIVO RETO DE USO GERAL GRAO 36, DE 6 X 1 " ( DIAMETRO X ALTURA)</t>
  </si>
  <si>
    <t>SERRALHEIRO (HORISTA)</t>
  </si>
  <si>
    <t>SERVICO DE BOMBEAMENTO DE CONCRETO COM CONSUMO MINIMO DE 40  M3</t>
  </si>
  <si>
    <t>SILICA ATIVA PARA ADICAO EM CONCRETO E  ARGAMASSA</t>
  </si>
  <si>
    <t>TELA DE ANIAGEM ( JUTA)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</si>
  <si>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</si>
  <si>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</si>
  <si>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</si>
  <si>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</si>
  <si>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</si>
  <si>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</si>
  <si>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</si>
  <si>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</si>
  <si>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</si>
  <si>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</si>
  <si>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</si>
  <si>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</si>
  <si>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</si>
  <si>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</si>
  <si>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</si>
  <si>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</si>
  <si>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</si>
  <si>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</si>
  <si>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</si>
  <si>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</si>
  <si>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</si>
  <si>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</si>
  <si>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</si>
  <si>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</si>
  <si>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</si>
  <si>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</si>
  <si>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</si>
  <si>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</si>
  <si>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</si>
  <si>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</si>
  <si>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</si>
  <si>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</si>
  <si>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</si>
  <si>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</si>
  <si>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</si>
  <si>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</si>
  <si>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</si>
  <si>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</si>
  <si>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</si>
  <si>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</si>
  <si>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</si>
  <si>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</si>
  <si>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</si>
  <si>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</si>
  <si>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</si>
  <si>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</si>
  <si>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</si>
  <si>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</si>
  <si>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</si>
  <si>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</si>
  <si>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</si>
  <si>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</si>
  <si>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</si>
  <si>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</si>
  <si>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</si>
  <si>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</si>
  <si>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</si>
  <si>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</si>
  <si>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</si>
  <si>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</si>
  <si>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</si>
  <si>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</si>
  <si>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</si>
  <si>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</si>
  <si>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</si>
  <si>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</si>
  <si>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</si>
  <si>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</si>
  <si>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</si>
  <si>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</si>
  <si>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</si>
  <si>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</si>
  <si>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</si>
  <si>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</si>
  <si>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</si>
  <si>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</si>
  <si>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</si>
  <si>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</si>
  <si>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</si>
  <si>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</si>
  <si>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</si>
  <si>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</si>
  <si>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</si>
  <si>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</si>
  <si>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</si>
  <si>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</si>
  <si>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</si>
  <si>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</si>
  <si>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</si>
  <si>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</si>
  <si>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</si>
  <si>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</si>
  <si>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</si>
  <si>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</si>
  <si>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</si>
  <si>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</si>
  <si>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</si>
  <si>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</si>
  <si>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</si>
  <si>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</si>
  <si>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</si>
  <si>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</si>
  <si>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</si>
  <si>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</si>
  <si>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</si>
  <si>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</si>
  <si>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</si>
  <si>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</si>
  <si>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</si>
  <si>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</si>
  <si>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</si>
  <si>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</si>
  <si>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</si>
  <si>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</si>
  <si>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</si>
  <si>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</si>
  <si>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</si>
  <si>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</si>
  <si>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</si>
  <si>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</si>
  <si>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</si>
  <si>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</si>
  <si>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</si>
  <si>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</si>
  <si>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</si>
  <si>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</si>
  <si>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</si>
  <si>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</si>
  <si>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</si>
  <si>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</si>
  <si>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</si>
  <si>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</si>
  <si>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</si>
  <si>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</si>
  <si>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</si>
  <si>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</si>
  <si>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</si>
  <si>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</si>
  <si>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</si>
  <si>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</si>
  <si>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</si>
  <si>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</si>
  <si>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</si>
  <si>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</si>
  <si>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</si>
  <si>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</si>
  <si>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</si>
  <si>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</si>
  <si>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</si>
  <si>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</si>
  <si>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</si>
  <si>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</si>
  <si>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</si>
  <si>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</si>
  <si>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</si>
  <si>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</si>
  <si>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</si>
  <si>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</si>
  <si>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</si>
  <si>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</si>
  <si>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</si>
  <si>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</si>
  <si>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</si>
  <si>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</si>
  <si>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</si>
  <si>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</si>
  <si>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</si>
  <si>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</si>
  <si>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</si>
  <si>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</si>
  <si>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</si>
  <si>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</si>
  <si>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</si>
  <si>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</si>
  <si>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</si>
  <si>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</si>
  <si>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</si>
  <si>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</si>
  <si>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</si>
  <si>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</si>
  <si>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</si>
  <si>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</si>
  <si>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</si>
  <si>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</si>
  <si>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</si>
  <si>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</si>
  <si>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</si>
  <si>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</si>
  <si>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</si>
  <si>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</si>
  <si>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</si>
  <si>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</si>
  <si>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</si>
  <si>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</si>
  <si>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</si>
  <si>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</si>
  <si>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</si>
  <si>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</si>
  <si>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</si>
  <si>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</si>
  <si>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</si>
  <si>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</si>
  <si>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</si>
  <si>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</si>
  <si>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</si>
  <si>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</si>
  <si>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</si>
  <si>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</si>
  <si>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</si>
  <si>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</si>
  <si>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</si>
  <si>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</si>
  <si>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</si>
  <si>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</si>
  <si>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</si>
  <si>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</si>
  <si>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</si>
  <si>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</si>
  <si>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</si>
  <si>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</si>
  <si>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</si>
  <si>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</si>
  <si>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</si>
  <si>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</si>
  <si>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</si>
  <si>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</si>
  <si>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</si>
  <si>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</si>
  <si>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</si>
  <si>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</si>
  <si>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</si>
  <si>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</si>
  <si>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</si>
  <si>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</si>
  <si>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</si>
  <si>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</si>
  <si>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</si>
  <si>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</si>
  <si>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</si>
  <si>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</si>
  <si>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</si>
  <si>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</si>
  <si>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</si>
  <si>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</si>
  <si>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</si>
  <si>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</si>
  <si>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</si>
  <si>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</si>
  <si>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</si>
  <si>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</si>
  <si>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</si>
  <si>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</si>
  <si>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</si>
  <si>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</si>
  <si>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</si>
  <si>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</si>
  <si>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</si>
  <si>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</si>
  <si>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</si>
  <si>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</si>
  <si>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</si>
  <si>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</si>
  <si>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</si>
  <si>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</si>
  <si>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</si>
  <si>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</si>
  <si>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</si>
  <si>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SUBSOLO</t>
  </si>
  <si>
    <t>TERREO</t>
  </si>
  <si>
    <t xml:space="preserve">ESCADA ACESSO </t>
  </si>
  <si>
    <t>TUBULAÇÃO DE ALIMENTAÇÃO DO RESERVATÓRIO DE INCÊNDIO</t>
  </si>
  <si>
    <t>RAMPA DE ACESSO</t>
  </si>
  <si>
    <t>= QUANTIDADE DE MESES DE EXECUÇÃO 12</t>
  </si>
  <si>
    <t>REVESTIMENTO CERÂMICO PARA PISO COM PLACAS TIPO PORCELANATO RETIFICADO  0,90X0,90m PORTOBELLO OU SIMILAR, ARGAMASSA TIPO AC III, APLICADAS EM AMBIENTES DE ÁREA MAIOR QUE 5 M2 NA ALTURA INTEIRA DAS PAREDES. FORNECIMENTO E INSTALAÇÃO. AF_06/2014</t>
  </si>
  <si>
    <t>PISO</t>
  </si>
  <si>
    <t>PISOS</t>
  </si>
  <si>
    <t>=(4,29+3,72)*2,60</t>
  </si>
  <si>
    <t>=(14+14)*2,60</t>
  </si>
  <si>
    <t>ver projeto</t>
  </si>
  <si>
    <t>=(73,64+18,14+15,78)*3,46</t>
  </si>
  <si>
    <t>3.7</t>
  </si>
  <si>
    <t>3.7.1</t>
  </si>
  <si>
    <t>3.7.2</t>
  </si>
  <si>
    <t>3.7.3</t>
  </si>
  <si>
    <t>=(0,8+0,60)*2</t>
  </si>
  <si>
    <t>4.1.4</t>
  </si>
  <si>
    <t>=6,13</t>
  </si>
  <si>
    <t>=106,40</t>
  </si>
  <si>
    <t>=26,61</t>
  </si>
  <si>
    <t>=326,10</t>
  </si>
  <si>
    <t>=4</t>
  </si>
  <si>
    <t>=297,31</t>
  </si>
  <si>
    <t>=25,08</t>
  </si>
  <si>
    <t>=102,74</t>
  </si>
  <si>
    <t>=26,45+27,59</t>
  </si>
  <si>
    <t>=279,75+27,46</t>
  </si>
  <si>
    <t>=8</t>
  </si>
  <si>
    <t>SEPLAG ARQ 136</t>
  </si>
  <si>
    <t>91338 - PORTA DE ALUMÍNIO DE ABRIR COM LAMBRI, COM GUARNIÇÃO, FIXAÇÃO COM PARAFUSOS - FORNECIMENTO E INSTALAÇÃO. AF_12/2019</t>
  </si>
  <si>
    <t>PORTA DE ALUMÍNIO DE ABRIR COM LAMBRI, 2 FOLHAS, 2,00x2,10 COM GUARNIÇÃO, FIXAÇÃO COM PARAFUSOS - FORNECIMENTO E INSTALAÇÃO. AF_12/2019</t>
  </si>
  <si>
    <t>PORTA DE ALUMÍNIO DE CORRER, 4 FOLHAS, 2,00x2,10 COM GUARNIÇÃO,  FECHADURA E PUXADOR, SEM ALIZAR. AF_12/2019</t>
  </si>
  <si>
    <t>SEPLAG ARQ 137</t>
  </si>
  <si>
    <t>=184,61</t>
  </si>
  <si>
    <t>4.3.5</t>
  </si>
  <si>
    <t>=7</t>
  </si>
  <si>
    <t>SEPLAG ARQ 138</t>
  </si>
  <si>
    <t>PORTA PIVOTANTE DE VIDRO TEMPERADO E ALUMINIO, 2 FOLHAS DE 100X250 CM, ESPESSURA DE 10MM, INCLUSIVE ACESSÓRIOS. FORNCECIMENTO E INSTALAÇÃO. AF_01/2021</t>
  </si>
  <si>
    <t>=0,8*1,30</t>
  </si>
  <si>
    <t>4.3.6</t>
  </si>
  <si>
    <t>4.3.7</t>
  </si>
  <si>
    <t>=5+3,36</t>
  </si>
  <si>
    <t>=3,60*0,3</t>
  </si>
  <si>
    <t>=187,42</t>
  </si>
  <si>
    <t>=872,40</t>
  </si>
  <si>
    <t>4.3.8</t>
  </si>
  <si>
    <t>=0,9</t>
  </si>
  <si>
    <t>=9</t>
  </si>
  <si>
    <t>PORTA PRETA LISA SÓLIDA PORMADE 1,00X2,10 DE CORRER, INCLUSO ADUELA 1A, ALIZAR 1A, TRILHO E FECHADURA, ACABAMENTO DE COR UNIFORME, RESISTENTES A ESTUFAMENTOS. FORNECIMENTO E INSTALAÇÃO</t>
  </si>
  <si>
    <t>5.4.4</t>
  </si>
  <si>
    <t>=3,36</t>
  </si>
  <si>
    <t>5.4.5</t>
  </si>
  <si>
    <t>=1,6*0,3</t>
  </si>
  <si>
    <t>PISO E REVESTIMENTO</t>
  </si>
  <si>
    <t>SERVIÇOS COMPLEMENTARES</t>
  </si>
  <si>
    <t>'=(1,31+3,26+3,52+0,96)*2</t>
  </si>
  <si>
    <t>=11,50*3,65</t>
  </si>
  <si>
    <t>=21,07*2*0,05</t>
  </si>
  <si>
    <t>VER PLANILHA DE CALCULO</t>
  </si>
  <si>
    <t>=21,07*2*0,15</t>
  </si>
  <si>
    <t>=21,07*2*0,15*0,2</t>
  </si>
  <si>
    <t>ver planilha</t>
  </si>
  <si>
    <t>=11,50*3,65*0,03</t>
  </si>
  <si>
    <t>=8,92</t>
  </si>
  <si>
    <t>=87,50</t>
  </si>
  <si>
    <t>=51,80</t>
  </si>
  <si>
    <t>=36,80</t>
  </si>
  <si>
    <t>=324,0</t>
  </si>
  <si>
    <t>=82,00</t>
  </si>
  <si>
    <t>=3,38</t>
  </si>
  <si>
    <t>=6</t>
  </si>
  <si>
    <t>=132,70</t>
  </si>
  <si>
    <t>=200,90</t>
  </si>
  <si>
    <t>=112,90</t>
  </si>
  <si>
    <t>=149,70</t>
  </si>
  <si>
    <t>=74,20</t>
  </si>
  <si>
    <t>=10,80</t>
  </si>
  <si>
    <t>=11,40</t>
  </si>
  <si>
    <t>=11,40*0,03</t>
  </si>
  <si>
    <t>=6,26</t>
  </si>
  <si>
    <t>=14,80</t>
  </si>
  <si>
    <t>=321,10</t>
  </si>
  <si>
    <t>=20,80</t>
  </si>
  <si>
    <t>=6,30</t>
  </si>
  <si>
    <t>=4,54</t>
  </si>
  <si>
    <t>=305,90</t>
  </si>
  <si>
    <t>=2,40</t>
  </si>
  <si>
    <t>=188,90</t>
  </si>
  <si>
    <t>=438,70</t>
  </si>
  <si>
    <t>=147,0</t>
  </si>
  <si>
    <t>=15,4</t>
  </si>
  <si>
    <t>=25,16</t>
  </si>
  <si>
    <t>=144,00</t>
  </si>
  <si>
    <t>=24,32+10,39+17,78</t>
  </si>
  <si>
    <t>=45</t>
  </si>
  <si>
    <t>=18</t>
  </si>
  <si>
    <t>=3</t>
  </si>
  <si>
    <t>=41</t>
  </si>
  <si>
    <t>=20,6</t>
  </si>
  <si>
    <t>=20,60</t>
  </si>
  <si>
    <t>=62</t>
  </si>
  <si>
    <t>=140,00</t>
  </si>
  <si>
    <t>CABO DE COBRE FLEXIVEL BLINDADO PARA INCÊNDIO 3 VIAS + TERRA, SEÇÃO 1,5mm². FORNECIMENTO E INSTALAÇÃO.</t>
  </si>
  <si>
    <t>SEPLAG INC 41</t>
  </si>
  <si>
    <t>=34,4</t>
  </si>
  <si>
    <t>=58</t>
  </si>
  <si>
    <t>=19</t>
  </si>
  <si>
    <t>=14</t>
  </si>
  <si>
    <t>PLACA FOTOLUMINESCENTE "E8"- ABRIGO DE MANGUEIRA E HIDRANTE- 300 X 300.  FORNECIMENTO E INSTALAÇÃO.</t>
  </si>
  <si>
    <t>=30</t>
  </si>
  <si>
    <t>=0,2*ext tubo</t>
  </si>
  <si>
    <t>SEPLAG INC 42</t>
  </si>
  <si>
    <t>REGISTRO OU VALVULA GLOBO ANGULAR EM LATAO, PARA HIDRANTES, FORNECIMENTO E INSTALAÇÃO</t>
  </si>
  <si>
    <t>TAMPAO COM CORRENTE, EM LATAO, ENGATE RAPIDO 1 1/2", FORNECIMENTO E INSTALAÇÃO</t>
  </si>
  <si>
    <t>SEPLAG INC 43</t>
  </si>
  <si>
    <t>SEPLAG INC 44</t>
  </si>
  <si>
    <t>TAMPAO COM CORRENTE, EM LATAO, ENGATE RAPIDO 2 1/2", FORNECIMENTO E INSTALAÇÃO</t>
  </si>
  <si>
    <t>6.0</t>
  </si>
  <si>
    <t>6.1</t>
  </si>
  <si>
    <t>6.1.1</t>
  </si>
  <si>
    <t>6.1.2</t>
  </si>
  <si>
    <t>6.1.3</t>
  </si>
  <si>
    <t>6.1.4</t>
  </si>
  <si>
    <t>6.2</t>
  </si>
  <si>
    <t>6.2.1</t>
  </si>
  <si>
    <t>6.2.2</t>
  </si>
  <si>
    <t>6.2.3</t>
  </si>
  <si>
    <t>6.2.4</t>
  </si>
  <si>
    <t>6.2.5</t>
  </si>
  <si>
    <t>6.2.6</t>
  </si>
  <si>
    <t>6.2.7</t>
  </si>
  <si>
    <t>6.2.8</t>
  </si>
  <si>
    <t>6.2.9</t>
  </si>
  <si>
    <t>6.3</t>
  </si>
  <si>
    <t>6.3.1</t>
  </si>
  <si>
    <t>6.3.2</t>
  </si>
  <si>
    <t>6.3.3</t>
  </si>
  <si>
    <t>6.3.4</t>
  </si>
  <si>
    <t>6.3.5</t>
  </si>
  <si>
    <t>6.3.6</t>
  </si>
  <si>
    <t>6.3.7</t>
  </si>
  <si>
    <t>6.3.8</t>
  </si>
  <si>
    <t>6.3.9</t>
  </si>
  <si>
    <t>6.3.10</t>
  </si>
  <si>
    <t>6.3.11</t>
  </si>
  <si>
    <t>6.3.12</t>
  </si>
  <si>
    <t>6.3.13</t>
  </si>
  <si>
    <t>6.3.14</t>
  </si>
  <si>
    <t>6.4</t>
  </si>
  <si>
    <t>6.4.1</t>
  </si>
  <si>
    <t>6.4.2</t>
  </si>
  <si>
    <t>6.4.3</t>
  </si>
  <si>
    <t>6.4.4</t>
  </si>
  <si>
    <t>6.4.5</t>
  </si>
  <si>
    <t>6.4.6</t>
  </si>
  <si>
    <t>6.4.7</t>
  </si>
  <si>
    <t>6.4.8</t>
  </si>
  <si>
    <t>6.4.9</t>
  </si>
  <si>
    <t>6.4.10</t>
  </si>
  <si>
    <t>6.4.11</t>
  </si>
  <si>
    <t>7.0</t>
  </si>
  <si>
    <t>7.1</t>
  </si>
  <si>
    <t>7.1.1</t>
  </si>
  <si>
    <t>7.1.2</t>
  </si>
  <si>
    <t>7.1.3</t>
  </si>
  <si>
    <t>7.1.4</t>
  </si>
  <si>
    <t>7.1.6</t>
  </si>
  <si>
    <t>7.1.9</t>
  </si>
  <si>
    <t>7.1.10</t>
  </si>
  <si>
    <t>7.1.12</t>
  </si>
  <si>
    <t>7.1.13</t>
  </si>
  <si>
    <t>7.2</t>
  </si>
  <si>
    <t>7.2.1</t>
  </si>
  <si>
    <t>7.2.2</t>
  </si>
  <si>
    <t>7.2.3</t>
  </si>
  <si>
    <t>7.2.4</t>
  </si>
  <si>
    <t>7.2.6</t>
  </si>
  <si>
    <t>7.2.7</t>
  </si>
  <si>
    <t>7.2.8</t>
  </si>
  <si>
    <t>7.2.15</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</si>
  <si>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</si>
  <si>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</si>
  <si>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</si>
  <si>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</si>
  <si>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</si>
  <si>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</si>
  <si>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</si>
  <si>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</si>
  <si>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</si>
  <si>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</si>
  <si>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</si>
  <si>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</si>
  <si>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</si>
  <si>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</si>
  <si>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</si>
  <si>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</si>
  <si>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</si>
  <si>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</si>
  <si>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</si>
  <si>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</si>
  <si>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</si>
  <si>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</si>
  <si>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</si>
  <si>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</si>
  <si>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</si>
  <si>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</si>
  <si>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</si>
  <si>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</si>
  <si>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</si>
  <si>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8.0</t>
  </si>
  <si>
    <t>8.1</t>
  </si>
  <si>
    <t>8.1.1</t>
  </si>
  <si>
    <t>8.1.2</t>
  </si>
  <si>
    <t>8.1.3</t>
  </si>
  <si>
    <t>8.1.4</t>
  </si>
  <si>
    <t>8.1.5</t>
  </si>
  <si>
    <t>8.1.6</t>
  </si>
  <si>
    <t>8.1.7</t>
  </si>
  <si>
    <t>8.1.8</t>
  </si>
  <si>
    <t>8.1.9</t>
  </si>
  <si>
    <t>8.1.10</t>
  </si>
  <si>
    <t>8.1.11</t>
  </si>
  <si>
    <t>8.1.12</t>
  </si>
  <si>
    <t>8.1.13</t>
  </si>
  <si>
    <t>8.1.14</t>
  </si>
  <si>
    <t>8.1.15</t>
  </si>
  <si>
    <t>8.1.16</t>
  </si>
  <si>
    <t>8.1.17</t>
  </si>
  <si>
    <t>9.0</t>
  </si>
  <si>
    <t>9.1</t>
  </si>
  <si>
    <t>9.1.1</t>
  </si>
  <si>
    <t>9.1.2</t>
  </si>
  <si>
    <t>9.1.3</t>
  </si>
  <si>
    <t>9.1.4</t>
  </si>
  <si>
    <t>9.1.5</t>
  </si>
  <si>
    <t>9.1.6</t>
  </si>
  <si>
    <t>9.1.7</t>
  </si>
  <si>
    <t>10.0</t>
  </si>
  <si>
    <t>10.1</t>
  </si>
  <si>
    <t>10.2</t>
  </si>
  <si>
    <t>10.3</t>
  </si>
  <si>
    <t>10.4</t>
  </si>
  <si>
    <t>10.5</t>
  </si>
  <si>
    <t>10.6</t>
  </si>
  <si>
    <t>10.7</t>
  </si>
  <si>
    <t>10.8</t>
  </si>
  <si>
    <t>10.9</t>
  </si>
  <si>
    <t>10.10</t>
  </si>
  <si>
    <t>10.11</t>
  </si>
  <si>
    <t>10.12</t>
  </si>
  <si>
    <t>10.13</t>
  </si>
  <si>
    <t>10.14</t>
  </si>
  <si>
    <t>10.15</t>
  </si>
  <si>
    <t>10.16</t>
  </si>
  <si>
    <t>10.17</t>
  </si>
  <si>
    <t>11.0</t>
  </si>
  <si>
    <t>11.1</t>
  </si>
  <si>
    <t>11.1.1</t>
  </si>
  <si>
    <t>11.1.2</t>
  </si>
  <si>
    <t>11.1.3</t>
  </si>
  <si>
    <t>11.1.4</t>
  </si>
  <si>
    <t>11.2</t>
  </si>
  <si>
    <t>11.2.1</t>
  </si>
  <si>
    <t>11.2.2</t>
  </si>
  <si>
    <t>11.2.3</t>
  </si>
  <si>
    <t>11.2.4</t>
  </si>
  <si>
    <t>11.2.5</t>
  </si>
  <si>
    <t>11.2.6</t>
  </si>
  <si>
    <t>11.2.7</t>
  </si>
  <si>
    <t>11.2.8</t>
  </si>
  <si>
    <t>11.2.9</t>
  </si>
  <si>
    <t>11.3</t>
  </si>
  <si>
    <t>11.3.1</t>
  </si>
  <si>
    <t>11.3.2</t>
  </si>
  <si>
    <t>11.4</t>
  </si>
  <si>
    <t>11.4.1</t>
  </si>
  <si>
    <t>12.0</t>
  </si>
  <si>
    <t>12.1</t>
  </si>
  <si>
    <t>12.1.1</t>
  </si>
  <si>
    <t>12.1.2</t>
  </si>
  <si>
    <t>12.1.3</t>
  </si>
  <si>
    <t>12.2</t>
  </si>
  <si>
    <t>12.2.1</t>
  </si>
  <si>
    <t>12.2.2</t>
  </si>
  <si>
    <t>12.2.3</t>
  </si>
  <si>
    <t>12.2.4</t>
  </si>
  <si>
    <t>12.2.5</t>
  </si>
  <si>
    <t>12.2.6</t>
  </si>
  <si>
    <t>12.2.7</t>
  </si>
  <si>
    <t>12.3</t>
  </si>
  <si>
    <t>12.3.1</t>
  </si>
  <si>
    <t>12.3.2</t>
  </si>
  <si>
    <t>12.3.3</t>
  </si>
  <si>
    <t>12.3.4</t>
  </si>
  <si>
    <t>12.3.5</t>
  </si>
  <si>
    <t>12.4</t>
  </si>
  <si>
    <t>12.4.1</t>
  </si>
  <si>
    <t>12.4.2</t>
  </si>
  <si>
    <t>12.4.3</t>
  </si>
  <si>
    <t>13.0</t>
  </si>
  <si>
    <t>13.1</t>
  </si>
  <si>
    <t>13.2</t>
  </si>
  <si>
    <t>13.2.1</t>
  </si>
  <si>
    <t>13.3</t>
  </si>
  <si>
    <t>13.3.1</t>
  </si>
  <si>
    <t>13.3.2</t>
  </si>
  <si>
    <t>13.3.3</t>
  </si>
  <si>
    <t>14.0</t>
  </si>
  <si>
    <t>14.1</t>
  </si>
  <si>
    <t>14.2</t>
  </si>
  <si>
    <t>14.3</t>
  </si>
  <si>
    <t>14.4</t>
  </si>
  <si>
    <t>14.5</t>
  </si>
  <si>
    <t>14.6</t>
  </si>
  <si>
    <t>16.2</t>
  </si>
  <si>
    <t>16.2.1</t>
  </si>
  <si>
    <t>16.2.2</t>
  </si>
  <si>
    <t>16.2.3</t>
  </si>
  <si>
    <t>16.2.4</t>
  </si>
  <si>
    <t>16.2.5</t>
  </si>
  <si>
    <t>16.2.6</t>
  </si>
  <si>
    <t>16.2.7</t>
  </si>
  <si>
    <t>16.3</t>
  </si>
  <si>
    <t>16.3.1</t>
  </si>
  <si>
    <t>16.3.2</t>
  </si>
  <si>
    <t>16.3.3</t>
  </si>
  <si>
    <t>16.3.4</t>
  </si>
  <si>
    <t>16.3.5</t>
  </si>
  <si>
    <t>16.3.6</t>
  </si>
  <si>
    <t>16.3.7</t>
  </si>
  <si>
    <t>16.4</t>
  </si>
  <si>
    <t>16.4.1</t>
  </si>
  <si>
    <t>16.4.2</t>
  </si>
  <si>
    <t>16.4.3</t>
  </si>
  <si>
    <t>SEPLAG INC 45</t>
  </si>
  <si>
    <t>CENTRAL DE ALARME DE INCÊNDIO ENDEREÇAVEL 2 LAÇOS, ATENDENDO NO MINIMO 125 ENDEREÇOS POR LAÇO. FORNECIMENTO E INSTALAÇÃO.</t>
  </si>
  <si>
    <t>CENTRAL DE ALARME ENDEREÇÁVEL 125 ENDEREÇOS</t>
  </si>
  <si>
    <t>J04- JANELA MAXIN AR 1,00 x 1,70 FORNECIMENTO E INSTALAÇÃO. FORNECIMENTO E INSTALAÇÃO.</t>
  </si>
  <si>
    <t>=161</t>
  </si>
  <si>
    <t>TERMINAL A COMPRESSAO EM COBRE ESTANHADO PARA CABO 35 MM2, 1 FURO E 1 COMPRESSAO, PARA PARAFUSO DE FIXACAO M8, FORNECIMENTO E INSTALAÇÃO</t>
  </si>
  <si>
    <t>SEPLAG SPDA 16</t>
  </si>
  <si>
    <t>=15</t>
  </si>
  <si>
    <t>=132</t>
  </si>
  <si>
    <t>CABO DE COBRE NU 35 MM² - FORNECIMENTO E INSTALAÇÃO. AF_12/2017</t>
  </si>
  <si>
    <t>SEPLAG SPDA 17</t>
  </si>
  <si>
    <t>=236</t>
  </si>
  <si>
    <t>=28</t>
  </si>
  <si>
    <t>=105,00</t>
  </si>
  <si>
    <t>7.1.14</t>
  </si>
  <si>
    <t>7.1.15</t>
  </si>
  <si>
    <t>7.1.16</t>
  </si>
  <si>
    <t>11.4.2</t>
  </si>
  <si>
    <t>=3,26+0,94+3,52</t>
  </si>
  <si>
    <t>PISO TATIL DERECIONAL/ALERTA EM CONCRETO (COLORIDO) 25,0X25,0 CM</t>
  </si>
  <si>
    <t>UNITRAMA</t>
  </si>
  <si>
    <t>6.5</t>
  </si>
  <si>
    <t>CISTERNA</t>
  </si>
  <si>
    <t>6.5.1</t>
  </si>
  <si>
    <t>6.5.1.1</t>
  </si>
  <si>
    <t>6.5.1.2</t>
  </si>
  <si>
    <t>6.5.1.3</t>
  </si>
  <si>
    <t>6.5.1.4</t>
  </si>
  <si>
    <t>6.5.2</t>
  </si>
  <si>
    <t>6.5.2.1</t>
  </si>
  <si>
    <t>6.5.2.2</t>
  </si>
  <si>
    <t>6.5.2.3</t>
  </si>
  <si>
    <t>6.5.2.4</t>
  </si>
  <si>
    <t>6.5.2.5</t>
  </si>
  <si>
    <t>6.5.2.6</t>
  </si>
  <si>
    <t>6.5.2.7</t>
  </si>
  <si>
    <t>6.5.2.8</t>
  </si>
  <si>
    <t>=5,8*5,8*3,3</t>
  </si>
  <si>
    <t>=5,8*5,8</t>
  </si>
  <si>
    <t>=5,8*5,8*0,03</t>
  </si>
  <si>
    <t>=(5,8*5,8*3,3)-(5,3*5,3*3,2)</t>
  </si>
  <si>
    <t>6.5.3</t>
  </si>
  <si>
    <t>6.5.3.1</t>
  </si>
  <si>
    <t>06979/ORSE</t>
  </si>
  <si>
    <t>09141/ORSE</t>
  </si>
  <si>
    <t>SHOPTIME</t>
  </si>
  <si>
    <t>00.776.574/0006-60</t>
  </si>
  <si>
    <t>https://www.shoptime.com.br/produto/2391235957?epar=bp_pl_px_go_pmax_casaeconstrucao&amp;opn=GOOGLEXML&amp;WT.srch=1&amp;gclid=EAIaIQobChMInvTU1qTN9gIVVsmUCR1INglYEAQYDCABEgJiBvD_BwE</t>
  </si>
  <si>
    <t>LUMILED</t>
  </si>
  <si>
    <t>https://lumiled.com.br/produto/central-de-alarme-de-incendio-enderecavel-smart-125/?utm_source=Google+Shopping&amp;utm_medium=cpc&amp;utm_campaign=Lumiled&amp;gclid=EAIaIQobChMIj_TpiKLN9gIVCw2RCh0C7AM7EAQYASABEgKsTPD_BwE</t>
  </si>
  <si>
    <t>MEG SEGURANÇA ELETRONICA</t>
  </si>
  <si>
    <t>https://www.megsegurancaeletronica.com.br/MLB-1690880988-central-alarme-incndio-segurimax-125l-enderecavel-bateria-_JM?utm_source=google&amp;utm_medium=cpc&amp;utm_campaign=darwin_ss</t>
  </si>
  <si>
    <t>TAMPÃO FERRO FUNDIDO ARTICULADO, FORNECIMENTO E INSTALAÇÃO.</t>
  </si>
  <si>
    <t>SEPLAG ARQ 139</t>
  </si>
  <si>
    <t>ESTRUTURA METALICA</t>
  </si>
  <si>
    <t>=21,11+((2,25+5,34)*2)+(2,50*0,5)+((1,10+2,2)*0,5)+(6,40*2)+((3,14+2,25)*2)</t>
  </si>
  <si>
    <t>SEPLAG ARQ 140</t>
  </si>
  <si>
    <t>SEPLAG ARQ 141</t>
  </si>
  <si>
    <t>SEPLAG ARQ 142</t>
  </si>
  <si>
    <t>13.1.1</t>
  </si>
  <si>
    <t>13.1.1.1</t>
  </si>
  <si>
    <t>13.1.1.2</t>
  </si>
  <si>
    <t>13.1.2</t>
  </si>
  <si>
    <t>13.1.2.1</t>
  </si>
  <si>
    <t>13.1.2.2</t>
  </si>
  <si>
    <t>13.1.2.3</t>
  </si>
  <si>
    <t>13.1.2.5</t>
  </si>
  <si>
    <t>13.1.2.6</t>
  </si>
  <si>
    <t>13.1.2.7</t>
  </si>
  <si>
    <t>13.1.2.8</t>
  </si>
  <si>
    <t>13.1.3</t>
  </si>
  <si>
    <t>13.1.3.1</t>
  </si>
  <si>
    <t>13.1.3.2</t>
  </si>
  <si>
    <t>=(12,23*(0,57+0,57+0,05)*4)+(7,34*(0,57+0,57+0,05))+(8,15*(0,57+0,57+0,05))</t>
  </si>
  <si>
    <t>BRISE FACHADA</t>
  </si>
  <si>
    <t>ESTRUTURA PARA SUPORTE DAS BRISES, FORNECIMENTO E INSTALAÇÃO.</t>
  </si>
  <si>
    <t>CORRIMÃO DUPLO CENTRAL EM TUBO DE FERRO GALVANIZADO 1 1/2", COM CHUMBADORES PARA FIXAÇÃO NO PISO, FORNECIMENTO E INSTALAÇÃO.</t>
  </si>
  <si>
    <t>ESCADA MARINHEIRO EM AÇO CA-50 D=16MM (5/8"), EXCETO PINTURA - REV 01, FORNECIMENTO E INSTALAÇÃO.</t>
  </si>
  <si>
    <t>MARQUISE ENTRADA PRINCIPAL, FORNECIMENTO E INSTALAÇÃO.</t>
  </si>
  <si>
    <t>PILARES ENTRADA PRINCIPAL , H=12,23 M - TIPO 01, FORNECIMENTO E INSTALAÇÃO.</t>
  </si>
  <si>
    <t>PILARES ENTRADA PRINCIPAL, H=7,348 M - TIPO 02, FORNECIMENTO E INSTALAÇÃO.</t>
  </si>
  <si>
    <t>PILARES ENTRADA PRINCIPAL,  H=8,155 M  - TIPO 03, FORNECIMENTO E INSTALAÇÃO.</t>
  </si>
  <si>
    <t>REVESTIMENTO METALICO HUNTER DOUGLAS - BRISE SCREENPANELL J #805 OU SIMILAR, FORNECIMENTO E INSTALAÇÃO.</t>
  </si>
  <si>
    <t>REVESTIMENTO METALICO HUNTER DOUGLAS - BRISE SCREENPANELL J #805 OU SIMILAR</t>
  </si>
  <si>
    <t>SEPLAG ARQ 143</t>
  </si>
  <si>
    <t>=22,91*2</t>
  </si>
  <si>
    <t>ver planilha de calculo</t>
  </si>
  <si>
    <t>4.3.9</t>
  </si>
  <si>
    <t>5.5.1</t>
  </si>
  <si>
    <t>3.3.3</t>
  </si>
  <si>
    <t>3.3.4</t>
  </si>
  <si>
    <t>3.3.5</t>
  </si>
  <si>
    <t>3.3.6</t>
  </si>
  <si>
    <t>=0,55*0,7*1*5+0,65*0,7*1*2</t>
  </si>
  <si>
    <t>=0,55*0,7*5+0,65*0,7*2</t>
  </si>
  <si>
    <t>=0,55*0,7*0,03*5+0,65*0,7*0,03*2</t>
  </si>
  <si>
    <t>=2,83-0,95</t>
  </si>
  <si>
    <t>=1,7+1+0,95</t>
  </si>
  <si>
    <t>=66</t>
  </si>
  <si>
    <t>=105,30</t>
  </si>
  <si>
    <t>=93,8</t>
  </si>
  <si>
    <t>=50,75</t>
  </si>
  <si>
    <t>FUNDAÇÃO/ESTRUTURA</t>
  </si>
  <si>
    <t>=0,55*0,7*0,04*5+0,65*0,7*0,04*2</t>
  </si>
  <si>
    <t>3.1.7</t>
  </si>
  <si>
    <t>SEPLAG ARQ 144</t>
  </si>
  <si>
    <t>PISO EM GRANILITE, MARMORITE OU GRANITINA EM AMBIENTES INTERNOS. AF_09/2020</t>
  </si>
  <si>
    <t>3.6.4</t>
  </si>
  <si>
    <t>3.8</t>
  </si>
  <si>
    <t>3.8.1</t>
  </si>
  <si>
    <t>3.8.2</t>
  </si>
  <si>
    <t>3.8.3</t>
  </si>
  <si>
    <t>3.9</t>
  </si>
  <si>
    <t>3.9.1</t>
  </si>
  <si>
    <t>3.9.2</t>
  </si>
  <si>
    <t>3.9.3</t>
  </si>
  <si>
    <t>=22,95</t>
  </si>
  <si>
    <t>3.8.4</t>
  </si>
  <si>
    <t>5.5.2</t>
  </si>
  <si>
    <t>5.5.3</t>
  </si>
  <si>
    <t>5.5.4</t>
  </si>
  <si>
    <t>=12,49+6,89+27,17</t>
  </si>
  <si>
    <t>=((4,18*3)+11,54)*2,60</t>
  </si>
  <si>
    <t>=(4,18*3+11,54)*2,60*2+(14+14)2,60*2</t>
  </si>
  <si>
    <t>PLACA DE ACM - AZUL/CINZA/BEGE 1,22X5,0M</t>
  </si>
  <si>
    <t>(65) 3622-2433</t>
  </si>
  <si>
    <t>=4,13</t>
  </si>
  <si>
    <t>=1,36</t>
  </si>
  <si>
    <t>=22,02</t>
  </si>
  <si>
    <t>COT02</t>
  </si>
  <si>
    <t>COT03</t>
  </si>
  <si>
    <t>COT04</t>
  </si>
  <si>
    <t>COT05</t>
  </si>
  <si>
    <t>COT06</t>
  </si>
  <si>
    <t>COT07</t>
  </si>
  <si>
    <t>COT08</t>
  </si>
  <si>
    <t>COT09</t>
  </si>
  <si>
    <t>COT10</t>
  </si>
  <si>
    <t>COT11</t>
  </si>
  <si>
    <t>COT12</t>
  </si>
  <si>
    <t>COT13</t>
  </si>
  <si>
    <t>COT14</t>
  </si>
  <si>
    <t>COT15</t>
  </si>
  <si>
    <t>COT16</t>
  </si>
  <si>
    <t>COT17</t>
  </si>
  <si>
    <t>COT18</t>
  </si>
  <si>
    <t>COT19</t>
  </si>
  <si>
    <t>COT20</t>
  </si>
  <si>
    <t>COT21</t>
  </si>
  <si>
    <t>COT22</t>
  </si>
  <si>
    <t>COT23</t>
  </si>
  <si>
    <t>COT24</t>
  </si>
  <si>
    <t>COT25</t>
  </si>
  <si>
    <t>COT26</t>
  </si>
  <si>
    <t>COT27</t>
  </si>
  <si>
    <t>COT28</t>
  </si>
  <si>
    <t>COT29</t>
  </si>
  <si>
    <t>COT30</t>
  </si>
  <si>
    <t>COT31</t>
  </si>
  <si>
    <t>COT32</t>
  </si>
  <si>
    <t>COT33</t>
  </si>
  <si>
    <t>COT34</t>
  </si>
  <si>
    <t>COT35</t>
  </si>
  <si>
    <t>COT36</t>
  </si>
  <si>
    <t>COT38</t>
  </si>
  <si>
    <t>COT39</t>
  </si>
  <si>
    <t>COT40</t>
  </si>
  <si>
    <t>COT41</t>
  </si>
  <si>
    <t>COT42</t>
  </si>
  <si>
    <t>COT43</t>
  </si>
  <si>
    <t>COT44</t>
  </si>
  <si>
    <t>COT45</t>
  </si>
  <si>
    <t>COT46</t>
  </si>
  <si>
    <t>COT47</t>
  </si>
  <si>
    <t>COT48</t>
  </si>
  <si>
    <t>COT49</t>
  </si>
  <si>
    <t>COT50</t>
  </si>
  <si>
    <t>COT51</t>
  </si>
  <si>
    <t>COT52</t>
  </si>
  <si>
    <t>COT53</t>
  </si>
  <si>
    <t>COT54</t>
  </si>
  <si>
    <t>COT55</t>
  </si>
  <si>
    <t>COT56</t>
  </si>
  <si>
    <t>COT57</t>
  </si>
  <si>
    <t>COT58</t>
  </si>
  <si>
    <t>COT59</t>
  </si>
  <si>
    <t>COT60</t>
  </si>
  <si>
    <t>COT61</t>
  </si>
  <si>
    <t>COT62</t>
  </si>
  <si>
    <t>COT63</t>
  </si>
  <si>
    <t>COT64</t>
  </si>
  <si>
    <t>COT65</t>
  </si>
  <si>
    <t>COT66</t>
  </si>
  <si>
    <t>COT68</t>
  </si>
  <si>
    <t>COT69</t>
  </si>
  <si>
    <t>COT70</t>
  </si>
  <si>
    <t>COT71</t>
  </si>
  <si>
    <t>COT73</t>
  </si>
  <si>
    <t>COT74</t>
  </si>
  <si>
    <t>COT75</t>
  </si>
  <si>
    <t>COT76</t>
  </si>
  <si>
    <t>COT77</t>
  </si>
  <si>
    <t>COT78</t>
  </si>
  <si>
    <t>COT79</t>
  </si>
  <si>
    <t>COT80</t>
  </si>
  <si>
    <t>COT81</t>
  </si>
  <si>
    <t>COT82</t>
  </si>
  <si>
    <t>COT83</t>
  </si>
  <si>
    <t>COT84</t>
  </si>
  <si>
    <t>COT85</t>
  </si>
  <si>
    <t>COT86</t>
  </si>
  <si>
    <t>COT87</t>
  </si>
  <si>
    <t>COT88</t>
  </si>
  <si>
    <t>COT89</t>
  </si>
  <si>
    <t>COT90</t>
  </si>
  <si>
    <t>COT91</t>
  </si>
  <si>
    <t>COT92</t>
  </si>
  <si>
    <t>COT93</t>
  </si>
  <si>
    <t>COT94</t>
  </si>
  <si>
    <t>COT95</t>
  </si>
  <si>
    <t>COT96</t>
  </si>
  <si>
    <t>COT97</t>
  </si>
  <si>
    <t>COT98</t>
  </si>
  <si>
    <t>COT99</t>
  </si>
  <si>
    <t>COT102</t>
  </si>
  <si>
    <t>COT103</t>
  </si>
  <si>
    <t>COT104</t>
  </si>
  <si>
    <t>COT105</t>
  </si>
  <si>
    <t>COT106</t>
  </si>
  <si>
    <t>COT107</t>
  </si>
  <si>
    <t>COT108</t>
  </si>
  <si>
    <t>COT109</t>
  </si>
  <si>
    <t>COT110</t>
  </si>
  <si>
    <t>COT111</t>
  </si>
  <si>
    <t>COT112</t>
  </si>
  <si>
    <t>COT113</t>
  </si>
  <si>
    <t>COT115</t>
  </si>
  <si>
    <t>COT116</t>
  </si>
  <si>
    <t>COT117</t>
  </si>
  <si>
    <t>COT118</t>
  </si>
  <si>
    <t>COT119</t>
  </si>
  <si>
    <t>COT120</t>
  </si>
  <si>
    <t>COT121</t>
  </si>
  <si>
    <t>COT122</t>
  </si>
  <si>
    <t>COT123</t>
  </si>
  <si>
    <t>COT124</t>
  </si>
  <si>
    <t>COT125</t>
  </si>
  <si>
    <t>COT126</t>
  </si>
  <si>
    <t>COT127</t>
  </si>
  <si>
    <t>COT128</t>
  </si>
  <si>
    <t>COT129</t>
  </si>
  <si>
    <t>COT130</t>
  </si>
  <si>
    <t>COT131</t>
  </si>
  <si>
    <t>COT132</t>
  </si>
  <si>
    <t>COT133</t>
  </si>
  <si>
    <t>COT134</t>
  </si>
  <si>
    <t>COT135</t>
  </si>
  <si>
    <t>COT136</t>
  </si>
  <si>
    <t>COT137</t>
  </si>
  <si>
    <t>COT138</t>
  </si>
  <si>
    <t>COT139</t>
  </si>
  <si>
    <t>COT140</t>
  </si>
  <si>
    <t>COT141</t>
  </si>
  <si>
    <t>COT142</t>
  </si>
  <si>
    <t>COT143</t>
  </si>
  <si>
    <t>COT144</t>
  </si>
  <si>
    <t>COT145</t>
  </si>
  <si>
    <t>COT146</t>
  </si>
  <si>
    <t>COT147</t>
  </si>
  <si>
    <t>COT148</t>
  </si>
  <si>
    <t>COT149</t>
  </si>
  <si>
    <t>COT151</t>
  </si>
  <si>
    <t>COT152</t>
  </si>
  <si>
    <t>COT153</t>
  </si>
  <si>
    <t>COT155</t>
  </si>
  <si>
    <t>COT156</t>
  </si>
  <si>
    <t>COT157</t>
  </si>
  <si>
    <t>COT158</t>
  </si>
  <si>
    <t>COT159</t>
  </si>
  <si>
    <t>COT160</t>
  </si>
  <si>
    <t>COT161</t>
  </si>
  <si>
    <t>COT162</t>
  </si>
  <si>
    <t>COT163</t>
  </si>
  <si>
    <t>COT164</t>
  </si>
  <si>
    <t>COT165</t>
  </si>
  <si>
    <t>COT166</t>
  </si>
  <si>
    <t>COT167</t>
  </si>
  <si>
    <t>COT168</t>
  </si>
  <si>
    <t>COT170</t>
  </si>
  <si>
    <t>COT171</t>
  </si>
  <si>
    <t>COT172</t>
  </si>
  <si>
    <t>COT173</t>
  </si>
  <si>
    <t>COT174</t>
  </si>
  <si>
    <t>COT175</t>
  </si>
  <si>
    <t>COT176</t>
  </si>
  <si>
    <t>COT177</t>
  </si>
  <si>
    <t>COT178</t>
  </si>
  <si>
    <t>COT179</t>
  </si>
  <si>
    <t>COT180</t>
  </si>
  <si>
    <t>COT181</t>
  </si>
  <si>
    <t>COT182</t>
  </si>
  <si>
    <t>COT183</t>
  </si>
  <si>
    <t>COT184</t>
  </si>
  <si>
    <t>COT185</t>
  </si>
  <si>
    <t>COT186</t>
  </si>
  <si>
    <t>COT187</t>
  </si>
  <si>
    <t>COT188</t>
  </si>
  <si>
    <t>COT189</t>
  </si>
  <si>
    <t>COT190</t>
  </si>
  <si>
    <t>COT191</t>
  </si>
  <si>
    <t>COT192</t>
  </si>
  <si>
    <t>COT193</t>
  </si>
  <si>
    <t>COT194</t>
  </si>
  <si>
    <t>COT195</t>
  </si>
  <si>
    <t>COT196</t>
  </si>
  <si>
    <t>COT197</t>
  </si>
  <si>
    <t>COT198</t>
  </si>
  <si>
    <t>COT199</t>
  </si>
  <si>
    <t>FUNDAÇÃO MARQUISE E PILARES METALICOS</t>
  </si>
  <si>
    <t>MARQUISE E PILARES ENTRADA PRINCIPAL</t>
  </si>
  <si>
    <t>13.1.3.3</t>
  </si>
  <si>
    <t>13.1.3.4</t>
  </si>
  <si>
    <t>13.1.3.5</t>
  </si>
  <si>
    <t>13.1.3.6</t>
  </si>
  <si>
    <t>13.1.2.4</t>
  </si>
  <si>
    <t>COT1200</t>
  </si>
  <si>
    <t>COT201</t>
  </si>
  <si>
    <t>COT202</t>
  </si>
  <si>
    <t>COT203</t>
  </si>
  <si>
    <t>COT204</t>
  </si>
  <si>
    <t>COT205</t>
  </si>
  <si>
    <t>COT206</t>
  </si>
  <si>
    <t>COT209</t>
  </si>
  <si>
    <t>COT210</t>
  </si>
  <si>
    <t>COT211</t>
  </si>
  <si>
    <t>COT212</t>
  </si>
  <si>
    <t>COT213</t>
  </si>
  <si>
    <t>COT214</t>
  </si>
  <si>
    <t>COT215</t>
  </si>
  <si>
    <t>COT216</t>
  </si>
  <si>
    <t>COT217</t>
  </si>
  <si>
    <t>COT218</t>
  </si>
  <si>
    <t>COT219</t>
  </si>
  <si>
    <t>COT220</t>
  </si>
  <si>
    <t>COT221</t>
  </si>
  <si>
    <t>COT222</t>
  </si>
  <si>
    <t>COT223</t>
  </si>
  <si>
    <t>SEPLAG</t>
  </si>
  <si>
    <t>12.2.8</t>
  </si>
  <si>
    <t>12.2.9</t>
  </si>
  <si>
    <t>=5</t>
  </si>
  <si>
    <t>VÁLVULA DE DESCARGA METÁLICA PARA MICTORIO, ACABAMENTO METALICO CROMADO</t>
  </si>
  <si>
    <t xml:space="preserve">CABOS PARA ALIMENTAÇÃO DE QUADROS - ALIMENTAÇÃO GERAL </t>
  </si>
  <si>
    <t>COMPOSIÇÃO DE CUSTO UNITÁRIO PARA INSTALAÇÕES SANITARIAS</t>
  </si>
  <si>
    <t>13.2.1.1</t>
  </si>
  <si>
    <t>13.2.1.2</t>
  </si>
  <si>
    <t>SEPLAG HIDR 71</t>
  </si>
  <si>
    <t>7.2.9</t>
  </si>
  <si>
    <t>7.2.10</t>
  </si>
  <si>
    <t>7.2.11</t>
  </si>
  <si>
    <t>7.2.12</t>
  </si>
  <si>
    <t>7.2.5</t>
  </si>
  <si>
    <t>DISJUNTOR TRIPOLAR TIPO DIN, CORRENTE NOMINAL DE 150A - FORNECIMENTO E INSTALAÇÃO. AF_10/2020</t>
  </si>
  <si>
    <t>=65,4*1,40+12,63*2,9+6,61*1,4+6,5*1,4</t>
  </si>
  <si>
    <t>=(65,4*1,40+12,63*2,9+6,61*1,4+6,5*1,4)*2</t>
  </si>
  <si>
    <t>REFORMA DO PREDIO ESCOLA DE GOVERNO</t>
  </si>
  <si>
    <t>SEPLAG ARQ 145</t>
  </si>
  <si>
    <t>ESTRUTURA METALICA FACHADA POSTERIOR ESCOLA , FORNECIMENTO E INSTALAÇÃO</t>
  </si>
  <si>
    <t>COT224</t>
  </si>
  <si>
    <t>31.169.390/0005-85</t>
  </si>
  <si>
    <t>PERFIL U EM CHAPA DOBRADA</t>
  </si>
  <si>
    <t>7.3</t>
  </si>
  <si>
    <t>7.3.1</t>
  </si>
  <si>
    <t>7.3.2</t>
  </si>
  <si>
    <t>7.3.3</t>
  </si>
  <si>
    <t>7.3.4</t>
  </si>
  <si>
    <t>7.3.5</t>
  </si>
  <si>
    <t>7.3.6</t>
  </si>
  <si>
    <t>7.3.7</t>
  </si>
  <si>
    <t>7.3.8</t>
  </si>
  <si>
    <t>7.3.9</t>
  </si>
  <si>
    <t>7.3.10</t>
  </si>
  <si>
    <t>7.3.11</t>
  </si>
  <si>
    <t>7.3.12</t>
  </si>
  <si>
    <t>7.3.13</t>
  </si>
  <si>
    <t>7.3.14</t>
  </si>
  <si>
    <t>FACHADA POSTERIOR - ENVOLTÓRIA DA ESCADA</t>
  </si>
  <si>
    <t>=1,14+1,31+0,55</t>
  </si>
  <si>
    <t>=2*4</t>
  </si>
  <si>
    <t>=0,5*0,5*0,55*4</t>
  </si>
  <si>
    <t>=0,5*0,5*4</t>
  </si>
  <si>
    <t>SEPLAG ARQ 146</t>
  </si>
  <si>
    <t>SEPLAG ARQ 147</t>
  </si>
  <si>
    <t>COT225</t>
  </si>
  <si>
    <t>Revestimento Screenpanel Perfirado Prata</t>
  </si>
  <si>
    <t>HUNTER DOUGLAS.</t>
  </si>
  <si>
    <t>SEPLAG ELE 89</t>
  </si>
  <si>
    <t>Luminária LED SLIM de Sobrepor, MARCA AVANT OU SIMILAR. FORNECIMENTO E INSTALAÇÃO.</t>
  </si>
  <si>
    <t>Luminária LED SLIM de Sobrepor 36w</t>
  </si>
  <si>
    <t>COT226</t>
  </si>
  <si>
    <t>SEPLAG ELE 90</t>
  </si>
  <si>
    <t>Luminária LED externa,Refletor LED 100W. FORNECIMENTO E INSTALAÇÃO.</t>
  </si>
  <si>
    <t>SEPLAG ELE 91</t>
  </si>
  <si>
    <t>Luminária LED externa,Refletor LED 150W. FORNECIMENTO E INSTALAÇÃO.</t>
  </si>
  <si>
    <t>Luminária LED externa,Refletor LED 100W</t>
  </si>
  <si>
    <t>COT227</t>
  </si>
  <si>
    <t>COT228</t>
  </si>
  <si>
    <t>Luminária LED externa,Refletor LED 150W</t>
  </si>
  <si>
    <t>7.3.15</t>
  </si>
  <si>
    <t>7.3.16</t>
  </si>
  <si>
    <t>7.3.17</t>
  </si>
  <si>
    <t>SEPLAG ELE 92</t>
  </si>
  <si>
    <t>Fita Led Premium Alto Brilho Branco Frio. FORNECIMENTO E INSTALAÇÃO.</t>
  </si>
  <si>
    <t>COT229</t>
  </si>
  <si>
    <t>Fita Led Premium Alto Brilho Branco Frio</t>
  </si>
  <si>
    <t>SEPLAG ELE 93</t>
  </si>
  <si>
    <t>PERFILADO LISO (38X38)MM EM CHAPA DE AÇO GALVANIZADO #18, COM TRATAMENTO PRÉ-ZINCADO, INCLUSIVE FIXAÇÃO SUPERIOR, CONEXÕES E ACESSÓRIOS, EXCLUSIVE TAMPA DE ENCAIXE</t>
  </si>
  <si>
    <t xml:space="preserve">NÃO DESONERADO P.UNIT (S/BDI) </t>
  </si>
  <si>
    <t xml:space="preserve">NÃO DESONERADO P.UNIT (C/BDI) </t>
  </si>
  <si>
    <t>DESONERADO P.UNIT (S/BDI)</t>
  </si>
  <si>
    <t>DESONERADO P.UNIT (C/BDI)</t>
  </si>
  <si>
    <t>P. TOTAL NÃO DESONERADO</t>
  </si>
  <si>
    <t>P. TOTAL DESONERADO</t>
  </si>
  <si>
    <t>Rótulos de Linha</t>
  </si>
  <si>
    <t>(vazio)</t>
  </si>
  <si>
    <t>Total Geral</t>
  </si>
  <si>
    <t>Contagem de QTD</t>
  </si>
  <si>
    <t xml:space="preserve">Soma de NÃO DESONERADO P.UNIT (S/BDI) </t>
  </si>
  <si>
    <t>CURVA ABC</t>
  </si>
  <si>
    <t>A</t>
  </si>
  <si>
    <t>B</t>
  </si>
  <si>
    <t>C</t>
  </si>
  <si>
    <t>CURVA</t>
  </si>
  <si>
    <t>DAHM SOLUCOES TECNOLOGICAS</t>
  </si>
  <si>
    <t>COT231</t>
  </si>
  <si>
    <t>FONTE 12V METALICA COLMEIA 25A 300W</t>
  </si>
  <si>
    <t>30.414.381/0001-16</t>
  </si>
  <si>
    <t>ELETROFIOS MATERIAIS ELETRICOS</t>
  </si>
  <si>
    <t>03.806.018/0001-73</t>
  </si>
  <si>
    <t>SEPLAG ELE 94</t>
  </si>
  <si>
    <t>FONTE 12V METALICA COLMEIA 25A 300W. FORNECIMENTO E INSTALAÇÃO.</t>
  </si>
  <si>
    <t>TOTAL GERAL DA OBRA &gt;&gt;&gt;&gt;</t>
  </si>
  <si>
    <t>(Tudo)</t>
  </si>
  <si>
    <t>7.2.13</t>
  </si>
  <si>
    <t>7.2.14</t>
  </si>
  <si>
    <t>7.2.16</t>
  </si>
  <si>
    <t>4.4.4</t>
  </si>
  <si>
    <t>SUPORTE METALICO FACHADA MTI, FORNECIMENTO E INSTALAÇÃO.</t>
  </si>
  <si>
    <t>SUPORTE METALICO FACHADA (PRINCIPAL/LATERAL), FORNECIMENTO E INSTALAÇÃO.</t>
  </si>
  <si>
    <t>SEPLAG ARQ 148</t>
  </si>
  <si>
    <t>SEPLAG ARQ 149</t>
  </si>
  <si>
    <t>SEPLAG ARQ 150</t>
  </si>
  <si>
    <t>SEPLAG ARQ 151</t>
  </si>
  <si>
    <t>SEPLAG ARQ 152</t>
  </si>
  <si>
    <t>SEPLAG ELE 78/2</t>
  </si>
  <si>
    <t>SEPLAG ELE 79/2</t>
  </si>
  <si>
    <t>TOTAL DO ITEM &gt;&gt;&gt;&gt;1.0</t>
  </si>
  <si>
    <t>TOTAL DO ITEM &gt;&gt;&gt;&gt;13.0</t>
  </si>
  <si>
    <t>TOTAL DO ITEM &gt;&gt;&gt;&gt;2.0</t>
  </si>
  <si>
    <t>TOTAL DO ITEM &gt;&gt;&gt;&gt;5.0</t>
  </si>
  <si>
    <t>TOTAL DO ITEM &gt;&gt;&gt;&gt;7.0</t>
  </si>
  <si>
    <t>TOTAL DO ITEM &gt;&gt;&gt;&gt;4.0</t>
  </si>
  <si>
    <t>TOTAL DO ITEM &gt;&gt;&gt;&gt;3.0</t>
  </si>
  <si>
    <t>TOTAL DO ITEM &gt;&gt;&gt;&gt;12.0</t>
  </si>
  <si>
    <t>TOTAL DO ITEM &gt;&gt;&gt;&gt;6.0</t>
  </si>
  <si>
    <t>TOTAL DO ITEM &gt;&gt;&gt;&gt;11.0</t>
  </si>
  <si>
    <t>TOTAL DO ITEM &gt;&gt;&gt;&gt;16.0</t>
  </si>
  <si>
    <t>TOTAL DO ITEM &gt;&gt;&gt;&gt;15.0</t>
  </si>
  <si>
    <t>TOTAL DO ITEM &gt;&gt;&gt;&gt;10.0</t>
  </si>
  <si>
    <t>TOTAL DO ITEM &gt;&gt;&gt;&gt;14.0</t>
  </si>
  <si>
    <t>TOTAL DO ITEM &gt;&gt;&gt;&gt;9.0</t>
  </si>
  <si>
    <t>TOTAL DO ITEM &gt;&gt;&gt;&gt;8.0</t>
  </si>
  <si>
    <t>Colunas1</t>
  </si>
  <si>
    <t>Colunas2</t>
  </si>
  <si>
    <t>TAMPA PARA PASSAGEM DE TUBLAÇÃO NA LAJE COBERTURA</t>
  </si>
  <si>
    <t>SEPLAG  ARQ 153</t>
  </si>
  <si>
    <t>J01 (E.G) - JANELA MAXIN AR 3,80 x 2,55 (3 JANELAS DE 1,20). FORNECIMENTO E INSTALAÇÃO.</t>
  </si>
  <si>
    <t>PREFIL DE ALUMINIO</t>
  </si>
  <si>
    <t>SEPLAG  ARQ 154</t>
  </si>
  <si>
    <t>J08 (E.G) - JANELA MAXIN AR 1,53 x 4,85 (1 JANELAS DE 3MODULOS 1,53). FORNECIMENTO E INSTALAÇÃO.</t>
  </si>
  <si>
    <t>SEPLAG  ARQ 155</t>
  </si>
  <si>
    <t>J10 (E.G) - JANELA MAXIN AR 6,15 x 1,35 (6 JANELAS DE 1,02). FORNECIMENTO E INSTALAÇÃO.</t>
  </si>
  <si>
    <t>SEPLAG  ARQ 156</t>
  </si>
  <si>
    <t>J11 (E.G) - JANELA MAXIN AR 3,06 x 1,35 (3 JANELAS DE 1,02). FORNECIMENTO E INSTALAÇÃO.</t>
  </si>
  <si>
    <t>SEPLAG  ARQ 157</t>
  </si>
  <si>
    <t>J12 (E.G) - JANELA MAXIN AR 3,80 x 0,9 (4 JANELAS DE 0,95). FORNECIMENTO E INSTALAÇÃO.</t>
  </si>
  <si>
    <t>SEPLAG  ARQ 158</t>
  </si>
  <si>
    <t>J13 (E.G) - JANELA MAXIN AR 1,97 x 0,90 (2 JANELAS DE 0,98). FORNECIMENTO E INSTALAÇÃO.</t>
  </si>
  <si>
    <t>SEPLAG  ARQ 159</t>
  </si>
  <si>
    <t>J18 (E.G) - JANELA MAXIN AR 1,50 x 1,00. FORNECIMENTO E INSTALAÇÃO.</t>
  </si>
  <si>
    <t>SEPLAG  ARQ 160</t>
  </si>
  <si>
    <t>J21 (E.G) - JANELA MAXIN AR 0,90 x 0,90. FORNECIMENTO E INSTALAÇÃO.</t>
  </si>
  <si>
    <t>SEPLAG  ARQ 161</t>
  </si>
  <si>
    <t>J22 (E.G) - JANELA MAXIN AR 1,04 x 1,35. FORNECIMENTO E INSTALAÇÃO.</t>
  </si>
  <si>
    <t>3.8.5</t>
  </si>
  <si>
    <t>3.8.6</t>
  </si>
  <si>
    <t>3.8.7</t>
  </si>
  <si>
    <t>4.4.5</t>
  </si>
  <si>
    <t>4.4.6</t>
  </si>
  <si>
    <t>=1,80*2,15</t>
  </si>
  <si>
    <t>=3,8*2,55+1,53*4,85+12,60*1,70+1*1,7+1,8*2,15</t>
  </si>
  <si>
    <t>5.5.5</t>
  </si>
  <si>
    <t>5.5.6</t>
  </si>
  <si>
    <t>=1,2*1*2+1,8*2,15</t>
  </si>
  <si>
    <t>3.8.8</t>
  </si>
  <si>
    <t>=1,20*1</t>
  </si>
  <si>
    <t>=6,15*1,35+3,06*1,35+3,8*0,9+1,97*0,9+0,9*0,9+1,04*1,35+1,20*1</t>
  </si>
  <si>
    <t>=1,7**1*2+12,60*1,7*1+3,8*2,55*2+1,53*4,85*1+1,20*1*2+1,80*2,15</t>
  </si>
  <si>
    <t>SEPLAG INC 46</t>
  </si>
  <si>
    <t>MANGUEIRA DE INCENDIO, TIPO 2, DE 2 1/2", COMPRIMENTO = 30 M, FORNECIMENTO E INSTALAÇÃO</t>
  </si>
  <si>
    <t>MANGUEIRA DE INCENDIO, TIPO 1, DE 1 1/2", COMPRIMENTO = 30 M, FORNECIMENTO E INSTALAÇÃO</t>
  </si>
  <si>
    <t>6.2.10</t>
  </si>
  <si>
    <t>SEPLAG INC 47</t>
  </si>
  <si>
    <t>ESGUICHO TIPO AGULHETA, JUNTA DE UNIÃO ENGATE RÁPIDO 2.1/2.  FORNECIMENTO E INSTALAÇÃO.</t>
  </si>
  <si>
    <t>SEPLAG INC 48</t>
  </si>
  <si>
    <t>ESGUICHO TIPO AGULHETA, JUNTA DE UNIÃO ENGATE RÁPIDO 1.1/2.  FORNECIMENTO E INSTALAÇÃO.</t>
  </si>
  <si>
    <t>6.2.11</t>
  </si>
  <si>
    <t>SEPLAG INC 49</t>
  </si>
  <si>
    <t>REDUÇÃO GIRATORIA TIPO STORZ - BRONZE OU LATÃO.  FORNECIMENTO E INSTALAÇÃO.</t>
  </si>
  <si>
    <t>SEPLAG  ARQ 162</t>
  </si>
  <si>
    <t>TAMPA EM FERRO FUNDIDO, FORNECIMENTO E INSTALAÇÃO</t>
  </si>
  <si>
    <t>=10,45+27,38+10,80+28,78+264,73</t>
  </si>
  <si>
    <t>=24,32+17,78+5,65+12,59+4,80+3,80</t>
  </si>
  <si>
    <t>=12,59+6,37+6,38+6,22+12,59+2,18+2,18+1,85+1,85+5,65+6,01+6,01+5,01+4+4+1,6+2,2</t>
  </si>
  <si>
    <t>SEPLAG  ARQ 163</t>
  </si>
  <si>
    <t>COLOCAÇÃO DE CUMEEIRA GALVANIZADA TRAPEZOIDAL E = 0,50 MM, SIMPLES</t>
  </si>
  <si>
    <t>12.2.10</t>
  </si>
  <si>
    <t>=17,28</t>
  </si>
  <si>
    <t>SEPLAG  ARQ 164</t>
  </si>
  <si>
    <t>CHAPIM METÁLICO, COM PINGADEIRA, CHAPA GALVANIZADA Nº 24, DESENVOLVIMENTO = 35 CM</t>
  </si>
  <si>
    <t>ED-50667</t>
  </si>
  <si>
    <t>12.2.11</t>
  </si>
  <si>
    <t>=103,83+16,8+15,6</t>
  </si>
  <si>
    <t>13.1.3.7</t>
  </si>
  <si>
    <t>13.1.3.8</t>
  </si>
  <si>
    <t>13.1.3.9</t>
  </si>
  <si>
    <t>13.1.3.10</t>
  </si>
  <si>
    <t>=119,31</t>
  </si>
  <si>
    <t>=48,41+48,88</t>
  </si>
  <si>
    <t>13.1.3.11</t>
  </si>
  <si>
    <t>13.1.3.12</t>
  </si>
  <si>
    <t>SEPLAG  ARQ 165</t>
  </si>
  <si>
    <t>FACHADA PELE DE VIDRO (BASCULANTE). FORNECIMENTO E INSTALAÇÃO.</t>
  </si>
  <si>
    <t>=3,52+1,96</t>
  </si>
  <si>
    <t>=0,5*0,5*0,03*4+0,6*0,6*0,03+0,7*0,7*4*0,03</t>
  </si>
  <si>
    <t>=25,00+12</t>
  </si>
  <si>
    <t>=110,60+13,2</t>
  </si>
  <si>
    <t>=86,5+51,30</t>
  </si>
  <si>
    <t>=24,10+18,30</t>
  </si>
  <si>
    <t>4.5</t>
  </si>
  <si>
    <t>4.5.1</t>
  </si>
  <si>
    <t>4.5.2</t>
  </si>
  <si>
    <t>4.5.3</t>
  </si>
  <si>
    <t>REMOÇÃO DE CONDUTOR DE CHAPA GALVANIZADA OU PVC, INCLUSIVE AFASTAMENTO</t>
  </si>
  <si>
    <t>ED-48446</t>
  </si>
  <si>
    <t>SEPLAG  ARQ 166</t>
  </si>
  <si>
    <t>MAPA COMPARATIVO - COTAÇÕES</t>
  </si>
  <si>
    <t>7.3.18</t>
  </si>
  <si>
    <t>7.3.19</t>
  </si>
  <si>
    <t>7.2.46</t>
  </si>
  <si>
    <t>7.2.47</t>
  </si>
  <si>
    <t>7.2.48</t>
  </si>
  <si>
    <t>7.2.49</t>
  </si>
  <si>
    <t>7.2.50</t>
  </si>
  <si>
    <t>7.2.51</t>
  </si>
  <si>
    <t>7.2.52</t>
  </si>
  <si>
    <t>7.3.20</t>
  </si>
  <si>
    <t>7.3.21</t>
  </si>
  <si>
    <t>7.3.22</t>
  </si>
  <si>
    <t>7.3.23</t>
  </si>
  <si>
    <t>7.3.24</t>
  </si>
  <si>
    <t>7.2.53</t>
  </si>
  <si>
    <t>7.2.54</t>
  </si>
  <si>
    <t>7.2.55</t>
  </si>
  <si>
    <t>7.3.25</t>
  </si>
  <si>
    <t>REFORMA DO PREDIO ESCOLA DO GOVERNO</t>
  </si>
  <si>
    <t>TABELA SINAPI 02/2022, SETOP 04/2021</t>
  </si>
  <si>
    <t>CODIGO  DA COMPOSICAO</t>
  </si>
  <si>
    <t>DESCRICAO DA COMPOSICAO</t>
  </si>
  <si>
    <t>UNIDADE</t>
  </si>
  <si>
    <t>CUSTO TOTAL</t>
  </si>
  <si>
    <t>6,45</t>
  </si>
  <si>
    <t>7,18</t>
  </si>
  <si>
    <t>9,00</t>
  </si>
  <si>
    <t>10,84</t>
  </si>
  <si>
    <t>12,68</t>
  </si>
  <si>
    <t>14,54</t>
  </si>
  <si>
    <t>16,42</t>
  </si>
  <si>
    <t>18,26</t>
  </si>
  <si>
    <t>20,17</t>
  </si>
  <si>
    <t>27,16</t>
  </si>
  <si>
    <t>31,66</t>
  </si>
  <si>
    <t>35,85</t>
  </si>
  <si>
    <t>40,23</t>
  </si>
  <si>
    <t>44,66</t>
  </si>
  <si>
    <t>49,08</t>
  </si>
  <si>
    <t>58,44</t>
  </si>
  <si>
    <t>3,99</t>
  </si>
  <si>
    <t>4,45</t>
  </si>
  <si>
    <t>5,59</t>
  </si>
  <si>
    <t>6,71</t>
  </si>
  <si>
    <t>7,88</t>
  </si>
  <si>
    <t>9,04</t>
  </si>
  <si>
    <t>10,22</t>
  </si>
  <si>
    <t>11,37</t>
  </si>
  <si>
    <t>12,57</t>
  </si>
  <si>
    <t>16,86</t>
  </si>
  <si>
    <t>19,68</t>
  </si>
  <si>
    <t>22,21</t>
  </si>
  <si>
    <t>24,90</t>
  </si>
  <si>
    <t>27,66</t>
  </si>
  <si>
    <t>30,41</t>
  </si>
  <si>
    <t>36,42</t>
  </si>
  <si>
    <t>30,72</t>
  </si>
  <si>
    <t>35,57</t>
  </si>
  <si>
    <t>40,42</t>
  </si>
  <si>
    <t>45,27</t>
  </si>
  <si>
    <t>55,00</t>
  </si>
  <si>
    <t>64,72</t>
  </si>
  <si>
    <t>74,43</t>
  </si>
  <si>
    <t>84,15</t>
  </si>
  <si>
    <t>98,16</t>
  </si>
  <si>
    <t>108,33</t>
  </si>
  <si>
    <t>24,93</t>
  </si>
  <si>
    <t>28,93</t>
  </si>
  <si>
    <t>32,92</t>
  </si>
  <si>
    <t>36,92</t>
  </si>
  <si>
    <t>44,93</t>
  </si>
  <si>
    <t>52,91</t>
  </si>
  <si>
    <t>60,90</t>
  </si>
  <si>
    <t>68,91</t>
  </si>
  <si>
    <t>80,10</t>
  </si>
  <si>
    <t>88,44</t>
  </si>
  <si>
    <t>44,34</t>
  </si>
  <si>
    <t>92,85</t>
  </si>
  <si>
    <t>138,14</t>
  </si>
  <si>
    <t>233,29</t>
  </si>
  <si>
    <t>374,54</t>
  </si>
  <si>
    <t>463,21</t>
  </si>
  <si>
    <t>600,41</t>
  </si>
  <si>
    <t>75,94</t>
  </si>
  <si>
    <t>122,00</t>
  </si>
  <si>
    <t>203,18</t>
  </si>
  <si>
    <t>290,76</t>
  </si>
  <si>
    <t>392,25</t>
  </si>
  <si>
    <t>460,47</t>
  </si>
  <si>
    <t>1.275,32</t>
  </si>
  <si>
    <t>18,65</t>
  </si>
  <si>
    <t>22,99</t>
  </si>
  <si>
    <t>27,37</t>
  </si>
  <si>
    <t>31,70</t>
  </si>
  <si>
    <t>36,03</t>
  </si>
  <si>
    <t>40,35</t>
  </si>
  <si>
    <t>44,68</t>
  </si>
  <si>
    <t>49,01</t>
  </si>
  <si>
    <t>61,99</t>
  </si>
  <si>
    <t>2,60</t>
  </si>
  <si>
    <t>3,09</t>
  </si>
  <si>
    <t>3,56</t>
  </si>
  <si>
    <t>4,04</t>
  </si>
  <si>
    <t>4,53</t>
  </si>
  <si>
    <t>5,01</t>
  </si>
  <si>
    <t>7,07</t>
  </si>
  <si>
    <t>3,44</t>
  </si>
  <si>
    <t>3,91</t>
  </si>
  <si>
    <t>4,39</t>
  </si>
  <si>
    <t>4,88</t>
  </si>
  <si>
    <t>5,36</t>
  </si>
  <si>
    <t>7,91</t>
  </si>
  <si>
    <t>2,81</t>
  </si>
  <si>
    <t>14,37</t>
  </si>
  <si>
    <t>260,05</t>
  </si>
  <si>
    <t>1,88</t>
  </si>
  <si>
    <t>307,87</t>
  </si>
  <si>
    <t>2,52</t>
  </si>
  <si>
    <t>1.801,43</t>
  </si>
  <si>
    <t>25,08</t>
  </si>
  <si>
    <t>28,85</t>
  </si>
  <si>
    <t>2.398,96</t>
  </si>
  <si>
    <t>37,90</t>
  </si>
  <si>
    <t>3.749,39</t>
  </si>
  <si>
    <t>43,72</t>
  </si>
  <si>
    <t>55,53</t>
  </si>
  <si>
    <t>1,59</t>
  </si>
  <si>
    <t>2,23</t>
  </si>
  <si>
    <t>2,85</t>
  </si>
  <si>
    <t>0,73</t>
  </si>
  <si>
    <t>1,05</t>
  </si>
  <si>
    <t>1,35</t>
  </si>
  <si>
    <t>22,89</t>
  </si>
  <si>
    <t>79,30</t>
  </si>
  <si>
    <t>87,95</t>
  </si>
  <si>
    <t>100,99</t>
  </si>
  <si>
    <t>113,97</t>
  </si>
  <si>
    <t>139,93</t>
  </si>
  <si>
    <t>190,69</t>
  </si>
  <si>
    <t>7,60</t>
  </si>
  <si>
    <t>200,46</t>
  </si>
  <si>
    <t>9,71</t>
  </si>
  <si>
    <t>350,66</t>
  </si>
  <si>
    <t>11,64</t>
  </si>
  <si>
    <t>428,76</t>
  </si>
  <si>
    <t>13,80</t>
  </si>
  <si>
    <t>559,51</t>
  </si>
  <si>
    <t>15,75</t>
  </si>
  <si>
    <t>582,51</t>
  </si>
  <si>
    <t>17,92</t>
  </si>
  <si>
    <t>857,92</t>
  </si>
  <si>
    <t>19,84</t>
  </si>
  <si>
    <t>885,86</t>
  </si>
  <si>
    <t>22,03</t>
  </si>
  <si>
    <t>197,38</t>
  </si>
  <si>
    <t>14,38</t>
  </si>
  <si>
    <t>208,79</t>
  </si>
  <si>
    <t>18,15</t>
  </si>
  <si>
    <t>360,98</t>
  </si>
  <si>
    <t>22,10</t>
  </si>
  <si>
    <t>440,84</t>
  </si>
  <si>
    <t>26,05</t>
  </si>
  <si>
    <t>573,38</t>
  </si>
  <si>
    <t>29,80</t>
  </si>
  <si>
    <t>598,43</t>
  </si>
  <si>
    <t>33,84</t>
  </si>
  <si>
    <t>875,85</t>
  </si>
  <si>
    <t>37,77</t>
  </si>
  <si>
    <t>905,30</t>
  </si>
  <si>
    <t>41,73</t>
  </si>
  <si>
    <t>148,34</t>
  </si>
  <si>
    <t>178,26</t>
  </si>
  <si>
    <t>265,79</t>
  </si>
  <si>
    <t>349,21</t>
  </si>
  <si>
    <t>422,01</t>
  </si>
  <si>
    <t>484,73</t>
  </si>
  <si>
    <t>507,07</t>
  </si>
  <si>
    <t>156,76</t>
  </si>
  <si>
    <t>188,72</t>
  </si>
  <si>
    <t>278,03</t>
  </si>
  <si>
    <t>363,48</t>
  </si>
  <si>
    <t>437,94</t>
  </si>
  <si>
    <t>502,41</t>
  </si>
  <si>
    <t>526,85</t>
  </si>
  <si>
    <t>34,28</t>
  </si>
  <si>
    <t>44,02</t>
  </si>
  <si>
    <t>53,58</t>
  </si>
  <si>
    <t>63,91</t>
  </si>
  <si>
    <t>74,05</t>
  </si>
  <si>
    <t>86,12</t>
  </si>
  <si>
    <t>98,79</t>
  </si>
  <si>
    <t>113,50</t>
  </si>
  <si>
    <t>729,85</t>
  </si>
  <si>
    <t>142,03</t>
  </si>
  <si>
    <t>1.042,80</t>
  </si>
  <si>
    <t>191,18</t>
  </si>
  <si>
    <t>40,88</t>
  </si>
  <si>
    <t>52,44</t>
  </si>
  <si>
    <t>64,04</t>
  </si>
  <si>
    <t>76,15</t>
  </si>
  <si>
    <t>88,32</t>
  </si>
  <si>
    <t>102,05</t>
  </si>
  <si>
    <t>116,47</t>
  </si>
  <si>
    <t>133,28</t>
  </si>
  <si>
    <t>753,17</t>
  </si>
  <si>
    <t>165,35</t>
  </si>
  <si>
    <t>1.071,43</t>
  </si>
  <si>
    <t>219,81</t>
  </si>
  <si>
    <t>126,29</t>
  </si>
  <si>
    <t>132,79</t>
  </si>
  <si>
    <t>77,08</t>
  </si>
  <si>
    <t>94,56</t>
  </si>
  <si>
    <t>128,96</t>
  </si>
  <si>
    <t>83,58</t>
  </si>
  <si>
    <t>102,87</t>
  </si>
  <si>
    <t>139,28</t>
  </si>
  <si>
    <t>4,09</t>
  </si>
  <si>
    <t>8,07</t>
  </si>
  <si>
    <t>9,93</t>
  </si>
  <si>
    <t>11,79</t>
  </si>
  <si>
    <t>13,63</t>
  </si>
  <si>
    <t>15,46</t>
  </si>
  <si>
    <t>19,18</t>
  </si>
  <si>
    <t>1,96</t>
  </si>
  <si>
    <t>4,25</t>
  </si>
  <si>
    <t>5,25</t>
  </si>
  <si>
    <t>6,23</t>
  </si>
  <si>
    <t>7,19</t>
  </si>
  <si>
    <t>8,16</t>
  </si>
  <si>
    <t>10,13</t>
  </si>
  <si>
    <t>8,88</t>
  </si>
  <si>
    <t>10,61</t>
  </si>
  <si>
    <t>14,92</t>
  </si>
  <si>
    <t>19,23</t>
  </si>
  <si>
    <t>29,43</t>
  </si>
  <si>
    <t>33,77</t>
  </si>
  <si>
    <t>43,92</t>
  </si>
  <si>
    <t>48,27</t>
  </si>
  <si>
    <t>62,77</t>
  </si>
  <si>
    <t>71,41</t>
  </si>
  <si>
    <t>76,20</t>
  </si>
  <si>
    <t>83,94</t>
  </si>
  <si>
    <t>96,67</t>
  </si>
  <si>
    <t>104,40</t>
  </si>
  <si>
    <t>124,84</t>
  </si>
  <si>
    <t>37,27</t>
  </si>
  <si>
    <t>44,51</t>
  </si>
  <si>
    <t>62,59</t>
  </si>
  <si>
    <t>80,66</t>
  </si>
  <si>
    <t>132,69</t>
  </si>
  <si>
    <t>150,76</t>
  </si>
  <si>
    <t>202,80</t>
  </si>
  <si>
    <t>220,87</t>
  </si>
  <si>
    <t>272,91</t>
  </si>
  <si>
    <t>290,99</t>
  </si>
  <si>
    <t>327,14</t>
  </si>
  <si>
    <t>397,24</t>
  </si>
  <si>
    <t>433,39</t>
  </si>
  <si>
    <t>503,50</t>
  </si>
  <si>
    <t>539,65</t>
  </si>
  <si>
    <t>645,90</t>
  </si>
  <si>
    <t>48,98</t>
  </si>
  <si>
    <t>59,82</t>
  </si>
  <si>
    <t>86,94</t>
  </si>
  <si>
    <t>114,04</t>
  </si>
  <si>
    <t>192,11</t>
  </si>
  <si>
    <t>219,21</t>
  </si>
  <si>
    <t>297,26</t>
  </si>
  <si>
    <t>324,38</t>
  </si>
  <si>
    <t>402,44</t>
  </si>
  <si>
    <t>429,53</t>
  </si>
  <si>
    <t>483,76</t>
  </si>
  <si>
    <t>588,92</t>
  </si>
  <si>
    <t>643,15</t>
  </si>
  <si>
    <t>748,32</t>
  </si>
  <si>
    <t>802,54</t>
  </si>
  <si>
    <t>961,92</t>
  </si>
  <si>
    <t>25,59</t>
  </si>
  <si>
    <t>29,20</t>
  </si>
  <si>
    <t>38,24</t>
  </si>
  <si>
    <t>47,27</t>
  </si>
  <si>
    <t>73,30</t>
  </si>
  <si>
    <t>82,32</t>
  </si>
  <si>
    <t>108,35</t>
  </si>
  <si>
    <t>117,37</t>
  </si>
  <si>
    <t>143,40</t>
  </si>
  <si>
    <t>152,43</t>
  </si>
  <si>
    <t>170,50</t>
  </si>
  <si>
    <t>205,56</t>
  </si>
  <si>
    <t>223,63</t>
  </si>
  <si>
    <t>258,65</t>
  </si>
  <si>
    <t>276,76</t>
  </si>
  <si>
    <t>329,89</t>
  </si>
  <si>
    <t>5,88</t>
  </si>
  <si>
    <t>11,54</t>
  </si>
  <si>
    <t>138,47</t>
  </si>
  <si>
    <t>1.319,69</t>
  </si>
  <si>
    <t>461,88</t>
  </si>
  <si>
    <t>1.132,08</t>
  </si>
  <si>
    <t>1.824,77</t>
  </si>
  <si>
    <t>3.201,91</t>
  </si>
  <si>
    <t>4.761,88</t>
  </si>
  <si>
    <t>3.130,85</t>
  </si>
  <si>
    <t>5.122,60</t>
  </si>
  <si>
    <t>5.649,40</t>
  </si>
  <si>
    <t>4.179,13</t>
  </si>
  <si>
    <t>2.066,39</t>
  </si>
  <si>
    <t>1.386,31</t>
  </si>
  <si>
    <t>2,96</t>
  </si>
  <si>
    <t>4,75</t>
  </si>
  <si>
    <t>9,36</t>
  </si>
  <si>
    <t>13,37</t>
  </si>
  <si>
    <t>16,34</t>
  </si>
  <si>
    <t>23,77</t>
  </si>
  <si>
    <t>26,75</t>
  </si>
  <si>
    <t>29,72</t>
  </si>
  <si>
    <t>33,44</t>
  </si>
  <si>
    <t>37,15</t>
  </si>
  <si>
    <t>41,61</t>
  </si>
  <si>
    <t>46,81</t>
  </si>
  <si>
    <t>52,76</t>
  </si>
  <si>
    <t>59,44</t>
  </si>
  <si>
    <t>5,93</t>
  </si>
  <si>
    <t>9,50</t>
  </si>
  <si>
    <t>18,72</t>
  </si>
  <si>
    <t>32,69</t>
  </si>
  <si>
    <t>47,56</t>
  </si>
  <si>
    <t>53,51</t>
  </si>
  <si>
    <t>66,88</t>
  </si>
  <si>
    <t>74,31</t>
  </si>
  <si>
    <t>83,23</t>
  </si>
  <si>
    <t>93,63</t>
  </si>
  <si>
    <t>105,53</t>
  </si>
  <si>
    <t>118,90</t>
  </si>
  <si>
    <t>15,90</t>
  </si>
  <si>
    <t>18,70</t>
  </si>
  <si>
    <t>37,52</t>
  </si>
  <si>
    <t>261,22</t>
  </si>
  <si>
    <t>2.986,87</t>
  </si>
  <si>
    <t>34,72</t>
  </si>
  <si>
    <t>60,51</t>
  </si>
  <si>
    <t>1.696,96</t>
  </si>
  <si>
    <t>34,92</t>
  </si>
  <si>
    <t>48,10</t>
  </si>
  <si>
    <t>89,32</t>
  </si>
  <si>
    <t>2.407,43</t>
  </si>
  <si>
    <t>185,55</t>
  </si>
  <si>
    <t>219,65</t>
  </si>
  <si>
    <t>412,63</t>
  </si>
  <si>
    <t>418,16</t>
  </si>
  <si>
    <t>551,48</t>
  </si>
  <si>
    <t>1.093,61</t>
  </si>
  <si>
    <t>1.077,81</t>
  </si>
  <si>
    <t>859,63</t>
  </si>
  <si>
    <t>896,73</t>
  </si>
  <si>
    <t>575,49</t>
  </si>
  <si>
    <t>564,87</t>
  </si>
  <si>
    <t>953,13</t>
  </si>
  <si>
    <t>971,14</t>
  </si>
  <si>
    <t>5.388,60</t>
  </si>
  <si>
    <t>8.369,98</t>
  </si>
  <si>
    <t>264,22</t>
  </si>
  <si>
    <t>427,03</t>
  </si>
  <si>
    <t>843,28</t>
  </si>
  <si>
    <t>1.108,58</t>
  </si>
  <si>
    <t>131,45</t>
  </si>
  <si>
    <t>134,05</t>
  </si>
  <si>
    <t>116,53</t>
  </si>
  <si>
    <t>118,39</t>
  </si>
  <si>
    <t>155,69</t>
  </si>
  <si>
    <t>196,22</t>
  </si>
  <si>
    <t>134,89</t>
  </si>
  <si>
    <t>166,30</t>
  </si>
  <si>
    <t>179,37</t>
  </si>
  <si>
    <t>183,17</t>
  </si>
  <si>
    <t>162,21</t>
  </si>
  <si>
    <t>164,51</t>
  </si>
  <si>
    <t>208,14</t>
  </si>
  <si>
    <t>259,58</t>
  </si>
  <si>
    <t>185,11</t>
  </si>
  <si>
    <t>226,70</t>
  </si>
  <si>
    <t>127,05</t>
  </si>
  <si>
    <t>97,61</t>
  </si>
  <si>
    <t>166,40</t>
  </si>
  <si>
    <t>4.635,14</t>
  </si>
  <si>
    <t>7.053,73</t>
  </si>
  <si>
    <t>190,44</t>
  </si>
  <si>
    <t>117,51</t>
  </si>
  <si>
    <t>107,14</t>
  </si>
  <si>
    <t>148,76</t>
  </si>
  <si>
    <t>7,39</t>
  </si>
  <si>
    <t>17,28</t>
  </si>
  <si>
    <t>185,70</t>
  </si>
  <si>
    <t>178,02</t>
  </si>
  <si>
    <t>176,62</t>
  </si>
  <si>
    <t>352,44</t>
  </si>
  <si>
    <t>11,10</t>
  </si>
  <si>
    <t>152,25</t>
  </si>
  <si>
    <t>224,12</t>
  </si>
  <si>
    <t>212,39</t>
  </si>
  <si>
    <t>569,80</t>
  </si>
  <si>
    <t>23,01</t>
  </si>
  <si>
    <t>150,06</t>
  </si>
  <si>
    <t>106,68</t>
  </si>
  <si>
    <t>132,08</t>
  </si>
  <si>
    <t>108,25</t>
  </si>
  <si>
    <t>176,01</t>
  </si>
  <si>
    <t>171,12</t>
  </si>
  <si>
    <t>276,24</t>
  </si>
  <si>
    <t>31,07</t>
  </si>
  <si>
    <t>5,79</t>
  </si>
  <si>
    <t>231,97</t>
  </si>
  <si>
    <t>208,25</t>
  </si>
  <si>
    <t>157,20</t>
  </si>
  <si>
    <t>194,10</t>
  </si>
  <si>
    <t>56,48</t>
  </si>
  <si>
    <t>227,22</t>
  </si>
  <si>
    <t>198,90</t>
  </si>
  <si>
    <t>263,63</t>
  </si>
  <si>
    <t>26,54</t>
  </si>
  <si>
    <t>209,95</t>
  </si>
  <si>
    <t>155,00</t>
  </si>
  <si>
    <t>186,44</t>
  </si>
  <si>
    <t>183,89</t>
  </si>
  <si>
    <t>147,61</t>
  </si>
  <si>
    <t>22,48</t>
  </si>
  <si>
    <t>234,60</t>
  </si>
  <si>
    <t>86,69</t>
  </si>
  <si>
    <t>5,21</t>
  </si>
  <si>
    <t>4,81</t>
  </si>
  <si>
    <t>6,61</t>
  </si>
  <si>
    <t>3,58</t>
  </si>
  <si>
    <t>14,05</t>
  </si>
  <si>
    <t>18,32</t>
  </si>
  <si>
    <t>1,87</t>
  </si>
  <si>
    <t>177,01</t>
  </si>
  <si>
    <t>227,63</t>
  </si>
  <si>
    <t>2,36</t>
  </si>
  <si>
    <t>244,42</t>
  </si>
  <si>
    <t>157,80</t>
  </si>
  <si>
    <t>112,45</t>
  </si>
  <si>
    <t>5,30</t>
  </si>
  <si>
    <t>545,41</t>
  </si>
  <si>
    <t>1.299,35</t>
  </si>
  <si>
    <t>1.124,36</t>
  </si>
  <si>
    <t>303,95</t>
  </si>
  <si>
    <t>177,73</t>
  </si>
  <si>
    <t>12,22</t>
  </si>
  <si>
    <t>182,00</t>
  </si>
  <si>
    <t>288,33</t>
  </si>
  <si>
    <t>321,92</t>
  </si>
  <si>
    <t>1,22</t>
  </si>
  <si>
    <t>7,93</t>
  </si>
  <si>
    <t>126,33</t>
  </si>
  <si>
    <t>15,09</t>
  </si>
  <si>
    <t>26,45</t>
  </si>
  <si>
    <t>10,25</t>
  </si>
  <si>
    <t>14,96</t>
  </si>
  <si>
    <t>15,61</t>
  </si>
  <si>
    <t>28,08</t>
  </si>
  <si>
    <t>634,42</t>
  </si>
  <si>
    <t>362,43</t>
  </si>
  <si>
    <t>138,70</t>
  </si>
  <si>
    <t>92,21</t>
  </si>
  <si>
    <t>28,02</t>
  </si>
  <si>
    <t>73,15</t>
  </si>
  <si>
    <t>189,06</t>
  </si>
  <si>
    <t>184,93</t>
  </si>
  <si>
    <t>97,07</t>
  </si>
  <si>
    <t>222,43</t>
  </si>
  <si>
    <t>10,42</t>
  </si>
  <si>
    <t>11,83</t>
  </si>
  <si>
    <t>185,66</t>
  </si>
  <si>
    <t>24,45</t>
  </si>
  <si>
    <t>202,95</t>
  </si>
  <si>
    <t>420,50</t>
  </si>
  <si>
    <t>17,52</t>
  </si>
  <si>
    <t>11,44</t>
  </si>
  <si>
    <t>295,06</t>
  </si>
  <si>
    <t>3,00</t>
  </si>
  <si>
    <t>0,26</t>
  </si>
  <si>
    <t>79,83</t>
  </si>
  <si>
    <t>69,58</t>
  </si>
  <si>
    <t>368,16</t>
  </si>
  <si>
    <t>31,08</t>
  </si>
  <si>
    <t>19,13</t>
  </si>
  <si>
    <t>17,39</t>
  </si>
  <si>
    <t>948,19</t>
  </si>
  <si>
    <t>10,10</t>
  </si>
  <si>
    <t>116,29</t>
  </si>
  <si>
    <t>16,81</t>
  </si>
  <si>
    <t>284,23</t>
  </si>
  <si>
    <t>226,95</t>
  </si>
  <si>
    <t>78,62</t>
  </si>
  <si>
    <t>16,51</t>
  </si>
  <si>
    <t>73,47</t>
  </si>
  <si>
    <t>168,55</t>
  </si>
  <si>
    <t>3.215,75</t>
  </si>
  <si>
    <t>126,80</t>
  </si>
  <si>
    <t>282,60</t>
  </si>
  <si>
    <t>198,22</t>
  </si>
  <si>
    <t>126,67</t>
  </si>
  <si>
    <t>0,06</t>
  </si>
  <si>
    <t>128,56</t>
  </si>
  <si>
    <t>16,85</t>
  </si>
  <si>
    <t>7,24</t>
  </si>
  <si>
    <t>10,14</t>
  </si>
  <si>
    <t>3,12</t>
  </si>
  <si>
    <t>10,32</t>
  </si>
  <si>
    <t>16,23</t>
  </si>
  <si>
    <t>218,30</t>
  </si>
  <si>
    <t>30,22</t>
  </si>
  <si>
    <t>124,18</t>
  </si>
  <si>
    <t>234,03</t>
  </si>
  <si>
    <t>229,36</t>
  </si>
  <si>
    <t>286,08</t>
  </si>
  <si>
    <t>162,13</t>
  </si>
  <si>
    <t>235,87</t>
  </si>
  <si>
    <t>173,55</t>
  </si>
  <si>
    <t>234,57</t>
  </si>
  <si>
    <t>122,33</t>
  </si>
  <si>
    <t>107,84</t>
  </si>
  <si>
    <t>75,57</t>
  </si>
  <si>
    <t>205,64</t>
  </si>
  <si>
    <t>4,40</t>
  </si>
  <si>
    <t>4,56</t>
  </si>
  <si>
    <t>595,49</t>
  </si>
  <si>
    <t>1.279,28</t>
  </si>
  <si>
    <t>16,66</t>
  </si>
  <si>
    <t>70,79</t>
  </si>
  <si>
    <t>42,37</t>
  </si>
  <si>
    <t>39,88</t>
  </si>
  <si>
    <t>52,39</t>
  </si>
  <si>
    <t>4,59</t>
  </si>
  <si>
    <t>0,20</t>
  </si>
  <si>
    <t>35,52</t>
  </si>
  <si>
    <t>121,37</t>
  </si>
  <si>
    <t>123,04</t>
  </si>
  <si>
    <t>5,28</t>
  </si>
  <si>
    <t>36,87</t>
  </si>
  <si>
    <t>58,04</t>
  </si>
  <si>
    <t>58,30</t>
  </si>
  <si>
    <t>154,20</t>
  </si>
  <si>
    <t>10,96</t>
  </si>
  <si>
    <t>60,67</t>
  </si>
  <si>
    <t>41,58</t>
  </si>
  <si>
    <t>65,70</t>
  </si>
  <si>
    <t>42,00</t>
  </si>
  <si>
    <t>36,62</t>
  </si>
  <si>
    <t>33,52</t>
  </si>
  <si>
    <t>47,12</t>
  </si>
  <si>
    <t>21,20</t>
  </si>
  <si>
    <t>3,60</t>
  </si>
  <si>
    <t>44,52</t>
  </si>
  <si>
    <t>65,90</t>
  </si>
  <si>
    <t>54,05</t>
  </si>
  <si>
    <t>68,31</t>
  </si>
  <si>
    <t>15,26</t>
  </si>
  <si>
    <t>4,72</t>
  </si>
  <si>
    <t>42,35</t>
  </si>
  <si>
    <t>40,56</t>
  </si>
  <si>
    <t>72,84</t>
  </si>
  <si>
    <t>6,01</t>
  </si>
  <si>
    <t>0,24</t>
  </si>
  <si>
    <t>66,42</t>
  </si>
  <si>
    <t>41,25</t>
  </si>
  <si>
    <t>6,54</t>
  </si>
  <si>
    <t>30,51</t>
  </si>
  <si>
    <t>68,45</t>
  </si>
  <si>
    <t>0,51</t>
  </si>
  <si>
    <t>0,99</t>
  </si>
  <si>
    <t>1,18</t>
  </si>
  <si>
    <t>0,95</t>
  </si>
  <si>
    <t>6,18</t>
  </si>
  <si>
    <t>8,20</t>
  </si>
  <si>
    <t>0,37</t>
  </si>
  <si>
    <t>50,19</t>
  </si>
  <si>
    <t>76,51</t>
  </si>
  <si>
    <t>0,31</t>
  </si>
  <si>
    <t>4,87</t>
  </si>
  <si>
    <t>48,67</t>
  </si>
  <si>
    <t>31,34</t>
  </si>
  <si>
    <t>65,69</t>
  </si>
  <si>
    <t>1,53</t>
  </si>
  <si>
    <t>161,40</t>
  </si>
  <si>
    <t>351,37</t>
  </si>
  <si>
    <t>307,84</t>
  </si>
  <si>
    <t>104,29</t>
  </si>
  <si>
    <t>75,78</t>
  </si>
  <si>
    <t>1,86</t>
  </si>
  <si>
    <t>59,09</t>
  </si>
  <si>
    <t>62,22</t>
  </si>
  <si>
    <t>0,44</t>
  </si>
  <si>
    <t>2,40</t>
  </si>
  <si>
    <t>67,92</t>
  </si>
  <si>
    <t>7,10</t>
  </si>
  <si>
    <t>0,71</t>
  </si>
  <si>
    <t>4,62</t>
  </si>
  <si>
    <t>4,95</t>
  </si>
  <si>
    <t>6,34</t>
  </si>
  <si>
    <t>254,40</t>
  </si>
  <si>
    <t>139,44</t>
  </si>
  <si>
    <t>50,20</t>
  </si>
  <si>
    <t>33,88</t>
  </si>
  <si>
    <t>6,31</t>
  </si>
  <si>
    <t>6,33</t>
  </si>
  <si>
    <t>16,08</t>
  </si>
  <si>
    <t>7,50</t>
  </si>
  <si>
    <t>42,88</t>
  </si>
  <si>
    <t>0,56</t>
  </si>
  <si>
    <t>1,19</t>
  </si>
  <si>
    <t>46,07</t>
  </si>
  <si>
    <t>38,48</t>
  </si>
  <si>
    <t>46,02</t>
  </si>
  <si>
    <t>16,92</t>
  </si>
  <si>
    <t>42,02</t>
  </si>
  <si>
    <t>65,45</t>
  </si>
  <si>
    <t>16,21</t>
  </si>
  <si>
    <t>6,52</t>
  </si>
  <si>
    <t>1,10</t>
  </si>
  <si>
    <t>0,12</t>
  </si>
  <si>
    <t>30,71</t>
  </si>
  <si>
    <t>21,39</t>
  </si>
  <si>
    <t>53,59</t>
  </si>
  <si>
    <t>0,29</t>
  </si>
  <si>
    <t>5,04</t>
  </si>
  <si>
    <t>15,31</t>
  </si>
  <si>
    <t>386,66</t>
  </si>
  <si>
    <t>0,47</t>
  </si>
  <si>
    <t>53,83</t>
  </si>
  <si>
    <t>62,16</t>
  </si>
  <si>
    <t>15,80</t>
  </si>
  <si>
    <t>24,81</t>
  </si>
  <si>
    <t>0,30</t>
  </si>
  <si>
    <t>4,11</t>
  </si>
  <si>
    <t>5,82</t>
  </si>
  <si>
    <t>209,05</t>
  </si>
  <si>
    <t>91,26</t>
  </si>
  <si>
    <t>156,44</t>
  </si>
  <si>
    <t>34,94</t>
  </si>
  <si>
    <t>0,03</t>
  </si>
  <si>
    <t>68,37</t>
  </si>
  <si>
    <t>15,06</t>
  </si>
  <si>
    <t>0,75</t>
  </si>
  <si>
    <t>0,48</t>
  </si>
  <si>
    <t>0,57</t>
  </si>
  <si>
    <t>14,76</t>
  </si>
  <si>
    <t>70,40</t>
  </si>
  <si>
    <t>21,41</t>
  </si>
  <si>
    <t>65,76</t>
  </si>
  <si>
    <t>79,55</t>
  </si>
  <si>
    <t>77,33</t>
  </si>
  <si>
    <t>9,31</t>
  </si>
  <si>
    <t>41,91</t>
  </si>
  <si>
    <t>41,63</t>
  </si>
  <si>
    <t>36,10</t>
  </si>
  <si>
    <t>50,87</t>
  </si>
  <si>
    <t>36,38</t>
  </si>
  <si>
    <t>41,20</t>
  </si>
  <si>
    <t>48,39</t>
  </si>
  <si>
    <t>38,22</t>
  </si>
  <si>
    <t>76,34</t>
  </si>
  <si>
    <t>0,11</t>
  </si>
  <si>
    <t>0,25</t>
  </si>
  <si>
    <t>170,21</t>
  </si>
  <si>
    <t>420,38</t>
  </si>
  <si>
    <t>14,24</t>
  </si>
  <si>
    <t>41,52</t>
  </si>
  <si>
    <t>44,80</t>
  </si>
  <si>
    <t>6,08</t>
  </si>
  <si>
    <t>56,00</t>
  </si>
  <si>
    <t>63,65</t>
  </si>
  <si>
    <t>2,80</t>
  </si>
  <si>
    <t>24,73</t>
  </si>
  <si>
    <t>21,99</t>
  </si>
  <si>
    <t>39,93</t>
  </si>
  <si>
    <t>22,08</t>
  </si>
  <si>
    <t>43,30</t>
  </si>
  <si>
    <t>21,65</t>
  </si>
  <si>
    <t>26,04</t>
  </si>
  <si>
    <t>68,15</t>
  </si>
  <si>
    <t>141,46</t>
  </si>
  <si>
    <t>87,94</t>
  </si>
  <si>
    <t>14,57</t>
  </si>
  <si>
    <t>66,54</t>
  </si>
  <si>
    <t>104,96</t>
  </si>
  <si>
    <t>92,60</t>
  </si>
  <si>
    <t>214,17</t>
  </si>
  <si>
    <t>47,43</t>
  </si>
  <si>
    <t>12,05</t>
  </si>
  <si>
    <t>49,03</t>
  </si>
  <si>
    <t>40,36</t>
  </si>
  <si>
    <t>23,85</t>
  </si>
  <si>
    <t>43,60</t>
  </si>
  <si>
    <t>54,56</t>
  </si>
  <si>
    <t>39,01</t>
  </si>
  <si>
    <t>27,24</t>
  </si>
  <si>
    <t>156,20</t>
  </si>
  <si>
    <t>22,54</t>
  </si>
  <si>
    <t>39,06</t>
  </si>
  <si>
    <t>6,79</t>
  </si>
  <si>
    <t>3,08</t>
  </si>
  <si>
    <t>59,67</t>
  </si>
  <si>
    <t>69,50</t>
  </si>
  <si>
    <t>5,19</t>
  </si>
  <si>
    <t>0,82</t>
  </si>
  <si>
    <t>4,32</t>
  </si>
  <si>
    <t>253,30</t>
  </si>
  <si>
    <t>49,87</t>
  </si>
  <si>
    <t>6,92</t>
  </si>
  <si>
    <t>62,41</t>
  </si>
  <si>
    <t>0,22</t>
  </si>
  <si>
    <t>0,02</t>
  </si>
  <si>
    <t>26,06</t>
  </si>
  <si>
    <t>44,23</t>
  </si>
  <si>
    <t>6,14</t>
  </si>
  <si>
    <t>55,36</t>
  </si>
  <si>
    <t>88,17</t>
  </si>
  <si>
    <t>18,56</t>
  </si>
  <si>
    <t>33,26</t>
  </si>
  <si>
    <t>80,49</t>
  </si>
  <si>
    <t>18,18</t>
  </si>
  <si>
    <t>19,88</t>
  </si>
  <si>
    <t>95,50</t>
  </si>
  <si>
    <t>50,41</t>
  </si>
  <si>
    <t>56,44</t>
  </si>
  <si>
    <t>100,05</t>
  </si>
  <si>
    <t>35,00</t>
  </si>
  <si>
    <t>115,06</t>
  </si>
  <si>
    <t>61,12</t>
  </si>
  <si>
    <t>61,49</t>
  </si>
  <si>
    <t>201,43</t>
  </si>
  <si>
    <t>61,70</t>
  </si>
  <si>
    <t>9,63</t>
  </si>
  <si>
    <t>112,64</t>
  </si>
  <si>
    <t>190,06</t>
  </si>
  <si>
    <t>3,16</t>
  </si>
  <si>
    <t>2,19</t>
  </si>
  <si>
    <t>82,68</t>
  </si>
  <si>
    <t>58,00</t>
  </si>
  <si>
    <t>45,15</t>
  </si>
  <si>
    <t>56,29</t>
  </si>
  <si>
    <t>2,02</t>
  </si>
  <si>
    <t>46,57</t>
  </si>
  <si>
    <t>1,74</t>
  </si>
  <si>
    <t>30,46</t>
  </si>
  <si>
    <t>5,55</t>
  </si>
  <si>
    <t>33,18</t>
  </si>
  <si>
    <t>175,94</t>
  </si>
  <si>
    <t>4,60</t>
  </si>
  <si>
    <t>28,64</t>
  </si>
  <si>
    <t>35,69</t>
  </si>
  <si>
    <t>6,60</t>
  </si>
  <si>
    <t>49,58</t>
  </si>
  <si>
    <t>1,33</t>
  </si>
  <si>
    <t>0,46</t>
  </si>
  <si>
    <t>0,05</t>
  </si>
  <si>
    <t>4,13</t>
  </si>
  <si>
    <t>0,89</t>
  </si>
  <si>
    <t>0,10</t>
  </si>
  <si>
    <t>0,98</t>
  </si>
  <si>
    <t>2,84</t>
  </si>
  <si>
    <t>1,06</t>
  </si>
  <si>
    <t>1,17</t>
  </si>
  <si>
    <t>4,26</t>
  </si>
  <si>
    <t>0,85</t>
  </si>
  <si>
    <t>0,92</t>
  </si>
  <si>
    <t>1,71</t>
  </si>
  <si>
    <t>5,53</t>
  </si>
  <si>
    <t>0,65</t>
  </si>
  <si>
    <t>6,91</t>
  </si>
  <si>
    <t>0,96</t>
  </si>
  <si>
    <t>7,33</t>
  </si>
  <si>
    <t>0,87</t>
  </si>
  <si>
    <t>9,16</t>
  </si>
  <si>
    <t>3,61</t>
  </si>
  <si>
    <t>0,76</t>
  </si>
  <si>
    <t>0,33</t>
  </si>
  <si>
    <t>0,04</t>
  </si>
  <si>
    <t>1,13</t>
  </si>
  <si>
    <t>42,74</t>
  </si>
  <si>
    <t>5,80</t>
  </si>
  <si>
    <t>53,43</t>
  </si>
  <si>
    <t>63,05</t>
  </si>
  <si>
    <t>27,77</t>
  </si>
  <si>
    <t>6,25</t>
  </si>
  <si>
    <t>49,64</t>
  </si>
  <si>
    <t>77,18</t>
  </si>
  <si>
    <t>20,81</t>
  </si>
  <si>
    <t>4,36</t>
  </si>
  <si>
    <t>0,18</t>
  </si>
  <si>
    <t>4,03</t>
  </si>
  <si>
    <t>19,78</t>
  </si>
  <si>
    <t>2,68</t>
  </si>
  <si>
    <t>17,59</t>
  </si>
  <si>
    <t>2,38</t>
  </si>
  <si>
    <t>49,84</t>
  </si>
  <si>
    <t>6,76</t>
  </si>
  <si>
    <t>62,30</t>
  </si>
  <si>
    <t>88,82</t>
  </si>
  <si>
    <t>34,39</t>
  </si>
  <si>
    <t>7,74</t>
  </si>
  <si>
    <t>19,08</t>
  </si>
  <si>
    <t>2,59</t>
  </si>
  <si>
    <t>112,67</t>
  </si>
  <si>
    <t>25,36</t>
  </si>
  <si>
    <t>4,65</t>
  </si>
  <si>
    <t>0,63</t>
  </si>
  <si>
    <t>34,18</t>
  </si>
  <si>
    <t>7,69</t>
  </si>
  <si>
    <t>0,28</t>
  </si>
  <si>
    <t>4,21</t>
  </si>
  <si>
    <t>0,66</t>
  </si>
  <si>
    <t>3,51</t>
  </si>
  <si>
    <t>236,04</t>
  </si>
  <si>
    <t>26,53</t>
  </si>
  <si>
    <t>5,97</t>
  </si>
  <si>
    <t>13,32</t>
  </si>
  <si>
    <t>1,85</t>
  </si>
  <si>
    <t>32,48</t>
  </si>
  <si>
    <t>45,03</t>
  </si>
  <si>
    <t>6,11</t>
  </si>
  <si>
    <t>31,91</t>
  </si>
  <si>
    <t>4,43</t>
  </si>
  <si>
    <t>26,19</t>
  </si>
  <si>
    <t>4,12</t>
  </si>
  <si>
    <t>24,59</t>
  </si>
  <si>
    <t>91,72</t>
  </si>
  <si>
    <t>1,37</t>
  </si>
  <si>
    <t>0,16</t>
  </si>
  <si>
    <t>1,50</t>
  </si>
  <si>
    <t>2,27</t>
  </si>
  <si>
    <t>37,12</t>
  </si>
  <si>
    <t>6,68</t>
  </si>
  <si>
    <t>122,75</t>
  </si>
  <si>
    <t>19,45</t>
  </si>
  <si>
    <t>218,95</t>
  </si>
  <si>
    <t>165,06</t>
  </si>
  <si>
    <t>286,74</t>
  </si>
  <si>
    <t>45,43</t>
  </si>
  <si>
    <t>511,47</t>
  </si>
  <si>
    <t>436,51</t>
  </si>
  <si>
    <t>88,00</t>
  </si>
  <si>
    <t>15,84</t>
  </si>
  <si>
    <t>249,16</t>
  </si>
  <si>
    <t>39,48</t>
  </si>
  <si>
    <t>444,43</t>
  </si>
  <si>
    <t>372,09</t>
  </si>
  <si>
    <t>72,11</t>
  </si>
  <si>
    <t>12,98</t>
  </si>
  <si>
    <t>115,92</t>
  </si>
  <si>
    <t>83,74</t>
  </si>
  <si>
    <t>18,99</t>
  </si>
  <si>
    <t>31,25</t>
  </si>
  <si>
    <t>13,64</t>
  </si>
  <si>
    <t>2,73</t>
  </si>
  <si>
    <t>2,16</t>
  </si>
  <si>
    <t>45,59</t>
  </si>
  <si>
    <t>6,49</t>
  </si>
  <si>
    <t>73,29</t>
  </si>
  <si>
    <t>28,66</t>
  </si>
  <si>
    <t>1,67</t>
  </si>
  <si>
    <t>0,19</t>
  </si>
  <si>
    <t>2,09</t>
  </si>
  <si>
    <t>8,27</t>
  </si>
  <si>
    <t>39,18</t>
  </si>
  <si>
    <t>5,44</t>
  </si>
  <si>
    <t>32,61</t>
  </si>
  <si>
    <t>5,71</t>
  </si>
  <si>
    <t>55,08</t>
  </si>
  <si>
    <t>174,16</t>
  </si>
  <si>
    <t>35,15</t>
  </si>
  <si>
    <t>6,04</t>
  </si>
  <si>
    <t>4,79</t>
  </si>
  <si>
    <t>58,76</t>
  </si>
  <si>
    <t>200,94</t>
  </si>
  <si>
    <t>0,40</t>
  </si>
  <si>
    <t>2,15</t>
  </si>
  <si>
    <t>2,69</t>
  </si>
  <si>
    <t>45,60</t>
  </si>
  <si>
    <t>6,24</t>
  </si>
  <si>
    <t>57,06</t>
  </si>
  <si>
    <t>0,50</t>
  </si>
  <si>
    <t>5,69</t>
  </si>
  <si>
    <t>6,35</t>
  </si>
  <si>
    <t>6,94</t>
  </si>
  <si>
    <t>12,41</t>
  </si>
  <si>
    <t>0,64</t>
  </si>
  <si>
    <t>0,07</t>
  </si>
  <si>
    <t>0,70</t>
  </si>
  <si>
    <t>8,84</t>
  </si>
  <si>
    <t>0,49</t>
  </si>
  <si>
    <t>4,52</t>
  </si>
  <si>
    <t>0,52</t>
  </si>
  <si>
    <t>4,84</t>
  </si>
  <si>
    <t>5,57</t>
  </si>
  <si>
    <t>0,77</t>
  </si>
  <si>
    <t>6,97</t>
  </si>
  <si>
    <t>14,77</t>
  </si>
  <si>
    <t>209,27</t>
  </si>
  <si>
    <t>29,05</t>
  </si>
  <si>
    <t>261,88</t>
  </si>
  <si>
    <t>118,14</t>
  </si>
  <si>
    <t>97,08</t>
  </si>
  <si>
    <t>14,72</t>
  </si>
  <si>
    <t>132,39</t>
  </si>
  <si>
    <t>90,60</t>
  </si>
  <si>
    <t>29,53</t>
  </si>
  <si>
    <t>3,50</t>
  </si>
  <si>
    <t>32,30</t>
  </si>
  <si>
    <t>56,20</t>
  </si>
  <si>
    <t>15,18</t>
  </si>
  <si>
    <t>18,97</t>
  </si>
  <si>
    <t>39,36</t>
  </si>
  <si>
    <t>4,15</t>
  </si>
  <si>
    <t>5,54</t>
  </si>
  <si>
    <t>5,56</t>
  </si>
  <si>
    <t>6,96</t>
  </si>
  <si>
    <t>59,86</t>
  </si>
  <si>
    <t>14,12</t>
  </si>
  <si>
    <t>17,67</t>
  </si>
  <si>
    <t>155,31</t>
  </si>
  <si>
    <t>6,59</t>
  </si>
  <si>
    <t>0,91</t>
  </si>
  <si>
    <t>8,25</t>
  </si>
  <si>
    <t>81,32</t>
  </si>
  <si>
    <t>11,56</t>
  </si>
  <si>
    <t>18,98</t>
  </si>
  <si>
    <t>3,86</t>
  </si>
  <si>
    <t>3,05</t>
  </si>
  <si>
    <t>34,64</t>
  </si>
  <si>
    <t>144,91</t>
  </si>
  <si>
    <t>0,62</t>
  </si>
  <si>
    <t>9,24</t>
  </si>
  <si>
    <t>1,07</t>
  </si>
  <si>
    <t>1,34</t>
  </si>
  <si>
    <t>9,30</t>
  </si>
  <si>
    <t>14,27</t>
  </si>
  <si>
    <t>2,99</t>
  </si>
  <si>
    <t>2,37</t>
  </si>
  <si>
    <t>17,53</t>
  </si>
  <si>
    <t>3,37</t>
  </si>
  <si>
    <t>2,67</t>
  </si>
  <si>
    <t>19,36</t>
  </si>
  <si>
    <t>3,77</t>
  </si>
  <si>
    <t>2,98</t>
  </si>
  <si>
    <t>12,02</t>
  </si>
  <si>
    <t>1,99</t>
  </si>
  <si>
    <t>22,18</t>
  </si>
  <si>
    <t>4,27</t>
  </si>
  <si>
    <t>3,38</t>
  </si>
  <si>
    <t>39,54</t>
  </si>
  <si>
    <t>15,78</t>
  </si>
  <si>
    <t>3,19</t>
  </si>
  <si>
    <t>22,38</t>
  </si>
  <si>
    <t>4,33</t>
  </si>
  <si>
    <t>3,42</t>
  </si>
  <si>
    <t>2,72</t>
  </si>
  <si>
    <t>4,24</t>
  </si>
  <si>
    <t>152,89</t>
  </si>
  <si>
    <t>0,74</t>
  </si>
  <si>
    <t>16,97</t>
  </si>
  <si>
    <t>3,17</t>
  </si>
  <si>
    <t>2,51</t>
  </si>
  <si>
    <t>28,73</t>
  </si>
  <si>
    <t>132,20</t>
  </si>
  <si>
    <t>32,23</t>
  </si>
  <si>
    <t>5,23</t>
  </si>
  <si>
    <t>57,55</t>
  </si>
  <si>
    <t>297,50</t>
  </si>
  <si>
    <t>0,01</t>
  </si>
  <si>
    <t>0,08</t>
  </si>
  <si>
    <t>1,23</t>
  </si>
  <si>
    <t>5,90</t>
  </si>
  <si>
    <t>4,92</t>
  </si>
  <si>
    <t>29,94</t>
  </si>
  <si>
    <t>5,33</t>
  </si>
  <si>
    <t>4,22</t>
  </si>
  <si>
    <t>48,52</t>
  </si>
  <si>
    <t>0,14</t>
  </si>
  <si>
    <t>11,46</t>
  </si>
  <si>
    <t>1,81</t>
  </si>
  <si>
    <t>1,43</t>
  </si>
  <si>
    <t>14,32</t>
  </si>
  <si>
    <t>34,80</t>
  </si>
  <si>
    <t>4,20</t>
  </si>
  <si>
    <t>42,94</t>
  </si>
  <si>
    <t>23,57</t>
  </si>
  <si>
    <t>3,81</t>
  </si>
  <si>
    <t>41,83</t>
  </si>
  <si>
    <t>272,74</t>
  </si>
  <si>
    <t>4,51</t>
  </si>
  <si>
    <t>0,53</t>
  </si>
  <si>
    <t>4,93</t>
  </si>
  <si>
    <t>1,66</t>
  </si>
  <si>
    <t>2,08</t>
  </si>
  <si>
    <t>325,41</t>
  </si>
  <si>
    <t>45,17</t>
  </si>
  <si>
    <t>407,22</t>
  </si>
  <si>
    <t>154,31</t>
  </si>
  <si>
    <t>0,42</t>
  </si>
  <si>
    <t>0,39</t>
  </si>
  <si>
    <t>6,05</t>
  </si>
  <si>
    <t>11,82</t>
  </si>
  <si>
    <t>41,71</t>
  </si>
  <si>
    <t>45,63</t>
  </si>
  <si>
    <t>8,50</t>
  </si>
  <si>
    <t>87,68</t>
  </si>
  <si>
    <t>140,95</t>
  </si>
  <si>
    <t>12,49</t>
  </si>
  <si>
    <t>0,79</t>
  </si>
  <si>
    <t>0,23</t>
  </si>
  <si>
    <t>15,98</t>
  </si>
  <si>
    <t>3,49</t>
  </si>
  <si>
    <t>3,11</t>
  </si>
  <si>
    <t>66,25</t>
  </si>
  <si>
    <t>4,94</t>
  </si>
  <si>
    <t>0,88</t>
  </si>
  <si>
    <t>4,41</t>
  </si>
  <si>
    <t>158,32</t>
  </si>
  <si>
    <t>105,69</t>
  </si>
  <si>
    <t>19,02</t>
  </si>
  <si>
    <t>169,90</t>
  </si>
  <si>
    <t>2.836,80</t>
  </si>
  <si>
    <t>5,72</t>
  </si>
  <si>
    <t>1,20</t>
  </si>
  <si>
    <t>10,72</t>
  </si>
  <si>
    <t>24,82</t>
  </si>
  <si>
    <t>1,61</t>
  </si>
  <si>
    <t>31,99</t>
  </si>
  <si>
    <t>62,29</t>
  </si>
  <si>
    <t>9,81</t>
  </si>
  <si>
    <t>58,01</t>
  </si>
  <si>
    <t>16,30</t>
  </si>
  <si>
    <t>2,56</t>
  </si>
  <si>
    <t>17,84</t>
  </si>
  <si>
    <t>145,44</t>
  </si>
  <si>
    <t>5,20</t>
  </si>
  <si>
    <t>46,43</t>
  </si>
  <si>
    <t>31,85</t>
  </si>
  <si>
    <t>0,00</t>
  </si>
  <si>
    <t>47,26</t>
  </si>
  <si>
    <t>5,61</t>
  </si>
  <si>
    <t>51,69</t>
  </si>
  <si>
    <t>0,17</t>
  </si>
  <si>
    <t>1,79</t>
  </si>
  <si>
    <t>0,59</t>
  </si>
  <si>
    <t>1,49</t>
  </si>
  <si>
    <t>5,00</t>
  </si>
  <si>
    <t>0,43</t>
  </si>
  <si>
    <t>2,31</t>
  </si>
  <si>
    <t>0,13</t>
  </si>
  <si>
    <t>1,47</t>
  </si>
  <si>
    <t>47,73</t>
  </si>
  <si>
    <t>6,62</t>
  </si>
  <si>
    <t>59,73</t>
  </si>
  <si>
    <t>4,77</t>
  </si>
  <si>
    <t>43,70</t>
  </si>
  <si>
    <t>5,98</t>
  </si>
  <si>
    <t>54,69</t>
  </si>
  <si>
    <t>3,73</t>
  </si>
  <si>
    <t>52,52</t>
  </si>
  <si>
    <t>7,12</t>
  </si>
  <si>
    <t>65,66</t>
  </si>
  <si>
    <t>50,56</t>
  </si>
  <si>
    <t>6,86</t>
  </si>
  <si>
    <t>63,21</t>
  </si>
  <si>
    <t>1,42</t>
  </si>
  <si>
    <t>7,04</t>
  </si>
  <si>
    <t>269,73</t>
  </si>
  <si>
    <t>7,89</t>
  </si>
  <si>
    <t>22,61</t>
  </si>
  <si>
    <t>3,13</t>
  </si>
  <si>
    <t>24,72</t>
  </si>
  <si>
    <t>22,36</t>
  </si>
  <si>
    <t>3,10</t>
  </si>
  <si>
    <t>169,79</t>
  </si>
  <si>
    <t>17,50</t>
  </si>
  <si>
    <t>2,43</t>
  </si>
  <si>
    <t>19,14</t>
  </si>
  <si>
    <t>118,31</t>
  </si>
  <si>
    <t>25,93</t>
  </si>
  <si>
    <t>4,86</t>
  </si>
  <si>
    <t>3,84</t>
  </si>
  <si>
    <t>43,64</t>
  </si>
  <si>
    <t>140,06</t>
  </si>
  <si>
    <t>17,75</t>
  </si>
  <si>
    <t>21,83</t>
  </si>
  <si>
    <t>2,46</t>
  </si>
  <si>
    <t>19,41</t>
  </si>
  <si>
    <t>2,20</t>
  </si>
  <si>
    <t>27,28</t>
  </si>
  <si>
    <t>16,13</t>
  </si>
  <si>
    <t>2,18</t>
  </si>
  <si>
    <t>20,16</t>
  </si>
  <si>
    <t>17,19</t>
  </si>
  <si>
    <t>7,35</t>
  </si>
  <si>
    <t>52,94</t>
  </si>
  <si>
    <t>4,17</t>
  </si>
  <si>
    <t>4,02</t>
  </si>
  <si>
    <t>129,83</t>
  </si>
  <si>
    <t>23,36</t>
  </si>
  <si>
    <t>208,70</t>
  </si>
  <si>
    <t>216,58</t>
  </si>
  <si>
    <t>341,83</t>
  </si>
  <si>
    <t>61,53</t>
  </si>
  <si>
    <t>549,50</t>
  </si>
  <si>
    <t>309,40</t>
  </si>
  <si>
    <t>1,54</t>
  </si>
  <si>
    <t>20,21</t>
  </si>
  <si>
    <t>7,73</t>
  </si>
  <si>
    <t>132,97</t>
  </si>
  <si>
    <t>65,01</t>
  </si>
  <si>
    <t>0,61</t>
  </si>
  <si>
    <t>177,30</t>
  </si>
  <si>
    <t>1,16</t>
  </si>
  <si>
    <t>11,52</t>
  </si>
  <si>
    <t>88,95</t>
  </si>
  <si>
    <t>1,15</t>
  </si>
  <si>
    <t>3,30</t>
  </si>
  <si>
    <t>2,71</t>
  </si>
  <si>
    <t>17,79</t>
  </si>
  <si>
    <t>34,63</t>
  </si>
  <si>
    <t>85,99</t>
  </si>
  <si>
    <t>152,12</t>
  </si>
  <si>
    <t>8,24</t>
  </si>
  <si>
    <t>VARREDEIRA DE GRAMA SINTÉTICA A GASOLINA, 2,4 CV, 4 TEMPOS - MATERIAIS NA OPERAÇÃO. AF_02/2022</t>
  </si>
  <si>
    <t>BATE ESTACA PARA INSTALAÇÃO DE DEFENSAS METÁLICAS (GUARD RAIL) FIXO - MATERIAIS NA OPERAÇÃO. AF_02/2022</t>
  </si>
  <si>
    <t>377,41</t>
  </si>
  <si>
    <t>427,28</t>
  </si>
  <si>
    <t>475,61</t>
  </si>
  <si>
    <t>553,45</t>
  </si>
  <si>
    <t>61,57</t>
  </si>
  <si>
    <t>69,02</t>
  </si>
  <si>
    <t>66,33</t>
  </si>
  <si>
    <t>80,28</t>
  </si>
  <si>
    <t>18,43</t>
  </si>
  <si>
    <t>14,64</t>
  </si>
  <si>
    <t>824,48</t>
  </si>
  <si>
    <t>1.009,85</t>
  </si>
  <si>
    <t>1.068,64</t>
  </si>
  <si>
    <t>1.188,29</t>
  </si>
  <si>
    <t>1.480,86</t>
  </si>
  <si>
    <t>1.878,69</t>
  </si>
  <si>
    <t>1.953,79</t>
  </si>
  <si>
    <t>2.117,74</t>
  </si>
  <si>
    <t>2.420,57</t>
  </si>
  <si>
    <t>2.506,50</t>
  </si>
  <si>
    <t>813,49</t>
  </si>
  <si>
    <t>990,59</t>
  </si>
  <si>
    <t>1.049,37</t>
  </si>
  <si>
    <t>1.177,29</t>
  </si>
  <si>
    <t>1.460,38</t>
  </si>
  <si>
    <t>1.850,80</t>
  </si>
  <si>
    <t>1.926,65</t>
  </si>
  <si>
    <t>2.071,34</t>
  </si>
  <si>
    <t>2.366,31</t>
  </si>
  <si>
    <t>2.440,04</t>
  </si>
  <si>
    <t>31,92</t>
  </si>
  <si>
    <t>19,48</t>
  </si>
  <si>
    <t>28,84</t>
  </si>
  <si>
    <t>46,29</t>
  </si>
  <si>
    <t>22,05</t>
  </si>
  <si>
    <t>36,65</t>
  </si>
  <si>
    <t>44,06</t>
  </si>
  <si>
    <t>15,37</t>
  </si>
  <si>
    <t>13,93</t>
  </si>
  <si>
    <t>18,31</t>
  </si>
  <si>
    <t>15,97</t>
  </si>
  <si>
    <t>12,17</t>
  </si>
  <si>
    <t>16,00</t>
  </si>
  <si>
    <t>14,48</t>
  </si>
  <si>
    <t>18,96</t>
  </si>
  <si>
    <t>36,17</t>
  </si>
  <si>
    <t>38,20</t>
  </si>
  <si>
    <t>42,71</t>
  </si>
  <si>
    <t>45,39</t>
  </si>
  <si>
    <t>60,10</t>
  </si>
  <si>
    <t>64,65</t>
  </si>
  <si>
    <t>20,37</t>
  </si>
  <si>
    <t>18,64</t>
  </si>
  <si>
    <t>48,37</t>
  </si>
  <si>
    <t>51,34</t>
  </si>
  <si>
    <t>129,00</t>
  </si>
  <si>
    <t>74,12</t>
  </si>
  <si>
    <t>216,30</t>
  </si>
  <si>
    <t>31,42</t>
  </si>
  <si>
    <t>47,83</t>
  </si>
  <si>
    <t>26,12</t>
  </si>
  <si>
    <t>42,53</t>
  </si>
  <si>
    <t>84,73</t>
  </si>
  <si>
    <t>94,86</t>
  </si>
  <si>
    <t>92,33</t>
  </si>
  <si>
    <t>58,37</t>
  </si>
  <si>
    <t>13,75</t>
  </si>
  <si>
    <t>16,44</t>
  </si>
  <si>
    <t>18,69</t>
  </si>
  <si>
    <t>23,26</t>
  </si>
  <si>
    <t>62,86</t>
  </si>
  <si>
    <t>64,87</t>
  </si>
  <si>
    <t>66,50</t>
  </si>
  <si>
    <t>89,45</t>
  </si>
  <si>
    <t>173,54</t>
  </si>
  <si>
    <t>52,30</t>
  </si>
  <si>
    <t>55,83</t>
  </si>
  <si>
    <t>148,55</t>
  </si>
  <si>
    <t>177,03</t>
  </si>
  <si>
    <t>205,31</t>
  </si>
  <si>
    <t>250,79</t>
  </si>
  <si>
    <t>149,34</t>
  </si>
  <si>
    <t>84,09</t>
  </si>
  <si>
    <t>53,81</t>
  </si>
  <si>
    <t>155,46</t>
  </si>
  <si>
    <t>94,33</t>
  </si>
  <si>
    <t>56,32</t>
  </si>
  <si>
    <t>151,35</t>
  </si>
  <si>
    <t>76,74</t>
  </si>
  <si>
    <t>42,48</t>
  </si>
  <si>
    <t>158,07</t>
  </si>
  <si>
    <t>80,42</t>
  </si>
  <si>
    <t>44,48</t>
  </si>
  <si>
    <t>54,80</t>
  </si>
  <si>
    <t>57,66</t>
  </si>
  <si>
    <t>759,35</t>
  </si>
  <si>
    <t>907,85</t>
  </si>
  <si>
    <t>1.056,35</t>
  </si>
  <si>
    <t>1.326,20</t>
  </si>
  <si>
    <t>1.474,70</t>
  </si>
  <si>
    <t>1.651,48</t>
  </si>
  <si>
    <t>12,54</t>
  </si>
  <si>
    <t>1.930,45</t>
  </si>
  <si>
    <t>2.130,80</t>
  </si>
  <si>
    <t>2.279,29</t>
  </si>
  <si>
    <t>2.465,38</t>
  </si>
  <si>
    <t>870,26</t>
  </si>
  <si>
    <t>1.018,76</t>
  </si>
  <si>
    <t>1.251,02</t>
  </si>
  <si>
    <t>1.399,52</t>
  </si>
  <si>
    <t>1.576,30</t>
  </si>
  <si>
    <t>1.780,10</t>
  </si>
  <si>
    <t>2.018,03</t>
  </si>
  <si>
    <t>2.166,53</t>
  </si>
  <si>
    <t>2.315,03</t>
  </si>
  <si>
    <t>854,02</t>
  </si>
  <si>
    <t>1.150,12</t>
  </si>
  <si>
    <t>1.209,67</t>
  </si>
  <si>
    <t>1.340,33</t>
  </si>
  <si>
    <t>1.660,83</t>
  </si>
  <si>
    <t>2.326,46</t>
  </si>
  <si>
    <t>2.401,46</t>
  </si>
  <si>
    <t>2.597,37</t>
  </si>
  <si>
    <t>2.963,63</t>
  </si>
  <si>
    <t>3.157,54</t>
  </si>
  <si>
    <t>832,03</t>
  </si>
  <si>
    <t>1.122,98</t>
  </si>
  <si>
    <t>1.182,54</t>
  </si>
  <si>
    <t>1.397,24</t>
  </si>
  <si>
    <t>1.588,48</t>
  </si>
  <si>
    <t>2.202,48</t>
  </si>
  <si>
    <t>2.274,43</t>
  </si>
  <si>
    <t>2.428,16</t>
  </si>
  <si>
    <t>2.713,67</t>
  </si>
  <si>
    <t>2.663,06</t>
  </si>
  <si>
    <t>13,02</t>
  </si>
  <si>
    <t>12,26</t>
  </si>
  <si>
    <t>819,58</t>
  </si>
  <si>
    <t>30,09</t>
  </si>
  <si>
    <t>47,49</t>
  </si>
  <si>
    <t>20,07</t>
  </si>
  <si>
    <t>51,32</t>
  </si>
  <si>
    <t>68,70</t>
  </si>
  <si>
    <t>88,75</t>
  </si>
  <si>
    <t>125,92</t>
  </si>
  <si>
    <t>95,42</t>
  </si>
  <si>
    <t>116,95</t>
  </si>
  <si>
    <t>118,79</t>
  </si>
  <si>
    <t>127,18</t>
  </si>
  <si>
    <t>129,71</t>
  </si>
  <si>
    <t>155,42</t>
  </si>
  <si>
    <t>138,09</t>
  </si>
  <si>
    <t>159,60</t>
  </si>
  <si>
    <t>35,62</t>
  </si>
  <si>
    <t>56,84</t>
  </si>
  <si>
    <t>93,70</t>
  </si>
  <si>
    <t>10,71</t>
  </si>
  <si>
    <t>12,37</t>
  </si>
  <si>
    <t>31,21</t>
  </si>
  <si>
    <t>21,54</t>
  </si>
  <si>
    <t>54,23</t>
  </si>
  <si>
    <t>76,31</t>
  </si>
  <si>
    <t>11,30</t>
  </si>
  <si>
    <t>22,43</t>
  </si>
  <si>
    <t>111,13</t>
  </si>
  <si>
    <t>111,42</t>
  </si>
  <si>
    <t>119,60</t>
  </si>
  <si>
    <t>119,89</t>
  </si>
  <si>
    <t>47,03</t>
  </si>
  <si>
    <t>47,51</t>
  </si>
  <si>
    <t>27,52</t>
  </si>
  <si>
    <t>26,28</t>
  </si>
  <si>
    <t>23,58</t>
  </si>
  <si>
    <t>26,80</t>
  </si>
  <si>
    <t>564,23</t>
  </si>
  <si>
    <t>540,80</t>
  </si>
  <si>
    <t>699,95</t>
  </si>
  <si>
    <t>641,62</t>
  </si>
  <si>
    <t>777,47</t>
  </si>
  <si>
    <t>699,59</t>
  </si>
  <si>
    <t>807,64</t>
  </si>
  <si>
    <t>1.389,22</t>
  </si>
  <si>
    <t>1.727,30</t>
  </si>
  <si>
    <t>2.064,05</t>
  </si>
  <si>
    <t>537,44</t>
  </si>
  <si>
    <t>490,84</t>
  </si>
  <si>
    <t>207,44</t>
  </si>
  <si>
    <t>235,50</t>
  </si>
  <si>
    <t>269,59</t>
  </si>
  <si>
    <t>633,28</t>
  </si>
  <si>
    <t>123,13</t>
  </si>
  <si>
    <t>134,93</t>
  </si>
  <si>
    <t>157,06</t>
  </si>
  <si>
    <t>168,83</t>
  </si>
  <si>
    <t>134,12</t>
  </si>
  <si>
    <t>147,10</t>
  </si>
  <si>
    <t>169,65</t>
  </si>
  <si>
    <t>182,65</t>
  </si>
  <si>
    <t>123,11</t>
  </si>
  <si>
    <t>144,68</t>
  </si>
  <si>
    <t>128,19</t>
  </si>
  <si>
    <t>149,59</t>
  </si>
  <si>
    <t>135,64</t>
  </si>
  <si>
    <t>158,24</t>
  </si>
  <si>
    <t>144,40</t>
  </si>
  <si>
    <t>166,79</t>
  </si>
  <si>
    <t>132,26</t>
  </si>
  <si>
    <t>144,36</t>
  </si>
  <si>
    <t>167,40</t>
  </si>
  <si>
    <t>179,62</t>
  </si>
  <si>
    <t>141,44</t>
  </si>
  <si>
    <t>154,87</t>
  </si>
  <si>
    <t>177,78</t>
  </si>
  <si>
    <t>191,47</t>
  </si>
  <si>
    <t>128,11</t>
  </si>
  <si>
    <t>150,07</t>
  </si>
  <si>
    <t>130,77</t>
  </si>
  <si>
    <t>152,58</t>
  </si>
  <si>
    <t>140,35</t>
  </si>
  <si>
    <t>163,42</t>
  </si>
  <si>
    <t>147,38</t>
  </si>
  <si>
    <t>170,37</t>
  </si>
  <si>
    <t>202,33</t>
  </si>
  <si>
    <t>189,15</t>
  </si>
  <si>
    <t>181,22</t>
  </si>
  <si>
    <t>175,59</t>
  </si>
  <si>
    <t>217,80</t>
  </si>
  <si>
    <t>203,81</t>
  </si>
  <si>
    <t>195,44</t>
  </si>
  <si>
    <t>189,58</t>
  </si>
  <si>
    <t>189,81</t>
  </si>
  <si>
    <t>176,66</t>
  </si>
  <si>
    <t>168,80</t>
  </si>
  <si>
    <t>161,56</t>
  </si>
  <si>
    <t>158,72</t>
  </si>
  <si>
    <t>205,25</t>
  </si>
  <si>
    <t>191,31</t>
  </si>
  <si>
    <t>183,00</t>
  </si>
  <si>
    <t>177,18</t>
  </si>
  <si>
    <t>167,37</t>
  </si>
  <si>
    <t>25,84</t>
  </si>
  <si>
    <t>982,81</t>
  </si>
  <si>
    <t>595,20</t>
  </si>
  <si>
    <t>773,39</t>
  </si>
  <si>
    <t>482,69</t>
  </si>
  <si>
    <t>36,60</t>
  </si>
  <si>
    <t>16,04</t>
  </si>
  <si>
    <t>15,39</t>
  </si>
  <si>
    <t>12,94</t>
  </si>
  <si>
    <t>12,72</t>
  </si>
  <si>
    <t>681,60</t>
  </si>
  <si>
    <t>27,34</t>
  </si>
  <si>
    <t>33,24</t>
  </si>
  <si>
    <t>43,00</t>
  </si>
  <si>
    <t>62,60</t>
  </si>
  <si>
    <t>81,57</t>
  </si>
  <si>
    <t>137,58</t>
  </si>
  <si>
    <t>44,75</t>
  </si>
  <si>
    <t>63,32</t>
  </si>
  <si>
    <t>84,97</t>
  </si>
  <si>
    <t>81,13</t>
  </si>
  <si>
    <t>102,68</t>
  </si>
  <si>
    <t>103,10</t>
  </si>
  <si>
    <t>243,55</t>
  </si>
  <si>
    <t>304,87</t>
  </si>
  <si>
    <t>427,55</t>
  </si>
  <si>
    <t>571,98</t>
  </si>
  <si>
    <t>778,00</t>
  </si>
  <si>
    <t>1.037,67</t>
  </si>
  <si>
    <t>913,51</t>
  </si>
  <si>
    <t>1.978,24</t>
  </si>
  <si>
    <t>748,23</t>
  </si>
  <si>
    <t>1.687,19</t>
  </si>
  <si>
    <t>1.605,59</t>
  </si>
  <si>
    <t>2.955,25</t>
  </si>
  <si>
    <t>1.624,77</t>
  </si>
  <si>
    <t>2.860,33</t>
  </si>
  <si>
    <t>2.583,82</t>
  </si>
  <si>
    <t>4.453,22</t>
  </si>
  <si>
    <t>1.154,92</t>
  </si>
  <si>
    <t>2.531,52</t>
  </si>
  <si>
    <t>1.244,61</t>
  </si>
  <si>
    <t>2.235,09</t>
  </si>
  <si>
    <t>2.024,34</t>
  </si>
  <si>
    <t>3.821,94</t>
  </si>
  <si>
    <t>421,95</t>
  </si>
  <si>
    <t>439,46</t>
  </si>
  <si>
    <t>1.005,00</t>
  </si>
  <si>
    <t>1.416,34</t>
  </si>
  <si>
    <t>827,32</t>
  </si>
  <si>
    <t>1.870,62</t>
  </si>
  <si>
    <t>1.055,05</t>
  </si>
  <si>
    <t>437,66</t>
  </si>
  <si>
    <t>1.274,31</t>
  </si>
  <si>
    <t>583,49</t>
  </si>
  <si>
    <t>2.774,21</t>
  </si>
  <si>
    <t>1.493,61</t>
  </si>
  <si>
    <t>841,20</t>
  </si>
  <si>
    <t>3.583,65</t>
  </si>
  <si>
    <t>1.822,53</t>
  </si>
  <si>
    <t>2.293,22</t>
  </si>
  <si>
    <t>1.094,01</t>
  </si>
  <si>
    <t>2.904,30</t>
  </si>
  <si>
    <t>1.306,02</t>
  </si>
  <si>
    <t>1.518,07</t>
  </si>
  <si>
    <t>1.730,12</t>
  </si>
  <si>
    <t>4.773,47</t>
  </si>
  <si>
    <t>1.942,19</t>
  </si>
  <si>
    <t>2.154,26</t>
  </si>
  <si>
    <t>6.000,81</t>
  </si>
  <si>
    <t>2.366,28</t>
  </si>
  <si>
    <t>3.613,46</t>
  </si>
  <si>
    <t>4.421,79</t>
  </si>
  <si>
    <t>5.201,27</t>
  </si>
  <si>
    <t>5.980,76</t>
  </si>
  <si>
    <t>6.764,61</t>
  </si>
  <si>
    <t>7.539,79</t>
  </si>
  <si>
    <t>2.597,78</t>
  </si>
  <si>
    <t>5.341,62</t>
  </si>
  <si>
    <t>1.961,70</t>
  </si>
  <si>
    <t>6.277,08</t>
  </si>
  <si>
    <t>2.173,70</t>
  </si>
  <si>
    <t>7.271,37</t>
  </si>
  <si>
    <t>2.385,80</t>
  </si>
  <si>
    <t>8.210,01</t>
  </si>
  <si>
    <t>9.148,70</t>
  </si>
  <si>
    <t>2.813,85</t>
  </si>
  <si>
    <t>7.465,34</t>
  </si>
  <si>
    <t>2.389,86</t>
  </si>
  <si>
    <t>8.602,32</t>
  </si>
  <si>
    <t>2.601,85</t>
  </si>
  <si>
    <t>9.739,23</t>
  </si>
  <si>
    <t>10.876,19</t>
  </si>
  <si>
    <t>3.029,96</t>
  </si>
  <si>
    <t>9.952,73</t>
  </si>
  <si>
    <t>2.817,92</t>
  </si>
  <si>
    <t>11.263,66</t>
  </si>
  <si>
    <t>12.574,57</t>
  </si>
  <si>
    <t>3.246,06</t>
  </si>
  <si>
    <t>12.778,63</t>
  </si>
  <si>
    <t>14.272,91</t>
  </si>
  <si>
    <t>3.462,16</t>
  </si>
  <si>
    <t>16.666,44</t>
  </si>
  <si>
    <t>3.638,49</t>
  </si>
  <si>
    <t>242,50</t>
  </si>
  <si>
    <t>840,10</t>
  </si>
  <si>
    <t>2.320,29</t>
  </si>
  <si>
    <t>5.389,04</t>
  </si>
  <si>
    <t>3.515,21</t>
  </si>
  <si>
    <t>4.126,24</t>
  </si>
  <si>
    <t>330,90</t>
  </si>
  <si>
    <t>1.094,80</t>
  </si>
  <si>
    <t>1.083,46</t>
  </si>
  <si>
    <t>1.252,57</t>
  </si>
  <si>
    <t>1.302,29</t>
  </si>
  <si>
    <t>1.521,12</t>
  </si>
  <si>
    <t>1.642,37</t>
  </si>
  <si>
    <t>1.763,62</t>
  </si>
  <si>
    <t>1.808,57</t>
  </si>
  <si>
    <t>2.027,40</t>
  </si>
  <si>
    <t>2.246,23</t>
  </si>
  <si>
    <t>2.367,48</t>
  </si>
  <si>
    <t>2.488,73</t>
  </si>
  <si>
    <t>3.521,01</t>
  </si>
  <si>
    <t>4.267,82</t>
  </si>
  <si>
    <t>4.687,87</t>
  </si>
  <si>
    <t>5.107,92</t>
  </si>
  <si>
    <t>3.499,32</t>
  </si>
  <si>
    <t>4.246,12</t>
  </si>
  <si>
    <t>4.992,93</t>
  </si>
  <si>
    <t>5.412,98</t>
  </si>
  <si>
    <t>5.833,03</t>
  </si>
  <si>
    <t>580,90</t>
  </si>
  <si>
    <t>1.463,81</t>
  </si>
  <si>
    <t>2.700,42</t>
  </si>
  <si>
    <t>1.423,73</t>
  </si>
  <si>
    <t>4.333,13</t>
  </si>
  <si>
    <t>837,67</t>
  </si>
  <si>
    <t>1.667,88</t>
  </si>
  <si>
    <t>4.134,93</t>
  </si>
  <si>
    <t>1.741,76</t>
  </si>
  <si>
    <t>2.247,01</t>
  </si>
  <si>
    <t>1.055,70</t>
  </si>
  <si>
    <t>5.109,00</t>
  </si>
  <si>
    <t>2.845,33</t>
  </si>
  <si>
    <t>1.259,74</t>
  </si>
  <si>
    <t>1.871,96</t>
  </si>
  <si>
    <t>3.443,45</t>
  </si>
  <si>
    <t>4.044,16</t>
  </si>
  <si>
    <t>418,64</t>
  </si>
  <si>
    <t>579,79</t>
  </si>
  <si>
    <t>5.860,13</t>
  </si>
  <si>
    <t>971,78</t>
  </si>
  <si>
    <t>1.373,36</t>
  </si>
  <si>
    <t>4.676,25</t>
  </si>
  <si>
    <t>820,84</t>
  </si>
  <si>
    <t>2.076,05</t>
  </si>
  <si>
    <t>329,33</t>
  </si>
  <si>
    <t>5.279,06</t>
  </si>
  <si>
    <t>1.812,42</t>
  </si>
  <si>
    <t>2.300,77</t>
  </si>
  <si>
    <t>999,66</t>
  </si>
  <si>
    <t>6.623,72</t>
  </si>
  <si>
    <t>1.165,31</t>
  </si>
  <si>
    <t>5.878,08</t>
  </si>
  <si>
    <t>8.428,59</t>
  </si>
  <si>
    <t>435,60</t>
  </si>
  <si>
    <t>2.252,95</t>
  </si>
  <si>
    <t>3.540,80</t>
  </si>
  <si>
    <t>2.280,10</t>
  </si>
  <si>
    <t>2.253,93</t>
  </si>
  <si>
    <t>1.211,67</t>
  </si>
  <si>
    <t>7.338,05</t>
  </si>
  <si>
    <t>2.504,79</t>
  </si>
  <si>
    <t>2.501,22</t>
  </si>
  <si>
    <t>9.541,98</t>
  </si>
  <si>
    <t>2.708,80</t>
  </si>
  <si>
    <t>10.655,58</t>
  </si>
  <si>
    <t>5.238,43</t>
  </si>
  <si>
    <t>2.916,44</t>
  </si>
  <si>
    <t>9.751,02</t>
  </si>
  <si>
    <t>2.712,37</t>
  </si>
  <si>
    <t>11.035,19</t>
  </si>
  <si>
    <t>1.955,57</t>
  </si>
  <si>
    <t>12.316,29</t>
  </si>
  <si>
    <t>3.124,05</t>
  </si>
  <si>
    <t>12.530,29</t>
  </si>
  <si>
    <t>6.150,26</t>
  </si>
  <si>
    <t>13.983,02</t>
  </si>
  <si>
    <t>3.331,68</t>
  </si>
  <si>
    <t>15.646,78</t>
  </si>
  <si>
    <t>2.093,09</t>
  </si>
  <si>
    <t>241,80</t>
  </si>
  <si>
    <t>793,76</t>
  </si>
  <si>
    <t>7.125,70</t>
  </si>
  <si>
    <t>2.297,21</t>
  </si>
  <si>
    <t>8.045,51</t>
  </si>
  <si>
    <t>8.965,37</t>
  </si>
  <si>
    <t>7.314,82</t>
  </si>
  <si>
    <t>3.504,42</t>
  </si>
  <si>
    <t>1.365,78</t>
  </si>
  <si>
    <t>1.049,72</t>
  </si>
  <si>
    <t>462,76</t>
  </si>
  <si>
    <t>402,80</t>
  </si>
  <si>
    <t>439,56</t>
  </si>
  <si>
    <t>2.591,48</t>
  </si>
  <si>
    <t>1.516,68</t>
  </si>
  <si>
    <t>2.439,06</t>
  </si>
  <si>
    <t>2.409,79</t>
  </si>
  <si>
    <t>1.499,32</t>
  </si>
  <si>
    <t>31,46</t>
  </si>
  <si>
    <t>34,43</t>
  </si>
  <si>
    <t>42,87</t>
  </si>
  <si>
    <t>46,27</t>
  </si>
  <si>
    <t>51,60</t>
  </si>
  <si>
    <t>55,33</t>
  </si>
  <si>
    <t>75,20</t>
  </si>
  <si>
    <t>80,41</t>
  </si>
  <si>
    <t>91,85</t>
  </si>
  <si>
    <t>98,76</t>
  </si>
  <si>
    <t>50,24</t>
  </si>
  <si>
    <t>53,61</t>
  </si>
  <si>
    <t>48,36</t>
  </si>
  <si>
    <t>51,74</t>
  </si>
  <si>
    <t>39,72</t>
  </si>
  <si>
    <t>43,10</t>
  </si>
  <si>
    <t>52,13</t>
  </si>
  <si>
    <t>68,81</t>
  </si>
  <si>
    <t>79,09</t>
  </si>
  <si>
    <t>85,01</t>
  </si>
  <si>
    <t>95,29</t>
  </si>
  <si>
    <t>39,68</t>
  </si>
  <si>
    <t>51,50</t>
  </si>
  <si>
    <t>60,49</t>
  </si>
  <si>
    <t>71,85</t>
  </si>
  <si>
    <t>172,55</t>
  </si>
  <si>
    <t>7,76</t>
  </si>
  <si>
    <t>94,61</t>
  </si>
  <si>
    <t>16,35</t>
  </si>
  <si>
    <t>15,62</t>
  </si>
  <si>
    <t>14,11</t>
  </si>
  <si>
    <t>11,95</t>
  </si>
  <si>
    <t>11,45</t>
  </si>
  <si>
    <t>12,99</t>
  </si>
  <si>
    <t>15,44</t>
  </si>
  <si>
    <t>14,86</t>
  </si>
  <si>
    <t>654,80</t>
  </si>
  <si>
    <t>1.111,27</t>
  </si>
  <si>
    <t>2.289,31</t>
  </si>
  <si>
    <t>3.851,28</t>
  </si>
  <si>
    <t>5.793,62</t>
  </si>
  <si>
    <t>8.157,29</t>
  </si>
  <si>
    <t>14.166,41</t>
  </si>
  <si>
    <t>4.651,71</t>
  </si>
  <si>
    <t>6.996,52</t>
  </si>
  <si>
    <t>9.867,59</t>
  </si>
  <si>
    <t>17.160,27</t>
  </si>
  <si>
    <t>8.683,98</t>
  </si>
  <si>
    <t>12.193,28</t>
  </si>
  <si>
    <t>20.997,58</t>
  </si>
  <si>
    <t>2.798,14</t>
  </si>
  <si>
    <t>4.897,53</t>
  </si>
  <si>
    <t>7.843,72</t>
  </si>
  <si>
    <t>11.664,51</t>
  </si>
  <si>
    <t>22.241,85</t>
  </si>
  <si>
    <t>10.971,24</t>
  </si>
  <si>
    <t>16.369,66</t>
  </si>
  <si>
    <t>30.543,54</t>
  </si>
  <si>
    <t>14.112,97</t>
  </si>
  <si>
    <t>21.096,39</t>
  </si>
  <si>
    <t>38.999,25</t>
  </si>
  <si>
    <t>13.275,90</t>
  </si>
  <si>
    <t>20.650,93</t>
  </si>
  <si>
    <t>28.803,38</t>
  </si>
  <si>
    <t>40.949,18</t>
  </si>
  <si>
    <t>16.474,61</t>
  </si>
  <si>
    <t>24.988,37</t>
  </si>
  <si>
    <t>35.114,40</t>
  </si>
  <si>
    <t>49.487,85</t>
  </si>
  <si>
    <t>19.045,84</t>
  </si>
  <si>
    <t>29.389,22</t>
  </si>
  <si>
    <t>41.273,07</t>
  </si>
  <si>
    <t>58.662,05</t>
  </si>
  <si>
    <t>6.868,84</t>
  </si>
  <si>
    <t>10.254,22</t>
  </si>
  <si>
    <t>15.521,17</t>
  </si>
  <si>
    <t>23.403,72</t>
  </si>
  <si>
    <t>7.904,07</t>
  </si>
  <si>
    <t>11.712,62</t>
  </si>
  <si>
    <t>13.077,30</t>
  </si>
  <si>
    <t>17.309,03</t>
  </si>
  <si>
    <t>27.345,00</t>
  </si>
  <si>
    <t>8.845,58</t>
  </si>
  <si>
    <t>14.424,41</t>
  </si>
  <si>
    <t>18.991,45</t>
  </si>
  <si>
    <t>31.579,15</t>
  </si>
  <si>
    <t>25.165,75</t>
  </si>
  <si>
    <t>41.040,76</t>
  </si>
  <si>
    <t>55.425,13</t>
  </si>
  <si>
    <t>79.480,00</t>
  </si>
  <si>
    <t>26.849,15</t>
  </si>
  <si>
    <t>43.430,41</t>
  </si>
  <si>
    <t>61.649,68</t>
  </si>
  <si>
    <t>75.511,35</t>
  </si>
  <si>
    <t>27.413,38</t>
  </si>
  <si>
    <t>47.665,53</t>
  </si>
  <si>
    <t>66.849,74</t>
  </si>
  <si>
    <t>80.196,46</t>
  </si>
  <si>
    <t>18,33</t>
  </si>
  <si>
    <t>14,41</t>
  </si>
  <si>
    <t>21,17</t>
  </si>
  <si>
    <t>11,17</t>
  </si>
  <si>
    <t>18,13</t>
  </si>
  <si>
    <t>32,38</t>
  </si>
  <si>
    <t>40,97</t>
  </si>
  <si>
    <t>26,78</t>
  </si>
  <si>
    <t>35,37</t>
  </si>
  <si>
    <t>23,76</t>
  </si>
  <si>
    <t>32,55</t>
  </si>
  <si>
    <t>53,00</t>
  </si>
  <si>
    <t>66,27</t>
  </si>
  <si>
    <t>43,57</t>
  </si>
  <si>
    <t>37,74</t>
  </si>
  <si>
    <t>51,20</t>
  </si>
  <si>
    <t>78,01</t>
  </si>
  <si>
    <t>113,78</t>
  </si>
  <si>
    <t>59,06</t>
  </si>
  <si>
    <t>94,84</t>
  </si>
  <si>
    <t>41,48</t>
  </si>
  <si>
    <t>77,44</t>
  </si>
  <si>
    <t>14,59</t>
  </si>
  <si>
    <t>21,60</t>
  </si>
  <si>
    <t>10,82</t>
  </si>
  <si>
    <t>17,82</t>
  </si>
  <si>
    <t>14,08</t>
  </si>
  <si>
    <t>751,27</t>
  </si>
  <si>
    <t>752,62</t>
  </si>
  <si>
    <t>776,10</t>
  </si>
  <si>
    <t>909,04</t>
  </si>
  <si>
    <t>962,44</t>
  </si>
  <si>
    <t>642,38</t>
  </si>
  <si>
    <t>648,21</t>
  </si>
  <si>
    <t>654,03</t>
  </si>
  <si>
    <t>659,86</t>
  </si>
  <si>
    <t>960,34</t>
  </si>
  <si>
    <t>200,89</t>
  </si>
  <si>
    <t>277,84</t>
  </si>
  <si>
    <t>290,91</t>
  </si>
  <si>
    <t>296,32</t>
  </si>
  <si>
    <t>317,29</t>
  </si>
  <si>
    <t>389,43</t>
  </si>
  <si>
    <t>555,20</t>
  </si>
  <si>
    <t>617,87</t>
  </si>
  <si>
    <t>151,06</t>
  </si>
  <si>
    <t>132,90</t>
  </si>
  <si>
    <t>771,25</t>
  </si>
  <si>
    <t>778,11</t>
  </si>
  <si>
    <t>818,69</t>
  </si>
  <si>
    <t>892,28</t>
  </si>
  <si>
    <t>1.056,60</t>
  </si>
  <si>
    <t>1.120,72</t>
  </si>
  <si>
    <t>638,35</t>
  </si>
  <si>
    <t>645,21</t>
  </si>
  <si>
    <t>667,63</t>
  </si>
  <si>
    <t>741,22</t>
  </si>
  <si>
    <t>905,54</t>
  </si>
  <si>
    <t>969,66</t>
  </si>
  <si>
    <t>301,15</t>
  </si>
  <si>
    <t>307,05</t>
  </si>
  <si>
    <t>358,87</t>
  </si>
  <si>
    <t>398,51</t>
  </si>
  <si>
    <t>648,59</t>
  </si>
  <si>
    <t>655,94</t>
  </si>
  <si>
    <t>709,21</t>
  </si>
  <si>
    <t>750,30</t>
  </si>
  <si>
    <t>154,57</t>
  </si>
  <si>
    <t>231,52</t>
  </si>
  <si>
    <t>310,02</t>
  </si>
  <si>
    <t>331,83</t>
  </si>
  <si>
    <t>364,78</t>
  </si>
  <si>
    <t>766,95</t>
  </si>
  <si>
    <t>1.071,03</t>
  </si>
  <si>
    <t>90,40</t>
  </si>
  <si>
    <t>91,17</t>
  </si>
  <si>
    <t>77,09</t>
  </si>
  <si>
    <t>663,13</t>
  </si>
  <si>
    <t>655,49</t>
  </si>
  <si>
    <t>690,81</t>
  </si>
  <si>
    <t>763,98</t>
  </si>
  <si>
    <t>928,72</t>
  </si>
  <si>
    <t>992,42</t>
  </si>
  <si>
    <t>571,96</t>
  </si>
  <si>
    <t>578,40</t>
  </si>
  <si>
    <t>673,58</t>
  </si>
  <si>
    <t>838,32</t>
  </si>
  <si>
    <t>902,02</t>
  </si>
  <si>
    <t>582,20</t>
  </si>
  <si>
    <t>589,13</t>
  </si>
  <si>
    <t>641,99</t>
  </si>
  <si>
    <t>682,66</t>
  </si>
  <si>
    <t>657,46</t>
  </si>
  <si>
    <t>591,07</t>
  </si>
  <si>
    <t>680,72</t>
  </si>
  <si>
    <t>613,91</t>
  </si>
  <si>
    <t>715,12</t>
  </si>
  <si>
    <t>647,90</t>
  </si>
  <si>
    <t>1.117,29</t>
  </si>
  <si>
    <t>1.050,07</t>
  </si>
  <si>
    <t>1.421,37</t>
  </si>
  <si>
    <t>1.354,15</t>
  </si>
  <si>
    <t>7,25</t>
  </si>
  <si>
    <t>5,16</t>
  </si>
  <si>
    <t>858,61</t>
  </si>
  <si>
    <t>129,59</t>
  </si>
  <si>
    <t>781,49</t>
  </si>
  <si>
    <t>673,37</t>
  </si>
  <si>
    <t>788,84</t>
  </si>
  <si>
    <t>813,62</t>
  </si>
  <si>
    <t>691,00</t>
  </si>
  <si>
    <t>860,27</t>
  </si>
  <si>
    <t>732,39</t>
  </si>
  <si>
    <t>901,36</t>
  </si>
  <si>
    <t>773,06</t>
  </si>
  <si>
    <t>790,36</t>
  </si>
  <si>
    <t>682,24</t>
  </si>
  <si>
    <t>866,18</t>
  </si>
  <si>
    <t>738,30</t>
  </si>
  <si>
    <t>1.268,35</t>
  </si>
  <si>
    <t>1.140,47</t>
  </si>
  <si>
    <t>1.572,43</t>
  </si>
  <si>
    <t>1.444,55</t>
  </si>
  <si>
    <t>46,69</t>
  </si>
  <si>
    <t>51,91</t>
  </si>
  <si>
    <t>57,17</t>
  </si>
  <si>
    <t>74,15</t>
  </si>
  <si>
    <t>686,57</t>
  </si>
  <si>
    <t>666,22</t>
  </si>
  <si>
    <t>971,57</t>
  </si>
  <si>
    <t>762,53</t>
  </si>
  <si>
    <t>1.267,09</t>
  </si>
  <si>
    <t>1.486,11</t>
  </si>
  <si>
    <t>896,17</t>
  </si>
  <si>
    <t>1.215,62</t>
  </si>
  <si>
    <t>1.515,98</t>
  </si>
  <si>
    <t>967,90</t>
  </si>
  <si>
    <t>555,53</t>
  </si>
  <si>
    <t>783,56</t>
  </si>
  <si>
    <t>769,51</t>
  </si>
  <si>
    <t>67,54</t>
  </si>
  <si>
    <t>61,16</t>
  </si>
  <si>
    <t>597,36</t>
  </si>
  <si>
    <t>481,33</t>
  </si>
  <si>
    <t>1.487,23</t>
  </si>
  <si>
    <t>108,48</t>
  </si>
  <si>
    <t>79,06</t>
  </si>
  <si>
    <t>580,54</t>
  </si>
  <si>
    <t>525,93</t>
  </si>
  <si>
    <t>1.390,90</t>
  </si>
  <si>
    <t>891,22</t>
  </si>
  <si>
    <t>721,35</t>
  </si>
  <si>
    <t>750,39</t>
  </si>
  <si>
    <t>644,02</t>
  </si>
  <si>
    <t>586,09</t>
  </si>
  <si>
    <t>464,48</t>
  </si>
  <si>
    <t>833,97</t>
  </si>
  <si>
    <t>213,91</t>
  </si>
  <si>
    <t>31,20</t>
  </si>
  <si>
    <t>67,93</t>
  </si>
  <si>
    <t>75,12</t>
  </si>
  <si>
    <t>63,17</t>
  </si>
  <si>
    <t>143,68</t>
  </si>
  <si>
    <t>181,58</t>
  </si>
  <si>
    <t>38,49</t>
  </si>
  <si>
    <t>101,02</t>
  </si>
  <si>
    <t>210,62</t>
  </si>
  <si>
    <t>269,71</t>
  </si>
  <si>
    <t>348,50</t>
  </si>
  <si>
    <t>302,58</t>
  </si>
  <si>
    <t>367,02</t>
  </si>
  <si>
    <t>355,42</t>
  </si>
  <si>
    <t>493,30</t>
  </si>
  <si>
    <t>503,77</t>
  </si>
  <si>
    <t>604,28</t>
  </si>
  <si>
    <t>230,31</t>
  </si>
  <si>
    <t>303,88</t>
  </si>
  <si>
    <t>362,97</t>
  </si>
  <si>
    <t>441,76</t>
  </si>
  <si>
    <t>378,69</t>
  </si>
  <si>
    <t>443,13</t>
  </si>
  <si>
    <t>414,36</t>
  </si>
  <si>
    <t>552,24</t>
  </si>
  <si>
    <t>547,45</t>
  </si>
  <si>
    <t>642,32</t>
  </si>
  <si>
    <t>323,57</t>
  </si>
  <si>
    <t>693,86</t>
  </si>
  <si>
    <t>690,13</t>
  </si>
  <si>
    <t>1.282,42</t>
  </si>
  <si>
    <t>2.694,47</t>
  </si>
  <si>
    <t>3.114,60</t>
  </si>
  <si>
    <t>390,27</t>
  </si>
  <si>
    <t>462,95</t>
  </si>
  <si>
    <t>560,04</t>
  </si>
  <si>
    <t>1.155,37</t>
  </si>
  <si>
    <t>2.319,90</t>
  </si>
  <si>
    <t>1.972,30</t>
  </si>
  <si>
    <t>3.953,52</t>
  </si>
  <si>
    <t>14,09</t>
  </si>
  <si>
    <t>17,11</t>
  </si>
  <si>
    <t>12,21</t>
  </si>
  <si>
    <t>994,46</t>
  </si>
  <si>
    <t>526,32</t>
  </si>
  <si>
    <t>756,45</t>
  </si>
  <si>
    <t>602,81</t>
  </si>
  <si>
    <t>835,82</t>
  </si>
  <si>
    <t>22,90</t>
  </si>
  <si>
    <t>19,96</t>
  </si>
  <si>
    <t>1.122,84</t>
  </si>
  <si>
    <t>1.081,14</t>
  </si>
  <si>
    <t>1.033,01</t>
  </si>
  <si>
    <t>976,72</t>
  </si>
  <si>
    <t>898,01</t>
  </si>
  <si>
    <t>859,91</t>
  </si>
  <si>
    <t>842,78</t>
  </si>
  <si>
    <t>829,34</t>
  </si>
  <si>
    <t>778,44</t>
  </si>
  <si>
    <t>1.208,50</t>
  </si>
  <si>
    <t>1.158,45</t>
  </si>
  <si>
    <t>1.099,62</t>
  </si>
  <si>
    <t>1.017,04</t>
  </si>
  <si>
    <t>982,82</t>
  </si>
  <si>
    <t>964,00</t>
  </si>
  <si>
    <t>948,53</t>
  </si>
  <si>
    <t>894,27</t>
  </si>
  <si>
    <t>757,81</t>
  </si>
  <si>
    <t>890,80</t>
  </si>
  <si>
    <t>11,66</t>
  </si>
  <si>
    <t>18,66</t>
  </si>
  <si>
    <t>31,84</t>
  </si>
  <si>
    <t>49,42</t>
  </si>
  <si>
    <t>90,75</t>
  </si>
  <si>
    <t>12,78</t>
  </si>
  <si>
    <t>18,54</t>
  </si>
  <si>
    <t>23,51</t>
  </si>
  <si>
    <t>139,63</t>
  </si>
  <si>
    <t>271,65</t>
  </si>
  <si>
    <t>457,21</t>
  </si>
  <si>
    <t>623,67</t>
  </si>
  <si>
    <t>724,02</t>
  </si>
  <si>
    <t>104,22</t>
  </si>
  <si>
    <t>135,65</t>
  </si>
  <si>
    <t>318,45</t>
  </si>
  <si>
    <t>16,20</t>
  </si>
  <si>
    <t>16,06</t>
  </si>
  <si>
    <t>15,24</t>
  </si>
  <si>
    <t>15,10</t>
  </si>
  <si>
    <t>15,00</t>
  </si>
  <si>
    <t>60,86</t>
  </si>
  <si>
    <t>121,70</t>
  </si>
  <si>
    <t>239,41</t>
  </si>
  <si>
    <t>79,66</t>
  </si>
  <si>
    <t>274,63</t>
  </si>
  <si>
    <t>55,06</t>
  </si>
  <si>
    <t>74,89</t>
  </si>
  <si>
    <t>102,19</t>
  </si>
  <si>
    <t>132,76</t>
  </si>
  <si>
    <t>74,86</t>
  </si>
  <si>
    <t>109,83</t>
  </si>
  <si>
    <t>144,80</t>
  </si>
  <si>
    <t>15,45</t>
  </si>
  <si>
    <t>25,76</t>
  </si>
  <si>
    <t>535,54</t>
  </si>
  <si>
    <t>16,05</t>
  </si>
  <si>
    <t>26,76</t>
  </si>
  <si>
    <t>515,63</t>
  </si>
  <si>
    <t>187,18</t>
  </si>
  <si>
    <t>128,52</t>
  </si>
  <si>
    <t>123,72</t>
  </si>
  <si>
    <t>48,87</t>
  </si>
  <si>
    <t>2,64</t>
  </si>
  <si>
    <t>0,54</t>
  </si>
  <si>
    <t>102,07</t>
  </si>
  <si>
    <t>28,25</t>
  </si>
  <si>
    <t>25,85</t>
  </si>
  <si>
    <t>25,50</t>
  </si>
  <si>
    <t>24,75</t>
  </si>
  <si>
    <t>24,05</t>
  </si>
  <si>
    <t>22,63</t>
  </si>
  <si>
    <t>648,51</t>
  </si>
  <si>
    <t>28,80</t>
  </si>
  <si>
    <t>207,78</t>
  </si>
  <si>
    <t>261,39</t>
  </si>
  <si>
    <t>308,39</t>
  </si>
  <si>
    <t>117,93</t>
  </si>
  <si>
    <t>122,19</t>
  </si>
  <si>
    <t>123,46</t>
  </si>
  <si>
    <t>367,71</t>
  </si>
  <si>
    <t>455,36</t>
  </si>
  <si>
    <t>199,13</t>
  </si>
  <si>
    <t>227,93</t>
  </si>
  <si>
    <t>182,94</t>
  </si>
  <si>
    <t>236,54</t>
  </si>
  <si>
    <t>283,55</t>
  </si>
  <si>
    <t>342,86</t>
  </si>
  <si>
    <t>430,51</t>
  </si>
  <si>
    <t>175,96</t>
  </si>
  <si>
    <t>236,12</t>
  </si>
  <si>
    <t>129,49</t>
  </si>
  <si>
    <t>181,10</t>
  </si>
  <si>
    <t>68,90</t>
  </si>
  <si>
    <t>116,18</t>
  </si>
  <si>
    <t>175,81</t>
  </si>
  <si>
    <t>136,46</t>
  </si>
  <si>
    <t>83,05</t>
  </si>
  <si>
    <t>40,71</t>
  </si>
  <si>
    <t>15,22</t>
  </si>
  <si>
    <t>253,04</t>
  </si>
  <si>
    <t>158,33</t>
  </si>
  <si>
    <t>98,66</t>
  </si>
  <si>
    <t>136,18</t>
  </si>
  <si>
    <t>153,72</t>
  </si>
  <si>
    <t>83,85</t>
  </si>
  <si>
    <t>97,30</t>
  </si>
  <si>
    <t>67,90</t>
  </si>
  <si>
    <t>79,60</t>
  </si>
  <si>
    <t>59,84</t>
  </si>
  <si>
    <t>70,67</t>
  </si>
  <si>
    <t>57,39</t>
  </si>
  <si>
    <t>67,68</t>
  </si>
  <si>
    <t>54,24</t>
  </si>
  <si>
    <t>64,18</t>
  </si>
  <si>
    <t>51,96</t>
  </si>
  <si>
    <t>61,66</t>
  </si>
  <si>
    <t>46,96</t>
  </si>
  <si>
    <t>56,30</t>
  </si>
  <si>
    <t>239,97</t>
  </si>
  <si>
    <t>167,76</t>
  </si>
  <si>
    <t>133,21</t>
  </si>
  <si>
    <t>279,90</t>
  </si>
  <si>
    <t>335,41</t>
  </si>
  <si>
    <t>189,75</t>
  </si>
  <si>
    <t>160,11</t>
  </si>
  <si>
    <t>239,87</t>
  </si>
  <si>
    <t>304,33</t>
  </si>
  <si>
    <t>155,21</t>
  </si>
  <si>
    <t>128,22</t>
  </si>
  <si>
    <t>207,42</t>
  </si>
  <si>
    <t>285,18</t>
  </si>
  <si>
    <t>130,93</t>
  </si>
  <si>
    <t>102,78</t>
  </si>
  <si>
    <t>191,34</t>
  </si>
  <si>
    <t>273,60</t>
  </si>
  <si>
    <t>118,47</t>
  </si>
  <si>
    <t>97,42</t>
  </si>
  <si>
    <t>152,06</t>
  </si>
  <si>
    <t>269,51</t>
  </si>
  <si>
    <t>98,08</t>
  </si>
  <si>
    <t>93,38</t>
  </si>
  <si>
    <t>138,04</t>
  </si>
  <si>
    <t>263,30</t>
  </si>
  <si>
    <t>89,16</t>
  </si>
  <si>
    <t>87,75</t>
  </si>
  <si>
    <t>126,83</t>
  </si>
  <si>
    <t>258,04</t>
  </si>
  <si>
    <t>82,00</t>
  </si>
  <si>
    <t>102,48</t>
  </si>
  <si>
    <t>247,42</t>
  </si>
  <si>
    <t>66,44</t>
  </si>
  <si>
    <t>73,43</t>
  </si>
  <si>
    <t>259,78</t>
  </si>
  <si>
    <t>186,29</t>
  </si>
  <si>
    <t>129,95</t>
  </si>
  <si>
    <t>99,56</t>
  </si>
  <si>
    <t>56,12</t>
  </si>
  <si>
    <t>95,65</t>
  </si>
  <si>
    <t>52,60</t>
  </si>
  <si>
    <t>93,00</t>
  </si>
  <si>
    <t>50,21</t>
  </si>
  <si>
    <t>91,56</t>
  </si>
  <si>
    <t>48,96</t>
  </si>
  <si>
    <t>53,68</t>
  </si>
  <si>
    <t>46,66</t>
  </si>
  <si>
    <t>111,01</t>
  </si>
  <si>
    <t>63,79</t>
  </si>
  <si>
    <t>88,16</t>
  </si>
  <si>
    <t>78,66</t>
  </si>
  <si>
    <t>35,43</t>
  </si>
  <si>
    <t>73,76</t>
  </si>
  <si>
    <t>31,14</t>
  </si>
  <si>
    <t>75,23</t>
  </si>
  <si>
    <t>32,97</t>
  </si>
  <si>
    <t>73,03</t>
  </si>
  <si>
    <t>31,00</t>
  </si>
  <si>
    <t>71,32</t>
  </si>
  <si>
    <t>29,51</t>
  </si>
  <si>
    <t>67,97</t>
  </si>
  <si>
    <t>26,37</t>
  </si>
  <si>
    <t>245,45</t>
  </si>
  <si>
    <t>187,29</t>
  </si>
  <si>
    <t>176,78</t>
  </si>
  <si>
    <t>204,99</t>
  </si>
  <si>
    <t>285,16</t>
  </si>
  <si>
    <t>154,77</t>
  </si>
  <si>
    <t>106,74</t>
  </si>
  <si>
    <t>178,41</t>
  </si>
  <si>
    <t>94,57</t>
  </si>
  <si>
    <t>73,32</t>
  </si>
  <si>
    <t>122,82</t>
  </si>
  <si>
    <t>63,26</t>
  </si>
  <si>
    <t>177,70</t>
  </si>
  <si>
    <t>251,10</t>
  </si>
  <si>
    <t>120,00</t>
  </si>
  <si>
    <t>118,91</t>
  </si>
  <si>
    <t>170,39</t>
  </si>
  <si>
    <t>84,57</t>
  </si>
  <si>
    <t>18,45</t>
  </si>
  <si>
    <t>192,28</t>
  </si>
  <si>
    <t>27,65</t>
  </si>
  <si>
    <t>14,94</t>
  </si>
  <si>
    <t>23,97</t>
  </si>
  <si>
    <t>218,96</t>
  </si>
  <si>
    <t>165,01</t>
  </si>
  <si>
    <t>167,54</t>
  </si>
  <si>
    <t>397,62</t>
  </si>
  <si>
    <t>339,44</t>
  </si>
  <si>
    <t>273,83</t>
  </si>
  <si>
    <t>252,84</t>
  </si>
  <si>
    <t>218,55</t>
  </si>
  <si>
    <t>190,29</t>
  </si>
  <si>
    <t>172,44</t>
  </si>
  <si>
    <t>232,05</t>
  </si>
  <si>
    <t>163,47</t>
  </si>
  <si>
    <t>193,55</t>
  </si>
  <si>
    <t>224,85</t>
  </si>
  <si>
    <t>171,58</t>
  </si>
  <si>
    <t>180,07</t>
  </si>
  <si>
    <t>229,56</t>
  </si>
  <si>
    <t>163,99</t>
  </si>
  <si>
    <t>226,27</t>
  </si>
  <si>
    <t>241,34</t>
  </si>
  <si>
    <t>181,54</t>
  </si>
  <si>
    <t>193,19</t>
  </si>
  <si>
    <t>229,95</t>
  </si>
  <si>
    <t>162,90</t>
  </si>
  <si>
    <t>242,00</t>
  </si>
  <si>
    <t>395,53</t>
  </si>
  <si>
    <t>341,26</t>
  </si>
  <si>
    <t>271,48</t>
  </si>
  <si>
    <t>251,83</t>
  </si>
  <si>
    <t>224,35</t>
  </si>
  <si>
    <t>194,65</t>
  </si>
  <si>
    <t>175,89</t>
  </si>
  <si>
    <t>391,78</t>
  </si>
  <si>
    <t>328,68</t>
  </si>
  <si>
    <t>275,29</t>
  </si>
  <si>
    <t>251,92</t>
  </si>
  <si>
    <t>215,66</t>
  </si>
  <si>
    <t>186,75</t>
  </si>
  <si>
    <t>170,74</t>
  </si>
  <si>
    <t>427,98</t>
  </si>
  <si>
    <t>359,55</t>
  </si>
  <si>
    <t>268,21</t>
  </si>
  <si>
    <t>246,58</t>
  </si>
  <si>
    <t>217,50</t>
  </si>
  <si>
    <t>188,07</t>
  </si>
  <si>
    <t>171,77</t>
  </si>
  <si>
    <t>406,85</t>
  </si>
  <si>
    <t>340,20</t>
  </si>
  <si>
    <t>279,46</t>
  </si>
  <si>
    <t>253,51</t>
  </si>
  <si>
    <t>218,11</t>
  </si>
  <si>
    <t>189,80</t>
  </si>
  <si>
    <t>172,80</t>
  </si>
  <si>
    <t>433,22</t>
  </si>
  <si>
    <t>370,03</t>
  </si>
  <si>
    <t>238,93</t>
  </si>
  <si>
    <t>212,02</t>
  </si>
  <si>
    <t>182,54</t>
  </si>
  <si>
    <t>166,23</t>
  </si>
  <si>
    <t>383,22</t>
  </si>
  <si>
    <t>323,36</t>
  </si>
  <si>
    <t>260,34</t>
  </si>
  <si>
    <t>240,99</t>
  </si>
  <si>
    <t>206,58</t>
  </si>
  <si>
    <t>161,80</t>
  </si>
  <si>
    <t>334,26</t>
  </si>
  <si>
    <t>242,78</t>
  </si>
  <si>
    <t>225,23</t>
  </si>
  <si>
    <t>199,37</t>
  </si>
  <si>
    <t>171,79</t>
  </si>
  <si>
    <t>160,90</t>
  </si>
  <si>
    <t>3.576,50</t>
  </si>
  <si>
    <t>4.347,07</t>
  </si>
  <si>
    <t>4.562,44</t>
  </si>
  <si>
    <t>4.703,82</t>
  </si>
  <si>
    <t>5.092,96</t>
  </si>
  <si>
    <t>5.176,01</t>
  </si>
  <si>
    <t>4.991,22</t>
  </si>
  <si>
    <t>4.442,91</t>
  </si>
  <si>
    <t>230,42</t>
  </si>
  <si>
    <t>174,49</t>
  </si>
  <si>
    <t>180,27</t>
  </si>
  <si>
    <t>218,79</t>
  </si>
  <si>
    <t>155,34</t>
  </si>
  <si>
    <t>205,73</t>
  </si>
  <si>
    <t>12,44</t>
  </si>
  <si>
    <t>10,33</t>
  </si>
  <si>
    <t>12,03</t>
  </si>
  <si>
    <t>16,87</t>
  </si>
  <si>
    <t>14,15</t>
  </si>
  <si>
    <t>18,02</t>
  </si>
  <si>
    <t>18,48</t>
  </si>
  <si>
    <t>17,93</t>
  </si>
  <si>
    <t>17,35</t>
  </si>
  <si>
    <t>19,98</t>
  </si>
  <si>
    <t>14,51</t>
  </si>
  <si>
    <t>13,77</t>
  </si>
  <si>
    <t>16,09</t>
  </si>
  <si>
    <t>15,74</t>
  </si>
  <si>
    <t>15,17</t>
  </si>
  <si>
    <t>13,76</t>
  </si>
  <si>
    <t>11,69</t>
  </si>
  <si>
    <t>11,28</t>
  </si>
  <si>
    <t>12,88</t>
  </si>
  <si>
    <t>12,67</t>
  </si>
  <si>
    <t>14,85</t>
  </si>
  <si>
    <t>14,47</t>
  </si>
  <si>
    <t>13,20</t>
  </si>
  <si>
    <t>11,27</t>
  </si>
  <si>
    <t>10,98</t>
  </si>
  <si>
    <t>12,65</t>
  </si>
  <si>
    <t>18,46</t>
  </si>
  <si>
    <t>17,56</t>
  </si>
  <si>
    <t>16,52</t>
  </si>
  <si>
    <t>14,78</t>
  </si>
  <si>
    <t>11,78</t>
  </si>
  <si>
    <t>13,21</t>
  </si>
  <si>
    <t>12,87</t>
  </si>
  <si>
    <t>18,37</t>
  </si>
  <si>
    <t>16,56</t>
  </si>
  <si>
    <t>15,38</t>
  </si>
  <si>
    <t>13,87</t>
  </si>
  <si>
    <t>11,75</t>
  </si>
  <si>
    <t>12,83</t>
  </si>
  <si>
    <t>12,39</t>
  </si>
  <si>
    <t>12,79</t>
  </si>
  <si>
    <t>12,84</t>
  </si>
  <si>
    <t>11,91</t>
  </si>
  <si>
    <t>10,21</t>
  </si>
  <si>
    <t>11,96</t>
  </si>
  <si>
    <t>11,94</t>
  </si>
  <si>
    <t>12,77</t>
  </si>
  <si>
    <t>12,69</t>
  </si>
  <si>
    <t>10,17</t>
  </si>
  <si>
    <t>10,11</t>
  </si>
  <si>
    <t>11,72</t>
  </si>
  <si>
    <t>12,63</t>
  </si>
  <si>
    <t>12,55</t>
  </si>
  <si>
    <t>12,86</t>
  </si>
  <si>
    <t>14,67</t>
  </si>
  <si>
    <t>13,99</t>
  </si>
  <si>
    <t>14,62</t>
  </si>
  <si>
    <t>13,70</t>
  </si>
  <si>
    <t>13,78</t>
  </si>
  <si>
    <t>13,57</t>
  </si>
  <si>
    <t>17,27</t>
  </si>
  <si>
    <t>16,64</t>
  </si>
  <si>
    <t>15,85</t>
  </si>
  <si>
    <t>12,06</t>
  </si>
  <si>
    <t>11,53</t>
  </si>
  <si>
    <t>13,04</t>
  </si>
  <si>
    <t>12,76</t>
  </si>
  <si>
    <t>11,13</t>
  </si>
  <si>
    <t>12,11</t>
  </si>
  <si>
    <t>13,11</t>
  </si>
  <si>
    <t>14,80</t>
  </si>
  <si>
    <t>13,05</t>
  </si>
  <si>
    <t>11,01</t>
  </si>
  <si>
    <t>10,78</t>
  </si>
  <si>
    <t>12,52</t>
  </si>
  <si>
    <t>13,68</t>
  </si>
  <si>
    <t>15,54</t>
  </si>
  <si>
    <t>15,04</t>
  </si>
  <si>
    <t>16,80</t>
  </si>
  <si>
    <t>15,72</t>
  </si>
  <si>
    <t>21,30</t>
  </si>
  <si>
    <t>20,23</t>
  </si>
  <si>
    <t>17,45</t>
  </si>
  <si>
    <t>14,63</t>
  </si>
  <si>
    <t>10,79</t>
  </si>
  <si>
    <t>16,54</t>
  </si>
  <si>
    <t>12,56</t>
  </si>
  <si>
    <t>13,44</t>
  </si>
  <si>
    <t>13,14</t>
  </si>
  <si>
    <t>17,96</t>
  </si>
  <si>
    <t>10,07</t>
  </si>
  <si>
    <t>9,83</t>
  </si>
  <si>
    <t>10,51</t>
  </si>
  <si>
    <t>9,68</t>
  </si>
  <si>
    <t>11,43</t>
  </si>
  <si>
    <t>864,46</t>
  </si>
  <si>
    <t>752,94</t>
  </si>
  <si>
    <t>835,94</t>
  </si>
  <si>
    <t>446,16</t>
  </si>
  <si>
    <t>495,68</t>
  </si>
  <si>
    <t>555,62</t>
  </si>
  <si>
    <t>654,26</t>
  </si>
  <si>
    <t>437,74</t>
  </si>
  <si>
    <t>487,35</t>
  </si>
  <si>
    <t>550,52</t>
  </si>
  <si>
    <t>653,78</t>
  </si>
  <si>
    <t>334,24</t>
  </si>
  <si>
    <t>375,96</t>
  </si>
  <si>
    <t>414,17</t>
  </si>
  <si>
    <t>434,48</t>
  </si>
  <si>
    <t>451,24</t>
  </si>
  <si>
    <t>520,56</t>
  </si>
  <si>
    <t>332,71</t>
  </si>
  <si>
    <t>371,95</t>
  </si>
  <si>
    <t>405,57</t>
  </si>
  <si>
    <t>430,63</t>
  </si>
  <si>
    <t>447,38</t>
  </si>
  <si>
    <t>515,52</t>
  </si>
  <si>
    <t>385,09</t>
  </si>
  <si>
    <t>422,59</t>
  </si>
  <si>
    <t>606,83</t>
  </si>
  <si>
    <t>674,50</t>
  </si>
  <si>
    <t>703,52</t>
  </si>
  <si>
    <t>709,62</t>
  </si>
  <si>
    <t>683,18</t>
  </si>
  <si>
    <t>704,17</t>
  </si>
  <si>
    <t>684,11</t>
  </si>
  <si>
    <t>738,65</t>
  </si>
  <si>
    <t>707,44</t>
  </si>
  <si>
    <t>686,35</t>
  </si>
  <si>
    <t>755,72</t>
  </si>
  <si>
    <t>723,56</t>
  </si>
  <si>
    <t>728,25</t>
  </si>
  <si>
    <t>692,80</t>
  </si>
  <si>
    <t>456,78</t>
  </si>
  <si>
    <t>495,96</t>
  </si>
  <si>
    <t>538,87</t>
  </si>
  <si>
    <t>560,17</t>
  </si>
  <si>
    <t>593,20</t>
  </si>
  <si>
    <t>647,34</t>
  </si>
  <si>
    <t>455,79</t>
  </si>
  <si>
    <t>492,40</t>
  </si>
  <si>
    <t>530,76</t>
  </si>
  <si>
    <t>559,52</t>
  </si>
  <si>
    <t>589,62</t>
  </si>
  <si>
    <t>648,06</t>
  </si>
  <si>
    <t>510,34</t>
  </si>
  <si>
    <t>543,64</t>
  </si>
  <si>
    <t>483,31</t>
  </si>
  <si>
    <t>725,05</t>
  </si>
  <si>
    <t>692,66</t>
  </si>
  <si>
    <t>CONCRETAGEM DE PILARES, FCK = 25 MPA,  COM USO DE BALDES - LANÇAMENTO, ADENSAMENTO E ACABAMENTO. AF_02/2022</t>
  </si>
  <si>
    <t>907,07</t>
  </si>
  <si>
    <t>LANÇAMENTO COM USO DE BALDES, ADENSAMENTO E ACABAMENTO DE CONCRETO EM ESTRUTURAS. AF_02/2022</t>
  </si>
  <si>
    <t>229,19</t>
  </si>
  <si>
    <t>CONCRETAGEM DE PILARES, FCK = 25 MPA, COM USO DE GRUA - LANÇAMENTO, ADENSAMENTO E ACABAMENTO. AF_02/2022</t>
  </si>
  <si>
    <t>715,02</t>
  </si>
  <si>
    <t>CONCRETAGEM DE PILARES, FCK = 25 MPA, COM USO DE BOMBA - LANÇAMENTO, ADENSAMENTO E ACABAMENTO. AF_02/2022</t>
  </si>
  <si>
    <t>671,04</t>
  </si>
  <si>
    <t>LANÇAMENTO COM USO DE BOMBA, ADENSAMENTO E ACABAMENTO DE CONCRETO EM ESTRUTURAS. AF_02/2022</t>
  </si>
  <si>
    <t>32,18</t>
  </si>
  <si>
    <t>CONCRETAGEM DE VIGAS E LAJES, FCK=25 MPA, PARA LAJES PREMOLDADAS COM USO DE BOMBA - LANÇAMENTO, ADENSAMENTO E ACABAMENTO. AF_02/2022</t>
  </si>
  <si>
    <t>686,70</t>
  </si>
  <si>
    <t>CONCRETAGEM DE VIGAS E LAJES, FCK=25 MPA, PARA LAJES MACIÇAS OU NERVURADAS COM USO DE BOMBA - LANÇAMENTO, ADENSAMENTO E ACABAMENTO. AF_02/2022</t>
  </si>
  <si>
    <t>671,43</t>
  </si>
  <si>
    <t>CONCRETAGEM DE VIGAS E LAJES, FCK=25 MPA, PARA LAJES PREMOLDADAS COM JERICAS EM ELEVADOR DE CABO EM EDIFICAÇÃO DE MULTIPAVIMENTOS ATÉ 16 ANDARES - LANÇAMENTO, ADENSAMENTO E ACABAMENTO. AF_02/2022</t>
  </si>
  <si>
    <t>950,47</t>
  </si>
  <si>
    <t>CONCRETAGEM DE VIGAS E LAJES, FCK=25 MPA, PARA LAJES MACIÇAS OU NERVURADAS COM JERICAS EM ELEVADOR DE CABO EM EDIFICAÇÃO DE MULTIPAVIMENTOS ATÉ 16 ANDARES  - LANÇAMENTO, ADENSAMENTO E ACABAMENTO. AF_02/2022</t>
  </si>
  <si>
    <t>819,16</t>
  </si>
  <si>
    <t>CONCRETAGEM DE VIGAS E LAJES, FCK=25 MPA, PARA LAJES PREMOLDADAS COM JERICAS EM CREMALHEIRA EM EDIFICAÇÃO DE MULTIPAVIMENTOS ATÉ 16 ANDARES  - LANÇAMENTO, ADENSAMENTO E ACABAMENTO. AF_02/2022</t>
  </si>
  <si>
    <t>877,10</t>
  </si>
  <si>
    <t>CONCRETAGEM DE VIGAS E LAJES, FCK=25 MPA, PARA LAJES MACIÇAS OU NERVURADAS COM JERICAS EM CREMALHEIRA EM EDIFICAÇÃO DE MULTIPAVIMENTOS ATÉ 16 ANDARES - LANÇAMENTO, ADENSAMENTO E ACABAMENTO. AF_02/2022</t>
  </si>
  <si>
    <t>786,62</t>
  </si>
  <si>
    <t>CONCRETAGEM DE VIGAS E LAJES, FCK=25 MPA, PARA LAJES PREMOLDADAS COM GRUA DE CAÇAMBA DE 350 L EM EDIFICAÇÃO DE MULTIPAVIMENTOS ATÉ 16 ANDARES - LANÇAMENTO, ADENSAMENTO E ACABAMENTO. AF_02/2022</t>
  </si>
  <si>
    <t>823,02</t>
  </si>
  <si>
    <t>CONCRETAGEM DE VIGAS E LAJES, FCK=25 MPA, PARA LAJES MACIÇAS OU NERVURADAS COM GRUA DE CAÇAMBA DE 500 L EM EDIFICAÇÃO DE MULTIPAVIMENTOS ATÉ 16 ANDARES - LANÇAMENTO, ADENSAMENTO E ACABAMENTO. AF_02/2022</t>
  </si>
  <si>
    <t>735,02</t>
  </si>
  <si>
    <t>CONCRETAGEM DE VIGAS E LAJES, FCK=25 MPA, PARA QUALQUER TIPO DE LAJE COM BALDES EM EDIFICAÇÃO TÉRREA - LANÇAMENTO, ADENSAMENTO E ACABAMENTO. AF_02/2022</t>
  </si>
  <si>
    <t>920,75</t>
  </si>
  <si>
    <t>CONCRETAGEM DE VIGAS E LAJES, FCK=25 MPA, PARA QUALQUER TIPO DE LAJE COM BALDES EM EDIFICAÇÃO DE MULTIPAVIMENTOS ATÉ 04 ANDARES - LANÇAMENTO, ADENSAMENTO E ACABAMENTO. AF_02/2022</t>
  </si>
  <si>
    <t>1.143,14</t>
  </si>
  <si>
    <t>CONCRETAGEM DE RESERVATÓRIOS, FCK=25 MPA, COM USO DE BOMBA - LANÇAMENTO, ADENSAMENTO E ACABAMENTO. AF_02/2022</t>
  </si>
  <si>
    <t>684,63</t>
  </si>
  <si>
    <t>CONCRETAGEM DE MURETAS, FCK=25 MPA, COM USO DE BOMBA - LANÇAMENTO, ADENSAMENTO E ACABAMENTO. AF_02/2022</t>
  </si>
  <si>
    <t>674,95</t>
  </si>
  <si>
    <t>CONCRETAGEM DE ESCADAS, FCK=25 MPA, COM USO DE BOMBA - LANÇAMENTO, ADENSAMENTO E ACABAMENTO. AF_02/2022</t>
  </si>
  <si>
    <t>721,14</t>
  </si>
  <si>
    <t>CONCRETAGEM DE PILARES, FCK=25 MPA, COM USO DE JERICAS EM ELEVADOR DE CABO - LANÇAMENTO, ADENSAMENTO E ACABAMENTO. AF_02/2022</t>
  </si>
  <si>
    <t>1.002,12</t>
  </si>
  <si>
    <t>CONCRETAGEM DE PILARES, FCK=25 MPA, COM USO DE JERICAS EM CREMALHEIRA - LANÇAMENTO, ADENSAMENTO E ACABAMENTO. AF_02/2022</t>
  </si>
  <si>
    <t>814,17</t>
  </si>
  <si>
    <t>191,09</t>
  </si>
  <si>
    <t>177,50</t>
  </si>
  <si>
    <t>809,93</t>
  </si>
  <si>
    <t>612,67</t>
  </si>
  <si>
    <t>84,52</t>
  </si>
  <si>
    <t>20,55</t>
  </si>
  <si>
    <t>36,74</t>
  </si>
  <si>
    <t>42,41</t>
  </si>
  <si>
    <t>54,67</t>
  </si>
  <si>
    <t>31,26</t>
  </si>
  <si>
    <t>53,91</t>
  </si>
  <si>
    <t>76,92</t>
  </si>
  <si>
    <t>88,38</t>
  </si>
  <si>
    <t>89,52</t>
  </si>
  <si>
    <t>45,96</t>
  </si>
  <si>
    <t>49,22</t>
  </si>
  <si>
    <t>47,20</t>
  </si>
  <si>
    <t>41,59</t>
  </si>
  <si>
    <t>82,53</t>
  </si>
  <si>
    <t>37,43</t>
  </si>
  <si>
    <t>2,58</t>
  </si>
  <si>
    <t>23,83</t>
  </si>
  <si>
    <t>55,61</t>
  </si>
  <si>
    <t>37,14</t>
  </si>
  <si>
    <t>2.384,64</t>
  </si>
  <si>
    <t>3.830,18</t>
  </si>
  <si>
    <t>2.692,27</t>
  </si>
  <si>
    <t>3.347,78</t>
  </si>
  <si>
    <t>2.583,53</t>
  </si>
  <si>
    <t>3.426,81</t>
  </si>
  <si>
    <t>3.298,82</t>
  </si>
  <si>
    <t>2.991,75</t>
  </si>
  <si>
    <t>2.557,39</t>
  </si>
  <si>
    <t>2.153,18</t>
  </si>
  <si>
    <t>1.430,99</t>
  </si>
  <si>
    <t>3.114,37</t>
  </si>
  <si>
    <t>5.018,09</t>
  </si>
  <si>
    <t>2.668,07</t>
  </si>
  <si>
    <t>2.044,10</t>
  </si>
  <si>
    <t>141,07</t>
  </si>
  <si>
    <t>113,40</t>
  </si>
  <si>
    <t>106,00</t>
  </si>
  <si>
    <t>144,86</t>
  </si>
  <si>
    <t>133,64</t>
  </si>
  <si>
    <t>127,96</t>
  </si>
  <si>
    <t>166,61</t>
  </si>
  <si>
    <t>157,57</t>
  </si>
  <si>
    <t>152,96</t>
  </si>
  <si>
    <t>182,12</t>
  </si>
  <si>
    <t>178,15</t>
  </si>
  <si>
    <t>630,96</t>
  </si>
  <si>
    <t>641,06</t>
  </si>
  <si>
    <t>651,16</t>
  </si>
  <si>
    <t>661,25</t>
  </si>
  <si>
    <t>681,45</t>
  </si>
  <si>
    <t>51,70</t>
  </si>
  <si>
    <t>62,01</t>
  </si>
  <si>
    <t>74,51</t>
  </si>
  <si>
    <t>107,16</t>
  </si>
  <si>
    <t>146,50</t>
  </si>
  <si>
    <t>16,60</t>
  </si>
  <si>
    <t>16,39</t>
  </si>
  <si>
    <t>16,65</t>
  </si>
  <si>
    <t>15,70</t>
  </si>
  <si>
    <t>20,13</t>
  </si>
  <si>
    <t>20,68</t>
  </si>
  <si>
    <t>20,32</t>
  </si>
  <si>
    <t>26,44</t>
  </si>
  <si>
    <t>16,28</t>
  </si>
  <si>
    <t>19,66</t>
  </si>
  <si>
    <t>14,34</t>
  </si>
  <si>
    <t>19,77</t>
  </si>
  <si>
    <t>11,20</t>
  </si>
  <si>
    <t>40,14</t>
  </si>
  <si>
    <t>35,10</t>
  </si>
  <si>
    <t>35,68</t>
  </si>
  <si>
    <t>20,08</t>
  </si>
  <si>
    <t>39,59</t>
  </si>
  <si>
    <t>6,16</t>
  </si>
  <si>
    <t>4,01</t>
  </si>
  <si>
    <t>92,14</t>
  </si>
  <si>
    <t>175,35</t>
  </si>
  <si>
    <t>101,62</t>
  </si>
  <si>
    <t>34,22</t>
  </si>
  <si>
    <t>58,82</t>
  </si>
  <si>
    <t>29,98</t>
  </si>
  <si>
    <t>43,41</t>
  </si>
  <si>
    <t>42,90</t>
  </si>
  <si>
    <t>56,33</t>
  </si>
  <si>
    <t>55,15</t>
  </si>
  <si>
    <t>68,57</t>
  </si>
  <si>
    <t>68,07</t>
  </si>
  <si>
    <t>81,51</t>
  </si>
  <si>
    <t>39,62</t>
  </si>
  <si>
    <t>48,72</t>
  </si>
  <si>
    <t>61,83</t>
  </si>
  <si>
    <t>7,21</t>
  </si>
  <si>
    <t>7,67</t>
  </si>
  <si>
    <t>7,96</t>
  </si>
  <si>
    <t>9,15</t>
  </si>
  <si>
    <t>10,35</t>
  </si>
  <si>
    <t>13,13</t>
  </si>
  <si>
    <t>8,67</t>
  </si>
  <si>
    <t>10,70</t>
  </si>
  <si>
    <t>10,18</t>
  </si>
  <si>
    <t>4,91</t>
  </si>
  <si>
    <t>5,37</t>
  </si>
  <si>
    <t>5,66</t>
  </si>
  <si>
    <t>6,85</t>
  </si>
  <si>
    <t>10,85</t>
  </si>
  <si>
    <t>6,39</t>
  </si>
  <si>
    <t>8,44</t>
  </si>
  <si>
    <t>7,92</t>
  </si>
  <si>
    <t>6,93</t>
  </si>
  <si>
    <t>7,66</t>
  </si>
  <si>
    <t>8,76</t>
  </si>
  <si>
    <t>9,94</t>
  </si>
  <si>
    <t>12,51</t>
  </si>
  <si>
    <t>8,38</t>
  </si>
  <si>
    <t>10,36</t>
  </si>
  <si>
    <t>9,88</t>
  </si>
  <si>
    <t>8,71</t>
  </si>
  <si>
    <t>10,15</t>
  </si>
  <si>
    <t>13,33</t>
  </si>
  <si>
    <t>16,48</t>
  </si>
  <si>
    <t>11,16</t>
  </si>
  <si>
    <t>14,30</t>
  </si>
  <si>
    <t>9,08</t>
  </si>
  <si>
    <t>10,56</t>
  </si>
  <si>
    <t>14,23</t>
  </si>
  <si>
    <t>21,16</t>
  </si>
  <si>
    <t>29,55</t>
  </si>
  <si>
    <t>36,19</t>
  </si>
  <si>
    <t>54,85</t>
  </si>
  <si>
    <t>6,09</t>
  </si>
  <si>
    <t>6,90</t>
  </si>
  <si>
    <t>8,66</t>
  </si>
  <si>
    <t>8,56</t>
  </si>
  <si>
    <t>10,31</t>
  </si>
  <si>
    <t>19,53</t>
  </si>
  <si>
    <t>24,18</t>
  </si>
  <si>
    <t>40,04</t>
  </si>
  <si>
    <t>43,07</t>
  </si>
  <si>
    <t>24,89</t>
  </si>
  <si>
    <t>29,42</t>
  </si>
  <si>
    <t>45,11</t>
  </si>
  <si>
    <t>47,95</t>
  </si>
  <si>
    <t>6,42</t>
  </si>
  <si>
    <t>13,56</t>
  </si>
  <si>
    <t>17,40</t>
  </si>
  <si>
    <t>3,96</t>
  </si>
  <si>
    <t>5,26</t>
  </si>
  <si>
    <t>9,23</t>
  </si>
  <si>
    <t>5,08</t>
  </si>
  <si>
    <t>8,05</t>
  </si>
  <si>
    <t>6,28</t>
  </si>
  <si>
    <t>7,26</t>
  </si>
  <si>
    <t>8,60</t>
  </si>
  <si>
    <t>10,47</t>
  </si>
  <si>
    <t>7,38</t>
  </si>
  <si>
    <t>11,99</t>
  </si>
  <si>
    <t>9,01</t>
  </si>
  <si>
    <t>8,73</t>
  </si>
  <si>
    <t>10,39</t>
  </si>
  <si>
    <t>12,24</t>
  </si>
  <si>
    <t>13,61</t>
  </si>
  <si>
    <t>15,49</t>
  </si>
  <si>
    <t>18,30</t>
  </si>
  <si>
    <t>10,87</t>
  </si>
  <si>
    <t>10,59</t>
  </si>
  <si>
    <t>13,67</t>
  </si>
  <si>
    <t>18,50</t>
  </si>
  <si>
    <t>12,01</t>
  </si>
  <si>
    <t>14,81</t>
  </si>
  <si>
    <t>22,67</t>
  </si>
  <si>
    <t>27,64</t>
  </si>
  <si>
    <t>18,36</t>
  </si>
  <si>
    <t>23,66</t>
  </si>
  <si>
    <t>40,06</t>
  </si>
  <si>
    <t>42,04</t>
  </si>
  <si>
    <t>69,33</t>
  </si>
  <si>
    <t>4,99</t>
  </si>
  <si>
    <t>6,63</t>
  </si>
  <si>
    <t>5,52</t>
  </si>
  <si>
    <t>6,50</t>
  </si>
  <si>
    <t>7,86</t>
  </si>
  <si>
    <t>6,07</t>
  </si>
  <si>
    <t>7,55</t>
  </si>
  <si>
    <t>10,95</t>
  </si>
  <si>
    <t>9,05</t>
  </si>
  <si>
    <t>13,08</t>
  </si>
  <si>
    <t>16,19</t>
  </si>
  <si>
    <t>8,55</t>
  </si>
  <si>
    <t>11,61</t>
  </si>
  <si>
    <t>2,79</t>
  </si>
  <si>
    <t>4,10</t>
  </si>
  <si>
    <t>6,82</t>
  </si>
  <si>
    <t>7,82</t>
  </si>
  <si>
    <t>9,38</t>
  </si>
  <si>
    <t>10,58</t>
  </si>
  <si>
    <t>15,57</t>
  </si>
  <si>
    <t>16,70</t>
  </si>
  <si>
    <t>23,84</t>
  </si>
  <si>
    <t>25,49</t>
  </si>
  <si>
    <t>11,22</t>
  </si>
  <si>
    <t>12,20</t>
  </si>
  <si>
    <t>17,23</t>
  </si>
  <si>
    <t>29,67</t>
  </si>
  <si>
    <t>56,88</t>
  </si>
  <si>
    <t>78,23</t>
  </si>
  <si>
    <t>103,49</t>
  </si>
  <si>
    <t>134,15</t>
  </si>
  <si>
    <t>165,89</t>
  </si>
  <si>
    <t>203,06</t>
  </si>
  <si>
    <t>266,78</t>
  </si>
  <si>
    <t>333,47</t>
  </si>
  <si>
    <t>11,02</t>
  </si>
  <si>
    <t>12,00</t>
  </si>
  <si>
    <t>17,00</t>
  </si>
  <si>
    <t>27,32</t>
  </si>
  <si>
    <t>28,11</t>
  </si>
  <si>
    <t>9,51</t>
  </si>
  <si>
    <t>22,83</t>
  </si>
  <si>
    <t>12,30</t>
  </si>
  <si>
    <t>8,36</t>
  </si>
  <si>
    <t>28,18</t>
  </si>
  <si>
    <t>9,59</t>
  </si>
  <si>
    <t>22,52</t>
  </si>
  <si>
    <t>27,82</t>
  </si>
  <si>
    <t>11,18</t>
  </si>
  <si>
    <t>24,26</t>
  </si>
  <si>
    <t>22,25</t>
  </si>
  <si>
    <t>26,98</t>
  </si>
  <si>
    <t>27,42</t>
  </si>
  <si>
    <t>28,59</t>
  </si>
  <si>
    <t>32,58</t>
  </si>
  <si>
    <t>23,82</t>
  </si>
  <si>
    <t>29,69</t>
  </si>
  <si>
    <t>38,46</t>
  </si>
  <si>
    <t>27,50</t>
  </si>
  <si>
    <t>44,62</t>
  </si>
  <si>
    <t>33,09</t>
  </si>
  <si>
    <t>36,95</t>
  </si>
  <si>
    <t>49,31</t>
  </si>
  <si>
    <t>20,76</t>
  </si>
  <si>
    <t>20,94</t>
  </si>
  <si>
    <t>21,63</t>
  </si>
  <si>
    <t>23,80</t>
  </si>
  <si>
    <t>24,35</t>
  </si>
  <si>
    <t>26,81</t>
  </si>
  <si>
    <t>13,45</t>
  </si>
  <si>
    <t>14,00</t>
  </si>
  <si>
    <t>16,45</t>
  </si>
  <si>
    <t>16,91</t>
  </si>
  <si>
    <t>21,68</t>
  </si>
  <si>
    <t>29,31</t>
  </si>
  <si>
    <t>29,97</t>
  </si>
  <si>
    <t>36,41</t>
  </si>
  <si>
    <t>116,41</t>
  </si>
  <si>
    <t>350,70</t>
  </si>
  <si>
    <t>685,16</t>
  </si>
  <si>
    <t>1.061,21</t>
  </si>
  <si>
    <t>162,50</t>
  </si>
  <si>
    <t>257,37</t>
  </si>
  <si>
    <t>501,93</t>
  </si>
  <si>
    <t>670,91</t>
  </si>
  <si>
    <t>781,71</t>
  </si>
  <si>
    <t>180,39</t>
  </si>
  <si>
    <t>339,16</t>
  </si>
  <si>
    <t>463,36</t>
  </si>
  <si>
    <t>530,18</t>
  </si>
  <si>
    <t>13,18</t>
  </si>
  <si>
    <t>20,79</t>
  </si>
  <si>
    <t>23,12</t>
  </si>
  <si>
    <t>59,51</t>
  </si>
  <si>
    <t>60,48</t>
  </si>
  <si>
    <t>62,38</t>
  </si>
  <si>
    <t>64,68</t>
  </si>
  <si>
    <t>67,43</t>
  </si>
  <si>
    <t>72,09</t>
  </si>
  <si>
    <t>74,08</t>
  </si>
  <si>
    <t>75,53</t>
  </si>
  <si>
    <t>78,38</t>
  </si>
  <si>
    <t>81,84</t>
  </si>
  <si>
    <t>87,24</t>
  </si>
  <si>
    <t>94,23</t>
  </si>
  <si>
    <t>3.153,96</t>
  </si>
  <si>
    <t>6.086,49</t>
  </si>
  <si>
    <t>8.115,32</t>
  </si>
  <si>
    <t>2.183,77</t>
  </si>
  <si>
    <t>461,11</t>
  </si>
  <si>
    <t>69,62</t>
  </si>
  <si>
    <t>47,71</t>
  </si>
  <si>
    <t>624,19</t>
  </si>
  <si>
    <t>670,73</t>
  </si>
  <si>
    <t>771,53</t>
  </si>
  <si>
    <t>1.115,52</t>
  </si>
  <si>
    <t>1.589,62</t>
  </si>
  <si>
    <t>639,03</t>
  </si>
  <si>
    <t>16,03</t>
  </si>
  <si>
    <t>27,44</t>
  </si>
  <si>
    <t>74,32</t>
  </si>
  <si>
    <t>94,49</t>
  </si>
  <si>
    <t>154,70</t>
  </si>
  <si>
    <t>432,90</t>
  </si>
  <si>
    <t>658,21</t>
  </si>
  <si>
    <t>1.062,66</t>
  </si>
  <si>
    <t>1.430,67</t>
  </si>
  <si>
    <t>2.306,04</t>
  </si>
  <si>
    <t>4.841,48</t>
  </si>
  <si>
    <t>138,41</t>
  </si>
  <si>
    <t>170,80</t>
  </si>
  <si>
    <t>356,88</t>
  </si>
  <si>
    <t>1.319,85</t>
  </si>
  <si>
    <t>93,62</t>
  </si>
  <si>
    <t>133,18</t>
  </si>
  <si>
    <t>7,78</t>
  </si>
  <si>
    <t>6,51</t>
  </si>
  <si>
    <t>11,92</t>
  </si>
  <si>
    <t>9,47</t>
  </si>
  <si>
    <t>14,60</t>
  </si>
  <si>
    <t>21,11</t>
  </si>
  <si>
    <t>19,59</t>
  </si>
  <si>
    <t>26,10</t>
  </si>
  <si>
    <t>38,35</t>
  </si>
  <si>
    <t>26,88</t>
  </si>
  <si>
    <t>33,39</t>
  </si>
  <si>
    <t>36,83</t>
  </si>
  <si>
    <t>43,34</t>
  </si>
  <si>
    <t>49,12</t>
  </si>
  <si>
    <t>55,63</t>
  </si>
  <si>
    <t>44,13</t>
  </si>
  <si>
    <t>50,64</t>
  </si>
  <si>
    <t>39,17</t>
  </si>
  <si>
    <t>45,68</t>
  </si>
  <si>
    <t>54,07</t>
  </si>
  <si>
    <t>60,58</t>
  </si>
  <si>
    <t>56,69</t>
  </si>
  <si>
    <t>67,08</t>
  </si>
  <si>
    <t>61,68</t>
  </si>
  <si>
    <t>72,07</t>
  </si>
  <si>
    <t>62,08</t>
  </si>
  <si>
    <t>86,73</t>
  </si>
  <si>
    <t>31,40</t>
  </si>
  <si>
    <t>37,91</t>
  </si>
  <si>
    <t>30,37</t>
  </si>
  <si>
    <t>36,88</t>
  </si>
  <si>
    <t>74,37</t>
  </si>
  <si>
    <t>80,88</t>
  </si>
  <si>
    <t>20,15</t>
  </si>
  <si>
    <t>29,39</t>
  </si>
  <si>
    <t>35,90</t>
  </si>
  <si>
    <t>17,12</t>
  </si>
  <si>
    <t>23,63</t>
  </si>
  <si>
    <t>25,90</t>
  </si>
  <si>
    <t>27,78</t>
  </si>
  <si>
    <t>32,41</t>
  </si>
  <si>
    <t>34,29</t>
  </si>
  <si>
    <t>18,62</t>
  </si>
  <si>
    <t>20,50</t>
  </si>
  <si>
    <t>25,13</t>
  </si>
  <si>
    <t>27,01</t>
  </si>
  <si>
    <t>15,79</t>
  </si>
  <si>
    <t>22,30</t>
  </si>
  <si>
    <t>34,89</t>
  </si>
  <si>
    <t>38,65</t>
  </si>
  <si>
    <t>41,40</t>
  </si>
  <si>
    <t>45,16</t>
  </si>
  <si>
    <t>29,24</t>
  </si>
  <si>
    <t>33,00</t>
  </si>
  <si>
    <t>35,75</t>
  </si>
  <si>
    <t>39,51</t>
  </si>
  <si>
    <t>51,16</t>
  </si>
  <si>
    <t>56,80</t>
  </si>
  <si>
    <t>57,67</t>
  </si>
  <si>
    <t>63,31</t>
  </si>
  <si>
    <t>42,69</t>
  </si>
  <si>
    <t>48,33</t>
  </si>
  <si>
    <t>49,20</t>
  </si>
  <si>
    <t>54,84</t>
  </si>
  <si>
    <t>56,52</t>
  </si>
  <si>
    <t>66,91</t>
  </si>
  <si>
    <t>83,61</t>
  </si>
  <si>
    <t>94,00</t>
  </si>
  <si>
    <t>30,87</t>
  </si>
  <si>
    <t>37,38</t>
  </si>
  <si>
    <t>47,18</t>
  </si>
  <si>
    <t>53,69</t>
  </si>
  <si>
    <t>43,16</t>
  </si>
  <si>
    <t>49,67</t>
  </si>
  <si>
    <t>35,86</t>
  </si>
  <si>
    <t>58,64</t>
  </si>
  <si>
    <t>53,10</t>
  </si>
  <si>
    <t>59,61</t>
  </si>
  <si>
    <t>48,15</t>
  </si>
  <si>
    <t>54,66</t>
  </si>
  <si>
    <t>115,54</t>
  </si>
  <si>
    <t>165,47</t>
  </si>
  <si>
    <t>157,50</t>
  </si>
  <si>
    <t>408,01</t>
  </si>
  <si>
    <t>35,06</t>
  </si>
  <si>
    <t>118,37</t>
  </si>
  <si>
    <t>147,33</t>
  </si>
  <si>
    <t>184,53</t>
  </si>
  <si>
    <t>151,04</t>
  </si>
  <si>
    <t>134,26</t>
  </si>
  <si>
    <t>89,25</t>
  </si>
  <si>
    <t>92,95</t>
  </si>
  <si>
    <t>87,19</t>
  </si>
  <si>
    <t>23,86</t>
  </si>
  <si>
    <t>14,35</t>
  </si>
  <si>
    <t>15,33</t>
  </si>
  <si>
    <t>17,61</t>
  </si>
  <si>
    <t>23,54</t>
  </si>
  <si>
    <t>39,99</t>
  </si>
  <si>
    <t>62,39</t>
  </si>
  <si>
    <t>73,50</t>
  </si>
  <si>
    <t>73,28</t>
  </si>
  <si>
    <t>64,31</t>
  </si>
  <si>
    <t>23,32</t>
  </si>
  <si>
    <t>315,01</t>
  </si>
  <si>
    <t>435,61</t>
  </si>
  <si>
    <t>45,36</t>
  </si>
  <si>
    <t>75,69</t>
  </si>
  <si>
    <t>78,54</t>
  </si>
  <si>
    <t>56,90</t>
  </si>
  <si>
    <t>67,66</t>
  </si>
  <si>
    <t>1.203,13</t>
  </si>
  <si>
    <t>1.299,82</t>
  </si>
  <si>
    <t>1.345,80</t>
  </si>
  <si>
    <t>1.488,24</t>
  </si>
  <si>
    <t>1.191,20</t>
  </si>
  <si>
    <t>1.287,89</t>
  </si>
  <si>
    <t>1.333,87</t>
  </si>
  <si>
    <t>1.476,31</t>
  </si>
  <si>
    <t>1.447,17</t>
  </si>
  <si>
    <t>1.593,52</t>
  </si>
  <si>
    <t>1.663,12</t>
  </si>
  <si>
    <t>1.865,96</t>
  </si>
  <si>
    <t>1.441,69</t>
  </si>
  <si>
    <t>1.588,04</t>
  </si>
  <si>
    <t>1.657,64</t>
  </si>
  <si>
    <t>1.860,48</t>
  </si>
  <si>
    <t>1.562,00</t>
  </si>
  <si>
    <t>1.757,13</t>
  </si>
  <si>
    <t>1.849,93</t>
  </si>
  <si>
    <t>2.112,10</t>
  </si>
  <si>
    <t>1.710,09</t>
  </si>
  <si>
    <t>1.905,22</t>
  </si>
  <si>
    <t>1.998,02</t>
  </si>
  <si>
    <t>2.260,19</t>
  </si>
  <si>
    <t>690,43</t>
  </si>
  <si>
    <t>806,45</t>
  </si>
  <si>
    <t>861,63</t>
  </si>
  <si>
    <t>1.002,74</t>
  </si>
  <si>
    <t>678,51</t>
  </si>
  <si>
    <t>794,53</t>
  </si>
  <si>
    <t>849,71</t>
  </si>
  <si>
    <t>990,82</t>
  </si>
  <si>
    <t>950,34</t>
  </si>
  <si>
    <t>1.124,38</t>
  </si>
  <si>
    <t>1.207,14</t>
  </si>
  <si>
    <t>1.418,80</t>
  </si>
  <si>
    <t>944,86</t>
  </si>
  <si>
    <t>1.118,90</t>
  </si>
  <si>
    <t>1.201,66</t>
  </si>
  <si>
    <t>1.413,32</t>
  </si>
  <si>
    <t>1.082,70</t>
  </si>
  <si>
    <t>1.314,75</t>
  </si>
  <si>
    <t>1.425,10</t>
  </si>
  <si>
    <t>1.707,32</t>
  </si>
  <si>
    <t>1.230,79</t>
  </si>
  <si>
    <t>1.462,84</t>
  </si>
  <si>
    <t>1.573,19</t>
  </si>
  <si>
    <t>1.855,41</t>
  </si>
  <si>
    <t>113,87</t>
  </si>
  <si>
    <t>46,74</t>
  </si>
  <si>
    <t>75,63</t>
  </si>
  <si>
    <t>129,33</t>
  </si>
  <si>
    <t>168,26</t>
  </si>
  <si>
    <t>34,82</t>
  </si>
  <si>
    <t>61,00</t>
  </si>
  <si>
    <t>98,39</t>
  </si>
  <si>
    <t>144,20</t>
  </si>
  <si>
    <t>29,59</t>
  </si>
  <si>
    <t>93,36</t>
  </si>
  <si>
    <t>16,49</t>
  </si>
  <si>
    <t>6,81</t>
  </si>
  <si>
    <t>12,04</t>
  </si>
  <si>
    <t>28,03</t>
  </si>
  <si>
    <t>38,63</t>
  </si>
  <si>
    <t>55,03</t>
  </si>
  <si>
    <t>76,21</t>
  </si>
  <si>
    <t>101,23</t>
  </si>
  <si>
    <t>131,76</t>
  </si>
  <si>
    <t>239,73</t>
  </si>
  <si>
    <t>376,25</t>
  </si>
  <si>
    <t>176,58</t>
  </si>
  <si>
    <t>209,10</t>
  </si>
  <si>
    <t>66,13</t>
  </si>
  <si>
    <t>54,12</t>
  </si>
  <si>
    <t>110,16</t>
  </si>
  <si>
    <t>158,50</t>
  </si>
  <si>
    <t>151,16</t>
  </si>
  <si>
    <t>63,86</t>
  </si>
  <si>
    <t>33,15</t>
  </si>
  <si>
    <t>28,95</t>
  </si>
  <si>
    <t>39,12</t>
  </si>
  <si>
    <t>18,60</t>
  </si>
  <si>
    <t>24,65</t>
  </si>
  <si>
    <t>34,96</t>
  </si>
  <si>
    <t>40,25</t>
  </si>
  <si>
    <t>46,76</t>
  </si>
  <si>
    <t>57,64</t>
  </si>
  <si>
    <t>674,08</t>
  </si>
  <si>
    <t>315,78</t>
  </si>
  <si>
    <t>256,36</t>
  </si>
  <si>
    <t>418,43</t>
  </si>
  <si>
    <t>456,27</t>
  </si>
  <si>
    <t>536,87</t>
  </si>
  <si>
    <t>702,61</t>
  </si>
  <si>
    <t>805,69</t>
  </si>
  <si>
    <t>1.292,30</t>
  </si>
  <si>
    <t>95,98</t>
  </si>
  <si>
    <t>912,14</t>
  </si>
  <si>
    <t>23,05</t>
  </si>
  <si>
    <t>24,34</t>
  </si>
  <si>
    <t>29,88</t>
  </si>
  <si>
    <t>480,47</t>
  </si>
  <si>
    <t>265,00</t>
  </si>
  <si>
    <t>393,93</t>
  </si>
  <si>
    <t>432,13</t>
  </si>
  <si>
    <t>470,13</t>
  </si>
  <si>
    <t>451,06</t>
  </si>
  <si>
    <t>519,47</t>
  </si>
  <si>
    <t>471,24</t>
  </si>
  <si>
    <t>512,44</t>
  </si>
  <si>
    <t>510,55</t>
  </si>
  <si>
    <t>576,25</t>
  </si>
  <si>
    <t>551,13</t>
  </si>
  <si>
    <t>602,21</t>
  </si>
  <si>
    <t>606,66</t>
  </si>
  <si>
    <t>657,00</t>
  </si>
  <si>
    <t>605,19</t>
  </si>
  <si>
    <t>646,93</t>
  </si>
  <si>
    <t>648,07</t>
  </si>
  <si>
    <t>718,96</t>
  </si>
  <si>
    <t>776,65</t>
  </si>
  <si>
    <t>872,42</t>
  </si>
  <si>
    <t>894,91</t>
  </si>
  <si>
    <t>973,88</t>
  </si>
  <si>
    <t>414,61</t>
  </si>
  <si>
    <t>491,40</t>
  </si>
  <si>
    <t>623,37</t>
  </si>
  <si>
    <t>787,98</t>
  </si>
  <si>
    <t>1.210,64</t>
  </si>
  <si>
    <t>521,71</t>
  </si>
  <si>
    <t>825,09</t>
  </si>
  <si>
    <t>1.256,45</t>
  </si>
  <si>
    <t>536,07</t>
  </si>
  <si>
    <t>843,37</t>
  </si>
  <si>
    <t>1.280,93</t>
  </si>
  <si>
    <t>550,42</t>
  </si>
  <si>
    <t>688,40</t>
  </si>
  <si>
    <t>861,31</t>
  </si>
  <si>
    <t>1.304,77</t>
  </si>
  <si>
    <t>720,34</t>
  </si>
  <si>
    <t>896,89</t>
  </si>
  <si>
    <t>1.354,82</t>
  </si>
  <si>
    <t>932,28</t>
  </si>
  <si>
    <t>1.410,03</t>
  </si>
  <si>
    <t>613,79</t>
  </si>
  <si>
    <t>4.007,26</t>
  </si>
  <si>
    <t>4.570,68</t>
  </si>
  <si>
    <t>2.843,12</t>
  </si>
  <si>
    <t>3.074,64</t>
  </si>
  <si>
    <t>362,79</t>
  </si>
  <si>
    <t>375,04</t>
  </si>
  <si>
    <t>118,40</t>
  </si>
  <si>
    <t>121,66</t>
  </si>
  <si>
    <t>144,04</t>
  </si>
  <si>
    <t>147,30</t>
  </si>
  <si>
    <t>11.685,47</t>
  </si>
  <si>
    <t>13.019,11</t>
  </si>
  <si>
    <t>16.741,84</t>
  </si>
  <si>
    <t>20.610,12</t>
  </si>
  <si>
    <t>25.895,13</t>
  </si>
  <si>
    <t>36.192,86</t>
  </si>
  <si>
    <t>42.170,85</t>
  </si>
  <si>
    <t>60,38</t>
  </si>
  <si>
    <t>205,57</t>
  </si>
  <si>
    <t>TRANSFORMADOR DE DISTRIBUIÇÃO, 500KVA, TRIFÁSICO, 60 HZ, CLASSE 15 KV, IMERSO EM ÓLEO MINERAL, INSTALAÇÃO EM SOLO (NÃO INCLUSO ABRIGO) - FORNECIMENTO E INSTALAÇÃO. AF_02/2022</t>
  </si>
  <si>
    <t>68.439,98</t>
  </si>
  <si>
    <t>TRANSFORMADOR DE DISTRIBUIÇÃO, 750 KVA, TRIFÁSICO, 60 HZ, CLASSE 15 KV, IMERSO EM ÓLEO MINERAL, INSTALAÇÃO EM SOLO (NÃO INCLUSO ABRIGO) - FORNECIMENTO E INSTALAÇÃO. AF_02/2022</t>
  </si>
  <si>
    <t>93.793,09</t>
  </si>
  <si>
    <t>TRANSFORMADOR DE DISTRIBUIÇÃO, 1000 KVA, TRIFÁSICO, 60 HZ, CLASSE 15 KV, IMERSO EM ÓLEO MINERAL, INSTALAÇÃO EM SOLO (NÃO INCLUSO ABRIGO) - FORNECIMENTO E INSTALAÇÃO. AF_02/2022</t>
  </si>
  <si>
    <t>131.194,91</t>
  </si>
  <si>
    <t>124,50</t>
  </si>
  <si>
    <t>148,50</t>
  </si>
  <si>
    <t>141,21</t>
  </si>
  <si>
    <t>181,89</t>
  </si>
  <si>
    <t>171,04</t>
  </si>
  <si>
    <t>156,87</t>
  </si>
  <si>
    <t>173,14</t>
  </si>
  <si>
    <t>158,75</t>
  </si>
  <si>
    <t>220,32</t>
  </si>
  <si>
    <t>192,55</t>
  </si>
  <si>
    <t>209,26</t>
  </si>
  <si>
    <t>239,13</t>
  </si>
  <si>
    <t>40,10</t>
  </si>
  <si>
    <t>66,39</t>
  </si>
  <si>
    <t>86,80</t>
  </si>
  <si>
    <t>114,22</t>
  </si>
  <si>
    <t>46,85</t>
  </si>
  <si>
    <t>92,24</t>
  </si>
  <si>
    <t>48,89</t>
  </si>
  <si>
    <t>61,40</t>
  </si>
  <si>
    <t>91,67</t>
  </si>
  <si>
    <t>98,12</t>
  </si>
  <si>
    <t>166,52</t>
  </si>
  <si>
    <t>139,41</t>
  </si>
  <si>
    <t>20,67</t>
  </si>
  <si>
    <t>2.675,65</t>
  </si>
  <si>
    <t>654,17</t>
  </si>
  <si>
    <t>1.350,48</t>
  </si>
  <si>
    <t>188,61</t>
  </si>
  <si>
    <t>555,83</t>
  </si>
  <si>
    <t>600,57</t>
  </si>
  <si>
    <t>183,02</t>
  </si>
  <si>
    <t>212,85</t>
  </si>
  <si>
    <t>250,13</t>
  </si>
  <si>
    <t>287,41</t>
  </si>
  <si>
    <t>1.727,75</t>
  </si>
  <si>
    <t>490,35</t>
  </si>
  <si>
    <t>430,84</t>
  </si>
  <si>
    <t>378,27</t>
  </si>
  <si>
    <t>3.154,00</t>
  </si>
  <si>
    <t>125,55</t>
  </si>
  <si>
    <t>3,40</t>
  </si>
  <si>
    <t>6,20</t>
  </si>
  <si>
    <t>14,36</t>
  </si>
  <si>
    <t>24,99</t>
  </si>
  <si>
    <t>55,59</t>
  </si>
  <si>
    <t>211,33</t>
  </si>
  <si>
    <t>3,87</t>
  </si>
  <si>
    <t>5,92</t>
  </si>
  <si>
    <t>22,66</t>
  </si>
  <si>
    <t>30,65</t>
  </si>
  <si>
    <t>53,25</t>
  </si>
  <si>
    <t>7,27</t>
  </si>
  <si>
    <t>9,20</t>
  </si>
  <si>
    <t>10,50</t>
  </si>
  <si>
    <t>11,25</t>
  </si>
  <si>
    <t>17,37</t>
  </si>
  <si>
    <t>2,47</t>
  </si>
  <si>
    <t>3,55</t>
  </si>
  <si>
    <t>17,58</t>
  </si>
  <si>
    <t>28,47</t>
  </si>
  <si>
    <t>37,59</t>
  </si>
  <si>
    <t>40,78</t>
  </si>
  <si>
    <t>552,04</t>
  </si>
  <si>
    <t>111,00</t>
  </si>
  <si>
    <t>210,37</t>
  </si>
  <si>
    <t>330,47</t>
  </si>
  <si>
    <t>480,34</t>
  </si>
  <si>
    <t>489,41</t>
  </si>
  <si>
    <t>374,45</t>
  </si>
  <si>
    <t>917,41</t>
  </si>
  <si>
    <t>9,98</t>
  </si>
  <si>
    <t>2.258,79</t>
  </si>
  <si>
    <t>1.778,32</t>
  </si>
  <si>
    <t>1.940,81</t>
  </si>
  <si>
    <t>2.508,69</t>
  </si>
  <si>
    <t>2.047,20</t>
  </si>
  <si>
    <t>2.200,55</t>
  </si>
  <si>
    <t>3.649,06</t>
  </si>
  <si>
    <t>2.878,29</t>
  </si>
  <si>
    <t>3.189,12</t>
  </si>
  <si>
    <t>4.979,48</t>
  </si>
  <si>
    <t>3.719,36</t>
  </si>
  <si>
    <t>4.163,97</t>
  </si>
  <si>
    <t>9.248,17</t>
  </si>
  <si>
    <t>5.269,26</t>
  </si>
  <si>
    <t>10.342,03</t>
  </si>
  <si>
    <t>5.557,60</t>
  </si>
  <si>
    <t>5.709,86</t>
  </si>
  <si>
    <t>11.667,45</t>
  </si>
  <si>
    <t>7.308,19</t>
  </si>
  <si>
    <t>16.139,69</t>
  </si>
  <si>
    <t>9.002,33</t>
  </si>
  <si>
    <t>19.480,55</t>
  </si>
  <si>
    <t>10.066,98</t>
  </si>
  <si>
    <t>5.767,65</t>
  </si>
  <si>
    <t>6.852,09</t>
  </si>
  <si>
    <t>7.094,47</t>
  </si>
  <si>
    <t>7.365,38</t>
  </si>
  <si>
    <t>10.442,54</t>
  </si>
  <si>
    <t>10.787,05</t>
  </si>
  <si>
    <t>11.021,09</t>
  </si>
  <si>
    <t>12.641,35</t>
  </si>
  <si>
    <t>12.575,20</t>
  </si>
  <si>
    <t>13.201,87</t>
  </si>
  <si>
    <t>24.406,02</t>
  </si>
  <si>
    <t>31.288,79</t>
  </si>
  <si>
    <t>14,01</t>
  </si>
  <si>
    <t>36,27</t>
  </si>
  <si>
    <t>60,26</t>
  </si>
  <si>
    <t>74,88</t>
  </si>
  <si>
    <t>90,70</t>
  </si>
  <si>
    <t>6.645,96</t>
  </si>
  <si>
    <t>11.937,56</t>
  </si>
  <si>
    <t>3,68</t>
  </si>
  <si>
    <t>511,01</t>
  </si>
  <si>
    <t>712,35</t>
  </si>
  <si>
    <t>1.114,00</t>
  </si>
  <si>
    <t>38,66</t>
  </si>
  <si>
    <t>873,52</t>
  </si>
  <si>
    <t>15,76</t>
  </si>
  <si>
    <t>26,71</t>
  </si>
  <si>
    <t>7,09</t>
  </si>
  <si>
    <t>8,64</t>
  </si>
  <si>
    <t>14,74</t>
  </si>
  <si>
    <t>10,28</t>
  </si>
  <si>
    <t>17,01</t>
  </si>
  <si>
    <t>28,12</t>
  </si>
  <si>
    <t>46,54</t>
  </si>
  <si>
    <t>57,93</t>
  </si>
  <si>
    <t>31,09</t>
  </si>
  <si>
    <t>45,52</t>
  </si>
  <si>
    <t>73,42</t>
  </si>
  <si>
    <t>30,04</t>
  </si>
  <si>
    <t>51,98</t>
  </si>
  <si>
    <t>20,88</t>
  </si>
  <si>
    <t>31,80</t>
  </si>
  <si>
    <t>45,53</t>
  </si>
  <si>
    <t>55,44</t>
  </si>
  <si>
    <t>18,58</t>
  </si>
  <si>
    <t>28,79</t>
  </si>
  <si>
    <t>44,03</t>
  </si>
  <si>
    <t>55,94</t>
  </si>
  <si>
    <t>22,75</t>
  </si>
  <si>
    <t>34,86</t>
  </si>
  <si>
    <t>38,18</t>
  </si>
  <si>
    <t>52,18</t>
  </si>
  <si>
    <t>121,53</t>
  </si>
  <si>
    <t>191,97</t>
  </si>
  <si>
    <t>14,31</t>
  </si>
  <si>
    <t>22,88</t>
  </si>
  <si>
    <t>27,87</t>
  </si>
  <si>
    <t>32,62</t>
  </si>
  <si>
    <t>67,03</t>
  </si>
  <si>
    <t>38,16</t>
  </si>
  <si>
    <t>37,89</t>
  </si>
  <si>
    <t>27,38</t>
  </si>
  <si>
    <t>31,60</t>
  </si>
  <si>
    <t>40,12</t>
  </si>
  <si>
    <t>52,95</t>
  </si>
  <si>
    <t>78,73</t>
  </si>
  <si>
    <t>109,70</t>
  </si>
  <si>
    <t>54,10</t>
  </si>
  <si>
    <t>87,20</t>
  </si>
  <si>
    <t>44,32</t>
  </si>
  <si>
    <t>72,73</t>
  </si>
  <si>
    <t>80,81</t>
  </si>
  <si>
    <t>63,83</t>
  </si>
  <si>
    <t>80,87</t>
  </si>
  <si>
    <t>116,86</t>
  </si>
  <si>
    <t>157,31</t>
  </si>
  <si>
    <t>227,51</t>
  </si>
  <si>
    <t>319,71</t>
  </si>
  <si>
    <t>168,32</t>
  </si>
  <si>
    <t>189,60</t>
  </si>
  <si>
    <t>314,22</t>
  </si>
  <si>
    <t>415,08</t>
  </si>
  <si>
    <t>509,92</t>
  </si>
  <si>
    <t>40,84</t>
  </si>
  <si>
    <t>67,55</t>
  </si>
  <si>
    <t>84,86</t>
  </si>
  <si>
    <t>64,52</t>
  </si>
  <si>
    <t>173,92</t>
  </si>
  <si>
    <t>195,51</t>
  </si>
  <si>
    <t>81,59</t>
  </si>
  <si>
    <t>104,00</t>
  </si>
  <si>
    <t>70,73</t>
  </si>
  <si>
    <t>186,00</t>
  </si>
  <si>
    <t>212,65</t>
  </si>
  <si>
    <t>104,90</t>
  </si>
  <si>
    <t>129,30</t>
  </si>
  <si>
    <t>171,46</t>
  </si>
  <si>
    <t>117,44</t>
  </si>
  <si>
    <t>178,67</t>
  </si>
  <si>
    <t>113,06</t>
  </si>
  <si>
    <t>137,51</t>
  </si>
  <si>
    <t>179,74</t>
  </si>
  <si>
    <t>55,85</t>
  </si>
  <si>
    <t>74,66</t>
  </si>
  <si>
    <t>100,72</t>
  </si>
  <si>
    <t>161,28</t>
  </si>
  <si>
    <t>63,37</t>
  </si>
  <si>
    <t>73,12</t>
  </si>
  <si>
    <t>102,97</t>
  </si>
  <si>
    <t>126,96</t>
  </si>
  <si>
    <t>168,78</t>
  </si>
  <si>
    <t>58,86</t>
  </si>
  <si>
    <t>77,67</t>
  </si>
  <si>
    <t>84,99</t>
  </si>
  <si>
    <t>103,72</t>
  </si>
  <si>
    <t>164,28</t>
  </si>
  <si>
    <t>67,09</t>
  </si>
  <si>
    <t>76,89</t>
  </si>
  <si>
    <t>106,73</t>
  </si>
  <si>
    <t>130,79</t>
  </si>
  <si>
    <t>172,61</t>
  </si>
  <si>
    <t>41,60</t>
  </si>
  <si>
    <t>41,27</t>
  </si>
  <si>
    <t>58,74</t>
  </si>
  <si>
    <t>75,83</t>
  </si>
  <si>
    <t>109,59</t>
  </si>
  <si>
    <t>130,64</t>
  </si>
  <si>
    <t>234,92</t>
  </si>
  <si>
    <t>320,27</t>
  </si>
  <si>
    <t>441,27</t>
  </si>
  <si>
    <t>637,17</t>
  </si>
  <si>
    <t>9,26</t>
  </si>
  <si>
    <t>14,45</t>
  </si>
  <si>
    <t>22,64</t>
  </si>
  <si>
    <t>36,84</t>
  </si>
  <si>
    <t>53,74</t>
  </si>
  <si>
    <t>70,51</t>
  </si>
  <si>
    <t>100,62</t>
  </si>
  <si>
    <t>22,94</t>
  </si>
  <si>
    <t>33,96</t>
  </si>
  <si>
    <t>41,97</t>
  </si>
  <si>
    <t>55,19</t>
  </si>
  <si>
    <t>83,17</t>
  </si>
  <si>
    <t>121,92</t>
  </si>
  <si>
    <t>212,15</t>
  </si>
  <si>
    <t>81,98</t>
  </si>
  <si>
    <t>29,37</t>
  </si>
  <si>
    <t>30,75</t>
  </si>
  <si>
    <t>20,90</t>
  </si>
  <si>
    <t>26,85</t>
  </si>
  <si>
    <t>41,46</t>
  </si>
  <si>
    <t>34,50</t>
  </si>
  <si>
    <t>50,10</t>
  </si>
  <si>
    <t>14,99</t>
  </si>
  <si>
    <t>18,68</t>
  </si>
  <si>
    <t>28,38</t>
  </si>
  <si>
    <t>37,86</t>
  </si>
  <si>
    <t>55,46</t>
  </si>
  <si>
    <t>128,01</t>
  </si>
  <si>
    <t>223,67</t>
  </si>
  <si>
    <t>14,95</t>
  </si>
  <si>
    <t>24,76</t>
  </si>
  <si>
    <t>34,38</t>
  </si>
  <si>
    <t>50,11</t>
  </si>
  <si>
    <t>67,19</t>
  </si>
  <si>
    <t>187,04</t>
  </si>
  <si>
    <t>255,45</t>
  </si>
  <si>
    <t>10,08</t>
  </si>
  <si>
    <t>18,35</t>
  </si>
  <si>
    <t>22,41</t>
  </si>
  <si>
    <t>31,06</t>
  </si>
  <si>
    <t>41,96</t>
  </si>
  <si>
    <t>57,11</t>
  </si>
  <si>
    <t>93,20</t>
  </si>
  <si>
    <t>124,79</t>
  </si>
  <si>
    <t>203,89</t>
  </si>
  <si>
    <t>15,29</t>
  </si>
  <si>
    <t>18,80</t>
  </si>
  <si>
    <t>29,08</t>
  </si>
  <si>
    <t>37,57</t>
  </si>
  <si>
    <t>54,77</t>
  </si>
  <si>
    <t>69,13</t>
  </si>
  <si>
    <t>127,81</t>
  </si>
  <si>
    <t>180,73</t>
  </si>
  <si>
    <t>233,51</t>
  </si>
  <si>
    <t>8,74</t>
  </si>
  <si>
    <t>11,15</t>
  </si>
  <si>
    <t>24,02</t>
  </si>
  <si>
    <t>8,85</t>
  </si>
  <si>
    <t>17,13</t>
  </si>
  <si>
    <t>32,34</t>
  </si>
  <si>
    <t>70,83</t>
  </si>
  <si>
    <t>86,62</t>
  </si>
  <si>
    <t>56,60</t>
  </si>
  <si>
    <t>71,22</t>
  </si>
  <si>
    <t>87,04</t>
  </si>
  <si>
    <t>92,13</t>
  </si>
  <si>
    <t>117,07</t>
  </si>
  <si>
    <t>176,11</t>
  </si>
  <si>
    <t>211,75</t>
  </si>
  <si>
    <t>228,17</t>
  </si>
  <si>
    <t>60,61</t>
  </si>
  <si>
    <t>95,85</t>
  </si>
  <si>
    <t>121,06</t>
  </si>
  <si>
    <t>68,78</t>
  </si>
  <si>
    <t>109,89</t>
  </si>
  <si>
    <t>140,20</t>
  </si>
  <si>
    <t>111,11</t>
  </si>
  <si>
    <t>153,60</t>
  </si>
  <si>
    <t>221,59</t>
  </si>
  <si>
    <t>269,12</t>
  </si>
  <si>
    <t>372,24</t>
  </si>
  <si>
    <t>482,57</t>
  </si>
  <si>
    <t>114,83</t>
  </si>
  <si>
    <t>157,59</t>
  </si>
  <si>
    <t>80,02</t>
  </si>
  <si>
    <t>128,87</t>
  </si>
  <si>
    <t>176,73</t>
  </si>
  <si>
    <t>51,08</t>
  </si>
  <si>
    <t>63,36</t>
  </si>
  <si>
    <t>569,79</t>
  </si>
  <si>
    <t>17,95</t>
  </si>
  <si>
    <t>26,70</t>
  </si>
  <si>
    <t>35,65</t>
  </si>
  <si>
    <t>27,09</t>
  </si>
  <si>
    <t>48,71</t>
  </si>
  <si>
    <t>17,17</t>
  </si>
  <si>
    <t>25,78</t>
  </si>
  <si>
    <t>34,54</t>
  </si>
  <si>
    <t>46,97</t>
  </si>
  <si>
    <t>22,76</t>
  </si>
  <si>
    <t>42,31</t>
  </si>
  <si>
    <t>56,43</t>
  </si>
  <si>
    <t>241,72</t>
  </si>
  <si>
    <t>322,32</t>
  </si>
  <si>
    <t>153,52</t>
  </si>
  <si>
    <t>175,25</t>
  </si>
  <si>
    <t>144,42</t>
  </si>
  <si>
    <t>241,48</t>
  </si>
  <si>
    <t>311,33</t>
  </si>
  <si>
    <t>230,12</t>
  </si>
  <si>
    <t>326,77</t>
  </si>
  <si>
    <t>157,97</t>
  </si>
  <si>
    <t>179,70</t>
  </si>
  <si>
    <t>148,87</t>
  </si>
  <si>
    <t>248,15</t>
  </si>
  <si>
    <t>320,22</t>
  </si>
  <si>
    <t>6,58</t>
  </si>
  <si>
    <t>8,57</t>
  </si>
  <si>
    <t>7,94</t>
  </si>
  <si>
    <t>8,68</t>
  </si>
  <si>
    <t>10,38</t>
  </si>
  <si>
    <t>9,62</t>
  </si>
  <si>
    <t>14,88</t>
  </si>
  <si>
    <t>13,29</t>
  </si>
  <si>
    <t>16,16</t>
  </si>
  <si>
    <t>12,81</t>
  </si>
  <si>
    <t>5,05</t>
  </si>
  <si>
    <t>5,74</t>
  </si>
  <si>
    <t>9,87</t>
  </si>
  <si>
    <t>5,13</t>
  </si>
  <si>
    <t>8,81</t>
  </si>
  <si>
    <t>6,00</t>
  </si>
  <si>
    <t>9,12</t>
  </si>
  <si>
    <t>12,43</t>
  </si>
  <si>
    <t>14,75</t>
  </si>
  <si>
    <t>12,59</t>
  </si>
  <si>
    <t>8,40</t>
  </si>
  <si>
    <t>32,64</t>
  </si>
  <si>
    <t>11,14</t>
  </si>
  <si>
    <t>12,08</t>
  </si>
  <si>
    <t>22,07</t>
  </si>
  <si>
    <t>8,29</t>
  </si>
  <si>
    <t>26,24</t>
  </si>
  <si>
    <t>9,22</t>
  </si>
  <si>
    <t>18,73</t>
  </si>
  <si>
    <t>11,04</t>
  </si>
  <si>
    <t>16,31</t>
  </si>
  <si>
    <t>30,12</t>
  </si>
  <si>
    <t>4,54</t>
  </si>
  <si>
    <t>6,53</t>
  </si>
  <si>
    <t>5,51</t>
  </si>
  <si>
    <t>8,03</t>
  </si>
  <si>
    <t>8,31</t>
  </si>
  <si>
    <t>13,34</t>
  </si>
  <si>
    <t>9,99</t>
  </si>
  <si>
    <t>3,71</t>
  </si>
  <si>
    <t>11,33</t>
  </si>
  <si>
    <t>8,53</t>
  </si>
  <si>
    <t>11,03</t>
  </si>
  <si>
    <t>3,79</t>
  </si>
  <si>
    <t>7,99</t>
  </si>
  <si>
    <t>7,53</t>
  </si>
  <si>
    <t>13,16</t>
  </si>
  <si>
    <t>11,00</t>
  </si>
  <si>
    <t>30,74</t>
  </si>
  <si>
    <t>8,69</t>
  </si>
  <si>
    <t>7,90</t>
  </si>
  <si>
    <t>12,58</t>
  </si>
  <si>
    <t>26,39</t>
  </si>
  <si>
    <t>14,73</t>
  </si>
  <si>
    <t>5,14</t>
  </si>
  <si>
    <t>6,84</t>
  </si>
  <si>
    <t>12,23</t>
  </si>
  <si>
    <t>18,95</t>
  </si>
  <si>
    <t>13,52</t>
  </si>
  <si>
    <t>15,43</t>
  </si>
  <si>
    <t>20,75</t>
  </si>
  <si>
    <t>35,64</t>
  </si>
  <si>
    <t>40,20</t>
  </si>
  <si>
    <t>49,68</t>
  </si>
  <si>
    <t>32,28</t>
  </si>
  <si>
    <t>112,17</t>
  </si>
  <si>
    <t>11,35</t>
  </si>
  <si>
    <t>84,43</t>
  </si>
  <si>
    <t>9,72</t>
  </si>
  <si>
    <t>70,95</t>
  </si>
  <si>
    <t>47,66</t>
  </si>
  <si>
    <t>15,52</t>
  </si>
  <si>
    <t>33,83</t>
  </si>
  <si>
    <t>99,60</t>
  </si>
  <si>
    <t>97,94</t>
  </si>
  <si>
    <t>44,71</t>
  </si>
  <si>
    <t>75,03</t>
  </si>
  <si>
    <t>50,33</t>
  </si>
  <si>
    <t>40,32</t>
  </si>
  <si>
    <t>6,73</t>
  </si>
  <si>
    <t>66,02</t>
  </si>
  <si>
    <t>12,36</t>
  </si>
  <si>
    <t>3,72</t>
  </si>
  <si>
    <t>43,11</t>
  </si>
  <si>
    <t>10,20</t>
  </si>
  <si>
    <t>29,85</t>
  </si>
  <si>
    <t>16,43</t>
  </si>
  <si>
    <t>22,86</t>
  </si>
  <si>
    <t>24,91</t>
  </si>
  <si>
    <t>17,38</t>
  </si>
  <si>
    <t>45,33</t>
  </si>
  <si>
    <t>9,29</t>
  </si>
  <si>
    <t>19,28</t>
  </si>
  <si>
    <t>5,50</t>
  </si>
  <si>
    <t>27,96</t>
  </si>
  <si>
    <t>23,45</t>
  </si>
  <si>
    <t>32,77</t>
  </si>
  <si>
    <t>75,34</t>
  </si>
  <si>
    <t>14,52</t>
  </si>
  <si>
    <t>9,25</t>
  </si>
  <si>
    <t>27,11</t>
  </si>
  <si>
    <t>62,35</t>
  </si>
  <si>
    <t>53,47</t>
  </si>
  <si>
    <t>92,55</t>
  </si>
  <si>
    <t>35,11</t>
  </si>
  <si>
    <t>87,26</t>
  </si>
  <si>
    <t>84,77</t>
  </si>
  <si>
    <t>8,18</t>
  </si>
  <si>
    <t>76,72</t>
  </si>
  <si>
    <t>151,85</t>
  </si>
  <si>
    <t>35,95</t>
  </si>
  <si>
    <t>11,32</t>
  </si>
  <si>
    <t>32,29</t>
  </si>
  <si>
    <t>43,17</t>
  </si>
  <si>
    <t>48,80</t>
  </si>
  <si>
    <t>38,79</t>
  </si>
  <si>
    <t>64,49</t>
  </si>
  <si>
    <t>156,85</t>
  </si>
  <si>
    <t>211,68</t>
  </si>
  <si>
    <t>32,51</t>
  </si>
  <si>
    <t>39,29</t>
  </si>
  <si>
    <t>14,83</t>
  </si>
  <si>
    <t>20,66</t>
  </si>
  <si>
    <t>54,40</t>
  </si>
  <si>
    <t>21,71</t>
  </si>
  <si>
    <t>91,33</t>
  </si>
  <si>
    <t>34,09</t>
  </si>
  <si>
    <t>180,29</t>
  </si>
  <si>
    <t>30,44</t>
  </si>
  <si>
    <t>64,76</t>
  </si>
  <si>
    <t>272,70</t>
  </si>
  <si>
    <t>44,24</t>
  </si>
  <si>
    <t>6,32</t>
  </si>
  <si>
    <t>14,46</t>
  </si>
  <si>
    <t>8,49</t>
  </si>
  <si>
    <t>10,80</t>
  </si>
  <si>
    <t>24,61</t>
  </si>
  <si>
    <t>12,95</t>
  </si>
  <si>
    <t>21,33</t>
  </si>
  <si>
    <t>29,71</t>
  </si>
  <si>
    <t>45,64</t>
  </si>
  <si>
    <t>84,40</t>
  </si>
  <si>
    <t>72,99</t>
  </si>
  <si>
    <t>128,83</t>
  </si>
  <si>
    <t>105,48</t>
  </si>
  <si>
    <t>19,73</t>
  </si>
  <si>
    <t>17,24</t>
  </si>
  <si>
    <t>18,07</t>
  </si>
  <si>
    <t>29,79</t>
  </si>
  <si>
    <t>33,54</t>
  </si>
  <si>
    <t>23,75</t>
  </si>
  <si>
    <t>23,18</t>
  </si>
  <si>
    <t>35,67</t>
  </si>
  <si>
    <t>12,93</t>
  </si>
  <si>
    <t>21,66</t>
  </si>
  <si>
    <t>21,09</t>
  </si>
  <si>
    <t>31,76</t>
  </si>
  <si>
    <t>13,83</t>
  </si>
  <si>
    <t>10,19</t>
  </si>
  <si>
    <t>18,89</t>
  </si>
  <si>
    <t>9,43</t>
  </si>
  <si>
    <t>39,66</t>
  </si>
  <si>
    <t>15,94</t>
  </si>
  <si>
    <t>8,14</t>
  </si>
  <si>
    <t>44,18</t>
  </si>
  <si>
    <t>37,58</t>
  </si>
  <si>
    <t>15,51</t>
  </si>
  <si>
    <t>41,02</t>
  </si>
  <si>
    <t>25,47</t>
  </si>
  <si>
    <t>31,82</t>
  </si>
  <si>
    <t>38,15</t>
  </si>
  <si>
    <t>74,39</t>
  </si>
  <si>
    <t>79,65</t>
  </si>
  <si>
    <t>11,09</t>
  </si>
  <si>
    <t>129,62</t>
  </si>
  <si>
    <t>24,77</t>
  </si>
  <si>
    <t>88,50</t>
  </si>
  <si>
    <t>39,65</t>
  </si>
  <si>
    <t>333,42</t>
  </si>
  <si>
    <t>60,25</t>
  </si>
  <si>
    <t>213,49</t>
  </si>
  <si>
    <t>51,37</t>
  </si>
  <si>
    <t>42,85</t>
  </si>
  <si>
    <t>90,44</t>
  </si>
  <si>
    <t>13,22</t>
  </si>
  <si>
    <t>85,15</t>
  </si>
  <si>
    <t>82,66</t>
  </si>
  <si>
    <t>22,97</t>
  </si>
  <si>
    <t>21,13</t>
  </si>
  <si>
    <t>74,61</t>
  </si>
  <si>
    <t>270,31</t>
  </si>
  <si>
    <t>230,85</t>
  </si>
  <si>
    <t>23,22</t>
  </si>
  <si>
    <t>209,33</t>
  </si>
  <si>
    <t>57,08</t>
  </si>
  <si>
    <t>143,43</t>
  </si>
  <si>
    <t>28,24</t>
  </si>
  <si>
    <t>42,89</t>
  </si>
  <si>
    <t>12,61</t>
  </si>
  <si>
    <t>15,92</t>
  </si>
  <si>
    <t>21,26</t>
  </si>
  <si>
    <t>20,69</t>
  </si>
  <si>
    <t>7,23</t>
  </si>
  <si>
    <t>23,35</t>
  </si>
  <si>
    <t>32,71</t>
  </si>
  <si>
    <t>12,33</t>
  </si>
  <si>
    <t>20,49</t>
  </si>
  <si>
    <t>21,75</t>
  </si>
  <si>
    <t>8,77</t>
  </si>
  <si>
    <t>17,47</t>
  </si>
  <si>
    <t>21,47</t>
  </si>
  <si>
    <t>8,01</t>
  </si>
  <si>
    <t>24,08</t>
  </si>
  <si>
    <t>36,02</t>
  </si>
  <si>
    <t>51,72</t>
  </si>
  <si>
    <t>26,21</t>
  </si>
  <si>
    <t>26,14</t>
  </si>
  <si>
    <t>43,23</t>
  </si>
  <si>
    <t>6,72</t>
  </si>
  <si>
    <t>6,40</t>
  </si>
  <si>
    <t>10,01</t>
  </si>
  <si>
    <t>13,85</t>
  </si>
  <si>
    <t>23,81</t>
  </si>
  <si>
    <t>36,49</t>
  </si>
  <si>
    <t>57,20</t>
  </si>
  <si>
    <t>22,80</t>
  </si>
  <si>
    <t>37,68</t>
  </si>
  <si>
    <t>53,64</t>
  </si>
  <si>
    <t>211,52</t>
  </si>
  <si>
    <t>24,68</t>
  </si>
  <si>
    <t>60,36</t>
  </si>
  <si>
    <t>79,28</t>
  </si>
  <si>
    <t>16,74</t>
  </si>
  <si>
    <t>31,37</t>
  </si>
  <si>
    <t>33,81</t>
  </si>
  <si>
    <t>46,93</t>
  </si>
  <si>
    <t>12,45</t>
  </si>
  <si>
    <t>24,24</t>
  </si>
  <si>
    <t>93,60</t>
  </si>
  <si>
    <t>229,13</t>
  </si>
  <si>
    <t>234,52</t>
  </si>
  <si>
    <t>269,89</t>
  </si>
  <si>
    <t>277,15</t>
  </si>
  <si>
    <t>21,92</t>
  </si>
  <si>
    <t>45,08</t>
  </si>
  <si>
    <t>52,12</t>
  </si>
  <si>
    <t>8,78</t>
  </si>
  <si>
    <t>17,04</t>
  </si>
  <si>
    <t>16,15</t>
  </si>
  <si>
    <t>17,25</t>
  </si>
  <si>
    <t>47,50</t>
  </si>
  <si>
    <t>21,22</t>
  </si>
  <si>
    <t>21,15</t>
  </si>
  <si>
    <t>68,43</t>
  </si>
  <si>
    <t>8,09</t>
  </si>
  <si>
    <t>17,26</t>
  </si>
  <si>
    <t>36,80</t>
  </si>
  <si>
    <t>210,64</t>
  </si>
  <si>
    <t>21,14</t>
  </si>
  <si>
    <t>40,00</t>
  </si>
  <si>
    <t>30,36</t>
  </si>
  <si>
    <t>50,05</t>
  </si>
  <si>
    <t>17,83</t>
  </si>
  <si>
    <t>215,15</t>
  </si>
  <si>
    <t>20,02</t>
  </si>
  <si>
    <t>76,22</t>
  </si>
  <si>
    <t>31,75</t>
  </si>
  <si>
    <t>34,75</t>
  </si>
  <si>
    <t>257,24</t>
  </si>
  <si>
    <t>52,46</t>
  </si>
  <si>
    <t>38,57</t>
  </si>
  <si>
    <t>45,61</t>
  </si>
  <si>
    <t>347,60</t>
  </si>
  <si>
    <t>173,12</t>
  </si>
  <si>
    <t>188,92</t>
  </si>
  <si>
    <t>251,00</t>
  </si>
  <si>
    <t>218,85</t>
  </si>
  <si>
    <t>368,85</t>
  </si>
  <si>
    <t>58,59</t>
  </si>
  <si>
    <t>74,76</t>
  </si>
  <si>
    <t>116,32</t>
  </si>
  <si>
    <t>263,16</t>
  </si>
  <si>
    <t>324,21</t>
  </si>
  <si>
    <t>25,82</t>
  </si>
  <si>
    <t>25,75</t>
  </si>
  <si>
    <t>42,84</t>
  </si>
  <si>
    <t>95,37</t>
  </si>
  <si>
    <t>101,46</t>
  </si>
  <si>
    <t>20,30</t>
  </si>
  <si>
    <t>33,43</t>
  </si>
  <si>
    <t>114,96</t>
  </si>
  <si>
    <t>44,70</t>
  </si>
  <si>
    <t>103,39</t>
  </si>
  <si>
    <t>220,93</t>
  </si>
  <si>
    <t>4,74</t>
  </si>
  <si>
    <t>3,64</t>
  </si>
  <si>
    <t>26,11</t>
  </si>
  <si>
    <t>10,04</t>
  </si>
  <si>
    <t>13,65</t>
  </si>
  <si>
    <t>30,10</t>
  </si>
  <si>
    <t>53,93</t>
  </si>
  <si>
    <t>82,73</t>
  </si>
  <si>
    <t>127,52</t>
  </si>
  <si>
    <t>404,51</t>
  </si>
  <si>
    <t>35,08</t>
  </si>
  <si>
    <t>46,98</t>
  </si>
  <si>
    <t>208,80</t>
  </si>
  <si>
    <t>25,20</t>
  </si>
  <si>
    <t>38,23</t>
  </si>
  <si>
    <t>76,91</t>
  </si>
  <si>
    <t>102,33</t>
  </si>
  <si>
    <t>189,53</t>
  </si>
  <si>
    <t>498,82</t>
  </si>
  <si>
    <t>21,53</t>
  </si>
  <si>
    <t>32,50</t>
  </si>
  <si>
    <t>8,04</t>
  </si>
  <si>
    <t>12,48</t>
  </si>
  <si>
    <t>19,99</t>
  </si>
  <si>
    <t>28,41</t>
  </si>
  <si>
    <t>41,45</t>
  </si>
  <si>
    <t>14,04</t>
  </si>
  <si>
    <t>36,45</t>
  </si>
  <si>
    <t>8,19</t>
  </si>
  <si>
    <t>13,94</t>
  </si>
  <si>
    <t>17,20</t>
  </si>
  <si>
    <t>31,35</t>
  </si>
  <si>
    <t>46,70</t>
  </si>
  <si>
    <t>53,07</t>
  </si>
  <si>
    <t>53,05</t>
  </si>
  <si>
    <t>70,11</t>
  </si>
  <si>
    <t>78,22</t>
  </si>
  <si>
    <t>98,97</t>
  </si>
  <si>
    <t>106,18</t>
  </si>
  <si>
    <t>78,85</t>
  </si>
  <si>
    <t>77,04</t>
  </si>
  <si>
    <t>120,65</t>
  </si>
  <si>
    <t>112,72</t>
  </si>
  <si>
    <t>160,78</t>
  </si>
  <si>
    <t>145,50</t>
  </si>
  <si>
    <t>102,72</t>
  </si>
  <si>
    <t>154,29</t>
  </si>
  <si>
    <t>28,22</t>
  </si>
  <si>
    <t>29,68</t>
  </si>
  <si>
    <t>35,63</t>
  </si>
  <si>
    <t>40,63</t>
  </si>
  <si>
    <t>40,89</t>
  </si>
  <si>
    <t>53,04</t>
  </si>
  <si>
    <t>53,02</t>
  </si>
  <si>
    <t>79,52</t>
  </si>
  <si>
    <t>101,65</t>
  </si>
  <si>
    <t>108,86</t>
  </si>
  <si>
    <t>42,72</t>
  </si>
  <si>
    <t>54,17</t>
  </si>
  <si>
    <t>50,32</t>
  </si>
  <si>
    <t>62,19</t>
  </si>
  <si>
    <t>59,54</t>
  </si>
  <si>
    <t>78,78</t>
  </si>
  <si>
    <t>76,97</t>
  </si>
  <si>
    <t>122,64</t>
  </si>
  <si>
    <t>114,71</t>
  </si>
  <si>
    <t>164,80</t>
  </si>
  <si>
    <t>149,52</t>
  </si>
  <si>
    <t>55,12</t>
  </si>
  <si>
    <t>67,59</t>
  </si>
  <si>
    <t>78,41</t>
  </si>
  <si>
    <t>102,61</t>
  </si>
  <si>
    <t>156,90</t>
  </si>
  <si>
    <t>197,91</t>
  </si>
  <si>
    <t>20,97</t>
  </si>
  <si>
    <t>27,39</t>
  </si>
  <si>
    <t>31,24</t>
  </si>
  <si>
    <t>31,50</t>
  </si>
  <si>
    <t>42,22</t>
  </si>
  <si>
    <t>42,20</t>
  </si>
  <si>
    <t>66,55</t>
  </si>
  <si>
    <t>86,57</t>
  </si>
  <si>
    <t>93,78</t>
  </si>
  <si>
    <t>31,83</t>
  </si>
  <si>
    <t>29,89</t>
  </si>
  <si>
    <t>41,82</t>
  </si>
  <si>
    <t>37,97</t>
  </si>
  <si>
    <t>48,12</t>
  </si>
  <si>
    <t>45,47</t>
  </si>
  <si>
    <t>60,78</t>
  </si>
  <si>
    <t>103,23</t>
  </si>
  <si>
    <t>95,30</t>
  </si>
  <si>
    <t>142,21</t>
  </si>
  <si>
    <t>126,93</t>
  </si>
  <si>
    <t>40,58</t>
  </si>
  <si>
    <t>51,06</t>
  </si>
  <si>
    <t>59,65</t>
  </si>
  <si>
    <t>81,01</t>
  </si>
  <si>
    <t>131,05</t>
  </si>
  <si>
    <t>11,60</t>
  </si>
  <si>
    <t>18,17</t>
  </si>
  <si>
    <t>27,91</t>
  </si>
  <si>
    <t>15,58</t>
  </si>
  <si>
    <t>27,10</t>
  </si>
  <si>
    <t>25,53</t>
  </si>
  <si>
    <t>42,30</t>
  </si>
  <si>
    <t>21,01</t>
  </si>
  <si>
    <t>33,73</t>
  </si>
  <si>
    <t>54,55</t>
  </si>
  <si>
    <t>105,66</t>
  </si>
  <si>
    <t>160,57</t>
  </si>
  <si>
    <t>235,82</t>
  </si>
  <si>
    <t>45,34</t>
  </si>
  <si>
    <t>64,74</t>
  </si>
  <si>
    <t>77,43</t>
  </si>
  <si>
    <t>105,63</t>
  </si>
  <si>
    <t>161,87</t>
  </si>
  <si>
    <t>238,50</t>
  </si>
  <si>
    <t>38,09</t>
  </si>
  <si>
    <t>56,50</t>
  </si>
  <si>
    <t>68,04</t>
  </si>
  <si>
    <t>94,81</t>
  </si>
  <si>
    <t>148,90</t>
  </si>
  <si>
    <t>223,42</t>
  </si>
  <si>
    <t>25,97</t>
  </si>
  <si>
    <t>37,03</t>
  </si>
  <si>
    <t>56,10</t>
  </si>
  <si>
    <t>81,64</t>
  </si>
  <si>
    <t>112,16</t>
  </si>
  <si>
    <t>29,56</t>
  </si>
  <si>
    <t>29,76</t>
  </si>
  <si>
    <t>36,72</t>
  </si>
  <si>
    <t>36,71</t>
  </si>
  <si>
    <t>56,07</t>
  </si>
  <si>
    <t>82,94</t>
  </si>
  <si>
    <t>114,84</t>
  </si>
  <si>
    <t>22,31</t>
  </si>
  <si>
    <t>22,51</t>
  </si>
  <si>
    <t>28,48</t>
  </si>
  <si>
    <t>32,63</t>
  </si>
  <si>
    <t>45,25</t>
  </si>
  <si>
    <t>69,97</t>
  </si>
  <si>
    <t>99,76</t>
  </si>
  <si>
    <t>19,22</t>
  </si>
  <si>
    <t>597,87</t>
  </si>
  <si>
    <t>24,58</t>
  </si>
  <si>
    <t>51,15</t>
  </si>
  <si>
    <t>15,88</t>
  </si>
  <si>
    <t>657,36</t>
  </si>
  <si>
    <t>33,93</t>
  </si>
  <si>
    <t>89,66</t>
  </si>
  <si>
    <t>35,23</t>
  </si>
  <si>
    <t>752,93</t>
  </si>
  <si>
    <t>54,88</t>
  </si>
  <si>
    <t>945,26</t>
  </si>
  <si>
    <t>81,75</t>
  </si>
  <si>
    <t>71,31</t>
  </si>
  <si>
    <t>1.310,25</t>
  </si>
  <si>
    <t>193,73</t>
  </si>
  <si>
    <t>1.728,98</t>
  </si>
  <si>
    <t>12,40</t>
  </si>
  <si>
    <t>22,35</t>
  </si>
  <si>
    <t>32,36</t>
  </si>
  <si>
    <t>35,30</t>
  </si>
  <si>
    <t>25,72</t>
  </si>
  <si>
    <t>516,28</t>
  </si>
  <si>
    <t>12,96</t>
  </si>
  <si>
    <t>599,50</t>
  </si>
  <si>
    <t>26,41</t>
  </si>
  <si>
    <t>52,78</t>
  </si>
  <si>
    <t>17,51</t>
  </si>
  <si>
    <t>658,99</t>
  </si>
  <si>
    <t>35,56</t>
  </si>
  <si>
    <t>91,29</t>
  </si>
  <si>
    <t>67,15</t>
  </si>
  <si>
    <t>96,59</t>
  </si>
  <si>
    <t>23,43</t>
  </si>
  <si>
    <t>34,59</t>
  </si>
  <si>
    <t>37,53</t>
  </si>
  <si>
    <t>32,49</t>
  </si>
  <si>
    <t>8,22</t>
  </si>
  <si>
    <t>20,84</t>
  </si>
  <si>
    <t>25,87</t>
  </si>
  <si>
    <t>516,43</t>
  </si>
  <si>
    <t>14,42</t>
  </si>
  <si>
    <t>600,96</t>
  </si>
  <si>
    <t>27,67</t>
  </si>
  <si>
    <t>38,21</t>
  </si>
  <si>
    <t>93,94</t>
  </si>
  <si>
    <t>661,64</t>
  </si>
  <si>
    <t>67,38</t>
  </si>
  <si>
    <t>99,53</t>
  </si>
  <si>
    <t>29,96</t>
  </si>
  <si>
    <t>32,90</t>
  </si>
  <si>
    <t>28,06</t>
  </si>
  <si>
    <t>63,93</t>
  </si>
  <si>
    <t>101,51</t>
  </si>
  <si>
    <t>148,32</t>
  </si>
  <si>
    <t>332,19</t>
  </si>
  <si>
    <t>41,62</t>
  </si>
  <si>
    <t>41,64</t>
  </si>
  <si>
    <t>64,45</t>
  </si>
  <si>
    <t>56,34</t>
  </si>
  <si>
    <t>93,65</t>
  </si>
  <si>
    <t>86,44</t>
  </si>
  <si>
    <t>59,93</t>
  </si>
  <si>
    <t>61,74</t>
  </si>
  <si>
    <t>92,19</t>
  </si>
  <si>
    <t>100,12</t>
  </si>
  <si>
    <t>126,76</t>
  </si>
  <si>
    <t>142,04</t>
  </si>
  <si>
    <t>79,80</t>
  </si>
  <si>
    <t>126,81</t>
  </si>
  <si>
    <t>167,44</t>
  </si>
  <si>
    <t>84,98</t>
  </si>
  <si>
    <t>217,48</t>
  </si>
  <si>
    <t>325,38</t>
  </si>
  <si>
    <t>459,14</t>
  </si>
  <si>
    <t>144,85</t>
  </si>
  <si>
    <t>165,65</t>
  </si>
  <si>
    <t>418,22</t>
  </si>
  <si>
    <t>345,90</t>
  </si>
  <si>
    <t>409,77</t>
  </si>
  <si>
    <t>950,74</t>
  </si>
  <si>
    <t>213,06</t>
  </si>
  <si>
    <t>517,13</t>
  </si>
  <si>
    <t>792,05</t>
  </si>
  <si>
    <t>1.662,16</t>
  </si>
  <si>
    <t>5,89</t>
  </si>
  <si>
    <t>5,78</t>
  </si>
  <si>
    <t>7,01</t>
  </si>
  <si>
    <t>27,40</t>
  </si>
  <si>
    <t>33,29</t>
  </si>
  <si>
    <t>36,94</t>
  </si>
  <si>
    <t>57,16</t>
  </si>
  <si>
    <t>77,68</t>
  </si>
  <si>
    <t>75,43</t>
  </si>
  <si>
    <t>109,64</t>
  </si>
  <si>
    <t>9,79</t>
  </si>
  <si>
    <t>8,83</t>
  </si>
  <si>
    <t>15,50</t>
  </si>
  <si>
    <t>23,28</t>
  </si>
  <si>
    <t>15,96</t>
  </si>
  <si>
    <t>44,30</t>
  </si>
  <si>
    <t>58,34</t>
  </si>
  <si>
    <t>116,55</t>
  </si>
  <si>
    <t>75,33</t>
  </si>
  <si>
    <t>149,15</t>
  </si>
  <si>
    <t>278,51</t>
  </si>
  <si>
    <t>226,79</t>
  </si>
  <si>
    <t>13,91</t>
  </si>
  <si>
    <t>13,31</t>
  </si>
  <si>
    <t>23,53</t>
  </si>
  <si>
    <t>24,62</t>
  </si>
  <si>
    <t>33,06</t>
  </si>
  <si>
    <t>57,85</t>
  </si>
  <si>
    <t>90,30</t>
  </si>
  <si>
    <t>78,89</t>
  </si>
  <si>
    <t>152,18</t>
  </si>
  <si>
    <t>226,23</t>
  </si>
  <si>
    <t>214,29</t>
  </si>
  <si>
    <t>19,35</t>
  </si>
  <si>
    <t>22,93</t>
  </si>
  <si>
    <t>28,35</t>
  </si>
  <si>
    <t>41,85</t>
  </si>
  <si>
    <t>51,92</t>
  </si>
  <si>
    <t>24,50</t>
  </si>
  <si>
    <t>31,65</t>
  </si>
  <si>
    <t>49,39</t>
  </si>
  <si>
    <t>59,78</t>
  </si>
  <si>
    <t>80,14</t>
  </si>
  <si>
    <t>283,82</t>
  </si>
  <si>
    <t>391,84</t>
  </si>
  <si>
    <t>6,99</t>
  </si>
  <si>
    <t>53,97</t>
  </si>
  <si>
    <t>10,62</t>
  </si>
  <si>
    <t>208,17</t>
  </si>
  <si>
    <t>253,35</t>
  </si>
  <si>
    <t>24,95</t>
  </si>
  <si>
    <t>48,88</t>
  </si>
  <si>
    <t>212,52</t>
  </si>
  <si>
    <t>14,53</t>
  </si>
  <si>
    <t>18,23</t>
  </si>
  <si>
    <t>29,74</t>
  </si>
  <si>
    <t>43,69</t>
  </si>
  <si>
    <t>91,07</t>
  </si>
  <si>
    <t>222,99</t>
  </si>
  <si>
    <t>267,87</t>
  </si>
  <si>
    <t>14,03</t>
  </si>
  <si>
    <t>20,28</t>
  </si>
  <si>
    <t>55,62</t>
  </si>
  <si>
    <t>69,53</t>
  </si>
  <si>
    <t>113,86</t>
  </si>
  <si>
    <t>253,29</t>
  </si>
  <si>
    <t>319,11</t>
  </si>
  <si>
    <t>17,78</t>
  </si>
  <si>
    <t>32,16</t>
  </si>
  <si>
    <t>42,29</t>
  </si>
  <si>
    <t>57,10</t>
  </si>
  <si>
    <t>82,57</t>
  </si>
  <si>
    <t>259,26</t>
  </si>
  <si>
    <t>299,90</t>
  </si>
  <si>
    <t>420,14</t>
  </si>
  <si>
    <t>183,57</t>
  </si>
  <si>
    <t>24,21</t>
  </si>
  <si>
    <t>63,64</t>
  </si>
  <si>
    <t>82,99</t>
  </si>
  <si>
    <t>81,46</t>
  </si>
  <si>
    <t>8,96</t>
  </si>
  <si>
    <t>20,73</t>
  </si>
  <si>
    <t>54,99</t>
  </si>
  <si>
    <t>9,70</t>
  </si>
  <si>
    <t>18,03</t>
  </si>
  <si>
    <t>30,31</t>
  </si>
  <si>
    <t>29,60</t>
  </si>
  <si>
    <t>18,81</t>
  </si>
  <si>
    <t>12,25</t>
  </si>
  <si>
    <t>42,80</t>
  </si>
  <si>
    <t>32,74</t>
  </si>
  <si>
    <t>25,27</t>
  </si>
  <si>
    <t>12,73</t>
  </si>
  <si>
    <t>43,39</t>
  </si>
  <si>
    <t>5,32</t>
  </si>
  <si>
    <t>4,66</t>
  </si>
  <si>
    <t>8,02</t>
  </si>
  <si>
    <t>7,95</t>
  </si>
  <si>
    <t>13,41</t>
  </si>
  <si>
    <t>27,00</t>
  </si>
  <si>
    <t>27,98</t>
  </si>
  <si>
    <t>40,75</t>
  </si>
  <si>
    <t>38,34</t>
  </si>
  <si>
    <t>93,27</t>
  </si>
  <si>
    <t>140,96</t>
  </si>
  <si>
    <t>211,04</t>
  </si>
  <si>
    <t>22,44</t>
  </si>
  <si>
    <t>15,89</t>
  </si>
  <si>
    <t>5,91</t>
  </si>
  <si>
    <t>27,79</t>
  </si>
  <si>
    <t>94,95</t>
  </si>
  <si>
    <t>150,57</t>
  </si>
  <si>
    <t>10,89</t>
  </si>
  <si>
    <t>21,76</t>
  </si>
  <si>
    <t>29,92</t>
  </si>
  <si>
    <t>149,04</t>
  </si>
  <si>
    <t>235,77</t>
  </si>
  <si>
    <t>24,55</t>
  </si>
  <si>
    <t>38,62</t>
  </si>
  <si>
    <t>21,27</t>
  </si>
  <si>
    <t>28,52</t>
  </si>
  <si>
    <t>62,47</t>
  </si>
  <si>
    <t>94,30</t>
  </si>
  <si>
    <t>150,54</t>
  </si>
  <si>
    <t>8,51</t>
  </si>
  <si>
    <t>11,77</t>
  </si>
  <si>
    <t>16,68</t>
  </si>
  <si>
    <t>139,96</t>
  </si>
  <si>
    <t>211,01</t>
  </si>
  <si>
    <t>25,21</t>
  </si>
  <si>
    <t>35,33</t>
  </si>
  <si>
    <t>52,54</t>
  </si>
  <si>
    <t>104,12</t>
  </si>
  <si>
    <t>147,69</t>
  </si>
  <si>
    <t>235,70</t>
  </si>
  <si>
    <t>313,80</t>
  </si>
  <si>
    <t>159,78</t>
  </si>
  <si>
    <t>282,26</t>
  </si>
  <si>
    <t>321,40</t>
  </si>
  <si>
    <t>153,09</t>
  </si>
  <si>
    <t>252,92</t>
  </si>
  <si>
    <t>16,77</t>
  </si>
  <si>
    <t>29,09</t>
  </si>
  <si>
    <t>23,59</t>
  </si>
  <si>
    <t>25,10</t>
  </si>
  <si>
    <t>39,52</t>
  </si>
  <si>
    <t>40,08</t>
  </si>
  <si>
    <t>16,46</t>
  </si>
  <si>
    <t>18,71</t>
  </si>
  <si>
    <t>23,04</t>
  </si>
  <si>
    <t>23,95</t>
  </si>
  <si>
    <t>30,38</t>
  </si>
  <si>
    <t>23,00</t>
  </si>
  <si>
    <t>33,74</t>
  </si>
  <si>
    <t>31,72</t>
  </si>
  <si>
    <t>29,61</t>
  </si>
  <si>
    <t>49,53</t>
  </si>
  <si>
    <t>42,58</t>
  </si>
  <si>
    <t>45,46</t>
  </si>
  <si>
    <t>23,60</t>
  </si>
  <si>
    <t>27,55</t>
  </si>
  <si>
    <t>30,96</t>
  </si>
  <si>
    <t>41,35</t>
  </si>
  <si>
    <t>43,96</t>
  </si>
  <si>
    <t>34,00</t>
  </si>
  <si>
    <t>37,65</t>
  </si>
  <si>
    <t>57,22</t>
  </si>
  <si>
    <t>24,23</t>
  </si>
  <si>
    <t>37,60</t>
  </si>
  <si>
    <t>34,24</t>
  </si>
  <si>
    <t>34,77</t>
  </si>
  <si>
    <t>56,61</t>
  </si>
  <si>
    <t>56,76</t>
  </si>
  <si>
    <t>27,06</t>
  </si>
  <si>
    <t>32,66</t>
  </si>
  <si>
    <t>52,29</t>
  </si>
  <si>
    <t>69,05</t>
  </si>
  <si>
    <t>80,96</t>
  </si>
  <si>
    <t>32,09</t>
  </si>
  <si>
    <t>61,48</t>
  </si>
  <si>
    <t>89,72</t>
  </si>
  <si>
    <t>80,65</t>
  </si>
  <si>
    <t>93,79</t>
  </si>
  <si>
    <t>97,57</t>
  </si>
  <si>
    <t>118,71</t>
  </si>
  <si>
    <t>216,52</t>
  </si>
  <si>
    <t>231,87</t>
  </si>
  <si>
    <t>234,73</t>
  </si>
  <si>
    <t>234,40</t>
  </si>
  <si>
    <t>268,75</t>
  </si>
  <si>
    <t>284,31</t>
  </si>
  <si>
    <t>24,83</t>
  </si>
  <si>
    <t>30,14</t>
  </si>
  <si>
    <t>34,15</t>
  </si>
  <si>
    <t>43,45</t>
  </si>
  <si>
    <t>52,02</t>
  </si>
  <si>
    <t>45,20</t>
  </si>
  <si>
    <t>50,04</t>
  </si>
  <si>
    <t>56,42</t>
  </si>
  <si>
    <t>110,92</t>
  </si>
  <si>
    <t>113,29</t>
  </si>
  <si>
    <t>130,00</t>
  </si>
  <si>
    <t>134,54</t>
  </si>
  <si>
    <t>148,97</t>
  </si>
  <si>
    <t>153,83</t>
  </si>
  <si>
    <t>170,54</t>
  </si>
  <si>
    <t>205,34</t>
  </si>
  <si>
    <t>105,70</t>
  </si>
  <si>
    <t>126,61</t>
  </si>
  <si>
    <t>226,60</t>
  </si>
  <si>
    <t>240,75</t>
  </si>
  <si>
    <t>297,69</t>
  </si>
  <si>
    <t>175,83</t>
  </si>
  <si>
    <t>187,77</t>
  </si>
  <si>
    <t>309,96</t>
  </si>
  <si>
    <t>329,05</t>
  </si>
  <si>
    <t>725,75</t>
  </si>
  <si>
    <t>640,11</t>
  </si>
  <si>
    <t>282,34</t>
  </si>
  <si>
    <t>498,93</t>
  </si>
  <si>
    <t>778,65</t>
  </si>
  <si>
    <t>27,41</t>
  </si>
  <si>
    <t>59,20</t>
  </si>
  <si>
    <t>62,10</t>
  </si>
  <si>
    <t>75,32</t>
  </si>
  <si>
    <t>113,91</t>
  </si>
  <si>
    <t>173,79</t>
  </si>
  <si>
    <t>216,06</t>
  </si>
  <si>
    <t>232,40</t>
  </si>
  <si>
    <t>289,34</t>
  </si>
  <si>
    <t>79,95</t>
  </si>
  <si>
    <t>112,96</t>
  </si>
  <si>
    <t>156,82</t>
  </si>
  <si>
    <t>168,76</t>
  </si>
  <si>
    <t>294,20</t>
  </si>
  <si>
    <t>313,29</t>
  </si>
  <si>
    <t>713,19</t>
  </si>
  <si>
    <t>627,55</t>
  </si>
  <si>
    <t>85,39</t>
  </si>
  <si>
    <t>126,51</t>
  </si>
  <si>
    <t>163,51</t>
  </si>
  <si>
    <t>256,95</t>
  </si>
  <si>
    <t>477,87</t>
  </si>
  <si>
    <t>761,95</t>
  </si>
  <si>
    <t>25,37</t>
  </si>
  <si>
    <t>45,07</t>
  </si>
  <si>
    <t>69,98</t>
  </si>
  <si>
    <t>85,43</t>
  </si>
  <si>
    <t>106,34</t>
  </si>
  <si>
    <t>162,91</t>
  </si>
  <si>
    <t>205,18</t>
  </si>
  <si>
    <t>218,09</t>
  </si>
  <si>
    <t>275,03</t>
  </si>
  <si>
    <t>51,49</t>
  </si>
  <si>
    <t>74,54</t>
  </si>
  <si>
    <t>145,45</t>
  </si>
  <si>
    <t>157,39</t>
  </si>
  <si>
    <t>277,79</t>
  </si>
  <si>
    <t>296,88</t>
  </si>
  <si>
    <t>691,77</t>
  </si>
  <si>
    <t>606,13</t>
  </si>
  <si>
    <t>81,36</t>
  </si>
  <si>
    <t>119,30</t>
  </si>
  <si>
    <t>152,75</t>
  </si>
  <si>
    <t>459,23</t>
  </si>
  <si>
    <t>733,37</t>
  </si>
  <si>
    <t>30,03</t>
  </si>
  <si>
    <t>24,94</t>
  </si>
  <si>
    <t>47,45</t>
  </si>
  <si>
    <t>41,32</t>
  </si>
  <si>
    <t>47,08</t>
  </si>
  <si>
    <t>66,51</t>
  </si>
  <si>
    <t>113,30</t>
  </si>
  <si>
    <t>158,13</t>
  </si>
  <si>
    <t>291,61</t>
  </si>
  <si>
    <t>377,67</t>
  </si>
  <si>
    <t>730,92</t>
  </si>
  <si>
    <t>177,83</t>
  </si>
  <si>
    <t>282,91</t>
  </si>
  <si>
    <t>562,32</t>
  </si>
  <si>
    <t>772,72</t>
  </si>
  <si>
    <t>921,80</t>
  </si>
  <si>
    <t>212,81</t>
  </si>
  <si>
    <t>398,20</t>
  </si>
  <si>
    <t>563,29</t>
  </si>
  <si>
    <t>673,99</t>
  </si>
  <si>
    <t>149,57</t>
  </si>
  <si>
    <t>381,70</t>
  </si>
  <si>
    <t>655,61</t>
  </si>
  <si>
    <t>1.087,12</t>
  </si>
  <si>
    <t>253,98</t>
  </si>
  <si>
    <t>449,71</t>
  </si>
  <si>
    <t>174,42</t>
  </si>
  <si>
    <t>277,04</t>
  </si>
  <si>
    <t>549,15</t>
  </si>
  <si>
    <t>754,66</t>
  </si>
  <si>
    <t>898,44</t>
  </si>
  <si>
    <t>207,97</t>
  </si>
  <si>
    <t>389,91</t>
  </si>
  <si>
    <t>551,46</t>
  </si>
  <si>
    <t>658,00</t>
  </si>
  <si>
    <t>2,97</t>
  </si>
  <si>
    <t>4,18</t>
  </si>
  <si>
    <t>3,28</t>
  </si>
  <si>
    <t>4,47</t>
  </si>
  <si>
    <t>3,70</t>
  </si>
  <si>
    <t>4,90</t>
  </si>
  <si>
    <t>5,38</t>
  </si>
  <si>
    <t>5,40</t>
  </si>
  <si>
    <t>6,30</t>
  </si>
  <si>
    <t>7,81</t>
  </si>
  <si>
    <t>252,06</t>
  </si>
  <si>
    <t>430,30</t>
  </si>
  <si>
    <t>437,78</t>
  </si>
  <si>
    <t>885,08</t>
  </si>
  <si>
    <t>995,82</t>
  </si>
  <si>
    <t>397,41</t>
  </si>
  <si>
    <t>546,02</t>
  </si>
  <si>
    <t>883,91</t>
  </si>
  <si>
    <t>1.139,14</t>
  </si>
  <si>
    <t>2.957,99</t>
  </si>
  <si>
    <t>5.659,05</t>
  </si>
  <si>
    <t>547,72</t>
  </si>
  <si>
    <t>779,59</t>
  </si>
  <si>
    <t>36,54</t>
  </si>
  <si>
    <t>85,28</t>
  </si>
  <si>
    <t>14,40</t>
  </si>
  <si>
    <t>40,16</t>
  </si>
  <si>
    <t>91,51</t>
  </si>
  <si>
    <t>661,84</t>
  </si>
  <si>
    <t>463,95</t>
  </si>
  <si>
    <t>460,57</t>
  </si>
  <si>
    <t>266,20</t>
  </si>
  <si>
    <t>51,59</t>
  </si>
  <si>
    <t>7,36</t>
  </si>
  <si>
    <t>156,05</t>
  </si>
  <si>
    <t>23,49</t>
  </si>
  <si>
    <t>13,36</t>
  </si>
  <si>
    <t>41,42</t>
  </si>
  <si>
    <t>447,71</t>
  </si>
  <si>
    <t>691,88</t>
  </si>
  <si>
    <t>592,21</t>
  </si>
  <si>
    <t>332,80</t>
  </si>
  <si>
    <t>295,41</t>
  </si>
  <si>
    <t>232,12</t>
  </si>
  <si>
    <t>132,24</t>
  </si>
  <si>
    <t>297,96</t>
  </si>
  <si>
    <t>332,83</t>
  </si>
  <si>
    <t>137,71</t>
  </si>
  <si>
    <t>352,55</t>
  </si>
  <si>
    <t>65,21</t>
  </si>
  <si>
    <t>422,81</t>
  </si>
  <si>
    <t>113,23</t>
  </si>
  <si>
    <t>111,56</t>
  </si>
  <si>
    <t>76,30</t>
  </si>
  <si>
    <t>47,64</t>
  </si>
  <si>
    <t>85,63</t>
  </si>
  <si>
    <t>124,97</t>
  </si>
  <si>
    <t>40,77</t>
  </si>
  <si>
    <t>812,42</t>
  </si>
  <si>
    <t>730,20</t>
  </si>
  <si>
    <t>723,33</t>
  </si>
  <si>
    <t>757,22</t>
  </si>
  <si>
    <t>542,44</t>
  </si>
  <si>
    <t>535,57</t>
  </si>
  <si>
    <t>528,93</t>
  </si>
  <si>
    <t>522,06</t>
  </si>
  <si>
    <t>344,69</t>
  </si>
  <si>
    <t>337,82</t>
  </si>
  <si>
    <t>334,56</t>
  </si>
  <si>
    <t>327,69</t>
  </si>
  <si>
    <t>460,08</t>
  </si>
  <si>
    <t>489,13</t>
  </si>
  <si>
    <t>385,96</t>
  </si>
  <si>
    <t>375,83</t>
  </si>
  <si>
    <t>301,07</t>
  </si>
  <si>
    <t>443,76</t>
  </si>
  <si>
    <t>197,19</t>
  </si>
  <si>
    <t>339,88</t>
  </si>
  <si>
    <t>392,93</t>
  </si>
  <si>
    <t>975,86</t>
  </si>
  <si>
    <t>706,86</t>
  </si>
  <si>
    <t>242,81</t>
  </si>
  <si>
    <t>232,68</t>
  </si>
  <si>
    <t>1.070,68</t>
  </si>
  <si>
    <t>604,24</t>
  </si>
  <si>
    <t>1.078,29</t>
  </si>
  <si>
    <t>1.158,24</t>
  </si>
  <si>
    <t>276,52</t>
  </si>
  <si>
    <t>285,60</t>
  </si>
  <si>
    <t>698,13</t>
  </si>
  <si>
    <t>707,21</t>
  </si>
  <si>
    <t>32,67</t>
  </si>
  <si>
    <t>54,58</t>
  </si>
  <si>
    <t>39,40</t>
  </si>
  <si>
    <t>131,90</t>
  </si>
  <si>
    <t>84,21</t>
  </si>
  <si>
    <t>505,57</t>
  </si>
  <si>
    <t>97,91</t>
  </si>
  <si>
    <t>254,71</t>
  </si>
  <si>
    <t>299,49</t>
  </si>
  <si>
    <t>1.564,24</t>
  </si>
  <si>
    <t>458,10</t>
  </si>
  <si>
    <t>535,72</t>
  </si>
  <si>
    <t>912,07</t>
  </si>
  <si>
    <t>86,55</t>
  </si>
  <si>
    <t>35,89</t>
  </si>
  <si>
    <t>670,90</t>
  </si>
  <si>
    <t>739,15</t>
  </si>
  <si>
    <t>666,72</t>
  </si>
  <si>
    <t>342,60</t>
  </si>
  <si>
    <t>365,10</t>
  </si>
  <si>
    <t>380,08</t>
  </si>
  <si>
    <t>391,57</t>
  </si>
  <si>
    <t>275,34</t>
  </si>
  <si>
    <t>295,32</t>
  </si>
  <si>
    <t>308,08</t>
  </si>
  <si>
    <t>316,05</t>
  </si>
  <si>
    <t>1.229,09</t>
  </si>
  <si>
    <t>597,06</t>
  </si>
  <si>
    <t>1.908,42</t>
  </si>
  <si>
    <t>2.611,57</t>
  </si>
  <si>
    <t>4.209,04</t>
  </si>
  <si>
    <t>5.700,22</t>
  </si>
  <si>
    <t>6.640,84</t>
  </si>
  <si>
    <t>7.858,66</t>
  </si>
  <si>
    <t>1.633,54</t>
  </si>
  <si>
    <t>3.496,33</t>
  </si>
  <si>
    <t>4.863,41</t>
  </si>
  <si>
    <t>6.738,32</t>
  </si>
  <si>
    <t>2.683,40</t>
  </si>
  <si>
    <t>4.082,68</t>
  </si>
  <si>
    <t>4.703,30</t>
  </si>
  <si>
    <t>6.519,82</t>
  </si>
  <si>
    <t>5.160,01</t>
  </si>
  <si>
    <t>6.896,42</t>
  </si>
  <si>
    <t>9.742,97</t>
  </si>
  <si>
    <t>12.995,11</t>
  </si>
  <si>
    <t>14.937,27</t>
  </si>
  <si>
    <t>16.499,28</t>
  </si>
  <si>
    <t>4.266,11</t>
  </si>
  <si>
    <t>6.581,41</t>
  </si>
  <si>
    <t>10.098,31</t>
  </si>
  <si>
    <t>13.069,41</t>
  </si>
  <si>
    <t>14.985,41</t>
  </si>
  <si>
    <t>17.599,29</t>
  </si>
  <si>
    <t>4.604,42</t>
  </si>
  <si>
    <t>8.021,79</t>
  </si>
  <si>
    <t>10.236,68</t>
  </si>
  <si>
    <t>15.104,24</t>
  </si>
  <si>
    <t>3.649,94</t>
  </si>
  <si>
    <t>4.816,72</t>
  </si>
  <si>
    <t>6.752,76</t>
  </si>
  <si>
    <t>9.131,33</t>
  </si>
  <si>
    <t>10.326,49</t>
  </si>
  <si>
    <t>11.065,75</t>
  </si>
  <si>
    <t>3.119,07</t>
  </si>
  <si>
    <t>4.896,87</t>
  </si>
  <si>
    <t>7.648,84</t>
  </si>
  <si>
    <t>9.869,05</t>
  </si>
  <si>
    <t>11.553,02</t>
  </si>
  <si>
    <t>13.622,19</t>
  </si>
  <si>
    <t>2.626,33</t>
  </si>
  <si>
    <t>4.476,22</t>
  </si>
  <si>
    <t>5.820,23</t>
  </si>
  <si>
    <t>8.578,49</t>
  </si>
  <si>
    <t>731,89</t>
  </si>
  <si>
    <t>394,88</t>
  </si>
  <si>
    <t>52,71</t>
  </si>
  <si>
    <t>125,07</t>
  </si>
  <si>
    <t>725,11</t>
  </si>
  <si>
    <t>136,47</t>
  </si>
  <si>
    <t>120,03</t>
  </si>
  <si>
    <t>216,12</t>
  </si>
  <si>
    <t>21,18</t>
  </si>
  <si>
    <t>26,23</t>
  </si>
  <si>
    <t>28,70</t>
  </si>
  <si>
    <t>31,61</t>
  </si>
  <si>
    <t>473,16</t>
  </si>
  <si>
    <t>34,84</t>
  </si>
  <si>
    <t>39,25</t>
  </si>
  <si>
    <t>38,96</t>
  </si>
  <si>
    <t>43,83</t>
  </si>
  <si>
    <t>707,23</t>
  </si>
  <si>
    <t>306,03</t>
  </si>
  <si>
    <t>67,73</t>
  </si>
  <si>
    <t>71,29</t>
  </si>
  <si>
    <t>66,01</t>
  </si>
  <si>
    <t>75,07</t>
  </si>
  <si>
    <t>21,82</t>
  </si>
  <si>
    <t>32,93</t>
  </si>
  <si>
    <t>45,23</t>
  </si>
  <si>
    <t>46,46</t>
  </si>
  <si>
    <t>85,49</t>
  </si>
  <si>
    <t>66,60</t>
  </si>
  <si>
    <t>84,36</t>
  </si>
  <si>
    <t>116,42</t>
  </si>
  <si>
    <t>231,51</t>
  </si>
  <si>
    <t>281,00</t>
  </si>
  <si>
    <t>567,20</t>
  </si>
  <si>
    <t>91,46</t>
  </si>
  <si>
    <t>125,31</t>
  </si>
  <si>
    <t>40,05</t>
  </si>
  <si>
    <t>45,41</t>
  </si>
  <si>
    <t>95,51</t>
  </si>
  <si>
    <t>159,24</t>
  </si>
  <si>
    <t>195,22</t>
  </si>
  <si>
    <t>250,61</t>
  </si>
  <si>
    <t>49,04</t>
  </si>
  <si>
    <t>66,20</t>
  </si>
  <si>
    <t>97,89</t>
  </si>
  <si>
    <t>118,70</t>
  </si>
  <si>
    <t>93,95</t>
  </si>
  <si>
    <t>127,65</t>
  </si>
  <si>
    <t>190,26</t>
  </si>
  <si>
    <t>214,08</t>
  </si>
  <si>
    <t>298,76</t>
  </si>
  <si>
    <t>425,96</t>
  </si>
  <si>
    <t>585,99</t>
  </si>
  <si>
    <t>902,55</t>
  </si>
  <si>
    <t>56,70</t>
  </si>
  <si>
    <t>61,81</t>
  </si>
  <si>
    <t>68,65</t>
  </si>
  <si>
    <t>102,15</t>
  </si>
  <si>
    <t>118,85</t>
  </si>
  <si>
    <t>171,42</t>
  </si>
  <si>
    <t>368,13</t>
  </si>
  <si>
    <t>628,43</t>
  </si>
  <si>
    <t>76,80</t>
  </si>
  <si>
    <t>271,10</t>
  </si>
  <si>
    <t>58,22</t>
  </si>
  <si>
    <t>64,91</t>
  </si>
  <si>
    <t>102,37</t>
  </si>
  <si>
    <t>165,71</t>
  </si>
  <si>
    <t>293,08</t>
  </si>
  <si>
    <t>400,70</t>
  </si>
  <si>
    <t>699,70</t>
  </si>
  <si>
    <t>157,03</t>
  </si>
  <si>
    <t>173,48</t>
  </si>
  <si>
    <t>36,11</t>
  </si>
  <si>
    <t>17,44</t>
  </si>
  <si>
    <t>34,36</t>
  </si>
  <si>
    <t>50,31</t>
  </si>
  <si>
    <t>74,47</t>
  </si>
  <si>
    <t>14,61</t>
  </si>
  <si>
    <t>18,16</t>
  </si>
  <si>
    <t>22,73</t>
  </si>
  <si>
    <t>7,40</t>
  </si>
  <si>
    <t>13,97</t>
  </si>
  <si>
    <t>15,28</t>
  </si>
  <si>
    <t>21,28</t>
  </si>
  <si>
    <t>26,01</t>
  </si>
  <si>
    <t>35,70</t>
  </si>
  <si>
    <t>151,93</t>
  </si>
  <si>
    <t>163,63</t>
  </si>
  <si>
    <t>305,58</t>
  </si>
  <si>
    <t>470,03</t>
  </si>
  <si>
    <t>570,29</t>
  </si>
  <si>
    <t>733,59</t>
  </si>
  <si>
    <t>270,21</t>
  </si>
  <si>
    <t>399,20</t>
  </si>
  <si>
    <t>522,56</t>
  </si>
  <si>
    <t>197,58</t>
  </si>
  <si>
    <t>362,35</t>
  </si>
  <si>
    <t>539,80</t>
  </si>
  <si>
    <t>708,09</t>
  </si>
  <si>
    <t>117,62</t>
  </si>
  <si>
    <t>124,96</t>
  </si>
  <si>
    <t>152,74</t>
  </si>
  <si>
    <t>108,78</t>
  </si>
  <si>
    <t>11,71</t>
  </si>
  <si>
    <t>40,81</t>
  </si>
  <si>
    <t>74,36</t>
  </si>
  <si>
    <t>94,98</t>
  </si>
  <si>
    <t>10,65</t>
  </si>
  <si>
    <t>19,91</t>
  </si>
  <si>
    <t>23,10</t>
  </si>
  <si>
    <t>5,29</t>
  </si>
  <si>
    <t>3,69</t>
  </si>
  <si>
    <t>2,63</t>
  </si>
  <si>
    <t>3,41</t>
  </si>
  <si>
    <t>7,79</t>
  </si>
  <si>
    <t>22,12</t>
  </si>
  <si>
    <t>7,06</t>
  </si>
  <si>
    <t>1,25</t>
  </si>
  <si>
    <t>10,91</t>
  </si>
  <si>
    <t>3,66</t>
  </si>
  <si>
    <t>8,86</t>
  </si>
  <si>
    <t>1,51</t>
  </si>
  <si>
    <t>12,16</t>
  </si>
  <si>
    <t>6,10</t>
  </si>
  <si>
    <t>6,66</t>
  </si>
  <si>
    <t>23,98</t>
  </si>
  <si>
    <t>11,68</t>
  </si>
  <si>
    <t>6,15</t>
  </si>
  <si>
    <t>5,70</t>
  </si>
  <si>
    <t>50,00</t>
  </si>
  <si>
    <t>4,46</t>
  </si>
  <si>
    <t>2.253,32</t>
  </si>
  <si>
    <t>1.580,72</t>
  </si>
  <si>
    <t>1.247,77</t>
  </si>
  <si>
    <t>1.049,58</t>
  </si>
  <si>
    <t>30,40</t>
  </si>
  <si>
    <t>20,98</t>
  </si>
  <si>
    <t>19,04</t>
  </si>
  <si>
    <t>25,01</t>
  </si>
  <si>
    <t>1.421,44</t>
  </si>
  <si>
    <t>871,11</t>
  </si>
  <si>
    <t>1.101,09</t>
  </si>
  <si>
    <t>1.404,16</t>
  </si>
  <si>
    <t>789,66</t>
  </si>
  <si>
    <t>108,39</t>
  </si>
  <si>
    <t>1.259,56</t>
  </si>
  <si>
    <t>111,16</t>
  </si>
  <si>
    <t>2.199,14</t>
  </si>
  <si>
    <t>1.345,59</t>
  </si>
  <si>
    <t>114,51</t>
  </si>
  <si>
    <t>1.835,14</t>
  </si>
  <si>
    <t>117,40</t>
  </si>
  <si>
    <t>6.214,44</t>
  </si>
  <si>
    <t>70,20</t>
  </si>
  <si>
    <t>3.213,09</t>
  </si>
  <si>
    <t>9,60</t>
  </si>
  <si>
    <t>5.323,65</t>
  </si>
  <si>
    <t>7.068,14</t>
  </si>
  <si>
    <t>7.049,04</t>
  </si>
  <si>
    <t>10.648,24</t>
  </si>
  <si>
    <t>1.087,15</t>
  </si>
  <si>
    <t>893,51</t>
  </si>
  <si>
    <t>700,24</t>
  </si>
  <si>
    <t>511,30</t>
  </si>
  <si>
    <t>796,73</t>
  </si>
  <si>
    <t>664,59</t>
  </si>
  <si>
    <t>531,12</t>
  </si>
  <si>
    <t>400,26</t>
  </si>
  <si>
    <t>80,80</t>
  </si>
  <si>
    <t>35,48</t>
  </si>
  <si>
    <t>76,46</t>
  </si>
  <si>
    <t>142,93</t>
  </si>
  <si>
    <t>31,17</t>
  </si>
  <si>
    <t>241,37</t>
  </si>
  <si>
    <t>100,42</t>
  </si>
  <si>
    <t>170,85</t>
  </si>
  <si>
    <t>3,27</t>
  </si>
  <si>
    <t>1,76</t>
  </si>
  <si>
    <t>2,53</t>
  </si>
  <si>
    <t>4,82</t>
  </si>
  <si>
    <t>10,97</t>
  </si>
  <si>
    <t>9,45</t>
  </si>
  <si>
    <t>10,23</t>
  </si>
  <si>
    <t>10,55</t>
  </si>
  <si>
    <t>14,25</t>
  </si>
  <si>
    <t>11,38</t>
  </si>
  <si>
    <t>12,82</t>
  </si>
  <si>
    <t>9,92</t>
  </si>
  <si>
    <t>10,69</t>
  </si>
  <si>
    <t>13,84</t>
  </si>
  <si>
    <t>11,85</t>
  </si>
  <si>
    <t>12,10</t>
  </si>
  <si>
    <t>12,42</t>
  </si>
  <si>
    <t>15,32</t>
  </si>
  <si>
    <t>10,77</t>
  </si>
  <si>
    <t>9,52</t>
  </si>
  <si>
    <t>9,19</t>
  </si>
  <si>
    <t>15,27</t>
  </si>
  <si>
    <t>16,40</t>
  </si>
  <si>
    <t>25,79</t>
  </si>
  <si>
    <t>15,42</t>
  </si>
  <si>
    <t>17,89</t>
  </si>
  <si>
    <t>19,03</t>
  </si>
  <si>
    <t>23,14</t>
  </si>
  <si>
    <t>15,25</t>
  </si>
  <si>
    <t>17,71</t>
  </si>
  <si>
    <t>24,64</t>
  </si>
  <si>
    <t>21,88</t>
  </si>
  <si>
    <t>9,09</t>
  </si>
  <si>
    <t>7,63</t>
  </si>
  <si>
    <t>15,71</t>
  </si>
  <si>
    <t>18,27</t>
  </si>
  <si>
    <t>19,58</t>
  </si>
  <si>
    <t>24,71</t>
  </si>
  <si>
    <t>16,32</t>
  </si>
  <si>
    <t>17,03</t>
  </si>
  <si>
    <t>18,87</t>
  </si>
  <si>
    <t>23,65</t>
  </si>
  <si>
    <t>13,39</t>
  </si>
  <si>
    <t>15,34</t>
  </si>
  <si>
    <t>9,42</t>
  </si>
  <si>
    <t>14,22</t>
  </si>
  <si>
    <t>19,11</t>
  </si>
  <si>
    <t>23,74</t>
  </si>
  <si>
    <t>13,47</t>
  </si>
  <si>
    <t>16,37</t>
  </si>
  <si>
    <t>22,40</t>
  </si>
  <si>
    <t>8,37</t>
  </si>
  <si>
    <t>12,91</t>
  </si>
  <si>
    <t>18,22</t>
  </si>
  <si>
    <t>13,60</t>
  </si>
  <si>
    <t>15,68</t>
  </si>
  <si>
    <t>21,93</t>
  </si>
  <si>
    <t>122,36</t>
  </si>
  <si>
    <t>139,16</t>
  </si>
  <si>
    <t>25,57</t>
  </si>
  <si>
    <t>8,90</t>
  </si>
  <si>
    <t>10,26</t>
  </si>
  <si>
    <t>5,67</t>
  </si>
  <si>
    <t>5,09</t>
  </si>
  <si>
    <t>66,57</t>
  </si>
  <si>
    <t>10,94</t>
  </si>
  <si>
    <t>6,03</t>
  </si>
  <si>
    <t>4,76</t>
  </si>
  <si>
    <t>12,15</t>
  </si>
  <si>
    <t>10,45</t>
  </si>
  <si>
    <t>9,53</t>
  </si>
  <si>
    <t>8,93</t>
  </si>
  <si>
    <t>6,70</t>
  </si>
  <si>
    <t>5,96</t>
  </si>
  <si>
    <t>5,77</t>
  </si>
  <si>
    <t>5,46</t>
  </si>
  <si>
    <t>5,31</t>
  </si>
  <si>
    <t>13,43</t>
  </si>
  <si>
    <t>11,41</t>
  </si>
  <si>
    <t>11,26</t>
  </si>
  <si>
    <t>13,69</t>
  </si>
  <si>
    <t>10,81</t>
  </si>
  <si>
    <t>10,29</t>
  </si>
  <si>
    <t>10,06</t>
  </si>
  <si>
    <t>6,69</t>
  </si>
  <si>
    <t>6,13</t>
  </si>
  <si>
    <t>15,11</t>
  </si>
  <si>
    <t>8,34</t>
  </si>
  <si>
    <t>6,37</t>
  </si>
  <si>
    <t>64,00</t>
  </si>
  <si>
    <t>60,93</t>
  </si>
  <si>
    <t>57,05</t>
  </si>
  <si>
    <t>57,95</t>
  </si>
  <si>
    <t>55,48</t>
  </si>
  <si>
    <t>56,64</t>
  </si>
  <si>
    <t>67,33</t>
  </si>
  <si>
    <t>60,96</t>
  </si>
  <si>
    <t>58,13</t>
  </si>
  <si>
    <t>54,50</t>
  </si>
  <si>
    <t>70,46</t>
  </si>
  <si>
    <t>62,63</t>
  </si>
  <si>
    <t>63,53</t>
  </si>
  <si>
    <t>61,06</t>
  </si>
  <si>
    <t>72,91</t>
  </si>
  <si>
    <t>63,71</t>
  </si>
  <si>
    <t>60,08</t>
  </si>
  <si>
    <t>76,04</t>
  </si>
  <si>
    <t>9,13</t>
  </si>
  <si>
    <t>6,78</t>
  </si>
  <si>
    <t>11,74</t>
  </si>
  <si>
    <t>11,24</t>
  </si>
  <si>
    <t>14,33</t>
  </si>
  <si>
    <t>8,87</t>
  </si>
  <si>
    <t>8,08</t>
  </si>
  <si>
    <t>19,26</t>
  </si>
  <si>
    <t>14,90</t>
  </si>
  <si>
    <t>12,29</t>
  </si>
  <si>
    <t>8,45</t>
  </si>
  <si>
    <t>13,92</t>
  </si>
  <si>
    <t>2,01</t>
  </si>
  <si>
    <t>1,73</t>
  </si>
  <si>
    <t>1,60</t>
  </si>
  <si>
    <t>188,42</t>
  </si>
  <si>
    <t>225,61</t>
  </si>
  <si>
    <t>169,02</t>
  </si>
  <si>
    <t>206,22</t>
  </si>
  <si>
    <t>163,48</t>
  </si>
  <si>
    <t>194,87</t>
  </si>
  <si>
    <t>161,12</t>
  </si>
  <si>
    <t>134,02</t>
  </si>
  <si>
    <t>1,94</t>
  </si>
  <si>
    <t>126,63</t>
  </si>
  <si>
    <t>56,74</t>
  </si>
  <si>
    <t>73,94</t>
  </si>
  <si>
    <t>75,21</t>
  </si>
  <si>
    <t>90,36</t>
  </si>
  <si>
    <t>91,86</t>
  </si>
  <si>
    <t>78,91</t>
  </si>
  <si>
    <t>79,90</t>
  </si>
  <si>
    <t>76,35</t>
  </si>
  <si>
    <t>77,41</t>
  </si>
  <si>
    <t>103,13</t>
  </si>
  <si>
    <t>104,27</t>
  </si>
  <si>
    <t>129,09</t>
  </si>
  <si>
    <t>131,07</t>
  </si>
  <si>
    <t>159,25</t>
  </si>
  <si>
    <t>51,67</t>
  </si>
  <si>
    <t>52,50</t>
  </si>
  <si>
    <t>75,15</t>
  </si>
  <si>
    <t>76,47</t>
  </si>
  <si>
    <t>68,24</t>
  </si>
  <si>
    <t>69,56</t>
  </si>
  <si>
    <t>79,71</t>
  </si>
  <si>
    <t>81,03</t>
  </si>
  <si>
    <t>70,80</t>
  </si>
  <si>
    <t>72,12</t>
  </si>
  <si>
    <t>84,44</t>
  </si>
  <si>
    <t>85,90</t>
  </si>
  <si>
    <t>77,50</t>
  </si>
  <si>
    <t>78,96</t>
  </si>
  <si>
    <t>90,97</t>
  </si>
  <si>
    <t>92,43</t>
  </si>
  <si>
    <t>81,00</t>
  </si>
  <si>
    <t>82,46</t>
  </si>
  <si>
    <t>87,99</t>
  </si>
  <si>
    <t>79,20</t>
  </si>
  <si>
    <t>81,07</t>
  </si>
  <si>
    <t>93,80</t>
  </si>
  <si>
    <t>95,67</t>
  </si>
  <si>
    <t>83,70</t>
  </si>
  <si>
    <t>85,57</t>
  </si>
  <si>
    <t>95,68</t>
  </si>
  <si>
    <t>97,75</t>
  </si>
  <si>
    <t>88,74</t>
  </si>
  <si>
    <t>90,81</t>
  </si>
  <si>
    <t>109,23</t>
  </si>
  <si>
    <t>111,30</t>
  </si>
  <si>
    <t>94,18</t>
  </si>
  <si>
    <t>96,25</t>
  </si>
  <si>
    <t>60,50</t>
  </si>
  <si>
    <t>79,75</t>
  </si>
  <si>
    <t>142,30</t>
  </si>
  <si>
    <t>64,29</t>
  </si>
  <si>
    <t>65,23</t>
  </si>
  <si>
    <t>83,34</t>
  </si>
  <si>
    <t>101,24</t>
  </si>
  <si>
    <t>102,62</t>
  </si>
  <si>
    <t>71,46</t>
  </si>
  <si>
    <t>72,40</t>
  </si>
  <si>
    <t>93,96</t>
  </si>
  <si>
    <t>95,06</t>
  </si>
  <si>
    <t>116,34</t>
  </si>
  <si>
    <t>97,34</t>
  </si>
  <si>
    <t>98,56</t>
  </si>
  <si>
    <t>78,98</t>
  </si>
  <si>
    <t>97,84</t>
  </si>
  <si>
    <t>92,66</t>
  </si>
  <si>
    <t>83,16</t>
  </si>
  <si>
    <t>76,71</t>
  </si>
  <si>
    <t>95,39</t>
  </si>
  <si>
    <t>94,17</t>
  </si>
  <si>
    <t>89,41</t>
  </si>
  <si>
    <t>113,26</t>
  </si>
  <si>
    <t>108,18</t>
  </si>
  <si>
    <t>100,06</t>
  </si>
  <si>
    <t>92,89</t>
  </si>
  <si>
    <t>119,35</t>
  </si>
  <si>
    <t>111,85</t>
  </si>
  <si>
    <t>91,60</t>
  </si>
  <si>
    <t>86,93</t>
  </si>
  <si>
    <t>110,44</t>
  </si>
  <si>
    <t>105,49</t>
  </si>
  <si>
    <t>99,24</t>
  </si>
  <si>
    <t>91,22</t>
  </si>
  <si>
    <t>118,65</t>
  </si>
  <si>
    <t>110,31</t>
  </si>
  <si>
    <t>107,05</t>
  </si>
  <si>
    <t>102,29</t>
  </si>
  <si>
    <t>126,16</t>
  </si>
  <si>
    <t>121,28</t>
  </si>
  <si>
    <t>116,40</t>
  </si>
  <si>
    <t>107,87</t>
  </si>
  <si>
    <t>135,91</t>
  </si>
  <si>
    <t>127,06</t>
  </si>
  <si>
    <t>78,21</t>
  </si>
  <si>
    <t>190,72</t>
  </si>
  <si>
    <t>768,19</t>
  </si>
  <si>
    <t>779,11</t>
  </si>
  <si>
    <t>98,73</t>
  </si>
  <si>
    <t>113,38</t>
  </si>
  <si>
    <t>137,25</t>
  </si>
  <si>
    <t>166,12</t>
  </si>
  <si>
    <t>125,80</t>
  </si>
  <si>
    <t>140,75</t>
  </si>
  <si>
    <t>164,32</t>
  </si>
  <si>
    <t>193,46</t>
  </si>
  <si>
    <t>152,88</t>
  </si>
  <si>
    <t>168,06</t>
  </si>
  <si>
    <t>191,40</t>
  </si>
  <si>
    <t>220,80</t>
  </si>
  <si>
    <t>69,06</t>
  </si>
  <si>
    <t>83,57</t>
  </si>
  <si>
    <t>14,26</t>
  </si>
  <si>
    <t>525,82</t>
  </si>
  <si>
    <t>739,67</t>
  </si>
  <si>
    <t>701,54</t>
  </si>
  <si>
    <t>750,02</t>
  </si>
  <si>
    <t>819,55</t>
  </si>
  <si>
    <t>255,67</t>
  </si>
  <si>
    <t>283,74</t>
  </si>
  <si>
    <t>110,66</t>
  </si>
  <si>
    <t>156,25</t>
  </si>
  <si>
    <t>230,58</t>
  </si>
  <si>
    <t>1.450,19</t>
  </si>
  <si>
    <t>938,83</t>
  </si>
  <si>
    <t>1.573,08</t>
  </si>
  <si>
    <t>1.061,72</t>
  </si>
  <si>
    <t>36,90</t>
  </si>
  <si>
    <t>72,87</t>
  </si>
  <si>
    <t>58,52</t>
  </si>
  <si>
    <t>40,17</t>
  </si>
  <si>
    <t>52,03</t>
  </si>
  <si>
    <t>89,98</t>
  </si>
  <si>
    <t>124,66</t>
  </si>
  <si>
    <t>156,95</t>
  </si>
  <si>
    <t>188,37</t>
  </si>
  <si>
    <t>219,38</t>
  </si>
  <si>
    <t>159,62</t>
  </si>
  <si>
    <t>148,02</t>
  </si>
  <si>
    <t>223,81</t>
  </si>
  <si>
    <t>253,83</t>
  </si>
  <si>
    <t>283,45</t>
  </si>
  <si>
    <t>212,67</t>
  </si>
  <si>
    <t>242,92</t>
  </si>
  <si>
    <t>272,77</t>
  </si>
  <si>
    <t>224,01</t>
  </si>
  <si>
    <t>20,95</t>
  </si>
  <si>
    <t>87,92</t>
  </si>
  <si>
    <t>119,33</t>
  </si>
  <si>
    <t>182,88</t>
  </si>
  <si>
    <t>90,59</t>
  </si>
  <si>
    <t>78,99</t>
  </si>
  <si>
    <t>154,78</t>
  </si>
  <si>
    <t>184,80</t>
  </si>
  <si>
    <t>214,42</t>
  </si>
  <si>
    <t>143,64</t>
  </si>
  <si>
    <t>173,89</t>
  </si>
  <si>
    <t>203,74</t>
  </si>
  <si>
    <t>154,98</t>
  </si>
  <si>
    <t>47,75</t>
  </si>
  <si>
    <t>128,88</t>
  </si>
  <si>
    <t>59,99</t>
  </si>
  <si>
    <t>42,96</t>
  </si>
  <si>
    <t>131,30</t>
  </si>
  <si>
    <t>64,84</t>
  </si>
  <si>
    <t>25,24</t>
  </si>
  <si>
    <t>20,59</t>
  </si>
  <si>
    <t>22,77</t>
  </si>
  <si>
    <t>24,49</t>
  </si>
  <si>
    <t>26,72</t>
  </si>
  <si>
    <t>24,32</t>
  </si>
  <si>
    <t>27,75</t>
  </si>
  <si>
    <t>24,66</t>
  </si>
  <si>
    <t>28,09</t>
  </si>
  <si>
    <t>22,27</t>
  </si>
  <si>
    <t>25,70</t>
  </si>
  <si>
    <t>29,14</t>
  </si>
  <si>
    <t>1.535,52</t>
  </si>
  <si>
    <t>1.658,41</t>
  </si>
  <si>
    <t>43,12</t>
  </si>
  <si>
    <t>0,97</t>
  </si>
  <si>
    <t>48,47</t>
  </si>
  <si>
    <t>79,13</t>
  </si>
  <si>
    <t>142,14</t>
  </si>
  <si>
    <t>144,72</t>
  </si>
  <si>
    <t>206,70</t>
  </si>
  <si>
    <t>288,65</t>
  </si>
  <si>
    <t>99,71</t>
  </si>
  <si>
    <t>129,02</t>
  </si>
  <si>
    <t>2,48</t>
  </si>
  <si>
    <t>87,84</t>
  </si>
  <si>
    <t>76,27</t>
  </si>
  <si>
    <t>152,02</t>
  </si>
  <si>
    <t>182,09</t>
  </si>
  <si>
    <t>211,66</t>
  </si>
  <si>
    <t>140,88</t>
  </si>
  <si>
    <t>173,31</t>
  </si>
  <si>
    <t>201,03</t>
  </si>
  <si>
    <t>92,02</t>
  </si>
  <si>
    <t>80,45</t>
  </si>
  <si>
    <t>1,12</t>
  </si>
  <si>
    <t>0,09</t>
  </si>
  <si>
    <t>36,43</t>
  </si>
  <si>
    <t>69,32</t>
  </si>
  <si>
    <t>145,65</t>
  </si>
  <si>
    <t>68,49</t>
  </si>
  <si>
    <t>85,88</t>
  </si>
  <si>
    <t>104,11</t>
  </si>
  <si>
    <t>80,32</t>
  </si>
  <si>
    <t>87,14</t>
  </si>
  <si>
    <t>88,60</t>
  </si>
  <si>
    <t>103,74</t>
  </si>
  <si>
    <t>105,33</t>
  </si>
  <si>
    <t>69,92</t>
  </si>
  <si>
    <t>88,65</t>
  </si>
  <si>
    <t>90,07</t>
  </si>
  <si>
    <t>105,27</t>
  </si>
  <si>
    <t>106,81</t>
  </si>
  <si>
    <t>89,79</t>
  </si>
  <si>
    <t>77,49</t>
  </si>
  <si>
    <t>94,39</t>
  </si>
  <si>
    <t>95,92</t>
  </si>
  <si>
    <t>132,15</t>
  </si>
  <si>
    <t>155,38</t>
  </si>
  <si>
    <t>171,51</t>
  </si>
  <si>
    <t>187,59</t>
  </si>
  <si>
    <t>217,86</t>
  </si>
  <si>
    <t>233,90</t>
  </si>
  <si>
    <t>211,00</t>
  </si>
  <si>
    <t>242,44</t>
  </si>
  <si>
    <t>261,82</t>
  </si>
  <si>
    <t>1,63</t>
  </si>
  <si>
    <t>0,36</t>
  </si>
  <si>
    <t>45,92</t>
  </si>
  <si>
    <t>17,91</t>
  </si>
  <si>
    <t>12,53</t>
  </si>
  <si>
    <t>6,89</t>
  </si>
  <si>
    <t>20,78</t>
  </si>
  <si>
    <t>165,80</t>
  </si>
  <si>
    <t>216,70</t>
  </si>
  <si>
    <t>178,06</t>
  </si>
  <si>
    <t>34,88</t>
  </si>
  <si>
    <t>97,77</t>
  </si>
  <si>
    <t>1.337,79</t>
  </si>
  <si>
    <t>1.157,80</t>
  </si>
  <si>
    <t>134,03</t>
  </si>
  <si>
    <t>194,63</t>
  </si>
  <si>
    <t>277,96</t>
  </si>
  <si>
    <t>703,02</t>
  </si>
  <si>
    <t>663,62</t>
  </si>
  <si>
    <t>472,76</t>
  </si>
  <si>
    <t>511,07</t>
  </si>
  <si>
    <t>413,29</t>
  </si>
  <si>
    <t>451,60</t>
  </si>
  <si>
    <t>419,32</t>
  </si>
  <si>
    <t>457,63</t>
  </si>
  <si>
    <t>253,08</t>
  </si>
  <si>
    <t>262,38</t>
  </si>
  <si>
    <t>1,95</t>
  </si>
  <si>
    <t>1,36</t>
  </si>
  <si>
    <t>2,13</t>
  </si>
  <si>
    <t>19,87</t>
  </si>
  <si>
    <t>14,98</t>
  </si>
  <si>
    <t>13,58</t>
  </si>
  <si>
    <t>26,77</t>
  </si>
  <si>
    <t>14,02</t>
  </si>
  <si>
    <t>1,80</t>
  </si>
  <si>
    <t>14,28</t>
  </si>
  <si>
    <t>17,81</t>
  </si>
  <si>
    <t>14,10</t>
  </si>
  <si>
    <t>11,40</t>
  </si>
  <si>
    <t>12,62</t>
  </si>
  <si>
    <t>9,77</t>
  </si>
  <si>
    <t>18,42</t>
  </si>
  <si>
    <t>20,25</t>
  </si>
  <si>
    <t>13,54</t>
  </si>
  <si>
    <t>12,92</t>
  </si>
  <si>
    <t>23,70</t>
  </si>
  <si>
    <t>26,00</t>
  </si>
  <si>
    <t>18,19</t>
  </si>
  <si>
    <t>32,54</t>
  </si>
  <si>
    <t>35,60</t>
  </si>
  <si>
    <t>23,29</t>
  </si>
  <si>
    <t>7,64</t>
  </si>
  <si>
    <t>7,87</t>
  </si>
  <si>
    <t>7,16</t>
  </si>
  <si>
    <t>6,22</t>
  </si>
  <si>
    <t>6,41</t>
  </si>
  <si>
    <t>13,03</t>
  </si>
  <si>
    <t>21,52</t>
  </si>
  <si>
    <t>19,56</t>
  </si>
  <si>
    <t>19,27</t>
  </si>
  <si>
    <t>18,38</t>
  </si>
  <si>
    <t>13,10</t>
  </si>
  <si>
    <t>25,02</t>
  </si>
  <si>
    <t>7,61</t>
  </si>
  <si>
    <t>1,09</t>
  </si>
  <si>
    <t>8,23</t>
  </si>
  <si>
    <t>8,80</t>
  </si>
  <si>
    <t>10,68</t>
  </si>
  <si>
    <t>20,19</t>
  </si>
  <si>
    <t>18,20</t>
  </si>
  <si>
    <t>15,19</t>
  </si>
  <si>
    <t>17,86</t>
  </si>
  <si>
    <t>11,31</t>
  </si>
  <si>
    <t>8,06</t>
  </si>
  <si>
    <t>18,75</t>
  </si>
  <si>
    <t>8,54</t>
  </si>
  <si>
    <t>18,55</t>
  </si>
  <si>
    <t>18,90</t>
  </si>
  <si>
    <t>8,59</t>
  </si>
  <si>
    <t>18,63</t>
  </si>
  <si>
    <t>30,39</t>
  </si>
  <si>
    <t>35,73</t>
  </si>
  <si>
    <t>17,02</t>
  </si>
  <si>
    <t>22,62</t>
  </si>
  <si>
    <t>37,51</t>
  </si>
  <si>
    <t>38,08</t>
  </si>
  <si>
    <t>37,11</t>
  </si>
  <si>
    <t>37,83</t>
  </si>
  <si>
    <t>37,28</t>
  </si>
  <si>
    <t>37,93</t>
  </si>
  <si>
    <t>2,76</t>
  </si>
  <si>
    <t>21,21</t>
  </si>
  <si>
    <t>15,23</t>
  </si>
  <si>
    <t>17,85</t>
  </si>
  <si>
    <t>10,09</t>
  </si>
  <si>
    <t>3,74</t>
  </si>
  <si>
    <t>2,33</t>
  </si>
  <si>
    <t>19,10</t>
  </si>
  <si>
    <t>7,71</t>
  </si>
  <si>
    <t>4,89</t>
  </si>
  <si>
    <t>34,07</t>
  </si>
  <si>
    <t>3,65</t>
  </si>
  <si>
    <t>62,34</t>
  </si>
  <si>
    <t>45,76</t>
  </si>
  <si>
    <t>43,75</t>
  </si>
  <si>
    <t>197,11</t>
  </si>
  <si>
    <t>311,04</t>
  </si>
  <si>
    <t>202,09</t>
  </si>
  <si>
    <t>55,78</t>
  </si>
  <si>
    <t>49,74</t>
  </si>
  <si>
    <t>44,91</t>
  </si>
  <si>
    <t>61,82</t>
  </si>
  <si>
    <t>52,28</t>
  </si>
  <si>
    <t>46,14</t>
  </si>
  <si>
    <t>102,39</t>
  </si>
  <si>
    <t>90,66</t>
  </si>
  <si>
    <t>83,40</t>
  </si>
  <si>
    <t>139,39</t>
  </si>
  <si>
    <t>128,26</t>
  </si>
  <si>
    <t>121,79</t>
  </si>
  <si>
    <t>160,14</t>
  </si>
  <si>
    <t>146,99</t>
  </si>
  <si>
    <t>139,36</t>
  </si>
  <si>
    <t>49,50</t>
  </si>
  <si>
    <t>47,11</t>
  </si>
  <si>
    <t>50,17</t>
  </si>
  <si>
    <t>39,41</t>
  </si>
  <si>
    <t>383,46</t>
  </si>
  <si>
    <t>503,95</t>
  </si>
  <si>
    <t>491,73</t>
  </si>
  <si>
    <t>30,90</t>
  </si>
  <si>
    <t>39,08</t>
  </si>
  <si>
    <t>28,89</t>
  </si>
  <si>
    <t>37,07</t>
  </si>
  <si>
    <t>69,19</t>
  </si>
  <si>
    <t>56,15</t>
  </si>
  <si>
    <t>97,81</t>
  </si>
  <si>
    <t>186,23</t>
  </si>
  <si>
    <t>123,68</t>
  </si>
  <si>
    <t>226,46</t>
  </si>
  <si>
    <t>155,98</t>
  </si>
  <si>
    <t>272,61</t>
  </si>
  <si>
    <t>81,74</t>
  </si>
  <si>
    <t>137,63</t>
  </si>
  <si>
    <t>160,07</t>
  </si>
  <si>
    <t>217,90</t>
  </si>
  <si>
    <t>332,01</t>
  </si>
  <si>
    <t>340,29</t>
  </si>
  <si>
    <t>76,42</t>
  </si>
  <si>
    <t>92,80</t>
  </si>
  <si>
    <t>2,78</t>
  </si>
  <si>
    <t>391,92</t>
  </si>
  <si>
    <t>512,41</t>
  </si>
  <si>
    <t>87,74</t>
  </si>
  <si>
    <t>7,52</t>
  </si>
  <si>
    <t>14,84</t>
  </si>
  <si>
    <t>39,85</t>
  </si>
  <si>
    <t>687,22</t>
  </si>
  <si>
    <t>750,24</t>
  </si>
  <si>
    <t>102,18</t>
  </si>
  <si>
    <t>105,96</t>
  </si>
  <si>
    <t>117,03</t>
  </si>
  <si>
    <t>122,07</t>
  </si>
  <si>
    <t>130,87</t>
  </si>
  <si>
    <t>137,18</t>
  </si>
  <si>
    <t>145,54</t>
  </si>
  <si>
    <t>153,10</t>
  </si>
  <si>
    <t>72,41</t>
  </si>
  <si>
    <t>154,64</t>
  </si>
  <si>
    <t>123,27</t>
  </si>
  <si>
    <t>151,44</t>
  </si>
  <si>
    <t>28,44</t>
  </si>
  <si>
    <t>31,63</t>
  </si>
  <si>
    <t>80,17</t>
  </si>
  <si>
    <t>99,52</t>
  </si>
  <si>
    <t>107,61</t>
  </si>
  <si>
    <t>47,07</t>
  </si>
  <si>
    <t>120,12</t>
  </si>
  <si>
    <t>130,06</t>
  </si>
  <si>
    <t>34,99</t>
  </si>
  <si>
    <t>40,45</t>
  </si>
  <si>
    <t>123,44</t>
  </si>
  <si>
    <t>40,09</t>
  </si>
  <si>
    <t>46,35</t>
  </si>
  <si>
    <t>141,39</t>
  </si>
  <si>
    <t>43,32</t>
  </si>
  <si>
    <t>50,14</t>
  </si>
  <si>
    <t>141,23</t>
  </si>
  <si>
    <t>153,63</t>
  </si>
  <si>
    <t>40,93</t>
  </si>
  <si>
    <t>83,66</t>
  </si>
  <si>
    <t>89,47</t>
  </si>
  <si>
    <t>44,99</t>
  </si>
  <si>
    <t>49,43</t>
  </si>
  <si>
    <t>108,83</t>
  </si>
  <si>
    <t>116,92</t>
  </si>
  <si>
    <t>44,67</t>
  </si>
  <si>
    <t>104,07</t>
  </si>
  <si>
    <t>46,21</t>
  </si>
  <si>
    <t>124,72</t>
  </si>
  <si>
    <t>134,66</t>
  </si>
  <si>
    <t>26,84</t>
  </si>
  <si>
    <t>33,46</t>
  </si>
  <si>
    <t>38,73</t>
  </si>
  <si>
    <t>24,70</t>
  </si>
  <si>
    <t>69,27</t>
  </si>
  <si>
    <t>159,18</t>
  </si>
  <si>
    <t>170,57</t>
  </si>
  <si>
    <t>73,51</t>
  </si>
  <si>
    <t>80,33</t>
  </si>
  <si>
    <t>183,82</t>
  </si>
  <si>
    <t>81,25</t>
  </si>
  <si>
    <t>89,09</t>
  </si>
  <si>
    <t>193,83</t>
  </si>
  <si>
    <t>208,09</t>
  </si>
  <si>
    <t>38,26</t>
  </si>
  <si>
    <t>43,02</t>
  </si>
  <si>
    <t>37,23</t>
  </si>
  <si>
    <t>42,50</t>
  </si>
  <si>
    <t>48,07</t>
  </si>
  <si>
    <t>14,71</t>
  </si>
  <si>
    <t>9,14</t>
  </si>
  <si>
    <t>9,39</t>
  </si>
  <si>
    <t>9,06</t>
  </si>
  <si>
    <t>3,97</t>
  </si>
  <si>
    <t>8,91</t>
  </si>
  <si>
    <t>8,97</t>
  </si>
  <si>
    <t>5,63</t>
  </si>
  <si>
    <t>5,15</t>
  </si>
  <si>
    <t>11,36</t>
  </si>
  <si>
    <t>7,30</t>
  </si>
  <si>
    <t>7,20</t>
  </si>
  <si>
    <t>20,12</t>
  </si>
  <si>
    <t>23,92</t>
  </si>
  <si>
    <t>23,39</t>
  </si>
  <si>
    <t>28,72</t>
  </si>
  <si>
    <t>32,07</t>
  </si>
  <si>
    <t>17,64</t>
  </si>
  <si>
    <t>24,78</t>
  </si>
  <si>
    <t>25,18</t>
  </si>
  <si>
    <t>33,05</t>
  </si>
  <si>
    <t>37,55</t>
  </si>
  <si>
    <t>39,14</t>
  </si>
  <si>
    <t>23,52</t>
  </si>
  <si>
    <t>24,33</t>
  </si>
  <si>
    <t>26,09</t>
  </si>
  <si>
    <t>27,48</t>
  </si>
  <si>
    <t>28,45</t>
  </si>
  <si>
    <t>34,05</t>
  </si>
  <si>
    <t>32,99</t>
  </si>
  <si>
    <t>37,06</t>
  </si>
  <si>
    <t>29,99</t>
  </si>
  <si>
    <t>34,06</t>
  </si>
  <si>
    <t>25,94</t>
  </si>
  <si>
    <t>30,01</t>
  </si>
  <si>
    <t>78,27</t>
  </si>
  <si>
    <t>75,72</t>
  </si>
  <si>
    <t>74,80</t>
  </si>
  <si>
    <t>72,24</t>
  </si>
  <si>
    <t>24,40</t>
  </si>
  <si>
    <t>22,26</t>
  </si>
  <si>
    <t>24,56</t>
  </si>
  <si>
    <t>21,58</t>
  </si>
  <si>
    <t>15,21</t>
  </si>
  <si>
    <t>44,44</t>
  </si>
  <si>
    <t>43,51</t>
  </si>
  <si>
    <t>40,95</t>
  </si>
  <si>
    <t>43,73</t>
  </si>
  <si>
    <t>48,42</t>
  </si>
  <si>
    <t>51,82</t>
  </si>
  <si>
    <t>84,04</t>
  </si>
  <si>
    <t>56,36</t>
  </si>
  <si>
    <t>60,92</t>
  </si>
  <si>
    <t>105,79</t>
  </si>
  <si>
    <t>64,30</t>
  </si>
  <si>
    <t>70,01</t>
  </si>
  <si>
    <t>127,55</t>
  </si>
  <si>
    <t>81,52</t>
  </si>
  <si>
    <t>87,80</t>
  </si>
  <si>
    <t>148,20</t>
  </si>
  <si>
    <t>33,68</t>
  </si>
  <si>
    <t>36,85</t>
  </si>
  <si>
    <t>41,28</t>
  </si>
  <si>
    <t>87,10</t>
  </si>
  <si>
    <t>48,90</t>
  </si>
  <si>
    <t>107,62</t>
  </si>
  <si>
    <t>55,74</t>
  </si>
  <si>
    <t>61,61</t>
  </si>
  <si>
    <t>72,19</t>
  </si>
  <si>
    <t>75,36</t>
  </si>
  <si>
    <t>104,72</t>
  </si>
  <si>
    <t>79,81</t>
  </si>
  <si>
    <t>84,06</t>
  </si>
  <si>
    <t>125,23</t>
  </si>
  <si>
    <t>87,05</t>
  </si>
  <si>
    <t>92,38</t>
  </si>
  <si>
    <t>145,76</t>
  </si>
  <si>
    <t>124,61</t>
  </si>
  <si>
    <t>130,48</t>
  </si>
  <si>
    <t>57,76</t>
  </si>
  <si>
    <t>61,65</t>
  </si>
  <si>
    <t>99,19</t>
  </si>
  <si>
    <t>71,59</t>
  </si>
  <si>
    <t>123,57</t>
  </si>
  <si>
    <t>191,33</t>
  </si>
  <si>
    <t>132,56</t>
  </si>
  <si>
    <t>184,52</t>
  </si>
  <si>
    <t>126,62</t>
  </si>
  <si>
    <t>197,56</t>
  </si>
  <si>
    <t>137,20</t>
  </si>
  <si>
    <t>189,21</t>
  </si>
  <si>
    <t>129,70</t>
  </si>
  <si>
    <t>199,09</t>
  </si>
  <si>
    <t>186,65</t>
  </si>
  <si>
    <t>133,99</t>
  </si>
  <si>
    <t>206,90</t>
  </si>
  <si>
    <t>148,13</t>
  </si>
  <si>
    <t>199,01</t>
  </si>
  <si>
    <t>141,11</t>
  </si>
  <si>
    <t>213,15</t>
  </si>
  <si>
    <t>152,79</t>
  </si>
  <si>
    <t>203,68</t>
  </si>
  <si>
    <t>144,16</t>
  </si>
  <si>
    <t>214,67</t>
  </si>
  <si>
    <t>161,14</t>
  </si>
  <si>
    <t>201,14</t>
  </si>
  <si>
    <t>148,46</t>
  </si>
  <si>
    <t>141,02</t>
  </si>
  <si>
    <t>161,54</t>
  </si>
  <si>
    <t>30,63</t>
  </si>
  <si>
    <t>20,31</t>
  </si>
  <si>
    <t>30,05</t>
  </si>
  <si>
    <t>204,62</t>
  </si>
  <si>
    <t>188,10</t>
  </si>
  <si>
    <t>198,48</t>
  </si>
  <si>
    <t>237,76</t>
  </si>
  <si>
    <t>60,85</t>
  </si>
  <si>
    <t>54,19</t>
  </si>
  <si>
    <t>63,20</t>
  </si>
  <si>
    <t>64,80</t>
  </si>
  <si>
    <t>57,56</t>
  </si>
  <si>
    <t>66,78</t>
  </si>
  <si>
    <t>59,96</t>
  </si>
  <si>
    <t>70,21</t>
  </si>
  <si>
    <t>67,22</t>
  </si>
  <si>
    <t>290,62</t>
  </si>
  <si>
    <t>269,29</t>
  </si>
  <si>
    <t>279,67</t>
  </si>
  <si>
    <t>335,46</t>
  </si>
  <si>
    <t>60,68</t>
  </si>
  <si>
    <t>59,01</t>
  </si>
  <si>
    <t>51,94</t>
  </si>
  <si>
    <t>54,29</t>
  </si>
  <si>
    <t>51,35</t>
  </si>
  <si>
    <t>60,20</t>
  </si>
  <si>
    <t>53,62</t>
  </si>
  <si>
    <t>62,55</t>
  </si>
  <si>
    <t>115,96</t>
  </si>
  <si>
    <t>151,62</t>
  </si>
  <si>
    <t>119,12</t>
  </si>
  <si>
    <t>147,89</t>
  </si>
  <si>
    <t>34,46</t>
  </si>
  <si>
    <t>72,47</t>
  </si>
  <si>
    <t>78,56</t>
  </si>
  <si>
    <t>2,70</t>
  </si>
  <si>
    <t>36,12</t>
  </si>
  <si>
    <t>46,31</t>
  </si>
  <si>
    <t>69,04</t>
  </si>
  <si>
    <t>78,31</t>
  </si>
  <si>
    <t>12,13</t>
  </si>
  <si>
    <t>81,15</t>
  </si>
  <si>
    <t>91,16</t>
  </si>
  <si>
    <t>13,72</t>
  </si>
  <si>
    <t>2,03</t>
  </si>
  <si>
    <t>2,44</t>
  </si>
  <si>
    <t>363,84</t>
  </si>
  <si>
    <t>362,22</t>
  </si>
  <si>
    <t>381,92</t>
  </si>
  <si>
    <t>378,46</t>
  </si>
  <si>
    <t>469,80</t>
  </si>
  <si>
    <t>460,64</t>
  </si>
  <si>
    <t>448,73</t>
  </si>
  <si>
    <t>444,92</t>
  </si>
  <si>
    <t>457,88</t>
  </si>
  <si>
    <t>438,48</t>
  </si>
  <si>
    <t>421,76</t>
  </si>
  <si>
    <t>589,78</t>
  </si>
  <si>
    <t>374,60</t>
  </si>
  <si>
    <t>522,28</t>
  </si>
  <si>
    <t>518,64</t>
  </si>
  <si>
    <t>468,61</t>
  </si>
  <si>
    <t>472,99</t>
  </si>
  <si>
    <t>440,53</t>
  </si>
  <si>
    <t>435,93</t>
  </si>
  <si>
    <t>367,65</t>
  </si>
  <si>
    <t>362,73</t>
  </si>
  <si>
    <t>456,58</t>
  </si>
  <si>
    <t>453,42</t>
  </si>
  <si>
    <t>407,87</t>
  </si>
  <si>
    <t>399,82</t>
  </si>
  <si>
    <t>5.350,01</t>
  </si>
  <si>
    <t>5.366,99</t>
  </si>
  <si>
    <t>5.472,66</t>
  </si>
  <si>
    <t>5.486,98</t>
  </si>
  <si>
    <t>5.369,47</t>
  </si>
  <si>
    <t>5.405,16</t>
  </si>
  <si>
    <t>380,66</t>
  </si>
  <si>
    <t>340,24</t>
  </si>
  <si>
    <t>410,48</t>
  </si>
  <si>
    <t>364,45</t>
  </si>
  <si>
    <t>485,73</t>
  </si>
  <si>
    <t>443,97</t>
  </si>
  <si>
    <t>451,66</t>
  </si>
  <si>
    <t>426,68</t>
  </si>
  <si>
    <t>446,76</t>
  </si>
  <si>
    <t>439,04</t>
  </si>
  <si>
    <t>437,05</t>
  </si>
  <si>
    <t>419,09</t>
  </si>
  <si>
    <t>673,08</t>
  </si>
  <si>
    <t>586,43</t>
  </si>
  <si>
    <t>565,93</t>
  </si>
  <si>
    <t>571,00</t>
  </si>
  <si>
    <t>522,07</t>
  </si>
  <si>
    <t>496,52</t>
  </si>
  <si>
    <t>509,24</t>
  </si>
  <si>
    <t>469,07</t>
  </si>
  <si>
    <t>448,69</t>
  </si>
  <si>
    <t>463,47</t>
  </si>
  <si>
    <t>412,12</t>
  </si>
  <si>
    <t>399,86</t>
  </si>
  <si>
    <t>350,06</t>
  </si>
  <si>
    <t>512,76</t>
  </si>
  <si>
    <t>458,85</t>
  </si>
  <si>
    <t>436,33</t>
  </si>
  <si>
    <t>434,08</t>
  </si>
  <si>
    <t>398,16</t>
  </si>
  <si>
    <t>5.265,71</t>
  </si>
  <si>
    <t>5.258,76</t>
  </si>
  <si>
    <t>5.361,22</t>
  </si>
  <si>
    <t>5.347,03</t>
  </si>
  <si>
    <t>5.368,52</t>
  </si>
  <si>
    <t>5.297,54</t>
  </si>
  <si>
    <t>5.309,14</t>
  </si>
  <si>
    <t>466,45</t>
  </si>
  <si>
    <t>494,45</t>
  </si>
  <si>
    <t>573,36</t>
  </si>
  <si>
    <t>554,99</t>
  </si>
  <si>
    <t>566,07</t>
  </si>
  <si>
    <t>544,40</t>
  </si>
  <si>
    <t>529,77</t>
  </si>
  <si>
    <t>706,21</t>
  </si>
  <si>
    <t>625,47</t>
  </si>
  <si>
    <t>578,78</t>
  </si>
  <si>
    <t>548,25</t>
  </si>
  <si>
    <t>476,59</t>
  </si>
  <si>
    <t>569,26</t>
  </si>
  <si>
    <t>5.425,51</t>
  </si>
  <si>
    <t>5.526,92</t>
  </si>
  <si>
    <t>5.462,17</t>
  </si>
  <si>
    <t>1.712,42</t>
  </si>
  <si>
    <t>1.713,98</t>
  </si>
  <si>
    <t>1.712,14</t>
  </si>
  <si>
    <t>2.004,86</t>
  </si>
  <si>
    <t>2.003,62</t>
  </si>
  <si>
    <t>2.004,58</t>
  </si>
  <si>
    <t>4.818,87</t>
  </si>
  <si>
    <t>4.842,85</t>
  </si>
  <si>
    <t>4.872,93</t>
  </si>
  <si>
    <t>5.356,93</t>
  </si>
  <si>
    <t>5.410,53</t>
  </si>
  <si>
    <t>5.464,47</t>
  </si>
  <si>
    <t>3.362,86</t>
  </si>
  <si>
    <t>3.389,68</t>
  </si>
  <si>
    <t>3.418,03</t>
  </si>
  <si>
    <t>1.893,98</t>
  </si>
  <si>
    <t>2.191,20</t>
  </si>
  <si>
    <t>5.632,12</t>
  </si>
  <si>
    <t>3.597,22</t>
  </si>
  <si>
    <t>4.999,38</t>
  </si>
  <si>
    <t>5.019,53</t>
  </si>
  <si>
    <t>1.749,07</t>
  </si>
  <si>
    <t>1.742,91</t>
  </si>
  <si>
    <t>854,55</t>
  </si>
  <si>
    <t>465,10</t>
  </si>
  <si>
    <t>550,77</t>
  </si>
  <si>
    <t>492,34</t>
  </si>
  <si>
    <t>581,30</t>
  </si>
  <si>
    <t>412,09</t>
  </si>
  <si>
    <t>516,00</t>
  </si>
  <si>
    <t>431,39</t>
  </si>
  <si>
    <t>726,44</t>
  </si>
  <si>
    <t>482,17</t>
  </si>
  <si>
    <t>455,75</t>
  </si>
  <si>
    <t>443,74</t>
  </si>
  <si>
    <t>583,75</t>
  </si>
  <si>
    <t>484,39</t>
  </si>
  <si>
    <t>428,15</t>
  </si>
  <si>
    <t>463,10</t>
  </si>
  <si>
    <t>429,12</t>
  </si>
  <si>
    <t>415,77</t>
  </si>
  <si>
    <t>606,25</t>
  </si>
  <si>
    <t>647,70</t>
  </si>
  <si>
    <t>595,53</t>
  </si>
  <si>
    <t>585,92</t>
  </si>
  <si>
    <t>694,78</t>
  </si>
  <si>
    <t>519,48</t>
  </si>
  <si>
    <t>550,73</t>
  </si>
  <si>
    <t>517,63</t>
  </si>
  <si>
    <t>506,05</t>
  </si>
  <si>
    <t>612,01</t>
  </si>
  <si>
    <t>414,57</t>
  </si>
  <si>
    <t>461,83</t>
  </si>
  <si>
    <t>493,41</t>
  </si>
  <si>
    <t>430,42</t>
  </si>
  <si>
    <t>608,45</t>
  </si>
  <si>
    <t>522,09</t>
  </si>
  <si>
    <t>24,46</t>
  </si>
  <si>
    <t>1,02</t>
  </si>
  <si>
    <t>0,21</t>
  </si>
  <si>
    <t>0,86</t>
  </si>
  <si>
    <t>1.149,59</t>
  </si>
  <si>
    <t>830,96</t>
  </si>
  <si>
    <t>322,78</t>
  </si>
  <si>
    <t>15,20</t>
  </si>
  <si>
    <t>2,14</t>
  </si>
  <si>
    <t>3,29</t>
  </si>
  <si>
    <t>2,82</t>
  </si>
  <si>
    <t>2,50</t>
  </si>
  <si>
    <t>21,84</t>
  </si>
  <si>
    <t>2,17</t>
  </si>
  <si>
    <t>2,61</t>
  </si>
  <si>
    <t>5,22</t>
  </si>
  <si>
    <t>6,27</t>
  </si>
  <si>
    <t>3,48</t>
  </si>
  <si>
    <t>30,88</t>
  </si>
  <si>
    <t>1,69</t>
  </si>
  <si>
    <t>30,84</t>
  </si>
  <si>
    <t>65,54</t>
  </si>
  <si>
    <t>1,29</t>
  </si>
  <si>
    <t>49,13</t>
  </si>
  <si>
    <t>49,16</t>
  </si>
  <si>
    <t>21,86</t>
  </si>
  <si>
    <t>14,13</t>
  </si>
  <si>
    <t>31,36</t>
  </si>
  <si>
    <t>0,60</t>
  </si>
  <si>
    <t>3,07</t>
  </si>
  <si>
    <t>122,80</t>
  </si>
  <si>
    <t>19,83</t>
  </si>
  <si>
    <t>10,75</t>
  </si>
  <si>
    <t>8,75</t>
  </si>
  <si>
    <t>0,67</t>
  </si>
  <si>
    <t>1,27</t>
  </si>
  <si>
    <t>3,03</t>
  </si>
  <si>
    <t>4,64</t>
  </si>
  <si>
    <t>2,77</t>
  </si>
  <si>
    <t>1,55</t>
  </si>
  <si>
    <t>6,55</t>
  </si>
  <si>
    <t>1,48</t>
  </si>
  <si>
    <t>2,28</t>
  </si>
  <si>
    <t>1,93</t>
  </si>
  <si>
    <t>1,21</t>
  </si>
  <si>
    <t>52,58</t>
  </si>
  <si>
    <t>40,43</t>
  </si>
  <si>
    <t>34,35</t>
  </si>
  <si>
    <t>100,80</t>
  </si>
  <si>
    <t>72,76</t>
  </si>
  <si>
    <t>58,65</t>
  </si>
  <si>
    <t>46,65</t>
  </si>
  <si>
    <t>35,07</t>
  </si>
  <si>
    <t>79,70</t>
  </si>
  <si>
    <t>48,55</t>
  </si>
  <si>
    <t>86,96</t>
  </si>
  <si>
    <t>51,09</t>
  </si>
  <si>
    <t>50,89</t>
  </si>
  <si>
    <t>15,14</t>
  </si>
  <si>
    <t>208,18</t>
  </si>
  <si>
    <t>0,34</t>
  </si>
  <si>
    <t>25,43</t>
  </si>
  <si>
    <t>13,42</t>
  </si>
  <si>
    <t>117,11</t>
  </si>
  <si>
    <t>560,28</t>
  </si>
  <si>
    <t>90,00</t>
  </si>
  <si>
    <t>43,86</t>
  </si>
  <si>
    <t>134,38</t>
  </si>
  <si>
    <t>82,47</t>
  </si>
  <si>
    <t>470,27</t>
  </si>
  <si>
    <t>212,21</t>
  </si>
  <si>
    <t>216,79</t>
  </si>
  <si>
    <t>93,11</t>
  </si>
  <si>
    <t>2,55</t>
  </si>
  <si>
    <t>17,46</t>
  </si>
  <si>
    <t>11,58</t>
  </si>
  <si>
    <t>15,40</t>
  </si>
  <si>
    <t>1,24</t>
  </si>
  <si>
    <t>2,22</t>
  </si>
  <si>
    <t>7,11</t>
  </si>
  <si>
    <t>2,65</t>
  </si>
  <si>
    <t>1,52</t>
  </si>
  <si>
    <t>63,08</t>
  </si>
  <si>
    <t>143,00</t>
  </si>
  <si>
    <t>104,76</t>
  </si>
  <si>
    <t>126,65</t>
  </si>
  <si>
    <t>182,36</t>
  </si>
  <si>
    <t>361,46</t>
  </si>
  <si>
    <t>149,17</t>
  </si>
  <si>
    <t>199,20</t>
  </si>
  <si>
    <t>9,49</t>
  </si>
  <si>
    <t>1,00</t>
  </si>
  <si>
    <t>130,22</t>
  </si>
  <si>
    <t>6,26</t>
  </si>
  <si>
    <t>47,62</t>
  </si>
  <si>
    <t>123,30</t>
  </si>
  <si>
    <t>4,16</t>
  </si>
  <si>
    <t>1,84</t>
  </si>
  <si>
    <t>2,34</t>
  </si>
  <si>
    <t>1,56</t>
  </si>
  <si>
    <t>0,41</t>
  </si>
  <si>
    <t>1,70</t>
  </si>
  <si>
    <t>1,14</t>
  </si>
  <si>
    <t>3,01</t>
  </si>
  <si>
    <t>2,39</t>
  </si>
  <si>
    <t>3,23</t>
  </si>
  <si>
    <t>1,78</t>
  </si>
  <si>
    <t>2,93</t>
  </si>
  <si>
    <t>2,32</t>
  </si>
  <si>
    <t>3,39</t>
  </si>
  <si>
    <t>2,45</t>
  </si>
  <si>
    <t>7,46</t>
  </si>
  <si>
    <t>2,07</t>
  </si>
  <si>
    <t>1,75</t>
  </si>
  <si>
    <t>452,99</t>
  </si>
  <si>
    <t>131,98</t>
  </si>
  <si>
    <t>224,83</t>
  </si>
  <si>
    <t>5,07</t>
  </si>
  <si>
    <t>5,41</t>
  </si>
  <si>
    <t>6,19</t>
  </si>
  <si>
    <t>9,48</t>
  </si>
  <si>
    <t>4,71</t>
  </si>
  <si>
    <t>3,36</t>
  </si>
  <si>
    <t>3,78</t>
  </si>
  <si>
    <t>4,42</t>
  </si>
  <si>
    <t>3,98</t>
  </si>
  <si>
    <t>16,26</t>
  </si>
  <si>
    <t>17,69</t>
  </si>
  <si>
    <t>4,68</t>
  </si>
  <si>
    <t>35,31</t>
  </si>
  <si>
    <t>22,24</t>
  </si>
  <si>
    <t>36,75</t>
  </si>
  <si>
    <t>33,67</t>
  </si>
  <si>
    <t>32,02</t>
  </si>
  <si>
    <t>24,27</t>
  </si>
  <si>
    <t>19,94</t>
  </si>
  <si>
    <t>28,31</t>
  </si>
  <si>
    <t>30,17</t>
  </si>
  <si>
    <t>20,54</t>
  </si>
  <si>
    <t>15,99</t>
  </si>
  <si>
    <t>23,02</t>
  </si>
  <si>
    <t>10,67</t>
  </si>
  <si>
    <t>53,95</t>
  </si>
  <si>
    <t>29,13</t>
  </si>
  <si>
    <t>30,23</t>
  </si>
  <si>
    <t>156,67</t>
  </si>
  <si>
    <t>120,27</t>
  </si>
  <si>
    <t>108,32</t>
  </si>
  <si>
    <t>79,32</t>
  </si>
  <si>
    <t>68,63</t>
  </si>
  <si>
    <t>59,85</t>
  </si>
  <si>
    <t>59,23</t>
  </si>
  <si>
    <t>59,34</t>
  </si>
  <si>
    <t>53,55</t>
  </si>
  <si>
    <t>53,86</t>
  </si>
  <si>
    <t>108,00</t>
  </si>
  <si>
    <t>79,22</t>
  </si>
  <si>
    <t>79,99</t>
  </si>
  <si>
    <t>44,49</t>
  </si>
  <si>
    <t>55,28</t>
  </si>
  <si>
    <t>36,14</t>
  </si>
  <si>
    <t>171,19</t>
  </si>
  <si>
    <t>183,90</t>
  </si>
  <si>
    <t>206,95</t>
  </si>
  <si>
    <t>79,33</t>
  </si>
  <si>
    <t>153,27</t>
  </si>
  <si>
    <t>334,97</t>
  </si>
  <si>
    <t>144,47</t>
  </si>
  <si>
    <t>20,05</t>
  </si>
  <si>
    <t>79,51</t>
  </si>
  <si>
    <t>6.015,27</t>
  </si>
  <si>
    <t>6.358,59</t>
  </si>
  <si>
    <t>4.770,40</t>
  </si>
  <si>
    <t>5.134,02</t>
  </si>
  <si>
    <t>2.570,60</t>
  </si>
  <si>
    <t>3.988,05</t>
  </si>
  <si>
    <t>2.319,30</t>
  </si>
  <si>
    <t>2.470,16</t>
  </si>
  <si>
    <t>1.899,39</t>
  </si>
  <si>
    <t>2.741,87</t>
  </si>
  <si>
    <t>2.136,44</t>
  </si>
  <si>
    <t>3.993,67</t>
  </si>
  <si>
    <t>2.324,93</t>
  </si>
  <si>
    <t>2.475,79</t>
  </si>
  <si>
    <t>1.905,02</t>
  </si>
  <si>
    <t>2.747,50</t>
  </si>
  <si>
    <t>2.210,67</t>
  </si>
  <si>
    <t>1.217,38</t>
  </si>
  <si>
    <t>1.291,62</t>
  </si>
  <si>
    <t>1.253,80</t>
  </si>
  <si>
    <t>200,30</t>
  </si>
  <si>
    <t>62,52</t>
  </si>
  <si>
    <t>134,59</t>
  </si>
  <si>
    <t>196,81</t>
  </si>
  <si>
    <t>96,53</t>
  </si>
  <si>
    <t>223,04</t>
  </si>
  <si>
    <t>93,46</t>
  </si>
  <si>
    <t>248,69</t>
  </si>
  <si>
    <t>645,80</t>
  </si>
  <si>
    <t>1.007,38</t>
  </si>
  <si>
    <t>16,84</t>
  </si>
  <si>
    <t>17,72</t>
  </si>
  <si>
    <t>17,33</t>
  </si>
  <si>
    <t>21,02</t>
  </si>
  <si>
    <t>19,44</t>
  </si>
  <si>
    <t>20,85</t>
  </si>
  <si>
    <t>13,73</t>
  </si>
  <si>
    <t>21,87</t>
  </si>
  <si>
    <t>21,97</t>
  </si>
  <si>
    <t>21,03</t>
  </si>
  <si>
    <t>20,26</t>
  </si>
  <si>
    <t>19,12</t>
  </si>
  <si>
    <t>19,70</t>
  </si>
  <si>
    <t>16,24</t>
  </si>
  <si>
    <t>16,99</t>
  </si>
  <si>
    <t>21,40</t>
  </si>
  <si>
    <t>16,01</t>
  </si>
  <si>
    <t>19,37</t>
  </si>
  <si>
    <t>9,80</t>
  </si>
  <si>
    <t>16,33</t>
  </si>
  <si>
    <t>13,46</t>
  </si>
  <si>
    <t>19,20</t>
  </si>
  <si>
    <t>21,10</t>
  </si>
  <si>
    <t>22,17</t>
  </si>
  <si>
    <t>21,69</t>
  </si>
  <si>
    <t>15,48</t>
  </si>
  <si>
    <t>14,19</t>
  </si>
  <si>
    <t>16,83</t>
  </si>
  <si>
    <t>21,79</t>
  </si>
  <si>
    <t>27,27</t>
  </si>
  <si>
    <t>22,95</t>
  </si>
  <si>
    <t>16,17</t>
  </si>
  <si>
    <t>18,78</t>
  </si>
  <si>
    <t>17,60</t>
  </si>
  <si>
    <t>17,18</t>
  </si>
  <si>
    <t>69,14</t>
  </si>
  <si>
    <t>128,51</t>
  </si>
  <si>
    <t>21,43</t>
  </si>
  <si>
    <t>14,50</t>
  </si>
  <si>
    <t>20,33</t>
  </si>
  <si>
    <t>21,45</t>
  </si>
  <si>
    <t>23,72</t>
  </si>
  <si>
    <t>93,77</t>
  </si>
  <si>
    <t>106,50</t>
  </si>
  <si>
    <t>145,03</t>
  </si>
  <si>
    <t>34,93</t>
  </si>
  <si>
    <t>90,84</t>
  </si>
  <si>
    <t>3.045,04</t>
  </si>
  <si>
    <t>4.688,17</t>
  </si>
  <si>
    <t>3.608,63</t>
  </si>
  <si>
    <t>3.806,49</t>
  </si>
  <si>
    <t>3.805,51</t>
  </si>
  <si>
    <t>3.127,45</t>
  </si>
  <si>
    <t>3.047,70</t>
  </si>
  <si>
    <t>16.537,74</t>
  </si>
  <si>
    <t>2.580,41</t>
  </si>
  <si>
    <t>18.783,32</t>
  </si>
  <si>
    <t>25.570,03</t>
  </si>
  <si>
    <t>12.218,63</t>
  </si>
  <si>
    <t>17.233,79</t>
  </si>
  <si>
    <t>22.691,33</t>
  </si>
  <si>
    <t>4.200,88</t>
  </si>
  <si>
    <t>6.176,20</t>
  </si>
  <si>
    <t>3.123,77</t>
  </si>
  <si>
    <t>0,15</t>
  </si>
  <si>
    <t>0,27</t>
  </si>
  <si>
    <t>0,84</t>
  </si>
  <si>
    <t>0,55</t>
  </si>
  <si>
    <t>7,17</t>
  </si>
  <si>
    <t>10,24</t>
  </si>
  <si>
    <t>8,72</t>
  </si>
  <si>
    <t>146,52</t>
  </si>
  <si>
    <t>7,03</t>
  </si>
  <si>
    <t>166,77</t>
  </si>
  <si>
    <t>227,97</t>
  </si>
  <si>
    <t>60,52</t>
  </si>
  <si>
    <t>85,97</t>
  </si>
  <si>
    <t>113,66</t>
  </si>
  <si>
    <t>49,33</t>
  </si>
  <si>
    <t>74,87</t>
  </si>
  <si>
    <t>16,67</t>
  </si>
  <si>
    <t>0,35</t>
  </si>
  <si>
    <t>13,86</t>
  </si>
  <si>
    <t>135,68</t>
  </si>
  <si>
    <t>94,87</t>
  </si>
  <si>
    <t>106,82</t>
  </si>
  <si>
    <t>23,44</t>
  </si>
  <si>
    <t>73,17</t>
  </si>
  <si>
    <t>90,77</t>
  </si>
  <si>
    <t>115,98</t>
  </si>
  <si>
    <t>130,85</t>
  </si>
  <si>
    <t>47,37</t>
  </si>
  <si>
    <t>2.467,41</t>
  </si>
  <si>
    <t>23.966,29</t>
  </si>
  <si>
    <t>11.587,13</t>
  </si>
  <si>
    <t>16.742,09</t>
  </si>
  <si>
    <t>18.851,26</t>
  </si>
  <si>
    <t>4.619,22</t>
  </si>
  <si>
    <t>16,96</t>
  </si>
  <si>
    <t>3.018,79</t>
  </si>
  <si>
    <t>14,87</t>
  </si>
  <si>
    <t>47,28</t>
  </si>
  <si>
    <t>20,63</t>
  </si>
  <si>
    <t>16,10</t>
  </si>
  <si>
    <t>19,05</t>
  </si>
  <si>
    <t>25,17</t>
  </si>
  <si>
    <t>19,69</t>
  </si>
  <si>
    <t>5,86</t>
  </si>
  <si>
    <t>54,28</t>
  </si>
  <si>
    <t>25,61</t>
  </si>
  <si>
    <t>22,22</t>
  </si>
  <si>
    <t>18,10</t>
  </si>
  <si>
    <t>14,16</t>
  </si>
  <si>
    <t>24,12</t>
  </si>
  <si>
    <t>67,21</t>
  </si>
  <si>
    <t>56,19</t>
  </si>
  <si>
    <t>179,32</t>
  </si>
  <si>
    <t>322,52</t>
  </si>
  <si>
    <t>47,14</t>
  </si>
  <si>
    <t>32,37</t>
  </si>
  <si>
    <t>6,77</t>
  </si>
  <si>
    <t>9,58</t>
  </si>
  <si>
    <t>31,62</t>
  </si>
  <si>
    <t>6,65</t>
  </si>
  <si>
    <t>7,83</t>
  </si>
  <si>
    <t>10,64</t>
  </si>
  <si>
    <t>10,27</t>
  </si>
  <si>
    <t>11,19</t>
  </si>
  <si>
    <t>20,45</t>
  </si>
  <si>
    <t>20,56</t>
  </si>
  <si>
    <t>8,62</t>
  </si>
  <si>
    <t>15,35</t>
  </si>
  <si>
    <t>11,81</t>
  </si>
  <si>
    <t>24,87</t>
  </si>
  <si>
    <t>26,52</t>
  </si>
  <si>
    <t>5,65</t>
  </si>
  <si>
    <t>26,79</t>
  </si>
  <si>
    <t>26,50</t>
  </si>
  <si>
    <t>19,74</t>
  </si>
  <si>
    <t>145,83</t>
  </si>
  <si>
    <t>3.032,38</t>
  </si>
  <si>
    <t>3.021,61</t>
  </si>
  <si>
    <t>2.237,44</t>
  </si>
  <si>
    <t>3.429,61</t>
  </si>
  <si>
    <t>3.207,23</t>
  </si>
  <si>
    <t>3.184,45</t>
  </si>
  <si>
    <t>3.757,98</t>
  </si>
  <si>
    <t>3.189,32</t>
  </si>
  <si>
    <t>3.036,56</t>
  </si>
  <si>
    <t>3.110,32</t>
  </si>
  <si>
    <t>4.185,80</t>
  </si>
  <si>
    <t>2.560,24</t>
  </si>
  <si>
    <t>3.011,57</t>
  </si>
  <si>
    <t>1.450,20</t>
  </si>
  <si>
    <t>4.470,65</t>
  </si>
  <si>
    <t>3.763,61</t>
  </si>
  <si>
    <t>2.746,82</t>
  </si>
  <si>
    <t>3.490,76</t>
  </si>
  <si>
    <t>3.190,00</t>
  </si>
  <si>
    <t>3.576,11</t>
  </si>
  <si>
    <t>3.736,22</t>
  </si>
  <si>
    <t>2.467,00</t>
  </si>
  <si>
    <t>3.904,42</t>
  </si>
  <si>
    <t>3.925,74</t>
  </si>
  <si>
    <t>3.758,98</t>
  </si>
  <si>
    <t>25.726,60</t>
  </si>
  <si>
    <t>15.970,45</t>
  </si>
  <si>
    <t>15.543,82</t>
  </si>
  <si>
    <t>3.632,78</t>
  </si>
  <si>
    <t>3.427,07</t>
  </si>
  <si>
    <t>2.904,66</t>
  </si>
  <si>
    <t>3.286,45</t>
  </si>
  <si>
    <t>2.174,56</t>
  </si>
  <si>
    <t>3.958,26</t>
  </si>
  <si>
    <t>3.533,88</t>
  </si>
  <si>
    <t>3.928,70</t>
  </si>
  <si>
    <t>4.185,52</t>
  </si>
  <si>
    <t>3.823,74</t>
  </si>
  <si>
    <t>2.731,03</t>
  </si>
  <si>
    <t>4.111,53</t>
  </si>
  <si>
    <t>2.913,24</t>
  </si>
  <si>
    <t>3.824,19</t>
  </si>
  <si>
    <t>2.874,75</t>
  </si>
  <si>
    <t>3.256,42</t>
  </si>
  <si>
    <t>3.460,80</t>
  </si>
  <si>
    <t>1.750,38</t>
  </si>
  <si>
    <t>3.169,16</t>
  </si>
  <si>
    <t>2.820,74</t>
  </si>
  <si>
    <t>2.747,37</t>
  </si>
  <si>
    <t>2.929,34</t>
  </si>
  <si>
    <t>3.305,01</t>
  </si>
  <si>
    <t>3.557,19</t>
  </si>
  <si>
    <t>2.767,53</t>
  </si>
  <si>
    <t>2.778,74</t>
  </si>
  <si>
    <t>3.260,17</t>
  </si>
  <si>
    <t>2.883,33</t>
  </si>
  <si>
    <t>2.422,54</t>
  </si>
  <si>
    <t>3.349,04</t>
  </si>
  <si>
    <t>3.944,84</t>
  </si>
  <si>
    <t>3.075,59</t>
  </si>
  <si>
    <t>3.434,16</t>
  </si>
  <si>
    <t>2.879,04</t>
  </si>
  <si>
    <t>2.900,33</t>
  </si>
  <si>
    <t>3.051,14</t>
  </si>
  <si>
    <t>3.774,87</t>
  </si>
  <si>
    <t>3.981,46</t>
  </si>
  <si>
    <t>3.899,26</t>
  </si>
  <si>
    <t>2.773,60</t>
  </si>
  <si>
    <t>2.552,94</t>
  </si>
  <si>
    <t>3.024,14</t>
  </si>
  <si>
    <t>3.912,85</t>
  </si>
  <si>
    <t>4.878,42</t>
  </si>
  <si>
    <t>4.377,17</t>
  </si>
  <si>
    <t>4.482,16</t>
  </si>
  <si>
    <t>3.702,52</t>
  </si>
  <si>
    <t>3.372,40</t>
  </si>
  <si>
    <t>3.003,19</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</si>
  <si>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</si>
  <si>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</si>
  <si>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</si>
  <si>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</si>
  <si>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</si>
  <si>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</si>
  <si>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</si>
  <si>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</si>
  <si>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</si>
  <si>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</si>
  <si>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</si>
  <si>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</si>
  <si>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</si>
  <si>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</si>
  <si>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</si>
  <si>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</si>
  <si>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</si>
  <si>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</si>
  <si>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</si>
  <si>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</si>
  <si>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</si>
  <si>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</si>
  <si>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</si>
  <si>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</si>
  <si>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</si>
  <si>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</si>
  <si>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</si>
  <si>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</si>
  <si>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</si>
  <si>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MES DE COLETA: 02/2022</t>
  </si>
  <si>
    <t>5,99</t>
  </si>
  <si>
    <t>6,67</t>
  </si>
  <si>
    <t>10,02</t>
  </si>
  <si>
    <t>11,73</t>
  </si>
  <si>
    <t>15,15</t>
  </si>
  <si>
    <t>25,45</t>
  </si>
  <si>
    <t>29,65</t>
  </si>
  <si>
    <t>33,55</t>
  </si>
  <si>
    <t>37,63</t>
  </si>
  <si>
    <t>41,75</t>
  </si>
  <si>
    <t>45,88</t>
  </si>
  <si>
    <t>54,65</t>
  </si>
  <si>
    <t>8,39</t>
  </si>
  <si>
    <t>15,86</t>
  </si>
  <si>
    <t>18,49</t>
  </si>
  <si>
    <t>23,37</t>
  </si>
  <si>
    <t>28,53</t>
  </si>
  <si>
    <t>34,19</t>
  </si>
  <si>
    <t>29,00</t>
  </si>
  <si>
    <t>33,58</t>
  </si>
  <si>
    <t>38,17</t>
  </si>
  <si>
    <t>42,77</t>
  </si>
  <si>
    <t>51,97</t>
  </si>
  <si>
    <t>61,15</t>
  </si>
  <si>
    <t>70,36</t>
  </si>
  <si>
    <t>93,04</t>
  </si>
  <si>
    <t>102,70</t>
  </si>
  <si>
    <t>23,50</t>
  </si>
  <si>
    <t>31,03</t>
  </si>
  <si>
    <t>34,81</t>
  </si>
  <si>
    <t>49,91</t>
  </si>
  <si>
    <t>57,46</t>
  </si>
  <si>
    <t>65,02</t>
  </si>
  <si>
    <t>75,76</t>
  </si>
  <si>
    <t>44,07</t>
  </si>
  <si>
    <t>92,52</t>
  </si>
  <si>
    <t>137,77</t>
  </si>
  <si>
    <t>232,87</t>
  </si>
  <si>
    <t>374,06</t>
  </si>
  <si>
    <t>462,68</t>
  </si>
  <si>
    <t>600,00</t>
  </si>
  <si>
    <t>121,59</t>
  </si>
  <si>
    <t>202,72</t>
  </si>
  <si>
    <t>290,25</t>
  </si>
  <si>
    <t>391,69</t>
  </si>
  <si>
    <t>459,99</t>
  </si>
  <si>
    <t>1.274,71</t>
  </si>
  <si>
    <t>20,70</t>
  </si>
  <si>
    <t>24,67</t>
  </si>
  <si>
    <t>28,58</t>
  </si>
  <si>
    <t>36,40</t>
  </si>
  <si>
    <t>40,30</t>
  </si>
  <si>
    <t>44,22</t>
  </si>
  <si>
    <t>3,62</t>
  </si>
  <si>
    <t>4,05</t>
  </si>
  <si>
    <t>4,48</t>
  </si>
  <si>
    <t>3,93</t>
  </si>
  <si>
    <t>4,37</t>
  </si>
  <si>
    <t>4,80</t>
  </si>
  <si>
    <t>7,43</t>
  </si>
  <si>
    <t>259,98</t>
  </si>
  <si>
    <t>307,74</t>
  </si>
  <si>
    <t>1.800,48</t>
  </si>
  <si>
    <t>24,13</t>
  </si>
  <si>
    <t>2.397,60</t>
  </si>
  <si>
    <t>3.747,79</t>
  </si>
  <si>
    <t>42,12</t>
  </si>
  <si>
    <t>53,42</t>
  </si>
  <si>
    <t>1,44</t>
  </si>
  <si>
    <t>71,58</t>
  </si>
  <si>
    <t>79,39</t>
  </si>
  <si>
    <t>102,90</t>
  </si>
  <si>
    <t>126,35</t>
  </si>
  <si>
    <t>190,28</t>
  </si>
  <si>
    <t>199,95</t>
  </si>
  <si>
    <t>9,17</t>
  </si>
  <si>
    <t>350,04</t>
  </si>
  <si>
    <t>10,99</t>
  </si>
  <si>
    <t>428,03</t>
  </si>
  <si>
    <t>558,68</t>
  </si>
  <si>
    <t>14,89</t>
  </si>
  <si>
    <t>581,53</t>
  </si>
  <si>
    <t>16,94</t>
  </si>
  <si>
    <t>856,83</t>
  </si>
  <si>
    <t>884,70</t>
  </si>
  <si>
    <t>20,83</t>
  </si>
  <si>
    <t>196,63</t>
  </si>
  <si>
    <t>207,83</t>
  </si>
  <si>
    <t>17,15</t>
  </si>
  <si>
    <t>359,82</t>
  </si>
  <si>
    <t>20,89</t>
  </si>
  <si>
    <t>439,47</t>
  </si>
  <si>
    <t>24,63</t>
  </si>
  <si>
    <t>571,79</t>
  </si>
  <si>
    <t>28,16</t>
  </si>
  <si>
    <t>596,58</t>
  </si>
  <si>
    <t>873,80</t>
  </si>
  <si>
    <t>35,72</t>
  </si>
  <si>
    <t>903,11</t>
  </si>
  <si>
    <t>39,46</t>
  </si>
  <si>
    <t>145,97</t>
  </si>
  <si>
    <t>175,40</t>
  </si>
  <si>
    <t>262,39</t>
  </si>
  <si>
    <t>345,28</t>
  </si>
  <si>
    <t>417,51</t>
  </si>
  <si>
    <t>479,65</t>
  </si>
  <si>
    <t>501,36</t>
  </si>
  <si>
    <t>153,94</t>
  </si>
  <si>
    <t>185,28</t>
  </si>
  <si>
    <t>273,97</t>
  </si>
  <si>
    <t>358,78</t>
  </si>
  <si>
    <t>432,57</t>
  </si>
  <si>
    <t>496,36</t>
  </si>
  <si>
    <t>520,07</t>
  </si>
  <si>
    <t>32,42</t>
  </si>
  <si>
    <t>41,65</t>
  </si>
  <si>
    <t>50,72</t>
  </si>
  <si>
    <t>70,12</t>
  </si>
  <si>
    <t>81,62</t>
  </si>
  <si>
    <t>93,71</t>
  </si>
  <si>
    <t>107,79</t>
  </si>
  <si>
    <t>722,70</t>
  </si>
  <si>
    <t>134,88</t>
  </si>
  <si>
    <t>1.033,18</t>
  </si>
  <si>
    <t>181,56</t>
  </si>
  <si>
    <t>49,62</t>
  </si>
  <si>
    <t>60,60</t>
  </si>
  <si>
    <t>83,62</t>
  </si>
  <si>
    <t>96,68</t>
  </si>
  <si>
    <t>110,42</t>
  </si>
  <si>
    <t>126,50</t>
  </si>
  <si>
    <t>744,75</t>
  </si>
  <si>
    <t>156,93</t>
  </si>
  <si>
    <t>1.060,23</t>
  </si>
  <si>
    <t>208,61</t>
  </si>
  <si>
    <t>124,49</t>
  </si>
  <si>
    <t>75,28</t>
  </si>
  <si>
    <t>92,27</t>
  </si>
  <si>
    <t>126,19</t>
  </si>
  <si>
    <t>81,43</t>
  </si>
  <si>
    <t>100,14</t>
  </si>
  <si>
    <t>135,96</t>
  </si>
  <si>
    <t>7,47</t>
  </si>
  <si>
    <t>17,76</t>
  </si>
  <si>
    <t>4,00</t>
  </si>
  <si>
    <t>5,85</t>
  </si>
  <si>
    <t>8,41</t>
  </si>
  <si>
    <t>10,05</t>
  </si>
  <si>
    <t>31,88</t>
  </si>
  <si>
    <t>45,57</t>
  </si>
  <si>
    <t>55,17</t>
  </si>
  <si>
    <t>59,25</t>
  </si>
  <si>
    <t>67,40</t>
  </si>
  <si>
    <t>71,90</t>
  </si>
  <si>
    <t>79,19</t>
  </si>
  <si>
    <t>91,18</t>
  </si>
  <si>
    <t>98,46</t>
  </si>
  <si>
    <t>117,75</t>
  </si>
  <si>
    <t>76,77</t>
  </si>
  <si>
    <t>125,99</t>
  </si>
  <si>
    <t>143,07</t>
  </si>
  <si>
    <t>192,31</t>
  </si>
  <si>
    <t>209,40</t>
  </si>
  <si>
    <t>258,64</t>
  </si>
  <si>
    <t>275,72</t>
  </si>
  <si>
    <t>309,92</t>
  </si>
  <si>
    <t>376,23</t>
  </si>
  <si>
    <t>410,42</t>
  </si>
  <si>
    <t>476,75</t>
  </si>
  <si>
    <t>510,95</t>
  </si>
  <si>
    <t>611,46</t>
  </si>
  <si>
    <t>82,71</t>
  </si>
  <si>
    <t>182,20</t>
  </si>
  <si>
    <t>281,67</t>
  </si>
  <si>
    <t>307,30</t>
  </si>
  <si>
    <t>381,15</t>
  </si>
  <si>
    <t>406,79</t>
  </si>
  <si>
    <t>458,08</t>
  </si>
  <si>
    <t>557,56</t>
  </si>
  <si>
    <t>608,85</t>
  </si>
  <si>
    <t>708,32</t>
  </si>
  <si>
    <t>759,62</t>
  </si>
  <si>
    <t>910,38</t>
  </si>
  <si>
    <t>45,19</t>
  </si>
  <si>
    <t>69,81</t>
  </si>
  <si>
    <t>78,34</t>
  </si>
  <si>
    <t>111,50</t>
  </si>
  <si>
    <t>136,12</t>
  </si>
  <si>
    <t>144,67</t>
  </si>
  <si>
    <t>161,76</t>
  </si>
  <si>
    <t>194,92</t>
  </si>
  <si>
    <t>212,01</t>
  </si>
  <si>
    <t>245,13</t>
  </si>
  <si>
    <t>262,27</t>
  </si>
  <si>
    <t>312,53</t>
  </si>
  <si>
    <t>11,51</t>
  </si>
  <si>
    <t>138,37</t>
  </si>
  <si>
    <t>1.319,54</t>
  </si>
  <si>
    <t>461,70</t>
  </si>
  <si>
    <t>1.131,91</t>
  </si>
  <si>
    <t>1.824,47</t>
  </si>
  <si>
    <t>3.201,45</t>
  </si>
  <si>
    <t>4.761,20</t>
  </si>
  <si>
    <t>3.129,87</t>
  </si>
  <si>
    <t>5.121,45</t>
  </si>
  <si>
    <t>5.648,08</t>
  </si>
  <si>
    <t>4.177,50</t>
  </si>
  <si>
    <t>2.064,40</t>
  </si>
  <si>
    <t>1.383,97</t>
  </si>
  <si>
    <t>2,66</t>
  </si>
  <si>
    <t>14,66</t>
  </si>
  <si>
    <t>24,00</t>
  </si>
  <si>
    <t>26,67</t>
  </si>
  <si>
    <t>33,34</t>
  </si>
  <si>
    <t>37,34</t>
  </si>
  <si>
    <t>47,35</t>
  </si>
  <si>
    <t>53,35</t>
  </si>
  <si>
    <t>16,79</t>
  </si>
  <si>
    <t>29,34</t>
  </si>
  <si>
    <t>42,67</t>
  </si>
  <si>
    <t>48,02</t>
  </si>
  <si>
    <t>60,02</t>
  </si>
  <si>
    <t>66,69</t>
  </si>
  <si>
    <t>74,69</t>
  </si>
  <si>
    <t>84,03</t>
  </si>
  <si>
    <t>94,70</t>
  </si>
  <si>
    <t>106,71</t>
  </si>
  <si>
    <t>15,60</t>
  </si>
  <si>
    <t>18,21</t>
  </si>
  <si>
    <t>36,56</t>
  </si>
  <si>
    <t>258,17</t>
  </si>
  <si>
    <t>2.980,78</t>
  </si>
  <si>
    <t>34,23</t>
  </si>
  <si>
    <t>59,55</t>
  </si>
  <si>
    <t>1.693,91</t>
  </si>
  <si>
    <t>34,62</t>
  </si>
  <si>
    <t>47,61</t>
  </si>
  <si>
    <t>88,36</t>
  </si>
  <si>
    <t>2.404,38</t>
  </si>
  <si>
    <t>183,62</t>
  </si>
  <si>
    <t>217,72</t>
  </si>
  <si>
    <t>406,54</t>
  </si>
  <si>
    <t>412,07</t>
  </si>
  <si>
    <t>545,39</t>
  </si>
  <si>
    <t>1.054,62</t>
  </si>
  <si>
    <t>1.054,95</t>
  </si>
  <si>
    <t>843,14</t>
  </si>
  <si>
    <t>867,57</t>
  </si>
  <si>
    <t>561,26</t>
  </si>
  <si>
    <t>547,32</t>
  </si>
  <si>
    <t>929,58</t>
  </si>
  <si>
    <t>939,51</t>
  </si>
  <si>
    <t>5.351,63</t>
  </si>
  <si>
    <t>8.321,10</t>
  </si>
  <si>
    <t>258,49</t>
  </si>
  <si>
    <t>417,49</t>
  </si>
  <si>
    <t>825,33</t>
  </si>
  <si>
    <t>1.087,51</t>
  </si>
  <si>
    <t>129,23</t>
  </si>
  <si>
    <t>131,58</t>
  </si>
  <si>
    <t>115,34</t>
  </si>
  <si>
    <t>152,49</t>
  </si>
  <si>
    <t>190,94</t>
  </si>
  <si>
    <t>133,09</t>
  </si>
  <si>
    <t>163,03</t>
  </si>
  <si>
    <t>176,77</t>
  </si>
  <si>
    <t>180,17</t>
  </si>
  <si>
    <t>160,88</t>
  </si>
  <si>
    <t>162,94</t>
  </si>
  <si>
    <t>204,09</t>
  </si>
  <si>
    <t>252,36</t>
  </si>
  <si>
    <t>182,70</t>
  </si>
  <si>
    <t>221,79</t>
  </si>
  <si>
    <t>125,27</t>
  </si>
  <si>
    <t>95,95</t>
  </si>
  <si>
    <t>4.613,63</t>
  </si>
  <si>
    <t>7.020,86</t>
  </si>
  <si>
    <t>188,22</t>
  </si>
  <si>
    <t>115,29</t>
  </si>
  <si>
    <t>104,92</t>
  </si>
  <si>
    <t>147,07</t>
  </si>
  <si>
    <t>15,95</t>
  </si>
  <si>
    <t>183,98</t>
  </si>
  <si>
    <t>169,52</t>
  </si>
  <si>
    <t>174,80</t>
  </si>
  <si>
    <t>350,31</t>
  </si>
  <si>
    <t>222,41</t>
  </si>
  <si>
    <t>210,68</t>
  </si>
  <si>
    <t>568,09</t>
  </si>
  <si>
    <t>148,37</t>
  </si>
  <si>
    <t>104,46</t>
  </si>
  <si>
    <t>130,39</t>
  </si>
  <si>
    <t>106,58</t>
  </si>
  <si>
    <t>174,19</t>
  </si>
  <si>
    <t>169,30</t>
  </si>
  <si>
    <t>274,42</t>
  </si>
  <si>
    <t>29,40</t>
  </si>
  <si>
    <t>229,82</t>
  </si>
  <si>
    <t>205,72</t>
  </si>
  <si>
    <t>155,36</t>
  </si>
  <si>
    <t>192,26</t>
  </si>
  <si>
    <t>225,40</t>
  </si>
  <si>
    <t>197,21</t>
  </si>
  <si>
    <t>208,26</t>
  </si>
  <si>
    <t>153,28</t>
  </si>
  <si>
    <t>178,82</t>
  </si>
  <si>
    <t>145,79</t>
  </si>
  <si>
    <t>232,78</t>
  </si>
  <si>
    <t>84,47</t>
  </si>
  <si>
    <t>175,30</t>
  </si>
  <si>
    <t>225,41</t>
  </si>
  <si>
    <t>156,09</t>
  </si>
  <si>
    <t>110,74</t>
  </si>
  <si>
    <t>543,28</t>
  </si>
  <si>
    <t>1.297,22</t>
  </si>
  <si>
    <t>1.122,23</t>
  </si>
  <si>
    <t>301,82</t>
  </si>
  <si>
    <t>176,12</t>
  </si>
  <si>
    <t>178,16</t>
  </si>
  <si>
    <t>286,61</t>
  </si>
  <si>
    <t>320,20</t>
  </si>
  <si>
    <t>124,63</t>
  </si>
  <si>
    <t>632,72</t>
  </si>
  <si>
    <t>360,73</t>
  </si>
  <si>
    <t>136,86</t>
  </si>
  <si>
    <t>90,37</t>
  </si>
  <si>
    <t>182,71</t>
  </si>
  <si>
    <t>220,61</t>
  </si>
  <si>
    <t>183,94</t>
  </si>
  <si>
    <t>200,80</t>
  </si>
  <si>
    <t>418,07</t>
  </si>
  <si>
    <t>15,82</t>
  </si>
  <si>
    <t>293,24</t>
  </si>
  <si>
    <t>78,15</t>
  </si>
  <si>
    <t>365,73</t>
  </si>
  <si>
    <t>946,49</t>
  </si>
  <si>
    <t>114,68</t>
  </si>
  <si>
    <t>282,62</t>
  </si>
  <si>
    <t>224,80</t>
  </si>
  <si>
    <t>76,62</t>
  </si>
  <si>
    <t>3.207,25</t>
  </si>
  <si>
    <t>118,30</t>
  </si>
  <si>
    <t>274,10</t>
  </si>
  <si>
    <t>196,52</t>
  </si>
  <si>
    <t>124,65</t>
  </si>
  <si>
    <t>126,95</t>
  </si>
  <si>
    <t>216,61</t>
  </si>
  <si>
    <t>122,48</t>
  </si>
  <si>
    <t>231,81</t>
  </si>
  <si>
    <t>227,14</t>
  </si>
  <si>
    <t>160,42</t>
  </si>
  <si>
    <t>234,16</t>
  </si>
  <si>
    <t>171,84</t>
  </si>
  <si>
    <t>232,85</t>
  </si>
  <si>
    <t>120,62</t>
  </si>
  <si>
    <t>73,35</t>
  </si>
  <si>
    <t>203,95</t>
  </si>
  <si>
    <t>593,67</t>
  </si>
  <si>
    <t>1.277,46</t>
  </si>
  <si>
    <t>40,15</t>
  </si>
  <si>
    <t>37,66</t>
  </si>
  <si>
    <t>50,70</t>
  </si>
  <si>
    <t>33,70</t>
  </si>
  <si>
    <t>112,87</t>
  </si>
  <si>
    <t>120,91</t>
  </si>
  <si>
    <t>35,16</t>
  </si>
  <si>
    <t>56,59</t>
  </si>
  <si>
    <t>58,98</t>
  </si>
  <si>
    <t>64,01</t>
  </si>
  <si>
    <t>40,33</t>
  </si>
  <si>
    <t>45,30</t>
  </si>
  <si>
    <t>52,21</t>
  </si>
  <si>
    <t>66,47</t>
  </si>
  <si>
    <t>38,74</t>
  </si>
  <si>
    <t>71,15</t>
  </si>
  <si>
    <t>64,73</t>
  </si>
  <si>
    <t>39,53</t>
  </si>
  <si>
    <t>28,29</t>
  </si>
  <si>
    <t>66,23</t>
  </si>
  <si>
    <t>48,48</t>
  </si>
  <si>
    <t>74,29</t>
  </si>
  <si>
    <t>29,63</t>
  </si>
  <si>
    <t>61,85</t>
  </si>
  <si>
    <t>159,27</t>
  </si>
  <si>
    <t>349,24</t>
  </si>
  <si>
    <t>305,71</t>
  </si>
  <si>
    <t>102,16</t>
  </si>
  <si>
    <t>74,17</t>
  </si>
  <si>
    <t>57,37</t>
  </si>
  <si>
    <t>66,22</t>
  </si>
  <si>
    <t>252,70</t>
  </si>
  <si>
    <t>137,74</t>
  </si>
  <si>
    <t>32,04</t>
  </si>
  <si>
    <t>41,06</t>
  </si>
  <si>
    <t>44,35</t>
  </si>
  <si>
    <t>36,66</t>
  </si>
  <si>
    <t>44,20</t>
  </si>
  <si>
    <t>39,87</t>
  </si>
  <si>
    <t>63,02</t>
  </si>
  <si>
    <t>29,03</t>
  </si>
  <si>
    <t>19,71</t>
  </si>
  <si>
    <t>13,98</t>
  </si>
  <si>
    <t>384,96</t>
  </si>
  <si>
    <t>52,14</t>
  </si>
  <si>
    <t>60,55</t>
  </si>
  <si>
    <t>129,84</t>
  </si>
  <si>
    <t>22,81</t>
  </si>
  <si>
    <t>200,55</t>
  </si>
  <si>
    <t>82,76</t>
  </si>
  <si>
    <t>147,94</t>
  </si>
  <si>
    <t>66,76</t>
  </si>
  <si>
    <t>68,71</t>
  </si>
  <si>
    <t>64,06</t>
  </si>
  <si>
    <t>75,11</t>
  </si>
  <si>
    <t>39,92</t>
  </si>
  <si>
    <t>49,15</t>
  </si>
  <si>
    <t>34,67</t>
  </si>
  <si>
    <t>46,37</t>
  </si>
  <si>
    <t>36,00</t>
  </si>
  <si>
    <t>74,65</t>
  </si>
  <si>
    <t>168,39</t>
  </si>
  <si>
    <t>418,56</t>
  </si>
  <si>
    <t>366,72</t>
  </si>
  <si>
    <t>411,33</t>
  </si>
  <si>
    <t>454,56</t>
  </si>
  <si>
    <t>524,18</t>
  </si>
  <si>
    <t>66,56</t>
  </si>
  <si>
    <t>64,56</t>
  </si>
  <si>
    <t>77,73</t>
  </si>
  <si>
    <t>794,07</t>
  </si>
  <si>
    <t>969,56</t>
  </si>
  <si>
    <t>1.028,35</t>
  </si>
  <si>
    <t>1.142,74</t>
  </si>
  <si>
    <t>1.415,58</t>
  </si>
  <si>
    <t>1.808,31</t>
  </si>
  <si>
    <t>1.883,41</t>
  </si>
  <si>
    <t>2.039,14</t>
  </si>
  <si>
    <t>2.322,23</t>
  </si>
  <si>
    <t>2.408,16</t>
  </si>
  <si>
    <t>783,08</t>
  </si>
  <si>
    <t>950,30</t>
  </si>
  <si>
    <t>1.009,08</t>
  </si>
  <si>
    <t>1.131,74</t>
  </si>
  <si>
    <t>1.395,10</t>
  </si>
  <si>
    <t>1.780,42</t>
  </si>
  <si>
    <t>1.856,27</t>
  </si>
  <si>
    <t>1.992,74</t>
  </si>
  <si>
    <t>2.267,97</t>
  </si>
  <si>
    <t>2.341,70</t>
  </si>
  <si>
    <t>30,82</t>
  </si>
  <si>
    <t>19,07</t>
  </si>
  <si>
    <t>39,96</t>
  </si>
  <si>
    <t>44,11</t>
  </si>
  <si>
    <t>35,42</t>
  </si>
  <si>
    <t>42,49</t>
  </si>
  <si>
    <t>14,97</t>
  </si>
  <si>
    <t>35,76</t>
  </si>
  <si>
    <t>44,42</t>
  </si>
  <si>
    <t>59,00</t>
  </si>
  <si>
    <t>47,85</t>
  </si>
  <si>
    <t>50,77</t>
  </si>
  <si>
    <t>128,41</t>
  </si>
  <si>
    <t>73,74</t>
  </si>
  <si>
    <t>216,07</t>
  </si>
  <si>
    <t>25,30</t>
  </si>
  <si>
    <t>84,46</t>
  </si>
  <si>
    <t>57,60</t>
  </si>
  <si>
    <t>21,89</t>
  </si>
  <si>
    <t>62,05</t>
  </si>
  <si>
    <t>64,33</t>
  </si>
  <si>
    <t>65,57</t>
  </si>
  <si>
    <t>171,24</t>
  </si>
  <si>
    <t>51,65</t>
  </si>
  <si>
    <t>55,31</t>
  </si>
  <si>
    <t>141,71</t>
  </si>
  <si>
    <t>167,27</t>
  </si>
  <si>
    <t>192,66</t>
  </si>
  <si>
    <t>233,48</t>
  </si>
  <si>
    <t>148,43</t>
  </si>
  <si>
    <t>83,69</t>
  </si>
  <si>
    <t>53,63</t>
  </si>
  <si>
    <t>154,04</t>
  </si>
  <si>
    <t>93,61</t>
  </si>
  <si>
    <t>55,91</t>
  </si>
  <si>
    <t>150,36</t>
  </si>
  <si>
    <t>42,34</t>
  </si>
  <si>
    <t>156,57</t>
  </si>
  <si>
    <t>79,74</t>
  </si>
  <si>
    <t>44,16</t>
  </si>
  <si>
    <t>54,26</t>
  </si>
  <si>
    <t>749,73</t>
  </si>
  <si>
    <t>898,23</t>
  </si>
  <si>
    <t>1.046,73</t>
  </si>
  <si>
    <t>1.312,26</t>
  </si>
  <si>
    <t>1.460,76</t>
  </si>
  <si>
    <t>1.634,65</t>
  </si>
  <si>
    <t>1.912,24</t>
  </si>
  <si>
    <t>2.107,93</t>
  </si>
  <si>
    <t>2.256,42</t>
  </si>
  <si>
    <t>2.442,51</t>
  </si>
  <si>
    <t>860,64</t>
  </si>
  <si>
    <t>1.009,14</t>
  </si>
  <si>
    <t>1.237,08</t>
  </si>
  <si>
    <t>1.385,58</t>
  </si>
  <si>
    <t>1.559,47</t>
  </si>
  <si>
    <t>1.761,89</t>
  </si>
  <si>
    <t>1.995,16</t>
  </si>
  <si>
    <t>2.143,66</t>
  </si>
  <si>
    <t>2.292,16</t>
  </si>
  <si>
    <t>823,61</t>
  </si>
  <si>
    <t>1.099,97</t>
  </si>
  <si>
    <t>1.159,52</t>
  </si>
  <si>
    <t>1.284,92</t>
  </si>
  <si>
    <t>1.585,69</t>
  </si>
  <si>
    <t>2.246,22</t>
  </si>
  <si>
    <t>2.321,22</t>
  </si>
  <si>
    <t>2.508,91</t>
  </si>
  <si>
    <t>2.855,44</t>
  </si>
  <si>
    <t>3.049,35</t>
  </si>
  <si>
    <t>801,62</t>
  </si>
  <si>
    <t>1.072,83</t>
  </si>
  <si>
    <t>1.132,39</t>
  </si>
  <si>
    <t>1.341,83</t>
  </si>
  <si>
    <t>1.513,34</t>
  </si>
  <si>
    <t>2.122,24</t>
  </si>
  <si>
    <t>2.194,19</t>
  </si>
  <si>
    <t>2.339,70</t>
  </si>
  <si>
    <t>2.605,48</t>
  </si>
  <si>
    <t>2.554,87</t>
  </si>
  <si>
    <t>12,90</t>
  </si>
  <si>
    <t>818,89</t>
  </si>
  <si>
    <t>29,57</t>
  </si>
  <si>
    <t>19,60</t>
  </si>
  <si>
    <t>67,87</t>
  </si>
  <si>
    <t>87,55</t>
  </si>
  <si>
    <t>94,54</t>
  </si>
  <si>
    <t>115,56</t>
  </si>
  <si>
    <t>117,56</t>
  </si>
  <si>
    <t>128,36</t>
  </si>
  <si>
    <t>153,46</t>
  </si>
  <si>
    <t>137,14</t>
  </si>
  <si>
    <t>158,16</t>
  </si>
  <si>
    <t>56,03</t>
  </si>
  <si>
    <t>92,71</t>
  </si>
  <si>
    <t>12,34</t>
  </si>
  <si>
    <t>30,81</t>
  </si>
  <si>
    <t>51,46</t>
  </si>
  <si>
    <t>73,54</t>
  </si>
  <si>
    <t>8,17</t>
  </si>
  <si>
    <t>110,12</t>
  </si>
  <si>
    <t>110,41</t>
  </si>
  <si>
    <t>116,90</t>
  </si>
  <si>
    <t>117,19</t>
  </si>
  <si>
    <t>46,62</t>
  </si>
  <si>
    <t>552,36</t>
  </si>
  <si>
    <t>535,08</t>
  </si>
  <si>
    <t>685,67</t>
  </si>
  <si>
    <t>633,55</t>
  </si>
  <si>
    <t>761,80</t>
  </si>
  <si>
    <t>690,15</t>
  </si>
  <si>
    <t>795,92</t>
  </si>
  <si>
    <t>1.373,08</t>
  </si>
  <si>
    <t>1.708,69</t>
  </si>
  <si>
    <t>2.043,05</t>
  </si>
  <si>
    <t>529,18</t>
  </si>
  <si>
    <t>483,22</t>
  </si>
  <si>
    <t>203,54</t>
  </si>
  <si>
    <t>230,86</t>
  </si>
  <si>
    <t>264,08</t>
  </si>
  <si>
    <t>624,35</t>
  </si>
  <si>
    <t>121,02</t>
  </si>
  <si>
    <t>151,98</t>
  </si>
  <si>
    <t>163,61</t>
  </si>
  <si>
    <t>130,91</t>
  </si>
  <si>
    <t>143,65</t>
  </si>
  <si>
    <t>163,12</t>
  </si>
  <si>
    <t>175,87</t>
  </si>
  <si>
    <t>121,65</t>
  </si>
  <si>
    <t>143,11</t>
  </si>
  <si>
    <t>126,30</t>
  </si>
  <si>
    <t>147,59</t>
  </si>
  <si>
    <t>132,99</t>
  </si>
  <si>
    <t>155,39</t>
  </si>
  <si>
    <t>163,13</t>
  </si>
  <si>
    <t>129,43</t>
  </si>
  <si>
    <t>141,38</t>
  </si>
  <si>
    <t>161,44</t>
  </si>
  <si>
    <t>173,50</t>
  </si>
  <si>
    <t>137,61</t>
  </si>
  <si>
    <t>150,77</t>
  </si>
  <si>
    <t>170,52</t>
  </si>
  <si>
    <t>183,91</t>
  </si>
  <si>
    <t>147,99</t>
  </si>
  <si>
    <t>128,55</t>
  </si>
  <si>
    <t>150,24</t>
  </si>
  <si>
    <t>160,03</t>
  </si>
  <si>
    <t>143,54</t>
  </si>
  <si>
    <t>166,29</t>
  </si>
  <si>
    <t>192,62</t>
  </si>
  <si>
    <t>180,49</t>
  </si>
  <si>
    <t>173,18</t>
  </si>
  <si>
    <t>167,97</t>
  </si>
  <si>
    <t>163,84</t>
  </si>
  <si>
    <t>207,89</t>
  </si>
  <si>
    <t>195,02</t>
  </si>
  <si>
    <t>187,30</t>
  </si>
  <si>
    <t>181,88</t>
  </si>
  <si>
    <t>177,59</t>
  </si>
  <si>
    <t>180,42</t>
  </si>
  <si>
    <t>168,34</t>
  </si>
  <si>
    <t>161,09</t>
  </si>
  <si>
    <t>154,47</t>
  </si>
  <si>
    <t>151,79</t>
  </si>
  <si>
    <t>195,71</t>
  </si>
  <si>
    <t>175,21</t>
  </si>
  <si>
    <t>169,81</t>
  </si>
  <si>
    <t>160,50</t>
  </si>
  <si>
    <t>23,78</t>
  </si>
  <si>
    <t>975,79</t>
  </si>
  <si>
    <t>589,97</t>
  </si>
  <si>
    <t>767,48</t>
  </si>
  <si>
    <t>478,11</t>
  </si>
  <si>
    <t>15,66</t>
  </si>
  <si>
    <t>13,74</t>
  </si>
  <si>
    <t>679,17</t>
  </si>
  <si>
    <t>32,11</t>
  </si>
  <si>
    <t>79,43</t>
  </si>
  <si>
    <t>135,05</t>
  </si>
  <si>
    <t>43,06</t>
  </si>
  <si>
    <t>60,98</t>
  </si>
  <si>
    <t>82,14</t>
  </si>
  <si>
    <t>99,17</t>
  </si>
  <si>
    <t>99,58</t>
  </si>
  <si>
    <t>241,71</t>
  </si>
  <si>
    <t>302,95</t>
  </si>
  <si>
    <t>425,47</t>
  </si>
  <si>
    <t>557,00</t>
  </si>
  <si>
    <t>757,45</t>
  </si>
  <si>
    <t>1.011,51</t>
  </si>
  <si>
    <t>910,87</t>
  </si>
  <si>
    <t>1.936,20</t>
  </si>
  <si>
    <t>738,09</t>
  </si>
  <si>
    <t>1.623,59</t>
  </si>
  <si>
    <t>1.558,03</t>
  </si>
  <si>
    <t>2.867,57</t>
  </si>
  <si>
    <t>1.559,62</t>
  </si>
  <si>
    <t>2.742,98</t>
  </si>
  <si>
    <t>2.495,03</t>
  </si>
  <si>
    <t>4.300,19</t>
  </si>
  <si>
    <t>1.122,71</t>
  </si>
  <si>
    <t>2.463,94</t>
  </si>
  <si>
    <t>1.195,18</t>
  </si>
  <si>
    <t>2.142,56</t>
  </si>
  <si>
    <t>1.957,17</t>
  </si>
  <si>
    <t>3.697,98</t>
  </si>
  <si>
    <t>414,41</t>
  </si>
  <si>
    <t>431,01</t>
  </si>
  <si>
    <t>964,48</t>
  </si>
  <si>
    <t>1.356,86</t>
  </si>
  <si>
    <t>807,10</t>
  </si>
  <si>
    <t>1.795,47</t>
  </si>
  <si>
    <t>1.006,84</t>
  </si>
  <si>
    <t>434,54</t>
  </si>
  <si>
    <t>1.215,34</t>
  </si>
  <si>
    <t>579,84</t>
  </si>
  <si>
    <t>2.667,57</t>
  </si>
  <si>
    <t>1.423,88</t>
  </si>
  <si>
    <t>836,54</t>
  </si>
  <si>
    <t>3.451,03</t>
  </si>
  <si>
    <t>1.736,67</t>
  </si>
  <si>
    <t>2.201,01</t>
  </si>
  <si>
    <t>1.041,13</t>
  </si>
  <si>
    <t>2.788,29</t>
  </si>
  <si>
    <t>1.242,68</t>
  </si>
  <si>
    <t>1.444,25</t>
  </si>
  <si>
    <t>1.645,81</t>
  </si>
  <si>
    <t>4.586,17</t>
  </si>
  <si>
    <t>1.847,40</t>
  </si>
  <si>
    <t>2.048,96</t>
  </si>
  <si>
    <t>5.765,95</t>
  </si>
  <si>
    <t>2.250,51</t>
  </si>
  <si>
    <t>3.473,93</t>
  </si>
  <si>
    <t>4.253,97</t>
  </si>
  <si>
    <t>5.005,21</t>
  </si>
  <si>
    <t>5.756,41</t>
  </si>
  <si>
    <t>6.512,02</t>
  </si>
  <si>
    <t>7.258,93</t>
  </si>
  <si>
    <t>2.470,71</t>
  </si>
  <si>
    <t>5.141,23</t>
  </si>
  <si>
    <t>1.866,09</t>
  </si>
  <si>
    <t>6.043,41</t>
  </si>
  <si>
    <t>2.067,59</t>
  </si>
  <si>
    <t>7.004,98</t>
  </si>
  <si>
    <t>2.269,20</t>
  </si>
  <si>
    <t>7.910,88</t>
  </si>
  <si>
    <t>8.816,84</t>
  </si>
  <si>
    <t>2.676,14</t>
  </si>
  <si>
    <t>7.200,83</t>
  </si>
  <si>
    <t>2.273,10</t>
  </si>
  <si>
    <t>8.300,50</t>
  </si>
  <si>
    <t>2.474,61</t>
  </si>
  <si>
    <t>9.400,10</t>
  </si>
  <si>
    <t>10.499,75</t>
  </si>
  <si>
    <t>2.881,58</t>
  </si>
  <si>
    <t>9.609,06</t>
  </si>
  <si>
    <t>2.680,04</t>
  </si>
  <si>
    <t>10.878,18</t>
  </si>
  <si>
    <t>12.147,30</t>
  </si>
  <si>
    <t>3.087,05</t>
  </si>
  <si>
    <t>12.347,10</t>
  </si>
  <si>
    <t>13.794,80</t>
  </si>
  <si>
    <t>3.292,49</t>
  </si>
  <si>
    <t>16.130,66</t>
  </si>
  <si>
    <t>3.459,82</t>
  </si>
  <si>
    <t>240,92</t>
  </si>
  <si>
    <t>802,31</t>
  </si>
  <si>
    <t>2.228,96</t>
  </si>
  <si>
    <t>5.177,95</t>
  </si>
  <si>
    <t>3.375,44</t>
  </si>
  <si>
    <t>3.962,71</t>
  </si>
  <si>
    <t>328,29</t>
  </si>
  <si>
    <t>1.073,50</t>
  </si>
  <si>
    <t>1.062,21</t>
  </si>
  <si>
    <t>1.223,87</t>
  </si>
  <si>
    <t>1.279,48</t>
  </si>
  <si>
    <t>1.496,75</t>
  </si>
  <si>
    <t>1.617,21</t>
  </si>
  <si>
    <t>1.737,67</t>
  </si>
  <si>
    <t>1.781,68</t>
  </si>
  <si>
    <t>1.998,95</t>
  </si>
  <si>
    <t>2.216,22</t>
  </si>
  <si>
    <t>2.336,68</t>
  </si>
  <si>
    <t>2.457,14</t>
  </si>
  <si>
    <t>3.379,51</t>
  </si>
  <si>
    <t>4.091,45</t>
  </si>
  <si>
    <t>4.492,60</t>
  </si>
  <si>
    <t>4.893,76</t>
  </si>
  <si>
    <t>3.387,04</t>
  </si>
  <si>
    <t>4.098,98</t>
  </si>
  <si>
    <t>4.810,92</t>
  </si>
  <si>
    <t>5.212,07</t>
  </si>
  <si>
    <t>5.613,23</t>
  </si>
  <si>
    <t>577,27</t>
  </si>
  <si>
    <t>1.390,23</t>
  </si>
  <si>
    <t>2.594,11</t>
  </si>
  <si>
    <t>1.354,31</t>
  </si>
  <si>
    <t>4.165,71</t>
  </si>
  <si>
    <t>833,02</t>
  </si>
  <si>
    <t>1.583,84</t>
  </si>
  <si>
    <t>3.977,41</t>
  </si>
  <si>
    <t>1.656,27</t>
  </si>
  <si>
    <t>2.155,00</t>
  </si>
  <si>
    <t>1.002,99</t>
  </si>
  <si>
    <t>4.913,41</t>
  </si>
  <si>
    <t>2.729,58</t>
  </si>
  <si>
    <t>1.196,60</t>
  </si>
  <si>
    <t>1.777,49</t>
  </si>
  <si>
    <t>3.304,01</t>
  </si>
  <si>
    <t>3.881,01</t>
  </si>
  <si>
    <t>411,13</t>
  </si>
  <si>
    <t>571,35</t>
  </si>
  <si>
    <t>5.636,32</t>
  </si>
  <si>
    <t>931,41</t>
  </si>
  <si>
    <t>1.314,14</t>
  </si>
  <si>
    <t>4.489,38</t>
  </si>
  <si>
    <t>800,65</t>
  </si>
  <si>
    <t>1.971,10</t>
  </si>
  <si>
    <t>326,72</t>
  </si>
  <si>
    <t>5.068,47</t>
  </si>
  <si>
    <t>1.737,54</t>
  </si>
  <si>
    <t>2.184,41</t>
  </si>
  <si>
    <t>951,69</t>
  </si>
  <si>
    <t>6.371,74</t>
  </si>
  <si>
    <t>1.139,26</t>
  </si>
  <si>
    <t>5.643,77</t>
  </si>
  <si>
    <t>8.127,55</t>
  </si>
  <si>
    <t>432,49</t>
  </si>
  <si>
    <t>2.141,20</t>
  </si>
  <si>
    <t>3.401,59</t>
  </si>
  <si>
    <t>2.164,72</t>
  </si>
  <si>
    <t>2.162,90</t>
  </si>
  <si>
    <t>1.152,98</t>
  </si>
  <si>
    <t>7.057,88</t>
  </si>
  <si>
    <t>2.377,98</t>
  </si>
  <si>
    <t>2.374,59</t>
  </si>
  <si>
    <t>9.203,73</t>
  </si>
  <si>
    <t>2.571,56</t>
  </si>
  <si>
    <t>10.280,13</t>
  </si>
  <si>
    <t>5.038,01</t>
  </si>
  <si>
    <t>2.768,57</t>
  </si>
  <si>
    <t>9.408,25</t>
  </si>
  <si>
    <t>2.574,96</t>
  </si>
  <si>
    <t>10.650,73</t>
  </si>
  <si>
    <t>1.853,68</t>
  </si>
  <si>
    <t>11.890,17</t>
  </si>
  <si>
    <t>2.965,59</t>
  </si>
  <si>
    <t>12.099,64</t>
  </si>
  <si>
    <t>5.917,15</t>
  </si>
  <si>
    <t>13.506,21</t>
  </si>
  <si>
    <t>3.162,59</t>
  </si>
  <si>
    <t>15.119,25</t>
  </si>
  <si>
    <t>1.987,35</t>
  </si>
  <si>
    <t>240,21</t>
  </si>
  <si>
    <t>756,18</t>
  </si>
  <si>
    <t>6.859,96</t>
  </si>
  <si>
    <t>2.181,01</t>
  </si>
  <si>
    <t>7.747,12</t>
  </si>
  <si>
    <t>8.634,32</t>
  </si>
  <si>
    <t>7.050,98</t>
  </si>
  <si>
    <t>3.326,35</t>
  </si>
  <si>
    <t>1.328,46</t>
  </si>
  <si>
    <t>1.022,85</t>
  </si>
  <si>
    <t>437,59</t>
  </si>
  <si>
    <t>379,99</t>
  </si>
  <si>
    <t>434,70</t>
  </si>
  <si>
    <t>2.495,79</t>
  </si>
  <si>
    <t>1.488,56</t>
  </si>
  <si>
    <t>2.398,15</t>
  </si>
  <si>
    <t>2.369,01</t>
  </si>
  <si>
    <t>1.471,27</t>
  </si>
  <si>
    <t>41,36</t>
  </si>
  <si>
    <t>50,01</t>
  </si>
  <si>
    <t>53,39</t>
  </si>
  <si>
    <t>73,27</t>
  </si>
  <si>
    <t>77,99</t>
  </si>
  <si>
    <t>89,53</t>
  </si>
  <si>
    <t>95,81</t>
  </si>
  <si>
    <t>49,96</t>
  </si>
  <si>
    <t>38,41</t>
  </si>
  <si>
    <t>41,44</t>
  </si>
  <si>
    <t>48,63</t>
  </si>
  <si>
    <t>50,18</t>
  </si>
  <si>
    <t>59,40</t>
  </si>
  <si>
    <t>66,70</t>
  </si>
  <si>
    <t>75,92</t>
  </si>
  <si>
    <t>91,98</t>
  </si>
  <si>
    <t>45,97</t>
  </si>
  <si>
    <t>49,56</t>
  </si>
  <si>
    <t>57,63</t>
  </si>
  <si>
    <t>60,82</t>
  </si>
  <si>
    <t>68,88</t>
  </si>
  <si>
    <t>7,48</t>
  </si>
  <si>
    <t>90,98</t>
  </si>
  <si>
    <t>13,90</t>
  </si>
  <si>
    <t>15,16</t>
  </si>
  <si>
    <t>14,69</t>
  </si>
  <si>
    <t>651,15</t>
  </si>
  <si>
    <t>1.085,74</t>
  </si>
  <si>
    <t>2.239,16</t>
  </si>
  <si>
    <t>3.769,12</t>
  </si>
  <si>
    <t>5.673,12</t>
  </si>
  <si>
    <t>7.991,71</t>
  </si>
  <si>
    <t>13.886,05</t>
  </si>
  <si>
    <t>4.553,08</t>
  </si>
  <si>
    <t>6.852,17</t>
  </si>
  <si>
    <t>9.669,15</t>
  </si>
  <si>
    <t>16.824,53</t>
  </si>
  <si>
    <t>8.507,37</t>
  </si>
  <si>
    <t>11.951,39</t>
  </si>
  <si>
    <t>20.592,38</t>
  </si>
  <si>
    <t>2.737,93</t>
  </si>
  <si>
    <t>4.797,06</t>
  </si>
  <si>
    <t>7.688,53</t>
  </si>
  <si>
    <t>11.440,94</t>
  </si>
  <si>
    <t>21.828,74</t>
  </si>
  <si>
    <t>10.760,43</t>
  </si>
  <si>
    <t>16.065,35</t>
  </si>
  <si>
    <t>29.993,65</t>
  </si>
  <si>
    <t>13.846,15</t>
  </si>
  <si>
    <t>20.710,76</t>
  </si>
  <si>
    <t>38.308,98</t>
  </si>
  <si>
    <t>12.974,67</t>
  </si>
  <si>
    <t>20.224,38</t>
  </si>
  <si>
    <t>28.226,45</t>
  </si>
  <si>
    <t>40.201,83</t>
  </si>
  <si>
    <t>16.103,13</t>
  </si>
  <si>
    <t>24.474,05</t>
  </si>
  <si>
    <t>34.416,72</t>
  </si>
  <si>
    <t>48.594,55</t>
  </si>
  <si>
    <t>18.626,31</t>
  </si>
  <si>
    <t>28.786,64</t>
  </si>
  <si>
    <t>40.456,59</t>
  </si>
  <si>
    <t>57.616,59</t>
  </si>
  <si>
    <t>6.727,48</t>
  </si>
  <si>
    <t>10.041,64</t>
  </si>
  <si>
    <t>15.198,42</t>
  </si>
  <si>
    <t>23.060,34</t>
  </si>
  <si>
    <t>7.741,56</t>
  </si>
  <si>
    <t>11.469,99</t>
  </si>
  <si>
    <t>12.829,22</t>
  </si>
  <si>
    <t>16.971,92</t>
  </si>
  <si>
    <t>26.991,30</t>
  </si>
  <si>
    <t>8.686,52</t>
  </si>
  <si>
    <t>14.175,49</t>
  </si>
  <si>
    <t>18.667,66</t>
  </si>
  <si>
    <t>31.138,26</t>
  </si>
  <si>
    <t>24.700,44</t>
  </si>
  <si>
    <t>40.330,11</t>
  </si>
  <si>
    <t>54.544,18</t>
  </si>
  <si>
    <t>78.247,63</t>
  </si>
  <si>
    <t>26.353,14</t>
  </si>
  <si>
    <t>42.686,15</t>
  </si>
  <si>
    <t>60.628,67</t>
  </si>
  <si>
    <t>74.282,01</t>
  </si>
  <si>
    <t>26.905,50</t>
  </si>
  <si>
    <t>46.846,00</t>
  </si>
  <si>
    <t>65.750,76</t>
  </si>
  <si>
    <t>78.890,56</t>
  </si>
  <si>
    <t>16,98</t>
  </si>
  <si>
    <t>23,08</t>
  </si>
  <si>
    <t>19,52</t>
  </si>
  <si>
    <t>10,52</t>
  </si>
  <si>
    <t>16,82</t>
  </si>
  <si>
    <t>38,39</t>
  </si>
  <si>
    <t>25,48</t>
  </si>
  <si>
    <t>33,23</t>
  </si>
  <si>
    <t>22,91</t>
  </si>
  <si>
    <t>50,23</t>
  </si>
  <si>
    <t>62,17</t>
  </si>
  <si>
    <t>41,51</t>
  </si>
  <si>
    <t>53,45</t>
  </si>
  <si>
    <t>36,39</t>
  </si>
  <si>
    <t>48,53</t>
  </si>
  <si>
    <t>74,73</t>
  </si>
  <si>
    <t>108,94</t>
  </si>
  <si>
    <t>56,63</t>
  </si>
  <si>
    <t>90,83</t>
  </si>
  <si>
    <t>39,89</t>
  </si>
  <si>
    <t>74,27</t>
  </si>
  <si>
    <t>20,64</t>
  </si>
  <si>
    <t>749,91</t>
  </si>
  <si>
    <t>751,14</t>
  </si>
  <si>
    <t>774,48</t>
  </si>
  <si>
    <t>906,83</t>
  </si>
  <si>
    <t>959,71</t>
  </si>
  <si>
    <t>636,64</t>
  </si>
  <si>
    <t>641,88</t>
  </si>
  <si>
    <t>647,11</t>
  </si>
  <si>
    <t>652,34</t>
  </si>
  <si>
    <t>952,56</t>
  </si>
  <si>
    <t>982,14</t>
  </si>
  <si>
    <t>192,87</t>
  </si>
  <si>
    <t>263,69</t>
  </si>
  <si>
    <t>287,15</t>
  </si>
  <si>
    <t>292,17</t>
  </si>
  <si>
    <t>312,76</t>
  </si>
  <si>
    <t>384,50</t>
  </si>
  <si>
    <t>548,90</t>
  </si>
  <si>
    <t>611,03</t>
  </si>
  <si>
    <t>148,12</t>
  </si>
  <si>
    <t>130,65</t>
  </si>
  <si>
    <t>749,17</t>
  </si>
  <si>
    <t>755,60</t>
  </si>
  <si>
    <t>795,07</t>
  </si>
  <si>
    <t>868,22</t>
  </si>
  <si>
    <t>1.031,21</t>
  </si>
  <si>
    <t>1.094,75</t>
  </si>
  <si>
    <t>618,52</t>
  </si>
  <si>
    <t>624,95</t>
  </si>
  <si>
    <t>646,95</t>
  </si>
  <si>
    <t>720,10</t>
  </si>
  <si>
    <t>883,09</t>
  </si>
  <si>
    <t>946,63</t>
  </si>
  <si>
    <t>297,39</t>
  </si>
  <si>
    <t>302,90</t>
  </si>
  <si>
    <t>354,34</t>
  </si>
  <si>
    <t>393,58</t>
  </si>
  <si>
    <t>628,76</t>
  </si>
  <si>
    <t>635,68</t>
  </si>
  <si>
    <t>688,53</t>
  </si>
  <si>
    <t>729,18</t>
  </si>
  <si>
    <t>146,51</t>
  </si>
  <si>
    <t>217,33</t>
  </si>
  <si>
    <t>306,26</t>
  </si>
  <si>
    <t>327,68</t>
  </si>
  <si>
    <t>360,25</t>
  </si>
  <si>
    <t>762,42</t>
  </si>
  <si>
    <t>1.064,73</t>
  </si>
  <si>
    <t>87,46</t>
  </si>
  <si>
    <t>88,92</t>
  </si>
  <si>
    <t>74,84</t>
  </si>
  <si>
    <t>641,01</t>
  </si>
  <si>
    <t>632,94</t>
  </si>
  <si>
    <t>667,15</t>
  </si>
  <si>
    <t>739,88</t>
  </si>
  <si>
    <t>903,29</t>
  </si>
  <si>
    <t>966,41</t>
  </si>
  <si>
    <t>552,09</t>
  </si>
  <si>
    <t>558,10</t>
  </si>
  <si>
    <t>579,69</t>
  </si>
  <si>
    <t>652,42</t>
  </si>
  <si>
    <t>815,83</t>
  </si>
  <si>
    <t>878,95</t>
  </si>
  <si>
    <t>562,33</t>
  </si>
  <si>
    <t>568,83</t>
  </si>
  <si>
    <t>621,27</t>
  </si>
  <si>
    <t>661,50</t>
  </si>
  <si>
    <t>637,63</t>
  </si>
  <si>
    <t>571,20</t>
  </si>
  <si>
    <t>660,46</t>
  </si>
  <si>
    <t>593,61</t>
  </si>
  <si>
    <t>694,44</t>
  </si>
  <si>
    <t>627,18</t>
  </si>
  <si>
    <t>1.096,61</t>
  </si>
  <si>
    <t>1.029,35</t>
  </si>
  <si>
    <t>1.398,92</t>
  </si>
  <si>
    <t>1.331,66</t>
  </si>
  <si>
    <t>7,05</t>
  </si>
  <si>
    <t>4,96</t>
  </si>
  <si>
    <t>856,61</t>
  </si>
  <si>
    <t>123,20</t>
  </si>
  <si>
    <t>759,41</t>
  </si>
  <si>
    <t>651,25</t>
  </si>
  <si>
    <t>766,33</t>
  </si>
  <si>
    <t>791,11</t>
  </si>
  <si>
    <t>668,45</t>
  </si>
  <si>
    <t>836,65</t>
  </si>
  <si>
    <t>708,73</t>
  </si>
  <si>
    <t>877,30</t>
  </si>
  <si>
    <t>748,96</t>
  </si>
  <si>
    <t>768,28</t>
  </si>
  <si>
    <t>660,12</t>
  </si>
  <si>
    <t>842,56</t>
  </si>
  <si>
    <t>714,64</t>
  </si>
  <si>
    <t>1.244,73</t>
  </si>
  <si>
    <t>1.116,81</t>
  </si>
  <si>
    <t>1.547,04</t>
  </si>
  <si>
    <t>1.419,12</t>
  </si>
  <si>
    <t>51,41</t>
  </si>
  <si>
    <t>56,11</t>
  </si>
  <si>
    <t>66,63</t>
  </si>
  <si>
    <t>671,79</t>
  </si>
  <si>
    <t>643,67</t>
  </si>
  <si>
    <t>966,48</t>
  </si>
  <si>
    <t>757,44</t>
  </si>
  <si>
    <t>1.262,00</t>
  </si>
  <si>
    <t>1.474,66</t>
  </si>
  <si>
    <t>888,83</t>
  </si>
  <si>
    <t>1.209,96</t>
  </si>
  <si>
    <t>1.510,32</t>
  </si>
  <si>
    <t>962,24</t>
  </si>
  <si>
    <t>553,95</t>
  </si>
  <si>
    <t>769,18</t>
  </si>
  <si>
    <t>762,94</t>
  </si>
  <si>
    <t>65,48</t>
  </si>
  <si>
    <t>60,09</t>
  </si>
  <si>
    <t>577,03</t>
  </si>
  <si>
    <t>460,00</t>
  </si>
  <si>
    <t>1.474,85</t>
  </si>
  <si>
    <t>104,99</t>
  </si>
  <si>
    <t>549,13</t>
  </si>
  <si>
    <t>493,31</t>
  </si>
  <si>
    <t>1.379,64</t>
  </si>
  <si>
    <t>890,12</t>
  </si>
  <si>
    <t>720,17</t>
  </si>
  <si>
    <t>748,39</t>
  </si>
  <si>
    <t>641,19</t>
  </si>
  <si>
    <t>583,11</t>
  </si>
  <si>
    <t>463,60</t>
  </si>
  <si>
    <t>827,53</t>
  </si>
  <si>
    <t>206,75</t>
  </si>
  <si>
    <t>66,38</t>
  </si>
  <si>
    <t>72,43</t>
  </si>
  <si>
    <t>59,69</t>
  </si>
  <si>
    <t>140,37</t>
  </si>
  <si>
    <t>177,91</t>
  </si>
  <si>
    <t>35,81</t>
  </si>
  <si>
    <t>97,44</t>
  </si>
  <si>
    <t>208,34</t>
  </si>
  <si>
    <t>267,43</t>
  </si>
  <si>
    <t>346,22</t>
  </si>
  <si>
    <t>300,75</t>
  </si>
  <si>
    <t>365,19</t>
  </si>
  <si>
    <t>354,03</t>
  </si>
  <si>
    <t>491,91</t>
  </si>
  <si>
    <t>502,73</t>
  </si>
  <si>
    <t>603,38</t>
  </si>
  <si>
    <t>228,03</t>
  </si>
  <si>
    <t>301,11</t>
  </si>
  <si>
    <t>360,20</t>
  </si>
  <si>
    <t>438,99</t>
  </si>
  <si>
    <t>376,48</t>
  </si>
  <si>
    <t>440,92</t>
  </si>
  <si>
    <t>412,66</t>
  </si>
  <si>
    <t>550,54</t>
  </si>
  <si>
    <t>546,19</t>
  </si>
  <si>
    <t>641,23</t>
  </si>
  <si>
    <t>320,80</t>
  </si>
  <si>
    <t>691,65</t>
  </si>
  <si>
    <t>688,43</t>
  </si>
  <si>
    <t>1.276,52</t>
  </si>
  <si>
    <t>2.689,10</t>
  </si>
  <si>
    <t>3.109,69</t>
  </si>
  <si>
    <t>384,64</t>
  </si>
  <si>
    <t>457,60</t>
  </si>
  <si>
    <t>555,01</t>
  </si>
  <si>
    <t>1.148,57</t>
  </si>
  <si>
    <t>2.305,37</t>
  </si>
  <si>
    <t>1.960,77</t>
  </si>
  <si>
    <t>3.929,57</t>
  </si>
  <si>
    <t>989,22</t>
  </si>
  <si>
    <t>524,72</t>
  </si>
  <si>
    <t>754,31</t>
  </si>
  <si>
    <t>599,86</t>
  </si>
  <si>
    <t>832,37</t>
  </si>
  <si>
    <t>21,80</t>
  </si>
  <si>
    <t>19,50</t>
  </si>
  <si>
    <t>1.120,62</t>
  </si>
  <si>
    <t>1.030,41</t>
  </si>
  <si>
    <t>987,59</t>
  </si>
  <si>
    <t>938,69</t>
  </si>
  <si>
    <t>864,86</t>
  </si>
  <si>
    <t>843,94</t>
  </si>
  <si>
    <t>827,64</t>
  </si>
  <si>
    <t>815,52</t>
  </si>
  <si>
    <t>765,57</t>
  </si>
  <si>
    <t>1.166,70</t>
  </si>
  <si>
    <t>1.121,78</t>
  </si>
  <si>
    <t>1.070,08</t>
  </si>
  <si>
    <t>992,06</t>
  </si>
  <si>
    <t>976,38</t>
  </si>
  <si>
    <t>958,17</t>
  </si>
  <si>
    <t>943,69</t>
  </si>
  <si>
    <t>890,00</t>
  </si>
  <si>
    <t>727,03</t>
  </si>
  <si>
    <t>868,75</t>
  </si>
  <si>
    <t>10,57</t>
  </si>
  <si>
    <t>28,87</t>
  </si>
  <si>
    <t>44,81</t>
  </si>
  <si>
    <t>82,29</t>
  </si>
  <si>
    <t>11,84</t>
  </si>
  <si>
    <t>21,77</t>
  </si>
  <si>
    <t>138,42</t>
  </si>
  <si>
    <t>270,06</t>
  </si>
  <si>
    <t>455,20</t>
  </si>
  <si>
    <t>621,31</t>
  </si>
  <si>
    <t>721,98</t>
  </si>
  <si>
    <t>103,03</t>
  </si>
  <si>
    <t>134,36</t>
  </si>
  <si>
    <t>316,70</t>
  </si>
  <si>
    <t>15,03</t>
  </si>
  <si>
    <t>60,23</t>
  </si>
  <si>
    <t>120,89</t>
  </si>
  <si>
    <t>238,43</t>
  </si>
  <si>
    <t>273,30</t>
  </si>
  <si>
    <t>71,06</t>
  </si>
  <si>
    <t>97,02</t>
  </si>
  <si>
    <t>127,11</t>
  </si>
  <si>
    <t>67,88</t>
  </si>
  <si>
    <t>131,29</t>
  </si>
  <si>
    <t>14,82</t>
  </si>
  <si>
    <t>15,36</t>
  </si>
  <si>
    <t>494,63</t>
  </si>
  <si>
    <t>177,69</t>
  </si>
  <si>
    <t>125,14</t>
  </si>
  <si>
    <t>165,49</t>
  </si>
  <si>
    <t>120,83</t>
  </si>
  <si>
    <t>94,25</t>
  </si>
  <si>
    <t>1,82</t>
  </si>
  <si>
    <t>25,41</t>
  </si>
  <si>
    <t>23,99</t>
  </si>
  <si>
    <t>22,58</t>
  </si>
  <si>
    <t>646,91</t>
  </si>
  <si>
    <t>28,60</t>
  </si>
  <si>
    <t>205,83</t>
  </si>
  <si>
    <t>259,15</t>
  </si>
  <si>
    <t>305,97</t>
  </si>
  <si>
    <t>115,04</t>
  </si>
  <si>
    <t>120,57</t>
  </si>
  <si>
    <t>365,02</t>
  </si>
  <si>
    <t>452,36</t>
  </si>
  <si>
    <t>197,34</t>
  </si>
  <si>
    <t>225,94</t>
  </si>
  <si>
    <t>234,54</t>
  </si>
  <si>
    <t>281,36</t>
  </si>
  <si>
    <t>340,41</t>
  </si>
  <si>
    <t>427,75</t>
  </si>
  <si>
    <t>172,32</t>
  </si>
  <si>
    <t>232,48</t>
  </si>
  <si>
    <t>126,54</t>
  </si>
  <si>
    <t>68,82</t>
  </si>
  <si>
    <t>116,10</t>
  </si>
  <si>
    <t>173,74</t>
  </si>
  <si>
    <t>133,85</t>
  </si>
  <si>
    <t>83,00</t>
  </si>
  <si>
    <t>40,24</t>
  </si>
  <si>
    <t>14,91</t>
  </si>
  <si>
    <t>243,23</t>
  </si>
  <si>
    <t>150,45</t>
  </si>
  <si>
    <t>92,86</t>
  </si>
  <si>
    <t>131,40</t>
  </si>
  <si>
    <t>147,09</t>
  </si>
  <si>
    <t>80,69</t>
  </si>
  <si>
    <t>65,30</t>
  </si>
  <si>
    <t>57,51</t>
  </si>
  <si>
    <t>52,27</t>
  </si>
  <si>
    <t>61,17</t>
  </si>
  <si>
    <t>50,06</t>
  </si>
  <si>
    <t>53,53</t>
  </si>
  <si>
    <t>230,47</t>
  </si>
  <si>
    <t>160,43</t>
  </si>
  <si>
    <t>127,25</t>
  </si>
  <si>
    <t>272,16</t>
  </si>
  <si>
    <t>327,58</t>
  </si>
  <si>
    <t>184,22</t>
  </si>
  <si>
    <t>153,77</t>
  </si>
  <si>
    <t>233,12</t>
  </si>
  <si>
    <t>297,55</t>
  </si>
  <si>
    <t>150,55</t>
  </si>
  <si>
    <t>122,84</t>
  </si>
  <si>
    <t>201,49</t>
  </si>
  <si>
    <t>279,18</t>
  </si>
  <si>
    <t>126,89</t>
  </si>
  <si>
    <t>98,06</t>
  </si>
  <si>
    <t>185,92</t>
  </si>
  <si>
    <t>268,17</t>
  </si>
  <si>
    <t>114,82</t>
  </si>
  <si>
    <t>93,17</t>
  </si>
  <si>
    <t>147,51</t>
  </si>
  <si>
    <t>264,64</t>
  </si>
  <si>
    <t>95,02</t>
  </si>
  <si>
    <t>89,61</t>
  </si>
  <si>
    <t>133,88</t>
  </si>
  <si>
    <t>258,81</t>
  </si>
  <si>
    <t>86,35</t>
  </si>
  <si>
    <t>84,27</t>
  </si>
  <si>
    <t>123,01</t>
  </si>
  <si>
    <t>253,90</t>
  </si>
  <si>
    <t>79,85</t>
  </si>
  <si>
    <t>99,31</t>
  </si>
  <si>
    <t>243,92</t>
  </si>
  <si>
    <t>70,71</t>
  </si>
  <si>
    <t>249,17</t>
  </si>
  <si>
    <t>176,92</t>
  </si>
  <si>
    <t>122,71</t>
  </si>
  <si>
    <t>96,47</t>
  </si>
  <si>
    <t>53,92</t>
  </si>
  <si>
    <t>92,72</t>
  </si>
  <si>
    <t>50,50</t>
  </si>
  <si>
    <t>90,16</t>
  </si>
  <si>
    <t>48,18</t>
  </si>
  <si>
    <t>88,81</t>
  </si>
  <si>
    <t>46,99</t>
  </si>
  <si>
    <t>51,01</t>
  </si>
  <si>
    <t>44,76</t>
  </si>
  <si>
    <t>107,94</t>
  </si>
  <si>
    <t>85,80</t>
  </si>
  <si>
    <t>42,32</t>
  </si>
  <si>
    <t>71,87</t>
  </si>
  <si>
    <t>69,63</t>
  </si>
  <si>
    <t>66,37</t>
  </si>
  <si>
    <t>239,65</t>
  </si>
  <si>
    <t>179,00</t>
  </si>
  <si>
    <t>169,28</t>
  </si>
  <si>
    <t>194,53</t>
  </si>
  <si>
    <t>272,19</t>
  </si>
  <si>
    <t>150,10</t>
  </si>
  <si>
    <t>168,51</t>
  </si>
  <si>
    <t>90,71</t>
  </si>
  <si>
    <t>69,08</t>
  </si>
  <si>
    <t>114,52</t>
  </si>
  <si>
    <t>170,01</t>
  </si>
  <si>
    <t>237,05</t>
  </si>
  <si>
    <t>114,19</t>
  </si>
  <si>
    <t>112,30</t>
  </si>
  <si>
    <t>159,08</t>
  </si>
  <si>
    <t>17,73</t>
  </si>
  <si>
    <t>182,97</t>
  </si>
  <si>
    <t>27,47</t>
  </si>
  <si>
    <t>23,13</t>
  </si>
  <si>
    <t>216,69</t>
  </si>
  <si>
    <t>162,74</t>
  </si>
  <si>
    <t>377,92</t>
  </si>
  <si>
    <t>323,78</t>
  </si>
  <si>
    <t>260,33</t>
  </si>
  <si>
    <t>242,02</t>
  </si>
  <si>
    <t>209,38</t>
  </si>
  <si>
    <t>181,81</t>
  </si>
  <si>
    <t>164,39</t>
  </si>
  <si>
    <t>229,39</t>
  </si>
  <si>
    <t>160,81</t>
  </si>
  <si>
    <t>190,95</t>
  </si>
  <si>
    <t>222,13</t>
  </si>
  <si>
    <t>168,86</t>
  </si>
  <si>
    <t>177,38</t>
  </si>
  <si>
    <t>226,50</t>
  </si>
  <si>
    <t>160,93</t>
  </si>
  <si>
    <t>223,47</t>
  </si>
  <si>
    <t>238,80</t>
  </si>
  <si>
    <t>190,51</t>
  </si>
  <si>
    <t>226,91</t>
  </si>
  <si>
    <t>159,86</t>
  </si>
  <si>
    <t>376,33</t>
  </si>
  <si>
    <t>326,01</t>
  </si>
  <si>
    <t>257,57</t>
  </si>
  <si>
    <t>240,55</t>
  </si>
  <si>
    <t>214,91</t>
  </si>
  <si>
    <t>185,94</t>
  </si>
  <si>
    <t>167,63</t>
  </si>
  <si>
    <t>372,12</t>
  </si>
  <si>
    <t>313,14</t>
  </si>
  <si>
    <t>261,43</t>
  </si>
  <si>
    <t>240,77</t>
  </si>
  <si>
    <t>206,30</t>
  </si>
  <si>
    <t>178,12</t>
  </si>
  <si>
    <t>162,54</t>
  </si>
  <si>
    <t>408,60</t>
  </si>
  <si>
    <t>344,19</t>
  </si>
  <si>
    <t>235,01</t>
  </si>
  <si>
    <t>179,23</t>
  </si>
  <si>
    <t>163,39</t>
  </si>
  <si>
    <t>387,26</t>
  </si>
  <si>
    <t>324,75</t>
  </si>
  <si>
    <t>265,82</t>
  </si>
  <si>
    <t>242,60</t>
  </si>
  <si>
    <t>208,89</t>
  </si>
  <si>
    <t>181,27</t>
  </si>
  <si>
    <t>164,69</t>
  </si>
  <si>
    <t>413,97</t>
  </si>
  <si>
    <t>354,80</t>
  </si>
  <si>
    <t>249,12</t>
  </si>
  <si>
    <t>227,44</t>
  </si>
  <si>
    <t>202,45</t>
  </si>
  <si>
    <t>173,75</t>
  </si>
  <si>
    <t>157,88</t>
  </si>
  <si>
    <t>365,36</t>
  </si>
  <si>
    <t>309,18</t>
  </si>
  <si>
    <t>248,47</t>
  </si>
  <si>
    <t>231,40</t>
  </si>
  <si>
    <t>198,59</t>
  </si>
  <si>
    <t>170,38</t>
  </si>
  <si>
    <t>154,82</t>
  </si>
  <si>
    <t>371,90</t>
  </si>
  <si>
    <t>320,32</t>
  </si>
  <si>
    <t>230,68</t>
  </si>
  <si>
    <t>215,36</t>
  </si>
  <si>
    <t>191,21</t>
  </si>
  <si>
    <t>164,31</t>
  </si>
  <si>
    <t>153,90</t>
  </si>
  <si>
    <t>3.466,41</t>
  </si>
  <si>
    <t>4.222,50</t>
  </si>
  <si>
    <t>4.432,94</t>
  </si>
  <si>
    <t>4.577,22</t>
  </si>
  <si>
    <t>4.926,33</t>
  </si>
  <si>
    <t>5.012,04</t>
  </si>
  <si>
    <t>4.834,12</t>
  </si>
  <si>
    <t>4.316,98</t>
  </si>
  <si>
    <t>227,86</t>
  </si>
  <si>
    <t>171,93</t>
  </si>
  <si>
    <t>177,60</t>
  </si>
  <si>
    <t>216,03</t>
  </si>
  <si>
    <t>202,93</t>
  </si>
  <si>
    <t>11,87</t>
  </si>
  <si>
    <t>12,32</t>
  </si>
  <si>
    <t>11,59</t>
  </si>
  <si>
    <t>12,64</t>
  </si>
  <si>
    <t>13,09</t>
  </si>
  <si>
    <t>11,21</t>
  </si>
  <si>
    <t>10,92</t>
  </si>
  <si>
    <t>11,65</t>
  </si>
  <si>
    <t>13,12</t>
  </si>
  <si>
    <t>17,66</t>
  </si>
  <si>
    <t>15,73</t>
  </si>
  <si>
    <t>11,63</t>
  </si>
  <si>
    <t>12,80</t>
  </si>
  <si>
    <t>10,12</t>
  </si>
  <si>
    <t>11,80</t>
  </si>
  <si>
    <t>12,46</t>
  </si>
  <si>
    <t>12,66</t>
  </si>
  <si>
    <t>10,16</t>
  </si>
  <si>
    <t>12,85</t>
  </si>
  <si>
    <t>13,62</t>
  </si>
  <si>
    <t>15,55</t>
  </si>
  <si>
    <t>11,07</t>
  </si>
  <si>
    <t>12,07</t>
  </si>
  <si>
    <t>14,58</t>
  </si>
  <si>
    <t>10,74</t>
  </si>
  <si>
    <t>12,50</t>
  </si>
  <si>
    <t>13,66</t>
  </si>
  <si>
    <t>13,06</t>
  </si>
  <si>
    <t>17,90</t>
  </si>
  <si>
    <t>13,49</t>
  </si>
  <si>
    <t>11,08</t>
  </si>
  <si>
    <t>9,96</t>
  </si>
  <si>
    <t>9,76</t>
  </si>
  <si>
    <t>9,61</t>
  </si>
  <si>
    <t>828,46</t>
  </si>
  <si>
    <t>728,52</t>
  </si>
  <si>
    <t>802,90</t>
  </si>
  <si>
    <t>439,95</t>
  </si>
  <si>
    <t>488,89</t>
  </si>
  <si>
    <t>548,82</t>
  </si>
  <si>
    <t>647,63</t>
  </si>
  <si>
    <t>431,75</t>
  </si>
  <si>
    <t>480,79</t>
  </si>
  <si>
    <t>543,96</t>
  </si>
  <si>
    <t>647,32</t>
  </si>
  <si>
    <t>327,99</t>
  </si>
  <si>
    <t>369,75</t>
  </si>
  <si>
    <t>407,40</t>
  </si>
  <si>
    <t>428,31</t>
  </si>
  <si>
    <t>445,12</t>
  </si>
  <si>
    <t>514,05</t>
  </si>
  <si>
    <t>327,09</t>
  </si>
  <si>
    <t>366,54</t>
  </si>
  <si>
    <t>400,17</t>
  </si>
  <si>
    <t>425,35</t>
  </si>
  <si>
    <t>442,15</t>
  </si>
  <si>
    <t>510,12</t>
  </si>
  <si>
    <t>374,59</t>
  </si>
  <si>
    <t>412,23</t>
  </si>
  <si>
    <t>591,38</t>
  </si>
  <si>
    <t>651,99</t>
  </si>
  <si>
    <t>701,80</t>
  </si>
  <si>
    <t>707,27</t>
  </si>
  <si>
    <t>681,84</t>
  </si>
  <si>
    <t>701,90</t>
  </si>
  <si>
    <t>682,01</t>
  </si>
  <si>
    <t>735,36</t>
  </si>
  <si>
    <t>704,84</t>
  </si>
  <si>
    <t>684,02</t>
  </si>
  <si>
    <t>750,69</t>
  </si>
  <si>
    <t>721,85</t>
  </si>
  <si>
    <t>726,06</t>
  </si>
  <si>
    <t>690,45</t>
  </si>
  <si>
    <t>450,40</t>
  </si>
  <si>
    <t>489,62</t>
  </si>
  <si>
    <t>531,89</t>
  </si>
  <si>
    <t>554,17</t>
  </si>
  <si>
    <t>586,57</t>
  </si>
  <si>
    <t>641,34</t>
  </si>
  <si>
    <t>450,08</t>
  </si>
  <si>
    <t>486,87</t>
  </si>
  <si>
    <t>525,19</t>
  </si>
  <si>
    <t>554,20</t>
  </si>
  <si>
    <t>584,12</t>
  </si>
  <si>
    <t>642,57</t>
  </si>
  <si>
    <t>499,82</t>
  </si>
  <si>
    <t>533,22</t>
  </si>
  <si>
    <t>463,76</t>
  </si>
  <si>
    <t>719,38</t>
  </si>
  <si>
    <t>690,34</t>
  </si>
  <si>
    <t>883,78</t>
  </si>
  <si>
    <t>205,90</t>
  </si>
  <si>
    <t>711,26</t>
  </si>
  <si>
    <t>667,80</t>
  </si>
  <si>
    <t>28,94</t>
  </si>
  <si>
    <t>681,79</t>
  </si>
  <si>
    <t>668,09</t>
  </si>
  <si>
    <t>922,84</t>
  </si>
  <si>
    <t>804,84</t>
  </si>
  <si>
    <t>856,99</t>
  </si>
  <si>
    <t>775,63</t>
  </si>
  <si>
    <t>808,03</t>
  </si>
  <si>
    <t>729,11</t>
  </si>
  <si>
    <t>896,07</t>
  </si>
  <si>
    <t>1.095,86</t>
  </si>
  <si>
    <t>679,93</t>
  </si>
  <si>
    <t>671,24</t>
  </si>
  <si>
    <t>712,54</t>
  </si>
  <si>
    <t>969,14</t>
  </si>
  <si>
    <t>800,34</t>
  </si>
  <si>
    <t>187,96</t>
  </si>
  <si>
    <t>174,58</t>
  </si>
  <si>
    <t>777,46</t>
  </si>
  <si>
    <t>53,60</t>
  </si>
  <si>
    <t>52,89</t>
  </si>
  <si>
    <t>74,70</t>
  </si>
  <si>
    <t>86,06</t>
  </si>
  <si>
    <t>71,20</t>
  </si>
  <si>
    <t>42,66</t>
  </si>
  <si>
    <t>45,04</t>
  </si>
  <si>
    <t>48,20</t>
  </si>
  <si>
    <t>40,64</t>
  </si>
  <si>
    <t>49,18</t>
  </si>
  <si>
    <t>71,54</t>
  </si>
  <si>
    <t>80,20</t>
  </si>
  <si>
    <t>36,50</t>
  </si>
  <si>
    <t>22,42</t>
  </si>
  <si>
    <t>36,24</t>
  </si>
  <si>
    <t>2.340,43</t>
  </si>
  <si>
    <t>3.730,22</t>
  </si>
  <si>
    <t>2.625,29</t>
  </si>
  <si>
    <t>3.263,08</t>
  </si>
  <si>
    <t>2.520,27</t>
  </si>
  <si>
    <t>3.354,34</t>
  </si>
  <si>
    <t>3.190,33</t>
  </si>
  <si>
    <t>2.803,88</t>
  </si>
  <si>
    <t>2.391,23</t>
  </si>
  <si>
    <t>2.026,58</t>
  </si>
  <si>
    <t>1.379,71</t>
  </si>
  <si>
    <t>2.950,31</t>
  </si>
  <si>
    <t>4.826,57</t>
  </si>
  <si>
    <t>2.536,69</t>
  </si>
  <si>
    <t>1.978,76</t>
  </si>
  <si>
    <t>139,53</t>
  </si>
  <si>
    <t>112,41</t>
  </si>
  <si>
    <t>105,24</t>
  </si>
  <si>
    <t>143,74</t>
  </si>
  <si>
    <t>132,84</t>
  </si>
  <si>
    <t>127,31</t>
  </si>
  <si>
    <t>165,63</t>
  </si>
  <si>
    <t>156,83</t>
  </si>
  <si>
    <t>152,33</t>
  </si>
  <si>
    <t>188,88</t>
  </si>
  <si>
    <t>181,43</t>
  </si>
  <si>
    <t>177,54</t>
  </si>
  <si>
    <t>614,12</t>
  </si>
  <si>
    <t>624,08</t>
  </si>
  <si>
    <t>634,03</t>
  </si>
  <si>
    <t>643,98</t>
  </si>
  <si>
    <t>663,89</t>
  </si>
  <si>
    <t>48,23</t>
  </si>
  <si>
    <t>58,42</t>
  </si>
  <si>
    <t>70,81</t>
  </si>
  <si>
    <t>103,19</t>
  </si>
  <si>
    <t>142,28</t>
  </si>
  <si>
    <t>190,98</t>
  </si>
  <si>
    <t>16,47</t>
  </si>
  <si>
    <t>16,58</t>
  </si>
  <si>
    <t>20,47</t>
  </si>
  <si>
    <t>20,06</t>
  </si>
  <si>
    <t>19,54</t>
  </si>
  <si>
    <t>37,44</t>
  </si>
  <si>
    <t>33,61</t>
  </si>
  <si>
    <t>18,83</t>
  </si>
  <si>
    <t>3,88</t>
  </si>
  <si>
    <t>89,91</t>
  </si>
  <si>
    <t>172,12</t>
  </si>
  <si>
    <t>100,49</t>
  </si>
  <si>
    <t>32,86</t>
  </si>
  <si>
    <t>57,84</t>
  </si>
  <si>
    <t>28,40</t>
  </si>
  <si>
    <t>40,52</t>
  </si>
  <si>
    <t>65,27</t>
  </si>
  <si>
    <t>64,08</t>
  </si>
  <si>
    <t>77,40</t>
  </si>
  <si>
    <t>59,66</t>
  </si>
  <si>
    <t>8,13</t>
  </si>
  <si>
    <t>9,54</t>
  </si>
  <si>
    <t>10,41</t>
  </si>
  <si>
    <t>5,95</t>
  </si>
  <si>
    <t>11,86</t>
  </si>
  <si>
    <t>8,26</t>
  </si>
  <si>
    <t>9,64</t>
  </si>
  <si>
    <t>12,74</t>
  </si>
  <si>
    <t>10,66</t>
  </si>
  <si>
    <t>8,47</t>
  </si>
  <si>
    <t>9,89</t>
  </si>
  <si>
    <t>12,97</t>
  </si>
  <si>
    <t>13,79</t>
  </si>
  <si>
    <t>35,51</t>
  </si>
  <si>
    <t>54,00</t>
  </si>
  <si>
    <t>6,57</t>
  </si>
  <si>
    <t>3,57</t>
  </si>
  <si>
    <t>18,88</t>
  </si>
  <si>
    <t>23,40</t>
  </si>
  <si>
    <t>23,69</t>
  </si>
  <si>
    <t>28,10</t>
  </si>
  <si>
    <t>16,72</t>
  </si>
  <si>
    <t>6,38</t>
  </si>
  <si>
    <t>6,88</t>
  </si>
  <si>
    <t>15,59</t>
  </si>
  <si>
    <t>17,08</t>
  </si>
  <si>
    <t>10,00</t>
  </si>
  <si>
    <t>13,38</t>
  </si>
  <si>
    <t>11,12</t>
  </si>
  <si>
    <t>21,44</t>
  </si>
  <si>
    <t>40,13</t>
  </si>
  <si>
    <t>22,11</t>
  </si>
  <si>
    <t>66,77</t>
  </si>
  <si>
    <t>5,11</t>
  </si>
  <si>
    <t>7,32</t>
  </si>
  <si>
    <t>7,00</t>
  </si>
  <si>
    <t>8,32</t>
  </si>
  <si>
    <t>15,13</t>
  </si>
  <si>
    <t>9,37</t>
  </si>
  <si>
    <t>5,42</t>
  </si>
  <si>
    <t>10,37</t>
  </si>
  <si>
    <t>23,38</t>
  </si>
  <si>
    <t>25,03</t>
  </si>
  <si>
    <t>18,61</t>
  </si>
  <si>
    <t>56,56</t>
  </si>
  <si>
    <t>77,82</t>
  </si>
  <si>
    <t>103,00</t>
  </si>
  <si>
    <t>133,57</t>
  </si>
  <si>
    <t>165,20</t>
  </si>
  <si>
    <t>202,25</t>
  </si>
  <si>
    <t>265,77</t>
  </si>
  <si>
    <t>332,26</t>
  </si>
  <si>
    <t>11,98</t>
  </si>
  <si>
    <t>18,40</t>
  </si>
  <si>
    <t>8,95</t>
  </si>
  <si>
    <t>7,77</t>
  </si>
  <si>
    <t>9,03</t>
  </si>
  <si>
    <t>20,44</t>
  </si>
  <si>
    <t>14,56</t>
  </si>
  <si>
    <t>22,28</t>
  </si>
  <si>
    <t>20,87</t>
  </si>
  <si>
    <t>25,56</t>
  </si>
  <si>
    <t>27,17</t>
  </si>
  <si>
    <t>22,32</t>
  </si>
  <si>
    <t>33,08</t>
  </si>
  <si>
    <t>31,11</t>
  </si>
  <si>
    <t>19,63</t>
  </si>
  <si>
    <t>19,79</t>
  </si>
  <si>
    <t>22,45</t>
  </si>
  <si>
    <t>25,32</t>
  </si>
  <si>
    <t>20,99</t>
  </si>
  <si>
    <t>27,62</t>
  </si>
  <si>
    <t>28,19</t>
  </si>
  <si>
    <t>34,47</t>
  </si>
  <si>
    <t>114,03</t>
  </si>
  <si>
    <t>179,31</t>
  </si>
  <si>
    <t>345,46</t>
  </si>
  <si>
    <t>676,62</t>
  </si>
  <si>
    <t>1.048,72</t>
  </si>
  <si>
    <t>152,99</t>
  </si>
  <si>
    <t>242,36</t>
  </si>
  <si>
    <t>473,84</t>
  </si>
  <si>
    <t>633,38</t>
  </si>
  <si>
    <t>741,45</t>
  </si>
  <si>
    <t>318,77</t>
  </si>
  <si>
    <t>435,63</t>
  </si>
  <si>
    <t>501,81</t>
  </si>
  <si>
    <t>22,37</t>
  </si>
  <si>
    <t>63,96</t>
  </si>
  <si>
    <t>66,35</t>
  </si>
  <si>
    <t>70,58</t>
  </si>
  <si>
    <t>73,67</t>
  </si>
  <si>
    <t>74,95</t>
  </si>
  <si>
    <t>77,59</t>
  </si>
  <si>
    <t>80,75</t>
  </si>
  <si>
    <t>85,62</t>
  </si>
  <si>
    <t>91,96</t>
  </si>
  <si>
    <t>3.139,36</t>
  </si>
  <si>
    <t>6.064,58</t>
  </si>
  <si>
    <t>8.086,11</t>
  </si>
  <si>
    <t>2.180,38</t>
  </si>
  <si>
    <t>458,96</t>
  </si>
  <si>
    <t>68,25</t>
  </si>
  <si>
    <t>46,49</t>
  </si>
  <si>
    <t>618,11</t>
  </si>
  <si>
    <t>668,33</t>
  </si>
  <si>
    <t>768,64</t>
  </si>
  <si>
    <t>1.112,61</t>
  </si>
  <si>
    <t>1.586,73</t>
  </si>
  <si>
    <t>636,65</t>
  </si>
  <si>
    <t>15,77</t>
  </si>
  <si>
    <t>26,91</t>
  </si>
  <si>
    <t>73,79</t>
  </si>
  <si>
    <t>151,58</t>
  </si>
  <si>
    <t>427,62</t>
  </si>
  <si>
    <t>652,93</t>
  </si>
  <si>
    <t>1.057,38</t>
  </si>
  <si>
    <t>1.425,39</t>
  </si>
  <si>
    <t>2.300,76</t>
  </si>
  <si>
    <t>4.836,20</t>
  </si>
  <si>
    <t>137,83</t>
  </si>
  <si>
    <t>355,26</t>
  </si>
  <si>
    <t>1.316,73</t>
  </si>
  <si>
    <t>91,87</t>
  </si>
  <si>
    <t>127,10</t>
  </si>
  <si>
    <t>19,92</t>
  </si>
  <si>
    <t>29,95</t>
  </si>
  <si>
    <t>25,33</t>
  </si>
  <si>
    <t>31,55</t>
  </si>
  <si>
    <t>46,25</t>
  </si>
  <si>
    <t>52,47</t>
  </si>
  <si>
    <t>47,81</t>
  </si>
  <si>
    <t>36,96</t>
  </si>
  <si>
    <t>43,18</t>
  </si>
  <si>
    <t>50,88</t>
  </si>
  <si>
    <t>63,50</t>
  </si>
  <si>
    <t>58,12</t>
  </si>
  <si>
    <t>68,17</t>
  </si>
  <si>
    <t>48,79</t>
  </si>
  <si>
    <t>58,84</t>
  </si>
  <si>
    <t>72,13</t>
  </si>
  <si>
    <t>82,18</t>
  </si>
  <si>
    <t>36,07</t>
  </si>
  <si>
    <t>28,82</t>
  </si>
  <si>
    <t>35,04</t>
  </si>
  <si>
    <t>79,69</t>
  </si>
  <si>
    <t>27,99</t>
  </si>
  <si>
    <t>34,21</t>
  </si>
  <si>
    <t>16,22</t>
  </si>
  <si>
    <t>25,80</t>
  </si>
  <si>
    <t>23,61</t>
  </si>
  <si>
    <t>16,73</t>
  </si>
  <si>
    <t>21,07</t>
  </si>
  <si>
    <t>32,68</t>
  </si>
  <si>
    <t>36,44</t>
  </si>
  <si>
    <t>38,90</t>
  </si>
  <si>
    <t>27,61</t>
  </si>
  <si>
    <t>47,97</t>
  </si>
  <si>
    <t>59,83</t>
  </si>
  <si>
    <t>46,00</t>
  </si>
  <si>
    <t>46,58</t>
  </si>
  <si>
    <t>52,22</t>
  </si>
  <si>
    <t>53,46</t>
  </si>
  <si>
    <t>63,51</t>
  </si>
  <si>
    <t>79,14</t>
  </si>
  <si>
    <t>89,19</t>
  </si>
  <si>
    <t>28,98</t>
  </si>
  <si>
    <t>35,20</t>
  </si>
  <si>
    <t>44,31</t>
  </si>
  <si>
    <t>50,53</t>
  </si>
  <si>
    <t>40,62</t>
  </si>
  <si>
    <t>46,84</t>
  </si>
  <si>
    <t>33,65</t>
  </si>
  <si>
    <t>48,94</t>
  </si>
  <si>
    <t>55,16</t>
  </si>
  <si>
    <t>56,13</t>
  </si>
  <si>
    <t>45,28</t>
  </si>
  <si>
    <t>114,43</t>
  </si>
  <si>
    <t>164,36</t>
  </si>
  <si>
    <t>216,55</t>
  </si>
  <si>
    <t>406,93</t>
  </si>
  <si>
    <t>116,74</t>
  </si>
  <si>
    <t>145,23</t>
  </si>
  <si>
    <t>30,92</t>
  </si>
  <si>
    <t>149,28</t>
  </si>
  <si>
    <t>132,55</t>
  </si>
  <si>
    <t>87,54</t>
  </si>
  <si>
    <t>91,81</t>
  </si>
  <si>
    <t>86,05</t>
  </si>
  <si>
    <t>39,49</t>
  </si>
  <si>
    <t>61,64</t>
  </si>
  <si>
    <t>72,75</t>
  </si>
  <si>
    <t>72,53</t>
  </si>
  <si>
    <t>63,56</t>
  </si>
  <si>
    <t>22,57</t>
  </si>
  <si>
    <t>26,89</t>
  </si>
  <si>
    <t>312,50</t>
  </si>
  <si>
    <t>433,10</t>
  </si>
  <si>
    <t>44,86</t>
  </si>
  <si>
    <t>75,19</t>
  </si>
  <si>
    <t>76,45</t>
  </si>
  <si>
    <t>55,47</t>
  </si>
  <si>
    <t>1.169,06</t>
  </si>
  <si>
    <t>1.264,10</t>
  </si>
  <si>
    <t>1.312,50</t>
  </si>
  <si>
    <t>1.453,41</t>
  </si>
  <si>
    <t>1.158,66</t>
  </si>
  <si>
    <t>1.253,70</t>
  </si>
  <si>
    <t>1.302,10</t>
  </si>
  <si>
    <t>1.443,01</t>
  </si>
  <si>
    <t>1.410,59</t>
  </si>
  <si>
    <t>1.554,44</t>
  </si>
  <si>
    <t>1.627,70</t>
  </si>
  <si>
    <t>1.828,79</t>
  </si>
  <si>
    <t>1.406,32</t>
  </si>
  <si>
    <t>1.550,17</t>
  </si>
  <si>
    <t>1.623,43</t>
  </si>
  <si>
    <t>1.824,52</t>
  </si>
  <si>
    <t>1.522,93</t>
  </si>
  <si>
    <t>1.714,74</t>
  </si>
  <si>
    <t>2.072,61</t>
  </si>
  <si>
    <t>1.672,17</t>
  </si>
  <si>
    <t>1.863,98</t>
  </si>
  <si>
    <t>1.961,66</t>
  </si>
  <si>
    <t>2.221,85</t>
  </si>
  <si>
    <t>675,47</t>
  </si>
  <si>
    <t>789,52</t>
  </si>
  <si>
    <t>847,60</t>
  </si>
  <si>
    <t>988,18</t>
  </si>
  <si>
    <t>665,05</t>
  </si>
  <si>
    <t>779,10</t>
  </si>
  <si>
    <t>837,18</t>
  </si>
  <si>
    <t>977,76</t>
  </si>
  <si>
    <t>932,58</t>
  </si>
  <si>
    <t>1.103,65</t>
  </si>
  <si>
    <t>1.190,77</t>
  </si>
  <si>
    <t>1.401,64</t>
  </si>
  <si>
    <t>928,29</t>
  </si>
  <si>
    <t>1.099,36</t>
  </si>
  <si>
    <t>1.186,48</t>
  </si>
  <si>
    <t>1.397,35</t>
  </si>
  <si>
    <t>1.062,13</t>
  </si>
  <si>
    <t>1.290,23</t>
  </si>
  <si>
    <t>1.406,39</t>
  </si>
  <si>
    <t>1.687,55</t>
  </si>
  <si>
    <t>1.211,35</t>
  </si>
  <si>
    <t>1.439,45</t>
  </si>
  <si>
    <t>1.555,61</t>
  </si>
  <si>
    <t>1.836,77</t>
  </si>
  <si>
    <t>110,50</t>
  </si>
  <si>
    <t>45,81</t>
  </si>
  <si>
    <t>73,75</t>
  </si>
  <si>
    <t>164,50</t>
  </si>
  <si>
    <t>34,03</t>
  </si>
  <si>
    <t>59,43</t>
  </si>
  <si>
    <t>96,04</t>
  </si>
  <si>
    <t>141,05</t>
  </si>
  <si>
    <t>14,29</t>
  </si>
  <si>
    <t>5,68</t>
  </si>
  <si>
    <t>55,02</t>
  </si>
  <si>
    <t>131,75</t>
  </si>
  <si>
    <t>238,95</t>
  </si>
  <si>
    <t>375,47</t>
  </si>
  <si>
    <t>175,80</t>
  </si>
  <si>
    <t>208,32</t>
  </si>
  <si>
    <t>64,51</t>
  </si>
  <si>
    <t>25,34</t>
  </si>
  <si>
    <t>109,51</t>
  </si>
  <si>
    <t>147,97</t>
  </si>
  <si>
    <t>63,75</t>
  </si>
  <si>
    <t>33,04</t>
  </si>
  <si>
    <t>16,59</t>
  </si>
  <si>
    <t>24,54</t>
  </si>
  <si>
    <t>34,85</t>
  </si>
  <si>
    <t>670,34</t>
  </si>
  <si>
    <t>309,35</t>
  </si>
  <si>
    <t>254,91</t>
  </si>
  <si>
    <t>416,98</t>
  </si>
  <si>
    <t>454,82</t>
  </si>
  <si>
    <t>535,42</t>
  </si>
  <si>
    <t>701,16</t>
  </si>
  <si>
    <t>804,24</t>
  </si>
  <si>
    <t>1.290,85</t>
  </si>
  <si>
    <t>91,28</t>
  </si>
  <si>
    <t>907,52</t>
  </si>
  <si>
    <t>21,59</t>
  </si>
  <si>
    <t>28,42</t>
  </si>
  <si>
    <t>478,12</t>
  </si>
  <si>
    <t>262,33</t>
  </si>
  <si>
    <t>382,34</t>
  </si>
  <si>
    <t>419,68</t>
  </si>
  <si>
    <t>453,91</t>
  </si>
  <si>
    <t>438,18</t>
  </si>
  <si>
    <t>499,75</t>
  </si>
  <si>
    <t>457,83</t>
  </si>
  <si>
    <t>494,94</t>
  </si>
  <si>
    <t>496,15</t>
  </si>
  <si>
    <t>555,36</t>
  </si>
  <si>
    <t>535,61</t>
  </si>
  <si>
    <t>581,66</t>
  </si>
  <si>
    <t>586,99</t>
  </si>
  <si>
    <t>632,28</t>
  </si>
  <si>
    <t>587,27</t>
  </si>
  <si>
    <t>624,84</t>
  </si>
  <si>
    <t>628,82</t>
  </si>
  <si>
    <t>692,70</t>
  </si>
  <si>
    <t>753,34</t>
  </si>
  <si>
    <t>839,70</t>
  </si>
  <si>
    <t>865,69</t>
  </si>
  <si>
    <t>936,90</t>
  </si>
  <si>
    <t>404,98</t>
  </si>
  <si>
    <t>477,35</t>
  </si>
  <si>
    <t>602,72</t>
  </si>
  <si>
    <t>759,09</t>
  </si>
  <si>
    <t>1.160,23</t>
  </si>
  <si>
    <t>507,20</t>
  </si>
  <si>
    <t>795,00</t>
  </si>
  <si>
    <t>1.203,86</t>
  </si>
  <si>
    <t>521,36</t>
  </si>
  <si>
    <t>812,69</t>
  </si>
  <si>
    <t>1.227,11</t>
  </si>
  <si>
    <t>535,53</t>
  </si>
  <si>
    <t>666,24</t>
  </si>
  <si>
    <t>830,07</t>
  </si>
  <si>
    <t>1.249,74</t>
  </si>
  <si>
    <t>697,49</t>
  </si>
  <si>
    <t>864,54</t>
  </si>
  <si>
    <t>1.297,15</t>
  </si>
  <si>
    <t>898,81</t>
  </si>
  <si>
    <t>1.349,94</t>
  </si>
  <si>
    <t>604,01</t>
  </si>
  <si>
    <t>4.000,94</t>
  </si>
  <si>
    <t>4.561,68</t>
  </si>
  <si>
    <t>2.832,49</t>
  </si>
  <si>
    <t>3.061,34</t>
  </si>
  <si>
    <t>361,53</t>
  </si>
  <si>
    <t>373,78</t>
  </si>
  <si>
    <t>116,97</t>
  </si>
  <si>
    <t>120,23</t>
  </si>
  <si>
    <t>142,37</t>
  </si>
  <si>
    <t>145,63</t>
  </si>
  <si>
    <t>11.650,34</t>
  </si>
  <si>
    <t>12.983,39</t>
  </si>
  <si>
    <t>16.705,07</t>
  </si>
  <si>
    <t>20.572,33</t>
  </si>
  <si>
    <t>25.856,74</t>
  </si>
  <si>
    <t>36.152,24</t>
  </si>
  <si>
    <t>42.128,86</t>
  </si>
  <si>
    <t>58,60</t>
  </si>
  <si>
    <t>203,79</t>
  </si>
  <si>
    <t>68.399,02</t>
  </si>
  <si>
    <t>93.745,13</t>
  </si>
  <si>
    <t>131.140,02</t>
  </si>
  <si>
    <t>115,60</t>
  </si>
  <si>
    <t>138,53</t>
  </si>
  <si>
    <t>131,56</t>
  </si>
  <si>
    <t>170,42</t>
  </si>
  <si>
    <t>160,10</t>
  </si>
  <si>
    <t>146,97</t>
  </si>
  <si>
    <t>162,26</t>
  </si>
  <si>
    <t>148,85</t>
  </si>
  <si>
    <t>209,56</t>
  </si>
  <si>
    <t>181,15</t>
  </si>
  <si>
    <t>197,12</t>
  </si>
  <si>
    <t>225,70</t>
  </si>
  <si>
    <t>49,70</t>
  </si>
  <si>
    <t>64,46</t>
  </si>
  <si>
    <t>84,60</t>
  </si>
  <si>
    <t>111,78</t>
  </si>
  <si>
    <t>46,72</t>
  </si>
  <si>
    <t>65,59</t>
  </si>
  <si>
    <t>92,04</t>
  </si>
  <si>
    <t>60,39</t>
  </si>
  <si>
    <t>90,09</t>
  </si>
  <si>
    <t>138,91</t>
  </si>
  <si>
    <t>2.497,31</t>
  </si>
  <si>
    <t>615,94</t>
  </si>
  <si>
    <t>1.338,03</t>
  </si>
  <si>
    <t>186,74</t>
  </si>
  <si>
    <t>553,96</t>
  </si>
  <si>
    <t>598,70</t>
  </si>
  <si>
    <t>210,98</t>
  </si>
  <si>
    <t>248,26</t>
  </si>
  <si>
    <t>285,54</t>
  </si>
  <si>
    <t>1.714,43</t>
  </si>
  <si>
    <t>480,95</t>
  </si>
  <si>
    <t>425,28</t>
  </si>
  <si>
    <t>377,70</t>
  </si>
  <si>
    <t>3.135,80</t>
  </si>
  <si>
    <t>122,11</t>
  </si>
  <si>
    <t>3,15</t>
  </si>
  <si>
    <t>5,10</t>
  </si>
  <si>
    <t>7,22</t>
  </si>
  <si>
    <t>7,97</t>
  </si>
  <si>
    <t>32,52</t>
  </si>
  <si>
    <t>55,09</t>
  </si>
  <si>
    <t>87,62</t>
  </si>
  <si>
    <t>210,57</t>
  </si>
  <si>
    <t>3,83</t>
  </si>
  <si>
    <t>30,43</t>
  </si>
  <si>
    <t>52,99</t>
  </si>
  <si>
    <t>5,84</t>
  </si>
  <si>
    <t>8,61</t>
  </si>
  <si>
    <t>9,91</t>
  </si>
  <si>
    <t>16,69</t>
  </si>
  <si>
    <t>4,31</t>
  </si>
  <si>
    <t>6,36</t>
  </si>
  <si>
    <t>12,38</t>
  </si>
  <si>
    <t>17,22</t>
  </si>
  <si>
    <t>547,91</t>
  </si>
  <si>
    <t>107,41</t>
  </si>
  <si>
    <t>206,25</t>
  </si>
  <si>
    <t>325,75</t>
  </si>
  <si>
    <t>474,96</t>
  </si>
  <si>
    <t>467,43</t>
  </si>
  <si>
    <t>370,84</t>
  </si>
  <si>
    <t>911,45</t>
  </si>
  <si>
    <t>9,40</t>
  </si>
  <si>
    <t>2.248,62</t>
  </si>
  <si>
    <t>1.768,15</t>
  </si>
  <si>
    <t>1.930,64</t>
  </si>
  <si>
    <t>2.498,52</t>
  </si>
  <si>
    <t>2.037,03</t>
  </si>
  <si>
    <t>2.190,38</t>
  </si>
  <si>
    <t>3.638,07</t>
  </si>
  <si>
    <t>2.867,30</t>
  </si>
  <si>
    <t>3.178,13</t>
  </si>
  <si>
    <t>4.968,01</t>
  </si>
  <si>
    <t>3.707,89</t>
  </si>
  <si>
    <t>4.152,50</t>
  </si>
  <si>
    <t>9.231,29</t>
  </si>
  <si>
    <t>5.252,38</t>
  </si>
  <si>
    <t>10.324,71</t>
  </si>
  <si>
    <t>5.540,28</t>
  </si>
  <si>
    <t>5.692,54</t>
  </si>
  <si>
    <t>11.648,43</t>
  </si>
  <si>
    <t>7.289,17</t>
  </si>
  <si>
    <t>16.116,97</t>
  </si>
  <si>
    <t>8.979,61</t>
  </si>
  <si>
    <t>19.457,83</t>
  </si>
  <si>
    <t>10.044,26</t>
  </si>
  <si>
    <t>5.750,33</t>
  </si>
  <si>
    <t>6.834,77</t>
  </si>
  <si>
    <t>7.076,47</t>
  </si>
  <si>
    <t>7.347,38</t>
  </si>
  <si>
    <t>10.421,82</t>
  </si>
  <si>
    <t>10.766,33</t>
  </si>
  <si>
    <t>10.996,47</t>
  </si>
  <si>
    <t>12.616,73</t>
  </si>
  <si>
    <t>12.550,58</t>
  </si>
  <si>
    <t>13.177,25</t>
  </si>
  <si>
    <t>24.377,11</t>
  </si>
  <si>
    <t>31.258,98</t>
  </si>
  <si>
    <t>35,83</t>
  </si>
  <si>
    <t>59,81</t>
  </si>
  <si>
    <t>90,21</t>
  </si>
  <si>
    <t>6.343,17</t>
  </si>
  <si>
    <t>11.282,75</t>
  </si>
  <si>
    <t>486,27</t>
  </si>
  <si>
    <t>687,61</t>
  </si>
  <si>
    <t>1.064,83</t>
  </si>
  <si>
    <t>37,84</t>
  </si>
  <si>
    <t>824,35</t>
  </si>
  <si>
    <t>17,14</t>
  </si>
  <si>
    <t>14,68</t>
  </si>
  <si>
    <t>16,90</t>
  </si>
  <si>
    <t>57,74</t>
  </si>
  <si>
    <t>22,00</t>
  </si>
  <si>
    <t>30,24</t>
  </si>
  <si>
    <t>44,19</t>
  </si>
  <si>
    <t>71,60</t>
  </si>
  <si>
    <t>29,75</t>
  </si>
  <si>
    <t>51,52</t>
  </si>
  <si>
    <t>102,36</t>
  </si>
  <si>
    <t>43,88</t>
  </si>
  <si>
    <t>53,50</t>
  </si>
  <si>
    <t>17,36</t>
  </si>
  <si>
    <t>27,23</t>
  </si>
  <si>
    <t>41,74</t>
  </si>
  <si>
    <t>52,90</t>
  </si>
  <si>
    <t>22,33</t>
  </si>
  <si>
    <t>52,07</t>
  </si>
  <si>
    <t>121,35</t>
  </si>
  <si>
    <t>191,77</t>
  </si>
  <si>
    <t>27,21</t>
  </si>
  <si>
    <t>31,52</t>
  </si>
  <si>
    <t>65,50</t>
  </si>
  <si>
    <t>10,83</t>
  </si>
  <si>
    <t>35,05</t>
  </si>
  <si>
    <t>26,32</t>
  </si>
  <si>
    <t>39,27</t>
  </si>
  <si>
    <t>77,29</t>
  </si>
  <si>
    <t>108,88</t>
  </si>
  <si>
    <t>50,47</t>
  </si>
  <si>
    <t>82,65</t>
  </si>
  <si>
    <t>70,08</t>
  </si>
  <si>
    <t>78,44</t>
  </si>
  <si>
    <t>80,64</t>
  </si>
  <si>
    <t>116,59</t>
  </si>
  <si>
    <t>157,01</t>
  </si>
  <si>
    <t>227,13</t>
  </si>
  <si>
    <t>319,25</t>
  </si>
  <si>
    <t>168,04</t>
  </si>
  <si>
    <t>189,29</t>
  </si>
  <si>
    <t>254,05</t>
  </si>
  <si>
    <t>313,82</t>
  </si>
  <si>
    <t>509,39</t>
  </si>
  <si>
    <t>40,34</t>
  </si>
  <si>
    <t>66,96</t>
  </si>
  <si>
    <t>84,20</t>
  </si>
  <si>
    <t>63,73</t>
  </si>
  <si>
    <t>173,04</t>
  </si>
  <si>
    <t>194,56</t>
  </si>
  <si>
    <t>47,63</t>
  </si>
  <si>
    <t>79,50</t>
  </si>
  <si>
    <t>101,30</t>
  </si>
  <si>
    <t>183,83</t>
  </si>
  <si>
    <t>209,88</t>
  </si>
  <si>
    <t>103,82</t>
  </si>
  <si>
    <t>128,04</t>
  </si>
  <si>
    <t>170,04</t>
  </si>
  <si>
    <t>115,05</t>
  </si>
  <si>
    <t>111,09</t>
  </si>
  <si>
    <t>135,38</t>
  </si>
  <si>
    <t>177,45</t>
  </si>
  <si>
    <t>74,26</t>
  </si>
  <si>
    <t>100,09</t>
  </si>
  <si>
    <t>160,46</t>
  </si>
  <si>
    <t>62,64</t>
  </si>
  <si>
    <t>72,33</t>
  </si>
  <si>
    <t>102,09</t>
  </si>
  <si>
    <t>125,95</t>
  </si>
  <si>
    <t>167,64</t>
  </si>
  <si>
    <t>58,23</t>
  </si>
  <si>
    <t>76,96</t>
  </si>
  <si>
    <t>84,17</t>
  </si>
  <si>
    <t>163,14</t>
  </si>
  <si>
    <t>65,96</t>
  </si>
  <si>
    <t>75,68</t>
  </si>
  <si>
    <t>105,44</t>
  </si>
  <si>
    <t>129,38</t>
  </si>
  <si>
    <t>171,07</t>
  </si>
  <si>
    <t>40,38</t>
  </si>
  <si>
    <t>57,49</t>
  </si>
  <si>
    <t>73,41</t>
  </si>
  <si>
    <t>107,21</t>
  </si>
  <si>
    <t>183,03</t>
  </si>
  <si>
    <t>317,47</t>
  </si>
  <si>
    <t>438,22</t>
  </si>
  <si>
    <t>634,12</t>
  </si>
  <si>
    <t>19,90</t>
  </si>
  <si>
    <t>35,58</t>
  </si>
  <si>
    <t>52,48</t>
  </si>
  <si>
    <t>98,42</t>
  </si>
  <si>
    <t>41,30</t>
  </si>
  <si>
    <t>54,52</t>
  </si>
  <si>
    <t>120,75</t>
  </si>
  <si>
    <t>209,79</t>
  </si>
  <si>
    <t>81,47</t>
  </si>
  <si>
    <t>27,71</t>
  </si>
  <si>
    <t>20,14</t>
  </si>
  <si>
    <t>25,83</t>
  </si>
  <si>
    <t>18,77</t>
  </si>
  <si>
    <t>33,28</t>
  </si>
  <si>
    <t>48,17</t>
  </si>
  <si>
    <t>18,53</t>
  </si>
  <si>
    <t>28,17</t>
  </si>
  <si>
    <t>37,54</t>
  </si>
  <si>
    <t>54,97</t>
  </si>
  <si>
    <t>90,48</t>
  </si>
  <si>
    <t>127,03</t>
  </si>
  <si>
    <t>222,22</t>
  </si>
  <si>
    <t>34,11</t>
  </si>
  <si>
    <t>49,73</t>
  </si>
  <si>
    <t>125,85</t>
  </si>
  <si>
    <t>185,87</t>
  </si>
  <si>
    <t>253,71</t>
  </si>
  <si>
    <t>21,78</t>
  </si>
  <si>
    <t>56,17</t>
  </si>
  <si>
    <t>91,62</t>
  </si>
  <si>
    <t>123,21</t>
  </si>
  <si>
    <t>201,42</t>
  </si>
  <si>
    <t>28,33</t>
  </si>
  <si>
    <t>36,82</t>
  </si>
  <si>
    <t>67,99</t>
  </si>
  <si>
    <t>178,84</t>
  </si>
  <si>
    <t>230,55</t>
  </si>
  <si>
    <t>8,48</t>
  </si>
  <si>
    <t>16,61</t>
  </si>
  <si>
    <t>25,68</t>
  </si>
  <si>
    <t>32,12</t>
  </si>
  <si>
    <t>56,06</t>
  </si>
  <si>
    <t>86,36</t>
  </si>
  <si>
    <t>70,92</t>
  </si>
  <si>
    <t>86,74</t>
  </si>
  <si>
    <t>91,94</t>
  </si>
  <si>
    <t>116,84</t>
  </si>
  <si>
    <t>175,84</t>
  </si>
  <si>
    <t>211,45</t>
  </si>
  <si>
    <t>227,71</t>
  </si>
  <si>
    <t>60,11</t>
  </si>
  <si>
    <t>95,26</t>
  </si>
  <si>
    <t>120,40</t>
  </si>
  <si>
    <t>107,80</t>
  </si>
  <si>
    <t>137,50</t>
  </si>
  <si>
    <t>153,37</t>
  </si>
  <si>
    <t>221,32</t>
  </si>
  <si>
    <t>268,82</t>
  </si>
  <si>
    <t>371,86</t>
  </si>
  <si>
    <t>482,11</t>
  </si>
  <si>
    <t>71,35</t>
  </si>
  <si>
    <t>114,24</t>
  </si>
  <si>
    <t>78,64</t>
  </si>
  <si>
    <t>126,78</t>
  </si>
  <si>
    <t>174,03</t>
  </si>
  <si>
    <t>50,42</t>
  </si>
  <si>
    <t>61,38</t>
  </si>
  <si>
    <t>554,30</t>
  </si>
  <si>
    <t>17,31</t>
  </si>
  <si>
    <t>34,73</t>
  </si>
  <si>
    <t>47,19</t>
  </si>
  <si>
    <t>17,65</t>
  </si>
  <si>
    <t>26,27</t>
  </si>
  <si>
    <t>47,53</t>
  </si>
  <si>
    <t>25,11</t>
  </si>
  <si>
    <t>33,75</t>
  </si>
  <si>
    <t>45,98</t>
  </si>
  <si>
    <t>40,67</t>
  </si>
  <si>
    <t>54,42</t>
  </si>
  <si>
    <t>239,18</t>
  </si>
  <si>
    <t>318,89</t>
  </si>
  <si>
    <t>150,09</t>
  </si>
  <si>
    <t>171,82</t>
  </si>
  <si>
    <t>140,99</t>
  </si>
  <si>
    <t>236,31</t>
  </si>
  <si>
    <t>304,45</t>
  </si>
  <si>
    <t>228,81</t>
  </si>
  <si>
    <t>322,85</t>
  </si>
  <si>
    <t>154,05</t>
  </si>
  <si>
    <t>175,78</t>
  </si>
  <si>
    <t>144,95</t>
  </si>
  <si>
    <t>242,28</t>
  </si>
  <si>
    <t>312,39</t>
  </si>
  <si>
    <t>6,43</t>
  </si>
  <si>
    <t>7,41</t>
  </si>
  <si>
    <t>4,69</t>
  </si>
  <si>
    <t>12,31</t>
  </si>
  <si>
    <t>12,18</t>
  </si>
  <si>
    <t>32,14</t>
  </si>
  <si>
    <t>21,57</t>
  </si>
  <si>
    <t>25,74</t>
  </si>
  <si>
    <t>17,48</t>
  </si>
  <si>
    <t>4,23</t>
  </si>
  <si>
    <t>4,61</t>
  </si>
  <si>
    <t>7,72</t>
  </si>
  <si>
    <t>10,03</t>
  </si>
  <si>
    <t>9,55</t>
  </si>
  <si>
    <t>11,11</t>
  </si>
  <si>
    <t>7,29</t>
  </si>
  <si>
    <t>10,60</t>
  </si>
  <si>
    <t>4,28</t>
  </si>
  <si>
    <t>10,76</t>
  </si>
  <si>
    <t>8,94</t>
  </si>
  <si>
    <t>24,04</t>
  </si>
  <si>
    <t>25,81</t>
  </si>
  <si>
    <t>4,08</t>
  </si>
  <si>
    <t>8,82</t>
  </si>
  <si>
    <t>13,07</t>
  </si>
  <si>
    <t>39,67</t>
  </si>
  <si>
    <t>111,51</t>
  </si>
  <si>
    <t>83,77</t>
  </si>
  <si>
    <t>70,29</t>
  </si>
  <si>
    <t>17,41</t>
  </si>
  <si>
    <t>47,00</t>
  </si>
  <si>
    <t>131,53</t>
  </si>
  <si>
    <t>33,42</t>
  </si>
  <si>
    <t>98,87</t>
  </si>
  <si>
    <t>97,21</t>
  </si>
  <si>
    <t>74,30</t>
  </si>
  <si>
    <t>49,76</t>
  </si>
  <si>
    <t>39,75</t>
  </si>
  <si>
    <t>6,56</t>
  </si>
  <si>
    <t>4,35</t>
  </si>
  <si>
    <t>12,19</t>
  </si>
  <si>
    <t>42,54</t>
  </si>
  <si>
    <t>16,25</t>
  </si>
  <si>
    <t>17,09</t>
  </si>
  <si>
    <t>27,57</t>
  </si>
  <si>
    <t>23,25</t>
  </si>
  <si>
    <t>26,74</t>
  </si>
  <si>
    <t>61,80</t>
  </si>
  <si>
    <t>52,92</t>
  </si>
  <si>
    <t>91,79</t>
  </si>
  <si>
    <t>86,50</t>
  </si>
  <si>
    <t>84,01</t>
  </si>
  <si>
    <t>75,96</t>
  </si>
  <si>
    <t>150,68</t>
  </si>
  <si>
    <t>32,05</t>
  </si>
  <si>
    <t>27,94</t>
  </si>
  <si>
    <t>42,93</t>
  </si>
  <si>
    <t>38,38</t>
  </si>
  <si>
    <t>41,17</t>
  </si>
  <si>
    <t>156,16</t>
  </si>
  <si>
    <t>127,42</t>
  </si>
  <si>
    <t>210,99</t>
  </si>
  <si>
    <t>32,21</t>
  </si>
  <si>
    <t>38,99</t>
  </si>
  <si>
    <t>54,06</t>
  </si>
  <si>
    <t>19,82</t>
  </si>
  <si>
    <t>90,99</t>
  </si>
  <si>
    <t>20,34</t>
  </si>
  <si>
    <t>33,66</t>
  </si>
  <si>
    <t>179,86</t>
  </si>
  <si>
    <t>64,28</t>
  </si>
  <si>
    <t>272,22</t>
  </si>
  <si>
    <t>43,76</t>
  </si>
  <si>
    <t>10,40</t>
  </si>
  <si>
    <t>17,06</t>
  </si>
  <si>
    <t>20,74</t>
  </si>
  <si>
    <t>29,12</t>
  </si>
  <si>
    <t>19,49</t>
  </si>
  <si>
    <t>44,95</t>
  </si>
  <si>
    <t>83,54</t>
  </si>
  <si>
    <t>127,86</t>
  </si>
  <si>
    <t>104,51</t>
  </si>
  <si>
    <t>19,29</t>
  </si>
  <si>
    <t>29,22</t>
  </si>
  <si>
    <t>33,10</t>
  </si>
  <si>
    <t>23,09</t>
  </si>
  <si>
    <t>6,95</t>
  </si>
  <si>
    <t>21,36</t>
  </si>
  <si>
    <t>13,53</t>
  </si>
  <si>
    <t>13,81</t>
  </si>
  <si>
    <t>18,51</t>
  </si>
  <si>
    <t>25,12</t>
  </si>
  <si>
    <t>39,28</t>
  </si>
  <si>
    <t>15,56</t>
  </si>
  <si>
    <t>44,01</t>
  </si>
  <si>
    <t>37,20</t>
  </si>
  <si>
    <t>40,73</t>
  </si>
  <si>
    <t>31,53</t>
  </si>
  <si>
    <t>37,70</t>
  </si>
  <si>
    <t>74,10</t>
  </si>
  <si>
    <t>58,41</t>
  </si>
  <si>
    <t>129,16</t>
  </si>
  <si>
    <t>88,04</t>
  </si>
  <si>
    <t>332,96</t>
  </si>
  <si>
    <t>59,92</t>
  </si>
  <si>
    <t>212,96</t>
  </si>
  <si>
    <t>51,04</t>
  </si>
  <si>
    <t>84,62</t>
  </si>
  <si>
    <t>82,13</t>
  </si>
  <si>
    <t>269,37</t>
  </si>
  <si>
    <t>229,91</t>
  </si>
  <si>
    <t>22,47</t>
  </si>
  <si>
    <t>208,39</t>
  </si>
  <si>
    <t>142,49</t>
  </si>
  <si>
    <t>27,35</t>
  </si>
  <si>
    <t>63,27</t>
  </si>
  <si>
    <t>12,27</t>
  </si>
  <si>
    <t>27,30</t>
  </si>
  <si>
    <t>20,86</t>
  </si>
  <si>
    <t>20,29</t>
  </si>
  <si>
    <t>32,25</t>
  </si>
  <si>
    <t>10,93</t>
  </si>
  <si>
    <t>11,70</t>
  </si>
  <si>
    <t>35,24</t>
  </si>
  <si>
    <t>50,94</t>
  </si>
  <si>
    <t>25,19</t>
  </si>
  <si>
    <t>38,01</t>
  </si>
  <si>
    <t>42,21</t>
  </si>
  <si>
    <t>18,85</t>
  </si>
  <si>
    <t>13,59</t>
  </si>
  <si>
    <t>23,55</t>
  </si>
  <si>
    <t>36,23</t>
  </si>
  <si>
    <t>56,94</t>
  </si>
  <si>
    <t>22,50</t>
  </si>
  <si>
    <t>53,34</t>
  </si>
  <si>
    <t>211,22</t>
  </si>
  <si>
    <t>24,22</t>
  </si>
  <si>
    <t>24,37</t>
  </si>
  <si>
    <t>59,74</t>
  </si>
  <si>
    <t>79,16</t>
  </si>
  <si>
    <t>23,30</t>
  </si>
  <si>
    <t>31,04</t>
  </si>
  <si>
    <t>33,12</t>
  </si>
  <si>
    <t>46,55</t>
  </si>
  <si>
    <t>11,88</t>
  </si>
  <si>
    <t>91,66</t>
  </si>
  <si>
    <t>93,13</t>
  </si>
  <si>
    <t>228,50</t>
  </si>
  <si>
    <t>233,89</t>
  </si>
  <si>
    <t>269,14</t>
  </si>
  <si>
    <t>276,40</t>
  </si>
  <si>
    <t>39,10</t>
  </si>
  <si>
    <t>7,84</t>
  </si>
  <si>
    <t>31,47</t>
  </si>
  <si>
    <t>47,17</t>
  </si>
  <si>
    <t>37,75</t>
  </si>
  <si>
    <t>67,94</t>
  </si>
  <si>
    <t>36,59</t>
  </si>
  <si>
    <t>52,55</t>
  </si>
  <si>
    <t>210,43</t>
  </si>
  <si>
    <t>39,79</t>
  </si>
  <si>
    <t>49,80</t>
  </si>
  <si>
    <t>214,90</t>
  </si>
  <si>
    <t>75,97</t>
  </si>
  <si>
    <t>31,29</t>
  </si>
  <si>
    <t>256,99</t>
  </si>
  <si>
    <t>51,39</t>
  </si>
  <si>
    <t>347,29</t>
  </si>
  <si>
    <t>172,81</t>
  </si>
  <si>
    <t>188,50</t>
  </si>
  <si>
    <t>250,58</t>
  </si>
  <si>
    <t>218,35</t>
  </si>
  <si>
    <t>368,35</t>
  </si>
  <si>
    <t>58,16</t>
  </si>
  <si>
    <t>115,69</t>
  </si>
  <si>
    <t>262,32</t>
  </si>
  <si>
    <t>323,20</t>
  </si>
  <si>
    <t>24,84</t>
  </si>
  <si>
    <t>41,86</t>
  </si>
  <si>
    <t>72,05</t>
  </si>
  <si>
    <t>94,02</t>
  </si>
  <si>
    <t>100,11</t>
  </si>
  <si>
    <t>19,64</t>
  </si>
  <si>
    <t>114,05</t>
  </si>
  <si>
    <t>43,40</t>
  </si>
  <si>
    <t>50,44</t>
  </si>
  <si>
    <t>101,58</t>
  </si>
  <si>
    <t>219,12</t>
  </si>
  <si>
    <t>5,27</t>
  </si>
  <si>
    <t>3,47</t>
  </si>
  <si>
    <t>7,57</t>
  </si>
  <si>
    <t>20,72</t>
  </si>
  <si>
    <t>18,74</t>
  </si>
  <si>
    <t>29,64</t>
  </si>
  <si>
    <t>53,38</t>
  </si>
  <si>
    <t>82,10</t>
  </si>
  <si>
    <t>126,74</t>
  </si>
  <si>
    <t>403,59</t>
  </si>
  <si>
    <t>18,06</t>
  </si>
  <si>
    <t>34,71</t>
  </si>
  <si>
    <t>46,56</t>
  </si>
  <si>
    <t>72,62</t>
  </si>
  <si>
    <t>208,19</t>
  </si>
  <si>
    <t>37,61</t>
  </si>
  <si>
    <t>76,18</t>
  </si>
  <si>
    <t>101,49</t>
  </si>
  <si>
    <t>188,49</t>
  </si>
  <si>
    <t>497,60</t>
  </si>
  <si>
    <t>31,77</t>
  </si>
  <si>
    <t>27,54</t>
  </si>
  <si>
    <t>40,48</t>
  </si>
  <si>
    <t>7,80</t>
  </si>
  <si>
    <t>30,18</t>
  </si>
  <si>
    <t>45,18</t>
  </si>
  <si>
    <t>50,43</t>
  </si>
  <si>
    <t>67,23</t>
  </si>
  <si>
    <t>103,06</t>
  </si>
  <si>
    <t>73,08</t>
  </si>
  <si>
    <t>116,33</t>
  </si>
  <si>
    <t>108,40</t>
  </si>
  <si>
    <t>156,11</t>
  </si>
  <si>
    <t>140,83</t>
  </si>
  <si>
    <t>97,43</t>
  </si>
  <si>
    <t>148,54</t>
  </si>
  <si>
    <t>186,32</t>
  </si>
  <si>
    <t>32,10</t>
  </si>
  <si>
    <t>33,45</t>
  </si>
  <si>
    <t>38,25</t>
  </si>
  <si>
    <t>38,51</t>
  </si>
  <si>
    <t>50,39</t>
  </si>
  <si>
    <t>50,37</t>
  </si>
  <si>
    <t>68,39</t>
  </si>
  <si>
    <t>76,50</t>
  </si>
  <si>
    <t>98,26</t>
  </si>
  <si>
    <t>105,47</t>
  </si>
  <si>
    <t>39,71</t>
  </si>
  <si>
    <t>47,04</t>
  </si>
  <si>
    <t>58,62</t>
  </si>
  <si>
    <t>55,97</t>
  </si>
  <si>
    <t>74,82</t>
  </si>
  <si>
    <t>73,01</t>
  </si>
  <si>
    <t>118,11</t>
  </si>
  <si>
    <t>110,18</t>
  </si>
  <si>
    <t>159,72</t>
  </si>
  <si>
    <t>144,44</t>
  </si>
  <si>
    <t>51,10</t>
  </si>
  <si>
    <t>63,22</t>
  </si>
  <si>
    <t>73,64</t>
  </si>
  <si>
    <t>97,33</t>
  </si>
  <si>
    <t>150,86</t>
  </si>
  <si>
    <t>191,13</t>
  </si>
  <si>
    <t>21,19</t>
  </si>
  <si>
    <t>24,74</t>
  </si>
  <si>
    <t>30,11</t>
  </si>
  <si>
    <t>56,82</t>
  </si>
  <si>
    <t>64,93</t>
  </si>
  <si>
    <t>84,79</t>
  </si>
  <si>
    <t>92,00</t>
  </si>
  <si>
    <t>28,04</t>
  </si>
  <si>
    <t>39,86</t>
  </si>
  <si>
    <t>36,01</t>
  </si>
  <si>
    <t>46,05</t>
  </si>
  <si>
    <t>58,55</t>
  </si>
  <si>
    <t>100,78</t>
  </si>
  <si>
    <t>124,25</t>
  </si>
  <si>
    <t>38,12</t>
  </si>
  <si>
    <t>48,45</t>
  </si>
  <si>
    <t>78,05</t>
  </si>
  <si>
    <t>127,77</t>
  </si>
  <si>
    <t>164,19</t>
  </si>
  <si>
    <t>16,62</t>
  </si>
  <si>
    <t>16,95</t>
  </si>
  <si>
    <t>25,28</t>
  </si>
  <si>
    <t>23,71</t>
  </si>
  <si>
    <t>39,34</t>
  </si>
  <si>
    <t>37,40</t>
  </si>
  <si>
    <t>31,30</t>
  </si>
  <si>
    <t>50,59</t>
  </si>
  <si>
    <t>103,02</t>
  </si>
  <si>
    <t>157,69</t>
  </si>
  <si>
    <t>232,70</t>
  </si>
  <si>
    <t>43,33</t>
  </si>
  <si>
    <t>62,56</t>
  </si>
  <si>
    <t>75,05</t>
  </si>
  <si>
    <t>102,98</t>
  </si>
  <si>
    <t>158,85</t>
  </si>
  <si>
    <t>235,11</t>
  </si>
  <si>
    <t>55,20</t>
  </si>
  <si>
    <t>66,65</t>
  </si>
  <si>
    <t>93,32</t>
  </si>
  <si>
    <t>147,28</t>
  </si>
  <si>
    <t>221,64</t>
  </si>
  <si>
    <t>25,26</t>
  </si>
  <si>
    <t>78,76</t>
  </si>
  <si>
    <t>107,01</t>
  </si>
  <si>
    <t>109,04</t>
  </si>
  <si>
    <t>34,53</t>
  </si>
  <si>
    <t>39,64</t>
  </si>
  <si>
    <t>79,92</t>
  </si>
  <si>
    <t>111,45</t>
  </si>
  <si>
    <t>27,18</t>
  </si>
  <si>
    <t>68,35</t>
  </si>
  <si>
    <t>97,98</t>
  </si>
  <si>
    <t>18,00</t>
  </si>
  <si>
    <t>597,61</t>
  </si>
  <si>
    <t>657,06</t>
  </si>
  <si>
    <t>33,63</t>
  </si>
  <si>
    <t>89,36</t>
  </si>
  <si>
    <t>752,56</t>
  </si>
  <si>
    <t>54,46</t>
  </si>
  <si>
    <t>50,90</t>
  </si>
  <si>
    <t>944,84</t>
  </si>
  <si>
    <t>81,22</t>
  </si>
  <si>
    <t>70,78</t>
  </si>
  <si>
    <t>1.309,72</t>
  </si>
  <si>
    <t>193,12</t>
  </si>
  <si>
    <t>1.728,37</t>
  </si>
  <si>
    <t>31,71</t>
  </si>
  <si>
    <t>34,65</t>
  </si>
  <si>
    <t>29,73</t>
  </si>
  <si>
    <t>7,70</t>
  </si>
  <si>
    <t>25,35</t>
  </si>
  <si>
    <t>515,91</t>
  </si>
  <si>
    <t>599,07</t>
  </si>
  <si>
    <t>25,98</t>
  </si>
  <si>
    <t>52,35</t>
  </si>
  <si>
    <t>658,50</t>
  </si>
  <si>
    <t>90,80</t>
  </si>
  <si>
    <t>66,40</t>
  </si>
  <si>
    <t>95,72</t>
  </si>
  <si>
    <t>21,95</t>
  </si>
  <si>
    <t>22,55</t>
  </si>
  <si>
    <t>33,71</t>
  </si>
  <si>
    <t>516,04</t>
  </si>
  <si>
    <t>600,38</t>
  </si>
  <si>
    <t>23,19</t>
  </si>
  <si>
    <t>53,66</t>
  </si>
  <si>
    <t>37,45</t>
  </si>
  <si>
    <t>93,18</t>
  </si>
  <si>
    <t>660,88</t>
  </si>
  <si>
    <t>98,36</t>
  </si>
  <si>
    <t>18,41</t>
  </si>
  <si>
    <t>27,60</t>
  </si>
  <si>
    <t>63,38</t>
  </si>
  <si>
    <t>100,88</t>
  </si>
  <si>
    <t>147,54</t>
  </si>
  <si>
    <t>331,27</t>
  </si>
  <si>
    <t>19,40</t>
  </si>
  <si>
    <t>40,19</t>
  </si>
  <si>
    <t>40,21</t>
  </si>
  <si>
    <t>54,91</t>
  </si>
  <si>
    <t>84,66</t>
  </si>
  <si>
    <t>57,80</t>
  </si>
  <si>
    <t>90,06</t>
  </si>
  <si>
    <t>97,99</t>
  </si>
  <si>
    <t>124,09</t>
  </si>
  <si>
    <t>139,37</t>
  </si>
  <si>
    <t>123,97</t>
  </si>
  <si>
    <t>163,88</t>
  </si>
  <si>
    <t>83,30</t>
  </si>
  <si>
    <t>215,80</t>
  </si>
  <si>
    <t>323,56</t>
  </si>
  <si>
    <t>457,32</t>
  </si>
  <si>
    <t>142,33</t>
  </si>
  <si>
    <t>415,70</t>
  </si>
  <si>
    <t>343,38</t>
  </si>
  <si>
    <t>407,04</t>
  </si>
  <si>
    <t>948,01</t>
  </si>
  <si>
    <t>209,71</t>
  </si>
  <si>
    <t>513,78</t>
  </si>
  <si>
    <t>788,39</t>
  </si>
  <si>
    <t>1.658,50</t>
  </si>
  <si>
    <t>5,45</t>
  </si>
  <si>
    <t>11,48</t>
  </si>
  <si>
    <t>26,65</t>
  </si>
  <si>
    <t>108,31</t>
  </si>
  <si>
    <t>25,51</t>
  </si>
  <si>
    <t>115,41</t>
  </si>
  <si>
    <t>74,19</t>
  </si>
  <si>
    <t>147,16</t>
  </si>
  <si>
    <t>112,84</t>
  </si>
  <si>
    <t>13,26</t>
  </si>
  <si>
    <t>22,59</t>
  </si>
  <si>
    <t>23,68</t>
  </si>
  <si>
    <t>88,79</t>
  </si>
  <si>
    <t>77,38</t>
  </si>
  <si>
    <t>149,53</t>
  </si>
  <si>
    <t>126,18</t>
  </si>
  <si>
    <t>223,58</t>
  </si>
  <si>
    <t>211,64</t>
  </si>
  <si>
    <t>18,79</t>
  </si>
  <si>
    <t>41,11</t>
  </si>
  <si>
    <t>51,18</t>
  </si>
  <si>
    <t>30,70</t>
  </si>
  <si>
    <t>48,44</t>
  </si>
  <si>
    <t>78,88</t>
  </si>
  <si>
    <t>208,07</t>
  </si>
  <si>
    <t>282,56</t>
  </si>
  <si>
    <t>390,58</t>
  </si>
  <si>
    <t>34,08</t>
  </si>
  <si>
    <t>53,67</t>
  </si>
  <si>
    <t>207,76</t>
  </si>
  <si>
    <t>252,94</t>
  </si>
  <si>
    <t>211,11</t>
  </si>
  <si>
    <t>14,07</t>
  </si>
  <si>
    <t>17,77</t>
  </si>
  <si>
    <t>19,86</t>
  </si>
  <si>
    <t>43,09</t>
  </si>
  <si>
    <t>90,02</t>
  </si>
  <si>
    <t>221,94</t>
  </si>
  <si>
    <t>265,74</t>
  </si>
  <si>
    <t>54,81</t>
  </si>
  <si>
    <t>68,72</t>
  </si>
  <si>
    <t>112,46</t>
  </si>
  <si>
    <t>251,89</t>
  </si>
  <si>
    <t>316,28</t>
  </si>
  <si>
    <t>41,34</t>
  </si>
  <si>
    <t>55,84</t>
  </si>
  <si>
    <t>81,31</t>
  </si>
  <si>
    <t>258,00</t>
  </si>
  <si>
    <t>298,64</t>
  </si>
  <si>
    <t>418,88</t>
  </si>
  <si>
    <t>182,87</t>
  </si>
  <si>
    <t>29,01</t>
  </si>
  <si>
    <t>23,91</t>
  </si>
  <si>
    <t>62,73</t>
  </si>
  <si>
    <t>82,42</t>
  </si>
  <si>
    <t>81,05</t>
  </si>
  <si>
    <t>36,20</t>
  </si>
  <si>
    <t>8,30</t>
  </si>
  <si>
    <t>26,62</t>
  </si>
  <si>
    <t>53,70</t>
  </si>
  <si>
    <t>24,92</t>
  </si>
  <si>
    <t>41,90</t>
  </si>
  <si>
    <t>21,70</t>
  </si>
  <si>
    <t>40,55</t>
  </si>
  <si>
    <t>7,75</t>
  </si>
  <si>
    <t>7,68</t>
  </si>
  <si>
    <t>13,01</t>
  </si>
  <si>
    <t>39,84</t>
  </si>
  <si>
    <t>89,17</t>
  </si>
  <si>
    <t>139,15</t>
  </si>
  <si>
    <t>208,37</t>
  </si>
  <si>
    <t>5,39</t>
  </si>
  <si>
    <t>5,73</t>
  </si>
  <si>
    <t>18,14</t>
  </si>
  <si>
    <t>58,93</t>
  </si>
  <si>
    <t>93,74</t>
  </si>
  <si>
    <t>148,79</t>
  </si>
  <si>
    <t>21,23</t>
  </si>
  <si>
    <t>49,86</t>
  </si>
  <si>
    <t>97,10</t>
  </si>
  <si>
    <t>146,62</t>
  </si>
  <si>
    <t>232,20</t>
  </si>
  <si>
    <t>5,87</t>
  </si>
  <si>
    <t>24,19</t>
  </si>
  <si>
    <t>20,58</t>
  </si>
  <si>
    <t>27,83</t>
  </si>
  <si>
    <t>61,33</t>
  </si>
  <si>
    <t>93,16</t>
  </si>
  <si>
    <t>7,98</t>
  </si>
  <si>
    <t>40,80</t>
  </si>
  <si>
    <t>95,59</t>
  </si>
  <si>
    <t>138,25</t>
  </si>
  <si>
    <t>208,33</t>
  </si>
  <si>
    <t>13,71</t>
  </si>
  <si>
    <t>24,30</t>
  </si>
  <si>
    <t>51,17</t>
  </si>
  <si>
    <t>101,86</t>
  </si>
  <si>
    <t>145,43</t>
  </si>
  <si>
    <t>232,13</t>
  </si>
  <si>
    <t>312,63</t>
  </si>
  <si>
    <t>158,84</t>
  </si>
  <si>
    <t>279,59</t>
  </si>
  <si>
    <t>319,52</t>
  </si>
  <si>
    <t>151,41</t>
  </si>
  <si>
    <t>249,54</t>
  </si>
  <si>
    <t>15,02</t>
  </si>
  <si>
    <t>26,48</t>
  </si>
  <si>
    <t>24,48</t>
  </si>
  <si>
    <t>46,06</t>
  </si>
  <si>
    <t>38,77</t>
  </si>
  <si>
    <t>39,33</t>
  </si>
  <si>
    <t>16,14</t>
  </si>
  <si>
    <t>18,39</t>
  </si>
  <si>
    <t>25,40</t>
  </si>
  <si>
    <t>22,60</t>
  </si>
  <si>
    <t>33,27</t>
  </si>
  <si>
    <t>48,95</t>
  </si>
  <si>
    <t>44,88</t>
  </si>
  <si>
    <t>20,51</t>
  </si>
  <si>
    <t>28,91</t>
  </si>
  <si>
    <t>40,57</t>
  </si>
  <si>
    <t>43,04</t>
  </si>
  <si>
    <t>36,73</t>
  </si>
  <si>
    <t>56,09</t>
  </si>
  <si>
    <t>20,00</t>
  </si>
  <si>
    <t>23,73</t>
  </si>
  <si>
    <t>32,08</t>
  </si>
  <si>
    <t>26,92</t>
  </si>
  <si>
    <t>30,56</t>
  </si>
  <si>
    <t>37,02</t>
  </si>
  <si>
    <t>55,89</t>
  </si>
  <si>
    <t>28,55</t>
  </si>
  <si>
    <t>49,92</t>
  </si>
  <si>
    <t>79,45</t>
  </si>
  <si>
    <t>31,43</t>
  </si>
  <si>
    <t>60,53</t>
  </si>
  <si>
    <t>88,57</t>
  </si>
  <si>
    <t>91,92</t>
  </si>
  <si>
    <t>95,13</t>
  </si>
  <si>
    <t>116,27</t>
  </si>
  <si>
    <t>215,09</t>
  </si>
  <si>
    <t>230,44</t>
  </si>
  <si>
    <t>233,30</t>
  </si>
  <si>
    <t>232,53</t>
  </si>
  <si>
    <t>266,88</t>
  </si>
  <si>
    <t>282,44</t>
  </si>
  <si>
    <t>29,07</t>
  </si>
  <si>
    <t>42,38</t>
  </si>
  <si>
    <t>50,95</t>
  </si>
  <si>
    <t>43,74</t>
  </si>
  <si>
    <t>48,35</t>
  </si>
  <si>
    <t>108,72</t>
  </si>
  <si>
    <t>127,46</t>
  </si>
  <si>
    <t>132,00</t>
  </si>
  <si>
    <t>146,10</t>
  </si>
  <si>
    <t>150,96</t>
  </si>
  <si>
    <t>167,61</t>
  </si>
  <si>
    <t>201,97</t>
  </si>
  <si>
    <t>222,44</t>
  </si>
  <si>
    <t>123,39</t>
  </si>
  <si>
    <t>223,02</t>
  </si>
  <si>
    <t>236,84</t>
  </si>
  <si>
    <t>293,78</t>
  </si>
  <si>
    <t>170,99</t>
  </si>
  <si>
    <t>182,93</t>
  </si>
  <si>
    <t>304,60</t>
  </si>
  <si>
    <t>323,69</t>
  </si>
  <si>
    <t>719,88</t>
  </si>
  <si>
    <t>634,24</t>
  </si>
  <si>
    <t>275,89</t>
  </si>
  <si>
    <t>491,78</t>
  </si>
  <si>
    <t>770,82</t>
  </si>
  <si>
    <t>32,60</t>
  </si>
  <si>
    <t>26,47</t>
  </si>
  <si>
    <t>57,99</t>
  </si>
  <si>
    <t>60,59</t>
  </si>
  <si>
    <t>73,81</t>
  </si>
  <si>
    <t>91,12</t>
  </si>
  <si>
    <t>112,03</t>
  </si>
  <si>
    <t>171,34</t>
  </si>
  <si>
    <t>213,61</t>
  </si>
  <si>
    <t>286,30</t>
  </si>
  <si>
    <t>53,14</t>
  </si>
  <si>
    <t>78,13</t>
  </si>
  <si>
    <t>110,68</t>
  </si>
  <si>
    <t>153,98</t>
  </si>
  <si>
    <t>165,92</t>
  </si>
  <si>
    <t>290,49</t>
  </si>
  <si>
    <t>309,58</t>
  </si>
  <si>
    <t>708,62</t>
  </si>
  <si>
    <t>622,98</t>
  </si>
  <si>
    <t>83,50</t>
  </si>
  <si>
    <t>124,08</t>
  </si>
  <si>
    <t>160,48</t>
  </si>
  <si>
    <t>253,17</t>
  </si>
  <si>
    <t>472,94</t>
  </si>
  <si>
    <t>755,85</t>
  </si>
  <si>
    <t>30,78</t>
  </si>
  <si>
    <t>44,27</t>
  </si>
  <si>
    <t>55,80</t>
  </si>
  <si>
    <t>84,33</t>
  </si>
  <si>
    <t>161,59</t>
  </si>
  <si>
    <t>203,86</t>
  </si>
  <si>
    <t>216,54</t>
  </si>
  <si>
    <t>273,48</t>
  </si>
  <si>
    <t>103,48</t>
  </si>
  <si>
    <t>143,80</t>
  </si>
  <si>
    <t>155,74</t>
  </si>
  <si>
    <t>275,80</t>
  </si>
  <si>
    <t>294,89</t>
  </si>
  <si>
    <t>689,47</t>
  </si>
  <si>
    <t>603,83</t>
  </si>
  <si>
    <t>117,63</t>
  </si>
  <si>
    <t>150,85</t>
  </si>
  <si>
    <t>239,60</t>
  </si>
  <si>
    <t>456,24</t>
  </si>
  <si>
    <t>730,29</t>
  </si>
  <si>
    <t>22,34</t>
  </si>
  <si>
    <t>28,78</t>
  </si>
  <si>
    <t>38,91</t>
  </si>
  <si>
    <t>71,81</t>
  </si>
  <si>
    <t>64,03</t>
  </si>
  <si>
    <t>20,42</t>
  </si>
  <si>
    <t>157,71</t>
  </si>
  <si>
    <t>291,01</t>
  </si>
  <si>
    <t>376,64</t>
  </si>
  <si>
    <t>722,14</t>
  </si>
  <si>
    <t>167,68</t>
  </si>
  <si>
    <t>266,80</t>
  </si>
  <si>
    <t>531,26</t>
  </si>
  <si>
    <t>730,08</t>
  </si>
  <si>
    <t>874,50</t>
  </si>
  <si>
    <t>199,97</t>
  </si>
  <si>
    <t>374,70</t>
  </si>
  <si>
    <t>530,30</t>
  </si>
  <si>
    <t>638,11</t>
  </si>
  <si>
    <t>149,07</t>
  </si>
  <si>
    <t>360,38</t>
  </si>
  <si>
    <t>618,41</t>
  </si>
  <si>
    <t>1.025,68</t>
  </si>
  <si>
    <t>238,52</t>
  </si>
  <si>
    <t>422,00</t>
  </si>
  <si>
    <t>260,96</t>
  </si>
  <si>
    <t>518,15</t>
  </si>
  <si>
    <t>712,10</t>
  </si>
  <si>
    <t>851,26</t>
  </si>
  <si>
    <t>195,15</t>
  </si>
  <si>
    <t>366,44</t>
  </si>
  <si>
    <t>518,52</t>
  </si>
  <si>
    <t>622,19</t>
  </si>
  <si>
    <t>3,46</t>
  </si>
  <si>
    <t>3,31</t>
  </si>
  <si>
    <t>5,34</t>
  </si>
  <si>
    <t>5,62</t>
  </si>
  <si>
    <t>251,62</t>
  </si>
  <si>
    <t>429,77</t>
  </si>
  <si>
    <t>437,16</t>
  </si>
  <si>
    <t>884,26</t>
  </si>
  <si>
    <t>994,72</t>
  </si>
  <si>
    <t>396,93</t>
  </si>
  <si>
    <t>545,38</t>
  </si>
  <si>
    <t>1.138,12</t>
  </si>
  <si>
    <t>2.947,70</t>
  </si>
  <si>
    <t>5.648,76</t>
  </si>
  <si>
    <t>537,82</t>
  </si>
  <si>
    <t>768,33</t>
  </si>
  <si>
    <t>35,99</t>
  </si>
  <si>
    <t>89,95</t>
  </si>
  <si>
    <t>15,47</t>
  </si>
  <si>
    <t>12,89</t>
  </si>
  <si>
    <t>656,58</t>
  </si>
  <si>
    <t>461,48</t>
  </si>
  <si>
    <t>457,57</t>
  </si>
  <si>
    <t>264,02</t>
  </si>
  <si>
    <t>55,10</t>
  </si>
  <si>
    <t>22,65</t>
  </si>
  <si>
    <t>155,27</t>
  </si>
  <si>
    <t>40,99</t>
  </si>
  <si>
    <t>445,18</t>
  </si>
  <si>
    <t>686,89</t>
  </si>
  <si>
    <t>587,22</t>
  </si>
  <si>
    <t>260,20</t>
  </si>
  <si>
    <t>326,88</t>
  </si>
  <si>
    <t>289,49</t>
  </si>
  <si>
    <t>230,81</t>
  </si>
  <si>
    <t>129,92</t>
  </si>
  <si>
    <t>295,19</t>
  </si>
  <si>
    <t>328,35</t>
  </si>
  <si>
    <t>136,50</t>
  </si>
  <si>
    <t>351,24</t>
  </si>
  <si>
    <t>64,94</t>
  </si>
  <si>
    <t>422,17</t>
  </si>
  <si>
    <t>112,76</t>
  </si>
  <si>
    <t>111,23</t>
  </si>
  <si>
    <t>47,21</t>
  </si>
  <si>
    <t>85,20</t>
  </si>
  <si>
    <t>124,70</t>
  </si>
  <si>
    <t>806,01</t>
  </si>
  <si>
    <t>723,92</t>
  </si>
  <si>
    <t>717,05</t>
  </si>
  <si>
    <t>753,05</t>
  </si>
  <si>
    <t>538,79</t>
  </si>
  <si>
    <t>531,92</t>
  </si>
  <si>
    <t>524,91</t>
  </si>
  <si>
    <t>518,04</t>
  </si>
  <si>
    <t>341,33</t>
  </si>
  <si>
    <t>334,46</t>
  </si>
  <si>
    <t>331,36</t>
  </si>
  <si>
    <t>324,49</t>
  </si>
  <si>
    <t>457,12</t>
  </si>
  <si>
    <t>486,17</t>
  </si>
  <si>
    <t>299,04</t>
  </si>
  <si>
    <t>441,18</t>
  </si>
  <si>
    <t>194,15</t>
  </si>
  <si>
    <t>336,29</t>
  </si>
  <si>
    <t>388,87</t>
  </si>
  <si>
    <t>967,94</t>
  </si>
  <si>
    <t>700,41</t>
  </si>
  <si>
    <t>240,15</t>
  </si>
  <si>
    <t>230,18</t>
  </si>
  <si>
    <t>1.059,00</t>
  </si>
  <si>
    <t>594,58</t>
  </si>
  <si>
    <t>1.070,51</t>
  </si>
  <si>
    <t>1.149,77</t>
  </si>
  <si>
    <t>274,79</t>
  </si>
  <si>
    <t>283,87</t>
  </si>
  <si>
    <t>694,54</t>
  </si>
  <si>
    <t>703,62</t>
  </si>
  <si>
    <t>39,30</t>
  </si>
  <si>
    <t>38,50</t>
  </si>
  <si>
    <t>126,53</t>
  </si>
  <si>
    <t>83,31</t>
  </si>
  <si>
    <t>503,84</t>
  </si>
  <si>
    <t>97,47</t>
  </si>
  <si>
    <t>253,40</t>
  </si>
  <si>
    <t>298,18</t>
  </si>
  <si>
    <t>1.562,41</t>
  </si>
  <si>
    <t>32,70</t>
  </si>
  <si>
    <t>457,13</t>
  </si>
  <si>
    <t>532,85</t>
  </si>
  <si>
    <t>906,07</t>
  </si>
  <si>
    <t>85,29</t>
  </si>
  <si>
    <t>666,86</t>
  </si>
  <si>
    <t>735,11</t>
  </si>
  <si>
    <t>664,92</t>
  </si>
  <si>
    <t>339,91</t>
  </si>
  <si>
    <t>362,41</t>
  </si>
  <si>
    <t>377,39</t>
  </si>
  <si>
    <t>388,88</t>
  </si>
  <si>
    <t>272,65</t>
  </si>
  <si>
    <t>292,63</t>
  </si>
  <si>
    <t>305,39</t>
  </si>
  <si>
    <t>313,36</t>
  </si>
  <si>
    <t>1.225,51</t>
  </si>
  <si>
    <t>593,02</t>
  </si>
  <si>
    <t>1.878,49</t>
  </si>
  <si>
    <t>2.571,42</t>
  </si>
  <si>
    <t>4.163,57</t>
  </si>
  <si>
    <t>5.638,93</t>
  </si>
  <si>
    <t>6.573,81</t>
  </si>
  <si>
    <t>7.779,22</t>
  </si>
  <si>
    <t>1.601,09</t>
  </si>
  <si>
    <t>3.445,65</t>
  </si>
  <si>
    <t>4.791,22</t>
  </si>
  <si>
    <t>6.640,52</t>
  </si>
  <si>
    <t>2.653,39</t>
  </si>
  <si>
    <t>4.038,48</t>
  </si>
  <si>
    <t>4.656,69</t>
  </si>
  <si>
    <t>6.458,52</t>
  </si>
  <si>
    <t>4.949,58</t>
  </si>
  <si>
    <t>6.614,60</t>
  </si>
  <si>
    <t>9.343,04</t>
  </si>
  <si>
    <t>12.455,98</t>
  </si>
  <si>
    <t>14.320,35</t>
  </si>
  <si>
    <t>15.825,07</t>
  </si>
  <si>
    <t>4.091,03</t>
  </si>
  <si>
    <t>6.307,48</t>
  </si>
  <si>
    <t>9.673,74</t>
  </si>
  <si>
    <t>12.518,03</t>
  </si>
  <si>
    <t>14.350,47</t>
  </si>
  <si>
    <t>16.852,33</t>
  </si>
  <si>
    <t>4.420,31</t>
  </si>
  <si>
    <t>7.700,51</t>
  </si>
  <si>
    <t>9.824,21</t>
  </si>
  <si>
    <t>14.493,71</t>
  </si>
  <si>
    <t>3.484,88</t>
  </si>
  <si>
    <t>4.597,08</t>
  </si>
  <si>
    <t>6.442,00</t>
  </si>
  <si>
    <t>8.707,79</t>
  </si>
  <si>
    <t>9.846,85</t>
  </si>
  <si>
    <t>10.552,04</t>
  </si>
  <si>
    <t>2.980,43</t>
  </si>
  <si>
    <t>4.676,71</t>
  </si>
  <si>
    <t>7.303,13</t>
  </si>
  <si>
    <t>9.423,04</t>
  </si>
  <si>
    <t>11.029,44</t>
  </si>
  <si>
    <t>13.004,46</t>
  </si>
  <si>
    <t>2.513,77</t>
  </si>
  <si>
    <t>4.282,60</t>
  </si>
  <si>
    <t>5.566,62</t>
  </si>
  <si>
    <t>8.202,17</t>
  </si>
  <si>
    <t>686,79</t>
  </si>
  <si>
    <t>393,38</t>
  </si>
  <si>
    <t>120,87</t>
  </si>
  <si>
    <t>719,47</t>
  </si>
  <si>
    <t>131,16</t>
  </si>
  <si>
    <t>109,96</t>
  </si>
  <si>
    <t>204,03</t>
  </si>
  <si>
    <t>470,62</t>
  </si>
  <si>
    <t>37,99</t>
  </si>
  <si>
    <t>37,94</t>
  </si>
  <si>
    <t>42,57</t>
  </si>
  <si>
    <t>699,38</t>
  </si>
  <si>
    <t>299,47</t>
  </si>
  <si>
    <t>66,99</t>
  </si>
  <si>
    <t>70,38</t>
  </si>
  <si>
    <t>74,16</t>
  </si>
  <si>
    <t>21,38</t>
  </si>
  <si>
    <t>44,77</t>
  </si>
  <si>
    <t>84,74</t>
  </si>
  <si>
    <t>65,77</t>
  </si>
  <si>
    <t>83,28</t>
  </si>
  <si>
    <t>229,65</t>
  </si>
  <si>
    <t>278,68</t>
  </si>
  <si>
    <t>124,03</t>
  </si>
  <si>
    <t>131,36</t>
  </si>
  <si>
    <t>44,63</t>
  </si>
  <si>
    <t>94,46</t>
  </si>
  <si>
    <t>157,82</t>
  </si>
  <si>
    <t>193,35</t>
  </si>
  <si>
    <t>248,20</t>
  </si>
  <si>
    <t>48,60</t>
  </si>
  <si>
    <t>65,58</t>
  </si>
  <si>
    <t>97,06</t>
  </si>
  <si>
    <t>179,01</t>
  </si>
  <si>
    <t>93,51</t>
  </si>
  <si>
    <t>189,43</t>
  </si>
  <si>
    <t>213,00</t>
  </si>
  <si>
    <t>297,38</t>
  </si>
  <si>
    <t>424,10</t>
  </si>
  <si>
    <t>583,67</t>
  </si>
  <si>
    <t>899,58</t>
  </si>
  <si>
    <t>56,40</t>
  </si>
  <si>
    <t>61,37</t>
  </si>
  <si>
    <t>68,03</t>
  </si>
  <si>
    <t>101,32</t>
  </si>
  <si>
    <t>117,77</t>
  </si>
  <si>
    <t>365,81</t>
  </si>
  <si>
    <t>625,46</t>
  </si>
  <si>
    <t>187,52</t>
  </si>
  <si>
    <t>269,24</t>
  </si>
  <si>
    <t>64,60</t>
  </si>
  <si>
    <t>101,95</t>
  </si>
  <si>
    <t>109,62</t>
  </si>
  <si>
    <t>165,02</t>
  </si>
  <si>
    <t>292,15</t>
  </si>
  <si>
    <t>399,53</t>
  </si>
  <si>
    <t>698,22</t>
  </si>
  <si>
    <t>153,74</t>
  </si>
  <si>
    <t>171,62</t>
  </si>
  <si>
    <t>49,23</t>
  </si>
  <si>
    <t>73,09</t>
  </si>
  <si>
    <t>16,50</t>
  </si>
  <si>
    <t>22,29</t>
  </si>
  <si>
    <t>17,97</t>
  </si>
  <si>
    <t>24,01</t>
  </si>
  <si>
    <t>33,19</t>
  </si>
  <si>
    <t>145,90</t>
  </si>
  <si>
    <t>156,65</t>
  </si>
  <si>
    <t>292,13</t>
  </si>
  <si>
    <t>447,00</t>
  </si>
  <si>
    <t>543,73</t>
  </si>
  <si>
    <t>706,26</t>
  </si>
  <si>
    <t>259,77</t>
  </si>
  <si>
    <t>383,76</t>
  </si>
  <si>
    <t>502,49</t>
  </si>
  <si>
    <t>350,60</t>
  </si>
  <si>
    <t>522,37</t>
  </si>
  <si>
    <t>685,39</t>
  </si>
  <si>
    <t>115,76</t>
  </si>
  <si>
    <t>123,10</t>
  </si>
  <si>
    <t>150,59</t>
  </si>
  <si>
    <t>107,90</t>
  </si>
  <si>
    <t>145,10</t>
  </si>
  <si>
    <t>10,43</t>
  </si>
  <si>
    <t>36,35</t>
  </si>
  <si>
    <t>67,00</t>
  </si>
  <si>
    <t>85,59</t>
  </si>
  <si>
    <t>17,94</t>
  </si>
  <si>
    <t>19,16</t>
  </si>
  <si>
    <t>3,04</t>
  </si>
  <si>
    <t>9,86</t>
  </si>
  <si>
    <t>15,63</t>
  </si>
  <si>
    <t>4,55</t>
  </si>
  <si>
    <t>7,31</t>
  </si>
  <si>
    <t>8,35</t>
  </si>
  <si>
    <t>4,58</t>
  </si>
  <si>
    <t>5,76</t>
  </si>
  <si>
    <t>10,63</t>
  </si>
  <si>
    <t>9,78</t>
  </si>
  <si>
    <t>5,17</t>
  </si>
  <si>
    <t>47,76</t>
  </si>
  <si>
    <t>3,80</t>
  </si>
  <si>
    <t>4,44</t>
  </si>
  <si>
    <t>2.180,73</t>
  </si>
  <si>
    <t>1.516,17</t>
  </si>
  <si>
    <t>1.189,00</t>
  </si>
  <si>
    <t>995,55</t>
  </si>
  <si>
    <t>24,60</t>
  </si>
  <si>
    <t>1.362,11</t>
  </si>
  <si>
    <t>829,88</t>
  </si>
  <si>
    <t>1.052,66</t>
  </si>
  <si>
    <t>1.342,35</t>
  </si>
  <si>
    <t>778,77</t>
  </si>
  <si>
    <t>97,50</t>
  </si>
  <si>
    <t>1.248,37</t>
  </si>
  <si>
    <t>99,97</t>
  </si>
  <si>
    <t>2.183,15</t>
  </si>
  <si>
    <t>1.334,04</t>
  </si>
  <si>
    <t>102,96</t>
  </si>
  <si>
    <t>1.823,29</t>
  </si>
  <si>
    <t>105,55</t>
  </si>
  <si>
    <t>132,52</t>
  </si>
  <si>
    <t>6.198,45</t>
  </si>
  <si>
    <t>140,21</t>
  </si>
  <si>
    <t>152,71</t>
  </si>
  <si>
    <t>3.203,84</t>
  </si>
  <si>
    <t>9,21</t>
  </si>
  <si>
    <t>5.321,11</t>
  </si>
  <si>
    <t>7.064,49</t>
  </si>
  <si>
    <t>7.034,72</t>
  </si>
  <si>
    <t>10.633,22</t>
  </si>
  <si>
    <t>1.039,31</t>
  </si>
  <si>
    <t>855,27</t>
  </si>
  <si>
    <t>671,39</t>
  </si>
  <si>
    <t>491,61</t>
  </si>
  <si>
    <t>782,27</t>
  </si>
  <si>
    <t>652,68</t>
  </si>
  <si>
    <t>521,72</t>
  </si>
  <si>
    <t>393,35</t>
  </si>
  <si>
    <t>75,50</t>
  </si>
  <si>
    <t>107,38</t>
  </si>
  <si>
    <t>130,59</t>
  </si>
  <si>
    <t>29,87</t>
  </si>
  <si>
    <t>216,67</t>
  </si>
  <si>
    <t>90,24</t>
  </si>
  <si>
    <t>165,32</t>
  </si>
  <si>
    <t>2,49</t>
  </si>
  <si>
    <t>13,17</t>
  </si>
  <si>
    <t>9,74</t>
  </si>
  <si>
    <t>11,97</t>
  </si>
  <si>
    <t>13,15</t>
  </si>
  <si>
    <t>8,46</t>
  </si>
  <si>
    <t>25,54</t>
  </si>
  <si>
    <t>18,86</t>
  </si>
  <si>
    <t>17,57</t>
  </si>
  <si>
    <t>24,43</t>
  </si>
  <si>
    <t>8,99</t>
  </si>
  <si>
    <t>19,42</t>
  </si>
  <si>
    <t>13,89</t>
  </si>
  <si>
    <t>16,18</t>
  </si>
  <si>
    <t>18,01</t>
  </si>
  <si>
    <t>21,94</t>
  </si>
  <si>
    <t>23,46</t>
  </si>
  <si>
    <t>14,79</t>
  </si>
  <si>
    <t>22,13</t>
  </si>
  <si>
    <t>12,75</t>
  </si>
  <si>
    <t>17,99</t>
  </si>
  <si>
    <t>17,07</t>
  </si>
  <si>
    <t>21,67</t>
  </si>
  <si>
    <t>119,01</t>
  </si>
  <si>
    <t>134,70</t>
  </si>
  <si>
    <t>19,38</t>
  </si>
  <si>
    <t>9,46</t>
  </si>
  <si>
    <t>7,85</t>
  </si>
  <si>
    <t>4,78</t>
  </si>
  <si>
    <t>4,34</t>
  </si>
  <si>
    <t>9,84</t>
  </si>
  <si>
    <t>5,43</t>
  </si>
  <si>
    <t>59,97</t>
  </si>
  <si>
    <t>9,35</t>
  </si>
  <si>
    <t>6,02</t>
  </si>
  <si>
    <t>11,47</t>
  </si>
  <si>
    <t>10,46</t>
  </si>
  <si>
    <t>9,82</t>
  </si>
  <si>
    <t>5,81</t>
  </si>
  <si>
    <t>11,05</t>
  </si>
  <si>
    <t>63,39</t>
  </si>
  <si>
    <t>60,46</t>
  </si>
  <si>
    <t>56,79</t>
  </si>
  <si>
    <t>57,65</t>
  </si>
  <si>
    <t>55,26</t>
  </si>
  <si>
    <t>56,37</t>
  </si>
  <si>
    <t>54,49</t>
  </si>
  <si>
    <t>66,12</t>
  </si>
  <si>
    <t>60,16</t>
  </si>
  <si>
    <t>57,53</t>
  </si>
  <si>
    <t>54,14</t>
  </si>
  <si>
    <t>68,97</t>
  </si>
  <si>
    <t>66,04</t>
  </si>
  <si>
    <t>62,37</t>
  </si>
  <si>
    <t>63,23</t>
  </si>
  <si>
    <t>60,84</t>
  </si>
  <si>
    <t>61,95</t>
  </si>
  <si>
    <t>60,07</t>
  </si>
  <si>
    <t>71,70</t>
  </si>
  <si>
    <t>65,74</t>
  </si>
  <si>
    <t>63,11</t>
  </si>
  <si>
    <t>59,72</t>
  </si>
  <si>
    <t>74,03</t>
  </si>
  <si>
    <t>8,65</t>
  </si>
  <si>
    <t>7,54</t>
  </si>
  <si>
    <t>36,36</t>
  </si>
  <si>
    <t>1,98</t>
  </si>
  <si>
    <t>1,57</t>
  </si>
  <si>
    <t>178,59</t>
  </si>
  <si>
    <t>213,55</t>
  </si>
  <si>
    <t>161,13</t>
  </si>
  <si>
    <t>196,09</t>
  </si>
  <si>
    <t>188,56</t>
  </si>
  <si>
    <t>157,23</t>
  </si>
  <si>
    <t>130,97</t>
  </si>
  <si>
    <t>1,90</t>
  </si>
  <si>
    <t>120,46</t>
  </si>
  <si>
    <t>53,73</t>
  </si>
  <si>
    <t>54,74</t>
  </si>
  <si>
    <t>72,35</t>
  </si>
  <si>
    <t>87,23</t>
  </si>
  <si>
    <t>88,56</t>
  </si>
  <si>
    <t>73,90</t>
  </si>
  <si>
    <t>74,78</t>
  </si>
  <si>
    <t>72,59</t>
  </si>
  <si>
    <t>96,29</t>
  </si>
  <si>
    <t>121,82</t>
  </si>
  <si>
    <t>123,59</t>
  </si>
  <si>
    <t>148,39</t>
  </si>
  <si>
    <t>149,68</t>
  </si>
  <si>
    <t>49,26</t>
  </si>
  <si>
    <t>73,02</t>
  </si>
  <si>
    <t>74,20</t>
  </si>
  <si>
    <t>67,62</t>
  </si>
  <si>
    <t>77,26</t>
  </si>
  <si>
    <t>68,83</t>
  </si>
  <si>
    <t>81,49</t>
  </si>
  <si>
    <t>82,80</t>
  </si>
  <si>
    <t>87,53</t>
  </si>
  <si>
    <t>88,84</t>
  </si>
  <si>
    <t>78,11</t>
  </si>
  <si>
    <t>79,42</t>
  </si>
  <si>
    <t>90,08</t>
  </si>
  <si>
    <t>91,76</t>
  </si>
  <si>
    <t>80,60</t>
  </si>
  <si>
    <t>82,28</t>
  </si>
  <si>
    <t>93,67</t>
  </si>
  <si>
    <t>85,19</t>
  </si>
  <si>
    <t>104,54</t>
  </si>
  <si>
    <t>106,40</t>
  </si>
  <si>
    <t>90,17</t>
  </si>
  <si>
    <t>92,03</t>
  </si>
  <si>
    <t>135,35</t>
  </si>
  <si>
    <t>61,98</t>
  </si>
  <si>
    <t>62,82</t>
  </si>
  <si>
    <t>80,19</t>
  </si>
  <si>
    <t>81,18</t>
  </si>
  <si>
    <t>97,67</t>
  </si>
  <si>
    <t>98,91</t>
  </si>
  <si>
    <t>68,48</t>
  </si>
  <si>
    <t>89,88</t>
  </si>
  <si>
    <t>90,87</t>
  </si>
  <si>
    <t>110,34</t>
  </si>
  <si>
    <t>111,58</t>
  </si>
  <si>
    <t>94,88</t>
  </si>
  <si>
    <t>77,20</t>
  </si>
  <si>
    <t>90,65</t>
  </si>
  <si>
    <t>81,10</t>
  </si>
  <si>
    <t>99,90</t>
  </si>
  <si>
    <t>91,99</t>
  </si>
  <si>
    <t>87,34</t>
  </si>
  <si>
    <t>110,72</t>
  </si>
  <si>
    <t>105,76</t>
  </si>
  <si>
    <t>97,53</t>
  </si>
  <si>
    <t>90,61</t>
  </si>
  <si>
    <t>109,18</t>
  </si>
  <si>
    <t>107,23</t>
  </si>
  <si>
    <t>95,74</t>
  </si>
  <si>
    <t>88,10</t>
  </si>
  <si>
    <t>114,74</t>
  </si>
  <si>
    <t>106,80</t>
  </si>
  <si>
    <t>103,78</t>
  </si>
  <si>
    <t>99,13</t>
  </si>
  <si>
    <t>122,56</t>
  </si>
  <si>
    <t>117,78</t>
  </si>
  <si>
    <t>112,42</t>
  </si>
  <si>
    <t>131,52</t>
  </si>
  <si>
    <t>76,39</t>
  </si>
  <si>
    <t>91,70</t>
  </si>
  <si>
    <t>184,34</t>
  </si>
  <si>
    <t>755,21</t>
  </si>
  <si>
    <t>766,08</t>
  </si>
  <si>
    <t>97,64</t>
  </si>
  <si>
    <t>112,14</t>
  </si>
  <si>
    <t>135,87</t>
  </si>
  <si>
    <t>164,46</t>
  </si>
  <si>
    <t>124,52</t>
  </si>
  <si>
    <t>162,75</t>
  </si>
  <si>
    <t>191,59</t>
  </si>
  <si>
    <t>166,38</t>
  </si>
  <si>
    <t>189,64</t>
  </si>
  <si>
    <t>218,70</t>
  </si>
  <si>
    <t>68,34</t>
  </si>
  <si>
    <t>82,70</t>
  </si>
  <si>
    <t>520,97</t>
  </si>
  <si>
    <t>732,97</t>
  </si>
  <si>
    <t>694,84</t>
  </si>
  <si>
    <t>737,09</t>
  </si>
  <si>
    <t>802,70</t>
  </si>
  <si>
    <t>249,63</t>
  </si>
  <si>
    <t>272,00</t>
  </si>
  <si>
    <t>108,08</t>
  </si>
  <si>
    <t>152,83</t>
  </si>
  <si>
    <t>225,93</t>
  </si>
  <si>
    <t>1.426,25</t>
  </si>
  <si>
    <t>914,02</t>
  </si>
  <si>
    <t>1.556,13</t>
  </si>
  <si>
    <t>1.043,90</t>
  </si>
  <si>
    <t>34,57</t>
  </si>
  <si>
    <t>70,34</t>
  </si>
  <si>
    <t>37,33</t>
  </si>
  <si>
    <t>54,96</t>
  </si>
  <si>
    <t>48,75</t>
  </si>
  <si>
    <t>81,19</t>
  </si>
  <si>
    <t>115,87</t>
  </si>
  <si>
    <t>148,16</t>
  </si>
  <si>
    <t>179,58</t>
  </si>
  <si>
    <t>210,59</t>
  </si>
  <si>
    <t>150,83</t>
  </si>
  <si>
    <t>139,23</t>
  </si>
  <si>
    <t>215,02</t>
  </si>
  <si>
    <t>245,04</t>
  </si>
  <si>
    <t>274,66</t>
  </si>
  <si>
    <t>203,88</t>
  </si>
  <si>
    <t>234,13</t>
  </si>
  <si>
    <t>263,98</t>
  </si>
  <si>
    <t>215,05</t>
  </si>
  <si>
    <t>20,20</t>
  </si>
  <si>
    <t>87,17</t>
  </si>
  <si>
    <t>118,58</t>
  </si>
  <si>
    <t>89,84</t>
  </si>
  <si>
    <t>78,24</t>
  </si>
  <si>
    <t>154,03</t>
  </si>
  <si>
    <t>184,05</t>
  </si>
  <si>
    <t>213,67</t>
  </si>
  <si>
    <t>142,89</t>
  </si>
  <si>
    <t>202,99</t>
  </si>
  <si>
    <t>154,06</t>
  </si>
  <si>
    <t>44,89</t>
  </si>
  <si>
    <t>125,82</t>
  </si>
  <si>
    <t>128,77</t>
  </si>
  <si>
    <t>19,01</t>
  </si>
  <si>
    <t>24,06</t>
  </si>
  <si>
    <t>24,53</t>
  </si>
  <si>
    <t>25,46</t>
  </si>
  <si>
    <t>20,52</t>
  </si>
  <si>
    <t>1.511,93</t>
  </si>
  <si>
    <t>1.641,81</t>
  </si>
  <si>
    <t>3,22</t>
  </si>
  <si>
    <t>110,71</t>
  </si>
  <si>
    <t>141,72</t>
  </si>
  <si>
    <t>144,27</t>
  </si>
  <si>
    <t>288,12</t>
  </si>
  <si>
    <t>99,34</t>
  </si>
  <si>
    <t>128,50</t>
  </si>
  <si>
    <t>75,62</t>
  </si>
  <si>
    <t>151,37</t>
  </si>
  <si>
    <t>181,44</t>
  </si>
  <si>
    <t>140,23</t>
  </si>
  <si>
    <t>172,63</t>
  </si>
  <si>
    <t>200,38</t>
  </si>
  <si>
    <t>79,61</t>
  </si>
  <si>
    <t>21,50</t>
  </si>
  <si>
    <t>35,66</t>
  </si>
  <si>
    <t>68,96</t>
  </si>
  <si>
    <t>145,25</t>
  </si>
  <si>
    <t>103,07</t>
  </si>
  <si>
    <t>78,86</t>
  </si>
  <si>
    <t>67,83</t>
  </si>
  <si>
    <t>86,20</t>
  </si>
  <si>
    <t>87,60</t>
  </si>
  <si>
    <t>102,46</t>
  </si>
  <si>
    <t>103,98</t>
  </si>
  <si>
    <t>80,39</t>
  </si>
  <si>
    <t>87,57</t>
  </si>
  <si>
    <t>88,93</t>
  </si>
  <si>
    <t>103,85</t>
  </si>
  <si>
    <t>88,33</t>
  </si>
  <si>
    <t>93,45</t>
  </si>
  <si>
    <t>94,92</t>
  </si>
  <si>
    <t>130,99</t>
  </si>
  <si>
    <t>154,16</t>
  </si>
  <si>
    <t>170,26</t>
  </si>
  <si>
    <t>216,57</t>
  </si>
  <si>
    <t>232,58</t>
  </si>
  <si>
    <t>209,73</t>
  </si>
  <si>
    <t>241,12</t>
  </si>
  <si>
    <t>260,46</t>
  </si>
  <si>
    <t>0,32</t>
  </si>
  <si>
    <t>44,92</t>
  </si>
  <si>
    <t>20,09</t>
  </si>
  <si>
    <t>19,19</t>
  </si>
  <si>
    <t>20,80</t>
  </si>
  <si>
    <t>215,10</t>
  </si>
  <si>
    <t>176,24</t>
  </si>
  <si>
    <t>33,76</t>
  </si>
  <si>
    <t>55,23</t>
  </si>
  <si>
    <t>1.335,07</t>
  </si>
  <si>
    <t>1.155,84</t>
  </si>
  <si>
    <t>133,86</t>
  </si>
  <si>
    <t>194,46</t>
  </si>
  <si>
    <t>277,71</t>
  </si>
  <si>
    <t>700,15</t>
  </si>
  <si>
    <t>661,18</t>
  </si>
  <si>
    <t>472,39</t>
  </si>
  <si>
    <t>510,70</t>
  </si>
  <si>
    <t>413,14</t>
  </si>
  <si>
    <t>451,46</t>
  </si>
  <si>
    <t>419,20</t>
  </si>
  <si>
    <t>457,51</t>
  </si>
  <si>
    <t>252,57</t>
  </si>
  <si>
    <t>2,88</t>
  </si>
  <si>
    <t>18,91</t>
  </si>
  <si>
    <t>13,25</t>
  </si>
  <si>
    <t>23,03</t>
  </si>
  <si>
    <t>2,00</t>
  </si>
  <si>
    <t>10,86</t>
  </si>
  <si>
    <t>18,67</t>
  </si>
  <si>
    <t>21,96</t>
  </si>
  <si>
    <t>17,30</t>
  </si>
  <si>
    <t>5,75</t>
  </si>
  <si>
    <t>6,64</t>
  </si>
  <si>
    <t>14,70</t>
  </si>
  <si>
    <t>18,29</t>
  </si>
  <si>
    <t>17,42</t>
  </si>
  <si>
    <t>19,47</t>
  </si>
  <si>
    <t>15,05</t>
  </si>
  <si>
    <t>8,11</t>
  </si>
  <si>
    <t>34,78</t>
  </si>
  <si>
    <t>15,67</t>
  </si>
  <si>
    <t>34,76</t>
  </si>
  <si>
    <t>34,90</t>
  </si>
  <si>
    <t>14,43</t>
  </si>
  <si>
    <t>16,78</t>
  </si>
  <si>
    <t>3,18</t>
  </si>
  <si>
    <t>32,81</t>
  </si>
  <si>
    <t>57,29</t>
  </si>
  <si>
    <t>42,27</t>
  </si>
  <si>
    <t>195,95</t>
  </si>
  <si>
    <t>309,68</t>
  </si>
  <si>
    <t>200,41</t>
  </si>
  <si>
    <t>44,12</t>
  </si>
  <si>
    <t>59,47</t>
  </si>
  <si>
    <t>50,84</t>
  </si>
  <si>
    <t>45,31</t>
  </si>
  <si>
    <t>99,75</t>
  </si>
  <si>
    <t>88,99</t>
  </si>
  <si>
    <t>136,71</t>
  </si>
  <si>
    <t>126,49</t>
  </si>
  <si>
    <t>120,61</t>
  </si>
  <si>
    <t>157,15</t>
  </si>
  <si>
    <t>144,98</t>
  </si>
  <si>
    <t>138,05</t>
  </si>
  <si>
    <t>48,25</t>
  </si>
  <si>
    <t>46,10</t>
  </si>
  <si>
    <t>48,31</t>
  </si>
  <si>
    <t>42,95</t>
  </si>
  <si>
    <t>379,82</t>
  </si>
  <si>
    <t>500,31</t>
  </si>
  <si>
    <t>490,48</t>
  </si>
  <si>
    <t>27,76</t>
  </si>
  <si>
    <t>68,27</t>
  </si>
  <si>
    <t>96,13</t>
  </si>
  <si>
    <t>119,88</t>
  </si>
  <si>
    <t>149,23</t>
  </si>
  <si>
    <t>268,49</t>
  </si>
  <si>
    <t>78,95</t>
  </si>
  <si>
    <t>136,29</t>
  </si>
  <si>
    <t>159,54</t>
  </si>
  <si>
    <t>215,70</t>
  </si>
  <si>
    <t>329,81</t>
  </si>
  <si>
    <t>338,09</t>
  </si>
  <si>
    <t>75,00</t>
  </si>
  <si>
    <t>91,38</t>
  </si>
  <si>
    <t>387,39</t>
  </si>
  <si>
    <t>507,88</t>
  </si>
  <si>
    <t>57,45</t>
  </si>
  <si>
    <t>26,36</t>
  </si>
  <si>
    <t>662,47</t>
  </si>
  <si>
    <t>740,45</t>
  </si>
  <si>
    <t>100,30</t>
  </si>
  <si>
    <t>104,98</t>
  </si>
  <si>
    <t>114,59</t>
  </si>
  <si>
    <t>127,88</t>
  </si>
  <si>
    <t>141,99</t>
  </si>
  <si>
    <t>72,08</t>
  </si>
  <si>
    <t>78,81</t>
  </si>
  <si>
    <t>34,60</t>
  </si>
  <si>
    <t>38,58</t>
  </si>
  <si>
    <t>98,50</t>
  </si>
  <si>
    <t>105,88</t>
  </si>
  <si>
    <t>118,96</t>
  </si>
  <si>
    <t>38,71</t>
  </si>
  <si>
    <t>112,39</t>
  </si>
  <si>
    <t>121,47</t>
  </si>
  <si>
    <t>38,75</t>
  </si>
  <si>
    <t>44,36</t>
  </si>
  <si>
    <t>128,75</t>
  </si>
  <si>
    <t>41,89</t>
  </si>
  <si>
    <t>48,00</t>
  </si>
  <si>
    <t>139,89</t>
  </si>
  <si>
    <t>151,22</t>
  </si>
  <si>
    <t>35,87</t>
  </si>
  <si>
    <t>81,83</t>
  </si>
  <si>
    <t>46,92</t>
  </si>
  <si>
    <t>106,84</t>
  </si>
  <si>
    <t>42,07</t>
  </si>
  <si>
    <t>101,99</t>
  </si>
  <si>
    <t>109,37</t>
  </si>
  <si>
    <t>43,90</t>
  </si>
  <si>
    <t>26,58</t>
  </si>
  <si>
    <t>38,31</t>
  </si>
  <si>
    <t>67,41</t>
  </si>
  <si>
    <t>157,41</t>
  </si>
  <si>
    <t>167,81</t>
  </si>
  <si>
    <t>71,45</t>
  </si>
  <si>
    <t>77,56</t>
  </si>
  <si>
    <t>169,45</t>
  </si>
  <si>
    <t>180,78</t>
  </si>
  <si>
    <t>191,54</t>
  </si>
  <si>
    <t>204,56</t>
  </si>
  <si>
    <t>35,92</t>
  </si>
  <si>
    <t>46,04</t>
  </si>
  <si>
    <t>8,89</t>
  </si>
  <si>
    <t>8,92</t>
  </si>
  <si>
    <t>19,24</t>
  </si>
  <si>
    <t>9,95</t>
  </si>
  <si>
    <t>4,85</t>
  </si>
  <si>
    <t>10,88</t>
  </si>
  <si>
    <t>7,13</t>
  </si>
  <si>
    <t>27,25</t>
  </si>
  <si>
    <t>30,25</t>
  </si>
  <si>
    <t>25,14</t>
  </si>
  <si>
    <t>29,70</t>
  </si>
  <si>
    <t>31,12</t>
  </si>
  <si>
    <t>37,04</t>
  </si>
  <si>
    <t>23,17</t>
  </si>
  <si>
    <t>26,86</t>
  </si>
  <si>
    <t>30,73</t>
  </si>
  <si>
    <t>32,31</t>
  </si>
  <si>
    <t>34,70</t>
  </si>
  <si>
    <t>28,39</t>
  </si>
  <si>
    <t>32,03</t>
  </si>
  <si>
    <t>27,43</t>
  </si>
  <si>
    <t>76,70</t>
  </si>
  <si>
    <t>74,41</t>
  </si>
  <si>
    <t>73,60</t>
  </si>
  <si>
    <t>17,16</t>
  </si>
  <si>
    <t>14,49</t>
  </si>
  <si>
    <t>16,55</t>
  </si>
  <si>
    <t>43,54</t>
  </si>
  <si>
    <t>42,92</t>
  </si>
  <si>
    <t>81,29</t>
  </si>
  <si>
    <t>52,69</t>
  </si>
  <si>
    <t>56,77</t>
  </si>
  <si>
    <t>102,65</t>
  </si>
  <si>
    <t>65,35</t>
  </si>
  <si>
    <t>124,01</t>
  </si>
  <si>
    <t>75,90</t>
  </si>
  <si>
    <t>81,53</t>
  </si>
  <si>
    <t>143,46</t>
  </si>
  <si>
    <t>31,90</t>
  </si>
  <si>
    <t>34,74</t>
  </si>
  <si>
    <t>65,33</t>
  </si>
  <si>
    <t>39,13</t>
  </si>
  <si>
    <t>85,47</t>
  </si>
  <si>
    <t>46,36</t>
  </si>
  <si>
    <t>51,13</t>
  </si>
  <si>
    <t>105,60</t>
  </si>
  <si>
    <t>115,35</t>
  </si>
  <si>
    <t>65,92</t>
  </si>
  <si>
    <t>68,76</t>
  </si>
  <si>
    <t>99,01</t>
  </si>
  <si>
    <t>73,16</t>
  </si>
  <si>
    <t>119,15</t>
  </si>
  <si>
    <t>80,05</t>
  </si>
  <si>
    <t>84,82</t>
  </si>
  <si>
    <t>139,30</t>
  </si>
  <si>
    <t>113,94</t>
  </si>
  <si>
    <t>119,20</t>
  </si>
  <si>
    <t>176,25</t>
  </si>
  <si>
    <t>56,72</t>
  </si>
  <si>
    <t>95,20</t>
  </si>
  <si>
    <t>61,47</t>
  </si>
  <si>
    <t>119,17</t>
  </si>
  <si>
    <t>189,47</t>
  </si>
  <si>
    <t>131,04</t>
  </si>
  <si>
    <t>183,31</t>
  </si>
  <si>
    <t>125,69</t>
  </si>
  <si>
    <t>195,28</t>
  </si>
  <si>
    <t>135,25</t>
  </si>
  <si>
    <t>187,73</t>
  </si>
  <si>
    <t>128,49</t>
  </si>
  <si>
    <t>195,69</t>
  </si>
  <si>
    <t>142,48</t>
  </si>
  <si>
    <t>184,44</t>
  </si>
  <si>
    <t>132,06</t>
  </si>
  <si>
    <t>204,63</t>
  </si>
  <si>
    <t>146,20</t>
  </si>
  <si>
    <t>197,50</t>
  </si>
  <si>
    <t>139,88</t>
  </si>
  <si>
    <t>210,46</t>
  </si>
  <si>
    <t>150,42</t>
  </si>
  <si>
    <t>201,90</t>
  </si>
  <si>
    <t>142,66</t>
  </si>
  <si>
    <t>210,83</t>
  </si>
  <si>
    <t>157,65</t>
  </si>
  <si>
    <t>198,64</t>
  </si>
  <si>
    <t>146,24</t>
  </si>
  <si>
    <t>138,52</t>
  </si>
  <si>
    <t>158,11</t>
  </si>
  <si>
    <t>36,21</t>
  </si>
  <si>
    <t>200,66</t>
  </si>
  <si>
    <t>184,95</t>
  </si>
  <si>
    <t>194,26</t>
  </si>
  <si>
    <t>232,55</t>
  </si>
  <si>
    <t>58,61</t>
  </si>
  <si>
    <t>52,61</t>
  </si>
  <si>
    <t>60,72</t>
  </si>
  <si>
    <t>58,08</t>
  </si>
  <si>
    <t>62,15</t>
  </si>
  <si>
    <t>63,92</t>
  </si>
  <si>
    <t>65,85</t>
  </si>
  <si>
    <t>57,89</t>
  </si>
  <si>
    <t>67,10</t>
  </si>
  <si>
    <t>64,42</t>
  </si>
  <si>
    <t>286,66</t>
  </si>
  <si>
    <t>266,14</t>
  </si>
  <si>
    <t>275,45</t>
  </si>
  <si>
    <t>330,25</t>
  </si>
  <si>
    <t>58,46</t>
  </si>
  <si>
    <t>43,78</t>
  </si>
  <si>
    <t>51,81</t>
  </si>
  <si>
    <t>49,17</t>
  </si>
  <si>
    <t>57,96</t>
  </si>
  <si>
    <t>52,04</t>
  </si>
  <si>
    <t>57,43</t>
  </si>
  <si>
    <t>113,93</t>
  </si>
  <si>
    <t>47,72</t>
  </si>
  <si>
    <t>113,41</t>
  </si>
  <si>
    <t>143,38</t>
  </si>
  <si>
    <t>33,47</t>
  </si>
  <si>
    <t>35,38</t>
  </si>
  <si>
    <t>71,00</t>
  </si>
  <si>
    <t>77,39</t>
  </si>
  <si>
    <t>35,47</t>
  </si>
  <si>
    <t>43,14</t>
  </si>
  <si>
    <t>77,52</t>
  </si>
  <si>
    <t>11,90</t>
  </si>
  <si>
    <t>80,26</t>
  </si>
  <si>
    <t>12,28</t>
  </si>
  <si>
    <t>1,83</t>
  </si>
  <si>
    <t>356,23</t>
  </si>
  <si>
    <t>375,08</t>
  </si>
  <si>
    <t>372,36</t>
  </si>
  <si>
    <t>461,65</t>
  </si>
  <si>
    <t>454,40</t>
  </si>
  <si>
    <t>441,03</t>
  </si>
  <si>
    <t>438,26</t>
  </si>
  <si>
    <t>450,77</t>
  </si>
  <si>
    <t>430,66</t>
  </si>
  <si>
    <t>429,74</t>
  </si>
  <si>
    <t>415,49</t>
  </si>
  <si>
    <t>582,79</t>
  </si>
  <si>
    <t>368,07</t>
  </si>
  <si>
    <t>514,62</t>
  </si>
  <si>
    <t>512,05</t>
  </si>
  <si>
    <t>461,66</t>
  </si>
  <si>
    <t>466,15</t>
  </si>
  <si>
    <t>432,87</t>
  </si>
  <si>
    <t>429,16</t>
  </si>
  <si>
    <t>360,86</t>
  </si>
  <si>
    <t>356,84</t>
  </si>
  <si>
    <t>449,75</t>
  </si>
  <si>
    <t>447,50</t>
  </si>
  <si>
    <t>400,54</t>
  </si>
  <si>
    <t>393,90</t>
  </si>
  <si>
    <t>5.343,18</t>
  </si>
  <si>
    <t>5.361,00</t>
  </si>
  <si>
    <t>5.465,45</t>
  </si>
  <si>
    <t>5.481,18</t>
  </si>
  <si>
    <t>5.362,05</t>
  </si>
  <si>
    <t>5.399,69</t>
  </si>
  <si>
    <t>371,43</t>
  </si>
  <si>
    <t>335,08</t>
  </si>
  <si>
    <t>400,49</t>
  </si>
  <si>
    <t>359,04</t>
  </si>
  <si>
    <t>475,94</t>
  </si>
  <si>
    <t>443,19</t>
  </si>
  <si>
    <t>420,80</t>
  </si>
  <si>
    <t>438,93</t>
  </si>
  <si>
    <t>429,34</t>
  </si>
  <si>
    <t>412,16</t>
  </si>
  <si>
    <t>656,72</t>
  </si>
  <si>
    <t>578,88</t>
  </si>
  <si>
    <t>560,56</t>
  </si>
  <si>
    <t>557,80</t>
  </si>
  <si>
    <t>513,88</t>
  </si>
  <si>
    <t>491,16</t>
  </si>
  <si>
    <t>497,49</t>
  </si>
  <si>
    <t>461,51</t>
  </si>
  <si>
    <t>443,29</t>
  </si>
  <si>
    <t>452,88</t>
  </si>
  <si>
    <t>389,74</t>
  </si>
  <si>
    <t>344,81</t>
  </si>
  <si>
    <t>499,92</t>
  </si>
  <si>
    <t>451,32</t>
  </si>
  <si>
    <t>431,34</t>
  </si>
  <si>
    <t>423,74</t>
  </si>
  <si>
    <t>391,55</t>
  </si>
  <si>
    <t>376,83</t>
  </si>
  <si>
    <t>5.257,23</t>
  </si>
  <si>
    <t>5.253,02</t>
  </si>
  <si>
    <t>5.350,34</t>
  </si>
  <si>
    <t>5.340,52</t>
  </si>
  <si>
    <t>5.363,69</t>
  </si>
  <si>
    <t>5.288,29</t>
  </si>
  <si>
    <t>5.304,06</t>
  </si>
  <si>
    <t>448,41</t>
  </si>
  <si>
    <t>475,85</t>
  </si>
  <si>
    <t>554,60</t>
  </si>
  <si>
    <t>536,09</t>
  </si>
  <si>
    <t>547,53</t>
  </si>
  <si>
    <t>525,74</t>
  </si>
  <si>
    <t>511,60</t>
  </si>
  <si>
    <t>686,76</t>
  </si>
  <si>
    <t>607,07</t>
  </si>
  <si>
    <t>560,24</t>
  </si>
  <si>
    <t>529,36</t>
  </si>
  <si>
    <t>458,55</t>
  </si>
  <si>
    <t>550,86</t>
  </si>
  <si>
    <t>492,12</t>
  </si>
  <si>
    <t>5.407,73</t>
  </si>
  <si>
    <t>5.508,76</t>
  </si>
  <si>
    <t>5.444,62</t>
  </si>
  <si>
    <t>1.705,37</t>
  </si>
  <si>
    <t>1.708,45</t>
  </si>
  <si>
    <t>1.707,88</t>
  </si>
  <si>
    <t>1.996,45</t>
  </si>
  <si>
    <t>1.997,27</t>
  </si>
  <si>
    <t>1.999,59</t>
  </si>
  <si>
    <t>4.811,77</t>
  </si>
  <si>
    <t>4.837,37</t>
  </si>
  <si>
    <t>4.868,67</t>
  </si>
  <si>
    <t>5.347,74</t>
  </si>
  <si>
    <t>5.403,08</t>
  </si>
  <si>
    <t>5.458,31</t>
  </si>
  <si>
    <t>3.353,67</t>
  </si>
  <si>
    <t>3.382,23</t>
  </si>
  <si>
    <t>3.411,87</t>
  </si>
  <si>
    <t>1.872,96</t>
  </si>
  <si>
    <t>2.168,61</t>
  </si>
  <si>
    <t>5.605,77</t>
  </si>
  <si>
    <t>3.570,87</t>
  </si>
  <si>
    <t>4.989,45</t>
  </si>
  <si>
    <t>5.012,09</t>
  </si>
  <si>
    <t>1.742,38</t>
  </si>
  <si>
    <t>1.737,88</t>
  </si>
  <si>
    <t>845,21</t>
  </si>
  <si>
    <t>458,97</t>
  </si>
  <si>
    <t>536,11</t>
  </si>
  <si>
    <t>486,93</t>
  </si>
  <si>
    <t>566,99</t>
  </si>
  <si>
    <t>406,78</t>
  </si>
  <si>
    <t>502,15</t>
  </si>
  <si>
    <t>424,66</t>
  </si>
  <si>
    <t>713,17</t>
  </si>
  <si>
    <t>473,76</t>
  </si>
  <si>
    <t>450,21</t>
  </si>
  <si>
    <t>439,54</t>
  </si>
  <si>
    <t>573,03</t>
  </si>
  <si>
    <t>479,25</t>
  </si>
  <si>
    <t>423,01</t>
  </si>
  <si>
    <t>454,03</t>
  </si>
  <si>
    <t>423,54</t>
  </si>
  <si>
    <t>411,78</t>
  </si>
  <si>
    <t>600,33</t>
  </si>
  <si>
    <t>636,45</t>
  </si>
  <si>
    <t>589,88</t>
  </si>
  <si>
    <t>581,43</t>
  </si>
  <si>
    <t>679,92</t>
  </si>
  <si>
    <t>513,94</t>
  </si>
  <si>
    <t>541,23</t>
  </si>
  <si>
    <t>511,62</t>
  </si>
  <si>
    <t>501,58</t>
  </si>
  <si>
    <t>597,73</t>
  </si>
  <si>
    <t>409,13</t>
  </si>
  <si>
    <t>456,62</t>
  </si>
  <si>
    <t>488,31</t>
  </si>
  <si>
    <t>425,61</t>
  </si>
  <si>
    <t>602,75</t>
  </si>
  <si>
    <t>516,79</t>
  </si>
  <si>
    <t>40,66</t>
  </si>
  <si>
    <t>1,39</t>
  </si>
  <si>
    <t>0,78</t>
  </si>
  <si>
    <t>1.035,52</t>
  </si>
  <si>
    <t>748,50</t>
  </si>
  <si>
    <t>309,63</t>
  </si>
  <si>
    <t>2,54</t>
  </si>
  <si>
    <t>0,68</t>
  </si>
  <si>
    <t>3,95</t>
  </si>
  <si>
    <t>0,38</t>
  </si>
  <si>
    <t>2,35</t>
  </si>
  <si>
    <t>3,76</t>
  </si>
  <si>
    <t>4,70</t>
  </si>
  <si>
    <t>2,26</t>
  </si>
  <si>
    <t>9,27</t>
  </si>
  <si>
    <t>9,41</t>
  </si>
  <si>
    <t>0,58</t>
  </si>
  <si>
    <t>59,04</t>
  </si>
  <si>
    <t>44,25</t>
  </si>
  <si>
    <t>44,28</t>
  </si>
  <si>
    <t>23,23</t>
  </si>
  <si>
    <t>110,61</t>
  </si>
  <si>
    <t>17,87</t>
  </si>
  <si>
    <t>0,80</t>
  </si>
  <si>
    <t>1,40</t>
  </si>
  <si>
    <t>6,47</t>
  </si>
  <si>
    <t>1,77</t>
  </si>
  <si>
    <t>51,14</t>
  </si>
  <si>
    <t>32,91</t>
  </si>
  <si>
    <t>99,28</t>
  </si>
  <si>
    <t>71,24</t>
  </si>
  <si>
    <t>57,13</t>
  </si>
  <si>
    <t>85,60</t>
  </si>
  <si>
    <t>49,54</t>
  </si>
  <si>
    <t>205,98</t>
  </si>
  <si>
    <t>6,46</t>
  </si>
  <si>
    <t>4,30</t>
  </si>
  <si>
    <t>114,97</t>
  </si>
  <si>
    <t>537,69</t>
  </si>
  <si>
    <t>120,94</t>
  </si>
  <si>
    <t>74,22</t>
  </si>
  <si>
    <t>44,55</t>
  </si>
  <si>
    <t>425,04</t>
  </si>
  <si>
    <t>194,25</t>
  </si>
  <si>
    <t>195,12</t>
  </si>
  <si>
    <t>84,50</t>
  </si>
  <si>
    <t>2,29</t>
  </si>
  <si>
    <t>15,69</t>
  </si>
  <si>
    <t>13,82</t>
  </si>
  <si>
    <t>1,11</t>
  </si>
  <si>
    <t>23,93</t>
  </si>
  <si>
    <t>5,12</t>
  </si>
  <si>
    <t>56,65</t>
  </si>
  <si>
    <t>128,42</t>
  </si>
  <si>
    <t>121,74</t>
  </si>
  <si>
    <t>168,44</t>
  </si>
  <si>
    <t>333,87</t>
  </si>
  <si>
    <t>143,15</t>
  </si>
  <si>
    <t>189,03</t>
  </si>
  <si>
    <t>112,71</t>
  </si>
  <si>
    <t>5,64</t>
  </si>
  <si>
    <t>45,02</t>
  </si>
  <si>
    <t>116,14</t>
  </si>
  <si>
    <t>77,96</t>
  </si>
  <si>
    <t>3,89</t>
  </si>
  <si>
    <t>2,12</t>
  </si>
  <si>
    <t>1,41</t>
  </si>
  <si>
    <t>2,57</t>
  </si>
  <si>
    <t>0,94</t>
  </si>
  <si>
    <t>5,06</t>
  </si>
  <si>
    <t>4,73</t>
  </si>
  <si>
    <t>3,21</t>
  </si>
  <si>
    <t>0,69</t>
  </si>
  <si>
    <t>2,89</t>
  </si>
  <si>
    <t>3,67</t>
  </si>
  <si>
    <t>2,04</t>
  </si>
  <si>
    <t>1,62</t>
  </si>
  <si>
    <t>436,24</t>
  </si>
  <si>
    <t>216,53</t>
  </si>
  <si>
    <t>4,63</t>
  </si>
  <si>
    <t>4,06</t>
  </si>
  <si>
    <t>3,32</t>
  </si>
  <si>
    <t>5,02</t>
  </si>
  <si>
    <t>3,92</t>
  </si>
  <si>
    <t>4,07</t>
  </si>
  <si>
    <t>5,83</t>
  </si>
  <si>
    <t>4,67</t>
  </si>
  <si>
    <t>35,79</t>
  </si>
  <si>
    <t>32,78</t>
  </si>
  <si>
    <t>26,93</t>
  </si>
  <si>
    <t>31,18</t>
  </si>
  <si>
    <t>23,64</t>
  </si>
  <si>
    <t>27,58</t>
  </si>
  <si>
    <t>29,38</t>
  </si>
  <si>
    <t>52,53</t>
  </si>
  <si>
    <t>28,37</t>
  </si>
  <si>
    <t>152,56</t>
  </si>
  <si>
    <t>117,12</t>
  </si>
  <si>
    <t>77,23</t>
  </si>
  <si>
    <t>66,83</t>
  </si>
  <si>
    <t>4,50</t>
  </si>
  <si>
    <t>57,73</t>
  </si>
  <si>
    <t>57,42</t>
  </si>
  <si>
    <t>51,43</t>
  </si>
  <si>
    <t>104,10</t>
  </si>
  <si>
    <t>75,84</t>
  </si>
  <si>
    <t>76,61</t>
  </si>
  <si>
    <t>42,52</t>
  </si>
  <si>
    <t>52,72</t>
  </si>
  <si>
    <t>34,01</t>
  </si>
  <si>
    <t>167,33</t>
  </si>
  <si>
    <t>203,12</t>
  </si>
  <si>
    <t>55,39</t>
  </si>
  <si>
    <t>77,79</t>
  </si>
  <si>
    <t>151,05</t>
  </si>
  <si>
    <t>322,37</t>
  </si>
  <si>
    <t>1,46</t>
  </si>
  <si>
    <t>2,25</t>
  </si>
  <si>
    <t>79,05</t>
  </si>
  <si>
    <t>6.004,96</t>
  </si>
  <si>
    <t>6.354,37</t>
  </si>
  <si>
    <t>4.763,35</t>
  </si>
  <si>
    <t>5.128,59</t>
  </si>
  <si>
    <t>2.566,81</t>
  </si>
  <si>
    <t>3.980,88</t>
  </si>
  <si>
    <t>2.313,41</t>
  </si>
  <si>
    <t>2.464,27</t>
  </si>
  <si>
    <t>1.893,50</t>
  </si>
  <si>
    <t>2.735,98</t>
  </si>
  <si>
    <t>2.130,40</t>
  </si>
  <si>
    <t>3.985,01</t>
  </si>
  <si>
    <t>2.317,56</t>
  </si>
  <si>
    <t>2.468,42</t>
  </si>
  <si>
    <t>1.897,65</t>
  </si>
  <si>
    <t>2.740,13</t>
  </si>
  <si>
    <t>2.197,47</t>
  </si>
  <si>
    <t>1.214,12</t>
  </si>
  <si>
    <t>1.284,74</t>
  </si>
  <si>
    <t>1.250,67</t>
  </si>
  <si>
    <t>204,12</t>
  </si>
  <si>
    <t>198,40</t>
  </si>
  <si>
    <t>126,20</t>
  </si>
  <si>
    <t>184,55</t>
  </si>
  <si>
    <t>86,84</t>
  </si>
  <si>
    <t>208,51</t>
  </si>
  <si>
    <t>89,54</t>
  </si>
  <si>
    <t>236,46</t>
  </si>
  <si>
    <t>616,22</t>
  </si>
  <si>
    <t>957,51</t>
  </si>
  <si>
    <t>11,23</t>
  </si>
  <si>
    <t>15,93</t>
  </si>
  <si>
    <t>15,08</t>
  </si>
  <si>
    <t>10,73</t>
  </si>
  <si>
    <t>12,35</t>
  </si>
  <si>
    <t>19,61</t>
  </si>
  <si>
    <t>19,57</t>
  </si>
  <si>
    <t>24,29</t>
  </si>
  <si>
    <t>21,49</t>
  </si>
  <si>
    <t>20,01</t>
  </si>
  <si>
    <t>16,41</t>
  </si>
  <si>
    <t>59,79</t>
  </si>
  <si>
    <t>84,30</t>
  </si>
  <si>
    <t>110,95</t>
  </si>
  <si>
    <t>12,71</t>
  </si>
  <si>
    <t>81,02</t>
  </si>
  <si>
    <t>125,18</t>
  </si>
  <si>
    <t>78,49</t>
  </si>
  <si>
    <t>76,00</t>
  </si>
  <si>
    <t>2.722,82</t>
  </si>
  <si>
    <t>4.078,65</t>
  </si>
  <si>
    <t>3.148,87</t>
  </si>
  <si>
    <t>3.319,28</t>
  </si>
  <si>
    <t>3.318,43</t>
  </si>
  <si>
    <t>2.735,73</t>
  </si>
  <si>
    <t>2.667,04</t>
  </si>
  <si>
    <t>14.283,70</t>
  </si>
  <si>
    <t>2.264,57</t>
  </si>
  <si>
    <t>16.217,76</t>
  </si>
  <si>
    <t>22.062,98</t>
  </si>
  <si>
    <t>10.563,77</t>
  </si>
  <si>
    <t>14.883,19</t>
  </si>
  <si>
    <t>19.583,64</t>
  </si>
  <si>
    <t>3.671,61</t>
  </si>
  <si>
    <t>5.372,90</t>
  </si>
  <si>
    <t>2.731,27</t>
  </si>
  <si>
    <t>0,72</t>
  </si>
  <si>
    <t>2,06</t>
  </si>
  <si>
    <t>9,34</t>
  </si>
  <si>
    <t>7,51</t>
  </si>
  <si>
    <t>30,55</t>
  </si>
  <si>
    <t>143,63</t>
  </si>
  <si>
    <t>196,35</t>
  </si>
  <si>
    <t>74,04</t>
  </si>
  <si>
    <t>97,90</t>
  </si>
  <si>
    <t>64,48</t>
  </si>
  <si>
    <t>117,14</t>
  </si>
  <si>
    <t>81,96</t>
  </si>
  <si>
    <t>92,26</t>
  </si>
  <si>
    <t>22,71</t>
  </si>
  <si>
    <t>78,18</t>
  </si>
  <si>
    <t>99,89</t>
  </si>
  <si>
    <t>112,70</t>
  </si>
  <si>
    <t>2.167,26</t>
  </si>
  <si>
    <t>20.681,72</t>
  </si>
  <si>
    <t>10.019,87</t>
  </si>
  <si>
    <t>14.459,70</t>
  </si>
  <si>
    <t>16.276,28</t>
  </si>
  <si>
    <t>4.020,56</t>
  </si>
  <si>
    <t>2.642,15</t>
  </si>
  <si>
    <t>25,67</t>
  </si>
  <si>
    <t>40,72</t>
  </si>
  <si>
    <t>17,21</t>
  </si>
  <si>
    <t>46,75</t>
  </si>
  <si>
    <t>22,06</t>
  </si>
  <si>
    <t>20,77</t>
  </si>
  <si>
    <t>57,88</t>
  </si>
  <si>
    <t>27,81</t>
  </si>
  <si>
    <t>154,45</t>
  </si>
  <si>
    <t>277,78</t>
  </si>
  <si>
    <t>40,60</t>
  </si>
  <si>
    <t>27,88</t>
  </si>
  <si>
    <t>6,29</t>
  </si>
  <si>
    <t>4,97</t>
  </si>
  <si>
    <t>6,74</t>
  </si>
  <si>
    <t>21,42</t>
  </si>
  <si>
    <t>22,84</t>
  </si>
  <si>
    <t>23,07</t>
  </si>
  <si>
    <t>17,80</t>
  </si>
  <si>
    <t>22,82</t>
  </si>
  <si>
    <t>125,87</t>
  </si>
  <si>
    <t>2.739,75</t>
  </si>
  <si>
    <t>2.731,11</t>
  </si>
  <si>
    <t>2.027,25</t>
  </si>
  <si>
    <t>3.112,11</t>
  </si>
  <si>
    <t>2.890,35</t>
  </si>
  <si>
    <t>2.867,76</t>
  </si>
  <si>
    <t>3.364,70</t>
  </si>
  <si>
    <t>2.847,08</t>
  </si>
  <si>
    <t>2.743,36</t>
  </si>
  <si>
    <t>2.792,18</t>
  </si>
  <si>
    <t>3.647,27</t>
  </si>
  <si>
    <t>2.305,28</t>
  </si>
  <si>
    <t>2.718,87</t>
  </si>
  <si>
    <t>1.289,87</t>
  </si>
  <si>
    <t>3.890,63</t>
  </si>
  <si>
    <t>3.369,55</t>
  </si>
  <si>
    <t>2.465,97</t>
  </si>
  <si>
    <t>3.134,55</t>
  </si>
  <si>
    <t>2.872,50</t>
  </si>
  <si>
    <t>3.205,04</t>
  </si>
  <si>
    <t>3.342,94</t>
  </si>
  <si>
    <t>2.224,95</t>
  </si>
  <si>
    <t>3.491,44</t>
  </si>
  <si>
    <t>3.509,80</t>
  </si>
  <si>
    <t>3.350,85</t>
  </si>
  <si>
    <t>22.197,83</t>
  </si>
  <si>
    <t>13.795,11</t>
  </si>
  <si>
    <t>13.427,66</t>
  </si>
  <si>
    <t>3.256,87</t>
  </si>
  <si>
    <t>3.079,70</t>
  </si>
  <si>
    <t>2.601,91</t>
  </si>
  <si>
    <t>2.958,59</t>
  </si>
  <si>
    <t>1.915,03</t>
  </si>
  <si>
    <t>3.558,68</t>
  </si>
  <si>
    <t>3.168,66</t>
  </si>
  <si>
    <t>3.483,89</t>
  </si>
  <si>
    <t>3.733,56</t>
  </si>
  <si>
    <t>3.421,96</t>
  </si>
  <si>
    <t>2.452,36</t>
  </si>
  <si>
    <t>3.669,83</t>
  </si>
  <si>
    <t>2.609,30</t>
  </si>
  <si>
    <t>3.393,87</t>
  </si>
  <si>
    <t>2.576,14</t>
  </si>
  <si>
    <t>2.904,86</t>
  </si>
  <si>
    <t>3.080,89</t>
  </si>
  <si>
    <t>1.548,41</t>
  </si>
  <si>
    <t>2.829,71</t>
  </si>
  <si>
    <t>2.529,64</t>
  </si>
  <si>
    <t>2.466,44</t>
  </si>
  <si>
    <t>2.623,16</t>
  </si>
  <si>
    <t>2.946,72</t>
  </si>
  <si>
    <t>3.163,91</t>
  </si>
  <si>
    <t>2.483,79</t>
  </si>
  <si>
    <t>2.493,46</t>
  </si>
  <si>
    <t>2.908,09</t>
  </si>
  <si>
    <t>2.583,54</t>
  </si>
  <si>
    <t>2.186,67</t>
  </si>
  <si>
    <t>2.984,64</t>
  </si>
  <si>
    <t>3.497,78</t>
  </si>
  <si>
    <t>2.749,12</t>
  </si>
  <si>
    <t>3.057,95</t>
  </si>
  <si>
    <t>2.579,84</t>
  </si>
  <si>
    <t>2.598,18</t>
  </si>
  <si>
    <t>2.728,07</t>
  </si>
  <si>
    <t>3.379,25</t>
  </si>
  <si>
    <t>3.587,40</t>
  </si>
  <si>
    <t>3.516,61</t>
  </si>
  <si>
    <t>2.489,02</t>
  </si>
  <si>
    <t>2.298,99</t>
  </si>
  <si>
    <t>2.729,69</t>
  </si>
  <si>
    <t>3.519,57</t>
  </si>
  <si>
    <t>4.351,19</t>
  </si>
  <si>
    <t>3.812,09</t>
  </si>
  <si>
    <t>3.960,56</t>
  </si>
  <si>
    <t>3.313,92</t>
  </si>
  <si>
    <t>3.032,62</t>
  </si>
  <si>
    <t>2.711,65</t>
  </si>
  <si>
    <t xml:space="preserve">  PRECO MEDIANO R$</t>
  </si>
  <si>
    <t>76,37</t>
  </si>
  <si>
    <t>51,61</t>
  </si>
  <si>
    <t>561,08</t>
  </si>
  <si>
    <t>881,39</t>
  </si>
  <si>
    <t>1.264,72</t>
  </si>
  <si>
    <t>13,96</t>
  </si>
  <si>
    <t>136,82</t>
  </si>
  <si>
    <t>1,28</t>
  </si>
  <si>
    <t>2,11</t>
  </si>
  <si>
    <t>2,41</t>
  </si>
  <si>
    <t>6,21</t>
  </si>
  <si>
    <t>23,96</t>
  </si>
  <si>
    <t>1,58</t>
  </si>
  <si>
    <t>1,31</t>
  </si>
  <si>
    <t>3,59</t>
  </si>
  <si>
    <t>123,71</t>
  </si>
  <si>
    <t>115,15</t>
  </si>
  <si>
    <t>9,07</t>
  </si>
  <si>
    <t>11,49</t>
  </si>
  <si>
    <t>8,63</t>
  </si>
  <si>
    <t>31,27</t>
  </si>
  <si>
    <t>49,11</t>
  </si>
  <si>
    <t>7,58</t>
  </si>
  <si>
    <t>10,44</t>
  </si>
  <si>
    <t>370,58</t>
  </si>
  <si>
    <t>13,50</t>
  </si>
  <si>
    <t>20,65</t>
  </si>
  <si>
    <t>38,52</t>
  </si>
  <si>
    <t>58,88</t>
  </si>
  <si>
    <t>262,56</t>
  </si>
  <si>
    <t>398,88</t>
  </si>
  <si>
    <t>35,84</t>
  </si>
  <si>
    <t>61,31</t>
  </si>
  <si>
    <t>238,00</t>
  </si>
  <si>
    <t>278,64</t>
  </si>
  <si>
    <t>37,48</t>
  </si>
  <si>
    <t>45,49</t>
  </si>
  <si>
    <t>68,12</t>
  </si>
  <si>
    <t>53,31</t>
  </si>
  <si>
    <t>161,27</t>
  </si>
  <si>
    <t>99,95</t>
  </si>
  <si>
    <t>26,07</t>
  </si>
  <si>
    <t>19,81</t>
  </si>
  <si>
    <t>66,85</t>
  </si>
  <si>
    <t>200,15</t>
  </si>
  <si>
    <t>113,65</t>
  </si>
  <si>
    <t>40,46</t>
  </si>
  <si>
    <t>39,45</t>
  </si>
  <si>
    <t>76,94</t>
  </si>
  <si>
    <t>26,60</t>
  </si>
  <si>
    <t>3.261,17</t>
  </si>
  <si>
    <t>4.084,70</t>
  </si>
  <si>
    <t>5.534,11</t>
  </si>
  <si>
    <t>6.563,52</t>
  </si>
  <si>
    <t>1,72</t>
  </si>
  <si>
    <t>1.803,89</t>
  </si>
  <si>
    <t>9,97</t>
  </si>
  <si>
    <t>1.762,84</t>
  </si>
  <si>
    <t>1.295,78</t>
  </si>
  <si>
    <t>1.953,43</t>
  </si>
  <si>
    <t>1.952,30</t>
  </si>
  <si>
    <t>113,52</t>
  </si>
  <si>
    <t>122,06</t>
  </si>
  <si>
    <t>68,68</t>
  </si>
  <si>
    <t>75,58</t>
  </si>
  <si>
    <t>98,15</t>
  </si>
  <si>
    <t>286,18</t>
  </si>
  <si>
    <t>7.309,50</t>
  </si>
  <si>
    <t>2.424,43</t>
  </si>
  <si>
    <t>2.230,00</t>
  </si>
  <si>
    <t>46,64</t>
  </si>
  <si>
    <t>19,65</t>
  </si>
  <si>
    <t>25,58</t>
  </si>
  <si>
    <t>64,63</t>
  </si>
  <si>
    <t>105,87</t>
  </si>
  <si>
    <t>146,73</t>
  </si>
  <si>
    <t>144,24</t>
  </si>
  <si>
    <t>5,58</t>
  </si>
  <si>
    <t>605,03</t>
  </si>
  <si>
    <t>953,64</t>
  </si>
  <si>
    <t>1.339,05</t>
  </si>
  <si>
    <t>125,17</t>
  </si>
  <si>
    <t>163,05</t>
  </si>
  <si>
    <t>394,47</t>
  </si>
  <si>
    <t>50,68</t>
  </si>
  <si>
    <t>81,94</t>
  </si>
  <si>
    <t>100,97</t>
  </si>
  <si>
    <t>11,55</t>
  </si>
  <si>
    <t>6,83</t>
  </si>
  <si>
    <t>506,91</t>
  </si>
  <si>
    <t>1.748,35</t>
  </si>
  <si>
    <t>613,12</t>
  </si>
  <si>
    <t>823,52</t>
  </si>
  <si>
    <t>1.152,94</t>
  </si>
  <si>
    <t>148,23</t>
  </si>
  <si>
    <t>69,17</t>
  </si>
  <si>
    <t>358,23</t>
  </si>
  <si>
    <t>255,59</t>
  </si>
  <si>
    <t>197,64</t>
  </si>
  <si>
    <t>259,41</t>
  </si>
  <si>
    <t>139,99</t>
  </si>
  <si>
    <t>188,29</t>
  </si>
  <si>
    <t>494,11</t>
  </si>
  <si>
    <t>353,52</t>
  </si>
  <si>
    <t>222,35</t>
  </si>
  <si>
    <t>469,41</t>
  </si>
  <si>
    <t>576,47</t>
  </si>
  <si>
    <t>807,05</t>
  </si>
  <si>
    <t>4.179,04</t>
  </si>
  <si>
    <t>82,25</t>
  </si>
  <si>
    <t>2.481,38</t>
  </si>
  <si>
    <t>13,19</t>
  </si>
  <si>
    <t>2.332,70</t>
  </si>
  <si>
    <t>3.047,95</t>
  </si>
  <si>
    <t>3.250,00</t>
  </si>
  <si>
    <t>7.074,43</t>
  </si>
  <si>
    <t>8.882,91</t>
  </si>
  <si>
    <t>11.506,83</t>
  </si>
  <si>
    <t>4.399,77</t>
  </si>
  <si>
    <t>290.224,43</t>
  </si>
  <si>
    <t>10.161,91</t>
  </si>
  <si>
    <t>5.299,86</t>
  </si>
  <si>
    <t>7.033,94</t>
  </si>
  <si>
    <t>6.569,31</t>
  </si>
  <si>
    <t>3.126,50</t>
  </si>
  <si>
    <t>2.337,43</t>
  </si>
  <si>
    <t>3.470,00</t>
  </si>
  <si>
    <t>4.795,87</t>
  </si>
  <si>
    <t>2.087,53</t>
  </si>
  <si>
    <t>19.006,75</t>
  </si>
  <si>
    <t>8.999,11</t>
  </si>
  <si>
    <t>10.088,74</t>
  </si>
  <si>
    <t>11.398,14</t>
  </si>
  <si>
    <t>15.665,89</t>
  </si>
  <si>
    <t>5.516,18</t>
  </si>
  <si>
    <t>6.836,52</t>
  </si>
  <si>
    <t>10.158,90</t>
  </si>
  <si>
    <t>10.531,16</t>
  </si>
  <si>
    <t>12.085,27</t>
  </si>
  <si>
    <t>6.600,62</t>
  </si>
  <si>
    <t>7.107,43</t>
  </si>
  <si>
    <t>10.503,41</t>
  </si>
  <si>
    <t>12.151,42</t>
  </si>
  <si>
    <t>12.711,94</t>
  </si>
  <si>
    <t>1.875,94</t>
  </si>
  <si>
    <t>2.029,29</t>
  </si>
  <si>
    <t>2.699,23</t>
  </si>
  <si>
    <t>3.010,06</t>
  </si>
  <si>
    <t>3.535,75</t>
  </si>
  <si>
    <t>3.980,36</t>
  </si>
  <si>
    <t>1.607,06</t>
  </si>
  <si>
    <t>1.769,55</t>
  </si>
  <si>
    <t>5.028,75</t>
  </si>
  <si>
    <t>5.304,31</t>
  </si>
  <si>
    <t>7.038,88</t>
  </si>
  <si>
    <t>8.528,53</t>
  </si>
  <si>
    <t>9.593,18</t>
  </si>
  <si>
    <t>75.598,18</t>
  </si>
  <si>
    <t>23.662,07</t>
  </si>
  <si>
    <t>30.536,37</t>
  </si>
  <si>
    <t>44.428,02</t>
  </si>
  <si>
    <t>5.456,57</t>
  </si>
  <si>
    <t>28.471,98</t>
  </si>
  <si>
    <t>26,29</t>
  </si>
  <si>
    <t>29,93</t>
  </si>
  <si>
    <t>84,59</t>
  </si>
  <si>
    <t>958,32</t>
  </si>
  <si>
    <t>567,39</t>
  </si>
  <si>
    <t>745,61</t>
  </si>
  <si>
    <t>52,19</t>
  </si>
  <si>
    <t>93,41</t>
  </si>
  <si>
    <t>120,36</t>
  </si>
  <si>
    <t>102,17</t>
  </si>
  <si>
    <t>57,87</t>
  </si>
  <si>
    <t>10.222,05</t>
  </si>
  <si>
    <t>9.652,10</t>
  </si>
  <si>
    <t>82,21</t>
  </si>
  <si>
    <t>14.519,56</t>
  </si>
  <si>
    <t>108,69</t>
  </si>
  <si>
    <t>19.196,15</t>
  </si>
  <si>
    <t>1,91</t>
  </si>
  <si>
    <t>6,87</t>
  </si>
  <si>
    <t>0,81</t>
  </si>
  <si>
    <t>2.105,65</t>
  </si>
  <si>
    <t>93,87</t>
  </si>
  <si>
    <t>45,71</t>
  </si>
  <si>
    <t>1.857,72</t>
  </si>
  <si>
    <t>1.953,47</t>
  </si>
  <si>
    <t>11,06</t>
  </si>
  <si>
    <t>1.954,73</t>
  </si>
  <si>
    <t>3.326,52</t>
  </si>
  <si>
    <t>1.571,85</t>
  </si>
  <si>
    <t>1.804,46</t>
  </si>
  <si>
    <t>990,34</t>
  </si>
  <si>
    <t>20,27</t>
  </si>
  <si>
    <t>3.582,77</t>
  </si>
  <si>
    <t>352,16</t>
  </si>
  <si>
    <t>487,47</t>
  </si>
  <si>
    <t>592,71</t>
  </si>
  <si>
    <t>531,10</t>
  </si>
  <si>
    <t>188,40</t>
  </si>
  <si>
    <t>207,03</t>
  </si>
  <si>
    <t>417,45</t>
  </si>
  <si>
    <t>168,50</t>
  </si>
  <si>
    <t>211,21</t>
  </si>
  <si>
    <t>475,97</t>
  </si>
  <si>
    <t>780,92</t>
  </si>
  <si>
    <t>463,09</t>
  </si>
  <si>
    <t>286,00</t>
  </si>
  <si>
    <t>380,31</t>
  </si>
  <si>
    <t>551,00</t>
  </si>
  <si>
    <t>279,56</t>
  </si>
  <si>
    <t>332,44</t>
  </si>
  <si>
    <t>776,86</t>
  </si>
  <si>
    <t>1.237,78</t>
  </si>
  <si>
    <t>1.550,86</t>
  </si>
  <si>
    <t>186,83</t>
  </si>
  <si>
    <t>1.043,64</t>
  </si>
  <si>
    <t>1.186,04</t>
  </si>
  <si>
    <t>1.077,03</t>
  </si>
  <si>
    <t>1.188,09</t>
  </si>
  <si>
    <t>480,10</t>
  </si>
  <si>
    <t>733,24</t>
  </si>
  <si>
    <t>785,36</t>
  </si>
  <si>
    <t>462,26</t>
  </si>
  <si>
    <t>530,51</t>
  </si>
  <si>
    <t>574,00</t>
  </si>
  <si>
    <t>203,52</t>
  </si>
  <si>
    <t>226,02</t>
  </si>
  <si>
    <t>241,00</t>
  </si>
  <si>
    <t>252,49</t>
  </si>
  <si>
    <t>136,26</t>
  </si>
  <si>
    <t>156,24</t>
  </si>
  <si>
    <t>169,00</t>
  </si>
  <si>
    <t>176,97</t>
  </si>
  <si>
    <t>14,93</t>
  </si>
  <si>
    <t>46,86</t>
  </si>
  <si>
    <t>62,88</t>
  </si>
  <si>
    <t>124,51</t>
  </si>
  <si>
    <t>38,94</t>
  </si>
  <si>
    <t>46,63</t>
  </si>
  <si>
    <t>387,79</t>
  </si>
  <si>
    <t>59,53</t>
  </si>
  <si>
    <t>573.203,12</t>
  </si>
  <si>
    <t>122,50</t>
  </si>
  <si>
    <t>75,87</t>
  </si>
  <si>
    <t>163,59</t>
  </si>
  <si>
    <t>94,83</t>
  </si>
  <si>
    <t>363,13</t>
  </si>
  <si>
    <t>5.299,99</t>
  </si>
  <si>
    <t>7.227,74</t>
  </si>
  <si>
    <t>6.629,47</t>
  </si>
  <si>
    <t>28.835,53</t>
  </si>
  <si>
    <t>6.063,54</t>
  </si>
  <si>
    <t>21.559,28</t>
  </si>
  <si>
    <t>26.203,50</t>
  </si>
  <si>
    <t>9,75</t>
  </si>
  <si>
    <t>1.724,56</t>
  </si>
  <si>
    <t>25,00</t>
  </si>
  <si>
    <t>28,27</t>
  </si>
  <si>
    <t>1,03</t>
  </si>
  <si>
    <t>893,40</t>
  </si>
  <si>
    <t>3,52</t>
  </si>
  <si>
    <t>3,85</t>
  </si>
  <si>
    <t>6,75</t>
  </si>
  <si>
    <t>61,35</t>
  </si>
  <si>
    <t>813,39</t>
  </si>
  <si>
    <t>2,75</t>
  </si>
  <si>
    <t>3,06</t>
  </si>
  <si>
    <t>106,06</t>
  </si>
  <si>
    <t>62,69</t>
  </si>
  <si>
    <t>135,88</t>
  </si>
  <si>
    <t>86,81</t>
  </si>
  <si>
    <t>72,03</t>
  </si>
  <si>
    <t>84,92</t>
  </si>
  <si>
    <t>66,05</t>
  </si>
  <si>
    <t>57,02</t>
  </si>
  <si>
    <t>79,26</t>
  </si>
  <si>
    <t>72,34</t>
  </si>
  <si>
    <t>229,16</t>
  </si>
  <si>
    <t>2.042,94</t>
  </si>
  <si>
    <t>1.717,74</t>
  </si>
  <si>
    <t>700,00</t>
  </si>
  <si>
    <t>10.114,93</t>
  </si>
  <si>
    <t>681,27</t>
  </si>
  <si>
    <t>1.063,17</t>
  </si>
  <si>
    <t>1.164,05</t>
  </si>
  <si>
    <t>1.148,40</t>
  </si>
  <si>
    <t>6.439,88</t>
  </si>
  <si>
    <t>2.986,13</t>
  </si>
  <si>
    <t>6.058,24</t>
  </si>
  <si>
    <t>1.231,08</t>
  </si>
  <si>
    <t>64.608,49</t>
  </si>
  <si>
    <t>69.219,99</t>
  </si>
  <si>
    <t>3.052,41</t>
  </si>
  <si>
    <t>4.388,76</t>
  </si>
  <si>
    <t>7.439,32</t>
  </si>
  <si>
    <t>7.063,05</t>
  </si>
  <si>
    <t>28.983,32</t>
  </si>
  <si>
    <t>10.659,53</t>
  </si>
  <si>
    <t>31.610,20</t>
  </si>
  <si>
    <t>14.353,05</t>
  </si>
  <si>
    <t>3.168,79</t>
  </si>
  <si>
    <t>3.827,48</t>
  </si>
  <si>
    <t>5.141,98</t>
  </si>
  <si>
    <t>28.706,10</t>
  </si>
  <si>
    <t>4.521,21</t>
  </si>
  <si>
    <t>7.176,52</t>
  </si>
  <si>
    <t>174.019,68</t>
  </si>
  <si>
    <t>99.243,31</t>
  </si>
  <si>
    <t>29,28</t>
  </si>
  <si>
    <t>96,00</t>
  </si>
  <si>
    <t>58,72</t>
  </si>
  <si>
    <t>0,93</t>
  </si>
  <si>
    <t>23,41</t>
  </si>
  <si>
    <t>175,61</t>
  </si>
  <si>
    <t>21,90</t>
  </si>
  <si>
    <t>51,95</t>
  </si>
  <si>
    <t>50,51</t>
  </si>
  <si>
    <t>50,76</t>
  </si>
  <si>
    <t>95,99</t>
  </si>
  <si>
    <t>262,72</t>
  </si>
  <si>
    <t>277,59</t>
  </si>
  <si>
    <t>297,79</t>
  </si>
  <si>
    <t>80,38</t>
  </si>
  <si>
    <t>4,57</t>
  </si>
  <si>
    <t>4,49</t>
  </si>
  <si>
    <t>18,04</t>
  </si>
  <si>
    <t>2,87</t>
  </si>
  <si>
    <t>54,22</t>
  </si>
  <si>
    <t>32,79</t>
  </si>
  <si>
    <t>60,18</t>
  </si>
  <si>
    <t>60,66</t>
  </si>
  <si>
    <t>57,54</t>
  </si>
  <si>
    <t>98,31</t>
  </si>
  <si>
    <t>14,65</t>
  </si>
  <si>
    <t>2,62</t>
  </si>
  <si>
    <t>2,90</t>
  </si>
  <si>
    <t>34,98</t>
  </si>
  <si>
    <t>21,12</t>
  </si>
  <si>
    <t>66,94</t>
  </si>
  <si>
    <t>63,88</t>
  </si>
  <si>
    <t>30,45</t>
  </si>
  <si>
    <t>31,45</t>
  </si>
  <si>
    <t>34,48</t>
  </si>
  <si>
    <t>107,68</t>
  </si>
  <si>
    <t>136,93</t>
  </si>
  <si>
    <t>164,66</t>
  </si>
  <si>
    <t>476,51</t>
  </si>
  <si>
    <t>58,36</t>
  </si>
  <si>
    <t>82,20</t>
  </si>
  <si>
    <t>122,90</t>
  </si>
  <si>
    <t>65,10</t>
  </si>
  <si>
    <t>94,67</t>
  </si>
  <si>
    <t>87,51</t>
  </si>
  <si>
    <t>103,46</t>
  </si>
  <si>
    <t>109,34</t>
  </si>
  <si>
    <t>110,01</t>
  </si>
  <si>
    <t>131,31</t>
  </si>
  <si>
    <t>147,63</t>
  </si>
  <si>
    <t>134,34</t>
  </si>
  <si>
    <t>163,31</t>
  </si>
  <si>
    <t>158,30</t>
  </si>
  <si>
    <t>176,68</t>
  </si>
  <si>
    <t>156,88</t>
  </si>
  <si>
    <t>192,32</t>
  </si>
  <si>
    <t>253,24</t>
  </si>
  <si>
    <t>26,90</t>
  </si>
  <si>
    <t>316,92</t>
  </si>
  <si>
    <t>37,09</t>
  </si>
  <si>
    <t>413,42</t>
  </si>
  <si>
    <t>52,86</t>
  </si>
  <si>
    <t>531,07</t>
  </si>
  <si>
    <t>73,22</t>
  </si>
  <si>
    <t>97,27</t>
  </si>
  <si>
    <t>125,29</t>
  </si>
  <si>
    <t>156,43</t>
  </si>
  <si>
    <t>190,37</t>
  </si>
  <si>
    <t>251,61</t>
  </si>
  <si>
    <t>26,13</t>
  </si>
  <si>
    <t>74,14</t>
  </si>
  <si>
    <t>97,20</t>
  </si>
  <si>
    <t>250,91</t>
  </si>
  <si>
    <t>294,96</t>
  </si>
  <si>
    <t>321,41</t>
  </si>
  <si>
    <t>399,59</t>
  </si>
  <si>
    <t>470,98</t>
  </si>
  <si>
    <t>238,58</t>
  </si>
  <si>
    <t>188,25</t>
  </si>
  <si>
    <t>248,75</t>
  </si>
  <si>
    <t>398,32</t>
  </si>
  <si>
    <t>51,66</t>
  </si>
  <si>
    <t>493,52</t>
  </si>
  <si>
    <t>96,65</t>
  </si>
  <si>
    <t>1,68</t>
  </si>
  <si>
    <t>8,00</t>
  </si>
  <si>
    <t>40,02</t>
  </si>
  <si>
    <t>26,30</t>
  </si>
  <si>
    <t>35,96</t>
  </si>
  <si>
    <t>414,83</t>
  </si>
  <si>
    <t>56,22</t>
  </si>
  <si>
    <t>86,98</t>
  </si>
  <si>
    <t>243,44</t>
  </si>
  <si>
    <t>194,28</t>
  </si>
  <si>
    <t>27,20</t>
  </si>
  <si>
    <t>48,29</t>
  </si>
  <si>
    <t>78,87</t>
  </si>
  <si>
    <t>97,17</t>
  </si>
  <si>
    <t>74.596,40</t>
  </si>
  <si>
    <t>84.708,77</t>
  </si>
  <si>
    <t>55.932,10</t>
  </si>
  <si>
    <t>67.398,19</t>
  </si>
  <si>
    <t>45,70</t>
  </si>
  <si>
    <t>1.443,90</t>
  </si>
  <si>
    <t>393,00</t>
  </si>
  <si>
    <t>432,00</t>
  </si>
  <si>
    <t>877,39</t>
  </si>
  <si>
    <t>985,53</t>
  </si>
  <si>
    <t>248,03</t>
  </si>
  <si>
    <t>425,34</t>
  </si>
  <si>
    <t>540,13</t>
  </si>
  <si>
    <t>5.216,99</t>
  </si>
  <si>
    <t>876,34</t>
  </si>
  <si>
    <t>1.129,66</t>
  </si>
  <si>
    <t>2.515,93</t>
  </si>
  <si>
    <t>91,40</t>
  </si>
  <si>
    <t>98,82</t>
  </si>
  <si>
    <t>181,17</t>
  </si>
  <si>
    <t>317,05</t>
  </si>
  <si>
    <t>574,82</t>
  </si>
  <si>
    <t>1.029,41</t>
  </si>
  <si>
    <t>152,35</t>
  </si>
  <si>
    <t>279,99</t>
  </si>
  <si>
    <t>355,76</t>
  </si>
  <si>
    <t>78,82</t>
  </si>
  <si>
    <t>130,94</t>
  </si>
  <si>
    <t>253,64</t>
  </si>
  <si>
    <t>527,05</t>
  </si>
  <si>
    <t>830,94</t>
  </si>
  <si>
    <t>237,21</t>
  </si>
  <si>
    <t>252,09</t>
  </si>
  <si>
    <t>1.061,05</t>
  </si>
  <si>
    <t>379,06</t>
  </si>
  <si>
    <t>285,40</t>
  </si>
  <si>
    <t>361,00</t>
  </si>
  <si>
    <t>299,00</t>
  </si>
  <si>
    <t>365,25</t>
  </si>
  <si>
    <t>43,65</t>
  </si>
  <si>
    <t>50,61</t>
  </si>
  <si>
    <t>80,85</t>
  </si>
  <si>
    <t>68,99</t>
  </si>
  <si>
    <t>1,92</t>
  </si>
  <si>
    <t>32,01</t>
  </si>
  <si>
    <t>39,15</t>
  </si>
  <si>
    <t>64,38</t>
  </si>
  <si>
    <t>213,42</t>
  </si>
  <si>
    <t>129,77</t>
  </si>
  <si>
    <t>72,29</t>
  </si>
  <si>
    <t>42,83</t>
  </si>
  <si>
    <t>506,62</t>
  </si>
  <si>
    <t>76,82</t>
  </si>
  <si>
    <t>123,47</t>
  </si>
  <si>
    <t>184,68</t>
  </si>
  <si>
    <t>246,48</t>
  </si>
  <si>
    <t>297,87</t>
  </si>
  <si>
    <t>377,55</t>
  </si>
  <si>
    <t>1.730,29</t>
  </si>
  <si>
    <t>74,49</t>
  </si>
  <si>
    <t>3.379,86</t>
  </si>
  <si>
    <t>165,00</t>
  </si>
  <si>
    <t>273,42</t>
  </si>
  <si>
    <t>408,77</t>
  </si>
  <si>
    <t>822,30</t>
  </si>
  <si>
    <t>512,02</t>
  </si>
  <si>
    <t>3.215,74</t>
  </si>
  <si>
    <t>1.028,96</t>
  </si>
  <si>
    <t>326,10</t>
  </si>
  <si>
    <t>528,02</t>
  </si>
  <si>
    <t>140,63</t>
  </si>
  <si>
    <t>100,47</t>
  </si>
  <si>
    <t>2.150,94</t>
  </si>
  <si>
    <t>3.608,57</t>
  </si>
  <si>
    <t>4.538,57</t>
  </si>
  <si>
    <t>174,14</t>
  </si>
  <si>
    <t>461,17</t>
  </si>
  <si>
    <t>100,93</t>
  </si>
  <si>
    <t>44,90</t>
  </si>
  <si>
    <t>2.195,90</t>
  </si>
  <si>
    <t>35,35</t>
  </si>
  <si>
    <t>41,78</t>
  </si>
  <si>
    <t>49,52</t>
  </si>
  <si>
    <t>115,25</t>
  </si>
  <si>
    <t>45,22</t>
  </si>
  <si>
    <t>58,91</t>
  </si>
  <si>
    <t>106,67</t>
  </si>
  <si>
    <t>398.477,00</t>
  </si>
  <si>
    <t>416.131,04</t>
  </si>
  <si>
    <t>350.558,86</t>
  </si>
  <si>
    <t>488.008,20</t>
  </si>
  <si>
    <t>489.899,73</t>
  </si>
  <si>
    <t>489.899,69</t>
  </si>
  <si>
    <t>444.251,40</t>
  </si>
  <si>
    <t>467.832,16</t>
  </si>
  <si>
    <t>326.599,83</t>
  </si>
  <si>
    <t>358.061,82</t>
  </si>
  <si>
    <t>356.800,84</t>
  </si>
  <si>
    <t>509.445,27</t>
  </si>
  <si>
    <t>575.017,45</t>
  </si>
  <si>
    <t>517.389,58</t>
  </si>
  <si>
    <t>546.014,38</t>
  </si>
  <si>
    <t>539.709,36</t>
  </si>
  <si>
    <t>238.827,67</t>
  </si>
  <si>
    <t>116,35</t>
  </si>
  <si>
    <t>15,81</t>
  </si>
  <si>
    <t>2,94</t>
  </si>
  <si>
    <t>3,90</t>
  </si>
  <si>
    <t>40,61</t>
  </si>
  <si>
    <t>37,85</t>
  </si>
  <si>
    <t>39,20</t>
  </si>
  <si>
    <t>37,72</t>
  </si>
  <si>
    <t>63,76</t>
  </si>
  <si>
    <t>40,28</t>
  </si>
  <si>
    <t>4,14</t>
  </si>
  <si>
    <t>21,85</t>
  </si>
  <si>
    <t>93,99</t>
  </si>
  <si>
    <t>33,41</t>
  </si>
  <si>
    <t>91,54</t>
  </si>
  <si>
    <t>82,15</t>
  </si>
  <si>
    <t>8,42</t>
  </si>
  <si>
    <t>40,94</t>
  </si>
  <si>
    <t>97,80</t>
  </si>
  <si>
    <t>152,27</t>
  </si>
  <si>
    <t>259,53</t>
  </si>
  <si>
    <t>49,28</t>
  </si>
  <si>
    <t>69,55</t>
  </si>
  <si>
    <t>134,53</t>
  </si>
  <si>
    <t>121,05</t>
  </si>
  <si>
    <t>35,25</t>
  </si>
  <si>
    <t>81,24</t>
  </si>
  <si>
    <t>2.282,97</t>
  </si>
  <si>
    <t>4.042,13</t>
  </si>
  <si>
    <t>185,45</t>
  </si>
  <si>
    <t>17.387,59</t>
  </si>
  <si>
    <t>23.588,75</t>
  </si>
  <si>
    <t>25.534,22</t>
  </si>
  <si>
    <t>27.479,68</t>
  </si>
  <si>
    <t>29.425,15</t>
  </si>
  <si>
    <t>33.559,26</t>
  </si>
  <si>
    <t>2.873,71</t>
  </si>
  <si>
    <t>49,21</t>
  </si>
  <si>
    <t>78,74</t>
  </si>
  <si>
    <t>94,44</t>
  </si>
  <si>
    <t>10.262,90</t>
  </si>
  <si>
    <t>665.688,84</t>
  </si>
  <si>
    <t>570.920,76</t>
  </si>
  <si>
    <t>577.854,92</t>
  </si>
  <si>
    <t>656.905,56</t>
  </si>
  <si>
    <t>805.529,78</t>
  </si>
  <si>
    <t>1.492,09</t>
  </si>
  <si>
    <t>5.873,97</t>
  </si>
  <si>
    <t>7.831,96</t>
  </si>
  <si>
    <t>1.364,94</t>
  </si>
  <si>
    <t>3.012,29</t>
  </si>
  <si>
    <t>1.663,09</t>
  </si>
  <si>
    <t>1.108,71</t>
  </si>
  <si>
    <t>45,62</t>
  </si>
  <si>
    <t>14,44</t>
  </si>
  <si>
    <t>11,62</t>
  </si>
  <si>
    <t>53,26</t>
  </si>
  <si>
    <t>51,30</t>
  </si>
  <si>
    <t>55,87</t>
  </si>
  <si>
    <t>70,90</t>
  </si>
  <si>
    <t>101,84</t>
  </si>
  <si>
    <t>48,19</t>
  </si>
  <si>
    <t>57,86</t>
  </si>
  <si>
    <t>71,83</t>
  </si>
  <si>
    <t>108,50</t>
  </si>
  <si>
    <t>39,78</t>
  </si>
  <si>
    <t>48,66</t>
  </si>
  <si>
    <t>52,26</t>
  </si>
  <si>
    <t>69,48</t>
  </si>
  <si>
    <t>84,70</t>
  </si>
  <si>
    <t>24,38</t>
  </si>
  <si>
    <t>113,76</t>
  </si>
  <si>
    <t>132,83</t>
  </si>
  <si>
    <t>172,26</t>
  </si>
  <si>
    <t>127,23</t>
  </si>
  <si>
    <t>79,25</t>
  </si>
  <si>
    <t>91,93</t>
  </si>
  <si>
    <t>132,44</t>
  </si>
  <si>
    <t>46,48</t>
  </si>
  <si>
    <t>40,91</t>
  </si>
  <si>
    <t>80,56</t>
  </si>
  <si>
    <t>23,62</t>
  </si>
  <si>
    <t>26,82</t>
  </si>
  <si>
    <t>298,49</t>
  </si>
  <si>
    <t>241,63</t>
  </si>
  <si>
    <t>5.278,23</t>
  </si>
  <si>
    <t>43,21</t>
  </si>
  <si>
    <t>46,19</t>
  </si>
  <si>
    <t>17,29</t>
  </si>
  <si>
    <t>58,80</t>
  </si>
  <si>
    <t>20,43</t>
  </si>
  <si>
    <t>8,33</t>
  </si>
  <si>
    <t>28,83</t>
  </si>
  <si>
    <t>11.249,00</t>
  </si>
  <si>
    <t>9.443,45</t>
  </si>
  <si>
    <t>8.151,44</t>
  </si>
  <si>
    <t>6.301,38</t>
  </si>
  <si>
    <t>111.417,01</t>
  </si>
  <si>
    <t>14.668,79</t>
  </si>
  <si>
    <t>13.938,97</t>
  </si>
  <si>
    <t>98,38</t>
  </si>
  <si>
    <t>112,65</t>
  </si>
  <si>
    <t>135,92</t>
  </si>
  <si>
    <t>154,37</t>
  </si>
  <si>
    <t>183,58</t>
  </si>
  <si>
    <t>153.599,12</t>
  </si>
  <si>
    <t>123.776,43</t>
  </si>
  <si>
    <t>264.988,63</t>
  </si>
  <si>
    <t>287.832,24</t>
  </si>
  <si>
    <t>104.077,63</t>
  </si>
  <si>
    <t>67.014,73</t>
  </si>
  <si>
    <t>77.937,33</t>
  </si>
  <si>
    <t>104.376,29</t>
  </si>
  <si>
    <t>585,13</t>
  </si>
  <si>
    <t>608,03</t>
  </si>
  <si>
    <t>614,85</t>
  </si>
  <si>
    <t>632,67</t>
  </si>
  <si>
    <t>475,73</t>
  </si>
  <si>
    <t>485,00</t>
  </si>
  <si>
    <t>425,26</t>
  </si>
  <si>
    <t>520,00</t>
  </si>
  <si>
    <t>561,39</t>
  </si>
  <si>
    <t>538,62</t>
  </si>
  <si>
    <t>617,26</t>
  </si>
  <si>
    <t>626,22</t>
  </si>
  <si>
    <t>534,65</t>
  </si>
  <si>
    <t>579,21</t>
  </si>
  <si>
    <t>555,23</t>
  </si>
  <si>
    <t>614,58</t>
  </si>
  <si>
    <t>552,48</t>
  </si>
  <si>
    <t>597,03</t>
  </si>
  <si>
    <t>586,28</t>
  </si>
  <si>
    <t>618,77</t>
  </si>
  <si>
    <t>645,20</t>
  </si>
  <si>
    <t>570,30</t>
  </si>
  <si>
    <t>594,92</t>
  </si>
  <si>
    <t>661,07</t>
  </si>
  <si>
    <t>706,30</t>
  </si>
  <si>
    <t>755,31</t>
  </si>
  <si>
    <t>490,99</t>
  </si>
  <si>
    <t>499,01</t>
  </si>
  <si>
    <t>175,22</t>
  </si>
  <si>
    <t>17,63</t>
  </si>
  <si>
    <t>95,47</t>
  </si>
  <si>
    <t>159,04</t>
  </si>
  <si>
    <t>122,08</t>
  </si>
  <si>
    <t>190,48</t>
  </si>
  <si>
    <t>32,47</t>
  </si>
  <si>
    <t>24,41</t>
  </si>
  <si>
    <t>44,00</t>
  </si>
  <si>
    <t>137,37</t>
  </si>
  <si>
    <t>101,14</t>
  </si>
  <si>
    <t>46,51</t>
  </si>
  <si>
    <t>113,12</t>
  </si>
  <si>
    <t>188,31</t>
  </si>
  <si>
    <t>10,34</t>
  </si>
  <si>
    <t>15,01</t>
  </si>
  <si>
    <t>11,39</t>
  </si>
  <si>
    <t>94,79</t>
  </si>
  <si>
    <t>39,90</t>
  </si>
  <si>
    <t>34,41</t>
  </si>
  <si>
    <t>18,76</t>
  </si>
  <si>
    <t>12,12</t>
  </si>
  <si>
    <t>7,45</t>
  </si>
  <si>
    <t>9,73</t>
  </si>
  <si>
    <t>89,31</t>
  </si>
  <si>
    <t>8,10</t>
  </si>
  <si>
    <t>198,20</t>
  </si>
  <si>
    <t>37,39</t>
  </si>
  <si>
    <t>33,33</t>
  </si>
  <si>
    <t>56,46</t>
  </si>
  <si>
    <t>1,64</t>
  </si>
  <si>
    <t>12,47</t>
  </si>
  <si>
    <t>26,26</t>
  </si>
  <si>
    <t>32,59</t>
  </si>
  <si>
    <t>4,38</t>
  </si>
  <si>
    <t>24,47</t>
  </si>
  <si>
    <t>7,44</t>
  </si>
  <si>
    <t>38,47</t>
  </si>
  <si>
    <t>30,91</t>
  </si>
  <si>
    <t>203,38</t>
  </si>
  <si>
    <t>248,56</t>
  </si>
  <si>
    <t>22,68</t>
  </si>
  <si>
    <t>37,26</t>
  </si>
  <si>
    <t>15,41</t>
  </si>
  <si>
    <t>32,56</t>
  </si>
  <si>
    <t>16,29</t>
  </si>
  <si>
    <t>29,21</t>
  </si>
  <si>
    <t>9,44</t>
  </si>
  <si>
    <t>9,57</t>
  </si>
  <si>
    <t>142,90</t>
  </si>
  <si>
    <t>84,93</t>
  </si>
  <si>
    <t>12,60</t>
  </si>
  <si>
    <t>44,96</t>
  </si>
  <si>
    <t>5.328,75</t>
  </si>
  <si>
    <t>3.235,02</t>
  </si>
  <si>
    <t>397,76</t>
  </si>
  <si>
    <t>15.000,00</t>
  </si>
  <si>
    <t>1.533,10</t>
  </si>
  <si>
    <t>2.292,94</t>
  </si>
  <si>
    <t>160,15</t>
  </si>
  <si>
    <t>5.174,23</t>
  </si>
  <si>
    <t>337,37</t>
  </si>
  <si>
    <t>12.592,85</t>
  </si>
  <si>
    <t>644,87</t>
  </si>
  <si>
    <t>130,61</t>
  </si>
  <si>
    <t>179,66</t>
  </si>
  <si>
    <t>3.955,81</t>
  </si>
  <si>
    <t>6.084,10</t>
  </si>
  <si>
    <t>278,06</t>
  </si>
  <si>
    <t>7.263,10</t>
  </si>
  <si>
    <t>497,31</t>
  </si>
  <si>
    <t>17.853,06</t>
  </si>
  <si>
    <t>933,87</t>
  </si>
  <si>
    <t>123,00</t>
  </si>
  <si>
    <t>1.283,28</t>
  </si>
  <si>
    <t>51,11</t>
  </si>
  <si>
    <t>11,50</t>
  </si>
  <si>
    <t>115,13</t>
  </si>
  <si>
    <t>20.329,11</t>
  </si>
  <si>
    <t>853,65</t>
  </si>
  <si>
    <t>16.233,28</t>
  </si>
  <si>
    <t>133.821,63</t>
  </si>
  <si>
    <t>908,73</t>
  </si>
  <si>
    <t>45,21</t>
  </si>
  <si>
    <t>69,38</t>
  </si>
  <si>
    <t>110,14</t>
  </si>
  <si>
    <t>383,51</t>
  </si>
  <si>
    <t>367,76</t>
  </si>
  <si>
    <t>47,99</t>
  </si>
  <si>
    <t>79,53</t>
  </si>
  <si>
    <t>41,15</t>
  </si>
  <si>
    <t>116,28</t>
  </si>
  <si>
    <t>203,75</t>
  </si>
  <si>
    <t>255,01</t>
  </si>
  <si>
    <t>1.667,24</t>
  </si>
  <si>
    <t>46,09</t>
  </si>
  <si>
    <t>25,64</t>
  </si>
  <si>
    <t>19,25</t>
  </si>
  <si>
    <t>101,00</t>
  </si>
  <si>
    <t>192,07</t>
  </si>
  <si>
    <t>280,26</t>
  </si>
  <si>
    <t>716,32</t>
  </si>
  <si>
    <t>31,96</t>
  </si>
  <si>
    <t>2.377,71</t>
  </si>
  <si>
    <t>43,35</t>
  </si>
  <si>
    <t>79,96</t>
  </si>
  <si>
    <t>163,46</t>
  </si>
  <si>
    <t>80,01</t>
  </si>
  <si>
    <t>60,47</t>
  </si>
  <si>
    <t>32,57</t>
  </si>
  <si>
    <t>151,09</t>
  </si>
  <si>
    <t>83,51</t>
  </si>
  <si>
    <t>216,85</t>
  </si>
  <si>
    <t>155,52</t>
  </si>
  <si>
    <t>228,13</t>
  </si>
  <si>
    <t>158,02</t>
  </si>
  <si>
    <t>207,51</t>
  </si>
  <si>
    <t>73,07</t>
  </si>
  <si>
    <t>63,29</t>
  </si>
  <si>
    <t>13,27</t>
  </si>
  <si>
    <t>22,87</t>
  </si>
  <si>
    <t>33,97</t>
  </si>
  <si>
    <t>59,36</t>
  </si>
  <si>
    <t>194,23</t>
  </si>
  <si>
    <t>40,27</t>
  </si>
  <si>
    <t>57,26</t>
  </si>
  <si>
    <t>82,27</t>
  </si>
  <si>
    <t>71,33</t>
  </si>
  <si>
    <t>84,02</t>
  </si>
  <si>
    <t>44,26</t>
  </si>
  <si>
    <t>163,18</t>
  </si>
  <si>
    <t>64,23</t>
  </si>
  <si>
    <t>234,32</t>
  </si>
  <si>
    <t>5,35</t>
  </si>
  <si>
    <t>758,86</t>
  </si>
  <si>
    <t>1.181,99</t>
  </si>
  <si>
    <t>39,47</t>
  </si>
  <si>
    <t>36,68</t>
  </si>
  <si>
    <t>70,93</t>
  </si>
  <si>
    <t>170,87</t>
  </si>
  <si>
    <t>37,30</t>
  </si>
  <si>
    <t>92,06</t>
  </si>
  <si>
    <t>208,52</t>
  </si>
  <si>
    <t>110,36</t>
  </si>
  <si>
    <t>40,96</t>
  </si>
  <si>
    <t>519,88</t>
  </si>
  <si>
    <t>855,17</t>
  </si>
  <si>
    <t>650,23</t>
  </si>
  <si>
    <t>961,28</t>
  </si>
  <si>
    <t>54,36</t>
  </si>
  <si>
    <t>183,30</t>
  </si>
  <si>
    <t>32,88</t>
  </si>
  <si>
    <t>233,33</t>
  </si>
  <si>
    <t>22,39</t>
  </si>
  <si>
    <t>32,80</t>
  </si>
  <si>
    <t>49,89</t>
  </si>
  <si>
    <t>87,88</t>
  </si>
  <si>
    <t>118,87</t>
  </si>
  <si>
    <t>20,96</t>
  </si>
  <si>
    <t>55,21</t>
  </si>
  <si>
    <t>311,19</t>
  </si>
  <si>
    <t>65,20</t>
  </si>
  <si>
    <t>47,44</t>
  </si>
  <si>
    <t>14,18</t>
  </si>
  <si>
    <t>38,59</t>
  </si>
  <si>
    <t>157,83</t>
  </si>
  <si>
    <t>20,48</t>
  </si>
  <si>
    <t>229,53</t>
  </si>
  <si>
    <t>473,19</t>
  </si>
  <si>
    <t>50,03</t>
  </si>
  <si>
    <t>39,56</t>
  </si>
  <si>
    <t>25,77</t>
  </si>
  <si>
    <t>141,28</t>
  </si>
  <si>
    <t>78,36</t>
  </si>
  <si>
    <t>197,81</t>
  </si>
  <si>
    <t>90,53</t>
  </si>
  <si>
    <t>257,13</t>
  </si>
  <si>
    <t>128,70</t>
  </si>
  <si>
    <t>28,57</t>
  </si>
  <si>
    <t>667,39</t>
  </si>
  <si>
    <t>45,13</t>
  </si>
  <si>
    <t>62,58</t>
  </si>
  <si>
    <t>50,16</t>
  </si>
  <si>
    <t>29,82</t>
  </si>
  <si>
    <t>180,86</t>
  </si>
  <si>
    <t>244,13</t>
  </si>
  <si>
    <t>58,67</t>
  </si>
  <si>
    <t>27,97</t>
  </si>
  <si>
    <t>165,24</t>
  </si>
  <si>
    <t>98,35</t>
  </si>
  <si>
    <t>236,32</t>
  </si>
  <si>
    <t>473,78</t>
  </si>
  <si>
    <t>54,51</t>
  </si>
  <si>
    <t>225,30</t>
  </si>
  <si>
    <t>100,81</t>
  </si>
  <si>
    <t>293,43</t>
  </si>
  <si>
    <t>560,22</t>
  </si>
  <si>
    <t>1.401,33</t>
  </si>
  <si>
    <t>276,22</t>
  </si>
  <si>
    <t>140,64</t>
  </si>
  <si>
    <t>581,75</t>
  </si>
  <si>
    <t>49,99</t>
  </si>
  <si>
    <t>1,97</t>
  </si>
  <si>
    <t>3,34</t>
  </si>
  <si>
    <t>2,42</t>
  </si>
  <si>
    <t>22,20</t>
  </si>
  <si>
    <t>44,60</t>
  </si>
  <si>
    <t>164,85</t>
  </si>
  <si>
    <t>16,11</t>
  </si>
  <si>
    <t>2.845,57</t>
  </si>
  <si>
    <t>3.772,48</t>
  </si>
  <si>
    <t>3.015,46</t>
  </si>
  <si>
    <t>17,05</t>
  </si>
  <si>
    <t>3.014,61</t>
  </si>
  <si>
    <t>13,00</t>
  </si>
  <si>
    <t>5,24</t>
  </si>
  <si>
    <t>31,86</t>
  </si>
  <si>
    <t>36,78</t>
  </si>
  <si>
    <t>671,20</t>
  </si>
  <si>
    <t>28,21</t>
  </si>
  <si>
    <t>1.596,19</t>
  </si>
  <si>
    <t>1.255,65</t>
  </si>
  <si>
    <t>1.944,14</t>
  </si>
  <si>
    <t>4.542,13</t>
  </si>
  <si>
    <t>369,42</t>
  </si>
  <si>
    <t>419,10</t>
  </si>
  <si>
    <t>588,16</t>
  </si>
  <si>
    <t>984,96</t>
  </si>
  <si>
    <t>861,49</t>
  </si>
  <si>
    <t>1.596,35</t>
  </si>
  <si>
    <t>1.352,97</t>
  </si>
  <si>
    <t>2.228,34</t>
  </si>
  <si>
    <t>4.763,78</t>
  </si>
  <si>
    <t>54,43</t>
  </si>
  <si>
    <t>80,89</t>
  </si>
  <si>
    <t>103,11</t>
  </si>
  <si>
    <t>32,82</t>
  </si>
  <si>
    <t>83,84</t>
  </si>
  <si>
    <t>118,13</t>
  </si>
  <si>
    <t>72,16</t>
  </si>
  <si>
    <t>103,84</t>
  </si>
  <si>
    <t>184,58</t>
  </si>
  <si>
    <t>75,18</t>
  </si>
  <si>
    <t>111,02</t>
  </si>
  <si>
    <t>192,90</t>
  </si>
  <si>
    <t>150,72</t>
  </si>
  <si>
    <t>283,73</t>
  </si>
  <si>
    <t>139,02</t>
  </si>
  <si>
    <t>143,32</t>
  </si>
  <si>
    <t>348,44</t>
  </si>
  <si>
    <t>295,74</t>
  </si>
  <si>
    <t>148,49</t>
  </si>
  <si>
    <t>151,13</t>
  </si>
  <si>
    <t>161,62</t>
  </si>
  <si>
    <t>275,59</t>
  </si>
  <si>
    <t>168,14</t>
  </si>
  <si>
    <t>183,39</t>
  </si>
  <si>
    <t>184,49</t>
  </si>
  <si>
    <t>308,73</t>
  </si>
  <si>
    <t>341,90</t>
  </si>
  <si>
    <t>169,18</t>
  </si>
  <si>
    <t>184,57</t>
  </si>
  <si>
    <t>344,42</t>
  </si>
  <si>
    <t>553,86</t>
  </si>
  <si>
    <t>210,06</t>
  </si>
  <si>
    <t>246,15</t>
  </si>
  <si>
    <t>237,22</t>
  </si>
  <si>
    <t>549,56</t>
  </si>
  <si>
    <t>356.844,13</t>
  </si>
  <si>
    <t>82.078,10</t>
  </si>
  <si>
    <t>73,19</t>
  </si>
  <si>
    <t>58,87</t>
  </si>
  <si>
    <t>183,37</t>
  </si>
  <si>
    <t>198,72</t>
  </si>
  <si>
    <t>201,58</t>
  </si>
  <si>
    <t>231,54</t>
  </si>
  <si>
    <t>247,10</t>
  </si>
  <si>
    <t>623,17</t>
  </si>
  <si>
    <t>586,85</t>
  </si>
  <si>
    <t>141.829,41</t>
  </si>
  <si>
    <t>570,61</t>
  </si>
  <si>
    <t>1.755,93</t>
  </si>
  <si>
    <t>151,17</t>
  </si>
  <si>
    <t>318,47</t>
  </si>
  <si>
    <t>101,72</t>
  </si>
  <si>
    <t>132.009,32</t>
  </si>
  <si>
    <t>3,33</t>
  </si>
  <si>
    <t>31,68</t>
  </si>
  <si>
    <t>25,44</t>
  </si>
  <si>
    <t>2.506,01</t>
  </si>
  <si>
    <t>27,51</t>
  </si>
  <si>
    <t>26,43</t>
  </si>
  <si>
    <t>28,65</t>
  </si>
  <si>
    <t>42,39</t>
  </si>
  <si>
    <t>2,30</t>
  </si>
  <si>
    <t>30,52</t>
  </si>
  <si>
    <t>40,65</t>
  </si>
  <si>
    <t>63,35</t>
  </si>
  <si>
    <t>25,60</t>
  </si>
  <si>
    <t>21,74</t>
  </si>
  <si>
    <t>13,55</t>
  </si>
  <si>
    <t>56,49</t>
  </si>
  <si>
    <t>34,49</t>
  </si>
  <si>
    <t>63,61</t>
  </si>
  <si>
    <t>3,54</t>
  </si>
  <si>
    <t>7,02</t>
  </si>
  <si>
    <t>2.533,86</t>
  </si>
  <si>
    <t>63.535,11</t>
  </si>
  <si>
    <t>299.122,10</t>
  </si>
  <si>
    <t>1.991,27</t>
  </si>
  <si>
    <t>26,73</t>
  </si>
  <si>
    <t>3.243,46</t>
  </si>
  <si>
    <t>34,10</t>
  </si>
  <si>
    <t>37,32</t>
  </si>
  <si>
    <t>13.867,92</t>
  </si>
  <si>
    <t>89,38</t>
  </si>
  <si>
    <t>15.784,54</t>
  </si>
  <si>
    <t>122,18</t>
  </si>
  <si>
    <t>21.577,04</t>
  </si>
  <si>
    <t>79,68</t>
  </si>
  <si>
    <t>14.070,22</t>
  </si>
  <si>
    <t>15.873,99</t>
  </si>
  <si>
    <t>123,18</t>
  </si>
  <si>
    <t>21.753,79</t>
  </si>
  <si>
    <t>13.227,74</t>
  </si>
  <si>
    <t>13.097,47</t>
  </si>
  <si>
    <t>45,94</t>
  </si>
  <si>
    <t>130,43</t>
  </si>
  <si>
    <t>1,26</t>
  </si>
  <si>
    <t>238,17</t>
  </si>
  <si>
    <t>201,65</t>
  </si>
  <si>
    <t>177,43</t>
  </si>
  <si>
    <t>1,08</t>
  </si>
  <si>
    <t>202,94</t>
  </si>
  <si>
    <t>123,54</t>
  </si>
  <si>
    <t>143,59</t>
  </si>
  <si>
    <t>204,95</t>
  </si>
  <si>
    <t>283,15</t>
  </si>
  <si>
    <t>216,60</t>
  </si>
  <si>
    <t>297,70</t>
  </si>
  <si>
    <t>424.322,45</t>
  </si>
  <si>
    <t>1.779.511,16</t>
  </si>
  <si>
    <t>2.648.890,66</t>
  </si>
  <si>
    <t>977,83</t>
  </si>
  <si>
    <t>938.024,00</t>
  </si>
  <si>
    <t>850.000,00</t>
  </si>
  <si>
    <t>890.000,00</t>
  </si>
  <si>
    <t>763.298,96</t>
  </si>
  <si>
    <t>912.000,00</t>
  </si>
  <si>
    <t>700.000,00</t>
  </si>
  <si>
    <t>835.000,00</t>
  </si>
  <si>
    <t>800.000,00</t>
  </si>
  <si>
    <t>903.024,00</t>
  </si>
  <si>
    <t>182,61</t>
  </si>
  <si>
    <t>222,14</t>
  </si>
  <si>
    <t>56,26</t>
  </si>
  <si>
    <t>60,57</t>
  </si>
  <si>
    <t>100,70</t>
  </si>
  <si>
    <t>1.175,00</t>
  </si>
  <si>
    <t>2,74</t>
  </si>
  <si>
    <t>105.800,00</t>
  </si>
  <si>
    <t>224.594,13</t>
  </si>
  <si>
    <t>677,60</t>
  </si>
  <si>
    <t>39,00</t>
  </si>
  <si>
    <t>11,42</t>
  </si>
  <si>
    <t>31,74</t>
  </si>
  <si>
    <t>29,47</t>
  </si>
  <si>
    <t>5.916,32</t>
  </si>
  <si>
    <t>306,90</t>
  </si>
  <si>
    <t>556,66</t>
  </si>
  <si>
    <t>762,40</t>
  </si>
  <si>
    <t>121,90</t>
  </si>
  <si>
    <t>177,85</t>
  </si>
  <si>
    <t>102,42</t>
  </si>
  <si>
    <t>262,49</t>
  </si>
  <si>
    <t>27,70</t>
  </si>
  <si>
    <t>31,58</t>
  </si>
  <si>
    <t>169,62</t>
  </si>
  <si>
    <t>536,84</t>
  </si>
  <si>
    <t>581,58</t>
  </si>
  <si>
    <t>268,42</t>
  </si>
  <si>
    <t>164,03</t>
  </si>
  <si>
    <t>193,86</t>
  </si>
  <si>
    <t>231,14</t>
  </si>
  <si>
    <t>251,32</t>
  </si>
  <si>
    <t>158,66</t>
  </si>
  <si>
    <t>206,61</t>
  </si>
  <si>
    <t>52,05</t>
  </si>
  <si>
    <t>130,57</t>
  </si>
  <si>
    <t>17,70</t>
  </si>
  <si>
    <t>90,26</t>
  </si>
  <si>
    <t>74,72</t>
  </si>
  <si>
    <t>114,67</t>
  </si>
  <si>
    <t>53,80</t>
  </si>
  <si>
    <t>83,52</t>
  </si>
  <si>
    <t>62,00</t>
  </si>
  <si>
    <t>122,66</t>
  </si>
  <si>
    <t>55,34</t>
  </si>
  <si>
    <t>91,83</t>
  </si>
  <si>
    <t>69,42</t>
  </si>
  <si>
    <t>111,15</t>
  </si>
  <si>
    <t>80,58</t>
  </si>
  <si>
    <t>129,99</t>
  </si>
  <si>
    <t>74,11</t>
  </si>
  <si>
    <t>22,02</t>
  </si>
  <si>
    <t>111,76</t>
  </si>
  <si>
    <t>146,18</t>
  </si>
  <si>
    <t>91,27</t>
  </si>
  <si>
    <t>0,45</t>
  </si>
  <si>
    <t>147,23</t>
  </si>
  <si>
    <t>279,09</t>
  </si>
  <si>
    <t>106,33</t>
  </si>
  <si>
    <t>201,56</t>
  </si>
  <si>
    <t>21,51</t>
  </si>
  <si>
    <t>10,49</t>
  </si>
  <si>
    <t>9,90</t>
  </si>
  <si>
    <t>1.161,38</t>
  </si>
  <si>
    <t>2.973,62</t>
  </si>
  <si>
    <t>4.064,40</t>
  </si>
  <si>
    <t>43,05</t>
  </si>
  <si>
    <t>69,24</t>
  </si>
  <si>
    <t>92,40</t>
  </si>
  <si>
    <t>89,37</t>
  </si>
  <si>
    <t>98,58</t>
  </si>
  <si>
    <t>9,02</t>
  </si>
  <si>
    <t>64,89</t>
  </si>
  <si>
    <t>56,25</t>
  </si>
  <si>
    <t>151,15</t>
  </si>
  <si>
    <t>18,44</t>
  </si>
  <si>
    <t>3,02</t>
  </si>
  <si>
    <t>133,01</t>
  </si>
  <si>
    <t>9,66</t>
  </si>
  <si>
    <t>41,69</t>
  </si>
  <si>
    <t>49,49</t>
  </si>
  <si>
    <t>105,18</t>
  </si>
  <si>
    <t>155,50</t>
  </si>
  <si>
    <t>261,25</t>
  </si>
  <si>
    <t>135,82</t>
  </si>
  <si>
    <t>148,14</t>
  </si>
  <si>
    <t>158,90</t>
  </si>
  <si>
    <t>79,27</t>
  </si>
  <si>
    <t>119,80</t>
  </si>
  <si>
    <t>25,16</t>
  </si>
  <si>
    <t>41,57</t>
  </si>
  <si>
    <t>30,54</t>
  </si>
  <si>
    <t>29,84</t>
  </si>
  <si>
    <t>4.730,76</t>
  </si>
  <si>
    <t>1.216,48</t>
  </si>
  <si>
    <t>3.743,42</t>
  </si>
  <si>
    <t>10.813,17</t>
  </si>
  <si>
    <t>6.140.142,58</t>
  </si>
  <si>
    <t>2.628.503,46</t>
  </si>
  <si>
    <t>32,76</t>
  </si>
  <si>
    <t>35,13</t>
  </si>
  <si>
    <t>77,34</t>
  </si>
  <si>
    <t>470,66</t>
  </si>
  <si>
    <t>1.292,58</t>
  </si>
  <si>
    <t>1.394,49</t>
  </si>
  <si>
    <t>1.534,04</t>
  </si>
  <si>
    <t>124,00</t>
  </si>
  <si>
    <t>134,17</t>
  </si>
  <si>
    <t>444,46</t>
  </si>
  <si>
    <t>591,08</t>
  </si>
  <si>
    <t>828,66</t>
  </si>
  <si>
    <t>592,66</t>
  </si>
  <si>
    <t>689,19</t>
  </si>
  <si>
    <t>852,41</t>
  </si>
  <si>
    <t>1.096,16</t>
  </si>
  <si>
    <t>1.208,26</t>
  </si>
  <si>
    <t>617,32</t>
  </si>
  <si>
    <t>394,12</t>
  </si>
  <si>
    <t>331,33</t>
  </si>
  <si>
    <t>414,33</t>
  </si>
  <si>
    <t>276,03</t>
  </si>
  <si>
    <t>18,25</t>
  </si>
  <si>
    <t>6.676,55</t>
  </si>
  <si>
    <t>2.317,36</t>
  </si>
  <si>
    <t>78.443,87</t>
  </si>
  <si>
    <t>61.500,00</t>
  </si>
  <si>
    <t>26,96</t>
  </si>
  <si>
    <t>26,33</t>
  </si>
  <si>
    <t>131,08</t>
  </si>
  <si>
    <t>156,47</t>
  </si>
  <si>
    <t>562,26</t>
  </si>
  <si>
    <t>26,87</t>
  </si>
  <si>
    <t>292,55</t>
  </si>
  <si>
    <t>404,65</t>
  </si>
  <si>
    <t>223,25</t>
  </si>
  <si>
    <t>283,72</t>
  </si>
  <si>
    <t>651.870,31</t>
  </si>
  <si>
    <t>738.542,58</t>
  </si>
  <si>
    <t>1.371.932,03</t>
  </si>
  <si>
    <t>184.889,11</t>
  </si>
  <si>
    <t>165.270,32</t>
  </si>
  <si>
    <t>3.605,34</t>
  </si>
  <si>
    <t>119.382,89</t>
  </si>
  <si>
    <t>140.028,05</t>
  </si>
  <si>
    <t>170.546,99</t>
  </si>
  <si>
    <t>197.475,45</t>
  </si>
  <si>
    <t>106.313,61</t>
  </si>
  <si>
    <t>103.764,38</t>
  </si>
  <si>
    <t>149.111,92</t>
  </si>
  <si>
    <t>96.942,50</t>
  </si>
  <si>
    <t>80.954,72</t>
  </si>
  <si>
    <t>138.765,44</t>
  </si>
  <si>
    <t>123.549,06</t>
  </si>
  <si>
    <t>148.529,64</t>
  </si>
  <si>
    <t>87.308,75</t>
  </si>
  <si>
    <t>284,21</t>
  </si>
  <si>
    <t>43,85</t>
  </si>
  <si>
    <t>249,73</t>
  </si>
  <si>
    <t>284,82</t>
  </si>
  <si>
    <t>2.638,34</t>
  </si>
  <si>
    <t>3.011,95</t>
  </si>
  <si>
    <t>5.244,27</t>
  </si>
  <si>
    <t>1.139.895,45</t>
  </si>
  <si>
    <t>2.192.106,64</t>
  </si>
  <si>
    <t>3.726.581,28</t>
  </si>
  <si>
    <t>228.391,80</t>
  </si>
  <si>
    <t>359.734,37</t>
  </si>
  <si>
    <t>1.332.203,12</t>
  </si>
  <si>
    <t>89.933,59</t>
  </si>
  <si>
    <t>126.500,00</t>
  </si>
  <si>
    <t>295.693,75</t>
  </si>
  <si>
    <t>75,44</t>
  </si>
  <si>
    <t>1,89</t>
  </si>
  <si>
    <t>5.284,33</t>
  </si>
  <si>
    <t>4.786,41</t>
  </si>
  <si>
    <t>2.828,97</t>
  </si>
  <si>
    <t>2.979,46</t>
  </si>
  <si>
    <t>257.539,77</t>
  </si>
  <si>
    <t>273.981,30</t>
  </si>
  <si>
    <t>866,77</t>
  </si>
  <si>
    <t>521,53</t>
  </si>
  <si>
    <t>381,97</t>
  </si>
  <si>
    <t>1.219,36</t>
  </si>
  <si>
    <t>107,24</t>
  </si>
  <si>
    <t>132,22</t>
  </si>
  <si>
    <t>1.968,61</t>
  </si>
  <si>
    <t>2.570,95</t>
  </si>
  <si>
    <t>18,52</t>
  </si>
  <si>
    <t>2.128,76</t>
  </si>
  <si>
    <t>49,65</t>
  </si>
  <si>
    <t>10,53</t>
  </si>
  <si>
    <t>1.862,69</t>
  </si>
  <si>
    <t>24,25</t>
  </si>
  <si>
    <t>24,57</t>
  </si>
  <si>
    <t>1.589,95</t>
  </si>
  <si>
    <t>91,90</t>
  </si>
  <si>
    <t>485,11</t>
  </si>
  <si>
    <t>825,96</t>
  </si>
  <si>
    <t>28,13</t>
  </si>
  <si>
    <t>118,66</t>
  </si>
  <si>
    <t>285,67</t>
  </si>
  <si>
    <t>793,54</t>
  </si>
  <si>
    <t>229,00</t>
  </si>
  <si>
    <t>308,76</t>
  </si>
  <si>
    <t>1.177,08</t>
  </si>
  <si>
    <t>672,52</t>
  </si>
  <si>
    <t>1.013,10</t>
  </si>
  <si>
    <t>1.073,90</t>
  </si>
  <si>
    <t>598,00</t>
  </si>
  <si>
    <t>770,73</t>
  </si>
  <si>
    <t>933,17</t>
  </si>
  <si>
    <t>1.122,74</t>
  </si>
  <si>
    <t>1.422,94</t>
  </si>
  <si>
    <t>874,86</t>
  </si>
  <si>
    <t>881,56</t>
  </si>
  <si>
    <t>1.090,62</t>
  </si>
  <si>
    <t>2.420,67</t>
  </si>
  <si>
    <t>1.243,21</t>
  </si>
  <si>
    <t>440,37</t>
  </si>
  <si>
    <t>498,80</t>
  </si>
  <si>
    <t>868,39</t>
  </si>
  <si>
    <t>1.186,50</t>
  </si>
  <si>
    <t>2.029,24</t>
  </si>
  <si>
    <t>23,11</t>
  </si>
  <si>
    <t>81,27</t>
  </si>
  <si>
    <t>217,11</t>
  </si>
  <si>
    <t>253,27</t>
  </si>
  <si>
    <t>211,72</t>
  </si>
  <si>
    <t>246,01</t>
  </si>
  <si>
    <t>21,35</t>
  </si>
  <si>
    <t>2,91</t>
  </si>
  <si>
    <t>186,04</t>
  </si>
  <si>
    <t>81,39</t>
  </si>
  <si>
    <t>124,05</t>
  </si>
  <si>
    <t>23,79</t>
  </si>
  <si>
    <t>69,73</t>
  </si>
  <si>
    <t>4,98</t>
  </si>
  <si>
    <t>1,30</t>
  </si>
  <si>
    <t>6,12</t>
  </si>
  <si>
    <t>73,10</t>
  </si>
  <si>
    <t>8,12</t>
  </si>
  <si>
    <t>245,95</t>
  </si>
  <si>
    <t>30,68</t>
  </si>
  <si>
    <t>28,96</t>
  </si>
  <si>
    <t>38,33</t>
  </si>
  <si>
    <t>158,73</t>
  </si>
  <si>
    <t>35,45</t>
  </si>
  <si>
    <t>46,77</t>
  </si>
  <si>
    <t>15,91</t>
  </si>
  <si>
    <t>27,73</t>
  </si>
  <si>
    <t>15,53</t>
  </si>
  <si>
    <t>25,71</t>
  </si>
  <si>
    <t>32,17</t>
  </si>
  <si>
    <t>28,26</t>
  </si>
  <si>
    <t>62,94</t>
  </si>
  <si>
    <t>25,31</t>
  </si>
  <si>
    <t>99,73</t>
  </si>
  <si>
    <t>38,67</t>
  </si>
  <si>
    <t>128,47</t>
  </si>
  <si>
    <t>24,69</t>
  </si>
  <si>
    <t>224,92</t>
  </si>
  <si>
    <t>30,79</t>
  </si>
  <si>
    <t>70,74</t>
  </si>
  <si>
    <t>83,93</t>
  </si>
  <si>
    <t>98,48</t>
  </si>
  <si>
    <t>22,56</t>
  </si>
  <si>
    <t>34,25</t>
  </si>
  <si>
    <t>42,81</t>
  </si>
  <si>
    <t>58,68</t>
  </si>
  <si>
    <t>55,14</t>
  </si>
  <si>
    <t>123,49</t>
  </si>
  <si>
    <t>165,88</t>
  </si>
  <si>
    <t>72,86</t>
  </si>
  <si>
    <t>68,05</t>
  </si>
  <si>
    <t>193,11</t>
  </si>
  <si>
    <t>217,76</t>
  </si>
  <si>
    <t>29,11</t>
  </si>
  <si>
    <t>20,60</t>
  </si>
  <si>
    <t>271,14</t>
  </si>
  <si>
    <t>758,62</t>
  </si>
  <si>
    <t>1.142,50</t>
  </si>
  <si>
    <t>1.591,47</t>
  </si>
  <si>
    <t>745,93</t>
  </si>
  <si>
    <t>933,90</t>
  </si>
  <si>
    <t>1.295,28</t>
  </si>
  <si>
    <t>1.710,86</t>
  </si>
  <si>
    <t>511,54</t>
  </si>
  <si>
    <t>593,36</t>
  </si>
  <si>
    <t>651,72</t>
  </si>
  <si>
    <t>109,82</t>
  </si>
  <si>
    <t>413,28</t>
  </si>
  <si>
    <t>341,92</t>
  </si>
  <si>
    <t>323,39</t>
  </si>
  <si>
    <t>137,73</t>
  </si>
  <si>
    <t>151,03</t>
  </si>
  <si>
    <t>257,66</t>
  </si>
  <si>
    <t>221,73</t>
  </si>
  <si>
    <t>304,06</t>
  </si>
  <si>
    <t>303,05</t>
  </si>
  <si>
    <t>577,54</t>
  </si>
  <si>
    <t>471,35</t>
  </si>
  <si>
    <t>479,07</t>
  </si>
  <si>
    <t>487,19</t>
  </si>
  <si>
    <t>725,98</t>
  </si>
  <si>
    <t>521,31</t>
  </si>
  <si>
    <t>587,45</t>
  </si>
  <si>
    <t>646,19</t>
  </si>
  <si>
    <t>748,12</t>
  </si>
  <si>
    <t>675,75</t>
  </si>
  <si>
    <t>802,42</t>
  </si>
  <si>
    <t>875,51</t>
  </si>
  <si>
    <t>1.079,80</t>
  </si>
  <si>
    <t>851,11</t>
  </si>
  <si>
    <t>899,22</t>
  </si>
  <si>
    <t>1.095,13</t>
  </si>
  <si>
    <t>904,31</t>
  </si>
  <si>
    <t>58,95</t>
  </si>
  <si>
    <t>59,30</t>
  </si>
  <si>
    <t>75,17</t>
  </si>
  <si>
    <t>69,30</t>
  </si>
  <si>
    <t>77,89</t>
  </si>
  <si>
    <t>71,98</t>
  </si>
  <si>
    <t>79,23</t>
  </si>
  <si>
    <t>83,26</t>
  </si>
  <si>
    <t>87,29</t>
  </si>
  <si>
    <t>574,81</t>
  </si>
  <si>
    <t>979,73</t>
  </si>
  <si>
    <t>104,48</t>
  </si>
  <si>
    <t>17,55</t>
  </si>
  <si>
    <t>44,10</t>
  </si>
  <si>
    <t>37,47</t>
  </si>
  <si>
    <t>67,80</t>
  </si>
  <si>
    <t>33,91</t>
  </si>
  <si>
    <t>15,65</t>
  </si>
  <si>
    <t>27,90</t>
  </si>
  <si>
    <t>38,07</t>
  </si>
  <si>
    <t>62,81</t>
  </si>
  <si>
    <t>3.300,00</t>
  </si>
  <si>
    <t>88,63</t>
  </si>
  <si>
    <t>156,77</t>
  </si>
  <si>
    <t>438,72</t>
  </si>
  <si>
    <t>452,02</t>
  </si>
  <si>
    <t>141,04</t>
  </si>
  <si>
    <t>150,14</t>
  </si>
  <si>
    <t>168,13</t>
  </si>
  <si>
    <t>292,02</t>
  </si>
  <si>
    <t>144,06</t>
  </si>
  <si>
    <t>1.606,27</t>
  </si>
  <si>
    <t>116,49</t>
  </si>
  <si>
    <t>34,44</t>
  </si>
  <si>
    <t>221.500,00</t>
  </si>
  <si>
    <t>188.090,84</t>
  </si>
  <si>
    <t>314.887,76</t>
  </si>
  <si>
    <t>534.414,77</t>
  </si>
  <si>
    <t>7.324,80</t>
  </si>
  <si>
    <t>1.211,41</t>
  </si>
  <si>
    <t>1.213,60</t>
  </si>
  <si>
    <t>7,49</t>
  </si>
  <si>
    <t>502,55</t>
  </si>
  <si>
    <t>945,00</t>
  </si>
  <si>
    <t>858,37</t>
  </si>
  <si>
    <t>756,00</t>
  </si>
  <si>
    <t>590,62</t>
  </si>
  <si>
    <t>18,84</t>
  </si>
  <si>
    <t>784,90</t>
  </si>
  <si>
    <t>1,04</t>
  </si>
  <si>
    <t>98,28</t>
  </si>
  <si>
    <t>422,14</t>
  </si>
  <si>
    <t>637,97</t>
  </si>
  <si>
    <t>741,05</t>
  </si>
  <si>
    <t>1.227,66</t>
  </si>
  <si>
    <t>191,72</t>
  </si>
  <si>
    <t>353,79</t>
  </si>
  <si>
    <t>391,63</t>
  </si>
  <si>
    <t>472,23</t>
  </si>
  <si>
    <t>105,02</t>
  </si>
  <si>
    <t>154,95</t>
  </si>
  <si>
    <t>47,06</t>
  </si>
  <si>
    <t>205,84</t>
  </si>
  <si>
    <t>61,62</t>
  </si>
  <si>
    <t>260,93</t>
  </si>
  <si>
    <t>38,88</t>
  </si>
  <si>
    <t>93,19</t>
  </si>
  <si>
    <t>107,91</t>
  </si>
  <si>
    <t>316,22</t>
  </si>
  <si>
    <t>161,85</t>
  </si>
  <si>
    <t>114,75</t>
  </si>
  <si>
    <t>239,06</t>
  </si>
  <si>
    <t>7,15</t>
  </si>
  <si>
    <t>40,87</t>
  </si>
  <si>
    <t>175,56</t>
  </si>
  <si>
    <t>197,30</t>
  </si>
  <si>
    <t>517,53</t>
  </si>
  <si>
    <t>425,70</t>
  </si>
  <si>
    <t>58,18</t>
  </si>
  <si>
    <t>190,68</t>
  </si>
  <si>
    <t>291,94</t>
  </si>
  <si>
    <t>66,07</t>
  </si>
  <si>
    <t>145,81</t>
  </si>
  <si>
    <t>260,09</t>
  </si>
  <si>
    <t>473,75</t>
  </si>
  <si>
    <t>45,05</t>
  </si>
  <si>
    <t>14,20</t>
  </si>
  <si>
    <t>26,31</t>
  </si>
  <si>
    <t>29,86</t>
  </si>
  <si>
    <t>89,44</t>
  </si>
  <si>
    <t>192,50</t>
  </si>
  <si>
    <t>314,74</t>
  </si>
  <si>
    <t>526,14</t>
  </si>
  <si>
    <t>29,54</t>
  </si>
  <si>
    <t>41,37</t>
  </si>
  <si>
    <t>65,56</t>
  </si>
  <si>
    <t>41,19</t>
  </si>
  <si>
    <t>103,54</t>
  </si>
  <si>
    <t>21,00</t>
  </si>
  <si>
    <t>13,88</t>
  </si>
  <si>
    <t>18,08</t>
  </si>
  <si>
    <t>120,20</t>
  </si>
  <si>
    <t>218,98</t>
  </si>
  <si>
    <t>361,18</t>
  </si>
  <si>
    <t>19,21</t>
  </si>
  <si>
    <t>141,93</t>
  </si>
  <si>
    <t>60,12</t>
  </si>
  <si>
    <t>47,01</t>
  </si>
  <si>
    <t>190,78</t>
  </si>
  <si>
    <t>94,82</t>
  </si>
  <si>
    <t>257,98</t>
  </si>
  <si>
    <t>24,97</t>
  </si>
  <si>
    <t>38,05</t>
  </si>
  <si>
    <t>1,38</t>
  </si>
  <si>
    <t>206,47</t>
  </si>
  <si>
    <t>336,77</t>
  </si>
  <si>
    <t>46,90</t>
  </si>
  <si>
    <t>148,51</t>
  </si>
  <si>
    <t>73,91</t>
  </si>
  <si>
    <t>201,04</t>
  </si>
  <si>
    <t>4,83</t>
  </si>
  <si>
    <t>29,02</t>
  </si>
  <si>
    <t>5,94</t>
  </si>
  <si>
    <t>8,28</t>
  </si>
  <si>
    <t>29,41</t>
  </si>
  <si>
    <t>44,21</t>
  </si>
  <si>
    <t>28,23</t>
  </si>
  <si>
    <t>43,52</t>
  </si>
  <si>
    <t>133,90</t>
  </si>
  <si>
    <t>51,85</t>
  </si>
  <si>
    <t>83,68</t>
  </si>
  <si>
    <t>83,32</t>
  </si>
  <si>
    <t>51,36</t>
  </si>
  <si>
    <t>24,98</t>
  </si>
  <si>
    <t>56,91</t>
  </si>
  <si>
    <t>53,57</t>
  </si>
  <si>
    <t>26,42</t>
  </si>
  <si>
    <t>2.927,43</t>
  </si>
  <si>
    <t>67,17</t>
  </si>
  <si>
    <t>231,50</t>
  </si>
  <si>
    <t>13,95</t>
  </si>
  <si>
    <t>46,40</t>
  </si>
  <si>
    <t>78,00</t>
  </si>
  <si>
    <t>130,50</t>
  </si>
  <si>
    <t>2.453,52</t>
  </si>
  <si>
    <t>157,47</t>
  </si>
  <si>
    <t>229,40</t>
  </si>
  <si>
    <t>2.021,19</t>
  </si>
  <si>
    <t>3,94</t>
  </si>
  <si>
    <t>372,85</t>
  </si>
  <si>
    <t>459,60</t>
  </si>
  <si>
    <t>572,19</t>
  </si>
  <si>
    <t>610,95</t>
  </si>
  <si>
    <t>551,89</t>
  </si>
  <si>
    <t>658,02</t>
  </si>
  <si>
    <t>664,48</t>
  </si>
  <si>
    <t>867,52</t>
  </si>
  <si>
    <t>740,16</t>
  </si>
  <si>
    <t>932,12</t>
  </si>
  <si>
    <t>1.133,31</t>
  </si>
  <si>
    <t>1.292,05</t>
  </si>
  <si>
    <t>519.087,13</t>
  </si>
  <si>
    <t>461.495,00</t>
  </si>
  <si>
    <t>147,80</t>
  </si>
  <si>
    <t>49,71</t>
  </si>
  <si>
    <t>63,16</t>
  </si>
  <si>
    <t>36,30</t>
  </si>
  <si>
    <t>32,84</t>
  </si>
  <si>
    <t>29,58</t>
  </si>
  <si>
    <t>59,42</t>
  </si>
  <si>
    <t>26,35</t>
  </si>
  <si>
    <t>47,90</t>
  </si>
  <si>
    <t>80,74</t>
  </si>
  <si>
    <t>55,90</t>
  </si>
  <si>
    <t>723.336,37</t>
  </si>
  <si>
    <t>70.491,09</t>
  </si>
  <si>
    <t>29.509,43</t>
  </si>
  <si>
    <t>20.705,20</t>
  </si>
  <si>
    <t>292.883,95</t>
  </si>
  <si>
    <t>30.783,51</t>
  </si>
  <si>
    <t>771,66</t>
  </si>
  <si>
    <t>2.246,92</t>
  </si>
  <si>
    <t>11.084,50</t>
  </si>
  <si>
    <t>20.665,68</t>
  </si>
  <si>
    <t>23.780,92</t>
  </si>
  <si>
    <t>22.460,72</t>
  </si>
  <si>
    <t>25.271,37</t>
  </si>
  <si>
    <t>46.501,06</t>
  </si>
  <si>
    <t>26.006,86</t>
  </si>
  <si>
    <t>25.516,70</t>
  </si>
  <si>
    <t>233,71</t>
  </si>
  <si>
    <t>40,53</t>
  </si>
  <si>
    <t>5,49</t>
  </si>
  <si>
    <t>64,15</t>
  </si>
  <si>
    <t>426,81</t>
  </si>
  <si>
    <t>447,13</t>
  </si>
  <si>
    <t>432,80</t>
  </si>
  <si>
    <t>587,44</t>
  </si>
  <si>
    <t>730,99</t>
  </si>
  <si>
    <t>1.758,02</t>
  </si>
  <si>
    <t>2.747,61</t>
  </si>
  <si>
    <t>2.758,84</t>
  </si>
  <si>
    <t>2.436,12</t>
  </si>
  <si>
    <t>2,10</t>
  </si>
  <si>
    <t>1,65</t>
  </si>
  <si>
    <t>2,05</t>
  </si>
  <si>
    <t>33,40</t>
  </si>
  <si>
    <t>13,23</t>
  </si>
  <si>
    <t>47,25</t>
  </si>
  <si>
    <t>10.084,05</t>
  </si>
  <si>
    <t>27,86</t>
  </si>
  <si>
    <t>4.922,75</t>
  </si>
  <si>
    <t>19.509,32</t>
  </si>
  <si>
    <t>797,05</t>
  </si>
  <si>
    <t>950,84</t>
  </si>
  <si>
    <t>328,02</t>
  </si>
  <si>
    <t>1.050,89</t>
  </si>
  <si>
    <t>809,26</t>
  </si>
  <si>
    <t>189.750,00</t>
  </si>
  <si>
    <t>292.839,92</t>
  </si>
  <si>
    <t>288.039,26</t>
  </si>
  <si>
    <t>351.407,91</t>
  </si>
  <si>
    <t>361.980,28</t>
  </si>
  <si>
    <t>48,14</t>
  </si>
  <si>
    <t>13.281,62</t>
  </si>
  <si>
    <t>14.047,54</t>
  </si>
  <si>
    <t>16.714,69</t>
  </si>
  <si>
    <t>769,71</t>
  </si>
  <si>
    <t>340,15</t>
  </si>
  <si>
    <t>416,64</t>
  </si>
  <si>
    <t>66.481,84</t>
  </si>
  <si>
    <t>204,39</t>
  </si>
  <si>
    <t>449,04</t>
  </si>
  <si>
    <t>248,85</t>
  </si>
  <si>
    <t>132,66</t>
  </si>
  <si>
    <t>770,10</t>
  </si>
  <si>
    <t>2.447,66</t>
  </si>
  <si>
    <t>1.717,90</t>
  </si>
  <si>
    <t>2.728,37</t>
  </si>
  <si>
    <t>2.316,27</t>
  </si>
  <si>
    <t>6.188,63</t>
  </si>
  <si>
    <t>3.075,97</t>
  </si>
  <si>
    <t>2.891,04</t>
  </si>
  <si>
    <t>3.565,00</t>
  </si>
  <si>
    <t>928.000,00</t>
  </si>
  <si>
    <t>1.153.155,72</t>
  </si>
  <si>
    <t>1.213.845,15</t>
  </si>
  <si>
    <t>4.094,61</t>
  </si>
  <si>
    <t>2.030,38</t>
  </si>
  <si>
    <t>1.672,65</t>
  </si>
  <si>
    <t>1.636,26</t>
  </si>
  <si>
    <t>11,29</t>
  </si>
  <si>
    <t>1.994,37</t>
  </si>
  <si>
    <t>1.881,20</t>
  </si>
  <si>
    <t>15,07</t>
  </si>
  <si>
    <t>2.663,35</t>
  </si>
  <si>
    <t>1.848,15</t>
  </si>
  <si>
    <t>2.175,85</t>
  </si>
  <si>
    <t>2.335,04</t>
  </si>
  <si>
    <t>76,55</t>
  </si>
  <si>
    <t>68,16</t>
  </si>
  <si>
    <t>64,27</t>
  </si>
  <si>
    <t>78,45</t>
  </si>
  <si>
    <t>66,16</t>
  </si>
  <si>
    <t>33,31</t>
  </si>
  <si>
    <t>53,44</t>
  </si>
  <si>
    <t>206,89</t>
  </si>
  <si>
    <t>131,03</t>
  </si>
  <si>
    <t>129,31</t>
  </si>
  <si>
    <t>6.318,06</t>
  </si>
  <si>
    <t>3,14</t>
  </si>
  <si>
    <t>9,11</t>
  </si>
  <si>
    <t>42,42</t>
  </si>
  <si>
    <t>27,72</t>
  </si>
  <si>
    <t>6,17</t>
  </si>
  <si>
    <t>69,01</t>
  </si>
  <si>
    <t>111,10</t>
  </si>
  <si>
    <t>245,25</t>
  </si>
  <si>
    <t>407,50</t>
  </si>
  <si>
    <t>18,94</t>
  </si>
  <si>
    <t>107,32</t>
  </si>
  <si>
    <t>94,78</t>
  </si>
  <si>
    <t>38,76</t>
  </si>
  <si>
    <t>13,24</t>
  </si>
  <si>
    <t>150,17</t>
  </si>
  <si>
    <t>94,53</t>
  </si>
  <si>
    <t>1.247,57</t>
  </si>
  <si>
    <t>42.509,14</t>
  </si>
  <si>
    <t>62.050,09</t>
  </si>
  <si>
    <t>75.090,76</t>
  </si>
  <si>
    <t>117.631,38</t>
  </si>
  <si>
    <t>33.989,86</t>
  </si>
  <si>
    <t>21,81</t>
  </si>
  <si>
    <t>2.096,75</t>
  </si>
  <si>
    <t>1.798,20</t>
  </si>
  <si>
    <t>1.735,32</t>
  </si>
  <si>
    <t>1.891,25</t>
  </si>
  <si>
    <t>2.213,17</t>
  </si>
  <si>
    <t>1.743,91</t>
  </si>
  <si>
    <t>1.753,48</t>
  </si>
  <si>
    <t>2.170,42</t>
  </si>
  <si>
    <t>1.456,97</t>
  </si>
  <si>
    <t>2.250,90</t>
  </si>
  <si>
    <t>2.761,43</t>
  </si>
  <si>
    <t>2.016,57</t>
  </si>
  <si>
    <t>2.323,83</t>
  </si>
  <si>
    <t>1.995,63</t>
  </si>
  <si>
    <t>16,76</t>
  </si>
  <si>
    <t>515.040,00</t>
  </si>
  <si>
    <t>580.000,00</t>
  </si>
  <si>
    <t>804.266,62</t>
  </si>
  <si>
    <t>915.626,62</t>
  </si>
  <si>
    <t>534.373,31</t>
  </si>
  <si>
    <t>38,87</t>
  </si>
  <si>
    <t>63,70</t>
  </si>
  <si>
    <t>104,28</t>
  </si>
  <si>
    <t>118,00</t>
  </si>
  <si>
    <t>178,04</t>
  </si>
  <si>
    <t>250,46</t>
  </si>
  <si>
    <t>296,93</t>
  </si>
  <si>
    <t>31,89</t>
  </si>
  <si>
    <t>79,02</t>
  </si>
  <si>
    <t>3.994,77</t>
  </si>
  <si>
    <t>202,54</t>
  </si>
  <si>
    <t>367,73</t>
  </si>
  <si>
    <t>11,57</t>
  </si>
  <si>
    <t>21,56</t>
  </si>
  <si>
    <t>19,75</t>
  </si>
  <si>
    <t>25,66</t>
  </si>
  <si>
    <t>3,82</t>
  </si>
  <si>
    <t>129,20</t>
  </si>
  <si>
    <t>211,62</t>
  </si>
  <si>
    <t>4.136,43</t>
  </si>
  <si>
    <t>61,22</t>
  </si>
  <si>
    <t>67,14</t>
  </si>
  <si>
    <t>193,24</t>
  </si>
  <si>
    <t>124,45</t>
  </si>
  <si>
    <t>210,20</t>
  </si>
  <si>
    <t>148,81</t>
  </si>
  <si>
    <t>28,62</t>
  </si>
  <si>
    <t>271,00</t>
  </si>
  <si>
    <t>472,34</t>
  </si>
  <si>
    <t>396,49</t>
  </si>
  <si>
    <t>636,97</t>
  </si>
  <si>
    <t>35,44</t>
  </si>
  <si>
    <t>31,98</t>
  </si>
  <si>
    <t>34,26</t>
  </si>
  <si>
    <t>85,04</t>
  </si>
  <si>
    <t>84,85</t>
  </si>
  <si>
    <t>79,73</t>
  </si>
  <si>
    <t>79,04</t>
  </si>
  <si>
    <t>77,95</t>
  </si>
  <si>
    <t>62,50</t>
  </si>
  <si>
    <t>111,37</t>
  </si>
  <si>
    <t>201,47</t>
  </si>
  <si>
    <t>90,92</t>
  </si>
  <si>
    <t>97,76</t>
  </si>
  <si>
    <t>76,52</t>
  </si>
  <si>
    <t>135,32</t>
  </si>
  <si>
    <t>20,92</t>
  </si>
  <si>
    <t>2,92</t>
  </si>
  <si>
    <t>15.552,58</t>
  </si>
  <si>
    <t>47,31</t>
  </si>
  <si>
    <t>168,36</t>
  </si>
  <si>
    <t>76,10</t>
  </si>
  <si>
    <t>8,79</t>
  </si>
  <si>
    <t>7,14</t>
  </si>
  <si>
    <t>3.926.315,76</t>
  </si>
  <si>
    <t>6.105.263,12</t>
  </si>
  <si>
    <t>1.494.736,88</t>
  </si>
  <si>
    <t>74.645,61</t>
  </si>
  <si>
    <t>10.757,20</t>
  </si>
  <si>
    <t>33.674,71</t>
  </si>
  <si>
    <t>18.417,18</t>
  </si>
  <si>
    <t>820.000,00</t>
  </si>
  <si>
    <t>855.556,64</t>
  </si>
  <si>
    <t>87.510,04</t>
  </si>
  <si>
    <t>39,58</t>
  </si>
  <si>
    <t>47,55</t>
  </si>
  <si>
    <t>32,00</t>
  </si>
  <si>
    <t>43,80</t>
  </si>
  <si>
    <t>2.354,28</t>
  </si>
  <si>
    <t>64,57</t>
  </si>
  <si>
    <t>294,07</t>
  </si>
  <si>
    <t>178,61</t>
  </si>
  <si>
    <t>286,26</t>
  </si>
  <si>
    <t>479,68</t>
  </si>
  <si>
    <t>61,97</t>
  </si>
  <si>
    <t>372,50</t>
  </si>
  <si>
    <t>281,13</t>
  </si>
  <si>
    <t>359,22</t>
  </si>
  <si>
    <t>406,07</t>
  </si>
  <si>
    <t>82,59</t>
  </si>
  <si>
    <t>143,81</t>
  </si>
  <si>
    <t>168,96</t>
  </si>
  <si>
    <t>98,41</t>
  </si>
  <si>
    <t>126,72</t>
  </si>
  <si>
    <t>233,72</t>
  </si>
  <si>
    <t>137,98</t>
  </si>
  <si>
    <t>97,55</t>
  </si>
  <si>
    <t>196,32</t>
  </si>
  <si>
    <t>187,00</t>
  </si>
  <si>
    <t>486,08</t>
  </si>
  <si>
    <t>432,78</t>
  </si>
  <si>
    <t>296,75</t>
  </si>
  <si>
    <t>374,56</t>
  </si>
  <si>
    <t>385,00</t>
  </si>
  <si>
    <t>54,27</t>
  </si>
  <si>
    <t>33,22</t>
  </si>
  <si>
    <t>74,25</t>
  </si>
  <si>
    <t>62,91</t>
  </si>
  <si>
    <t>1.080,01</t>
  </si>
  <si>
    <t>678,38</t>
  </si>
  <si>
    <t>225,00</t>
  </si>
  <si>
    <t>30,32</t>
  </si>
  <si>
    <t>21,37</t>
  </si>
  <si>
    <t>519,75</t>
  </si>
  <si>
    <t>648,00</t>
  </si>
  <si>
    <t>2.053,01</t>
  </si>
  <si>
    <t>99,08</t>
  </si>
  <si>
    <t>3,25</t>
  </si>
  <si>
    <t>32,87</t>
  </si>
  <si>
    <t>46,03</t>
  </si>
  <si>
    <t>85,55</t>
  </si>
  <si>
    <t>38,29</t>
  </si>
  <si>
    <t>86,67</t>
  </si>
  <si>
    <t>176,00</t>
  </si>
  <si>
    <t>339,89</t>
  </si>
  <si>
    <t>999,41</t>
  </si>
  <si>
    <t>7,42</t>
  </si>
  <si>
    <t>6.723,23</t>
  </si>
  <si>
    <t>372,89</t>
  </si>
  <si>
    <t>134,86</t>
  </si>
  <si>
    <t>8,98</t>
  </si>
  <si>
    <t>188,63</t>
  </si>
  <si>
    <t>11,93</t>
  </si>
  <si>
    <t>1.264,14</t>
  </si>
  <si>
    <t>305,23</t>
  </si>
  <si>
    <t>286,29</t>
  </si>
  <si>
    <t>225,78</t>
  </si>
  <si>
    <t>201,00</t>
  </si>
  <si>
    <t>254,99</t>
  </si>
  <si>
    <t>249,08</t>
  </si>
  <si>
    <t>284,97</t>
  </si>
  <si>
    <t>535,44</t>
  </si>
  <si>
    <t>569,31</t>
  </si>
  <si>
    <t>509,95</t>
  </si>
  <si>
    <t>683,62</t>
  </si>
  <si>
    <t>554,29</t>
  </si>
  <si>
    <t>382,80</t>
  </si>
  <si>
    <t>700,98</t>
  </si>
  <si>
    <t>355,08</t>
  </si>
  <si>
    <t>420,00</t>
  </si>
  <si>
    <t>682,50</t>
  </si>
  <si>
    <t>575,35</t>
  </si>
  <si>
    <t>857,14</t>
  </si>
  <si>
    <t>409,73</t>
  </si>
  <si>
    <t>276,58</t>
  </si>
  <si>
    <t>676,75</t>
  </si>
  <si>
    <t>562,05</t>
  </si>
  <si>
    <t>391,17</t>
  </si>
  <si>
    <t>172,68</t>
  </si>
  <si>
    <t>179,19</t>
  </si>
  <si>
    <t>223,75</t>
  </si>
  <si>
    <t>207,71</t>
  </si>
  <si>
    <t>188,60</t>
  </si>
  <si>
    <t>198,84</t>
  </si>
  <si>
    <t>190,27</t>
  </si>
  <si>
    <t>207,50</t>
  </si>
  <si>
    <t>387,41</t>
  </si>
  <si>
    <t>428,41</t>
  </si>
  <si>
    <t>450,88</t>
  </si>
  <si>
    <t>485,89</t>
  </si>
  <si>
    <t>528,22</t>
  </si>
  <si>
    <t>1.281,42</t>
  </si>
  <si>
    <t>24,36</t>
  </si>
  <si>
    <t>473,99</t>
  </si>
  <si>
    <t>589,18</t>
  </si>
  <si>
    <t>512,60</t>
  </si>
  <si>
    <t>478,07</t>
  </si>
  <si>
    <t>626,81</t>
  </si>
  <si>
    <t>2.405,31</t>
  </si>
  <si>
    <t>2.733,79</t>
  </si>
  <si>
    <t>2.325,06</t>
  </si>
  <si>
    <t>2.321,68</t>
  </si>
  <si>
    <t>1.732,30</t>
  </si>
  <si>
    <t>1.754,29</t>
  </si>
  <si>
    <t>2.430,33</t>
  </si>
  <si>
    <t>598,16</t>
  </si>
  <si>
    <t>1.020,97</t>
  </si>
  <si>
    <t>1.621,63</t>
  </si>
  <si>
    <t>2.487,88</t>
  </si>
  <si>
    <t>3.645,41</t>
  </si>
  <si>
    <t>4.826,41</t>
  </si>
  <si>
    <t>6.923,88</t>
  </si>
  <si>
    <t>8.644,61</t>
  </si>
  <si>
    <t>13.161,95</t>
  </si>
  <si>
    <t>4.881,04</t>
  </si>
  <si>
    <t>6.840,22</t>
  </si>
  <si>
    <t>9.173,30</t>
  </si>
  <si>
    <t>11.730,60</t>
  </si>
  <si>
    <t>879,61</t>
  </si>
  <si>
    <t>15.080,92</t>
  </si>
  <si>
    <t>5.244,61</t>
  </si>
  <si>
    <t>8.042,42</t>
  </si>
  <si>
    <t>8.384,16</t>
  </si>
  <si>
    <t>13.699,44</t>
  </si>
  <si>
    <t>16.346,54</t>
  </si>
  <si>
    <t>1.410,41</t>
  </si>
  <si>
    <t>1.051,91</t>
  </si>
  <si>
    <t>2.134,76</t>
  </si>
  <si>
    <t>685,98</t>
  </si>
  <si>
    <t>928,69</t>
  </si>
  <si>
    <t>1.335,15</t>
  </si>
  <si>
    <t>2.474,01</t>
  </si>
  <si>
    <t>721,93</t>
  </si>
  <si>
    <t>3.261,88</t>
  </si>
  <si>
    <t>758,03</t>
  </si>
  <si>
    <t>4.391,14</t>
  </si>
  <si>
    <t>1.156,46</t>
  </si>
  <si>
    <t>1.634,94</t>
  </si>
  <si>
    <t>2.731,12</t>
  </si>
  <si>
    <t>956,05</t>
  </si>
  <si>
    <t>3.848,11</t>
  </si>
  <si>
    <t>1.295,68</t>
  </si>
  <si>
    <t>7.976,19</t>
  </si>
  <si>
    <t>1.782,70</t>
  </si>
  <si>
    <t>3.339,23</t>
  </si>
  <si>
    <t>5.353,97</t>
  </si>
  <si>
    <t>7.179,83</t>
  </si>
  <si>
    <t>1.513,85</t>
  </si>
  <si>
    <t>2.279,31</t>
  </si>
  <si>
    <t>6.599,79</t>
  </si>
  <si>
    <t>9.444,37</t>
  </si>
  <si>
    <t>485,41</t>
  </si>
  <si>
    <t>1.896,88</t>
  </si>
  <si>
    <t>601,70</t>
  </si>
  <si>
    <t>790,00</t>
  </si>
  <si>
    <t>1.173,44</t>
  </si>
  <si>
    <t>354,06</t>
  </si>
  <si>
    <t>110,97</t>
  </si>
  <si>
    <t>1.586,26</t>
  </si>
  <si>
    <t>2.214,49</t>
  </si>
  <si>
    <t>3.089,05</t>
  </si>
  <si>
    <t>4.211,76</t>
  </si>
  <si>
    <t>265,91</t>
  </si>
  <si>
    <t>41,31</t>
  </si>
  <si>
    <t>95,33</t>
  </si>
  <si>
    <t>63,55</t>
  </si>
  <si>
    <t>71,50</t>
  </si>
  <si>
    <t>29,33</t>
  </si>
  <si>
    <t>41,81</t>
  </si>
  <si>
    <t>31,31</t>
  </si>
  <si>
    <t>25,04</t>
  </si>
  <si>
    <t>23,94</t>
  </si>
  <si>
    <t>3.886,39</t>
  </si>
  <si>
    <t>424,73</t>
  </si>
  <si>
    <t>90,52</t>
  </si>
  <si>
    <t>16,75</t>
  </si>
  <si>
    <t>86.418,13</t>
  </si>
  <si>
    <t>114.546,80</t>
  </si>
  <si>
    <t>687,17</t>
  </si>
  <si>
    <t>162,62</t>
  </si>
  <si>
    <t>57,09</t>
  </si>
  <si>
    <t>16,88</t>
  </si>
  <si>
    <t>41,00</t>
  </si>
  <si>
    <t>340,00</t>
  </si>
  <si>
    <t>42,51</t>
  </si>
  <si>
    <t>152,17</t>
  </si>
  <si>
    <t>76,08</t>
  </si>
  <si>
    <t>435,79</t>
  </si>
  <si>
    <t>610,71</t>
  </si>
  <si>
    <t>641,79</t>
  </si>
  <si>
    <t>736,01</t>
  </si>
  <si>
    <t>1.553,97</t>
  </si>
  <si>
    <t>739,73</t>
  </si>
  <si>
    <t>1.079,98</t>
  </si>
  <si>
    <t>1.263,98</t>
  </si>
  <si>
    <t>1.259,82</t>
  </si>
  <si>
    <t>452,35</t>
  </si>
  <si>
    <t>565,23</t>
  </si>
  <si>
    <t>522,66</t>
  </si>
  <si>
    <t>761,71</t>
  </si>
  <si>
    <t>940,71</t>
  </si>
  <si>
    <t>1.130,76</t>
  </si>
  <si>
    <t>133,63</t>
  </si>
  <si>
    <t>247,58</t>
  </si>
  <si>
    <t>536,56</t>
  </si>
  <si>
    <t>419,48</t>
  </si>
  <si>
    <t>78,47</t>
  </si>
  <si>
    <t>127,58</t>
  </si>
  <si>
    <t>218,84</t>
  </si>
  <si>
    <t>115,08</t>
  </si>
  <si>
    <t>168,69</t>
  </si>
  <si>
    <t>235,33</t>
  </si>
  <si>
    <t>68,50</t>
  </si>
  <si>
    <t>96,74</t>
  </si>
  <si>
    <t>119,06</t>
  </si>
  <si>
    <t>148,83</t>
  </si>
  <si>
    <t>234,41</t>
  </si>
  <si>
    <t>138,13</t>
  </si>
  <si>
    <t>107,49</t>
  </si>
  <si>
    <t>368,62</t>
  </si>
  <si>
    <t>168,95</t>
  </si>
  <si>
    <t>232,10</t>
  </si>
  <si>
    <t>77,14</t>
  </si>
  <si>
    <t>67,01</t>
  </si>
  <si>
    <t>5.335.391,82</t>
  </si>
  <si>
    <t>125,21</t>
  </si>
  <si>
    <t>240,86</t>
  </si>
  <si>
    <t>454,30</t>
  </si>
  <si>
    <t>62,42</t>
  </si>
  <si>
    <t>111,07</t>
  </si>
  <si>
    <t>36,99</t>
  </si>
  <si>
    <t>24,14</t>
  </si>
  <si>
    <t>213,22</t>
  </si>
  <si>
    <t>28,43</t>
  </si>
  <si>
    <t>61,01</t>
  </si>
  <si>
    <t>70,97</t>
  </si>
  <si>
    <t>73,92</t>
  </si>
  <si>
    <t>213,53</t>
  </si>
  <si>
    <t>258,52</t>
  </si>
  <si>
    <t>538,66</t>
  </si>
  <si>
    <t>81,28</t>
  </si>
  <si>
    <t>118,20</t>
  </si>
  <si>
    <t>113,01</t>
  </si>
  <si>
    <t>18,28</t>
  </si>
  <si>
    <t>62,62</t>
  </si>
  <si>
    <t>49,88</t>
  </si>
  <si>
    <t>6.131,58</t>
  </si>
  <si>
    <t>13.279,73</t>
  </si>
  <si>
    <t>101,41</t>
  </si>
  <si>
    <t>53,40</t>
  </si>
  <si>
    <t>132,95</t>
  </si>
  <si>
    <t>2,24</t>
  </si>
  <si>
    <t>137,99</t>
  </si>
  <si>
    <t>314.222,88</t>
  </si>
  <si>
    <t>340.823,77</t>
  </si>
  <si>
    <t>353.292,90</t>
  </si>
  <si>
    <t>208,13</t>
  </si>
  <si>
    <t>130,08</t>
  </si>
  <si>
    <t>43,47</t>
  </si>
  <si>
    <t>99,47</t>
  </si>
  <si>
    <t>26,25</t>
  </si>
  <si>
    <t>45,83</t>
  </si>
  <si>
    <t>30,60</t>
  </si>
  <si>
    <t>60,19</t>
  </si>
  <si>
    <t>49,77</t>
  </si>
  <si>
    <t>993.313,97</t>
  </si>
  <si>
    <t>935.750,00</t>
  </si>
  <si>
    <t>829.992,84</t>
  </si>
  <si>
    <t>622.514,33</t>
  </si>
  <si>
    <t>803.218,79</t>
  </si>
  <si>
    <t>598.746,09</t>
  </si>
  <si>
    <t>818.112,84</t>
  </si>
  <si>
    <t>180.733,46</t>
  </si>
  <si>
    <t>895.646,46</t>
  </si>
  <si>
    <t>735.232,15</t>
  </si>
  <si>
    <t>35,46</t>
  </si>
  <si>
    <t>28.801,58</t>
  </si>
  <si>
    <t>2.380,86</t>
  </si>
  <si>
    <t>1.810,09</t>
  </si>
  <si>
    <t>30,00</t>
  </si>
  <si>
    <t>60,88</t>
  </si>
  <si>
    <t>59,60</t>
  </si>
  <si>
    <t>66,36</t>
  </si>
  <si>
    <t>276,67</t>
  </si>
  <si>
    <t>364,11</t>
  </si>
  <si>
    <t>7,34</t>
  </si>
  <si>
    <t>277,46</t>
  </si>
  <si>
    <t>535,28</t>
  </si>
  <si>
    <t>55,49</t>
  </si>
  <si>
    <t>69,22</t>
  </si>
  <si>
    <t>26,18</t>
  </si>
  <si>
    <t>118,94</t>
  </si>
  <si>
    <t>28,07</t>
  </si>
  <si>
    <t>103,47</t>
  </si>
  <si>
    <t>134,09</t>
  </si>
  <si>
    <t>101,40</t>
  </si>
  <si>
    <t>217.162,48</t>
  </si>
  <si>
    <t>255.342,23</t>
  </si>
  <si>
    <t>197.464,65</t>
  </si>
  <si>
    <t>104,57</t>
  </si>
  <si>
    <t>117,96</t>
  </si>
  <si>
    <t>72,95</t>
  </si>
  <si>
    <t>82,11</t>
  </si>
  <si>
    <t>1.768,05</t>
  </si>
  <si>
    <t>7.123,36</t>
  </si>
  <si>
    <t>186,89</t>
  </si>
  <si>
    <t>189,17</t>
  </si>
  <si>
    <t>148,70</t>
  </si>
  <si>
    <t>157,48</t>
  </si>
  <si>
    <t>19,72</t>
  </si>
  <si>
    <t>4.702,72</t>
  </si>
  <si>
    <t>5.081,97</t>
  </si>
  <si>
    <t>2.534,19</t>
  </si>
  <si>
    <t>47,96</t>
  </si>
  <si>
    <t>139,42</t>
  </si>
  <si>
    <t>289,41</t>
  </si>
  <si>
    <t>333,94</t>
  </si>
  <si>
    <t>3.250,19</t>
  </si>
  <si>
    <t>78,48</t>
  </si>
  <si>
    <t>68,41</t>
  </si>
  <si>
    <t>37,46</t>
  </si>
  <si>
    <t>61,71</t>
  </si>
  <si>
    <t>40,59</t>
  </si>
  <si>
    <t>193,02</t>
  </si>
  <si>
    <t>2.652,57</t>
  </si>
  <si>
    <t>94,99</t>
  </si>
  <si>
    <t>267,77</t>
  </si>
  <si>
    <t>289,00</t>
  </si>
  <si>
    <t>358,72</t>
  </si>
  <si>
    <t>167,74</t>
  </si>
  <si>
    <t>267,50</t>
  </si>
  <si>
    <t>11.693,47</t>
  </si>
  <si>
    <t>846,07</t>
  </si>
  <si>
    <t>1.234,00</t>
  </si>
  <si>
    <t>32,32</t>
  </si>
  <si>
    <t>1.588,58</t>
  </si>
  <si>
    <t>102,11</t>
  </si>
  <si>
    <t>130,11</t>
  </si>
  <si>
    <t>201,10</t>
  </si>
  <si>
    <t>300,48</t>
  </si>
  <si>
    <t>597,47</t>
  </si>
  <si>
    <t>1.099,90</t>
  </si>
  <si>
    <t>1.932,00</t>
  </si>
  <si>
    <t>274,23</t>
  </si>
  <si>
    <t>421,64</t>
  </si>
  <si>
    <t>790,58</t>
  </si>
  <si>
    <t>1.216,35</t>
  </si>
  <si>
    <t>60,71</t>
  </si>
  <si>
    <t>81,45</t>
  </si>
  <si>
    <t>113,95</t>
  </si>
  <si>
    <t>174,93</t>
  </si>
  <si>
    <t>223,18</t>
  </si>
  <si>
    <t>276,41</t>
  </si>
  <si>
    <t>104,18</t>
  </si>
  <si>
    <t>809,30</t>
  </si>
  <si>
    <t>241,86</t>
  </si>
  <si>
    <t>337,67</t>
  </si>
  <si>
    <t>520,93</t>
  </si>
  <si>
    <t>794,41</t>
  </si>
  <si>
    <t>2.531,16</t>
  </si>
  <si>
    <t>856,74</t>
  </si>
  <si>
    <t>570,68</t>
  </si>
  <si>
    <t>84.300,00</t>
  </si>
  <si>
    <t>103.753,84</t>
  </si>
  <si>
    <t>59.207,35</t>
  </si>
  <si>
    <t>70.343,98</t>
  </si>
  <si>
    <t>55.965,05</t>
  </si>
  <si>
    <t>117.216,46</t>
  </si>
  <si>
    <t>122.855,27</t>
  </si>
  <si>
    <t>144.212,20</t>
  </si>
  <si>
    <t>491,46</t>
  </si>
  <si>
    <t>360,84</t>
  </si>
  <si>
    <t>253,69</t>
  </si>
  <si>
    <t>310,84</t>
  </si>
  <si>
    <t>165,13</t>
  </si>
  <si>
    <t>208,97</t>
  </si>
  <si>
    <t>60,56</t>
  </si>
  <si>
    <t>237,99</t>
  </si>
  <si>
    <t>289,58</t>
  </si>
  <si>
    <t>1.603,48</t>
  </si>
  <si>
    <t>64,67</t>
  </si>
  <si>
    <t>164,67</t>
  </si>
  <si>
    <t>468,74</t>
  </si>
  <si>
    <t>33,02</t>
  </si>
  <si>
    <t>99,32</t>
  </si>
  <si>
    <t>52,31</t>
  </si>
  <si>
    <t>133,03</t>
  </si>
  <si>
    <t>245,26</t>
  </si>
  <si>
    <t>350,35</t>
  </si>
  <si>
    <t>821,17</t>
  </si>
  <si>
    <t>65,41</t>
  </si>
  <si>
    <t>307,34</t>
  </si>
  <si>
    <t>38,80</t>
  </si>
  <si>
    <t>107,36</t>
  </si>
  <si>
    <t>110,48</t>
  </si>
  <si>
    <t>57,91</t>
  </si>
  <si>
    <t>154,42</t>
  </si>
  <si>
    <t>292,39</t>
  </si>
  <si>
    <t>21,48</t>
  </si>
  <si>
    <t>40,26</t>
  </si>
  <si>
    <t>33,82</t>
  </si>
  <si>
    <t>34,42</t>
  </si>
  <si>
    <t>40,92</t>
  </si>
  <si>
    <t>60,83</t>
  </si>
  <si>
    <t>48,92</t>
  </si>
  <si>
    <t>62,13</t>
  </si>
  <si>
    <t>39,09</t>
  </si>
  <si>
    <t>59,22</t>
  </si>
  <si>
    <t>115,70</t>
  </si>
  <si>
    <t>56,39</t>
  </si>
  <si>
    <t>678,12</t>
  </si>
  <si>
    <t>752,85</t>
  </si>
  <si>
    <t>48,01</t>
  </si>
  <si>
    <t>65,62</t>
  </si>
  <si>
    <t>61,42</t>
  </si>
  <si>
    <t>210,18</t>
  </si>
  <si>
    <t>213,75</t>
  </si>
  <si>
    <t>323,98</t>
  </si>
  <si>
    <t>353,19</t>
  </si>
  <si>
    <t>492,04</t>
  </si>
  <si>
    <t>166,83</t>
  </si>
  <si>
    <t>200,93</t>
  </si>
  <si>
    <t>58,25</t>
  </si>
  <si>
    <t>85,37</t>
  </si>
  <si>
    <t>23,16</t>
  </si>
  <si>
    <t>49,60</t>
  </si>
  <si>
    <t>68,32</t>
  </si>
  <si>
    <t>86,82</t>
  </si>
  <si>
    <t>202,41</t>
  </si>
  <si>
    <t>22,49</t>
  </si>
  <si>
    <t>39,70</t>
  </si>
  <si>
    <t>82,92</t>
  </si>
  <si>
    <t>12,14</t>
  </si>
  <si>
    <t>58,27</t>
  </si>
  <si>
    <t>3,20</t>
  </si>
  <si>
    <t>71,07</t>
  </si>
  <si>
    <t>75,65</t>
  </si>
  <si>
    <t>24,31</t>
  </si>
  <si>
    <t>22,78</t>
  </si>
  <si>
    <t>25,63</t>
  </si>
  <si>
    <t>39,80</t>
  </si>
  <si>
    <t>41,24</t>
  </si>
  <si>
    <t>66,58</t>
  </si>
  <si>
    <t>180,45</t>
  </si>
  <si>
    <t>32,43</t>
  </si>
  <si>
    <t>64,88</t>
  </si>
  <si>
    <t>71,67</t>
  </si>
  <si>
    <t>55,25</t>
  </si>
  <si>
    <t>203,50</t>
  </si>
  <si>
    <t>321,68</t>
  </si>
  <si>
    <t>515,67</t>
  </si>
  <si>
    <t>133,45</t>
  </si>
  <si>
    <t>32,95</t>
  </si>
  <si>
    <t>66,68</t>
  </si>
  <si>
    <t>428,14</t>
  </si>
  <si>
    <t>219,26</t>
  </si>
  <si>
    <t>42,45</t>
  </si>
  <si>
    <t>700,44</t>
  </si>
  <si>
    <t>52,80</t>
  </si>
  <si>
    <t>48,34</t>
  </si>
  <si>
    <t>145,60</t>
  </si>
  <si>
    <t>65,08</t>
  </si>
  <si>
    <t>156,78</t>
  </si>
  <si>
    <t>37,69</t>
  </si>
  <si>
    <t>73,05</t>
  </si>
  <si>
    <t>198,38</t>
  </si>
  <si>
    <t>162,12</t>
  </si>
  <si>
    <t>520,69</t>
  </si>
  <si>
    <t>232,15</t>
  </si>
  <si>
    <t>778,71</t>
  </si>
  <si>
    <t>2.238,42</t>
  </si>
  <si>
    <t>2.786,10</t>
  </si>
  <si>
    <t>2.312,69</t>
  </si>
  <si>
    <t>3.490,50</t>
  </si>
  <si>
    <t>3.675,97</t>
  </si>
  <si>
    <t>3.215,47</t>
  </si>
  <si>
    <t>67,72</t>
  </si>
  <si>
    <t>6,98</t>
  </si>
  <si>
    <t>27,07</t>
  </si>
  <si>
    <t>71,36</t>
  </si>
  <si>
    <t>15,64</t>
  </si>
  <si>
    <t>108,87</t>
  </si>
  <si>
    <t>1.100,67</t>
  </si>
  <si>
    <t>1.789,99</t>
  </si>
  <si>
    <t>35,77</t>
  </si>
  <si>
    <t>166,26</t>
  </si>
  <si>
    <t>247,49</t>
  </si>
  <si>
    <t>312,02</t>
  </si>
  <si>
    <t>189,27</t>
  </si>
  <si>
    <t>349,79</t>
  </si>
  <si>
    <t>414,14</t>
  </si>
  <si>
    <t>59,58</t>
  </si>
  <si>
    <t>64,90</t>
  </si>
  <si>
    <t>113,15</t>
  </si>
  <si>
    <t>127,39</t>
  </si>
  <si>
    <t>148,04</t>
  </si>
  <si>
    <t>209,00</t>
  </si>
  <si>
    <t>45,79</t>
  </si>
  <si>
    <t>149,62</t>
  </si>
  <si>
    <t>275,06</t>
  </si>
  <si>
    <t>294,93</t>
  </si>
  <si>
    <t>358,25</t>
  </si>
  <si>
    <t>393,63</t>
  </si>
  <si>
    <t>249,51</t>
  </si>
  <si>
    <t>415,38</t>
  </si>
  <si>
    <t>589,26</t>
  </si>
  <si>
    <t>727,38</t>
  </si>
  <si>
    <t>813,32</t>
  </si>
  <si>
    <t>933,00</t>
  </si>
  <si>
    <t>179,98</t>
  </si>
  <si>
    <t>202,65</t>
  </si>
  <si>
    <t>165,33</t>
  </si>
  <si>
    <t>170,73</t>
  </si>
  <si>
    <t>176,30</t>
  </si>
  <si>
    <t>481,54</t>
  </si>
  <si>
    <t>608,35</t>
  </si>
  <si>
    <t>50,57</t>
  </si>
  <si>
    <t>2.395,62</t>
  </si>
  <si>
    <t>102,08</t>
  </si>
  <si>
    <t>21,73</t>
  </si>
  <si>
    <t>28,67</t>
  </si>
  <si>
    <t>5,18</t>
  </si>
  <si>
    <t>1.311,09</t>
  </si>
  <si>
    <t>1.840,13</t>
  </si>
  <si>
    <t>143,57</t>
  </si>
  <si>
    <t>530,29</t>
  </si>
  <si>
    <t>36,55</t>
  </si>
  <si>
    <t>32,46</t>
  </si>
  <si>
    <t>32,24</t>
  </si>
  <si>
    <t>32,33</t>
  </si>
  <si>
    <t>38,85</t>
  </si>
  <si>
    <t>36,61</t>
  </si>
  <si>
    <t>13,35</t>
  </si>
  <si>
    <t>30,69</t>
  </si>
  <si>
    <t>67,63</t>
  </si>
  <si>
    <t>81,33</t>
  </si>
  <si>
    <t>177,61</t>
  </si>
  <si>
    <t>145,72</t>
  </si>
  <si>
    <t>35,22</t>
  </si>
  <si>
    <t>38,03</t>
  </si>
  <si>
    <t>85,56</t>
  </si>
  <si>
    <t>227,88</t>
  </si>
  <si>
    <t>53,12</t>
  </si>
  <si>
    <t>97,11</t>
  </si>
  <si>
    <t>62,48</t>
  </si>
  <si>
    <t>287,10</t>
  </si>
  <si>
    <t>1.906,74</t>
  </si>
  <si>
    <t>39,95</t>
  </si>
  <si>
    <t>33,89</t>
  </si>
  <si>
    <t>161,98</t>
  </si>
  <si>
    <t>1.547,15</t>
  </si>
  <si>
    <t>162,86</t>
  </si>
  <si>
    <t>108,41</t>
  </si>
  <si>
    <t>51,42</t>
  </si>
  <si>
    <t>63,28</t>
  </si>
  <si>
    <t>108,75</t>
  </si>
  <si>
    <t>82,36</t>
  </si>
  <si>
    <t>130.613,67</t>
  </si>
  <si>
    <t>20.190,07</t>
  </si>
  <si>
    <t>9.261,50</t>
  </si>
  <si>
    <t>25.464,50</t>
  </si>
  <si>
    <t>165.156,43</t>
  </si>
  <si>
    <t>35.722,94</t>
  </si>
  <si>
    <t>11.312,26</t>
  </si>
  <si>
    <t>41.676,76</t>
  </si>
  <si>
    <t>12.635,33</t>
  </si>
  <si>
    <t>68.009,87</t>
  </si>
  <si>
    <t>16.339,94</t>
  </si>
  <si>
    <t>93.287,16</t>
  </si>
  <si>
    <t>128,34</t>
  </si>
  <si>
    <t>879.448,23</t>
  </si>
  <si>
    <t>3.623.017,32</t>
  </si>
  <si>
    <t>853.193,32</t>
  </si>
  <si>
    <t>1.106.075,33</t>
  </si>
  <si>
    <t>1.099.310,24</t>
  </si>
  <si>
    <t>1.629.414,65</t>
  </si>
  <si>
    <t>892.978,19</t>
  </si>
  <si>
    <t>294.392,50</t>
  </si>
  <si>
    <t>341.121,47</t>
  </si>
  <si>
    <t>100.467,27</t>
  </si>
  <si>
    <t>162.922,87</t>
  </si>
  <si>
    <t>250.000,00</t>
  </si>
  <si>
    <t>240.829,42</t>
  </si>
  <si>
    <t>268.691,57</t>
  </si>
  <si>
    <t>235,00</t>
  </si>
  <si>
    <t>683,15</t>
  </si>
  <si>
    <t>45,06</t>
  </si>
  <si>
    <t>95,62</t>
  </si>
  <si>
    <t>112,58</t>
  </si>
  <si>
    <t>68,18</t>
  </si>
  <si>
    <t>33,14</t>
  </si>
  <si>
    <t>43,97</t>
  </si>
  <si>
    <t>1.575,44</t>
  </si>
  <si>
    <t>147,71</t>
  </si>
  <si>
    <t>3.022,96</t>
  </si>
  <si>
    <t>1.675,17</t>
  </si>
  <si>
    <t>56,96</t>
  </si>
  <si>
    <t>185,97</t>
  </si>
  <si>
    <t>270,59</t>
  </si>
  <si>
    <t>386,83</t>
  </si>
  <si>
    <t>424,46</t>
  </si>
  <si>
    <t>729,35</t>
  </si>
  <si>
    <t>477,80</t>
  </si>
  <si>
    <t>958,50</t>
  </si>
  <si>
    <t>554,36</t>
  </si>
  <si>
    <t>604,76</t>
  </si>
  <si>
    <t>719,41</t>
  </si>
  <si>
    <t>192,04</t>
  </si>
  <si>
    <t>39,22</t>
  </si>
  <si>
    <t>82,43</t>
  </si>
  <si>
    <t>132,51</t>
  </si>
  <si>
    <t>113,16</t>
  </si>
  <si>
    <t>313,98</t>
  </si>
  <si>
    <t>340,51</t>
  </si>
  <si>
    <t>39,44</t>
  </si>
  <si>
    <t>127,67</t>
  </si>
  <si>
    <t>217,71</t>
  </si>
  <si>
    <t>351,64</t>
  </si>
  <si>
    <t>435,51</t>
  </si>
  <si>
    <t>564,09</t>
  </si>
  <si>
    <t>85,05</t>
  </si>
  <si>
    <t>2.248,63</t>
  </si>
  <si>
    <t>641,10</t>
  </si>
  <si>
    <t>1.691,77</t>
  </si>
  <si>
    <t>3.529,21</t>
  </si>
  <si>
    <t>245,88</t>
  </si>
  <si>
    <t>290,81</t>
  </si>
  <si>
    <t>1.198,81</t>
  </si>
  <si>
    <t>28,46</t>
  </si>
  <si>
    <t>73,61</t>
  </si>
  <si>
    <t>113,07</t>
  </si>
  <si>
    <t>179,18</t>
  </si>
  <si>
    <t>112,90</t>
  </si>
  <si>
    <t>133,92</t>
  </si>
  <si>
    <t>152,84</t>
  </si>
  <si>
    <t>182,91</t>
  </si>
  <si>
    <t>185,50</t>
  </si>
  <si>
    <t>101,50</t>
  </si>
  <si>
    <t>81,58</t>
  </si>
  <si>
    <t>112,56</t>
  </si>
  <si>
    <t>204,54</t>
  </si>
  <si>
    <t>54,68</t>
  </si>
  <si>
    <t>376,50</t>
  </si>
  <si>
    <t>554,69</t>
  </si>
  <si>
    <t>88,48</t>
  </si>
  <si>
    <t>841,04</t>
  </si>
  <si>
    <t>665,96</t>
  </si>
  <si>
    <t>35,32</t>
  </si>
  <si>
    <t>60,76</t>
  </si>
  <si>
    <t>77,11</t>
  </si>
  <si>
    <t>111,98</t>
  </si>
  <si>
    <t>219,30</t>
  </si>
  <si>
    <t>308,95</t>
  </si>
  <si>
    <t>451,63</t>
  </si>
  <si>
    <t>260,72</t>
  </si>
  <si>
    <t>214,55</t>
  </si>
  <si>
    <t>361,04</t>
  </si>
  <si>
    <t>468,44</t>
  </si>
  <si>
    <t>693,79</t>
  </si>
  <si>
    <t>107,07</t>
  </si>
  <si>
    <t>1.021,22</t>
  </si>
  <si>
    <t>46,53</t>
  </si>
  <si>
    <t>70,00</t>
  </si>
  <si>
    <t>34,31</t>
  </si>
  <si>
    <t>291,04</t>
  </si>
  <si>
    <t>196,00</t>
  </si>
  <si>
    <t>382,11</t>
  </si>
  <si>
    <t>535,29</t>
  </si>
  <si>
    <t>570,70</t>
  </si>
  <si>
    <t>826,82</t>
  </si>
  <si>
    <t>2.291,12</t>
  </si>
  <si>
    <t>89,76</t>
  </si>
  <si>
    <t>101,29</t>
  </si>
  <si>
    <t>267,15</t>
  </si>
  <si>
    <t>326,11</t>
  </si>
  <si>
    <t>419,99</t>
  </si>
  <si>
    <t>579,76</t>
  </si>
  <si>
    <t>615,99</t>
  </si>
  <si>
    <t>884,47</t>
  </si>
  <si>
    <t>2.569,41</t>
  </si>
  <si>
    <t>170,05</t>
  </si>
  <si>
    <t>260,23</t>
  </si>
  <si>
    <t>378,82</t>
  </si>
  <si>
    <t>704,11</t>
  </si>
  <si>
    <t>851,36</t>
  </si>
  <si>
    <t>1.292,94</t>
  </si>
  <si>
    <t>210,82</t>
  </si>
  <si>
    <t>255,29</t>
  </si>
  <si>
    <t>439,76</t>
  </si>
  <si>
    <t>458,21</t>
  </si>
  <si>
    <t>490,82</t>
  </si>
  <si>
    <t>767,52</t>
  </si>
  <si>
    <t>160,58</t>
  </si>
  <si>
    <t>164,70</t>
  </si>
  <si>
    <t>304,70</t>
  </si>
  <si>
    <t>373,88</t>
  </si>
  <si>
    <t>488,35</t>
  </si>
  <si>
    <t>499,14</t>
  </si>
  <si>
    <t>756,82</t>
  </si>
  <si>
    <t>980,00</t>
  </si>
  <si>
    <t>194,35</t>
  </si>
  <si>
    <t>405,17</t>
  </si>
  <si>
    <t>429,05</t>
  </si>
  <si>
    <t>560,00</t>
  </si>
  <si>
    <t>613,52</t>
  </si>
  <si>
    <t>868,82</t>
  </si>
  <si>
    <t>24,96</t>
  </si>
  <si>
    <t>34,95</t>
  </si>
  <si>
    <t>81,68</t>
  </si>
  <si>
    <t>30,64</t>
  </si>
  <si>
    <t>41,99</t>
  </si>
  <si>
    <t>73,85</t>
  </si>
  <si>
    <t>88,40</t>
  </si>
  <si>
    <t>31,32</t>
  </si>
  <si>
    <t>49,36</t>
  </si>
  <si>
    <t>54,47</t>
  </si>
  <si>
    <t>77,25</t>
  </si>
  <si>
    <t>91,24</t>
  </si>
  <si>
    <t>79,44</t>
  </si>
  <si>
    <t>96,46</t>
  </si>
  <si>
    <t>34,04</t>
  </si>
  <si>
    <t>20,18</t>
  </si>
  <si>
    <t>14,55</t>
  </si>
  <si>
    <t>5.611,02</t>
  </si>
  <si>
    <t>137,52</t>
  </si>
  <si>
    <t>4.130,89</t>
  </si>
  <si>
    <t>2.008,27</t>
  </si>
  <si>
    <t>295,18</t>
  </si>
  <si>
    <t>1.318,31</t>
  </si>
  <si>
    <t>5.089,16</t>
  </si>
  <si>
    <t>460,15</t>
  </si>
  <si>
    <t>1.127,50</t>
  </si>
  <si>
    <t>1.816,00</t>
  </si>
  <si>
    <t>29,29</t>
  </si>
  <si>
    <t>3.188,22</t>
  </si>
  <si>
    <t>4.741,78</t>
  </si>
  <si>
    <t>2.377,88</t>
  </si>
  <si>
    <t>65,52</t>
  </si>
  <si>
    <t>3.102,34</t>
  </si>
  <si>
    <t>97,60</t>
  </si>
  <si>
    <t>127,13</t>
  </si>
  <si>
    <t>303,45</t>
  </si>
  <si>
    <t>2.851,31</t>
  </si>
  <si>
    <t>3.496,86</t>
  </si>
  <si>
    <t>4.053,15</t>
  </si>
  <si>
    <t>5.353,63</t>
  </si>
  <si>
    <t>948,91</t>
  </si>
  <si>
    <t>1.321,58</t>
  </si>
  <si>
    <t>1.881,87</t>
  </si>
  <si>
    <t>37,10</t>
  </si>
  <si>
    <t>9,56</t>
  </si>
  <si>
    <t>197,35</t>
  </si>
  <si>
    <t>32,75</t>
  </si>
  <si>
    <t>47,77</t>
  </si>
  <si>
    <t>111,64</t>
  </si>
  <si>
    <t>224,67</t>
  </si>
  <si>
    <t>30,02</t>
  </si>
  <si>
    <t>57,92</t>
  </si>
  <si>
    <t>111,71</t>
  </si>
  <si>
    <t>165,38</t>
  </si>
  <si>
    <t>65,94</t>
  </si>
  <si>
    <t>178,51</t>
  </si>
  <si>
    <t>350,99</t>
  </si>
  <si>
    <t>406,98</t>
  </si>
  <si>
    <t>150,88</t>
  </si>
  <si>
    <t>268,31</t>
  </si>
  <si>
    <t>203,85</t>
  </si>
  <si>
    <t>340,96</t>
  </si>
  <si>
    <t>158,79</t>
  </si>
  <si>
    <t>269,10</t>
  </si>
  <si>
    <t>409,67</t>
  </si>
  <si>
    <t>581,73</t>
  </si>
  <si>
    <t>70,72</t>
  </si>
  <si>
    <t>84,83</t>
  </si>
  <si>
    <t>106,07</t>
  </si>
  <si>
    <t>31,78</t>
  </si>
  <si>
    <t>64,07</t>
  </si>
  <si>
    <t>20,93</t>
  </si>
  <si>
    <t>100,65</t>
  </si>
  <si>
    <t>121,51</t>
  </si>
  <si>
    <t>174,74</t>
  </si>
  <si>
    <t>183,20</t>
  </si>
  <si>
    <t>44,84</t>
  </si>
  <si>
    <t>91,14</t>
  </si>
  <si>
    <t>42,33</t>
  </si>
  <si>
    <t>2.691,10</t>
  </si>
  <si>
    <t>3.430,51</t>
  </si>
  <si>
    <t>3.469,72</t>
  </si>
  <si>
    <t>204,21</t>
  </si>
  <si>
    <t>330,22</t>
  </si>
  <si>
    <t>561,98</t>
  </si>
  <si>
    <t>115,58</t>
  </si>
  <si>
    <t>73,58</t>
  </si>
  <si>
    <t>59,02</t>
  </si>
  <si>
    <t>332,81</t>
  </si>
  <si>
    <t>420,41</t>
  </si>
  <si>
    <t>170,07</t>
  </si>
  <si>
    <t>54,62</t>
  </si>
  <si>
    <t>19,15</t>
  </si>
  <si>
    <t>132,88</t>
  </si>
  <si>
    <t>80,31</t>
  </si>
  <si>
    <t>205,86</t>
  </si>
  <si>
    <t>6,80</t>
  </si>
  <si>
    <t>92,30</t>
  </si>
  <si>
    <t>240,35</t>
  </si>
  <si>
    <t>479,23</t>
  </si>
  <si>
    <t>30,67</t>
  </si>
  <si>
    <t>33,20</t>
  </si>
  <si>
    <t>168,64</t>
  </si>
  <si>
    <t>259,30</t>
  </si>
  <si>
    <t>95,23</t>
  </si>
  <si>
    <t>136,24</t>
  </si>
  <si>
    <t>45,50</t>
  </si>
  <si>
    <t>162,29</t>
  </si>
  <si>
    <t>235,55</t>
  </si>
  <si>
    <t>347,30</t>
  </si>
  <si>
    <t>133.972,06</t>
  </si>
  <si>
    <t>166.860,43</t>
  </si>
  <si>
    <t>3.245.768,15</t>
  </si>
  <si>
    <t>8.545.993,01</t>
  </si>
  <si>
    <t>392.649,25</t>
  </si>
  <si>
    <t>527.982,35</t>
  </si>
  <si>
    <t>647.029,46</t>
  </si>
  <si>
    <t>606.832,91</t>
  </si>
  <si>
    <t>2.642.421,00</t>
  </si>
  <si>
    <t>1.363.085,73</t>
  </si>
  <si>
    <t>133,84</t>
  </si>
  <si>
    <t>155,49</t>
  </si>
  <si>
    <t>125,96</t>
  </si>
  <si>
    <t>46,78</t>
  </si>
  <si>
    <t>60,27</t>
  </si>
  <si>
    <t>108,26</t>
  </si>
  <si>
    <t>38,68</t>
  </si>
  <si>
    <t>166,93</t>
  </si>
  <si>
    <t>44,64</t>
  </si>
  <si>
    <t>104,95</t>
  </si>
  <si>
    <t>284,10</t>
  </si>
  <si>
    <t>158,98</t>
  </si>
  <si>
    <t>389,47</t>
  </si>
  <si>
    <t>685,44</t>
  </si>
  <si>
    <t>203,64</t>
  </si>
  <si>
    <t>182,21</t>
  </si>
  <si>
    <t>121,72</t>
  </si>
  <si>
    <t>407,98</t>
  </si>
  <si>
    <t>285,30</t>
  </si>
  <si>
    <t>89,55</t>
  </si>
  <si>
    <t>563,51</t>
  </si>
  <si>
    <t>874,01</t>
  </si>
  <si>
    <t>94,10</t>
  </si>
  <si>
    <t>62,72</t>
  </si>
  <si>
    <t>253,12</t>
  </si>
  <si>
    <t>157,96</t>
  </si>
  <si>
    <t>57,41</t>
  </si>
  <si>
    <t>345,65</t>
  </si>
  <si>
    <t>599,89</t>
  </si>
  <si>
    <t>37,17</t>
  </si>
  <si>
    <t>50,78</t>
  </si>
  <si>
    <t>41,09</t>
  </si>
  <si>
    <t>52,85</t>
  </si>
  <si>
    <t>65,67</t>
  </si>
  <si>
    <t>83.150,50</t>
  </si>
  <si>
    <t>1.334,25</t>
  </si>
  <si>
    <t>1.450,27</t>
  </si>
  <si>
    <t>1.626,86</t>
  </si>
  <si>
    <t>3.500,00</t>
  </si>
  <si>
    <t>3.139,80</t>
  </si>
  <si>
    <t>3.824,66</t>
  </si>
  <si>
    <t>4.282.422,76</t>
  </si>
  <si>
    <t>1.802.850,28</t>
  </si>
  <si>
    <t>1.815.914,54</t>
  </si>
  <si>
    <t>2.200.000,00</t>
  </si>
  <si>
    <t>1.949.168,54</t>
  </si>
  <si>
    <t>2.090,54</t>
  </si>
  <si>
    <t>1.131,42</t>
  </si>
  <si>
    <t>984,88</t>
  </si>
  <si>
    <t>2.560,71</t>
  </si>
  <si>
    <t>2.994,06</t>
  </si>
  <si>
    <t>882,46</t>
  </si>
  <si>
    <t>275,76</t>
  </si>
  <si>
    <t>636,23</t>
  </si>
  <si>
    <t>315,16</t>
  </si>
  <si>
    <t>472,74</t>
  </si>
  <si>
    <t>590,93</t>
  </si>
  <si>
    <t>177,28</t>
  </si>
  <si>
    <t>236,37</t>
  </si>
  <si>
    <t>334,86</t>
  </si>
  <si>
    <t>488,50</t>
  </si>
  <si>
    <t>196,97</t>
  </si>
  <si>
    <t>610,63</t>
  </si>
  <si>
    <t>462,27</t>
  </si>
  <si>
    <t>356,08</t>
  </si>
  <si>
    <t>500,00</t>
  </si>
  <si>
    <t>582,62</t>
  </si>
  <si>
    <t>329,16</t>
  </si>
  <si>
    <t>444,70</t>
  </si>
  <si>
    <t>20,10</t>
  </si>
  <si>
    <t>26,61</t>
  </si>
  <si>
    <t>111,97</t>
  </si>
  <si>
    <t>COT232</t>
  </si>
  <si>
    <t>COT233</t>
  </si>
  <si>
    <t>DETECTOR DE FUMAÇA</t>
  </si>
  <si>
    <t>CONTRA INCENDIO</t>
  </si>
  <si>
    <t>MAGALU</t>
  </si>
  <si>
    <t>DETECÇÃO DE CALOR</t>
  </si>
  <si>
    <t>SUBMARINO</t>
  </si>
  <si>
    <t>SEPLAG INC 50</t>
  </si>
  <si>
    <t>SEPLAG INC 51</t>
  </si>
  <si>
    <t>DETECTOR DE INCÊNDIO</t>
  </si>
  <si>
    <t>ORSE- 1507</t>
  </si>
  <si>
    <t>6.1.5</t>
  </si>
  <si>
    <t>6.1.6</t>
  </si>
  <si>
    <t>7.2.56</t>
  </si>
  <si>
    <t>7.2.57</t>
  </si>
  <si>
    <t>7.2.58</t>
  </si>
  <si>
    <t>7.2.59</t>
  </si>
  <si>
    <t xml:space="preserve"> VIGA SUPORTE METALICO PARA LAJE, FORNECIMENTO E INSTALAÇÃO.</t>
  </si>
  <si>
    <t>SEPLAG ARQ 167</t>
  </si>
  <si>
    <t xml:space="preserve"> VIGA SUPORTE METALICO PARA ELEVADOR, FORNECIMENTO E INSTALAÇÃO.</t>
  </si>
  <si>
    <t>SEPLAG ARQ 168</t>
  </si>
  <si>
    <t>ESTRUTURA - SUPERESTRUTURA</t>
  </si>
  <si>
    <t>16.3.8</t>
  </si>
  <si>
    <t>16.3.9</t>
  </si>
  <si>
    <t>seplag</t>
  </si>
  <si>
    <t>TOTAL DO ITEM &gt;&gt;&gt;&gt;3.9</t>
  </si>
  <si>
    <t>TOTAL DO ITEM &gt;&gt;&gt;&gt;4.4</t>
  </si>
  <si>
    <t>TOTAL DO ITEM &gt;&gt;&gt;&gt;4.3</t>
  </si>
  <si>
    <t>TOTAL DO ITEM &gt;&gt;&gt;&gt;5.5</t>
  </si>
  <si>
    <t>TOTAL DO ITEM &gt;&gt;&gt;&gt;3.1</t>
  </si>
  <si>
    <t>TOTAL DO ITEM &gt;&gt;&gt;&gt;3.2</t>
  </si>
  <si>
    <t>TOTAL DO ITEM &gt;&gt;&gt;&gt;3.3</t>
  </si>
  <si>
    <t>TOTAL DO ITEM &gt;&gt;&gt;&gt;3.4</t>
  </si>
  <si>
    <t>TOTAL DO ITEM &gt;&gt;&gt;&gt;3.5</t>
  </si>
  <si>
    <t>TOTAL DO ITEM &gt;&gt;&gt;&gt;3.6</t>
  </si>
  <si>
    <t>TOTAL DO ITEM &gt;&gt;&gt;&gt;3.7</t>
  </si>
  <si>
    <t>TOTAL DO ITEM &gt;&gt;&gt;&gt;3.8</t>
  </si>
  <si>
    <t>TOTAL DO ITEM &gt;&gt;&gt;&gt;4.1</t>
  </si>
  <si>
    <t>TOTAL DO ITEM &gt;&gt;&gt;&gt;4.2</t>
  </si>
  <si>
    <t>TOTAL DO ITEM &gt;&gt;&gt;&gt;4.5</t>
  </si>
  <si>
    <t>TOTAL DO ITEM &gt;&gt;&gt;&gt;5.1</t>
  </si>
  <si>
    <t>TOTAL DO ITEM &gt;&gt;&gt;&gt;5.2</t>
  </si>
  <si>
    <t>TOTAL DO ITEM &gt;&gt;&gt;&gt;5.3</t>
  </si>
  <si>
    <t>TOTAL DO ITEM &gt;&gt;&gt;&gt;6.1</t>
  </si>
  <si>
    <t>TOTAL DO ITEM &gt;&gt;&gt;&gt;6.2</t>
  </si>
  <si>
    <t>TOTAL DO ITEM &gt;&gt;&gt;&gt;6.3</t>
  </si>
  <si>
    <t>TOTAL DO ITEM &gt;&gt;&gt;&gt;6.4</t>
  </si>
  <si>
    <t>TOTAL DO ITEM &gt;&gt;&gt;&gt;6.5.1</t>
  </si>
  <si>
    <t>TOTAL DO ITEM &gt;&gt;&gt;&gt;6.5.2</t>
  </si>
  <si>
    <t>TOTAL DO ITEM &gt;&gt;&gt;&gt;7.1</t>
  </si>
  <si>
    <t>TOTAL DO ITEM &gt;&gt;&gt;&gt;7.2</t>
  </si>
  <si>
    <t>TOTAL DO ITEM &gt;&gt;&gt;&gt;7.3</t>
  </si>
  <si>
    <t>TOTAL DO ITEM &gt;&gt;&gt;&gt;8.1</t>
  </si>
  <si>
    <t>TOTAL DO ITEM &gt;&gt;&gt;&gt;11.1</t>
  </si>
  <si>
    <t>TOTAL DO ITEM &gt;&gt;&gt;&gt;11.2</t>
  </si>
  <si>
    <t>TOTAL DO ITEM &gt;&gt;&gt;&gt;11.3</t>
  </si>
  <si>
    <t>TOTAL DO ITEM &gt;&gt;&gt;&gt;11.4</t>
  </si>
  <si>
    <t>TOTAL DO ITEM &gt;&gt;&gt;&gt;12.1</t>
  </si>
  <si>
    <t>TOTAL DO ITEM &gt;&gt;&gt;&gt;12.2</t>
  </si>
  <si>
    <t>TOTAL DO ITEM &gt;&gt;&gt;&gt;12.3</t>
  </si>
  <si>
    <t>TOTAL DO ITEM &gt;&gt;&gt;&gt;12.4</t>
  </si>
  <si>
    <t>TOTAL DO ITEM &gt;&gt;&gt;&gt;13.1.3</t>
  </si>
  <si>
    <t>TOTAL DO ITEM &gt;&gt;&gt;&gt;13.2.1</t>
  </si>
  <si>
    <t>TOTAL DO ITEM &gt;&gt;&gt;&gt;13.3</t>
  </si>
  <si>
    <t>TOTAL DO ITEM &gt;&gt;&gt;&gt;13.5.1</t>
  </si>
  <si>
    <t>TOTAL DO ITEM &gt;&gt;&gt;&gt;13.5.2</t>
  </si>
  <si>
    <t>TOTAL DO ITEM &gt;&gt;&gt;&gt;13.5.3</t>
  </si>
  <si>
    <t>TOTAL DO ITEM &gt;&gt;&gt;&gt;15.1</t>
  </si>
  <si>
    <t>TOTAL DO ITEM &gt;&gt;&gt;&gt;15.2</t>
  </si>
  <si>
    <t>TOTAL DO ITEM &gt;&gt;&gt;&gt;15.3</t>
  </si>
  <si>
    <t>TOTAL DO ITEM &gt;&gt;&gt;&gt;16.1</t>
  </si>
  <si>
    <t>TOTAL DO ITEM &gt;&gt;&gt;&gt;16.2</t>
  </si>
  <si>
    <t>TOTAL DO ITEM &gt;&gt;&gt;&gt;16.3</t>
  </si>
  <si>
    <t>TOTAL DO ITEM &gt;&gt;&gt;&gt;16.4</t>
  </si>
  <si>
    <t>TOTAL DO ITEM &gt;&gt;&gt;&gt;5.4</t>
  </si>
  <si>
    <t>TOTAL DO ITEM &gt;&gt;&gt;&gt;6.5.3</t>
  </si>
  <si>
    <t>TOTAL DO ITEM &gt;&gt;&gt;&gt;13.1.1</t>
  </si>
  <si>
    <t>TOTAL DO ITEM &gt;&gt;&gt;&gt;13.1.2</t>
  </si>
  <si>
    <t>PORCELANATO RETIFICADO 0,90X0,90m ARTSY CEMENT NATURAL, COR CINZA PORTOBELLO OU SIMILAR.</t>
  </si>
  <si>
    <t>COT234</t>
  </si>
  <si>
    <t>SEPLAG ARQ 169</t>
  </si>
  <si>
    <t>REVESTIMENTO CERÂMICO PARA PISO COM PLACAS TIPO PORCELANATO ARTSY CEMENT NATURAL  0,90X0,90m PORTOBELLO OU SIMILAR, ARGAMASSA TIPO AC III,FORNECIMENTO E INSTALAÇÃO. AF_06/2014</t>
  </si>
  <si>
    <t>RODAPÉ DE 7CM EM REVESTIMENTO CERÂMICO PARA PISO COM PLACAS TIPO PORCELANATO ARTSY CEMENT NATURAL  0,90X0,90m PORTOBELLO OU SIMILAR, ARGAMASSA TIPO AC III,FORNECIMENTO E INSTALAÇÃO. AF_06/2014</t>
  </si>
  <si>
    <t>SEPLAG ARQ 170</t>
  </si>
  <si>
    <t>(19) 97402-9131</t>
  </si>
  <si>
    <t>10.811.754/0001-85</t>
  </si>
  <si>
    <t>(11) 4996-6000</t>
  </si>
  <si>
    <t>55.728.224/0001-06</t>
  </si>
  <si>
    <t>05.909.339/0001-29</t>
  </si>
  <si>
    <t>0800 080 0099</t>
  </si>
  <si>
    <t>4003-4848</t>
  </si>
  <si>
    <t>33.014.556/0001-96</t>
  </si>
  <si>
    <t>(31) 99249-0299</t>
  </si>
  <si>
    <t>(65) 3365-4440</t>
  </si>
  <si>
    <t>0800 038 0541</t>
  </si>
  <si>
    <t>(14) 3413-6617</t>
  </si>
  <si>
    <t>15.582.757/0001-08</t>
  </si>
  <si>
    <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t>
  </si>
  <si>
    <t>SUBMARINHO</t>
  </si>
  <si>
    <t>4003-5544</t>
  </si>
  <si>
    <t xml:space="preserve">00.776.574/0006-60 </t>
  </si>
  <si>
    <t>https://www.submarino.com.br/produto/3523250893?epar=bp_pl_px_go_pmax_telefonia_geral_3P&amp;opn=XMLGOOGLE&amp;WT.srch=1&amp;offerId=60e9a1cb0fff249a32d13577&amp;gclid=CjwKCAjwkMeUBhBuEiwA4hpqEB9thlVwCGbSOZhWjqQJGRIgydvnbuM6kJIgV5axNyRJLubeKthADhoCj9IQAvD_BwE</t>
  </si>
  <si>
    <t>(65) 3625-2030</t>
  </si>
  <si>
    <t>0800 773 3838</t>
  </si>
  <si>
    <t>ELASTOBOR</t>
  </si>
  <si>
    <t>11 5525-9744</t>
  </si>
  <si>
    <t xml:space="preserve"> 53.840.542/0002-10 </t>
  </si>
  <si>
    <t>https://www.elastobor.com.br/fita-adesiva-elastobor-espuma-polietileno-20mm-x-5mm-com-10mt/p?idsku=121653049</t>
  </si>
  <si>
    <t>PAGBEM</t>
  </si>
  <si>
    <t xml:space="preserve">
0800 724 2360
</t>
  </si>
  <si>
    <t>23.149.892/0001-92</t>
  </si>
  <si>
    <t>https://loja.pagbem.com.br/fita-adesiva-elastobor-espuma-polietileno-20mmx5mm-com-10mt-5812/p?idsku=5717&amp;gclid=CjwKCAjwkMeUBhBuEiwA4hpqEJn0RP6XW24NqzyBrG8dX6MdCQuTr9sdA-hd-eDTUQkAkHVs_GVlpBoCefAQAvD_BwE</t>
  </si>
  <si>
    <t>MERCADO LIVRE</t>
  </si>
  <si>
    <t>4020 1735</t>
  </si>
  <si>
    <t xml:space="preserve"> 03.007.331/0001-41</t>
  </si>
  <si>
    <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t>
  </si>
  <si>
    <t>SHOPEE</t>
  </si>
  <si>
    <t>ajuda@suporte.shopee.com.br</t>
  </si>
  <si>
    <t>35.635.824/0001-12.</t>
  </si>
  <si>
    <t>https://shopee.com.br/Presilha-para-arremate-acabamento-moldura-mp-347-nyl-190--50-p%C3%A7s--i.371042463.5380896543</t>
  </si>
  <si>
    <t>https://produto.mercadolivre.com.br/MLB-2026561904-presilha-de-arremate-em-nyl-190-50-unidades-_JM?matt_tool=18956390&amp;utm_source=google_shopping&amp;utm_medium=organic</t>
  </si>
  <si>
    <t>MEU PERFIL DE ALUMINIO</t>
  </si>
  <si>
    <t>(43) 3249-3100</t>
  </si>
  <si>
    <t>09.614.974/0001-30</t>
  </si>
  <si>
    <t>https://www.perfildealuminio.com.br/botao-peca-fixacao-arremate-do-perfil-mp-347-de-nylon-pacote-c-500-pecas?utm_source=Site&amp;utm_medium=GoogleMerchant&amp;utm_campaign=GoogleMerchant#</t>
  </si>
  <si>
    <t>LOJAS BRAFER</t>
  </si>
  <si>
    <t>(48)_6358-0155</t>
  </si>
  <si>
    <t>12.058.950/0001-56</t>
  </si>
  <si>
    <t>https://www.lojabrafer.com.br/parafuso-auto-brocante-4-2x16-phillips-flangeado-100-unidade/p/kit1896?c=5&amp;t=459</t>
  </si>
  <si>
    <t>https://produto.mercadolivre.com.br/MLB-2001688743-parafuso-auto-brocante-flangeado-phillips-42x16-100-pcs-_JM?matt_tool=18956390&amp;utm_source=google_shopping&amp;utm_medium=organic</t>
  </si>
  <si>
    <t xml:space="preserve"> 0800 724 4845 </t>
  </si>
  <si>
    <t>https://www.magazineluiza.com.br/kit-100-pecas-parafuso-42x16-auto-brocante-flangeado-philips-08x5-8-new-fix/p/fa8ag38fk5/fs/prfs/?&amp;seller_id=kingantenas</t>
  </si>
  <si>
    <t>JOFEPAR</t>
  </si>
  <si>
    <t>(11)2717-1566</t>
  </si>
  <si>
    <t>07957854/0001-00</t>
  </si>
  <si>
    <t>https://www.jofepar.com.br/parafuso-inox-304-auto-atarraxante-panela-phillips-4,8-x-32-p8695?gclid=CjwKCAjwkMeUBhBuEiwA4hpqEEPX-p1ihy7dQJJ8XFpuS6sZUV0ktvuYnK94sVZdSlyR9SCstMN7_xoCAe4QAvD_BwE</t>
  </si>
  <si>
    <t>DALLANESE</t>
  </si>
  <si>
    <t>(11)97660-4312</t>
  </si>
  <si>
    <t>60.930.880/0001-27</t>
  </si>
  <si>
    <t>https://www.dallanese.com.br/4323/pf-aa-panela-phillips-inox-304?gclid=CjwKCAjwkMeUBhBuEiwA4hpqEK7y-qOeJ7i7GJE1ibTsVnr29Zq0GD--FIZhuBDLbsKFrsq_ewZbMxoCPn8QAvD_BwE</t>
  </si>
  <si>
    <t xml:space="preserve">CASA DOS PARAFUSOS </t>
  </si>
  <si>
    <t>(16)3017-8614</t>
  </si>
  <si>
    <t>33251614/0001-03</t>
  </si>
  <si>
    <t>[Ferramentas] [Marcas de Qualidades] | Casa dos Parafusos Franca</t>
  </si>
  <si>
    <t>CANMETAL</t>
  </si>
  <si>
    <t>(16) 3626-1310</t>
  </si>
  <si>
    <t>18.521.243/0001-30</t>
  </si>
  <si>
    <t>https://www.canmetal.com.br/chumbador-grapa-para-contramarco-cm060cm063-c100-pcs/p</t>
  </si>
  <si>
    <t>03.007.331/0001-41</t>
  </si>
  <si>
    <t>https://produto.mercadolivre.com.br/MLB-1545613297-chu-787-chumbador-contramarco-100-unid-_JM?matt_tool=18956390&amp;utm_source=google_shopping&amp;utm_medium=organic</t>
  </si>
  <si>
    <t>LOJAS AMERICANAS</t>
  </si>
  <si>
    <t>https://www.americanas.com.br/produto/5022521245?opn=YSMESP&amp;offerId=6272e6c187c00289c2adb7a5&amp;srsltid=AWLEVJwP63DwDSIp2w47C1P7PxvRrbvHWYhLNL7awN1LRjzy0KMv4OTQwG4</t>
  </si>
  <si>
    <t>https://www.magazineluiza.com.br/fecho-alavanca-frontal-maxim-ar-aluminio-linha-25-30-preto-kmp/p/fbac9a49c7/rc/rcnm/?&amp;seller_id=kmpacessorios</t>
  </si>
  <si>
    <t>https://produto.mercadolivre.com.br/MLB-1891314627-fecho-alavanca-maxim-ar-para-linha-25-ou-30mm-fma51-preto-_JM?quantity=13</t>
  </si>
  <si>
    <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t>
  </si>
  <si>
    <t>BLIGHT</t>
  </si>
  <si>
    <t>(11) 3230-2806</t>
  </si>
  <si>
    <t>10.434.457/0001-68</t>
  </si>
  <si>
    <t>https://www.blight.com.br/checkout/cart?session_id=ehtt2r50fgp8ju89gd1srp8rp0&amp;store_id=683033#carrinho</t>
  </si>
  <si>
    <t>LUMINARIASONLINE</t>
  </si>
  <si>
    <t>(47) 3344.3828</t>
  </si>
  <si>
    <t>17.259.176/0001-65</t>
  </si>
  <si>
    <t>https://luminariasonline.com.br/luminarias/arandela-lirios-retangular-5-vidros-interno-20x12x10cm-metal-usina-5041-1/</t>
  </si>
  <si>
    <t>https://www.blight.com.br/lampadas/dicroica-par16/lampada-led-stella-sth853565-dicroicapar16-gu10-6w-6500k-36g-bivolt?parceiro=8963&amp;gclid=CjwKCAjws8yUBhA1EiwAi_tpEdWlFWaCPsCw4orlliEeJM9okLrBCR8n7xNK4oUK-IfWcabwJOqDFBoCPAgQAvD_BwE</t>
  </si>
  <si>
    <t>CLAREZO ILUMINAÇÃO</t>
  </si>
  <si>
    <t>(47) 3311-7999</t>
  </si>
  <si>
    <t>30.699.637/0001-89</t>
  </si>
  <si>
    <t>https://www.clarezo.com.br/lampada-mr16-6w-bivolt-2700k-60-450lm-stella-sth853527?utm_source=Site&amp;utm_medium=GoogleMerchant&amp;utm_campaign=GoogleMerchant&amp;gclid=CjwKCAjws8yUBhA1EiwAi_tpER1FmCqB8HdvJ4TA8_irSdaGbi_enmKSfYHbYgvnMawhhwMW4EcWAxoC6F8QAvD_BwE</t>
  </si>
  <si>
    <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t>
  </si>
  <si>
    <t>https://www.blight.com.br/lampadas/fita-led-12v-24v/fita-led-stella-sth780465-eco-rolo-5-metros-5wm-6500k-12v-ip20?parceiro=8963&amp;gclid=CjwKCAjws8yUBhA1EiwAi_tpEeAbw2_WmxqR05I-AkEpjLKIqSucmwmC4cjg8-WZYuT8lT5DY20fiBoCqqAQAvD_BwE</t>
  </si>
  <si>
    <t>ELIAS MAGNO</t>
  </si>
  <si>
    <t>ELETRORASTRO</t>
  </si>
  <si>
    <t>(41) 3661-3100</t>
  </si>
  <si>
    <t>85.014.793/0001-50</t>
  </si>
  <si>
    <t>https://www.eletrorastro.com.br/produto/sirene-eletromecanica-eg-101-1500m-220v-0-6a-engesig-82265?utm_source=google&amp;utm_medium=cpc&amp;utm_campaign=&amp;gclid=CjwKCAjws8yUBhA1EiwAi_tpEUKsun5qTSFVZPzM1XtO3ZIiHYOnVbLSlDwCnm76sOYmUTZhwKTIuBoC4pUQAvD_BwE</t>
  </si>
  <si>
    <t>QUALITY TUBOS</t>
  </si>
  <si>
    <t>(11) 3107-0000</t>
  </si>
  <si>
    <t>29.851.289/0001-34</t>
  </si>
  <si>
    <t>https://www.lojaqualitytubos.com.br/acionador-manual-convencional-com-sirene-bivolt-12-24v-p1000742?utm_source=google&amp;utm_medium=upc&amp;utm_campaign=qualitytubos&amp;gclid=CjwKCAjws8yUBhA1EiwAi_tpEfxA6k7OZ1o613MSPIIyPgsTSFIfkEaqFIP85UXnqs9OTjbOQekGCRoCpGcQAvD_BwE</t>
  </si>
  <si>
    <t>17.985.822/0001-71</t>
  </si>
  <si>
    <t>ARLON PINHO</t>
  </si>
  <si>
    <t>Tampa Tampão De Incêndio Hidrante Recalque 40 X 60 Ferro - Casa E Jardim Comércio - No Magalu - Magazine Luiza</t>
  </si>
  <si>
    <t>Tampa Tampão De Incêndio Hidrante Recalque 40 X 60 Ferro | Parcelamento sem juros (mercadolivre.com.br)</t>
  </si>
  <si>
    <t>https://www.americanas.com.br/produto/3854147348?epar=bp_pl_00_go_cc_pmax_geral&amp;opn=YSMESP&amp;WT.srch=1&amp;offerId=613601a009c351890d654e72&amp;gclid=CjwKCAjws8yUBhA1EiwAi_tpEcQ4LfMkWtmNxiYCv4PrBsvlnRtAErI8I-SVlJcAn_dVjn1imthOuRoCqbkQAvD_BwE</t>
  </si>
  <si>
    <t>LIVENCASA</t>
  </si>
  <si>
    <t>(61) 4042-7050</t>
  </si>
  <si>
    <t>26.443.804/0003-10</t>
  </si>
  <si>
    <t>ttps://livencasa.com/valvula-de-succao-21-2-docol?utm_source=google&amp;utm_medium=cpc&amp;utm_campaign=15526046060&amp;utm_term=&amp;utm_content={adsetid}&amp;de</t>
  </si>
  <si>
    <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t>
  </si>
  <si>
    <t>SOEDRAL</t>
  </si>
  <si>
    <t>(11) 94980-1755</t>
  </si>
  <si>
    <t>60.848.025/0005-03</t>
  </si>
  <si>
    <t>https://www.soedral.com.br/valvula-de-succao-212-30012500-docol</t>
  </si>
  <si>
    <t>https://www.lojaqualitytubos.com.br/registro-de-gaveta-bruto-em-latao-de-2-1-2-p999195?utm_source=google&amp;utm_medium=upc&amp;utm_campaign=qualitytubos&amp;gclid=CjwKCAjws8yUBhA1EiwAi_tpET5X0X-c9P4UtCvCdtCN-hD3Ze30d1gZVWHENjLKHBjq8GtCHOmChRoCZZ0QAvD_BwE</t>
  </si>
  <si>
    <t>https://produto.mercadolivre.com.br/MLB-1818081626-valvula-gaveta-212-lato-eale-_JM?matt_tool=18956390&amp;utm_source=google_shopping&amp;utm_medium=organic</t>
  </si>
  <si>
    <t>SETOR DE COMPRAS</t>
  </si>
  <si>
    <t>(11) 2994-3011</t>
  </si>
  <si>
    <t>ISINALIZA</t>
  </si>
  <si>
    <t xml:space="preserve"> (11) 93004-1270</t>
  </si>
  <si>
    <t>82.962.127.0001-56</t>
  </si>
  <si>
    <t>https://www.isinaliza.com/placa-perigo--inflamavel/p?idsku=36160&amp;gclid=CjwKCAjws8yUBhA1EiwAi_tpEUbkxcFEX6w6FTI0YybX0aCXEfkYq_mp8U3vuNfhQ7oT2LIocm-jbxoCv-MQAvD_BwE</t>
  </si>
  <si>
    <t>ENFOQUEVISUAL</t>
  </si>
  <si>
    <t>(11) 9 3000 0247</t>
  </si>
  <si>
    <t>53.982.666/0001-59</t>
  </si>
  <si>
    <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t>
  </si>
  <si>
    <t>22.760.075/0001-03</t>
  </si>
  <si>
    <t>DIMENSIONAL</t>
  </si>
  <si>
    <t>(19) 99150-1751</t>
  </si>
  <si>
    <t xml:space="preserve"> 06.913.480/0015-63</t>
  </si>
  <si>
    <t>https://www.magazineluiza.com.br/conector-pressao-intelli-bimetalico-70mm-1856-pfb-70-kit-c-20/p/jb0448aj5f/in/otin/</t>
  </si>
  <si>
    <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t>
  </si>
  <si>
    <t>4020-5376</t>
  </si>
  <si>
    <t>https://www.leroymerlin.com.br/silicone-estrutural-cartucho-420gr-adesfix-branco_1567211274</t>
  </si>
  <si>
    <t>(11) 2779-0774</t>
  </si>
  <si>
    <t>12.634.045/0001-05</t>
  </si>
  <si>
    <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t>
  </si>
  <si>
    <t>(65) 3622-3000</t>
  </si>
  <si>
    <t>(47) 3032-0777</t>
  </si>
  <si>
    <t>INFORACK</t>
  </si>
  <si>
    <t>(41) 3514-4967</t>
  </si>
  <si>
    <t>33.546.087/0001-56</t>
  </si>
  <si>
    <t>4007-1380</t>
  </si>
  <si>
    <t>https://www.leroymerlin.com.br/eletrocalha-perfurada-50x50-aco-zincado-3metros-perfil-lider_89087971</t>
  </si>
  <si>
    <t>HD STORE</t>
  </si>
  <si>
    <t>(11)2391-4997</t>
  </si>
  <si>
    <t>12.580.606/0001-22</t>
  </si>
  <si>
    <t>https://www.hdstore.com.br/bandeja-movel-max-eletron-19-pol-x-400mm-preta-4-pontos-fixacao-4577?gclid=Cj0KCQjw-daUBhCIARIsALbkjSYcvK_qPG3n_3cWcUuAp5jffxVluMCjb760IY112AEe3TX5IIwbguMaAupvEALw_wcB</t>
  </si>
  <si>
    <t>NET COMPUTADORES</t>
  </si>
  <si>
    <t>(19) 3483-4607</t>
  </si>
  <si>
    <t>02.465.944/0001-60</t>
  </si>
  <si>
    <t>https://netcomputadores.com.br/p/000000425-raker-bandeja-movel-400mm/21024</t>
  </si>
  <si>
    <t>UPPER SEG</t>
  </si>
  <si>
    <t>(43) 98351678</t>
  </si>
  <si>
    <t>https://www.upperseg.com.br/cftv/rack-organizador/acessorios-para-rack/bandeja-fixa-para-rack-19-1u-x-400mm-bf1u-400-intelbras/</t>
  </si>
  <si>
    <t>https://www.santil.com.br/produto/te-horizontal-perfurado-200x50mm-90-calhas-kennedy/2730541/</t>
  </si>
  <si>
    <t>https://inforack.com.br/rack-informatica/19-fechado/44u-x-670mm/</t>
  </si>
  <si>
    <t>(65) 3027-7035</t>
  </si>
  <si>
    <t>11.598.282/0004-30</t>
  </si>
  <si>
    <t>62.978.978/0001-80</t>
  </si>
  <si>
    <t>(11) 2303-4288</t>
  </si>
  <si>
    <t>66.618.638/0001/07</t>
  </si>
  <si>
    <t>MATHEUS</t>
  </si>
  <si>
    <t>LAURA</t>
  </si>
  <si>
    <t>(65) 3023-9727</t>
  </si>
  <si>
    <t>332516140001-03</t>
  </si>
  <si>
    <t>https://www.casadosparafusosfranca.com.br/barra-roscada-unc-516-x-01-mt-polida?parceiro=7954&amp;parceiro=3942&amp;gclid=CjwKCAjw7cGUBhA9EiwArBAvogJ9qHsAW-h-4huVC6S3gPTky9EAM-TjFflthHWnAVk3wdTBbwFiuxoC9-4QAvD_BwE</t>
  </si>
  <si>
    <t>https://www.jofepar.com.br/barra-roscada-ferro-unc-5-16-p9?gclid=EAIaIQobChMI-Pn9_dP_9wIVAEFIAB2QSgFMEAQYAyABEgJArvD_BwE</t>
  </si>
  <si>
    <t>MABORE</t>
  </si>
  <si>
    <t>(16) 3981.3964</t>
  </si>
  <si>
    <t>153335640001-13</t>
  </si>
  <si>
    <t>https://www.mabore.com.br/porca-sextavada-aco-zincado-516-pol-unc-ref2852015161-vonder/p?gclid=EAIaIQobChMIkcapo7X-9wIV5kFIAB1EJg2IEAQYBCABEgJlMPD_BwE</t>
  </si>
  <si>
    <t>https://www.jofepar.com.br/porca-sextavada-ferro-unc-5-16-p687?gclid=EAIaIQobChMIkcapo7X-9wIV5kFIAB1EJg2IEAQYASABEgL2e_D_BwE</t>
  </si>
  <si>
    <t>CASA DOS PARAFUSOS</t>
  </si>
  <si>
    <t>(16) 3017-8614</t>
  </si>
  <si>
    <t xml:space="preserve">332516140001-03 </t>
  </si>
  <si>
    <t>https://www.casadosparafusosfranca.com.br/fixadores/arruela-lisa-zincada-516?parceiro=7954&amp;parceiro=3942&amp;gclid=EAIaIQobChMI7dmtv67-9wIVdEJIAB2GCgDkEAQYCiABEgJd9vD_BwE</t>
  </si>
  <si>
    <t>(11) 2717-1566</t>
  </si>
  <si>
    <t xml:space="preserve"> 079578540001-00 </t>
  </si>
  <si>
    <t>https://www.jofepar.com.br/arruela-lisa-5-16-x-1,2-411-p1174</t>
  </si>
  <si>
    <t>GRUPO ALEIXO</t>
  </si>
  <si>
    <t>(65) 3631-1380</t>
  </si>
  <si>
    <t>35.496.123/0001-40</t>
  </si>
  <si>
    <t>(11) 2135-1002</t>
  </si>
  <si>
    <t>48.775.191/0002-70</t>
  </si>
  <si>
    <t>(65) 2127-6585</t>
  </si>
  <si>
    <t>soledcuiaba@hotmail.com</t>
  </si>
  <si>
    <t>(65) 3634-3050</t>
  </si>
  <si>
    <t>LUZ E CIA</t>
  </si>
  <si>
    <t>(65) 3624-1777</t>
  </si>
  <si>
    <t>(15) 3233-5959</t>
  </si>
  <si>
    <t>https://contraincendio.com.br/produto/alarme-de-incendio/detector/ascael-detector/detector-termovelocimetrico-enderecavel-adte-1024-ascael/</t>
  </si>
  <si>
    <t>https://www.magazineluiza.com.br/detector-de-calor-enderecavel-termovelocimetrico-dhi-700-da-jfl/p/gch0jf4bjj/pi/sise/</t>
  </si>
  <si>
    <t>https://www.submarino.com.br/produto/45230782?pfm_carac=detector-de-calor&amp;pfm_index=2&amp;pfm_page=search&amp;pfm_pos=grid&amp;pfm_type=search_page&amp;offerId=5bd72529c81d486d203facb1</t>
  </si>
  <si>
    <t>4003/5544</t>
  </si>
  <si>
    <t>4003-1020</t>
  </si>
  <si>
    <t>(11) 5641-4297</t>
  </si>
  <si>
    <t>10.918.175/0001-36</t>
  </si>
  <si>
    <t>05.425.000/0001-57</t>
  </si>
  <si>
    <t>(14) 2105-0038</t>
  </si>
  <si>
    <t>https://www.eletrorastro.com.br/produto/t-horizontal-90g-300x50-perfurado-inbraell-91431?utm_source=google&amp;utm_medium=cpc&amp;utm_campaign=</t>
  </si>
  <si>
    <t>FABIO LUIZ ARAL</t>
  </si>
  <si>
    <t>https://www.americanas.com.br/produto/5010036701?epar=bp_pl_00_go_cc_pmax_geral&amp;opn=YSMESP&amp;WT.srch=1&amp;offerId=626c3aff87c00289c2fc9973&amp;gclid=Cj0KCQjw-daUBhCIARIsALbkjSZp903KL2TaKbyEqKoqSVO7R13Y1tQDadVQW_kvYcNUw2AeDrxUtQkaAjXeEALw_wcB</t>
  </si>
  <si>
    <t>https://produto.mercadolivre.com.br/MLB-1230215819-kit-de-ventilaco-padro-19-400mm-4-ventiladores-bivolt-_JM?matt_tool=31508429&amp;matt_word=&amp;matt_source=google&amp;matt_campaign_id=14303413595&amp;matt_ad_group_id=125984286477&amp;matt_match_type=&amp;matt_network=g&amp;matt_device=c&amp;matt_creative=539354956065&amp;matt_keyword=&amp;matt_ad_position=&amp;matt_ad_type=pla&amp;matt_merchant_id=480551967&amp;matt_product_id=MLB1230215819&amp;matt_product_partition_id=1636348405419&amp;matt_target_id=aud-1439668500173:pla-1636348405419&amp;gclid=Cj0KCQjw-daUBhCIARIsALbkjSZLGPWu-LdlGjYeCP1NKlAuyV-QZWF6KWae6JhSfgktp9mDpBVVA_UaAqehEALw_wcB</t>
  </si>
  <si>
    <t>https://www.americanas.com.br/produto/3500461743?epar=bp_pl_00_go_geral_pmax&amp;opn=YSMESP&amp;WT.srch=1&amp;offerId=60e2fc9652131c3c8176ffc7&amp;gclid=Cj0KCQjw-daUBhCIARIsALbkjSaZjD03mFns8S0zS7XaglW2Xf2wNMGvBcCDfPvU9UXMhujxqhVL4BMaArppEALw_wcB</t>
  </si>
  <si>
    <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t>
  </si>
  <si>
    <t>https://www.madeiramadeira.com.br/luminaria-pendente-1lamp-retangular-130cm-madeira-castanho-madelustre-2931862.html?origem=pla-2931862&amp;utm_source=google&amp;utm_medium=cpc&amp;utm_content=pendentes-5761&amp;utm_term=&amp;utm_id=16173416619&amp;gclid=Cj0KCQjw-daUBhCIARIsALbkjSbRaHTVOz_aCbNIkQqxRhENYmbNGnXVDTgtFmsINRsKZ1-W5Cpr_ugaAi9LEALw_wcB</t>
  </si>
  <si>
    <t>6.5.3.2</t>
  </si>
  <si>
    <t>33.041.260/0652-90</t>
  </si>
  <si>
    <t>(65) 99682-8292</t>
  </si>
  <si>
    <t>11.598.282/0001-97</t>
  </si>
  <si>
    <t>STEFANY</t>
  </si>
  <si>
    <t>(65) 3615-5000</t>
  </si>
  <si>
    <t>MARCIA REGINA</t>
  </si>
  <si>
    <t>ASTRA</t>
  </si>
  <si>
    <t>0800 160 5051</t>
  </si>
  <si>
    <t>50.949.528/0001-80</t>
  </si>
  <si>
    <t>https://loja.astra-sa.com/assento-sanitario-soft-oval-com-abertura-frontal-e-tampa-branco-1-astra-tpju/p?idsku=605&amp;gclid=CjwKCAjwy_aUBhACEiwA2IHHQJvt5E2aR1j00UYNKpOpUV0mHQe5pBXMVmS-aHSyErUqRIsAKcRENBoCWVgQAvD_BwE</t>
  </si>
  <si>
    <t>https://www.americanas.com.br/produto/3844163176?epar=bp_pl_00_go_cc_pmax_geral&amp;opn=YSMESP&amp;WT.srch=1&amp;offerId=6130ec7e09c351890d3cdd9e&amp;gclid=CjwKCAjwy_aUBhACEiwA2IHHQKQ4ZRQCmt73_eqj6uIXx13b3Sbzg7aBLal8A1cpJ39dq625xBJqJBoClscQAvD_BwE</t>
  </si>
  <si>
    <t>https://www.leroymerlin.com.br/kit-adaptador-para-valvula-de-descarga-50mm-ou-1-1-2-hydra-max-plus-4916-c-pls_87748591</t>
  </si>
  <si>
    <t>https://www.cec.com.br/metais-e-acessorios/valvulas/mictorio/valvula-para-mictorio-horizontal-com-fechamento-automatico-decamatic-eco-cromada?produto=1102617&amp;idpublicacao=791d2005-d206-4804-b297-71cab438caf1&amp;gclid=CjwKCAjwy_aUBhACEiwA2IHHQAzhi2VxXTacXIkknkUfIBdW3xgq2_0PLOFXdqpLFTqhiyQ0ZYHybxoCQBoQAvD_BwE</t>
  </si>
  <si>
    <t>https://www.americanas.com.br/produto/1632178069?epar=bp_pl_00_go_cc_pmax_geral&amp;opn=YSMESP&amp;WT.srch=1&amp;aid=6079a62b30a39300164aceed&amp;sid=38542718000182&amp;pid=1632178069&amp;chave=vnzpla_6079a62b30a39300164aceed_38542718000182_1632178069&amp;offerId=624dcf0a87c00289c245f43a&amp;gclid=CjwKCAjwy_aUBhACEiwA2IHHQNB7n3ZKJm_dAchzuoaWru2l1ELUErAMpOGEBsfT03TJzqlkCXUUEhoCPHAQAvD_BwE&amp;cor=Cromado</t>
  </si>
  <si>
    <t>https://www.abcdaconstrucao.com.br/produto/ducha-higienica-com-derivacao-like-cromada-celite-80528?keyword=&amp;creative=541111541219&amp;gclid=CjwKCAjwy_aUBhACEiwA2IHHQCq9X_Cy6m0-0jgD_wt_Gn25ULog6ItXZFb5nT1-mu61FL3dwJ5r9BoCm6cQAvD_BwE</t>
  </si>
  <si>
    <t>https://www.cec.com.br/banheiro/ducha-higienica/ducha-higienica-com-registro-e-flexivel-de-120cm-clean-c62-cromada?produto=1368742&amp;idpublicacao=791d2005-d206-4804-b297-71cab438caf1&amp;gclid=CjwKCAjwy_aUBhACEiwA2IHHQMpVWpeZH4lAfSibP4f6CTywOv5Hqc4W47T7guGVAlasKvHPwfA5dBoCF88QAvD_BwE</t>
  </si>
  <si>
    <t>(65) 3691-6009</t>
  </si>
  <si>
    <t>https://www.cec.com.br/material-de-construcao/loucas/banheiro/lavatorio/sobrepor/cuba-de-sobrepor-quadrada-41-5cm-branca?produto=1219947&amp;idpublicacao=791d2005-d206-4804-b297-71cab438caf1&amp;gclid=Cj0KCQjw4uaUBhC8ARIsANUuDjURt6VxVSa_gAkaV4NvF9d7uizjECI582QgFP2U6DC80RfxkmIZzdUaAmctEALw_wcB</t>
  </si>
  <si>
    <t>(11)4007-1380</t>
  </si>
  <si>
    <t>https://www.leroymerlin.com.br/cuba-de-embutir-ceramica-retangular-branca-13,5x59x30,5cm-l-1071-17-deca_89904913</t>
  </si>
  <si>
    <t>HELLEN NEVES</t>
  </si>
  <si>
    <t>CUBA DE EMBUTIR RETANGULAR DE AÇO INOXIDÁVEL, 48 X 35 X 12 CM OU SIMILAR</t>
  </si>
  <si>
    <t>https://www.abcdaconstrucao.com.br/produto/torneira-para-lavatorio-automatica-de-mesa-decamatic-eco-1173c-cromada-deca-74131?keyword=&amp;creative=491576054122&amp;gclid=CjwKCAjwy_aUBhACEiwA2IHHQIaHMSScXov3Yx3HMLevXwmOC4G81MLqdCbS5XrnKV5pVbUhCkrodBoCnkQQAvD_BwE</t>
  </si>
  <si>
    <t>https://www.americanas.com.br/produto/4924975684?epar=bp_pl_00_go_cc_pmax_geral&amp;opn=YSMESP&amp;WT.srch=1&amp;offerId=6258640387c00289c29664a5&amp;gclid=CjwKCAjwy_aUBhACEiwA2IHHQI3thpZQtMYNhTVWqH-0RVp8SH7WDRVqHk5ra6tybzJpwUGlLGwylhoCV40QAvD_BwE</t>
  </si>
  <si>
    <t>https://www.magazineluiza.com.br/torneira-cozinha-bica-movel-1-2-c34-bancada-deca/p/ad6c6ece23/cj/toas/?&amp;seller_id=lojaformigaazul&amp;utm_source=google&amp;utm_medium=pla&amp;utm_campaign=&amp;partner_id=64262&amp;&amp;&amp;utm_source=google&amp;utm_medium=pla&amp;utm_campaign=&amp;partner_id=58984&amp;gclid=CjwKCAjwy_aUBhACEiwA2IHHQP2YMjB4jzAYK0brvpggMDTftseYu9H24_EjV2uvP4tHLCu9P2MbthoC-jgQAvD_BwE&amp;gclsrc=aw.ds</t>
  </si>
  <si>
    <t>CONDEC</t>
  </si>
  <si>
    <t>(14) 3626-3338</t>
  </si>
  <si>
    <t>04.520.163/0001-56</t>
  </si>
  <si>
    <t>https://www.condec.com.br/metais/torneiras/cozinhas-mesa/torneira-para-cozinha-de-mesa-1167-max-cromado-deca?parceiro=3621&amp;gclid=CjwKCAjwy_aUBhACEiwA2IHHQLekcULzdV6ILFR4EV0xlAxjwRyja_k5vzfQbddjSjb_Q3qezJ4WtBoCoAEQAvD_BwE</t>
  </si>
  <si>
    <t>https://www.americanas.com.br/produto/4314914366?epar=bp_pl_00_go_cc_pmax_geral&amp;opn=YSMESP&amp;WT.srch=1&amp;offerId=61fd5f65d9fd6edeeca7e005&amp;gclid=CjwKCAjwy_aUBhACEiwA2IHHQO7jmDXpGScMDcCw9Q0cNHBmyX_ostIYSaLQBdB6dt1GKHM_u3XEaRoCOcIQAvD_BwE&amp;marca=Docol</t>
  </si>
  <si>
    <t>https://www.madeiramadeira.com.br/torneira-longa-1158-nova-pertutti-cromado-docol-1997639.html?utm_source=google&amp;utm_medium=cpc&amp;utm_content=&amp;utm_term=&amp;utm_id=1739546055&amp;gclid=CjwKCAjwy_aUBhACEiwA2IHHQIYFX1wMlcH0GY7pEIpDDCFQbDqBjbvieqi0Uto3CCDDlu8f36FZtRoCREYQAvD_BwE</t>
  </si>
  <si>
    <t>https://www.magazineluiza.com.br/torneira-docol-primor-de-parede-bica-longa-1158-cromada/p/khhb833ck5/cj/torn/?partner_id=64170&amp;gclid=CjwKCAjwy_aUBhACEiwA2IHHQDSwgKjcsf4Zpud_jdQyZOEPdbNDr6azdkpZrKYzzmzpxxD9TjchbhoCUmAQAvD_BwE&amp;gclsrc=aw.ds</t>
  </si>
  <si>
    <t>https://www.magazineluiza.com.br/trocador-de-fraldas-fraldario-ultra-clean-horizontal-para-fixar-na-parede-ampliando-espaco/p/ah219524da/bb/trde/?&amp;seller_id=ampliandoespaco&amp;utm_source=google&amp;utm_medium=pla&amp;utm_campaign=&amp;partner_id=54222&amp;gclid=Cj0KCQjw4uaUBhC8ARIsANUuDjWQeabiKc347pqKmkx0D5E_Fw85WfBWmdlHpIw6xZxXLw4OrCN2-J8aAtptEALw_wcB&amp;gclsrc=aw.ds</t>
  </si>
  <si>
    <t>https://www.magazineluiza.com.br/feltro-la-de-rocha-aluminizado-dens-32-x-50mm-rolo-rockfibras/p/gee6329c1g/am/atec/?&amp;seller_id=teracforroseisolamentos&amp;utm_source=google&amp;utm_medium=pla&amp;utm_campaign=&amp;partner_id=66991&amp;gclid=Cj0KCQjw4uaUBhC8ARIsANUuDjWnyDDr-lWJf-FSl1gewLpEFy7TE32Kwp1I3y3XmDVWC6Iw-Z87y9kaAh7WEALw_wcB&amp;gclsrc=aw.ds</t>
  </si>
  <si>
    <t>https://www.madeiramadeira.com.br/manta-la-de-rocha-aluminizada-dens-32-x-50mm-c-9-60m2-1110834.html?index=vr-prod-poc-madeira-best-seller-desc</t>
  </si>
  <si>
    <t>TECNOOBRAS</t>
  </si>
  <si>
    <t>43.346.107/0001-07</t>
  </si>
  <si>
    <t>BIANKA FLORES SALINAS DE MARTINS</t>
  </si>
  <si>
    <t>https://www.americanas.com.br/produto/3586939399?epar=bp_pl_00_go_cc_pmax_geral&amp;opn=YSMESP&amp;WT.srch=1&amp;aid=6100344534787c0016cba6de&amp;sid=26626667000198&amp;pid=3586939399&amp;chave=vnzpla_6100344534787c0016cba6de_26626667000198_3586939399&amp;offerId=60f9976d52131c3c818129e2&amp;gclid=CjwKCAjw7vuUBhBUEiwAEdu2pMWFKKCqJelGPIs9Wd9owuGGOYQkvciqaCuG_wdBlwOQuuq_WIMzzBoC8V8QAvD_BwE</t>
  </si>
  <si>
    <t>TANQUE DE EMBUTIR RETANGULAR DE AÇO INOXIDÁVEL, 48 X 35 X 12 CM OU SIMILAR</t>
  </si>
  <si>
    <t>ROBSON VINICIUS</t>
  </si>
  <si>
    <t>https://www.magazineluiza.com.br/cimento-queimado-avenida-expressa-suvinil-7602-5kg/p/da61h6g7a9/cj/tepm/</t>
  </si>
  <si>
    <t>0800-637-7246</t>
  </si>
  <si>
    <t>https://produto.mercadolivre.com.br/MLB-1636417961-articulaco-p-janela-maxim-ar-linha-gold-600mm-_JM?matt_tool=61275631&amp;matt_word=&amp;matt_source=google&amp;matt_campaign_id=14302215501&amp;matt_ad_group_id=134553696468&amp;matt_match_type=&amp;matt_network=g&amp;matt_device=c&amp;matt_creative=539425477432&amp;matt_keyword=&amp;matt_ad_position=&amp;matt_ad_type=pla&amp;matt_merchant_id=496625691&amp;matt_product_id=MLB1636417961&amp;matt_product_partition_id=1406966618381&amp;matt_target_id=pla-1406966618381&amp;gclid=Cj0KCQjwwJuVBhCAARIsAOPwGASK-sOKM2wyTNYY2DrHlnM7W3PsWEHuuEbuNhsvHz32sv34KuF1R-waAvJtEALw_wcB</t>
  </si>
  <si>
    <t>https://www.magazineluiza.com.br/braco-articulacao-p-janela-maxim-ar-natural-600mm-1-par-comercial/p/cbfe354gcd/au/voac/</t>
  </si>
  <si>
    <t>https://www.americanas.com.br/produto/1702131241?epar=bp_pl_00_go_el_pmax_geral&amp;opn=YSMESP&amp;WT.srch=1&amp;offerId=5eb8bc4679bf8430cbcda9f1&amp;gclid=CjwKCAjw7vuUBhBUEiwAEdu2pBc2SjTxVeZiRlkBOEvo4O_Le1NRQ8PbvLchOBLvFj6463Yzyz6mrRoCSIYQAvD_BwE</t>
  </si>
  <si>
    <t xml:space="preserve">Braço de max-ar linha gold de 600mm </t>
  </si>
  <si>
    <t>https://produto.mercadolivre.com.br/MLB-2154227560-fecho-maxim-ar-alavanca-aluminio-linha-gold-udinese-735d-_JM?matt_tool=94824937&amp;matt_word=&amp;matt_source=google&amp;matt_campaign_id=14302215546&amp;matt_ad_group_id=134553705748&amp;matt_match_type=&amp;matt_network=g&amp;matt_device=c&amp;matt_creative=539425529197&amp;matt_keyword=&amp;matt_ad_position=&amp;matt_ad_type=pla&amp;matt_merchant_id=516409922&amp;matt_product_id=MLB2154227560&amp;matt_product_partition_id=1402952723449&amp;matt_target_id=pla-1402952723449&amp;gclid=Cj0KCQjw4uaUBhC8ARIsANUuDjVuT0GDp8pLy4TKkgFFSfvR4D6qq0E82IGSqr2N1rZzbxf_qPGYQxoaAqCrEALw_wcB&amp;quantity=5</t>
  </si>
  <si>
    <t>https://www.magazineluiza.com.br/fecho-para-janela-maxiar-fermax-branco/p/dc4cc4418h/rc/rcnm/?&amp;seller_id=solucaocia&amp;utm_source=google&amp;utm_medium=pla&amp;utm_campaign=&amp;partner_id=64262&amp;&amp;&amp;utm_source=google&amp;utm_medium=pla&amp;utm_campaign=&amp;partner_id=58984&amp;gclid=Cj0KCQjw4uaUBhC8ARIsANUuDjWxIwj9_aLFhMDMQJ_cqzVyW8qJFC6OOq67bMDJqPkJsw1EMPmDoeQaAm6pEALw_wcB&amp;gclsrc=aw.ds</t>
  </si>
  <si>
    <t>https://www.americanas.com.br/produto/4599367086?epar=bp_pl_00_go_cc_pmax_geral&amp;opn=YSMESP&amp;WT.srch=1&amp;offerId=61d814e5d9fd6edeec4c25b8&amp;gclid=Cj0KCQjw4uaUBhC8ARIsANUuDjW5WYDB2RKw7LiJEVYmAtdJD-20VQhUDFATce-bCq95vIe738La4WwaArL0EALw_wcB&amp;cor=Branco</t>
  </si>
  <si>
    <t>https://www.perfildealuminio.com.br/guarnicao-gua161-em-epdm-p-maxi-ar-vedacao-folhas-de-vidro-rolo-com-50mts?utm_source=Site&amp;utm_medium=GoogleMerchant&amp;utm_campaign=GoogleMerchant</t>
  </si>
  <si>
    <t>https://www.perfildealuminio.com.br/guarnicao-epdm-maxi-ar-pingadeira-rolo?utm_source=Site&amp;utm_medium=GoogleMerchant&amp;utm_campaign=GoogleMerchant</t>
  </si>
  <si>
    <t>https://produto.mercadolivre.com.br/MLB-1430007781-borracha-guarnico-esquadria-vidro-gua-39-rolo-50-metros-_JM?matt_tool=67377542&amp;matt_word=&amp;matt_source=google&amp;matt_campaign_id=14303413625&amp;matt_ad_group_id=125984292197&amp;matt_match_type=&amp;matt_network=g&amp;matt_device=c&amp;matt_creative=539354956464&amp;matt_keyword=&amp;matt_ad_position=&amp;matt_ad_type=pla&amp;matt_merchant_id=137510143&amp;matt_product_id=MLB1430007781&amp;matt_product_partition_id=1637028095885&amp;matt_target_id=pla-1637028095885&amp;gclid=Cj0KCQjw4uaUBhC8ARIsANUuDjWEpM8-P9EyaA7EBoxbpmDl3Rt4s1PyCvPC08JEEz3atuEcs3AywKoaAsvxEALw_wcB#Calcular%20o%20prazo%20de%20entrega</t>
  </si>
  <si>
    <t>https://www.magazineluiza.com.br/borracha-guarnicao-janela-porta-vidro-temperado-gua-38n-kmp/p/kbbhkk29jk/au/brpa/?&amp;seller_id=kmpacessorios&amp;utm_source=google&amp;utm_medium=pla&amp;utm_campaign=&amp;partner_id=64262&amp;&amp;&amp;utm_source=google&amp;utm_medium=pla&amp;utm_campaign=&amp;partner_id=58984&amp;gclid=Cj0KCQjw4uaUBhC8ARIsANUuDjUX2YVjzRR2FqmgW5Oyjlm3MkQIF_orFVO4wOSbJagbcb980LkfJk8aAhkkEALw_wcB&amp;gclsrc=aw.ds</t>
  </si>
  <si>
    <t>MULT TELAS</t>
  </si>
  <si>
    <t>(19) 3267-0089</t>
  </si>
  <si>
    <t>23.605.758/0001-59</t>
  </si>
  <si>
    <t>https://www.multtelas.net.br/ss9mg5rfx-guarnicao-de-borracha-macica-5-mm-preta?utm_source=Site&amp;utm_medium=GoogleMerchant&amp;utm_campaign=GoogleMerchant&amp;gclid=Cj0KCQjw4uaUBhC8ARIsANUuDjWxz_U0vxOsRqK331rKIYvUq_0jfvSVVoHnVI6-J9DLmQmZI0aCjTAaAm1eEALw_wcB</t>
  </si>
  <si>
    <t>https://www.madeiramadeira.com.br/borracha-gua-168-vedacao-janela-e-porta-aluminio-rolo-100mts-895340061.html</t>
  </si>
  <si>
    <t>https://www.elastobor.com.br/silicone-tekbond-neutro-uso-geral-transparente-280g/p?idsku=121536017&amp;gclid=CjwKCAjw7vuUBhBUEiwAEdu2pHlhfxi4420U4ZNlvj-jR5r8Fi7aOgkpSdG9vQiv_zAOr3ET2FnklRoCrAcQAvD_BwE</t>
  </si>
  <si>
    <t>https://produto.mercadolivre.com.br/MLB-1789949327-presilha-de-arremate-nyl-190-100-unidades-_JM#position=43&amp;search_layout=stack&amp;type=item&amp;tracking_id=1891f286-2591-493a-b389-5bc062227e0c</t>
  </si>
  <si>
    <t>https://www.perfildealuminio.com.br/botao-peca-fixacao-arremate-do-perfil-mp-347-de-nylon-pacote-c-500-pecas</t>
  </si>
  <si>
    <t>https://www.magazineluiza.com.br/presilha-arremate-aluminio-fixador-nyl190-fermax-100pcs/p/dgakc4g11h/rc/rcnm/?&amp;seller_id=kmpacessorios&amp;utm_source=google&amp;utm_medium=pla&amp;utm_campaign=&amp;partner_id=64262&amp;&amp;&amp;utm_source=google&amp;utm_medium=pla&amp;utm_campaign=&amp;partner_id=58984&amp;gclid=Cj0KCQjwwJuVBhCAARIsAOPwGATJT_DLBjUp5-UAAraBjlL3aieWIGqsfSLB6Tso0oVcKW_xRqVmZjIaAlLkEALw_wcB&amp;gclsrc=aw.ds</t>
  </si>
  <si>
    <t>20.939.127/0005-01</t>
  </si>
  <si>
    <t>https://www.madeiramadeira.com.br/deca-bacia-convencional-piano-branco-ref-p-33-17-1139068.html?origem=pla-1139068&amp;utm_source=google&amp;utm_medium=cpc&amp;utm_content=bacia-convencional-681&amp;utm_term=&amp;utm_id=16531687149&amp;gclid=CjwKCAjw7vuUBhBUEiwAEdu2pOGiIF4aLbas4f4z6Ayj8U1loHtX6q04IRysGyzF79YPZYfQJciuvhoCUO8QAvD_BwE</t>
  </si>
  <si>
    <t>CASA E ARTE</t>
  </si>
  <si>
    <t>(48) 8834-0422</t>
  </si>
  <si>
    <t>07.200.993/0002-75</t>
  </si>
  <si>
    <t>https://www.casaearte.com.br/bacia-convencional-p-33-branco?utm_source=google&amp;utm_medium=Shopping&amp;utm_campaign=bacia-convencional-p-33-branco&amp;inStock</t>
  </si>
  <si>
    <t>https://www.leroymerlin.com.br/assento-sanitario-carrara--nuova--duna--link-termofixo-branco-fechamento-suave-deca_88290510</t>
  </si>
  <si>
    <t>(11)3434-3610</t>
  </si>
  <si>
    <t>03.840.986/0056-70</t>
  </si>
  <si>
    <t>https://www.telhanorte.com.br/assento-sanitario-debba-termofixo-soft-close-branco-roca-1405896/p?idsku=1405896</t>
  </si>
  <si>
    <t>LUNA MATERIAIS PARA CONSTRUÇÃO</t>
  </si>
  <si>
    <t>(65) 3028-7036</t>
  </si>
  <si>
    <t>ANAMEIRE</t>
  </si>
  <si>
    <t>CASA MIMOSA</t>
  </si>
  <si>
    <t>(11) 94024-2400</t>
  </si>
  <si>
    <t>https://www.casamimosa.com.br/valvula-de-descarga-hydra-plus-1-1-2-deca</t>
  </si>
  <si>
    <t>11.163.158/0001-07</t>
  </si>
  <si>
    <t>https://lojaobrafacil.com.br/valvula-descarga-hydra-plus-deca-2555c112</t>
  </si>
  <si>
    <t>ILUMINIM</t>
  </si>
  <si>
    <t>(11) 4210-0494</t>
  </si>
  <si>
    <t>23.424.903/0001-98</t>
  </si>
  <si>
    <t>https://www.iluminim.com.br/spot-led-smd-5w-quadrado-branco-frio?utm_source=Site&amp;utm_medium=GoogleMerchant&amp;utm_campaign=GoogleMerchant&amp;gclid=CjwKCAjw7vuUBhBUEiwAEdu2pJuDf5u3Z7LbPXvur5WFoGiKAGbo0zavQK-36chyQrorlqy1PFuJthoCkgkQAvD_BwE</t>
  </si>
  <si>
    <t>COMBINADO</t>
  </si>
  <si>
    <t>(11) 4380-1698</t>
  </si>
  <si>
    <t>45.618.763/00001-39</t>
  </si>
  <si>
    <t>https://combinado.com.br/plafon-led-sobrepor-quadrado-48w-60x60-branco-frio.html?mp_feed=MDozOkhnYVlFOHhRbVBnN2FrN1E0SVBQa3B2ckVzcnVFU1Fqc3Y1citUVT0=&amp;gclid=CjwKCAjw7vuUBhBUEiwAEdu2pIG2RtATS0AllWnwk937bgK5v5NH2G4lNJ6-HkSifgfD130Rb6wLGBoCfCMQAvD_BwE</t>
  </si>
  <si>
    <t>https://www.iluminim.com.br/luminaria-plafon-62x62-45w-led-embutir-branco-frio?utm_source=Site&amp;utm_medium=GoogleMerchant&amp;utm_campaign=GoogleMerchant&amp;gclid=CjwKCAjw7vuUBhBUEiwAEdu2pEy_bmtKUB5MtIKXMabwhFViOrkkvJwaonUX_z31VdBnjIY4bfPgLhoCfycQAvD_BwE</t>
  </si>
  <si>
    <t>LUMI ENERGY</t>
  </si>
  <si>
    <t>(47) 98849-8331</t>
  </si>
  <si>
    <t>14.977.876/0001/05</t>
  </si>
  <si>
    <t>https://www.lumienergy.com.br/painel-de-led-blumenau-quadrado-de-embutir-24w-bivolt-6500k-luz-branca?utm_source=google&amp;utm_medium=Shopping&amp;utm_campaign=painel-de-led-blumenau-quadrado-de-embutir-24w-bivolt-6500k-luz-branca&amp;inStock&amp;gclid=CjwKCAjw7vuUBhBUEiwAEdu2pMlwuRdfB-Sgx2WNglw1jIcrgU2XSBS5LlspoqsFfyjPuJflkvmi9BoCQOEQAvD_BwE</t>
  </si>
  <si>
    <t>https://www.iluminim.com.br/luminaria-plafon-25w-led-embutir-branco-frio-quadrado?utm_source=Site&amp;utm_medium=GoogleMerchant&amp;utm_campaign=GoogleMerchant&amp;gclid=CjwKCAjw7vuUBhBUEiwAEdu2pLr0Bb1BHQHNAqH06wrZDsAXgtlg8_DsFxy91YMmRU-5sL7tak0_pxoCaXIQAvD_BwE</t>
  </si>
  <si>
    <t xml:space="preserve">NOVO MUNDO </t>
  </si>
  <si>
    <t>(62) 8562-7000</t>
  </si>
  <si>
    <t>01.534.080/0001-28</t>
  </si>
  <si>
    <t>https://www.novomundo.com.br/perfil-de-embutir-largo-para-fitas-de-led-largura-3cm-3m-lm1112-luminatti-4596320/p?idsku=3655936&amp;utm_source=google_shopping&amp;utm_medium=organic</t>
  </si>
  <si>
    <t>YAMAMURA</t>
  </si>
  <si>
    <t>(11) 3906-2723</t>
  </si>
  <si>
    <t>45.603.529/0007-23</t>
  </si>
  <si>
    <t>https://www.yamamura.com.br/perfil-embutir-aluminio-branco-led-42w-3000k-300cm-24v-fit25-p9147381-p9990?tsid=27&amp;gclid=CjwKCAjw7vuUBhBUEiwAEdu2pH038vdBz_GgEhAdBH84F2VUf8yNQg0CwTqGW2kfz-j4HmCbFp5nWxoCxHAQAvD_BwE</t>
  </si>
  <si>
    <t>https://www.iluminim.com.br/luminaria-plafon-10x120-30w-led-embutir-branco-frio-borda-branca?utm_source=Site&amp;utm_medium=GoogleMerchant&amp;utm_campaign=GoogleMerchant&amp;gclid=CjwKCAjw7vuUBhBUEiwAEdu2pPgqoQ4pvZXhY6XHC4nR08GtNgShl6Kl1oGpKHZulGBkDFvNnhkMgxoCDJoQAvD_BwE</t>
  </si>
  <si>
    <t>https://www.madeiramadeira.com.br/perfil-embutir-1m-fita-led-25w-fonte-save-energy-st2031-3414894.html?origem=pla-3414894&amp;utm_source=google&amp;utm_medium=cpc&amp;utm_content=plafons-decorativos-595&amp;utm_term=&amp;utm_id=16185890846&amp;gclid=Cj0KCQjwnNyUBhCZARIsAI9AYlFE_NZqN87x5iByHwXA_NO3P6ohKK2iIuxTFiBcaOcjVWdXI2rtCPoaAlZAEALw_wcB</t>
  </si>
  <si>
    <t>https://www.magazineluiza.com.br/kit-perfil-de-embutir-1-metro-branco-fonte-alimentacao-fita-led-3000k-bela-home/p/jkkj5b8ea6/rc/rcnm/?&amp;seller_id=belahomeud</t>
  </si>
  <si>
    <t>https://www.yamamura.com.br/balizador-sobrepor-led-2w-ip65-200lm-3000k-p8740?tsid=27&amp;pp=/44.1416/&amp;gclid=CjwKCAjw7vuUBhBUEiwAEdu2pPcQlA_CvM4akMz7FDTAm8t3-ED4pc450OIr-Afc3Yw7WUCk6uWLoBoCx4sQAvD_BwE</t>
  </si>
  <si>
    <t>https://www.iluminim.com.br/balizador-led-2w-de-sobrepor-externo-fit</t>
  </si>
  <si>
    <t>https://www.magazineluiza.com.br/luminaria-arandela-externa-balizador-4x2-parede-escada-2w-luminatti/p/fc2a64aj90/cj/luri/?&amp;seller_id=oliststore</t>
  </si>
  <si>
    <t>https://www.americanas.com.br/produto/3687133431?epar=bp_pl_00_go_b2wads_pmax_geral_adshigh&amp;opn=YSMESP&amp;WT.srch=1&amp;aid=61123223d048f20016a9c82e&amp;sid=27062038000145&amp;pid=3687133431&amp;chave=vnzpla_61123223d048f20016a9c82e_27062038000145_3687133431&amp;offerId=611164ba549cd5594fd973a5&amp;gclid=CjwKCAjw7vuUBhBUEiwAEdu2pNKL6AKGmOrMDbwco5QSh3BaVRd49CyqMMNVO11mCGJaApLTAw3YWxoCRwcQAvD_BwE</t>
  </si>
  <si>
    <t>https://www.iluminim.com.br/mini-spot-led-cob-1w-redondo-embutir-branco-frio?utm_source=Site&amp;utm_medium=GoogleMerchant&amp;utm_campaign=GoogleMerchant&amp;sku=D-RAB1WBQQ&amp;gclid=CjwKCAjwkYGVBhArEiwA4sZLuA31Vq5AfE8GhB0QhDsttGZnQxluve4yVeRr0OHfyKgG-pFneR6m-xoCVm4QAvD_BwE</t>
  </si>
  <si>
    <t>https://www.leroymerlin.com.br/spot-de-embutir-led-5w-luz-amarela-inspire-bivolt_89691056</t>
  </si>
  <si>
    <t>SUSTENTA LED</t>
  </si>
  <si>
    <t>(11) 5678-7018</t>
  </si>
  <si>
    <t>33.779.899/0001-41</t>
  </si>
  <si>
    <t>https://www.sustentaled.com.br/spot-led-cob-1w-redondo-embutir-branco-frio-6000k?utm_source=Site&amp;utm_medium=GoogleMerchant&amp;utm_campaign=GoogleMerchant&amp;gclid=CjwKCAjwkYGVBhArEiwA4sZLuFeMoX755dOgIRyTYDEJiYMlj9m6JDKoeqWxs3PqArPsqqzHqMqo-RoCxFMQAvD_BwE</t>
  </si>
  <si>
    <t>https://www.americanas.com.br/produto/3715445724?epar=bp_pl_00_go_mv_pmax_geral&amp;opn=YSMESP&amp;WT.srch=1&amp;offerId=6116b074549cd5594f708ce4&amp;gclid=CjwKCAjwkYGVBhArEiwA4sZLuE0Xfuh9kShOUUcdGuUmN5eVyICwnWAzdOajDtx5mdz8hzDlQfMHwhoCdsIQAvD_BwE</t>
  </si>
  <si>
    <t>https://www.magazineluiza.com.br/pendente-decorativo-rettangolare-madeslustre-castanho-madelustre/p/kagh4gkhgf/cj/lzpn/?&amp;seller_id=madeiramadeira-openapi&amp;utm_source=google&amp;utm_medium=pla&amp;utm_campaign=&amp;partner_id=60721&amp;gclid=CjwKCAjwkYGVBhArEiwA4sZLuP3GpCJaHWegtUPmINextjc45uCCrC6NNzJBruUSogfHjcs7IXBZHRoCQqMQAvD_BwE&amp;gclsrc=aw.ds</t>
  </si>
  <si>
    <t>TUDO HIDRAULICA E ELETRICA</t>
  </si>
  <si>
    <t>GABRIEL SOARES</t>
  </si>
  <si>
    <t>MIND</t>
  </si>
  <si>
    <t>(11) 3003-3516</t>
  </si>
  <si>
    <t>00.399.603/0008-84</t>
  </si>
  <si>
    <t>https://www.casamind.com.br/2000039-luminaria-pendente-slim/p?idsku=9001904</t>
  </si>
  <si>
    <t>HOMETEKA</t>
  </si>
  <si>
    <t>(31) 98222-2191</t>
  </si>
  <si>
    <t>18.143.426/0001-60</t>
  </si>
  <si>
    <t>https://www.hometeka.com.br/loja/luminaria-pendente-slim.html?franq=50389</t>
  </si>
  <si>
    <t>FUBBA</t>
  </si>
  <si>
    <t>(11) 3232-1617</t>
  </si>
  <si>
    <t>07.712.051/0001-95</t>
  </si>
  <si>
    <t>https://www.fubba.com.br/ambientes/sala/pendente-slim?parceiro=1949</t>
  </si>
  <si>
    <t>https://www.americanas.com.br/produto/82486700?epar=bp_pl_00_go_mv_pmax_geral&amp;opn=YSMESP&amp;WT.srch=1&amp;offerId=5cf7b6d0f216c95bde3c0745&amp;gclid=CjwKCAjwkYGVBhArEiwA4sZLuFpItYLe9c1QFFCCbqNvZtT5h_AkYbgVpd_1vwyGkjEObhYg3keA2BoC7jAQAvD_BwE&amp;cor=preto&amp;voltagem=bivolt</t>
  </si>
  <si>
    <t>https://www.magazineluiza.com.br/lustre-pendente-anel-ring-preto-1-arco-20w-40cm-led-integrado-bivolt-st459-starlumen/p/dahhf5e629/cj/lpea/?&amp;seller_id=vicente&amp;utm_source=google&amp;utm_medium=pla&amp;utm_campaign=&amp;partner_id=66494&amp;gclid=CjwKCAjwkYGVBhArEiwA4sZLuJZ8MYs71QYvg1DFKPxzy6AaNLLB1ta2QM55oADLS8ffwxE16P68choC60IQAvD_BwE&amp;gclsrc=aw.ds</t>
  </si>
  <si>
    <t>https://www.yamamura.com.br/fita-de-led-5w-por-metro-12v-6500k-5m-ip20-p9173412-p11726?tsid=27&amp;gclid=CjwKCAjwkYGVBhArEiwA4sZLuM5fsPEL4-9LTjjAy6E6n6OsYNEjDIwltGIFoJHWAaGE3eSICTvJtRoCqrkQAvD_BwE</t>
  </si>
  <si>
    <t>https://www.magazineluiza.com.br/fita-led-profissional-5w-m-6500k-ip20-12v-450lm-5m-stella-sth7804-65-luminiart/p/kcc3j4e604/cj/fted/?&amp;seller_id=luminiartsolucaoeletrica</t>
  </si>
  <si>
    <t>JOÃO PAULO ALVES</t>
  </si>
  <si>
    <t>MUNDIAL TENDAS</t>
  </si>
  <si>
    <t>(65) 3624-7729</t>
  </si>
  <si>
    <t>11117868/0001-23</t>
  </si>
  <si>
    <t>GRACIELLE</t>
  </si>
  <si>
    <t>https://www.americanas.com.br/produto/3997775501?epar=bp_pl_00_go_agro_pmax_geral&amp;opn=YSMESP&amp;WT.srch=1&amp;offerId=6150e22709c351890d41bbea&amp;gclid=CjwKCAjwtIaVBhBkEiwAsr7-c3FB_nURinITjrhADYwdmoeoM2dhKl9Fn8bWlBFrpC7hyx0Xjo89lxoCIvwQAvD_BwE</t>
  </si>
  <si>
    <t> 0800 773 3838</t>
  </si>
  <si>
    <t>https://www.magazineluiza.com.br/sirene-eletromecanica-eg-101-1500m-110v-1-1a-engesig/p/ak4f8h0ae6/pi/sidi/?&amp;seller_id=eletrorastro&amp;utm_source=google&amp;utm_medium=pla&amp;utm_campaign=&amp;partner_id=64262&amp;&amp;&amp;utm_source=google&amp;utm_medium=pla&amp;utm_campaign=&amp;partner_id=58984&amp;gclid=CjwKCAjwy_aUBhACEiwA2IHHQB6rMeFSmc2h-HwqJ6V-lYHK0odSeGndQqWIJaTOCFpWwwr3hSuazRoCPMkQAvD_BwE&amp;gclsrc=aw.ds</t>
  </si>
  <si>
    <t>https://www.americanas.com.br/produto/103984957?epar=bp_pl_00_go_cc_pmax_geral&amp;opn=YSMESP&amp;WT.srch=1&amp;offerId=5d3f50baf216c95bde18f398&amp;gclid=CjwKCAjwy_aUBhACEiwA2IHHQDyL_YLjgahX2xW2OXCWCGBVox3-__9IaLCCV_Nv6yENYVrzSX6IjhoC-aIQAvD_BwE&amp;voltagem=220V</t>
  </si>
  <si>
    <t>R&amp;A EXTINTTORES</t>
  </si>
  <si>
    <t>(11) 3982-4952</t>
  </si>
  <si>
    <t>14.314.086/0001-31 </t>
  </si>
  <si>
    <t>https://www.raextintores.com.br/botoeira-alarme-de-incendio-com-martelo?utm_source=Site&amp;utm_medium=GoogleMerchant&amp;utm_campaign=GoogleMerchant&amp;gclid=CjwKCAjwy_aUBhACEiwA2IHHQPV9w88DokGkOxQwFQ7NqWU4i5vSYuFd1D7pGXotvYEcsdohxGC_cRoCbLYQAvD_BwE</t>
  </si>
  <si>
    <t>MEGA THIOR</t>
  </si>
  <si>
    <t>(11)43951324</t>
  </si>
  <si>
    <t>40.863.901/0001-21</t>
  </si>
  <si>
    <t>https://www.megathor.com.br/botoeira-alarme-de-incendio-quebra-vidro?parceiro=2543</t>
  </si>
  <si>
    <t>HIDRAUCVONEXLOJA</t>
  </si>
  <si>
    <t>(31) 3568-9125</t>
  </si>
  <si>
    <t> 21.951.873/0001-50</t>
  </si>
  <si>
    <t>https://www.hidrauconexloja.com.br/produto/registro-gaveta-bronze-c-volante-1510-predial-de-2-docol.html?utm_source=Site&amp;utm_medium=GoogleMerchant&amp;utm_campaign=GoogleMerchant</t>
  </si>
  <si>
    <t>EDILAINE</t>
  </si>
  <si>
    <t>03.007.331/0001-41 </t>
  </si>
  <si>
    <t>https://produto.mercadolivre.com.br/MLB-2144273163-placa-de-sinalizaco-pvc-23x23cm-alarme-sonoro-e1-_JM?matt_tool=18956390&amp;utm_source=google_shopping&amp;utm_medium=organic&amp;quantity=5</t>
  </si>
  <si>
    <t>https://www.magazineluiza.com.br/placa-sinalizacao-fotoluminescente-e1-alarme-sonoro-incendio-look-placas-de-sinalizacao/p/ahgcfcej5b/pi/psds/?&amp;seller_id=lookplacasdesinalizacao</t>
  </si>
  <si>
    <t xml:space="preserve">CONTRA INCÊNDIO </t>
  </si>
  <si>
    <t>15.579.136/0001-75</t>
  </si>
  <si>
    <t>https://contraincendio.com.br/produto/sinalizacao-de-emergencia/equipamentos/placa-de-sinalizacao-extintor-fotoluminescente/?utm_source=Google+Shopping&amp;utm_medium=cpc&amp;utm_campaign=feed_contraincendio_google_shopping&amp;srsltid=AWLEVJwov1SQO-nDm6z0ErVX0yPYBwKLlxDVDbqjTdEt_se44ePhd7OyIbQ</t>
  </si>
  <si>
    <t>https://contraincendio.com.br/produto/sinalizacao-de-emergencia/equipamentos/placa-de-sinalizacao-hidrante-mangueira-fotoluminescente/</t>
  </si>
  <si>
    <t>https://contraincendio.com.br/produto/sinalizacao-de-emergencia/orientacao-e-salvamento/placa-de-sinalizacao-em-caso-de-incendio-nao-use-o-elavador-fotoluminescente/?removed_item=1</t>
  </si>
  <si>
    <t>FIREX 79931</t>
  </si>
  <si>
    <t>https://contraincendio.com.br/produto/sinalizacao-de-emergencia/proibicao-e-alerta/placa-de-sinalizacao-perigo-inflamavel/?removed_item=1</t>
  </si>
  <si>
    <t>https://contraincendio.com.br/produto/sinalizacao-de-emergencia/orientacao-e-salvamento/placa-de-sinalizacao-saida-para-direita-fotoluminescente/</t>
  </si>
  <si>
    <t>https://contraincendio.com.br/produto/sinalizacao-de-emergencia/orientacao-e-salvamento/placa-de-sinalizacao-saida-para-esquerda-fotoluminescente/</t>
  </si>
  <si>
    <t>https://contraincendio.com.br/produto/sinalizacao-de-emergencia/orientacao-e-salvamento/placa-de-sinalizacao-saida-de-emergencia-fotoluminescente/</t>
  </si>
  <si>
    <t>LOJA VIARIA</t>
  </si>
  <si>
    <t>(41) 98785-4715</t>
  </si>
  <si>
    <t>13.851.664/0001-06</t>
  </si>
  <si>
    <t>https://www.lojaviaria.com.br/placa-fotoluminescente-escada-de-emergencia-25x15cm?utm_source=Site&amp;utm_medium=GoogleMerchant&amp;utm_campaign=GoogleMerchant&amp;srsltid=AWLEVJzPgcG54ChCYVws5KVBWRl3B77Hit7IJZJYrp8itUJ0CaBgdYigFOo</t>
  </si>
  <si>
    <t>https://contraincendio.com.br/produto/sinalizacao-de-emergencia/orientacao-e-salvamento/placa-de-sinalizacao-escada-desce-para-direita-fotoluminescente/</t>
  </si>
  <si>
    <t>https://www.lojaviaria.com.br/fita-de-demarcacao-de-solo-30-metros-vermelha-48-mm?utm_source=Site&amp;utm_medium=GoogleMerchant&amp;utm_campaign=GoogleMerchant&amp;sku=50FC0018&amp;srsltid=AWLEVJzp-C_wjOgXvfM1MLXWTRRrSv9i-zMjJsPqghuCoIBxawy_xZ_ggP0</t>
  </si>
  <si>
    <t>(11) 5525-9744</t>
  </si>
  <si>
    <t>53.840.542/0002-10</t>
  </si>
  <si>
    <t>https://www.elastobor.com.br/suporte-de-chao-elastobor-para-extintor-pqs-170mm/p?idsku=161635007</t>
  </si>
  <si>
    <t>https://contraincendio.com.br/produto/abrigos/suporte-de-chao-para-extintor-de-incendio-cromado/</t>
  </si>
  <si>
    <t>https://www.americanas.com.br/produto/4673905146?opn=YSMESP&amp;offerId=61f1a5c0d9fd6edeec8912f1&amp;srsltid=AWLEVJw82PHqwHj_BzXEX53JQwTKB8YS6-AosKCBpc2AXbGK8taQH8VdJvw</t>
  </si>
  <si>
    <t>CASAS BAHIA</t>
  </si>
  <si>
    <t>https://www.casasbahia.com.br/bateria-selada-12v-5a-green-1533393559/p/1533393559?utm_medium=Cpc&amp;utm_source=google_freelisting&amp;IdSku=1533393559&amp;idLojista=81920&amp;tipoLojista=3P</t>
  </si>
  <si>
    <t>https://www.americanas.com.br/produto/4816468731?epar=bp_pl_00_go_auto_pmax_acessorios&amp;opn=YSMESP&amp;WT.srch=1&amp;offerId=6230d8a887c00289c25a08e6&amp;gclid=CjwKCAjwv-GUBhAzEiwASUMm4qTdPhdotJ5CUlC3qfiWaND733awmqQF0QFovA2uJzyfLTpQiO9JzRoCO5AQAvD_BwE</t>
  </si>
  <si>
    <t>https://www.magazineluiza.com.br/bateria-selada-moura-12v-5a/p/bh286a9jef/cj/bsse/?&amp;seller_id=masterdigitalecommerce&amp;utm_source=google&amp;utm_medium=pla&amp;utm_campaign=&amp;partner_id=64262&amp;&amp;&amp;utm_source=google&amp;utm_medium=pla&amp;utm_campaign=&amp;partner_id=58984&amp;gclid=CjwKCAjwv-GUBhAzEiwASUMm4o_enIG8ZJdL_7ejiyb6ONEa-D32iC_SWNd6SfNdCC14d3JX-WA2SRoCPe4QAvD_BwE&amp;gclsrc=aw.ds</t>
  </si>
  <si>
    <t xml:space="preserve"> (31) 3359-9000</t>
  </si>
  <si>
    <t xml:space="preserve"> 17.155.342/0006-98</t>
  </si>
  <si>
    <t>http://www.lojaeletrica.com.br/rolo-seal-tube-galvanizado-pvc-h-34-5-metros,product,2491400000765,dept,0.aspx</t>
  </si>
  <si>
    <t>https://www.dimensional.com.br/eletroduto-seal-tubo-ac-pvc-3-4-ssp6034/p?idsku=939203</t>
  </si>
  <si>
    <t>https://www.santil.com.br/produto/tubo-flexivel-sealtubo-34-preto-5-metros-decalflex/2881707?gclid=CjwKCAjwtIaVBhBkEiwAsr7-cwr07acJFQ7-LMGAHplezZKLaXA_8RrTn697xF6wOmjrcMR3WgSr0BoC1f8QAvD_BwE</t>
  </si>
  <si>
    <t>PETEL 3146421</t>
  </si>
  <si>
    <t>22760075/0001-03</t>
  </si>
  <si>
    <t>FELIPE DA SILVA</t>
  </si>
  <si>
    <t>PIZZATTO N 643701</t>
  </si>
  <si>
    <t>(65) 36272777</t>
  </si>
  <si>
    <t>039892170002-45</t>
  </si>
  <si>
    <t>JOAO PAULO</t>
  </si>
  <si>
    <t>TUDO HIDRÁULICA E ELÉTRICA N 58200</t>
  </si>
  <si>
    <t>PIZZATTON 643701</t>
  </si>
  <si>
    <t>GABRIEL</t>
  </si>
  <si>
    <t>COTELETRICA N 56664</t>
  </si>
  <si>
    <t>(65) 99625-7871</t>
  </si>
  <si>
    <t>DIRCEU</t>
  </si>
  <si>
    <t>ELETRICA PARANA N. 599738</t>
  </si>
  <si>
    <t>DANIEL</t>
  </si>
  <si>
    <t>TUDO HIDRÁULICA E ELÉTRICA N. 58119</t>
  </si>
  <si>
    <t>ELETRICA PARANA N 599738</t>
  </si>
  <si>
    <t>PETEL N° 3146421</t>
  </si>
  <si>
    <t>TUDO HIDRÁULICA E ELÉTRICA Nº 58119</t>
  </si>
  <si>
    <t>TUDO HIDRÁULICA E ELÉTRICA Nº 58200</t>
  </si>
  <si>
    <t>ELETRICA PARANA Nº 599738</t>
  </si>
  <si>
    <t>COTELETRICA MATERIAIS ELETRICOS N° 56664</t>
  </si>
  <si>
    <t>65-3388-0800</t>
  </si>
  <si>
    <t>COTELETRICA N°56.664</t>
  </si>
  <si>
    <t>ELETRICA PARANA Nº 450299</t>
  </si>
  <si>
    <t>JOVANE</t>
  </si>
  <si>
    <t>PIZZATTO N° 643701</t>
  </si>
  <si>
    <t>ELETROFIOS N° 223.955</t>
  </si>
  <si>
    <t>FELIPE</t>
  </si>
  <si>
    <t>MOINHO MATERIAIS 569683</t>
  </si>
  <si>
    <t>07790953/0002-20</t>
  </si>
  <si>
    <t>HELEN</t>
  </si>
  <si>
    <t>WBXRACKS N° 9100</t>
  </si>
  <si>
    <t>comercial@wbxracks.com.br</t>
  </si>
  <si>
    <t>KADRI N°21116</t>
  </si>
  <si>
    <t>RUANDER</t>
  </si>
  <si>
    <t>37470911/0001-92</t>
  </si>
  <si>
    <t>FELIPE MATHEUS</t>
  </si>
  <si>
    <t>https://produto.mercadolivre.com.br/MLB-2076005570-patch-cord-furukawa-cat6-injetado-gigalan-25-mts-original-_JM?matt_tool=31508429&amp;matt_word=&amp;matt_source=google&amp;matt_campaign_id=14303413595&amp;matt_ad_group_id=125984286477&amp;matt_match_type=&amp;matt_network=g&amp;matt_device=c&amp;matt_creative=539354956065&amp;matt_keyword=&amp;matt_ad_position=&amp;matt_ad_type=pla&amp;matt_merchant_id=371784385&amp;matt_product_id=MLB2076005570&amp;matt_product_partition_id=1636348405419&amp;matt_target_id=pla-1636348405419&amp;gclid=EAIaIQobChMIrfyDkfCY-AIVxG1vBB3CqAonEAQYASABEgLX9fD_BwE</t>
  </si>
  <si>
    <t xml:space="preserve"> 0800-038-0541</t>
  </si>
  <si>
    <t>https://www.amazon.com.br/Passa-Cabo-Horizontal-1ux19-Preto/dp/B07X27JM6B/ref=asc_df_B07X27JM6B/?tag=googleshopp00-20&amp;linkCode=df0&amp;hvadid=379720664788&amp;hvpos=&amp;hvnetw=g&amp;hvrand=7086646470848575354&amp;hvpone=&amp;hvptwo=&amp;hvqmt=&amp;hvdev=c&amp;hvdvcmdl=&amp;hvlocint=&amp;hvlocphy=9101894&amp;hvtargid=pla-1210992756469&amp;psc=1</t>
  </si>
  <si>
    <t>KABUM</t>
  </si>
  <si>
    <t>(19) 2114-4444</t>
  </si>
  <si>
    <t>05.570.714/0001-59</t>
  </si>
  <si>
    <t>https://www.kabum.com.br/precarrinho/265912/0</t>
  </si>
  <si>
    <t>https://www.amazon.com.br/Patch-Panel-Sohoplus-Dispositivos-Conex%C3%A3o/dp/B075M5H5W1/ref=asc_df_B075M5H5W1/?tag=googleshopp00-20&amp;linkCode=df0&amp;hvadid=426290880434&amp;hvpos=&amp;hvnetw=g&amp;hvrand=12245479187788328305&amp;hvpone=&amp;hvptwo=&amp;hvqmt=&amp;hvdev=c&amp;hvdvcmdl=&amp;hvlocint=&amp;hvlocphy=1001602&amp;hvtargid=pla-893456088953&amp;psc=1</t>
  </si>
  <si>
    <t>https://www.kabum.com.br/precarrinho/253590/0</t>
  </si>
  <si>
    <t>https://www.americanas.com.br/produto/3277251611?epar=bp_pl_00_go_cc_pmax_geral&amp;opn=YSMESP&amp;WT.srch=1&amp;offerId=609adef952131c3c81a2d56d&amp;gclid=EAIaIQobChMIvrCpmYCZ-AIVAcORCh2STw6YEAQYAyABEgLi1_D_BwE</t>
  </si>
  <si>
    <t>https://produto.mercadolivre.com.br/MLB-2016474276-power-balun-16-canais-full-hd-caliment-vb-1016-wp-intelbras-_JM?matt_tool=56291529&amp;matt_word=&amp;matt_source=google&amp;matt_campaign_id=14303413604&amp;matt_ad_group_id=133074303519&amp;matt_match_type=&amp;matt_network=g&amp;matt_device=c&amp;matt_creative=584156655498&amp;matt_keyword=&amp;matt_ad_position=&amp;matt_ad_type=pla&amp;matt_merchant_id=210066641&amp;matt_product_id=MLB2016474276&amp;matt_product_partition_id=1413191054866&amp;matt_target_id=aud-378637574381:pla-1413191054866&amp;gclid=EAIaIQobChMIvrCpmYCZ-AIVAcORCh2STw6YEAQYBSABEgL4iPD_BwE</t>
  </si>
  <si>
    <t>https://www.kabum.com.br/produto/303803/power-balun-16-canais-full-hd-com-alimentacao-vb-1016-wp-intelbras?gclid=EAIaIQobChMIvrCpmYCZ-AIVAcORCh2STw6YEAQYCCABEgKwzfD_BwE</t>
  </si>
  <si>
    <t>https://www.magazineluiza.com.br/conversor-de-video-balun-onix-security-rj45/p/ke2d7dg0jc/cj/csbu/</t>
  </si>
  <si>
    <t>TUDO FORTE</t>
  </si>
  <si>
    <t>(11) 3522-8255</t>
  </si>
  <si>
    <t>17.666.002/0001-17</t>
  </si>
  <si>
    <t>https://www.tudoforte.com.br/conversor-balun-passivo-intelbras-vb-501-p-compativeis-com-analogicas-hd-full-hd-4mp-e-4k?parceiro=6347&amp;gclid=EAIaIQobChMIwrTZmYOZ-AIV-kFIAB2pawNREAQYAiABEgLW3vD_BwE</t>
  </si>
  <si>
    <t>COTELETRICA MATERIAIS ELETRICOS N° 52260</t>
  </si>
  <si>
    <t>LMG HIDRAULICA E ELETRICA LTDA N° 58200</t>
  </si>
  <si>
    <t>https://www.eletrorastro.com.br/produto/cruzeta-plana-horizontal-100x50-inbraell-91315?utm_source=google&amp;utm_medium=cpc&amp;utm_campaign=</t>
  </si>
  <si>
    <t>https://produto.mercadolivre.com.br/MLB-1976485952-t-horizontal-90g-300x50-perfurado-inbraell-_JM?matt_tool=14804773&amp;matt_word=&amp;matt_source=google&amp;matt_campaign_id=14302215543&amp;matt_ad_group_id=134553705348&amp;matt_match_type=&amp;matt_network=g&amp;matt_device=c&amp;matt_creative=539425529185&amp;matt_keyword=&amp;matt_ad_position=&amp;matt_ad_type=pla&amp;matt_merchant_id=224335285&amp;matt_product_id=MLB1976485952&amp;matt_product_partition_id=1404320022641&amp;matt_target_id=pla-1404320022641&amp;gclid=CjwKCAjwv-GUBhAzEiwASUMm4muI6DG_fEo8-K0nKDUDDPqdNRMa1oIiTXcghoLX22dFWEIF1_8hMBoCTNYQAvD_BwE</t>
  </si>
  <si>
    <t>Rack Piso Fechado 44U x 700mm</t>
  </si>
  <si>
    <t>MOINHO MATERIAIS PARA CONSTRUÇÃO N° 569.683</t>
  </si>
  <si>
    <t>TUDO HIDRÁULICA E ELÉTRICA N°38542</t>
  </si>
  <si>
    <t>PAULO FERNANDO</t>
  </si>
  <si>
    <t xml:space="preserve">PEAD BRASIL </t>
  </si>
  <si>
    <t>(19) 3326-1186</t>
  </si>
  <si>
    <t>03507415/0004-97</t>
  </si>
  <si>
    <t>RENATA</t>
  </si>
  <si>
    <t>FGS BRASIL</t>
  </si>
  <si>
    <t>JENNIFER</t>
  </si>
  <si>
    <t>CIDADE VERDE PAISAGISMO LTDA SNº</t>
  </si>
  <si>
    <t>RLS PAISAGISMO N°1651</t>
  </si>
  <si>
    <t>MEU MUNDO ACESSIVEL n° 4777</t>
  </si>
  <si>
    <t>DIRECT BORRACHAS N°28593</t>
  </si>
  <si>
    <t>GISELE</t>
  </si>
  <si>
    <t>INOVA ACESSIBILIDADE N°179</t>
  </si>
  <si>
    <t>INOVA ACESSIBILIDADE N°130</t>
  </si>
  <si>
    <t>DIRECT BORRACHAS N°10752</t>
  </si>
  <si>
    <t>MEU MUNDO ACESSIVEL n° 4771</t>
  </si>
  <si>
    <t>KALUNGA</t>
  </si>
  <si>
    <t>https://www.kalunga.com.br/prod/fita-dupla-face-3m-scotch-fixa-forte-fixacao-extrema-24-mm-x-2-m-3m-bt-1-un/301633?pcID=115&amp;gclid=EAIaIQobChMIr-74rbab-AIVgQnnCh3WkA3DEAQYBCABEgIc7fD_BwE</t>
  </si>
  <si>
    <t>https://www.americanas.com.br/produto/4709980069?epar=bp_pl_00_go_cc_pmax_geral&amp;opn=YSMESP&amp;WT.srch=1&amp;offerId=61fe3817d9fd6edeecaff79b&amp;gclid=CjwKCAjwv-GUBhAzEiwASUMm4r5cHgOYFqqvwSxyzIdAbnhmEi4G2SiOYj8CEk5QRS7iQAM127sD8RoCRnsQAvD_BwE&amp;modelo=Ambiente%20Interno%2FExterno&amp;capacidade=20%20cm%20-%20suportam%20at%C3%A9%205kg&amp;quantidade=2%20mts&amp;marca=3M</t>
  </si>
  <si>
    <t>Fita Dupla Face Scotch Fixa Forte Transparente 24mm x 2m - 3M (santil.com.br)</t>
  </si>
  <si>
    <t>GIZELE</t>
  </si>
  <si>
    <t>MEU MUNDO ACESSIVEL n° 4772</t>
  </si>
  <si>
    <t>FERMAT N° 263276-0</t>
  </si>
  <si>
    <t>MT AÇO N° 20845</t>
  </si>
  <si>
    <t>MUNDIAL AÇO Nº3236</t>
  </si>
  <si>
    <t>PAULO HENRIQUE</t>
  </si>
  <si>
    <t>PIRES MARTINS</t>
  </si>
  <si>
    <t>(16) 2133-0863</t>
  </si>
  <si>
    <t>58.512.658/0001-62</t>
  </si>
  <si>
    <t>https://www.piresmartins.com.br/barra-rosqueada-5-16-pol-unc/p/1658/</t>
  </si>
  <si>
    <t>https://produto.mercadolivre.com.br/MLB-2174458333-porca-de-parafuso-516-12-unf-sextavada-polida-200-unidade-_JM?matt_tool=18956390&amp;utm_source=google_shopping&amp;utm_medium=organic</t>
  </si>
  <si>
    <t>https://www.piresmartins.com.br/arruela-lisa-5-16-pol-100-pecas/p/1315/</t>
  </si>
  <si>
    <t>JULIANA ALVES DE ARRUDA</t>
  </si>
  <si>
    <t>03.658.692/0005-81</t>
  </si>
  <si>
    <t>GISELE ANGELA DE PAULA SILVA</t>
  </si>
  <si>
    <t>AÇOFER - Nº 2454480</t>
  </si>
  <si>
    <t>BRASLUM - Proposta nº 158565</t>
  </si>
  <si>
    <t xml:space="preserve">08.626.189/0001-34 </t>
  </si>
  <si>
    <t>03507415/0001-97</t>
  </si>
  <si>
    <t>https://www.madeiramadeira.com.br/tampa-tampao-de-chao-simples-de-ferro-fundido-80x80cm-750693742.html?origem=pla-750693742&amp;utm_source=google&amp;utm_medium=cpc&amp;utm_content=tampas-para-manilhas-1357&amp;utm_term=&amp;utm_id=12917563321&amp;gclid=Cj0KCQjwwJuVBhCAARIsAOPwGAQWLSNAVJcEpGLxsF3xvv0d5GCCwQIJPdUnPKbfFoUK86GzFKRHuqkaAmRQEALw_wcB</t>
  </si>
  <si>
    <t>https://www.americanas.com.br/produto/4830531919?epar=bp_pl_00_go_cc_pmax_geral&amp;opn=YSMESP&amp;WT.srch=1&amp;offerId=624a9dc887c00289c21f27c3&amp;gclid=Cj0KCQjwwJuVBhCAARIsAOPwGATJAO-f9kLvTxmGH31ebD61Lzafma3JHwQj2SKqqKe9wSNXZvnQGbwaAiYMEALw_wcB</t>
  </si>
  <si>
    <t>https://www.shoptime.com.br/produto/4830531919?epar=bp_pl_px_go_pmax_casaeconstrucao&amp;opn=GOOGLEXML&amp;WT.srch=1&amp;offerId=624a9dc901eed16e3976a34d&amp;gclid=Cj0KCQjwwJuVBhCAARIsAOPwGAS8iABjQ_utqW8ob_inHTsxAHgY1YDZqnM8TZcxyim1TPN29a9oiykaAhhFEALw_wcB</t>
  </si>
  <si>
    <t>00.776.574/0006-60 </t>
  </si>
  <si>
    <t>TUBO RETANGULAR DE METALON 50,0X50,0X1,5mm</t>
  </si>
  <si>
    <t>BLOCOS BRASIL</t>
  </si>
  <si>
    <t>(65) 3663-3778</t>
  </si>
  <si>
    <t xml:space="preserve">05.221.826/0001-02 </t>
  </si>
  <si>
    <t>MONIQUE</t>
  </si>
  <si>
    <t>EMILES AMORIM</t>
  </si>
  <si>
    <t>PAINELART</t>
  </si>
  <si>
    <t>(11) 23783524</t>
  </si>
  <si>
    <t>18.621.831/0001-46</t>
  </si>
  <si>
    <t>CEDAR PINHEIRO</t>
  </si>
  <si>
    <t>SULMETAIS</t>
  </si>
  <si>
    <t>(11) 2066-2801</t>
  </si>
  <si>
    <t xml:space="preserve"> 58.821.968/0002-40</t>
  </si>
  <si>
    <t>ANA CAROLINE</t>
  </si>
  <si>
    <t>23.429.903/0001-98</t>
  </si>
  <si>
    <t>https://www.iluminim.com.br/tubular-led-sobrepor-completa-36w-branco-frio?utm_source=Site&amp;utm_medium=GoogleMerchant&amp;utm_campaign=GoogleMerchant&amp;gclid=CjwKCAjw46CVBhB1EiwAgy6M4ino1BXPphSUKXCv8w25QMt5UPbpWrE6BQgjRLnxb9gOvacn5YaB0hoCc0MQAvD_BwE</t>
  </si>
  <si>
    <t xml:space="preserve">(11) 4210-0494
</t>
  </si>
  <si>
    <t>https://www.lumienergy.com.br/luminaria-led-blumenau-slim-de-sobrepor-36w-bivolt-6500k-luz-branca?utm_source=google&amp;utm_medium=Shopping&amp;utm_campaign=luminaria-led-blumenau-slim-de-sobrepor-36w-bivolt-6500k-luz-branca&amp;inStock&amp;gclid=CjwKCAjw46CVBhB1EiwAgy6M4ttTPpTzd0aC3gX_Ez35D18w8ZnvNStxc7Ma5MJ4yY3HH-PJ2bjjHRoCrPgQAvD_BwE</t>
  </si>
  <si>
    <t>LUMIENERGY</t>
  </si>
  <si>
    <t>14.977.876/0001-05</t>
  </si>
  <si>
    <t>(47) 99292-0298</t>
  </si>
  <si>
    <t>https://www.santil.com.br/produto/luminaria-led-slim-linear-sobrepor-36w-bivolt-luz-branca-120-cm-blumenau/471230?gclid=CjwKCAjw46CVBhB1EiwAgy6M4qCSOe_Xc_-30gdoUa__K8oZpAsoUvJkQmWQ1dQ50idl-7S_fW8LsRoCrF0QAvD_BwE</t>
  </si>
  <si>
    <t xml:space="preserve"> 49.474.398/0008-63</t>
  </si>
  <si>
    <t>https://www.magazineluiza.com.br/10-fitas-sinalizador-de-degraus-fotoluminescente-para-escada-lagge-acessibilidade/p/fd78dd807c/es/eapf/?&amp;seller_id=laggeacessibilidade</t>
  </si>
  <si>
    <t>https://www.americanas.com.br/produto/4201515553?opn=YSMESP&amp;offerId=6171c17a09c351890d455e50&amp;srsltid=AWLEVJxiqmy0aaCKqZ2JmzMgP2MCXEMaygeXXmrqck6boGAP4HxTZJH2728&amp;tamanho=7x3</t>
  </si>
  <si>
    <t>https://www.madeiramadeira.com.br/kit-50-fitas-fotoluminescente-7x3-para-degrau-727821974.html</t>
  </si>
  <si>
    <t>MUNDIAL AÇO - CARMINDO 3320</t>
  </si>
  <si>
    <t>TUBO RETANGULAR DE METALON 20,0X30,0 CH#20</t>
  </si>
  <si>
    <t>FERMAT 263874-0</t>
  </si>
  <si>
    <t>03.507.416/0004-97</t>
  </si>
  <si>
    <t>(65) 3027-9900</t>
  </si>
  <si>
    <t>02.019.067/0001-01</t>
  </si>
  <si>
    <t>ADILENE</t>
  </si>
  <si>
    <t>PERFILADOS MULTIAÇO 585316</t>
  </si>
  <si>
    <t>MARCELO</t>
  </si>
  <si>
    <t>PORMADE N  190015-1</t>
  </si>
  <si>
    <t>SARA COSTA</t>
  </si>
  <si>
    <t>ARTMAD PORTAS</t>
  </si>
  <si>
    <t>(65) 36344952</t>
  </si>
  <si>
    <t xml:space="preserve">27711621/0001-30 </t>
  </si>
  <si>
    <t>MIYAMOTO</t>
  </si>
  <si>
    <t>(47) 99120-0532</t>
  </si>
  <si>
    <t>17883267/0001-77</t>
  </si>
  <si>
    <t>OBS: COTAÇÃO DESCARTADA POIS O FORNECEDOR RECUSOU A MANDAR C/ FRETE INCLUSO</t>
  </si>
  <si>
    <t>15.375.991\0006-79</t>
  </si>
  <si>
    <t xml:space="preserve">DUCHA HIGIÊNICA, ACABAMENTO METALICO CROMADO - </t>
  </si>
  <si>
    <t>https://www.emporiodoadesivo.com.br/pelicula-para-vidro-seguranca-ps-4000-clear-1-52m-x-1-00m?parceiro=4167&amp;gclid=CjwKCAjw46CVBhB1EiwAgy6M4va1mVSM-uznU32cHrC2kuCanc4MFA_-T6OodVlsiF9vdWmXTlbWaBoC4lMQAvD_BwE</t>
  </si>
  <si>
    <t>https://produto.mercadolivre.com.br/MLB-2613331771-borracha-guarnico-p-esquadrias-de-aluminio-gua-007-50m-_JM?matt_tool=18956390&amp;utm_source=google_shopping&amp;utm_medium=organic</t>
  </si>
  <si>
    <t>ARTEZANA</t>
  </si>
  <si>
    <t>11 2797-7444</t>
  </si>
  <si>
    <t>550100600004-20</t>
  </si>
  <si>
    <t>https://www.magazineluiza.com.br/borracha-sd-813-epdm-guarnicao-janela-e-porta-rolo-10-metros-vcb/p/jk19b7jjfe/cj/vepo/?&amp;seller_id=vcb&amp;utm_source=google&amp;utm_medium=pla&amp;utm_campaign=&amp;partner_id=64262&amp;&amp;&amp;utm_source=google&amp;utm_medium=pla&amp;utm_campaign=&amp;partner_id=58984&amp;gclid=CjwKCAjw46CVBhB1EiwAgy6M4uy1zTlYCg1m827T309_dDs4dE7laUnvESp1lswEPaLg8oI9fIZethoCH44QAvD_BwE&amp;gclsrc=aw.ds</t>
  </si>
  <si>
    <t xml:space="preserve">PAULO </t>
  </si>
  <si>
    <t>CRUZETA HORIZONTAL 90º P/ELETROCALHA 200X50 MM</t>
  </si>
  <si>
    <t xml:space="preserve">GIULIANO SILVA </t>
  </si>
  <si>
    <t>37.432.150/0001-84</t>
  </si>
  <si>
    <t>IVANA</t>
  </si>
  <si>
    <t>03.386.955/0001-17</t>
  </si>
  <si>
    <t xml:space="preserve">BARRA ACO INOXIDAVEL, DN 10 MM 3/8''                                                                                                                                                                                                                                                                                                                                                                                   </t>
  </si>
  <si>
    <t>https://produto.mercadolivre.com.br/MLB-2658108844-barra-de-aco-inox-304-redondo-38-x-1-metro-kit-com-6pcs-_JM#position=1&amp;search_layout=stack&amp;type=item&amp;tracking_id=c5319fc2-adbd-40d3-9486-86b1f20c7772</t>
  </si>
  <si>
    <t>1.717.868/0001-23</t>
  </si>
  <si>
    <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t>
  </si>
  <si>
    <t>TAMPÃO FERRO FUNDIDO ARTICULADO</t>
  </si>
  <si>
    <t>MEGA THOR</t>
  </si>
  <si>
    <t>REGISTRO DE GAVETA 2.1/2" COM HASTE ASCENDENTE DE BRONZE</t>
  </si>
  <si>
    <t>https://www.megathor.com.br/placa-alarme-de-incendio-fotoluminescente</t>
  </si>
  <si>
    <t>GABRIEL BRANDÃO</t>
  </si>
  <si>
    <t>TUDO HIDRÁULICA E ELÉTRICA N 5819</t>
  </si>
  <si>
    <t>https://www.isinaliza.com/placa-37-andar-fotoluminescente-s17-37/p?idsku=16252&amp;gclid=CjwKCAjw46CVBhB1EiwAgy6M4tkgNP8eK_8Qv6L724TFRfswYe-StjQjwYc7u6V5BZQpjbuxMkQ6DxoCSC0QAvD_BwE</t>
  </si>
  <si>
    <t>BASE DECORATIVA PARA EXTINTORES</t>
  </si>
  <si>
    <t>FAST SECURITY</t>
  </si>
  <si>
    <t xml:space="preserve">(11) 93802-3849 </t>
  </si>
  <si>
    <t>30.844.828/0001-97</t>
  </si>
  <si>
    <t>https://www.fastsecurity.com.br/materias-eletricos/detector-de-temperatura-convencional-universal-dtc-421-un-intelbras</t>
  </si>
  <si>
    <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t>
  </si>
  <si>
    <t>BATERIA SELADA PARA CENTRAL DE ALARME E DETECÇÃO 12V/ 5A  - 08693/ORSE</t>
  </si>
  <si>
    <t>61.652.608/0001-95</t>
  </si>
  <si>
    <t>https://www.tramontinastore.com/reducao-com-rosca-1--x-3-4-_56124003/p?idsku=56124003&amp;gclid=CjwKCAjwnZaVBhA6EiwAVVyv9AokPrnKeuCXaF5SffQdl1xN6yXfN7i8E1EgG1-xMtz3hU7Jj58n9RoCg9sQAvD_BwE</t>
  </si>
  <si>
    <t>(19) 3446-7400</t>
  </si>
  <si>
    <t>Bucha Redução Metálica Eletroduto Alumínio Bsp 1.1/2x3/4" - 56124008 - TRAMONTINA - Dimensional</t>
  </si>
  <si>
    <t>(31) 3359-9000</t>
  </si>
  <si>
    <t>17.155.342/0006-98</t>
  </si>
  <si>
    <t>http://www.lojaeletrica.com.br/bucha-de-reducao-com-rosca-em-aluminio-1x34tramontina,product,2490302490087,dept,0.aspx</t>
  </si>
  <si>
    <t>ELÉTRICA PARANA N 599738</t>
  </si>
  <si>
    <t>072378580001-13</t>
  </si>
  <si>
    <t>DIRCEU DOS SANTOS</t>
  </si>
  <si>
    <t>AÇOFER N 2454643</t>
  </si>
  <si>
    <t>(11) 39983-000</t>
  </si>
  <si>
    <t>https://www.santil.com.br/produto/tampa-para-caixa-de-inspecao-em-ferro-fundido-300mm-paratec/2898181</t>
  </si>
  <si>
    <t>PETEL N 3146421</t>
  </si>
  <si>
    <t>https://www.santil.com.br/produto/suporte-u-reforcado-200x50mm-calhas-kennedy/2730546</t>
  </si>
  <si>
    <t>https://produto.mercadolivre.com.br/MLB-2165389120-suporte-horizontal-p-eletrocalha-100x100mm-_JM?quantity=10</t>
  </si>
  <si>
    <t>RC ELETRICA</t>
  </si>
  <si>
    <t>(11) 91009-3526</t>
  </si>
  <si>
    <t>33.890.737/0001-86</t>
  </si>
  <si>
    <t>https://rceletrica.com.br/produto/suporte-horizontal-para-eletrocalha-100x100mm/</t>
  </si>
  <si>
    <t>ELÉTRICA PARANÁ N° 599738</t>
  </si>
  <si>
    <t>ELETROCALHA METÁLICA  N°22 MEDIDAS: 200X50X300MM OU SIMILAR</t>
  </si>
  <si>
    <t>ELÉTRICA PARANÁ  N° 599738</t>
  </si>
  <si>
    <t>ELETROCALHA METÁLICAN22 MEDIDAS: 200X50X300MM) OU SIMILAR</t>
  </si>
  <si>
    <t>KADRI</t>
  </si>
  <si>
    <t>291809860001-00</t>
  </si>
  <si>
    <t>BIHOUSE</t>
  </si>
  <si>
    <t>(41) 3653-8429</t>
  </si>
  <si>
    <t>17375321/0001-73</t>
  </si>
  <si>
    <t>https://produto.mercadolivre.com.br/MLB-2602764898-power-video-balun-par-conector-rj45-p-bnc-8mp-alimentaco-_JM#position=2&amp;search_layout=stack&amp;type=pad&amp;tracking_id=6880355e-e724-40da-8ffd-832ad511b370#position=2&amp;search_layout=stack&amp;type=pad&amp;tracking_id=6880355e-e724-40da-8ffd-832ad511b370&amp;is_advertising=true&amp;ad_domain=VQCATCORE_LST&amp;ad_position=2&amp;ad_click_id=ZWU5MTU2ZjQtMDEwZi00MDUyLTg1YTEtYTAwZTZjMjNmYmFi</t>
  </si>
  <si>
    <t>https://www.eletrorastro.com.br/produto/curva-horizontal-90g-050x050-inbraell-85963</t>
  </si>
  <si>
    <t>ELETROCALHA METÁLICA  N°22 MEDIDAS: 150X50X300MM</t>
  </si>
  <si>
    <t>POLO FUNDIDOS</t>
  </si>
  <si>
    <t>(37) 3381-4086</t>
  </si>
  <si>
    <t>https://pollofundidos.com.br/produtos/ralo-semisferico-em-ferro-fundido-4-polegadas-10-cm/?pf=gs&amp;srsltid=AQP2TeO_IGoQdALxWT04pH9lOET8RPDCwNGlSQTUdtuLmJpUBvsnysbtg3o</t>
  </si>
  <si>
    <t>https://www.magazineluiza.com.br/ralo-semi-esferico-tipo-abacaxi-100mm-diametro-4-polegadas-costa-navarro/p/fd695b742h/cj/ragl/?&amp;seller_id=sfacabamentos</t>
  </si>
  <si>
    <t>HIDROJÁ</t>
  </si>
  <si>
    <t>unid</t>
  </si>
  <si>
    <t>(11) 5990-0357</t>
  </si>
  <si>
    <t>22.740.220/0001-94</t>
  </si>
  <si>
    <t>https://www.hidroja.com/ff-ralo-semi-esferico-ferro-fundido-dn-4?utm_source=Site&amp;utm_medium=GoogleMerchant&amp;utm_campaign=GoogleMerchant&amp;gclid=EAIaIQobChMIjdKjsvu0-AIVIuxcCh3V7AowEAQYASABEgJwV_D_BwE</t>
  </si>
  <si>
    <t>12.535.095/0001-27</t>
  </si>
  <si>
    <t xml:space="preserve">VIVEIROS MATO GROSSO </t>
  </si>
  <si>
    <t>26.998.073/0001-08</t>
  </si>
  <si>
    <t>MUDA DE GRAMA AMENDOIM.</t>
  </si>
  <si>
    <t>TAMAREIRA SILVESTRE H= 3,0 M</t>
  </si>
  <si>
    <t>MUDA DE CICA H= 50 CM</t>
  </si>
  <si>
    <t>MUDA DE DIANELA H= 50 CM</t>
  </si>
  <si>
    <t>MUDA DE MINI LANTANA AMARELA H= 50 CM</t>
  </si>
  <si>
    <t>MUDA DE ABACAXI ROXO H= 50 CM</t>
  </si>
  <si>
    <t>MUDA DE CLOROFITO H=50 CM</t>
  </si>
  <si>
    <t>MUDA DE AGAVE VARRIEGATA H=50 CM.</t>
  </si>
  <si>
    <t>MUDA DE AGAVE PALITO H=50 CM.</t>
  </si>
  <si>
    <t>MUDA DE BROMELIA NEOREGELIA VANDARM H=50 CM.</t>
  </si>
  <si>
    <t>MUDA DE SETECRÉSIA H=50 CM.</t>
  </si>
  <si>
    <t>MUDA DE MINI LANTANA LILAS H=50 CM.</t>
  </si>
  <si>
    <t>RABO DE RAPOSA H=3,50 M.</t>
  </si>
  <si>
    <t>MUDA DE CAPIM RUBRO NEGRO H=50 CM.</t>
  </si>
  <si>
    <t>MUDA DE PALMEIRA AZUL (BISMARCKIA) H=2,50 CM.</t>
  </si>
  <si>
    <t>MUDA DE RUSSÉLIA H=50 CM.</t>
  </si>
  <si>
    <t>MUDA DE PATA DE ELEFANTE H=70 CM.</t>
  </si>
  <si>
    <t>MUDA DE DRACAENA REFLEXA H=80 CM.</t>
  </si>
  <si>
    <t>MUDA DE PINHEIRO BUDISTA H=100 CM.</t>
  </si>
  <si>
    <t>MUDA DE AMOR AGARRADINHO H=50 CM.</t>
  </si>
  <si>
    <t>MUDA DE ESPIRRADEIRA ROSA H=50 CM.</t>
  </si>
  <si>
    <t>MUDA DE GUAIMBÊ H=60 CM.</t>
  </si>
  <si>
    <t>MUDA DE MORÉIA H=60 CM.</t>
  </si>
  <si>
    <t>MUDA DE AGÁVE DRAGÃO H=40 CM.</t>
  </si>
  <si>
    <t>MUDA DE PALMEIRA LEQUE H=100 CM.</t>
  </si>
  <si>
    <t>MUDA DE BAMBU MOSSO H=120 CM.</t>
  </si>
  <si>
    <t>MUDA DE PACOVÁ H=100 CM.</t>
  </si>
  <si>
    <t>MUDA DE ESPADA DE SÃO JORGE H=70 CM.</t>
  </si>
  <si>
    <t>BRITA BRANCA PARA JARDIM.</t>
  </si>
  <si>
    <t>LIMITADOR DE GRAMA</t>
  </si>
  <si>
    <t>MT</t>
  </si>
  <si>
    <t>https://www.americanas.com.br/produto/4874307441?epar=bp_pl_00_go_cc_pmax_geral&amp;opn=YSMESP&amp;WT.srch=1&amp;offerId=6247aa3487c00289c26671a7&amp;gclid=CjwKCAjwqauVBhBGEiwAXOepkS7fSRpJ84x_grsAUOrUjcujBTZGr6Q_GHcb-pg-pkxI2aAdbRQ-KxoCKkIQAvD_BwE&amp;cor=Verde&amp;tamanho=Grande</t>
  </si>
  <si>
    <t>GRAMA ESMERALDA.</t>
  </si>
  <si>
    <t>MAPA TÁTIL C/ PEDESTAL EM AÇO(40X60).</t>
  </si>
  <si>
    <t>PLACA TÁTIL ACRÍLICO EM ALTO RELEVO PARA SINALIZAÇÃO DE PORTAS DIVERSAS 20X8</t>
  </si>
  <si>
    <t>PLACA PARA ACESSO A PORTADORES DE DEFICIÊNCIA VISUAL COM A IDENTIFICAÇÃO DO RESPECTIVO AMBIENTE, IMPLANTADA NA PORTA DO BANHEIRO)(5X15)</t>
  </si>
  <si>
    <t>SINALIZAÇÃO DE DEGRAUS EM COR CONTRATASTE COM O PISO</t>
  </si>
  <si>
    <t>PLACA TATIL PARA CORRIMÃO ACRILICO 10X3</t>
  </si>
  <si>
    <t>PISO TATIL DIRECIONAL INTERNO CINZA (EM PORCELANATO) 25X25</t>
  </si>
  <si>
    <t>JESSICA</t>
  </si>
  <si>
    <t xml:space="preserve">PISO TATIL ALERTA INTERNO CINZA (EM PORCELANATO) 25X25. </t>
  </si>
  <si>
    <t>FITA DUPLA FACE 24MM 3M</t>
  </si>
  <si>
    <t>ADESIVO DE ESPAÇO RESERVADO PARA CADEIRANTE (1,2x0,8)</t>
  </si>
  <si>
    <t>AÇOFACIL</t>
  </si>
  <si>
    <t xml:space="preserve"> (65) 3637-2475</t>
  </si>
  <si>
    <t>03.989.217/0019-93</t>
  </si>
  <si>
    <t>ADEMIR</t>
  </si>
  <si>
    <t xml:space="preserve"> </t>
  </si>
  <si>
    <t>MOLDE PARA SOLDA EXOTÊRMICA</t>
  </si>
  <si>
    <t>https://produto.mercadolivre.com.br/MLB-2098217981-molde-forma-solda-exosolda-hcj-5850-3-_JM?matt_tool=18956390&amp;utm_source=google_shopping&amp;utm_medium=organic</t>
  </si>
  <si>
    <t>https://www.magazineluiza.com.br/molde-forma-solda-exosolda-hxs-5-8-50-4a-200-alta-camada/p/df0c11h13a/rc/rcnm/?&amp;seller_id=agrometal&amp;utm_source=google&amp;utm_medium=pla&amp;utm_campaign=&amp;partner_id=65409&amp;gclid=Cj0KCQjwnNyUBhCZARIsAI9AYlFNqKacM8AYr7_0uwZSHiIZ_sAwIsqqqTvQwLgTQFi6I2aE3Pu4xlIaAskSEALw_wcB&amp;gclsrc=aw.ds</t>
  </si>
  <si>
    <t>https://www.americanas.com.br/produto/4460253421?epar=bp_pl_00_go_cc_pmax_geral&amp;opn=YSMESP&amp;WT.srch=1&amp;offerId=61b23e87d9fd6edeeca20e53&amp;gclid=Cj0KCQjwnNyUBhCZARIsAI9AYlE2_FqkNFgMNW1DT1rCsV8iyVm9xdAvPFBvISg_9fWengYjnA_ONVQaAlcrEALw_wcB</t>
  </si>
  <si>
    <t xml:space="preserve">CASA E CONSTRUÇÃO </t>
  </si>
  <si>
    <t>(11) 40010100</t>
  </si>
  <si>
    <t>630040300030-20</t>
  </si>
  <si>
    <t>https://www.cec.com.br/pisos-e-revestimentos/porcelanatos/porcelanatos-ate-90x90/porcelanato-esmaltado-natural-borda-reta-artsy-cement-natural-marfim-</t>
  </si>
  <si>
    <t>(11) 4007-1380</t>
  </si>
  <si>
    <t>01438784/0048-60</t>
  </si>
  <si>
    <t>https://www.leroymerlin.com.br/porcelanato-interno-cimento-esmaltado-borda-reta-flat-90,2x90,2cm-eliane_89534242</t>
  </si>
  <si>
    <t>PORCELANATO 0,90X0,90m ARTSY CEMENT NATURAL, COR CINZA PORTOBELLO OU SIMILAR</t>
  </si>
  <si>
    <t>MERCADOLIVRE</t>
  </si>
  <si>
    <t>https://produto.mercadolivre.com.br/MLB-2639374694-suporte-guia-p-barra-chata-aluminio-e-cabo-pp-valor-10-pc-_JM#position=2&amp;search_layout=stack&amp;type=item&amp;tracking_id=353ec733-391d-4731-8110-a0843668af24</t>
  </si>
  <si>
    <t>JUSTIFICATIVA: NÃO FOI ENCONTRADO O ITEM</t>
  </si>
  <si>
    <t xml:space="preserve">ANA MARIA </t>
  </si>
  <si>
    <t>TIPO</t>
  </si>
  <si>
    <r>
      <t>SETOR DE VENDAS</t>
    </r>
    <r>
      <rPr>
        <b/>
        <sz val="10"/>
        <rFont val="Arial"/>
        <family val="2"/>
      </rPr>
      <t xml:space="preserve"> (OBS: NÃO FOI CONSIDERADO O SERVIÇO DE MONTAGEM DA LOJA) </t>
    </r>
  </si>
  <si>
    <t>CAIXA DE PASSAGEM 60X60X40CM EM ALVENARIA DE TIJOLO CERAMICO MACIÇO COM FUNDO EM CONCRETO E TAMPA DE FERRO, FORNECIMENTO E INSTALAÇÃO.</t>
  </si>
  <si>
    <t>CAIXA DE PASSAGEM 60X60X50CM EM ALVENARIA DE TIJOLO CERAMICO MACIÇO COM FUNDO EM CONCRETO E TAMPA DE FERRO, FORNECIMENTO E INSTALAÇÃO.</t>
  </si>
  <si>
    <t>CAIXA DE PASSAGEM 60X60X55CM EM ALVENARIA DE TIJOLO CERAMICO MACIÇO COM FUNDO EM CONCRETO E TAMPA DE FERRO, FORNECIMENTO E INSTALAÇÃO.</t>
  </si>
  <si>
    <t>CAIXA DE PASSAGEM 60X60X60CM EM ALVENARIA DE TIJOLO CERAMICO MACIÇO COM FUNDO EM CONCRETO E TAMPA DE FERRO, FORNECIMENTO E INSTALAÇÃO.</t>
  </si>
  <si>
    <t>CAIXA DE PASSAGEM 60X60X65CM EM ALVENARIA DE TIJOLO CERAMICO MACIÇO COM FUNDO EM CONCRETO E TAMPA DE FERRO, FORNECIMENTO E INSTALAÇÃO.</t>
  </si>
  <si>
    <t>CAIXA DE PASSAGEM 60X60X70CM EM ALVENARIA DE TIJOLO CERAMICO MACIÇO COM FUNDO EM CONCRETO E TAMPA DE FERRO, FORNECIMENTO E INSTALAÇÃO.</t>
  </si>
  <si>
    <t>CAIXA DE PASSAGEM 60X60X80CM EM ALVENARIA DE TIJOLO CERAMICO MACIÇO COM FUNDO EM CONCRETO E TAMPA DE FERRO, FORNECIMENTO E INSTALAÇÃO.</t>
  </si>
  <si>
    <t>CAIXA DE PASSAGEM 60X60X160CM EM ALVENARIA DE TIJOLO CERAMICO MACIÇO COM FUNDO EM CONCRETO E TAMPA DE FERRO, FORNECIMENTO E INSTALAÇÃO.</t>
  </si>
  <si>
    <t>CAIXA DE PASSAGEM 80X80X40CM EM ALVENARIA DE TIJOLO CERAMICO MACIÇO COM FUNDO EM CONCRETO E TAMPA DE FERRO, FORNECIMENTO E INSTALAÇÃO.</t>
  </si>
  <si>
    <t>CAIXA DE PASSAGEM 80X80X50CM EM ALVENARIA DE TIJOLO CERAMICO MACIÇO COM FUNDO EM CONCRETO E TAMPA DE FERRO, FORNECIMENTO E INSTALAÇÃO.</t>
  </si>
  <si>
    <t>CAIXA DE PASSAGEM 80X80X75CM EM ALVENARIA DE TIJOLO CERAMICO MACIÇO COM FUNDO EM CONCRETO E TAMPA DE FERRO, FORNECIMENTO E INSTALAÇÃO.</t>
  </si>
  <si>
    <t>CAIXA DE PASSAGEM 80X80X80CM EM ALVENARIA DE TIJOLO CERAMICO MACIÇO COM FUNDO EM CONCRETO E TAMPA DE FERRO, FORNECIMENTO E INSTALAÇÃO.</t>
  </si>
  <si>
    <t>CAIXA DE PASSAGEM 80X80X85CM EM ALVENARIA DE TIJOLO CERAMICO MACIÇO COM FUNDO EM CONCRETO E TAMPA DE FERRO, FORNECIMENTO E INSTALAÇÃO.</t>
  </si>
  <si>
    <t>CAIXA DE PASSAGEM 80X80X90CM EM ALVENARIA DE TIJOLO CERAMICO MACIÇO COM FUNDO EM CONCRETO E TAMPA DE FERRO, FORNECIMENTO E INSTALAÇÃO.</t>
  </si>
  <si>
    <t>CAIXA DE PASSAGEM 80X80X95CM EM ALVENARIA DE TIJOLO CERAMICO MACIÇO COM FUNDO EM CONCRETO E TAMPA DE FERRO, FORNECIMENTO E INSTALAÇÃO.</t>
  </si>
  <si>
    <t>CAIXA DE PASSAGEM 80X80X105CM EM ALVENARIA DE TIJOLO CERAMICO MACIÇO COM FUNDO EM CONCRETO E TAMPA DE FERRO, FORNECIMENTO E INSTALAÇÃO.</t>
  </si>
  <si>
    <t>CAIXA DE PASSAGEM 80X80X110CM EM ALVENARIA DE TIJOLO CERAMICO MACIÇO COM FUNDO EM CONCRETO E TAMPA DE FERRO, FORNECIMENTO E INSTALAÇÃO.</t>
  </si>
  <si>
    <t>CAIXA DE PASSAGEM 80X80X120CM EM ALVENARIA DE TIJOLO CERAMICO MACIÇO COM FUNDO EM CONCRETO E TAMPA DE FERRO, FORNECIMENTO E INSTALAÇÃO.</t>
  </si>
  <si>
    <t>CAIXA DE PASSAGEM 80X80X135CM EM ALVENARIA DE TIJOLO CERAMICO MACIÇO COM FUNDO EM CONCRETO E TAMPA DE FERRO, FORNECIMENTO E INSTALAÇÃO.</t>
  </si>
  <si>
    <t>CAIXA DE PASSAGEM 80X80X160CM EM ALVENARIA DE TIJOLO CERAMICO MACIÇO COM FUNDO EM CONCRETO E TAMPA DE FERRO, FORNECIMENTO E INSTALAÇÃO.</t>
  </si>
  <si>
    <t>CAIXA DE PASSAGEM 60X60X35CM EM ALVENARIA DE TIJOLO CERAMICO MACIÇO COM FUNDO EM CONCRETO E TAMPA DE CONCRETO, FORNECIMENTO E INSTALAÇÃO.</t>
  </si>
  <si>
    <t>CAIXA DE PASSAGEM 60X60X40CM EM ALVENARIA DE TIJOLO CERAMICO MACIÇO COM FUNDO EM CONCRETO E TAMPA DE CONCRETO, FORNECIMENTO E INSTALAÇÃO.</t>
  </si>
  <si>
    <t>CAIXA DE PASSAGEM 60X60X45CM EM ALVENARIA DE TIJOLO CERAMICO MACIÇO COM FUNDO EM CONCRETO E TAMPA DE CONCRETO, FORNECIMENTO E INSTALAÇÃO.</t>
  </si>
  <si>
    <t>CAIXA DE PASSAGEM 60X60X50CM EM ALVENARIA DE TIJOLO CERAMICO MACIÇO COM FUNDO EM CONCRETO E TAMPA DE CONCRETO, FORNECIMENTO E INSTALAÇÃO.</t>
  </si>
  <si>
    <t>CAIXA DE PASSAGEM 80X80X50CM EM ALVENARIA DE TIJOLO CERAMICO MACIÇO COM FUNDO EM CONCRETO E TAMPA DE CONCRETO, FORNECIMENTO E INSTALAÇÃO.</t>
  </si>
  <si>
    <t>CAIXA DE PASSAGEM 80X80X60CM EM ALVENARIA DE TIJOLO CERAMICO MACIÇO COM FUNDO EM CONCRETO E TAMPA DE CONCRETO, FORNECIMENTO E INSTALAÇÃO.</t>
  </si>
  <si>
    <t>CAIXA DE PASSAGEM 80X80X80CM EM ALVENARIA DE TIJOLO CERAMICO MACIÇO COM FUNDO EM CONCRETO E TAMPA DE CONCRETO, FORNECIMENTO E INSTALAÇÃO.</t>
  </si>
  <si>
    <t>CAIXA DE PASSAGEM 60X60X45CM EM ALVENARIA DE TIJOLO CERAMICO MACIÇO COM FUNDO EM CONCRETO E TAMPA DE AÇO, FORNECIMENTO E INSTALAÇÃO.</t>
  </si>
  <si>
    <t>CAIXA DE PASSAGEM 80X80X60CM EM ALVENARIA DE TIJOLO CERAMICO MACIÇO COM FUNDO EM CONCRETO E TAMPA DE AÇO, FORNECIMENTO E INSTALAÇÃO.</t>
  </si>
  <si>
    <t>CAIXA DE PASSAGEM 60X60X180CM EM ALVENARIA DE TIJOLO CERAMICO MACIÇO COM FUNDO EM CONCRETO E TAMPA DE AÇO, FORNECIMENTO E INSTALAÇÃO.</t>
  </si>
  <si>
    <t>CAIXA DE PASSAGEM 60X60X30CM EM ALVENARIA DE TIJOLO CERAMICO MACIÇO COM FUNDO EM CONCRETO E TAMPA DE FERRO, FORNECIMENTO E INSTALAÇÃO.</t>
  </si>
  <si>
    <t>13.4</t>
  </si>
  <si>
    <t>13.4.1</t>
  </si>
  <si>
    <t>13.4.1.1</t>
  </si>
  <si>
    <t>13.4.1.2</t>
  </si>
  <si>
    <t>13.4.2</t>
  </si>
  <si>
    <t>13.4.2.1</t>
  </si>
  <si>
    <t>13.4.2.2</t>
  </si>
  <si>
    <t>13.4.2.3</t>
  </si>
  <si>
    <t>13.4.2.4</t>
  </si>
  <si>
    <t>13.4.2.5</t>
  </si>
  <si>
    <t>13.4.2.6</t>
  </si>
  <si>
    <t>13.4.3</t>
  </si>
  <si>
    <t>13.4.3.1</t>
  </si>
  <si>
    <t>13.4.3.2</t>
  </si>
  <si>
    <t>13.4.3.3</t>
  </si>
  <si>
    <t>13.4.3.4</t>
  </si>
  <si>
    <t>Soma de P. TOTAL NÃO DESONERADO</t>
  </si>
  <si>
    <t>Soma de P. TOTAL NÃO DESONERADO2</t>
  </si>
  <si>
    <t>Soma de P. TOTAL NÃO DESONERADO3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</si>
</sst>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000_-;\-* #,##0.000_-;_-* &quot;-&quot;??_-;_-@_-"/>
    <numFmt numFmtId="166" formatCode="&quot;R$&quot;\ #,##0.00"/>
  </numFmts>
  <fonts count="45">
    <font>
      <sz val="11"/>
      <color theme="1"/>
      <name val="Calibri"/>
      <family val="2"/>
      <scheme val="minor"/>
    </font>
    <font>
      <sz val="11"/>
      <color theme="1"/>
      <name val="Calibri"/>
      <family val="2"/>
      <scheme val="minor"/>
    </font>
    <font>
      <sz val="11"/>
      <color rgb="FF000000"/>
      <name val="Calibri"/>
      <family val="2"/>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b/>
      <sz val="12"/>
      <color theme="1"/>
      <name val="Arial"/>
      <family val="2"/>
    </font>
    <font>
      <b/>
      <sz val="10"/>
      <color theme="1"/>
      <name val="Arial"/>
      <family val="2"/>
    </font>
    <font>
      <sz val="10"/>
      <color indexed="8"/>
      <name val="Arial"/>
      <family val="2"/>
    </font>
    <font>
      <sz val="9"/>
      <color indexed="81"/>
      <name val="Segoe UI"/>
      <family val="2"/>
    </font>
    <font>
      <b/>
      <sz val="9"/>
      <color indexed="81"/>
      <name val="Segoe UI"/>
      <family val="2"/>
    </font>
    <font>
      <sz val="9"/>
      <name val="Arial"/>
      <family val="2"/>
    </font>
    <font>
      <b/>
      <sz val="9"/>
      <name val="Arial"/>
      <family val="2"/>
    </font>
    <font>
      <sz val="11"/>
      <name val="Arial"/>
      <family val="2"/>
    </font>
    <font>
      <b/>
      <sz val="10"/>
      <name val="Arial"/>
      <family val="2"/>
    </font>
    <font>
      <sz val="11"/>
      <name val="Arial"/>
      <family val="1"/>
    </font>
    <font>
      <b/>
      <sz val="11"/>
      <name val="Arial"/>
      <family val="1"/>
    </font>
    <font>
      <sz val="11"/>
      <name val="Calibri"/>
      <family val="2"/>
      <scheme val="minor"/>
    </font>
    <font>
      <b/>
      <sz val="11"/>
      <name val="Calibri"/>
      <family val="2"/>
      <scheme val="minor"/>
    </font>
    <font>
      <b/>
      <sz val="11"/>
      <name val="Arial"/>
      <family val="2"/>
    </font>
    <font>
      <sz val="11"/>
      <color rgb="FF9C6500"/>
      <name val="Calibri"/>
      <family val="2"/>
      <scheme val="minor"/>
    </font>
    <font>
      <sz val="10"/>
      <color rgb="FFFF0000"/>
      <name val="Arial"/>
      <family val="2"/>
    </font>
    <font>
      <sz val="9"/>
      <color theme="1"/>
      <name val="Arial"/>
      <family val="2"/>
    </font>
    <font>
      <u/>
      <sz val="11"/>
      <color theme="10"/>
      <name val="Calibri"/>
      <family val="2"/>
      <scheme val="minor"/>
    </font>
    <font>
      <sz val="10"/>
      <name val="Courier New"/>
      <family val="3"/>
    </font>
    <font>
      <b/>
      <sz val="11"/>
      <color theme="0"/>
      <name val="Arial"/>
      <family val="2"/>
    </font>
    <font>
      <b/>
      <sz val="11"/>
      <color theme="0"/>
      <name val="Calibri"/>
      <family val="2"/>
      <scheme val="minor"/>
    </font>
    <font>
      <b/>
      <sz val="12"/>
      <name val="Arial"/>
      <family val="2"/>
    </font>
    <font>
      <sz val="12"/>
      <name val="Calibri"/>
      <family val="2"/>
      <scheme val="minor"/>
    </font>
    <font>
      <u/>
      <sz val="11"/>
      <name val="Calibri"/>
      <family val="2"/>
      <scheme val="minor"/>
    </font>
    <font>
      <u/>
      <sz val="10"/>
      <name val="Arial"/>
      <family val="2"/>
    </font>
    <font>
      <sz val="9"/>
      <name val="Roboto"/>
    </font>
    <font>
      <sz val="10"/>
      <name val="Calibri"/>
      <family val="2"/>
      <scheme val="minor"/>
    </font>
    <font>
      <sz val="15"/>
      <name val="Tahoma"/>
      <family val="2"/>
    </font>
    <font>
      <sz val="8"/>
      <name val="Courier"/>
      <family val="3"/>
    </font>
    <font>
      <sz val="8"/>
      <name val="Verdana"/>
      <family val="2"/>
    </font>
    <font>
      <b/>
      <u/>
      <sz val="11"/>
      <name val="Arial"/>
      <family val="2"/>
    </font>
    <font>
      <b/>
      <sz val="9"/>
      <name val="Calibri"/>
      <family val="2"/>
      <scheme val="minor"/>
    </font>
    <font>
      <sz val="8"/>
      <name val="Calibri"/>
      <family val="2"/>
      <scheme val="minor"/>
    </font>
    <font>
      <b/>
      <sz val="8"/>
      <name val="Calibri"/>
      <family val="2"/>
      <scheme val="minor"/>
    </font>
    <font>
      <b/>
      <sz val="16"/>
      <name val="Arial"/>
      <family val="2"/>
    </font>
    <font>
      <sz val="11"/>
      <name val="ARl"/>
    </font>
    <font>
      <sz val="11"/>
      <color theme="0"/>
      <name val="Calibri"/>
      <family val="2"/>
      <scheme val="minor"/>
    </font>
  </fonts>
  <fills count="20">
    <fill>
      <patternFill patternType="none"/>
    </fill>
    <fill>
      <patternFill patternType="gray125"/>
    </fill>
    <fill>
      <patternFill patternType="solid">
        <fgColor indexed="9"/>
        <bgColor indexed="8"/>
      </patternFill>
    </fill>
    <fill>
      <patternFill patternType="solid">
        <fgColor rgb="FFFFFF00"/>
        <bgColor indexed="64"/>
      </patternFill>
    </fill>
    <fill>
      <patternFill patternType="solid">
        <fgColor theme="0" tint="-0.14999847407452621"/>
        <bgColor indexed="8"/>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FFFFF"/>
      </patternFill>
    </fill>
    <fill>
      <patternFill patternType="solid">
        <fgColor theme="0"/>
        <bgColor indexed="64"/>
      </patternFill>
    </fill>
    <fill>
      <patternFill patternType="solid">
        <fgColor rgb="FFFFEB9C"/>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2" tint="-0.249977111117893"/>
        <bgColor indexed="64"/>
      </patternFill>
    </fill>
    <fill>
      <patternFill patternType="solid">
        <fgColor theme="0" tint="-0.249977111117893"/>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2">
    <xf numFmtId="0" fontId="0" fillId="0" borderId="0"/>
    <xf numFmtId="9" fontId="1" fillId="0" borderId="0" applyFont="0" applyFill="0" applyBorder="0" applyAlignment="0" applyProtection="0"/>
    <xf numFmtId="0" fontId="2" fillId="0" borderId="0"/>
    <xf numFmtId="43" fontId="1" fillId="0" borderId="0" applyFont="0" applyFill="0" applyBorder="0" applyAlignment="0" applyProtection="0"/>
    <xf numFmtId="0" fontId="4" fillId="0" borderId="0"/>
    <xf numFmtId="9" fontId="4" fillId="0" borderId="0"/>
    <xf numFmtId="0" fontId="1" fillId="0" borderId="0"/>
    <xf numFmtId="0" fontId="4" fillId="0" borderId="0"/>
    <xf numFmtId="0" fontId="22" fillId="10" borderId="0" applyNumberFormat="0" applyBorder="0" applyAlignment="0" applyProtection="0"/>
    <xf numFmtId="0" fontId="25"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13">
    <xf numFmtId="0" fontId="0" fillId="0" borderId="0" xfId="0"/>
    <xf numFmtId="43" fontId="0" fillId="0" borderId="0" xfId="3" applyFont="1"/>
    <xf numFmtId="0" fontId="3" fillId="0" borderId="0" xfId="0" applyFont="1"/>
    <xf numFmtId="0" fontId="5" fillId="0" borderId="1" xfId="0" applyFont="1" applyBorder="1"/>
    <xf numFmtId="0" fontId="5" fillId="0" borderId="0" xfId="0" applyFont="1"/>
    <xf numFmtId="43" fontId="5" fillId="0" borderId="0" xfId="3" applyFont="1"/>
    <xf numFmtId="0" fontId="7" fillId="0" borderId="1" xfId="0" applyFont="1" applyBorder="1"/>
    <xf numFmtId="0" fontId="7" fillId="0" borderId="0" xfId="0" applyFont="1"/>
    <xf numFmtId="0" fontId="0" fillId="0" borderId="0" xfId="0" applyFont="1"/>
    <xf numFmtId="0" fontId="0" fillId="3" borderId="0" xfId="0" applyFill="1"/>
    <xf numFmtId="0" fontId="5" fillId="0" borderId="8" xfId="0" applyFont="1" applyBorder="1" applyAlignment="1">
      <alignment horizontal="left"/>
    </xf>
    <xf numFmtId="0" fontId="5" fillId="0" borderId="0" xfId="0" applyFont="1" applyAlignment="1">
      <alignment horizontal="left"/>
    </xf>
    <xf numFmtId="43" fontId="5" fillId="0" borderId="9" xfId="3" applyFont="1" applyBorder="1"/>
    <xf numFmtId="0" fontId="10" fillId="2" borderId="1" xfId="2" applyNumberFormat="1" applyFont="1" applyFill="1" applyBorder="1" applyAlignment="1">
      <alignment horizontal="center" vertical="center" wrapText="1"/>
    </xf>
    <xf numFmtId="43" fontId="5" fillId="0" borderId="12" xfId="3" applyFont="1" applyBorder="1"/>
    <xf numFmtId="0" fontId="0" fillId="0" borderId="0" xfId="0" applyFill="1"/>
    <xf numFmtId="0" fontId="5" fillId="0" borderId="14" xfId="0" applyFont="1" applyBorder="1" applyAlignment="1">
      <alignment horizontal="left"/>
    </xf>
    <xf numFmtId="0" fontId="5" fillId="0" borderId="7" xfId="0" applyFont="1" applyBorder="1"/>
    <xf numFmtId="0" fontId="5" fillId="0" borderId="36" xfId="0" applyFont="1" applyBorder="1"/>
    <xf numFmtId="0" fontId="6" fillId="0" borderId="2" xfId="0" applyFont="1" applyBorder="1"/>
    <xf numFmtId="0" fontId="5" fillId="0" borderId="2" xfId="0" applyFont="1" applyBorder="1"/>
    <xf numFmtId="0" fontId="5" fillId="0" borderId="37" xfId="0" applyFont="1" applyBorder="1"/>
    <xf numFmtId="0" fontId="5" fillId="0" borderId="38" xfId="0" applyFont="1" applyBorder="1"/>
    <xf numFmtId="43" fontId="5" fillId="0" borderId="4" xfId="0" applyNumberFormat="1" applyFont="1" applyBorder="1"/>
    <xf numFmtId="0" fontId="5" fillId="0" borderId="4" xfId="0" applyFont="1" applyBorder="1"/>
    <xf numFmtId="0" fontId="5" fillId="0" borderId="30" xfId="0" applyFont="1" applyBorder="1"/>
    <xf numFmtId="43" fontId="5" fillId="0" borderId="5" xfId="3" applyFont="1" applyBorder="1"/>
    <xf numFmtId="43" fontId="5" fillId="0" borderId="8" xfId="3" applyFont="1" applyBorder="1"/>
    <xf numFmtId="43" fontId="5" fillId="0" borderId="10" xfId="3" applyFont="1" applyBorder="1"/>
    <xf numFmtId="43" fontId="6" fillId="0" borderId="8" xfId="3" applyFont="1" applyBorder="1"/>
    <xf numFmtId="43" fontId="6" fillId="0" borderId="4" xfId="0" applyNumberFormat="1" applyFont="1" applyBorder="1"/>
    <xf numFmtId="0" fontId="7" fillId="0" borderId="9" xfId="0" applyFont="1" applyBorder="1"/>
    <xf numFmtId="0" fontId="7" fillId="0" borderId="8" xfId="0" applyFont="1" applyBorder="1"/>
    <xf numFmtId="0" fontId="5" fillId="0" borderId="13" xfId="0" applyFont="1" applyBorder="1" applyAlignment="1">
      <alignment horizontal="left"/>
    </xf>
    <xf numFmtId="0" fontId="15" fillId="0" borderId="1" xfId="7" applyFont="1" applyFill="1" applyBorder="1" applyAlignment="1">
      <alignment horizontal="center" vertical="center"/>
    </xf>
    <xf numFmtId="0" fontId="5" fillId="0" borderId="0" xfId="0" applyFont="1" applyAlignment="1">
      <alignment horizontal="center"/>
    </xf>
    <xf numFmtId="0" fontId="5" fillId="0" borderId="1" xfId="0" applyFont="1" applyBorder="1" applyAlignment="1">
      <alignment horizontal="left"/>
    </xf>
    <xf numFmtId="0" fontId="5" fillId="0" borderId="8" xfId="0" applyFont="1" applyBorder="1" applyAlignment="1">
      <alignment horizontal="center"/>
    </xf>
    <xf numFmtId="0" fontId="5" fillId="0" borderId="10" xfId="0" applyFont="1" applyBorder="1" applyAlignment="1">
      <alignment horizontal="center"/>
    </xf>
    <xf numFmtId="0" fontId="5" fillId="0" borderId="39" xfId="0" applyFont="1" applyBorder="1" applyAlignment="1">
      <alignment horizontal="center"/>
    </xf>
    <xf numFmtId="0" fontId="5" fillId="0" borderId="5" xfId="0" applyFont="1" applyBorder="1" applyAlignment="1">
      <alignment horizontal="center"/>
    </xf>
    <xf numFmtId="0" fontId="5" fillId="0" borderId="5" xfId="0" applyFont="1" applyBorder="1" applyAlignment="1"/>
    <xf numFmtId="0" fontId="5" fillId="0" borderId="7" xfId="0" applyFont="1" applyBorder="1" applyAlignment="1"/>
    <xf numFmtId="164" fontId="0" fillId="0" borderId="0" xfId="1" applyNumberFormat="1" applyFont="1" applyAlignment="1">
      <alignment horizontal="center"/>
    </xf>
    <xf numFmtId="43" fontId="3" fillId="0" borderId="0" xfId="0" applyNumberFormat="1" applyFont="1"/>
    <xf numFmtId="0" fontId="17" fillId="8" borderId="1" xfId="0" applyFont="1" applyFill="1" applyBorder="1" applyAlignment="1">
      <alignment horizontal="center" vertical="center" wrapText="1"/>
    </xf>
    <xf numFmtId="4" fontId="0" fillId="0" borderId="0" xfId="0" applyNumberFormat="1"/>
    <xf numFmtId="43" fontId="6" fillId="0" borderId="13" xfId="3" applyFont="1" applyBorder="1" applyAlignment="1">
      <alignment horizontal="center"/>
    </xf>
    <xf numFmtId="0" fontId="6" fillId="0" borderId="15" xfId="0" applyFont="1" applyBorder="1" applyAlignment="1">
      <alignment horizontal="center"/>
    </xf>
    <xf numFmtId="43" fontId="6" fillId="0" borderId="22" xfId="3" applyFont="1" applyBorder="1" applyAlignment="1">
      <alignment horizontal="center"/>
    </xf>
    <xf numFmtId="0" fontId="4" fillId="2" borderId="1" xfId="2" applyFont="1" applyFill="1" applyBorder="1" applyAlignment="1">
      <alignment horizontal="left" vertical="center" wrapText="1"/>
    </xf>
    <xf numFmtId="0" fontId="4" fillId="2" borderId="8" xfId="2" applyFont="1" applyFill="1" applyBorder="1" applyAlignment="1">
      <alignment horizontal="center" vertical="center" wrapText="1"/>
    </xf>
    <xf numFmtId="0" fontId="4" fillId="2" borderId="1" xfId="2" applyFont="1" applyFill="1" applyBorder="1" applyAlignment="1">
      <alignment horizontal="center" vertical="center" wrapText="1"/>
    </xf>
    <xf numFmtId="43" fontId="4" fillId="2" borderId="1" xfId="3" applyFont="1" applyFill="1" applyBorder="1" applyAlignment="1">
      <alignment horizontal="right" vertical="center" wrapText="1"/>
    </xf>
    <xf numFmtId="43" fontId="4" fillId="0" borderId="1" xfId="3" applyFont="1" applyFill="1" applyBorder="1" applyAlignment="1">
      <alignment horizontal="right" vertical="center" wrapText="1"/>
    </xf>
    <xf numFmtId="0" fontId="4" fillId="0" borderId="8" xfId="2" applyFont="1" applyFill="1" applyBorder="1" applyAlignment="1">
      <alignment horizontal="center" vertical="center" wrapText="1"/>
    </xf>
    <xf numFmtId="0" fontId="4" fillId="0" borderId="1" xfId="2" applyFont="1" applyFill="1" applyBorder="1" applyAlignment="1">
      <alignment horizontal="center" vertical="center" wrapText="1"/>
    </xf>
    <xf numFmtId="43" fontId="4" fillId="0" borderId="1" xfId="3" applyFont="1" applyFill="1" applyBorder="1" applyAlignment="1">
      <alignment horizontal="right" vertical="center"/>
    </xf>
    <xf numFmtId="43" fontId="4" fillId="0" borderId="1" xfId="3" applyFont="1" applyBorder="1" applyAlignment="1">
      <alignment horizontal="right" vertical="center"/>
    </xf>
    <xf numFmtId="43" fontId="4" fillId="0" borderId="1" xfId="3" applyFont="1" applyFill="1" applyBorder="1" applyAlignment="1">
      <alignment horizontal="right"/>
    </xf>
    <xf numFmtId="0" fontId="4" fillId="0" borderId="1" xfId="0" applyFont="1" applyFill="1" applyBorder="1" applyAlignment="1">
      <alignment horizontal="center" vertical="center"/>
    </xf>
    <xf numFmtId="0" fontId="16" fillId="0" borderId="1" xfId="0" applyFont="1" applyBorder="1"/>
    <xf numFmtId="43" fontId="4" fillId="0" borderId="9" xfId="3" applyFont="1" applyBorder="1" applyAlignment="1">
      <alignment horizontal="right" vertical="center"/>
    </xf>
    <xf numFmtId="43" fontId="4" fillId="0" borderId="1" xfId="3" applyFont="1" applyFill="1" applyBorder="1" applyAlignment="1">
      <alignment vertical="center"/>
    </xf>
    <xf numFmtId="43" fontId="6" fillId="0" borderId="9" xfId="3" applyFont="1" applyBorder="1"/>
    <xf numFmtId="0" fontId="5" fillId="0" borderId="8" xfId="0" applyFont="1" applyBorder="1" applyAlignment="1">
      <alignment horizontal="center"/>
    </xf>
    <xf numFmtId="0" fontId="6" fillId="0" borderId="8" xfId="0" applyFont="1" applyBorder="1" applyAlignment="1">
      <alignment horizontal="center"/>
    </xf>
    <xf numFmtId="43" fontId="4" fillId="0" borderId="9" xfId="3" applyFont="1" applyFill="1" applyBorder="1" applyAlignment="1">
      <alignment horizontal="right" vertical="center"/>
    </xf>
    <xf numFmtId="0" fontId="16" fillId="4" borderId="9"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1" xfId="2" applyFont="1" applyFill="1" applyBorder="1" applyAlignment="1">
      <alignment horizontal="center" vertical="center" wrapText="1"/>
    </xf>
    <xf numFmtId="0" fontId="16" fillId="2" borderId="1" xfId="2" applyFont="1" applyFill="1" applyBorder="1" applyAlignment="1">
      <alignment horizontal="left" vertical="center" wrapText="1"/>
    </xf>
    <xf numFmtId="0" fontId="4" fillId="2" borderId="1" xfId="2" applyFont="1" applyFill="1" applyBorder="1" applyAlignment="1">
      <alignment horizontal="right" vertical="center" wrapText="1"/>
    </xf>
    <xf numFmtId="43" fontId="16" fillId="0" borderId="11" xfId="3" applyFont="1" applyFill="1" applyBorder="1" applyAlignment="1">
      <alignment horizontal="right" vertical="center"/>
    </xf>
    <xf numFmtId="0" fontId="15" fillId="0" borderId="1" xfId="0" applyFont="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center" vertical="center"/>
    </xf>
    <xf numFmtId="0" fontId="15" fillId="0" borderId="1" xfId="0" applyFont="1" applyBorder="1" applyAlignment="1">
      <alignment horizontal="left"/>
    </xf>
    <xf numFmtId="0" fontId="15" fillId="0" borderId="1" xfId="0" applyFont="1" applyBorder="1" applyAlignment="1">
      <alignment horizontal="center" wrapText="1"/>
    </xf>
    <xf numFmtId="0" fontId="16" fillId="0" borderId="9" xfId="0" applyFont="1" applyBorder="1"/>
    <xf numFmtId="0" fontId="7" fillId="0" borderId="8" xfId="0" applyFont="1" applyBorder="1" applyAlignment="1">
      <alignment horizontal="left" wrapText="1"/>
    </xf>
    <xf numFmtId="0" fontId="4" fillId="0" borderId="11" xfId="0" applyFont="1" applyBorder="1"/>
    <xf numFmtId="43" fontId="16" fillId="0" borderId="12" xfId="0" applyNumberFormat="1" applyFont="1" applyBorder="1"/>
    <xf numFmtId="0" fontId="17" fillId="0" borderId="1" xfId="0" applyFont="1" applyFill="1" applyBorder="1" applyAlignment="1">
      <alignment horizontal="center" vertical="center" wrapText="1"/>
    </xf>
    <xf numFmtId="0" fontId="17" fillId="8" borderId="1" xfId="0" applyNumberFormat="1" applyFont="1" applyFill="1" applyBorder="1" applyAlignment="1">
      <alignment horizontal="center" vertical="center" wrapText="1"/>
    </xf>
    <xf numFmtId="0" fontId="23" fillId="0" borderId="0" xfId="0" applyFont="1" applyAlignment="1">
      <alignment horizontal="left"/>
    </xf>
    <xf numFmtId="0" fontId="7" fillId="0" borderId="0" xfId="0" applyFont="1" applyAlignment="1">
      <alignment horizontal="left"/>
    </xf>
    <xf numFmtId="43" fontId="21" fillId="0" borderId="1" xfId="3" applyFont="1" applyBorder="1" applyAlignment="1">
      <alignment horizontal="right"/>
    </xf>
    <xf numFmtId="0" fontId="21" fillId="0" borderId="1" xfId="0" applyFont="1" applyBorder="1" applyAlignment="1">
      <alignment horizontal="right"/>
    </xf>
    <xf numFmtId="0" fontId="15" fillId="0" borderId="1" xfId="0" applyFont="1" applyBorder="1" applyAlignment="1">
      <alignment horizontal="left" vertical="center"/>
    </xf>
    <xf numFmtId="0" fontId="5" fillId="0" borderId="8" xfId="0" applyFont="1" applyBorder="1" applyAlignment="1">
      <alignment horizontal="center"/>
    </xf>
    <xf numFmtId="0" fontId="6" fillId="0" borderId="8" xfId="0" applyFont="1" applyBorder="1" applyAlignment="1">
      <alignment horizontal="center"/>
    </xf>
    <xf numFmtId="43" fontId="0" fillId="0" borderId="0" xfId="0" applyNumberFormat="1" applyFont="1"/>
    <xf numFmtId="0" fontId="4" fillId="2" borderId="1" xfId="2" applyFont="1" applyFill="1" applyBorder="1" applyAlignment="1">
      <alignment horizontal="left" vertical="center"/>
    </xf>
    <xf numFmtId="0" fontId="5" fillId="0" borderId="0" xfId="0" applyFont="1" applyAlignment="1">
      <alignment horizontal="center"/>
    </xf>
    <xf numFmtId="0" fontId="24" fillId="0" borderId="0" xfId="0" applyFont="1" applyAlignment="1">
      <alignment horizontal="center"/>
    </xf>
    <xf numFmtId="0" fontId="5" fillId="0" borderId="8" xfId="0" applyFont="1" applyBorder="1" applyAlignment="1">
      <alignment horizontal="center"/>
    </xf>
    <xf numFmtId="0" fontId="16" fillId="4" borderId="1" xfId="2" applyFont="1" applyFill="1" applyBorder="1" applyAlignment="1">
      <alignment horizontal="center" vertical="center" wrapText="1"/>
    </xf>
    <xf numFmtId="0" fontId="4" fillId="0" borderId="1" xfId="0" applyFont="1" applyFill="1" applyBorder="1" applyAlignment="1">
      <alignment vertical="center"/>
    </xf>
    <xf numFmtId="0" fontId="7" fillId="0" borderId="8" xfId="0" applyFont="1" applyFill="1" applyBorder="1" applyAlignment="1">
      <alignment horizontal="left" wrapText="1"/>
    </xf>
    <xf numFmtId="0" fontId="7" fillId="0" borderId="8" xfId="0" applyFont="1" applyBorder="1" applyAlignment="1">
      <alignment horizontal="justify" vertical="justify" wrapText="1"/>
    </xf>
    <xf numFmtId="0" fontId="7" fillId="0" borderId="8" xfId="0" applyFont="1" applyBorder="1" applyAlignment="1">
      <alignment wrapText="1"/>
    </xf>
    <xf numFmtId="0" fontId="7" fillId="0" borderId="8" xfId="0" applyFont="1" applyBorder="1" applyAlignment="1">
      <alignment horizontal="justify" wrapText="1"/>
    </xf>
    <xf numFmtId="0" fontId="7" fillId="0" borderId="8" xfId="0" applyFont="1" applyFill="1" applyBorder="1" applyAlignment="1">
      <alignment wrapText="1"/>
    </xf>
    <xf numFmtId="0" fontId="26" fillId="0" borderId="0" xfId="0" applyFont="1" applyAlignment="1">
      <alignment horizontal="left"/>
    </xf>
    <xf numFmtId="0" fontId="26"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21" fillId="0" borderId="0" xfId="0" applyFont="1" applyBorder="1" applyAlignment="1">
      <alignment vertical="top"/>
    </xf>
    <xf numFmtId="0" fontId="19" fillId="0" borderId="0" xfId="0" applyFont="1" applyFill="1" applyBorder="1"/>
    <xf numFmtId="0" fontId="19" fillId="0" borderId="0" xfId="0" applyFont="1" applyFill="1" applyBorder="1" applyAlignment="1">
      <alignment vertical="top"/>
    </xf>
    <xf numFmtId="0" fontId="4" fillId="0" borderId="1" xfId="2" applyFont="1" applyFill="1" applyBorder="1" applyAlignment="1">
      <alignment horizontal="center" vertical="center"/>
    </xf>
    <xf numFmtId="0" fontId="16" fillId="0" borderId="1" xfId="0" applyFont="1" applyFill="1" applyBorder="1" applyAlignment="1">
      <alignment horizontal="center"/>
    </xf>
    <xf numFmtId="0" fontId="4" fillId="0" borderId="1" xfId="0" applyFont="1" applyFill="1" applyBorder="1" applyAlignment="1">
      <alignment horizontal="center"/>
    </xf>
    <xf numFmtId="0" fontId="16" fillId="0" borderId="0" xfId="0" applyFont="1" applyFill="1" applyBorder="1" applyAlignment="1">
      <alignment horizontal="center"/>
    </xf>
    <xf numFmtId="0" fontId="16" fillId="0" borderId="11" xfId="0" applyFont="1" applyFill="1" applyBorder="1" applyAlignment="1">
      <alignment horizontal="center"/>
    </xf>
    <xf numFmtId="0" fontId="16" fillId="0" borderId="52" xfId="0" applyFont="1" applyFill="1" applyBorder="1" applyAlignment="1">
      <alignment horizontal="center"/>
    </xf>
    <xf numFmtId="0" fontId="4" fillId="0" borderId="1" xfId="0" applyFont="1" applyFill="1" applyBorder="1" applyAlignment="1"/>
    <xf numFmtId="0" fontId="21" fillId="0" borderId="1" xfId="0" applyFont="1" applyBorder="1" applyAlignment="1">
      <alignment horizontal="center" vertical="top"/>
    </xf>
    <xf numFmtId="0" fontId="16" fillId="0" borderId="8" xfId="0" applyFont="1" applyFill="1" applyBorder="1" applyAlignment="1">
      <alignment horizontal="left"/>
    </xf>
    <xf numFmtId="0" fontId="4" fillId="0" borderId="8" xfId="0" applyFont="1" applyFill="1" applyBorder="1" applyAlignment="1">
      <alignment horizontal="left"/>
    </xf>
    <xf numFmtId="0" fontId="0" fillId="0" borderId="0" xfId="0" applyAlignment="1">
      <alignment wrapText="1"/>
    </xf>
    <xf numFmtId="0" fontId="0" fillId="0" borderId="0" xfId="0" pivotButton="1" applyAlignment="1">
      <alignment wrapText="1"/>
    </xf>
    <xf numFmtId="0" fontId="0" fillId="0" borderId="0" xfId="0" applyAlignment="1">
      <alignment horizontal="left" wrapText="1"/>
    </xf>
    <xf numFmtId="0" fontId="0" fillId="0" borderId="0" xfId="0" applyNumberFormat="1" applyAlignment="1">
      <alignment wrapText="1"/>
    </xf>
    <xf numFmtId="0" fontId="17" fillId="8" borderId="14" xfId="0" applyFont="1" applyFill="1" applyBorder="1" applyAlignment="1">
      <alignment horizontal="center" vertical="center" wrapText="1"/>
    </xf>
    <xf numFmtId="0" fontId="21" fillId="0" borderId="2" xfId="0" applyFont="1" applyBorder="1" applyAlignment="1">
      <alignment horizontal="left" vertical="top"/>
    </xf>
    <xf numFmtId="0" fontId="21" fillId="0" borderId="3" xfId="0" applyFont="1" applyBorder="1" applyAlignment="1">
      <alignment horizontal="center" vertical="top"/>
    </xf>
    <xf numFmtId="0" fontId="21" fillId="0" borderId="4" xfId="0" applyFont="1" applyBorder="1" applyAlignment="1">
      <alignment horizontal="center" vertical="top"/>
    </xf>
    <xf numFmtId="0" fontId="26" fillId="0" borderId="0" xfId="0" applyFont="1" applyAlignment="1">
      <alignment horizontal="right"/>
    </xf>
    <xf numFmtId="43" fontId="17" fillId="8" borderId="9" xfId="3" applyFont="1" applyFill="1" applyBorder="1" applyAlignment="1">
      <alignment horizontal="right" vertical="center" wrapText="1"/>
    </xf>
    <xf numFmtId="0" fontId="27" fillId="17" borderId="29" xfId="0" applyFont="1" applyFill="1" applyBorder="1" applyAlignment="1">
      <alignment horizontal="left" vertical="center"/>
    </xf>
    <xf numFmtId="0" fontId="27" fillId="17" borderId="29" xfId="0" applyFont="1" applyFill="1" applyBorder="1" applyAlignment="1">
      <alignment horizontal="center" vertical="center"/>
    </xf>
    <xf numFmtId="0" fontId="27" fillId="17" borderId="29"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7" fillId="18" borderId="1" xfId="0" applyFont="1" applyFill="1" applyBorder="1" applyAlignment="1">
      <alignment horizontal="center" vertical="center" wrapText="1"/>
    </xf>
    <xf numFmtId="0" fontId="17" fillId="18" borderId="16" xfId="0" applyFont="1" applyFill="1" applyBorder="1" applyAlignment="1">
      <alignment horizontal="center" vertical="center" wrapText="1"/>
    </xf>
    <xf numFmtId="0" fontId="18" fillId="18" borderId="16" xfId="0" applyFont="1" applyFill="1" applyBorder="1" applyAlignment="1">
      <alignment horizontal="left" vertical="center" wrapText="1"/>
    </xf>
    <xf numFmtId="0" fontId="21" fillId="18" borderId="1" xfId="0" applyFont="1" applyFill="1" applyBorder="1" applyAlignment="1">
      <alignment horizontal="left"/>
    </xf>
    <xf numFmtId="0" fontId="15" fillId="18" borderId="1" xfId="0" applyFont="1" applyFill="1" applyBorder="1" applyAlignment="1">
      <alignment horizontal="center"/>
    </xf>
    <xf numFmtId="0" fontId="21" fillId="18" borderId="1" xfId="0" applyFont="1" applyFill="1" applyBorder="1" applyAlignment="1">
      <alignment horizontal="left" vertical="center" wrapText="1"/>
    </xf>
    <xf numFmtId="0" fontId="15" fillId="18" borderId="1" xfId="0" applyFont="1" applyFill="1" applyBorder="1" applyAlignment="1">
      <alignment horizontal="center" vertical="center" wrapText="1"/>
    </xf>
    <xf numFmtId="43" fontId="15" fillId="18" borderId="1" xfId="0" applyNumberFormat="1" applyFont="1" applyFill="1" applyBorder="1" applyAlignment="1">
      <alignment horizontal="right" vertical="center"/>
    </xf>
    <xf numFmtId="0" fontId="15" fillId="18" borderId="1" xfId="0" applyFont="1" applyFill="1" applyBorder="1" applyAlignment="1">
      <alignment horizontal="right" wrapText="1"/>
    </xf>
    <xf numFmtId="43" fontId="15" fillId="18" borderId="1" xfId="3" applyFont="1" applyFill="1" applyBorder="1" applyAlignment="1">
      <alignment horizontal="right" vertical="center"/>
    </xf>
    <xf numFmtId="43" fontId="15" fillId="18" borderId="1" xfId="3" applyFont="1" applyFill="1" applyBorder="1" applyAlignment="1">
      <alignment horizontal="right"/>
    </xf>
    <xf numFmtId="43" fontId="15" fillId="18" borderId="1" xfId="3" applyFont="1" applyFill="1" applyBorder="1" applyAlignment="1">
      <alignment horizontal="right" vertical="top"/>
    </xf>
    <xf numFmtId="0" fontId="21" fillId="18" borderId="1" xfId="0" applyFont="1" applyFill="1" applyBorder="1" applyAlignment="1">
      <alignment horizontal="left" vertical="top" wrapText="1"/>
    </xf>
    <xf numFmtId="43" fontId="4" fillId="0" borderId="1" xfId="3" applyFont="1" applyFill="1" applyBorder="1" applyAlignment="1"/>
    <xf numFmtId="43" fontId="16" fillId="0" borderId="1" xfId="3" applyFont="1" applyFill="1" applyBorder="1" applyAlignment="1"/>
    <xf numFmtId="43" fontId="16" fillId="0" borderId="11" xfId="3" applyFont="1" applyFill="1" applyBorder="1" applyAlignment="1"/>
    <xf numFmtId="0" fontId="0" fillId="0" borderId="0" xfId="0" applyFill="1" applyAlignment="1">
      <alignment wrapText="1"/>
    </xf>
    <xf numFmtId="0" fontId="16" fillId="0" borderId="6" xfId="0" applyFont="1" applyFill="1" applyBorder="1" applyAlignment="1">
      <alignment horizontal="left" vertical="top" wrapText="1"/>
    </xf>
    <xf numFmtId="0" fontId="16" fillId="0" borderId="1" xfId="0" applyFont="1" applyFill="1" applyBorder="1" applyAlignment="1">
      <alignment horizontal="left" vertical="center" wrapText="1"/>
    </xf>
    <xf numFmtId="0" fontId="4" fillId="0" borderId="1" xfId="2" applyFont="1" applyFill="1" applyBorder="1" applyAlignment="1">
      <alignment horizontal="left" vertical="center" wrapText="1"/>
    </xf>
    <xf numFmtId="0" fontId="16" fillId="0" borderId="0" xfId="0" applyFont="1" applyFill="1" applyBorder="1" applyAlignment="1">
      <alignment horizontal="center" wrapText="1"/>
    </xf>
    <xf numFmtId="0" fontId="16" fillId="0" borderId="6"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1" xfId="0" applyFont="1" applyFill="1" applyBorder="1" applyAlignment="1">
      <alignment horizontal="left" vertical="top" wrapText="1"/>
    </xf>
    <xf numFmtId="0" fontId="4" fillId="0" borderId="1" xfId="0" applyFont="1" applyFill="1" applyBorder="1" applyAlignment="1">
      <alignment wrapText="1"/>
    </xf>
    <xf numFmtId="0" fontId="16" fillId="0" borderId="1" xfId="0" applyFont="1" applyFill="1" applyBorder="1" applyAlignment="1">
      <alignment horizontal="left" wrapText="1"/>
    </xf>
    <xf numFmtId="0" fontId="4" fillId="0" borderId="1" xfId="0" applyFont="1" applyFill="1" applyBorder="1" applyAlignment="1">
      <alignment vertical="top" wrapText="1"/>
    </xf>
    <xf numFmtId="0" fontId="16" fillId="0" borderId="1" xfId="2" applyFont="1" applyFill="1" applyBorder="1" applyAlignment="1">
      <alignment horizontal="left" vertical="center" wrapText="1"/>
    </xf>
    <xf numFmtId="0" fontId="4" fillId="0" borderId="1" xfId="0" applyFont="1" applyFill="1" applyBorder="1" applyAlignment="1">
      <alignment horizontal="left" vertical="top" wrapText="1"/>
    </xf>
    <xf numFmtId="14" fontId="4" fillId="0" borderId="1" xfId="0" applyNumberFormat="1" applyFont="1" applyFill="1" applyBorder="1" applyAlignment="1">
      <alignment horizontal="left" vertical="center"/>
    </xf>
    <xf numFmtId="0" fontId="4" fillId="0" borderId="1" xfId="0" applyFont="1" applyFill="1" applyBorder="1" applyAlignment="1">
      <alignment horizontal="left"/>
    </xf>
    <xf numFmtId="0" fontId="4" fillId="0" borderId="1" xfId="0" applyFont="1" applyFill="1" applyBorder="1" applyAlignment="1">
      <alignment horizontal="left" vertical="center"/>
    </xf>
    <xf numFmtId="0" fontId="19" fillId="0" borderId="1" xfId="9" applyFont="1" applyFill="1" applyBorder="1" applyAlignment="1">
      <alignment horizontal="left" wrapText="1"/>
    </xf>
    <xf numFmtId="0" fontId="19" fillId="0" borderId="1" xfId="9" applyFont="1" applyFill="1" applyBorder="1"/>
    <xf numFmtId="0" fontId="13" fillId="0" borderId="1" xfId="0" applyFont="1" applyFill="1" applyBorder="1"/>
    <xf numFmtId="0" fontId="4" fillId="4" borderId="1" xfId="2" applyFont="1" applyFill="1" applyBorder="1" applyAlignment="1">
      <alignment horizontal="left" vertical="center"/>
    </xf>
    <xf numFmtId="43" fontId="19" fillId="0" borderId="0" xfId="3" applyFont="1" applyAlignment="1">
      <alignment wrapText="1"/>
    </xf>
    <xf numFmtId="0" fontId="4" fillId="9" borderId="0" xfId="0" applyFont="1" applyFill="1"/>
    <xf numFmtId="0" fontId="14" fillId="9" borderId="44" xfId="0" applyFont="1" applyFill="1" applyBorder="1"/>
    <xf numFmtId="10" fontId="13" fillId="9" borderId="44" xfId="0" applyNumberFormat="1" applyFont="1" applyFill="1" applyBorder="1" applyAlignment="1">
      <alignment horizontal="center"/>
    </xf>
    <xf numFmtId="0" fontId="13" fillId="9" borderId="45" xfId="0" applyFont="1" applyFill="1" applyBorder="1"/>
    <xf numFmtId="10" fontId="13" fillId="9" borderId="45" xfId="0" applyNumberFormat="1" applyFont="1" applyFill="1" applyBorder="1" applyAlignment="1" applyProtection="1">
      <alignment horizontal="center"/>
      <protection locked="0"/>
    </xf>
    <xf numFmtId="0" fontId="14" fillId="9" borderId="46" xfId="0" applyFont="1" applyFill="1" applyBorder="1"/>
    <xf numFmtId="10" fontId="13" fillId="9" borderId="46" xfId="0" applyNumberFormat="1" applyFont="1" applyFill="1" applyBorder="1" applyAlignment="1">
      <alignment horizontal="center"/>
    </xf>
    <xf numFmtId="10" fontId="13" fillId="9" borderId="45" xfId="0" applyNumberFormat="1" applyFont="1" applyFill="1" applyBorder="1" applyAlignment="1">
      <alignment horizontal="center"/>
    </xf>
    <xf numFmtId="0" fontId="13" fillId="9" borderId="47" xfId="0" applyFont="1" applyFill="1" applyBorder="1"/>
    <xf numFmtId="10" fontId="13" fillId="9" borderId="47" xfId="0" applyNumberFormat="1" applyFont="1" applyFill="1" applyBorder="1" applyAlignment="1" applyProtection="1">
      <alignment horizontal="center"/>
      <protection locked="0"/>
    </xf>
    <xf numFmtId="10" fontId="13" fillId="9" borderId="47" xfId="0" applyNumberFormat="1" applyFont="1" applyFill="1" applyBorder="1" applyAlignment="1">
      <alignment horizontal="center"/>
    </xf>
    <xf numFmtId="0" fontId="14" fillId="9" borderId="0" xfId="0" applyFont="1" applyFill="1" applyBorder="1"/>
    <xf numFmtId="10" fontId="13" fillId="9" borderId="0" xfId="0" applyNumberFormat="1" applyFont="1" applyFill="1" applyBorder="1" applyAlignment="1">
      <alignment horizontal="center"/>
    </xf>
    <xf numFmtId="0" fontId="13" fillId="9" borderId="0" xfId="0" applyFont="1" applyFill="1" applyBorder="1"/>
    <xf numFmtId="0" fontId="19" fillId="9" borderId="0" xfId="0" applyFont="1" applyFill="1"/>
    <xf numFmtId="0" fontId="19" fillId="9" borderId="1" xfId="0" applyFont="1" applyFill="1" applyBorder="1"/>
    <xf numFmtId="10" fontId="19" fillId="9" borderId="1" xfId="0" applyNumberFormat="1" applyFont="1" applyFill="1" applyBorder="1"/>
    <xf numFmtId="0" fontId="16" fillId="9" borderId="1" xfId="0" applyFont="1" applyFill="1" applyBorder="1" applyAlignment="1">
      <alignment horizontal="center"/>
    </xf>
    <xf numFmtId="0" fontId="30" fillId="9" borderId="0" xfId="0" applyFont="1" applyFill="1"/>
    <xf numFmtId="0" fontId="19" fillId="9" borderId="45" xfId="0" applyFont="1" applyFill="1" applyBorder="1"/>
    <xf numFmtId="0" fontId="14" fillId="9" borderId="45" xfId="0" applyFont="1" applyFill="1" applyBorder="1" applyAlignment="1">
      <alignment horizontal="left"/>
    </xf>
    <xf numFmtId="0" fontId="16" fillId="9" borderId="1" xfId="0" applyFont="1" applyFill="1" applyBorder="1"/>
    <xf numFmtId="10" fontId="16" fillId="9" borderId="1" xfId="0" applyNumberFormat="1" applyFont="1" applyFill="1" applyBorder="1" applyAlignment="1">
      <alignment horizontal="center"/>
    </xf>
    <xf numFmtId="0" fontId="16" fillId="9" borderId="0" xfId="0" applyFont="1" applyFill="1" applyBorder="1" applyAlignment="1">
      <alignment horizontal="center"/>
    </xf>
    <xf numFmtId="0" fontId="13" fillId="9" borderId="0" xfId="0" applyFont="1" applyFill="1" applyBorder="1" applyAlignment="1">
      <alignment wrapText="1"/>
    </xf>
    <xf numFmtId="0" fontId="14" fillId="9" borderId="0" xfId="0" applyFont="1" applyFill="1" applyBorder="1" applyAlignment="1">
      <alignment horizontal="left"/>
    </xf>
    <xf numFmtId="0" fontId="4" fillId="0" borderId="5" xfId="0" applyFont="1" applyFill="1" applyBorder="1" applyAlignment="1">
      <alignment horizontal="left" wrapText="1"/>
    </xf>
    <xf numFmtId="43" fontId="16" fillId="0" borderId="6" xfId="3" applyFont="1" applyFill="1" applyBorder="1" applyAlignment="1">
      <alignment horizontal="center" vertical="center" wrapText="1"/>
    </xf>
    <xf numFmtId="43" fontId="16" fillId="0" borderId="36" xfId="3" applyFont="1" applyFill="1" applyBorder="1" applyAlignment="1">
      <alignment horizontal="center" vertical="center" wrapText="1"/>
    </xf>
    <xf numFmtId="43" fontId="16" fillId="0" borderId="62" xfId="3" applyFont="1" applyFill="1" applyBorder="1" applyAlignment="1">
      <alignment horizontal="center" vertical="center" wrapText="1"/>
    </xf>
    <xf numFmtId="0" fontId="19" fillId="0" borderId="0" xfId="0" applyFont="1" applyFill="1" applyBorder="1" applyAlignment="1">
      <alignment wrapText="1"/>
    </xf>
    <xf numFmtId="0" fontId="16" fillId="0" borderId="8" xfId="0" applyFont="1" applyFill="1" applyBorder="1" applyAlignment="1">
      <alignment horizontal="left" wrapText="1"/>
    </xf>
    <xf numFmtId="43" fontId="16" fillId="0" borderId="1" xfId="3" applyFont="1" applyFill="1" applyBorder="1" applyAlignment="1">
      <alignment horizontal="center" vertical="center" wrapText="1"/>
    </xf>
    <xf numFmtId="43" fontId="16" fillId="0" borderId="1" xfId="3" applyFont="1" applyFill="1" applyBorder="1" applyAlignment="1">
      <alignment horizontal="right" vertical="center" wrapText="1"/>
    </xf>
    <xf numFmtId="43" fontId="16" fillId="0" borderId="9" xfId="3" applyFont="1" applyFill="1" applyBorder="1" applyAlignment="1">
      <alignment horizontal="center" vertical="center" wrapText="1"/>
    </xf>
    <xf numFmtId="0" fontId="20" fillId="0" borderId="0" xfId="0" applyFont="1" applyFill="1" applyBorder="1" applyAlignment="1">
      <alignment wrapText="1"/>
    </xf>
    <xf numFmtId="0" fontId="4" fillId="0" borderId="8" xfId="2" applyFont="1" applyFill="1" applyBorder="1" applyAlignment="1">
      <alignment horizontal="left" vertical="center" wrapText="1"/>
    </xf>
    <xf numFmtId="43" fontId="4" fillId="0" borderId="9" xfId="3" applyFont="1" applyFill="1" applyBorder="1" applyAlignment="1">
      <alignment horizontal="right" vertical="center" wrapText="1"/>
    </xf>
    <xf numFmtId="0" fontId="16" fillId="0" borderId="64" xfId="0" applyFont="1" applyFill="1" applyBorder="1" applyAlignment="1">
      <alignment horizontal="left" wrapText="1"/>
    </xf>
    <xf numFmtId="43" fontId="16" fillId="0" borderId="3" xfId="3" applyFont="1" applyFill="1" applyBorder="1" applyAlignment="1">
      <alignment horizontal="center" wrapText="1"/>
    </xf>
    <xf numFmtId="43" fontId="16" fillId="0" borderId="4" xfId="3" applyFont="1" applyFill="1" applyBorder="1" applyAlignment="1">
      <alignment horizontal="center" wrapText="1"/>
    </xf>
    <xf numFmtId="43" fontId="16" fillId="0" borderId="1" xfId="3" applyFont="1" applyFill="1" applyBorder="1" applyAlignment="1">
      <alignment horizontal="right" wrapText="1"/>
    </xf>
    <xf numFmtId="43" fontId="4" fillId="0" borderId="1" xfId="3" applyFont="1" applyFill="1" applyBorder="1" applyAlignment="1">
      <alignment horizontal="right" wrapText="1"/>
    </xf>
    <xf numFmtId="43" fontId="19" fillId="0" borderId="63" xfId="3" applyFont="1" applyFill="1" applyBorder="1" applyAlignment="1">
      <alignment wrapText="1"/>
    </xf>
    <xf numFmtId="0" fontId="16" fillId="0" borderId="34" xfId="0" applyFont="1" applyFill="1" applyBorder="1" applyAlignment="1">
      <alignment horizontal="left" wrapText="1"/>
    </xf>
    <xf numFmtId="43" fontId="16" fillId="0" borderId="30" xfId="3" applyFont="1" applyFill="1" applyBorder="1" applyAlignment="1">
      <alignment horizontal="center" wrapText="1"/>
    </xf>
    <xf numFmtId="43" fontId="16" fillId="0" borderId="30" xfId="3" applyFont="1" applyFill="1" applyBorder="1" applyAlignment="1">
      <alignment wrapText="1"/>
    </xf>
    <xf numFmtId="43" fontId="16" fillId="0" borderId="12" xfId="3" applyFont="1" applyFill="1" applyBorder="1" applyAlignment="1">
      <alignment wrapText="1"/>
    </xf>
    <xf numFmtId="0" fontId="16" fillId="0" borderId="42" xfId="0" applyFont="1" applyFill="1" applyBorder="1" applyAlignment="1">
      <alignment horizontal="left" wrapText="1"/>
    </xf>
    <xf numFmtId="43" fontId="16" fillId="0" borderId="0" xfId="3" applyFont="1" applyFill="1" applyBorder="1" applyAlignment="1">
      <alignment horizontal="center" wrapText="1"/>
    </xf>
    <xf numFmtId="43" fontId="16" fillId="0" borderId="43" xfId="3" applyFont="1" applyFill="1" applyBorder="1" applyAlignment="1">
      <alignment horizontal="center" wrapText="1"/>
    </xf>
    <xf numFmtId="0" fontId="16" fillId="0" borderId="53" xfId="0" applyFont="1" applyFill="1" applyBorder="1" applyAlignment="1">
      <alignment horizontal="left" wrapText="1"/>
    </xf>
    <xf numFmtId="43" fontId="16" fillId="0" borderId="52" xfId="3" applyFont="1" applyFill="1" applyBorder="1" applyAlignment="1">
      <alignment horizontal="center" wrapText="1"/>
    </xf>
    <xf numFmtId="43" fontId="16" fillId="0" borderId="65" xfId="3" applyFont="1" applyFill="1" applyBorder="1" applyAlignment="1">
      <alignment horizontal="center" wrapText="1"/>
    </xf>
    <xf numFmtId="43" fontId="4" fillId="0" borderId="1" xfId="3" applyFont="1" applyFill="1" applyBorder="1" applyAlignment="1">
      <alignment horizontal="center" vertical="center" wrapText="1"/>
    </xf>
    <xf numFmtId="43" fontId="4" fillId="0" borderId="9" xfId="3" applyFont="1" applyFill="1" applyBorder="1" applyAlignment="1">
      <alignment wrapText="1"/>
    </xf>
    <xf numFmtId="43" fontId="16" fillId="0" borderId="11" xfId="3" applyFont="1" applyFill="1" applyBorder="1" applyAlignment="1">
      <alignment horizontal="right" wrapText="1"/>
    </xf>
    <xf numFmtId="43" fontId="4" fillId="0" borderId="11" xfId="3" applyFont="1" applyFill="1" applyBorder="1" applyAlignment="1">
      <alignment horizontal="right" wrapText="1"/>
    </xf>
    <xf numFmtId="0" fontId="16" fillId="0" borderId="5" xfId="0" applyFont="1" applyFill="1" applyBorder="1" applyAlignment="1">
      <alignment horizontal="left" wrapText="1"/>
    </xf>
    <xf numFmtId="43" fontId="4" fillId="0" borderId="1" xfId="3" applyFont="1" applyFill="1" applyBorder="1" applyAlignment="1">
      <alignment wrapText="1"/>
    </xf>
    <xf numFmtId="43" fontId="16" fillId="0" borderId="12" xfId="3" applyFont="1" applyFill="1" applyBorder="1" applyAlignment="1">
      <alignment horizontal="right" vertical="center" wrapText="1"/>
    </xf>
    <xf numFmtId="0" fontId="4" fillId="0" borderId="8" xfId="0" applyFont="1" applyFill="1" applyBorder="1" applyAlignment="1">
      <alignment horizontal="left" wrapText="1"/>
    </xf>
    <xf numFmtId="43" fontId="4" fillId="0" borderId="9" xfId="3" applyFont="1" applyFill="1" applyBorder="1" applyAlignment="1">
      <alignment vertical="center" wrapText="1"/>
    </xf>
    <xf numFmtId="0" fontId="4" fillId="0" borderId="53" xfId="0" applyFont="1" applyFill="1" applyBorder="1" applyAlignment="1">
      <alignment horizontal="left" wrapText="1"/>
    </xf>
    <xf numFmtId="43" fontId="4" fillId="0" borderId="52" xfId="3" applyFont="1" applyFill="1" applyBorder="1" applyAlignment="1">
      <alignment horizontal="center" wrapText="1"/>
    </xf>
    <xf numFmtId="43" fontId="4" fillId="0" borderId="65" xfId="3" applyFont="1" applyFill="1" applyBorder="1" applyAlignment="1">
      <alignment horizontal="center" wrapText="1"/>
    </xf>
    <xf numFmtId="43" fontId="16" fillId="0" borderId="1" xfId="3" applyFont="1" applyFill="1" applyBorder="1" applyAlignment="1">
      <alignment wrapText="1"/>
    </xf>
    <xf numFmtId="43" fontId="20" fillId="0" borderId="63" xfId="3" applyFont="1" applyFill="1" applyBorder="1" applyAlignment="1">
      <alignment wrapText="1"/>
    </xf>
    <xf numFmtId="0" fontId="4" fillId="0" borderId="8" xfId="2" applyFont="1" applyFill="1" applyBorder="1" applyAlignment="1">
      <alignment horizontal="left" vertical="top" wrapText="1"/>
    </xf>
    <xf numFmtId="0" fontId="4" fillId="0" borderId="1" xfId="2" applyFont="1" applyFill="1" applyBorder="1" applyAlignment="1">
      <alignment horizontal="center" vertical="top" wrapText="1"/>
    </xf>
    <xf numFmtId="43" fontId="4" fillId="0" borderId="1" xfId="3" applyFont="1" applyFill="1" applyBorder="1" applyAlignment="1">
      <alignment horizontal="right" vertical="top" wrapText="1"/>
    </xf>
    <xf numFmtId="43" fontId="4" fillId="0" borderId="9" xfId="3" applyFont="1" applyFill="1" applyBorder="1" applyAlignment="1">
      <alignment vertical="top" wrapText="1"/>
    </xf>
    <xf numFmtId="0" fontId="16" fillId="0" borderId="0" xfId="0" applyFont="1" applyFill="1" applyBorder="1" applyAlignment="1">
      <alignment horizontal="left" wrapText="1"/>
    </xf>
    <xf numFmtId="0" fontId="19" fillId="0" borderId="0" xfId="0" applyFont="1" applyFill="1" applyBorder="1" applyAlignment="1">
      <alignment vertical="top" wrapText="1"/>
    </xf>
    <xf numFmtId="43" fontId="19" fillId="0" borderId="63" xfId="3" applyFont="1" applyFill="1" applyBorder="1" applyAlignment="1">
      <alignment vertical="top" wrapText="1"/>
    </xf>
    <xf numFmtId="0" fontId="4" fillId="0" borderId="1" xfId="0" applyFont="1" applyFill="1" applyBorder="1" applyAlignment="1">
      <alignment horizontal="center" vertical="top" wrapText="1"/>
    </xf>
    <xf numFmtId="43" fontId="4" fillId="0" borderId="1" xfId="3" applyFont="1" applyFill="1" applyBorder="1" applyAlignment="1">
      <alignment vertical="top" wrapText="1"/>
    </xf>
    <xf numFmtId="0" fontId="4" fillId="0" borderId="1" xfId="0" applyNumberFormat="1" applyFont="1" applyFill="1" applyBorder="1" applyAlignment="1">
      <alignment horizontal="center" vertical="top" wrapText="1"/>
    </xf>
    <xf numFmtId="0" fontId="4" fillId="0" borderId="5" xfId="0" applyFont="1" applyFill="1" applyBorder="1" applyAlignment="1">
      <alignment horizontal="left" vertical="center" wrapText="1"/>
    </xf>
    <xf numFmtId="0" fontId="4" fillId="0" borderId="13" xfId="2" applyFont="1" applyFill="1" applyBorder="1" applyAlignment="1">
      <alignment horizontal="left" vertical="center" wrapText="1"/>
    </xf>
    <xf numFmtId="43" fontId="16" fillId="0" borderId="7" xfId="3" applyFont="1" applyFill="1" applyBorder="1" applyAlignment="1">
      <alignment horizontal="center" vertical="center" wrapText="1"/>
    </xf>
    <xf numFmtId="0" fontId="16" fillId="0" borderId="58" xfId="0" applyFont="1" applyFill="1" applyBorder="1" applyAlignment="1">
      <alignment horizontal="left" wrapText="1"/>
    </xf>
    <xf numFmtId="43" fontId="4" fillId="0" borderId="58" xfId="3" applyFont="1" applyFill="1" applyBorder="1" applyAlignment="1">
      <alignment horizontal="right" wrapText="1"/>
    </xf>
    <xf numFmtId="43" fontId="16" fillId="0" borderId="58" xfId="3" applyFont="1" applyFill="1" applyBorder="1" applyAlignment="1">
      <alignment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8" xfId="2" applyFont="1" applyFill="1" applyBorder="1" applyAlignment="1">
      <alignment horizontal="left" vertical="center" wrapText="1"/>
    </xf>
    <xf numFmtId="43" fontId="16" fillId="0" borderId="9" xfId="3" applyFont="1" applyFill="1" applyBorder="1" applyAlignment="1">
      <alignment wrapText="1"/>
    </xf>
    <xf numFmtId="43" fontId="4" fillId="0" borderId="11" xfId="3" applyFont="1" applyFill="1" applyBorder="1" applyAlignment="1">
      <alignment wrapText="1"/>
    </xf>
    <xf numFmtId="0" fontId="19" fillId="0" borderId="0" xfId="0" applyFont="1" applyFill="1" applyBorder="1" applyAlignment="1"/>
    <xf numFmtId="0" fontId="16" fillId="0" borderId="6" xfId="0" applyFont="1" applyFill="1" applyBorder="1" applyAlignment="1">
      <alignment horizontal="left"/>
    </xf>
    <xf numFmtId="0" fontId="16" fillId="0" borderId="1" xfId="0" applyFont="1" applyFill="1" applyBorder="1" applyAlignment="1">
      <alignment horizontal="left"/>
    </xf>
    <xf numFmtId="0" fontId="4" fillId="0" borderId="1" xfId="0" applyFont="1" applyFill="1" applyBorder="1" applyAlignment="1">
      <alignment horizontal="left" vertical="top"/>
    </xf>
    <xf numFmtId="0" fontId="19" fillId="0" borderId="0" xfId="0" applyFont="1" applyBorder="1" applyAlignment="1"/>
    <xf numFmtId="0" fontId="4" fillId="0" borderId="67" xfId="0" applyFont="1" applyFill="1" applyBorder="1" applyAlignment="1">
      <alignment horizontal="left"/>
    </xf>
    <xf numFmtId="0" fontId="4" fillId="0" borderId="58" xfId="0" applyFont="1" applyFill="1" applyBorder="1" applyAlignment="1">
      <alignment horizontal="center"/>
    </xf>
    <xf numFmtId="0" fontId="4" fillId="0" borderId="68" xfId="0" applyFont="1" applyFill="1" applyBorder="1" applyAlignment="1">
      <alignment horizontal="center" wrapText="1"/>
    </xf>
    <xf numFmtId="0" fontId="16" fillId="0" borderId="56" xfId="0" applyFont="1" applyFill="1" applyBorder="1" applyAlignment="1">
      <alignment horizontal="left"/>
    </xf>
    <xf numFmtId="0" fontId="4" fillId="0" borderId="52" xfId="0" applyFont="1" applyFill="1" applyBorder="1" applyAlignment="1">
      <alignment horizontal="left"/>
    </xf>
    <xf numFmtId="0" fontId="16" fillId="0" borderId="57" xfId="0" applyFont="1" applyFill="1" applyBorder="1" applyAlignment="1">
      <alignment horizontal="center" wrapText="1"/>
    </xf>
    <xf numFmtId="0" fontId="16" fillId="0" borderId="55" xfId="0" applyFont="1" applyFill="1" applyBorder="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center" vertical="center"/>
    </xf>
    <xf numFmtId="10" fontId="4" fillId="0" borderId="0" xfId="0" applyNumberFormat="1" applyFont="1" applyFill="1" applyBorder="1" applyAlignment="1">
      <alignment horizontal="center" vertical="center"/>
    </xf>
    <xf numFmtId="10" fontId="4" fillId="0" borderId="63" xfId="0" applyNumberFormat="1" applyFont="1" applyFill="1" applyBorder="1" applyAlignment="1">
      <alignment horizontal="center" vertical="center" wrapText="1"/>
    </xf>
    <xf numFmtId="0" fontId="16" fillId="0" borderId="70" xfId="0" applyFont="1" applyFill="1" applyBorder="1" applyAlignment="1">
      <alignment horizontal="left"/>
    </xf>
    <xf numFmtId="0" fontId="4" fillId="0" borderId="60" xfId="0" applyFont="1" applyFill="1" applyBorder="1" applyAlignment="1">
      <alignment horizontal="left"/>
    </xf>
    <xf numFmtId="0" fontId="4" fillId="0" borderId="60" xfId="0" applyFont="1" applyFill="1" applyBorder="1" applyAlignment="1">
      <alignment horizontal="center" vertical="center"/>
    </xf>
    <xf numFmtId="10" fontId="4" fillId="0" borderId="60" xfId="0" applyNumberFormat="1" applyFont="1" applyFill="1" applyBorder="1" applyAlignment="1">
      <alignment horizontal="center" vertical="center"/>
    </xf>
    <xf numFmtId="10" fontId="4" fillId="0" borderId="71" xfId="0" applyNumberFormat="1" applyFont="1" applyFill="1" applyBorder="1" applyAlignment="1">
      <alignment horizontal="center" vertical="center" wrapText="1"/>
    </xf>
    <xf numFmtId="0" fontId="4" fillId="0" borderId="55" xfId="0" applyFont="1" applyFill="1" applyBorder="1" applyAlignment="1">
      <alignment horizontal="left"/>
    </xf>
    <xf numFmtId="0" fontId="4" fillId="0" borderId="0" xfId="0" applyFont="1" applyFill="1" applyBorder="1" applyAlignment="1">
      <alignment horizontal="center"/>
    </xf>
    <xf numFmtId="0" fontId="4" fillId="0" borderId="63" xfId="0" applyFont="1" applyFill="1" applyBorder="1" applyAlignment="1">
      <alignment horizontal="center" wrapText="1"/>
    </xf>
    <xf numFmtId="0" fontId="16" fillId="0" borderId="50" xfId="0" applyFont="1" applyFill="1" applyBorder="1" applyAlignment="1">
      <alignment horizontal="left"/>
    </xf>
    <xf numFmtId="0" fontId="16" fillId="0" borderId="49" xfId="0" applyFont="1" applyFill="1" applyBorder="1" applyAlignment="1">
      <alignment horizontal="center"/>
    </xf>
    <xf numFmtId="0" fontId="16" fillId="0" borderId="51" xfId="0" applyFont="1" applyFill="1" applyBorder="1" applyAlignment="1">
      <alignment horizontal="center" wrapText="1"/>
    </xf>
    <xf numFmtId="0" fontId="16" fillId="0" borderId="63" xfId="0" applyFont="1" applyFill="1" applyBorder="1" applyAlignment="1">
      <alignment horizontal="center" wrapText="1"/>
    </xf>
    <xf numFmtId="0" fontId="20" fillId="0" borderId="56" xfId="0" applyFont="1" applyBorder="1" applyAlignment="1">
      <alignment horizontal="left"/>
    </xf>
    <xf numFmtId="0" fontId="16" fillId="5" borderId="6" xfId="0" applyFont="1" applyFill="1" applyBorder="1" applyAlignment="1">
      <alignment horizontal="left"/>
    </xf>
    <xf numFmtId="0" fontId="16" fillId="5" borderId="7" xfId="0" applyFont="1" applyFill="1" applyBorder="1" applyAlignment="1">
      <alignment horizontal="left" wrapText="1"/>
    </xf>
    <xf numFmtId="0" fontId="16" fillId="5" borderId="8" xfId="0" applyFont="1" applyFill="1" applyBorder="1" applyAlignment="1">
      <alignment horizontal="left"/>
    </xf>
    <xf numFmtId="0" fontId="16" fillId="5" borderId="1" xfId="0" applyFont="1" applyFill="1" applyBorder="1" applyAlignment="1"/>
    <xf numFmtId="0" fontId="16" fillId="5" borderId="1" xfId="0" applyFont="1" applyFill="1" applyBorder="1" applyAlignment="1">
      <alignment horizontal="left"/>
    </xf>
    <xf numFmtId="0" fontId="16" fillId="5" borderId="1" xfId="0" applyFont="1" applyFill="1" applyBorder="1" applyAlignment="1">
      <alignment horizontal="center"/>
    </xf>
    <xf numFmtId="43" fontId="16" fillId="5" borderId="1" xfId="3" applyFont="1" applyFill="1" applyBorder="1" applyAlignment="1"/>
    <xf numFmtId="0" fontId="16" fillId="5" borderId="9" xfId="0" applyFont="1" applyFill="1" applyBorder="1" applyAlignment="1">
      <alignment wrapText="1"/>
    </xf>
    <xf numFmtId="14" fontId="4" fillId="0" borderId="1" xfId="0" applyNumberFormat="1" applyFont="1" applyFill="1" applyBorder="1" applyAlignment="1">
      <alignment horizontal="left"/>
    </xf>
    <xf numFmtId="0" fontId="4" fillId="0" borderId="1" xfId="0" applyFont="1" applyFill="1" applyBorder="1" applyAlignment="1">
      <alignment horizontal="left" wrapText="1"/>
    </xf>
    <xf numFmtId="0" fontId="16" fillId="0" borderId="10" xfId="0" applyFont="1" applyFill="1" applyBorder="1" applyAlignment="1">
      <alignment horizontal="left"/>
    </xf>
    <xf numFmtId="0" fontId="4" fillId="0" borderId="11" xfId="0" applyFont="1" applyFill="1" applyBorder="1" applyAlignment="1"/>
    <xf numFmtId="0" fontId="4" fillId="0" borderId="12" xfId="0" applyFont="1" applyFill="1" applyBorder="1" applyAlignment="1">
      <alignment wrapText="1"/>
    </xf>
    <xf numFmtId="0" fontId="31" fillId="0" borderId="1" xfId="9" applyFont="1" applyFill="1" applyBorder="1" applyAlignment="1">
      <alignment horizontal="left" wrapText="1"/>
    </xf>
    <xf numFmtId="0" fontId="32" fillId="0" borderId="1" xfId="9" applyFont="1" applyFill="1" applyBorder="1" applyAlignment="1">
      <alignment horizontal="left" wrapText="1"/>
    </xf>
    <xf numFmtId="0" fontId="4" fillId="0" borderId="8" xfId="0" applyFont="1" applyFill="1" applyBorder="1" applyAlignment="1">
      <alignment horizontal="left" vertical="center"/>
    </xf>
    <xf numFmtId="0" fontId="4" fillId="0" borderId="1" xfId="0" applyFont="1" applyFill="1" applyBorder="1" applyAlignment="1">
      <alignment horizontal="left" vertical="center" wrapText="1"/>
    </xf>
    <xf numFmtId="0" fontId="31" fillId="0" borderId="1" xfId="9" applyFont="1" applyFill="1" applyBorder="1" applyAlignment="1">
      <alignment horizontal="left" vertical="center" wrapText="1"/>
    </xf>
    <xf numFmtId="0" fontId="19" fillId="0" borderId="0" xfId="0" applyFont="1" applyBorder="1" applyAlignment="1">
      <alignment vertical="center"/>
    </xf>
    <xf numFmtId="43" fontId="4" fillId="0" borderId="1" xfId="10" applyFont="1" applyFill="1" applyBorder="1" applyAlignment="1">
      <alignment horizontal="right" vertical="center"/>
    </xf>
    <xf numFmtId="0" fontId="32" fillId="0" borderId="1" xfId="9" applyFont="1" applyFill="1" applyBorder="1" applyAlignment="1">
      <alignment horizontal="left" vertical="center" wrapText="1"/>
    </xf>
    <xf numFmtId="0" fontId="19" fillId="5" borderId="52" xfId="0" applyFont="1" applyFill="1" applyBorder="1" applyAlignment="1"/>
    <xf numFmtId="43" fontId="4" fillId="0" borderId="1" xfId="10" applyFont="1" applyFill="1" applyBorder="1" applyAlignment="1">
      <alignment horizontal="right"/>
    </xf>
    <xf numFmtId="43" fontId="4" fillId="0" borderId="1" xfId="11" applyFont="1" applyFill="1" applyBorder="1" applyAlignment="1">
      <alignment horizontal="right" vertical="center"/>
    </xf>
    <xf numFmtId="0" fontId="31" fillId="0" borderId="0" xfId="9" applyFont="1" applyFill="1" applyAlignment="1">
      <alignment wrapText="1"/>
    </xf>
    <xf numFmtId="0" fontId="16" fillId="0" borderId="0" xfId="0" applyFont="1" applyBorder="1" applyAlignment="1">
      <alignment horizontal="center"/>
    </xf>
    <xf numFmtId="0" fontId="31" fillId="0" borderId="1" xfId="9" applyFont="1" applyFill="1" applyBorder="1" applyAlignment="1">
      <alignment horizontal="left"/>
    </xf>
    <xf numFmtId="0" fontId="31" fillId="0" borderId="1" xfId="9" applyFont="1" applyFill="1" applyBorder="1" applyAlignment="1">
      <alignment wrapText="1"/>
    </xf>
    <xf numFmtId="4" fontId="4" fillId="0" borderId="1" xfId="0" applyNumberFormat="1" applyFont="1" applyFill="1" applyBorder="1" applyAlignment="1">
      <alignment horizontal="right"/>
    </xf>
    <xf numFmtId="1" fontId="4" fillId="0" borderId="1" xfId="0" applyNumberFormat="1" applyFont="1" applyFill="1" applyBorder="1" applyAlignment="1">
      <alignment horizontal="left" wrapText="1"/>
    </xf>
    <xf numFmtId="0" fontId="19" fillId="0" borderId="1" xfId="0" applyFont="1" applyFill="1" applyBorder="1" applyAlignment="1">
      <alignment horizontal="left"/>
    </xf>
    <xf numFmtId="4" fontId="4" fillId="0" borderId="1" xfId="0" applyNumberFormat="1" applyFont="1" applyFill="1" applyBorder="1" applyAlignment="1">
      <alignment horizontal="right" vertical="center"/>
    </xf>
    <xf numFmtId="0" fontId="19" fillId="0" borderId="1" xfId="0" applyFont="1" applyFill="1" applyBorder="1" applyAlignment="1">
      <alignment horizontal="left" vertical="center"/>
    </xf>
    <xf numFmtId="0" fontId="20" fillId="0" borderId="56" xfId="0" applyFont="1" applyFill="1" applyBorder="1" applyAlignment="1">
      <alignment horizontal="left"/>
    </xf>
    <xf numFmtId="0" fontId="19" fillId="0" borderId="1" xfId="0" applyFont="1" applyFill="1" applyBorder="1" applyAlignment="1">
      <alignment horizontal="left" wrapText="1"/>
    </xf>
    <xf numFmtId="2" fontId="4" fillId="0" borderId="1" xfId="0" applyNumberFormat="1" applyFont="1" applyFill="1" applyBorder="1" applyAlignment="1">
      <alignment horizontal="right"/>
    </xf>
    <xf numFmtId="0" fontId="19" fillId="0" borderId="1" xfId="0" applyFont="1" applyBorder="1" applyAlignment="1">
      <alignment horizontal="left"/>
    </xf>
    <xf numFmtId="14" fontId="4" fillId="0" borderId="1" xfId="0" applyNumberFormat="1" applyFont="1" applyFill="1" applyBorder="1" applyAlignment="1"/>
    <xf numFmtId="0" fontId="4" fillId="0" borderId="1" xfId="0" applyFont="1" applyFill="1" applyBorder="1" applyAlignment="1">
      <alignment horizontal="right"/>
    </xf>
    <xf numFmtId="0" fontId="31" fillId="0" borderId="63" xfId="9" applyFont="1" applyFill="1" applyBorder="1" applyAlignment="1">
      <alignment vertical="center" wrapText="1"/>
    </xf>
    <xf numFmtId="0" fontId="31" fillId="0" borderId="17" xfId="9" applyFont="1" applyFill="1" applyBorder="1" applyAlignment="1">
      <alignment vertical="center" wrapText="1"/>
    </xf>
    <xf numFmtId="0" fontId="4" fillId="0" borderId="2" xfId="0" applyFont="1" applyFill="1" applyBorder="1" applyAlignment="1">
      <alignment horizontal="left"/>
    </xf>
    <xf numFmtId="0" fontId="31" fillId="0" borderId="9" xfId="9" applyFont="1" applyFill="1" applyBorder="1" applyAlignment="1">
      <alignment horizontal="left" wrapText="1"/>
    </xf>
    <xf numFmtId="0" fontId="4" fillId="0" borderId="9" xfId="0" applyFont="1" applyFill="1" applyBorder="1" applyAlignment="1">
      <alignment horizontal="left" wrapText="1"/>
    </xf>
    <xf numFmtId="0" fontId="15" fillId="0" borderId="0" xfId="0" applyFont="1" applyBorder="1"/>
    <xf numFmtId="0" fontId="33" fillId="0" borderId="0" xfId="0" applyFont="1" applyFill="1"/>
    <xf numFmtId="0" fontId="15" fillId="0" borderId="0" xfId="0" applyFont="1" applyFill="1"/>
    <xf numFmtId="0" fontId="16" fillId="5" borderId="6" xfId="0" applyFont="1" applyFill="1" applyBorder="1" applyAlignment="1"/>
    <xf numFmtId="0" fontId="16" fillId="5" borderId="7" xfId="0" applyFont="1" applyFill="1" applyBorder="1" applyAlignment="1">
      <alignment wrapText="1"/>
    </xf>
    <xf numFmtId="0" fontId="34" fillId="0" borderId="1" xfId="0" applyFont="1" applyFill="1" applyBorder="1" applyAlignment="1"/>
    <xf numFmtId="0" fontId="19" fillId="0" borderId="1" xfId="0" applyFont="1" applyFill="1" applyBorder="1" applyAlignment="1">
      <alignment horizontal="right"/>
    </xf>
    <xf numFmtId="0" fontId="4" fillId="0" borderId="1" xfId="0" applyFont="1" applyFill="1" applyBorder="1" applyAlignment="1">
      <alignment horizontal="right" vertical="top"/>
    </xf>
    <xf numFmtId="14" fontId="4" fillId="0" borderId="1" xfId="0" applyNumberFormat="1" applyFont="1" applyFill="1" applyBorder="1" applyAlignment="1">
      <alignment horizontal="right"/>
    </xf>
    <xf numFmtId="0" fontId="13" fillId="0" borderId="0" xfId="0" applyFont="1"/>
    <xf numFmtId="0" fontId="16" fillId="0" borderId="7" xfId="0" applyFont="1" applyFill="1" applyBorder="1" applyAlignment="1">
      <alignment horizontal="left" wrapText="1"/>
    </xf>
    <xf numFmtId="0" fontId="16" fillId="0" borderId="1" xfId="0" applyFont="1" applyFill="1" applyBorder="1" applyAlignment="1"/>
    <xf numFmtId="0" fontId="16" fillId="0" borderId="9" xfId="0" applyFont="1" applyFill="1" applyBorder="1" applyAlignment="1">
      <alignment wrapText="1"/>
    </xf>
    <xf numFmtId="14" fontId="4" fillId="0" borderId="1" xfId="0" applyNumberFormat="1" applyFont="1" applyFill="1" applyBorder="1" applyAlignment="1">
      <alignment vertical="center"/>
    </xf>
    <xf numFmtId="0" fontId="4" fillId="0" borderId="1" xfId="0" applyFont="1" applyFill="1" applyBorder="1" applyAlignment="1">
      <alignment horizontal="right" vertical="center"/>
    </xf>
    <xf numFmtId="0" fontId="16" fillId="9" borderId="6" xfId="0" applyFont="1" applyFill="1" applyBorder="1" applyAlignment="1">
      <alignment horizontal="left"/>
    </xf>
    <xf numFmtId="0" fontId="16" fillId="5" borderId="6" xfId="0" applyFont="1" applyFill="1" applyBorder="1" applyAlignment="1">
      <alignment horizontal="left" wrapText="1"/>
    </xf>
    <xf numFmtId="0" fontId="20" fillId="0" borderId="1" xfId="9" applyFont="1" applyFill="1" applyBorder="1" applyAlignment="1">
      <alignment horizontal="left" wrapText="1"/>
    </xf>
    <xf numFmtId="0" fontId="20" fillId="0" borderId="56" xfId="0" applyFont="1" applyBorder="1" applyAlignment="1">
      <alignment horizontal="left" vertical="center"/>
    </xf>
    <xf numFmtId="0" fontId="16" fillId="5" borderId="41" xfId="0" applyFont="1" applyFill="1" applyBorder="1" applyAlignment="1">
      <alignment horizontal="left"/>
    </xf>
    <xf numFmtId="0" fontId="16" fillId="5" borderId="62" xfId="0" applyFont="1" applyFill="1" applyBorder="1" applyAlignment="1">
      <alignment horizontal="left" wrapText="1"/>
    </xf>
    <xf numFmtId="1" fontId="35" fillId="0" borderId="0" xfId="3" applyNumberFormat="1" applyFont="1"/>
    <xf numFmtId="0" fontId="16" fillId="5" borderId="36" xfId="0" applyFont="1" applyFill="1" applyBorder="1" applyAlignment="1">
      <alignment horizontal="left"/>
    </xf>
    <xf numFmtId="0" fontId="31" fillId="0" borderId="0" xfId="9" applyFont="1" applyFill="1" applyBorder="1" applyAlignment="1">
      <alignment horizontal="left" wrapText="1"/>
    </xf>
    <xf numFmtId="0" fontId="20" fillId="0" borderId="5" xfId="0" applyFont="1" applyBorder="1" applyAlignment="1">
      <alignment horizontal="left"/>
    </xf>
    <xf numFmtId="0" fontId="16" fillId="0" borderId="60" xfId="0" applyFont="1" applyFill="1" applyBorder="1" applyAlignment="1">
      <alignment horizontal="center"/>
    </xf>
    <xf numFmtId="0" fontId="16" fillId="0" borderId="71" xfId="0" applyFont="1" applyFill="1" applyBorder="1" applyAlignment="1">
      <alignment horizontal="center" wrapText="1"/>
    </xf>
    <xf numFmtId="0" fontId="31" fillId="0" borderId="0" xfId="9" applyFont="1"/>
    <xf numFmtId="0" fontId="16" fillId="5" borderId="1" xfId="0" applyFont="1" applyFill="1" applyBorder="1" applyAlignment="1">
      <alignment horizontal="right"/>
    </xf>
    <xf numFmtId="0" fontId="16" fillId="5" borderId="1" xfId="0" applyFont="1" applyFill="1" applyBorder="1" applyAlignment="1">
      <alignment horizontal="left" wrapText="1"/>
    </xf>
    <xf numFmtId="14" fontId="16" fillId="5" borderId="1" xfId="0" applyNumberFormat="1" applyFont="1" applyFill="1" applyBorder="1" applyAlignment="1">
      <alignment horizontal="left"/>
    </xf>
    <xf numFmtId="43" fontId="16" fillId="5" borderId="1" xfId="3" applyFont="1" applyFill="1" applyBorder="1" applyAlignment="1">
      <alignment horizontal="right"/>
    </xf>
    <xf numFmtId="0" fontId="16" fillId="19" borderId="1" xfId="0" applyFont="1" applyFill="1" applyBorder="1" applyAlignment="1">
      <alignment horizontal="left"/>
    </xf>
    <xf numFmtId="0" fontId="16" fillId="19" borderId="1" xfId="0" applyFont="1" applyFill="1" applyBorder="1" applyAlignment="1">
      <alignment horizontal="center"/>
    </xf>
    <xf numFmtId="0" fontId="16" fillId="19" borderId="1" xfId="0" applyFont="1" applyFill="1" applyBorder="1" applyAlignment="1">
      <alignment horizontal="right"/>
    </xf>
    <xf numFmtId="0" fontId="16" fillId="19" borderId="1" xfId="0" applyFont="1" applyFill="1" applyBorder="1" applyAlignment="1">
      <alignment horizontal="left" wrapText="1"/>
    </xf>
    <xf numFmtId="14" fontId="16" fillId="19" borderId="1" xfId="0" applyNumberFormat="1" applyFont="1" applyFill="1" applyBorder="1" applyAlignment="1">
      <alignment horizontal="left"/>
    </xf>
    <xf numFmtId="43" fontId="16" fillId="19" borderId="1" xfId="3" applyFont="1" applyFill="1" applyBorder="1" applyAlignment="1">
      <alignment horizontal="right"/>
    </xf>
    <xf numFmtId="0" fontId="4" fillId="5" borderId="1" xfId="0" applyFont="1" applyFill="1" applyBorder="1" applyAlignment="1">
      <alignment horizontal="left"/>
    </xf>
    <xf numFmtId="0" fontId="4" fillId="5" borderId="1" xfId="0" applyFont="1" applyFill="1" applyBorder="1" applyAlignment="1">
      <alignment horizontal="left" vertical="top"/>
    </xf>
    <xf numFmtId="0" fontId="16" fillId="5" borderId="2" xfId="0" applyFont="1" applyFill="1" applyBorder="1" applyAlignment="1"/>
    <xf numFmtId="0" fontId="19" fillId="0" borderId="0" xfId="0" applyFont="1" applyBorder="1" applyAlignment="1">
      <alignment horizontal="center"/>
    </xf>
    <xf numFmtId="0" fontId="31" fillId="0" borderId="0" xfId="9" applyFont="1" applyFill="1" applyBorder="1" applyAlignment="1">
      <alignment wrapText="1"/>
    </xf>
    <xf numFmtId="0" fontId="4" fillId="0" borderId="11" xfId="0" applyFont="1" applyFill="1" applyBorder="1" applyAlignment="1">
      <alignment horizontal="right"/>
    </xf>
    <xf numFmtId="0" fontId="4" fillId="0" borderId="0" xfId="0" applyFont="1" applyFill="1" applyBorder="1" applyAlignment="1">
      <alignment horizontal="right"/>
    </xf>
    <xf numFmtId="0" fontId="16" fillId="5" borderId="6" xfId="0" applyFont="1" applyFill="1" applyBorder="1" applyAlignment="1">
      <alignment horizontal="right"/>
    </xf>
    <xf numFmtId="0" fontId="20" fillId="0" borderId="5" xfId="0" applyFont="1" applyFill="1" applyBorder="1" applyAlignment="1">
      <alignment horizontal="left"/>
    </xf>
    <xf numFmtId="0" fontId="4" fillId="0" borderId="9" xfId="0" applyFont="1" applyFill="1" applyBorder="1" applyAlignment="1">
      <alignment wrapText="1"/>
    </xf>
    <xf numFmtId="0" fontId="4" fillId="0" borderId="72" xfId="0" applyFont="1" applyFill="1" applyBorder="1" applyAlignment="1">
      <alignment horizontal="left"/>
    </xf>
    <xf numFmtId="0" fontId="4" fillId="0" borderId="59" xfId="0" applyFont="1" applyFill="1" applyBorder="1" applyAlignment="1">
      <alignment horizontal="center"/>
    </xf>
    <xf numFmtId="0" fontId="4" fillId="0" borderId="59" xfId="0" applyFont="1" applyFill="1" applyBorder="1" applyAlignment="1">
      <alignment horizontal="right"/>
    </xf>
    <xf numFmtId="0" fontId="4" fillId="0" borderId="73" xfId="0" applyFont="1" applyFill="1" applyBorder="1" applyAlignment="1">
      <alignment horizontal="center" wrapText="1"/>
    </xf>
    <xf numFmtId="0" fontId="4" fillId="0" borderId="0" xfId="0" applyFont="1" applyFill="1" applyBorder="1" applyAlignment="1"/>
    <xf numFmtId="43" fontId="4" fillId="0" borderId="0" xfId="3" applyFont="1" applyFill="1" applyBorder="1" applyAlignment="1"/>
    <xf numFmtId="0" fontId="4" fillId="0" borderId="63" xfId="0" applyFont="1" applyFill="1" applyBorder="1" applyAlignment="1">
      <alignment wrapText="1"/>
    </xf>
    <xf numFmtId="0" fontId="19" fillId="0" borderId="1" xfId="0" applyFont="1" applyFill="1" applyBorder="1" applyAlignment="1"/>
    <xf numFmtId="0" fontId="19" fillId="0" borderId="1" xfId="0" applyFont="1" applyFill="1" applyBorder="1" applyAlignment="1">
      <alignment wrapText="1"/>
    </xf>
    <xf numFmtId="0" fontId="31" fillId="0" borderId="63" xfId="9" applyFont="1" applyFill="1" applyBorder="1" applyAlignment="1">
      <alignment wrapText="1"/>
    </xf>
    <xf numFmtId="0" fontId="31" fillId="0" borderId="9" xfId="9" applyFont="1" applyFill="1" applyBorder="1" applyAlignment="1">
      <alignment wrapText="1"/>
    </xf>
    <xf numFmtId="0" fontId="19" fillId="0" borderId="1" xfId="0" applyFont="1" applyBorder="1" applyAlignment="1"/>
    <xf numFmtId="0" fontId="19" fillId="0" borderId="1" xfId="0" applyFont="1" applyBorder="1" applyAlignment="1">
      <alignment horizontal="right"/>
    </xf>
    <xf numFmtId="0" fontId="31" fillId="0" borderId="1" xfId="9" applyFont="1" applyBorder="1" applyAlignment="1">
      <alignment wrapText="1"/>
    </xf>
    <xf numFmtId="0" fontId="19" fillId="0" borderId="1" xfId="0" applyFont="1" applyBorder="1" applyAlignment="1">
      <alignment wrapText="1"/>
    </xf>
    <xf numFmtId="14" fontId="4" fillId="0" borderId="1" xfId="0" applyNumberFormat="1" applyFont="1" applyFill="1" applyBorder="1"/>
    <xf numFmtId="0" fontId="34" fillId="0" borderId="1" xfId="0" applyFont="1" applyFill="1" applyBorder="1"/>
    <xf numFmtId="0" fontId="4" fillId="0" borderId="0" xfId="0" applyFont="1" applyFill="1" applyBorder="1" applyAlignment="1">
      <alignment wrapText="1"/>
    </xf>
    <xf numFmtId="0" fontId="19" fillId="0" borderId="9" xfId="0" applyFont="1" applyFill="1" applyBorder="1" applyAlignment="1">
      <alignment horizontal="left" wrapText="1"/>
    </xf>
    <xf numFmtId="0" fontId="4" fillId="0" borderId="2" xfId="0" applyFont="1" applyFill="1" applyBorder="1" applyAlignment="1">
      <alignment horizontal="left" wrapText="1"/>
    </xf>
    <xf numFmtId="43" fontId="4" fillId="0" borderId="3" xfId="3" applyFont="1" applyFill="1" applyBorder="1" applyAlignment="1">
      <alignment horizontal="center" wrapText="1"/>
    </xf>
    <xf numFmtId="43" fontId="4" fillId="0" borderId="4" xfId="3" applyFont="1" applyFill="1" applyBorder="1" applyAlignment="1">
      <alignment horizontal="center" wrapText="1"/>
    </xf>
    <xf numFmtId="43" fontId="4" fillId="0" borderId="22" xfId="3" applyFont="1" applyFill="1" applyBorder="1" applyAlignment="1">
      <alignment horizontal="center" vertical="center" wrapText="1"/>
    </xf>
    <xf numFmtId="43" fontId="4" fillId="0" borderId="14" xfId="3" applyFont="1" applyFill="1" applyBorder="1" applyAlignment="1">
      <alignment horizontal="center" vertical="center" wrapText="1"/>
    </xf>
    <xf numFmtId="43" fontId="4" fillId="0" borderId="43" xfId="3" applyFont="1" applyFill="1" applyBorder="1" applyAlignment="1">
      <alignment horizontal="center" vertical="center" wrapText="1"/>
    </xf>
    <xf numFmtId="43" fontId="4" fillId="0" borderId="29" xfId="3" applyFont="1" applyFill="1" applyBorder="1" applyAlignment="1">
      <alignment horizontal="center" vertical="center" wrapText="1"/>
    </xf>
    <xf numFmtId="43" fontId="4" fillId="0" borderId="24" xfId="3" applyFont="1" applyFill="1" applyBorder="1" applyAlignment="1">
      <alignment horizontal="center" vertical="center" wrapText="1"/>
    </xf>
    <xf numFmtId="43" fontId="4" fillId="0" borderId="16" xfId="3" applyFont="1" applyFill="1" applyBorder="1" applyAlignment="1">
      <alignment horizontal="center" vertical="center" wrapText="1"/>
    </xf>
    <xf numFmtId="0" fontId="4" fillId="0" borderId="21" xfId="0" applyFont="1" applyFill="1" applyBorder="1" applyAlignment="1">
      <alignment horizontal="left" wrapText="1"/>
    </xf>
    <xf numFmtId="43" fontId="4" fillId="0" borderId="58" xfId="3" applyFont="1" applyFill="1" applyBorder="1" applyAlignment="1">
      <alignment horizontal="center" wrapText="1"/>
    </xf>
    <xf numFmtId="43" fontId="4" fillId="0" borderId="22" xfId="3" applyFont="1" applyFill="1" applyBorder="1" applyAlignment="1">
      <alignment horizontal="center" wrapText="1"/>
    </xf>
    <xf numFmtId="0" fontId="16" fillId="0" borderId="50" xfId="0" applyFont="1" applyFill="1" applyBorder="1" applyAlignment="1">
      <alignment horizontal="left" wrapText="1"/>
    </xf>
    <xf numFmtId="43" fontId="16" fillId="0" borderId="49" xfId="3" applyFont="1" applyFill="1" applyBorder="1" applyAlignment="1">
      <alignment horizontal="center" wrapText="1"/>
    </xf>
    <xf numFmtId="43" fontId="16" fillId="0" borderId="51" xfId="3" applyFont="1" applyFill="1" applyBorder="1" applyAlignment="1">
      <alignment horizontal="center" wrapText="1"/>
    </xf>
    <xf numFmtId="0" fontId="20" fillId="0" borderId="0" xfId="0" applyFont="1" applyFill="1" applyBorder="1" applyAlignment="1">
      <alignment vertical="top" wrapText="1"/>
    </xf>
    <xf numFmtId="43" fontId="16" fillId="0" borderId="4" xfId="3" applyFont="1" applyFill="1" applyBorder="1" applyAlignment="1">
      <alignment horizontal="center" vertical="center" wrapText="1"/>
    </xf>
    <xf numFmtId="0" fontId="4" fillId="0" borderId="42" xfId="0" applyFont="1" applyFill="1" applyBorder="1" applyAlignment="1">
      <alignment horizontal="left" wrapText="1"/>
    </xf>
    <xf numFmtId="43" fontId="4" fillId="0" borderId="0" xfId="3" applyFont="1" applyFill="1" applyBorder="1" applyAlignment="1">
      <alignment horizontal="center" wrapText="1"/>
    </xf>
    <xf numFmtId="43" fontId="4" fillId="0" borderId="43" xfId="3" applyFont="1" applyFill="1" applyBorder="1" applyAlignment="1">
      <alignment horizontal="center" wrapText="1"/>
    </xf>
    <xf numFmtId="0" fontId="4" fillId="0" borderId="29" xfId="0" applyFont="1" applyFill="1" applyBorder="1" applyAlignment="1">
      <alignment horizontal="left" wrapText="1"/>
    </xf>
    <xf numFmtId="43" fontId="4" fillId="0" borderId="29" xfId="3" applyFont="1" applyFill="1" applyBorder="1" applyAlignment="1">
      <alignment wrapText="1"/>
    </xf>
    <xf numFmtId="43" fontId="4" fillId="0" borderId="29" xfId="3" applyFont="1" applyFill="1" applyBorder="1" applyAlignment="1">
      <alignment horizontal="right" wrapText="1"/>
    </xf>
    <xf numFmtId="0" fontId="16" fillId="0" borderId="3" xfId="0" applyFont="1" applyFill="1" applyBorder="1" applyAlignment="1">
      <alignment horizontal="center" vertical="top" wrapText="1"/>
    </xf>
    <xf numFmtId="43" fontId="16" fillId="0" borderId="3" xfId="3" applyFont="1" applyFill="1" applyBorder="1" applyAlignment="1">
      <alignment horizontal="center" vertical="top" wrapText="1"/>
    </xf>
    <xf numFmtId="43" fontId="16" fillId="0" borderId="4" xfId="3" applyFont="1" applyFill="1" applyBorder="1" applyAlignment="1">
      <alignment horizontal="center" vertical="top" wrapText="1"/>
    </xf>
    <xf numFmtId="0" fontId="16" fillId="0" borderId="35" xfId="0" applyFont="1" applyFill="1" applyBorder="1" applyAlignment="1">
      <alignment horizontal="center" vertical="top" wrapText="1"/>
    </xf>
    <xf numFmtId="43" fontId="16" fillId="0" borderId="35" xfId="3" applyFont="1" applyFill="1" applyBorder="1" applyAlignment="1">
      <alignment horizontal="center" vertical="top" wrapText="1"/>
    </xf>
    <xf numFmtId="43" fontId="16" fillId="0" borderId="30" xfId="3" applyFont="1" applyFill="1" applyBorder="1" applyAlignment="1">
      <alignment horizontal="center" vertical="top" wrapText="1"/>
    </xf>
    <xf numFmtId="0" fontId="16" fillId="0" borderId="1" xfId="0" applyFont="1" applyFill="1" applyBorder="1" applyAlignment="1">
      <alignment horizontal="center" vertical="top" wrapText="1"/>
    </xf>
    <xf numFmtId="43" fontId="16" fillId="0" borderId="9" xfId="3" applyFont="1" applyFill="1" applyBorder="1" applyAlignment="1">
      <alignment vertical="center" wrapText="1"/>
    </xf>
    <xf numFmtId="0" fontId="16" fillId="0" borderId="1" xfId="0" applyFont="1" applyFill="1" applyBorder="1" applyAlignment="1">
      <alignment vertical="top" wrapText="1"/>
    </xf>
    <xf numFmtId="0" fontId="4" fillId="0" borderId="55" xfId="2" applyFont="1" applyFill="1" applyBorder="1" applyAlignment="1">
      <alignment horizontal="left" vertical="center" wrapText="1"/>
    </xf>
    <xf numFmtId="0" fontId="4" fillId="0" borderId="0" xfId="2" applyFont="1" applyFill="1" applyBorder="1" applyAlignment="1">
      <alignment horizontal="center" vertical="center" wrapText="1"/>
    </xf>
    <xf numFmtId="43" fontId="4" fillId="0" borderId="0" xfId="3" applyFont="1" applyFill="1" applyBorder="1" applyAlignment="1">
      <alignment horizontal="center" vertical="center" wrapText="1"/>
    </xf>
    <xf numFmtId="43" fontId="4" fillId="0" borderId="63" xfId="3" applyFont="1" applyFill="1" applyBorder="1" applyAlignment="1">
      <alignment horizontal="center" vertical="center" wrapText="1"/>
    </xf>
    <xf numFmtId="0" fontId="4" fillId="0" borderId="0" xfId="0" applyFont="1" applyFill="1" applyBorder="1" applyAlignment="1">
      <alignment horizontal="left" wrapText="1"/>
    </xf>
    <xf numFmtId="43" fontId="4" fillId="0" borderId="0" xfId="3" applyFont="1" applyFill="1" applyBorder="1" applyAlignment="1">
      <alignment wrapText="1"/>
    </xf>
    <xf numFmtId="43" fontId="4" fillId="0" borderId="0" xfId="3" applyFont="1" applyFill="1" applyBorder="1" applyAlignment="1">
      <alignment horizontal="right" wrapText="1"/>
    </xf>
    <xf numFmtId="43" fontId="19" fillId="0" borderId="9" xfId="3" applyFont="1" applyFill="1" applyBorder="1" applyAlignment="1">
      <alignment wrapText="1"/>
    </xf>
    <xf numFmtId="0" fontId="4" fillId="0" borderId="36" xfId="0" applyFont="1" applyFill="1" applyBorder="1" applyAlignment="1">
      <alignment horizontal="left" wrapText="1"/>
    </xf>
    <xf numFmtId="43" fontId="4" fillId="0" borderId="41" xfId="3" applyFont="1" applyFill="1" applyBorder="1" applyAlignment="1">
      <alignment horizontal="center" wrapText="1"/>
    </xf>
    <xf numFmtId="43" fontId="4" fillId="0" borderId="38" xfId="3" applyFont="1" applyFill="1" applyBorder="1" applyAlignment="1">
      <alignment horizontal="center" wrapText="1"/>
    </xf>
    <xf numFmtId="43" fontId="19" fillId="0" borderId="0" xfId="3" applyFont="1" applyBorder="1" applyAlignment="1">
      <alignment horizontal="center" wrapText="1"/>
    </xf>
    <xf numFmtId="43" fontId="19" fillId="0" borderId="0" xfId="0" applyNumberFormat="1" applyFont="1" applyFill="1" applyBorder="1" applyAlignment="1">
      <alignment wrapText="1"/>
    </xf>
    <xf numFmtId="0" fontId="4" fillId="0" borderId="23" xfId="0" applyFont="1" applyFill="1" applyBorder="1" applyAlignment="1">
      <alignment horizontal="left" wrapText="1"/>
    </xf>
    <xf numFmtId="43" fontId="4" fillId="0" borderId="59" xfId="3" applyFont="1" applyFill="1" applyBorder="1" applyAlignment="1">
      <alignment horizontal="center" wrapText="1"/>
    </xf>
    <xf numFmtId="43" fontId="4" fillId="0" borderId="24" xfId="3" applyFont="1" applyFill="1" applyBorder="1" applyAlignment="1">
      <alignment horizontal="center" wrapText="1"/>
    </xf>
    <xf numFmtId="0" fontId="16" fillId="0" borderId="2" xfId="0" applyFont="1" applyFill="1" applyBorder="1" applyAlignment="1">
      <alignment horizontal="left" wrapText="1"/>
    </xf>
    <xf numFmtId="43" fontId="16" fillId="0" borderId="1" xfId="3" applyFont="1" applyFill="1" applyBorder="1" applyAlignment="1">
      <alignment horizontal="left" vertical="center" wrapText="1"/>
    </xf>
    <xf numFmtId="43" fontId="16" fillId="0" borderId="9" xfId="3" applyFont="1" applyFill="1" applyBorder="1" applyAlignment="1">
      <alignment horizontal="left" vertical="center" wrapText="1"/>
    </xf>
    <xf numFmtId="43" fontId="4" fillId="0" borderId="9" xfId="3" applyFont="1" applyFill="1" applyBorder="1" applyAlignment="1">
      <alignment horizontal="center" vertical="center" wrapText="1"/>
    </xf>
    <xf numFmtId="43" fontId="16" fillId="0" borderId="0" xfId="3" applyFont="1" applyFill="1" applyBorder="1" applyAlignment="1">
      <alignment wrapText="1"/>
    </xf>
    <xf numFmtId="0" fontId="4" fillId="0" borderId="14" xfId="0" applyFont="1" applyFill="1" applyBorder="1" applyAlignment="1">
      <alignment horizontal="left" wrapText="1"/>
    </xf>
    <xf numFmtId="43" fontId="4" fillId="0" borderId="14" xfId="3" applyFont="1" applyFill="1" applyBorder="1" applyAlignment="1">
      <alignment wrapText="1"/>
    </xf>
    <xf numFmtId="43" fontId="4" fillId="0" borderId="14" xfId="3" applyFont="1" applyFill="1" applyBorder="1" applyAlignment="1">
      <alignment horizontal="right" wrapText="1"/>
    </xf>
    <xf numFmtId="0" fontId="4" fillId="0" borderId="16" xfId="0" applyFont="1" applyFill="1" applyBorder="1" applyAlignment="1">
      <alignment horizontal="left" wrapText="1"/>
    </xf>
    <xf numFmtId="43" fontId="4" fillId="0" borderId="16" xfId="3" applyFont="1" applyFill="1" applyBorder="1" applyAlignment="1">
      <alignment wrapText="1"/>
    </xf>
    <xf numFmtId="43" fontId="4" fillId="0" borderId="16" xfId="3" applyFont="1" applyFill="1" applyBorder="1" applyAlignment="1">
      <alignment horizontal="right" wrapText="1"/>
    </xf>
    <xf numFmtId="43" fontId="16" fillId="0" borderId="12" xfId="3" applyFont="1" applyFill="1" applyBorder="1" applyAlignment="1">
      <alignment vertical="center" wrapText="1"/>
    </xf>
    <xf numFmtId="43" fontId="16" fillId="0" borderId="2" xfId="3" applyFont="1" applyFill="1" applyBorder="1" applyAlignment="1">
      <alignment horizontal="center" vertical="center" wrapText="1"/>
    </xf>
    <xf numFmtId="43" fontId="19" fillId="0" borderId="0" xfId="3" applyFont="1" applyFill="1" applyBorder="1" applyAlignment="1">
      <alignment wrapText="1"/>
    </xf>
    <xf numFmtId="0" fontId="4" fillId="0" borderId="25" xfId="0" applyFont="1" applyFill="1" applyBorder="1" applyAlignment="1">
      <alignment horizontal="left" wrapText="1"/>
    </xf>
    <xf numFmtId="43" fontId="4" fillId="0" borderId="26" xfId="3" applyFont="1" applyFill="1" applyBorder="1" applyAlignment="1">
      <alignment horizontal="right" wrapText="1"/>
    </xf>
    <xf numFmtId="43" fontId="4" fillId="0" borderId="27" xfId="3" applyFont="1" applyFill="1" applyBorder="1" applyAlignment="1">
      <alignment wrapText="1"/>
    </xf>
    <xf numFmtId="0" fontId="4" fillId="0" borderId="28" xfId="0" applyFont="1" applyFill="1" applyBorder="1" applyAlignment="1">
      <alignment horizontal="left" wrapText="1"/>
    </xf>
    <xf numFmtId="43" fontId="4" fillId="0" borderId="29" xfId="3" applyFont="1" applyFill="1" applyBorder="1" applyAlignment="1">
      <alignment horizontal="center" wrapText="1"/>
    </xf>
    <xf numFmtId="43" fontId="4" fillId="0" borderId="40" xfId="3" applyFont="1" applyFill="1" applyBorder="1" applyAlignment="1">
      <alignment horizontal="center" wrapText="1"/>
    </xf>
    <xf numFmtId="43" fontId="19" fillId="0" borderId="1" xfId="3" applyFont="1" applyFill="1" applyBorder="1" applyAlignment="1">
      <alignment wrapText="1"/>
    </xf>
    <xf numFmtId="0" fontId="16" fillId="0" borderId="14" xfId="0" applyFont="1" applyFill="1" applyBorder="1" applyAlignment="1">
      <alignment horizontal="left" wrapText="1"/>
    </xf>
    <xf numFmtId="43" fontId="16" fillId="0" borderId="14" xfId="3" applyFont="1" applyFill="1" applyBorder="1" applyAlignment="1">
      <alignment wrapText="1"/>
    </xf>
    <xf numFmtId="0" fontId="16" fillId="0" borderId="29" xfId="0" applyFont="1" applyFill="1" applyBorder="1" applyAlignment="1">
      <alignment horizontal="left" wrapText="1"/>
    </xf>
    <xf numFmtId="0" fontId="16" fillId="0" borderId="5" xfId="0" quotePrefix="1" applyFont="1" applyFill="1" applyBorder="1" applyAlignment="1">
      <alignment horizontal="left" vertical="center" wrapText="1"/>
    </xf>
    <xf numFmtId="0" fontId="16" fillId="0" borderId="16" xfId="0" applyFont="1" applyFill="1" applyBorder="1" applyAlignment="1">
      <alignment horizontal="left" wrapText="1"/>
    </xf>
    <xf numFmtId="43" fontId="16" fillId="0" borderId="16" xfId="3" applyFont="1" applyFill="1" applyBorder="1" applyAlignment="1">
      <alignment wrapText="1"/>
    </xf>
    <xf numFmtId="0" fontId="19" fillId="0" borderId="29" xfId="0" applyFont="1" applyFill="1" applyBorder="1" applyAlignment="1">
      <alignment horizontal="left" wrapText="1"/>
    </xf>
    <xf numFmtId="43" fontId="19" fillId="0" borderId="29" xfId="3" applyFont="1" applyFill="1" applyBorder="1" applyAlignment="1">
      <alignment wrapText="1"/>
    </xf>
    <xf numFmtId="0" fontId="4" fillId="0" borderId="0" xfId="0" applyFont="1" applyFill="1" applyAlignment="1">
      <alignment horizontal="left" wrapText="1"/>
    </xf>
    <xf numFmtId="43" fontId="4" fillId="0" borderId="0" xfId="3" applyFont="1" applyFill="1" applyAlignment="1">
      <alignment wrapText="1"/>
    </xf>
    <xf numFmtId="0" fontId="19" fillId="0" borderId="0" xfId="0" applyFont="1" applyAlignment="1">
      <alignment horizontal="left" vertical="top"/>
    </xf>
    <xf numFmtId="0" fontId="15" fillId="0" borderId="5" xfId="0" applyFont="1" applyBorder="1" applyAlignment="1">
      <alignment horizontal="left" vertical="top"/>
    </xf>
    <xf numFmtId="0" fontId="15" fillId="0" borderId="8" xfId="0" applyFont="1" applyBorder="1" applyAlignment="1">
      <alignment horizontal="left" vertical="top"/>
    </xf>
    <xf numFmtId="0" fontId="15" fillId="0" borderId="10" xfId="0" applyFont="1" applyBorder="1" applyAlignment="1">
      <alignment horizontal="left" vertical="top"/>
    </xf>
    <xf numFmtId="0" fontId="15" fillId="0" borderId="31" xfId="0" applyFont="1" applyBorder="1" applyAlignment="1">
      <alignment vertical="top"/>
    </xf>
    <xf numFmtId="0" fontId="15" fillId="0" borderId="33" xfId="0" applyFont="1" applyBorder="1" applyAlignment="1">
      <alignment vertical="top"/>
    </xf>
    <xf numFmtId="0" fontId="20" fillId="0" borderId="0" xfId="0" applyFont="1" applyAlignment="1">
      <alignment horizontal="left" vertical="top"/>
    </xf>
    <xf numFmtId="0" fontId="21" fillId="0" borderId="8" xfId="0" applyFont="1" applyBorder="1" applyAlignment="1">
      <alignment horizontal="center" vertical="top"/>
    </xf>
    <xf numFmtId="0" fontId="21" fillId="0" borderId="9" xfId="0" applyFont="1" applyBorder="1" applyAlignment="1">
      <alignment horizontal="center" vertical="top"/>
    </xf>
    <xf numFmtId="0" fontId="21" fillId="0" borderId="2" xfId="0" applyFont="1" applyBorder="1" applyAlignment="1">
      <alignment horizontal="right" vertical="top"/>
    </xf>
    <xf numFmtId="0" fontId="21" fillId="0" borderId="9" xfId="0" applyFont="1" applyBorder="1" applyAlignment="1">
      <alignment horizontal="right" vertical="top"/>
    </xf>
    <xf numFmtId="0" fontId="21" fillId="0" borderId="2" xfId="0" applyFont="1" applyBorder="1" applyAlignment="1">
      <alignment horizontal="center" vertical="top"/>
    </xf>
    <xf numFmtId="0" fontId="15" fillId="0" borderId="1" xfId="0" applyFont="1" applyBorder="1" applyAlignment="1">
      <alignment horizontal="left" vertical="top" wrapText="1"/>
    </xf>
    <xf numFmtId="43" fontId="15" fillId="0" borderId="1" xfId="3" applyFont="1" applyBorder="1" applyAlignment="1">
      <alignment horizontal="right" vertical="top"/>
    </xf>
    <xf numFmtId="10" fontId="15" fillId="0" borderId="2" xfId="1" applyNumberFormat="1" applyFont="1" applyBorder="1" applyAlignment="1">
      <alignment horizontal="right" vertical="top"/>
    </xf>
    <xf numFmtId="43" fontId="15" fillId="0" borderId="8" xfId="3" applyFont="1" applyBorder="1" applyAlignment="1">
      <alignment horizontal="left" vertical="top"/>
    </xf>
    <xf numFmtId="10" fontId="15" fillId="0" borderId="9" xfId="1" applyNumberFormat="1" applyFont="1" applyBorder="1" applyAlignment="1">
      <alignment horizontal="right" vertical="top"/>
    </xf>
    <xf numFmtId="43" fontId="15" fillId="0" borderId="4" xfId="3" applyFont="1" applyBorder="1" applyAlignment="1">
      <alignment horizontal="left" vertical="top"/>
    </xf>
    <xf numFmtId="10" fontId="15" fillId="0" borderId="2" xfId="1" applyNumberFormat="1" applyFont="1" applyBorder="1" applyAlignment="1">
      <alignment horizontal="left" vertical="top"/>
    </xf>
    <xf numFmtId="10" fontId="15" fillId="0" borderId="9" xfId="1" applyNumberFormat="1" applyFont="1" applyBorder="1" applyAlignment="1">
      <alignment horizontal="left" vertical="top"/>
    </xf>
    <xf numFmtId="10" fontId="15" fillId="0" borderId="9" xfId="1" applyNumberFormat="1" applyFont="1" applyFill="1" applyBorder="1" applyAlignment="1">
      <alignment horizontal="left" vertical="top"/>
    </xf>
    <xf numFmtId="43" fontId="15" fillId="0" borderId="1" xfId="3" applyFont="1" applyBorder="1" applyAlignment="1">
      <alignment horizontal="left" vertical="top"/>
    </xf>
    <xf numFmtId="9" fontId="15" fillId="0" borderId="2" xfId="1" applyFont="1" applyBorder="1" applyAlignment="1">
      <alignment horizontal="right" vertical="top"/>
    </xf>
    <xf numFmtId="9" fontId="15" fillId="0" borderId="9" xfId="1" applyFont="1" applyBorder="1" applyAlignment="1">
      <alignment horizontal="left" vertical="top"/>
    </xf>
    <xf numFmtId="9" fontId="15" fillId="0" borderId="2" xfId="1" applyFont="1" applyBorder="1" applyAlignment="1">
      <alignment horizontal="left" vertical="top"/>
    </xf>
    <xf numFmtId="9" fontId="15" fillId="0" borderId="8" xfId="1" applyFont="1" applyBorder="1" applyAlignment="1">
      <alignment horizontal="left" vertical="top"/>
    </xf>
    <xf numFmtId="9" fontId="15" fillId="0" borderId="4" xfId="1" applyFont="1" applyBorder="1" applyAlignment="1">
      <alignment horizontal="left" vertical="top"/>
    </xf>
    <xf numFmtId="0" fontId="15" fillId="0" borderId="13" xfId="0" applyFont="1" applyBorder="1" applyAlignment="1">
      <alignment horizontal="left" vertical="top"/>
    </xf>
    <xf numFmtId="0" fontId="15" fillId="0" borderId="14" xfId="0" applyFont="1" applyBorder="1" applyAlignment="1">
      <alignment horizontal="left" vertical="top" wrapText="1"/>
    </xf>
    <xf numFmtId="43" fontId="15" fillId="0" borderId="14" xfId="3" applyFont="1" applyBorder="1" applyAlignment="1">
      <alignment horizontal="left" vertical="top"/>
    </xf>
    <xf numFmtId="10" fontId="15" fillId="0" borderId="21" xfId="1" applyNumberFormat="1" applyFont="1" applyBorder="1" applyAlignment="1">
      <alignment horizontal="left" vertical="top"/>
    </xf>
    <xf numFmtId="43" fontId="15" fillId="0" borderId="13" xfId="3" applyFont="1" applyBorder="1" applyAlignment="1">
      <alignment horizontal="left" vertical="top"/>
    </xf>
    <xf numFmtId="10" fontId="15" fillId="0" borderId="15" xfId="1" applyNumberFormat="1" applyFont="1" applyBorder="1" applyAlignment="1">
      <alignment horizontal="left" vertical="top"/>
    </xf>
    <xf numFmtId="43" fontId="15" fillId="0" borderId="22" xfId="3" applyFont="1" applyBorder="1" applyAlignment="1">
      <alignment horizontal="left" vertical="top"/>
    </xf>
    <xf numFmtId="10" fontId="15" fillId="0" borderId="21" xfId="1" applyNumberFormat="1" applyFont="1" applyBorder="1" applyAlignment="1">
      <alignment horizontal="right" vertical="top"/>
    </xf>
    <xf numFmtId="10" fontId="15" fillId="0" borderId="15" xfId="1" applyNumberFormat="1" applyFont="1" applyBorder="1" applyAlignment="1">
      <alignment horizontal="right" vertical="top"/>
    </xf>
    <xf numFmtId="9" fontId="15" fillId="0" borderId="21" xfId="1" applyFont="1" applyBorder="1" applyAlignment="1">
      <alignment horizontal="right" vertical="top"/>
    </xf>
    <xf numFmtId="9" fontId="15" fillId="0" borderId="15" xfId="1" applyFont="1" applyBorder="1" applyAlignment="1">
      <alignment horizontal="left" vertical="top"/>
    </xf>
    <xf numFmtId="9" fontId="15" fillId="0" borderId="21" xfId="1" applyFont="1" applyBorder="1" applyAlignment="1">
      <alignment horizontal="left" vertical="top"/>
    </xf>
    <xf numFmtId="9" fontId="15" fillId="0" borderId="13" xfId="1" applyFont="1" applyBorder="1" applyAlignment="1">
      <alignment horizontal="left" vertical="top"/>
    </xf>
    <xf numFmtId="9" fontId="15" fillId="0" borderId="22" xfId="1" applyFont="1" applyBorder="1" applyAlignment="1">
      <alignment horizontal="left" vertical="top"/>
    </xf>
    <xf numFmtId="43" fontId="21" fillId="0" borderId="6" xfId="3" applyFont="1" applyBorder="1" applyAlignment="1">
      <alignment horizontal="left" vertical="top"/>
    </xf>
    <xf numFmtId="164" fontId="21" fillId="0" borderId="36" xfId="1" applyNumberFormat="1" applyFont="1" applyBorder="1" applyAlignment="1">
      <alignment horizontal="left" vertical="top"/>
    </xf>
    <xf numFmtId="43" fontId="15" fillId="0" borderId="5" xfId="3" applyFont="1" applyBorder="1" applyAlignment="1">
      <alignment horizontal="left" vertical="top"/>
    </xf>
    <xf numFmtId="10" fontId="15" fillId="0" borderId="7" xfId="1" applyNumberFormat="1" applyFont="1" applyBorder="1" applyAlignment="1">
      <alignment horizontal="left" vertical="top"/>
    </xf>
    <xf numFmtId="43" fontId="15" fillId="0" borderId="38" xfId="3" applyFont="1" applyBorder="1" applyAlignment="1">
      <alignment horizontal="left" vertical="top"/>
    </xf>
    <xf numFmtId="10" fontId="15" fillId="0" borderId="36" xfId="1" applyNumberFormat="1" applyFont="1" applyBorder="1" applyAlignment="1">
      <alignment horizontal="right" vertical="top"/>
    </xf>
    <xf numFmtId="43" fontId="15" fillId="0" borderId="10" xfId="3" applyFont="1" applyBorder="1" applyAlignment="1">
      <alignment horizontal="left" vertical="top"/>
    </xf>
    <xf numFmtId="10" fontId="15" fillId="0" borderId="12" xfId="1" applyNumberFormat="1" applyFont="1" applyBorder="1" applyAlignment="1">
      <alignment horizontal="left" vertical="top"/>
    </xf>
    <xf numFmtId="43" fontId="15" fillId="0" borderId="30" xfId="3" applyFont="1" applyBorder="1" applyAlignment="1">
      <alignment horizontal="left" vertical="top"/>
    </xf>
    <xf numFmtId="10" fontId="15" fillId="0" borderId="37" xfId="1" applyNumberFormat="1" applyFont="1" applyBorder="1" applyAlignment="1">
      <alignment horizontal="right" vertical="top"/>
    </xf>
    <xf numFmtId="0" fontId="15" fillId="0" borderId="0" xfId="0" applyFont="1" applyAlignment="1">
      <alignment horizontal="left" vertical="top"/>
    </xf>
    <xf numFmtId="0" fontId="15" fillId="0" borderId="0" xfId="0" applyFont="1" applyAlignment="1">
      <alignment horizontal="left" vertical="top" wrapText="1"/>
    </xf>
    <xf numFmtId="43" fontId="15" fillId="0" borderId="0" xfId="0" applyNumberFormat="1" applyFont="1" applyBorder="1" applyAlignment="1">
      <alignment horizontal="left" vertical="top"/>
    </xf>
    <xf numFmtId="0" fontId="38" fillId="0" borderId="0" xfId="0" applyFont="1" applyAlignment="1">
      <alignment horizontal="left" vertical="top"/>
    </xf>
    <xf numFmtId="0" fontId="15" fillId="0" borderId="0" xfId="0" applyFont="1" applyBorder="1" applyAlignment="1">
      <alignment horizontal="left" vertical="top"/>
    </xf>
    <xf numFmtId="0" fontId="15" fillId="0" borderId="0" xfId="0" applyFont="1" applyBorder="1" applyAlignment="1">
      <alignment horizontal="right" vertical="top"/>
    </xf>
    <xf numFmtId="0" fontId="39" fillId="0" borderId="0" xfId="0" applyFont="1" applyAlignment="1">
      <alignment horizontal="left" vertical="top"/>
    </xf>
    <xf numFmtId="10" fontId="15" fillId="0" borderId="0" xfId="1" applyNumberFormat="1" applyFont="1" applyBorder="1" applyAlignment="1">
      <alignment horizontal="left" vertical="top"/>
    </xf>
    <xf numFmtId="0" fontId="15" fillId="0" borderId="0" xfId="0" applyFont="1" applyAlignment="1">
      <alignment horizontal="right" vertical="top"/>
    </xf>
    <xf numFmtId="43" fontId="39" fillId="0" borderId="0" xfId="0" applyNumberFormat="1" applyFont="1" applyAlignment="1">
      <alignment horizontal="left" vertical="top"/>
    </xf>
    <xf numFmtId="0" fontId="15" fillId="0" borderId="0" xfId="0" quotePrefix="1" applyFont="1" applyAlignment="1">
      <alignment horizontal="left" vertical="top"/>
    </xf>
    <xf numFmtId="0" fontId="15" fillId="0" borderId="0" xfId="0" applyFont="1" applyFill="1" applyAlignment="1">
      <alignment horizontal="left" vertical="top"/>
    </xf>
    <xf numFmtId="0" fontId="15" fillId="0" borderId="0" xfId="0" applyFont="1" applyFill="1" applyAlignment="1">
      <alignment horizontal="left" vertical="top" wrapText="1"/>
    </xf>
    <xf numFmtId="0" fontId="15" fillId="0" borderId="0" xfId="0" applyFont="1" applyFill="1" applyAlignment="1">
      <alignment horizontal="right" vertical="top"/>
    </xf>
    <xf numFmtId="0" fontId="19" fillId="0" borderId="0" xfId="0" applyFont="1" applyFill="1" applyAlignment="1">
      <alignment horizontal="left" vertical="top"/>
    </xf>
    <xf numFmtId="0" fontId="40" fillId="0" borderId="0" xfId="0" applyFont="1" applyAlignment="1">
      <alignment wrapText="1"/>
    </xf>
    <xf numFmtId="0" fontId="19" fillId="0" borderId="0" xfId="0" applyFont="1"/>
    <xf numFmtId="0" fontId="19" fillId="0" borderId="0" xfId="0" applyFont="1" applyAlignment="1">
      <alignment horizontal="center" wrapText="1"/>
    </xf>
    <xf numFmtId="43" fontId="19" fillId="0" borderId="0" xfId="3" applyFont="1" applyAlignment="1">
      <alignment horizontal="right" wrapText="1"/>
    </xf>
    <xf numFmtId="43" fontId="19" fillId="0" borderId="0" xfId="3" applyFont="1" applyAlignment="1">
      <alignment horizontal="right"/>
    </xf>
    <xf numFmtId="0" fontId="19" fillId="11" borderId="1" xfId="0" applyFont="1" applyFill="1" applyBorder="1" applyAlignment="1">
      <alignment horizontal="center" vertical="center" wrapText="1"/>
    </xf>
    <xf numFmtId="43" fontId="19" fillId="11" borderId="1" xfId="3" applyFont="1" applyFill="1" applyBorder="1" applyAlignment="1">
      <alignment horizontal="center" vertical="center" wrapText="1"/>
    </xf>
    <xf numFmtId="43" fontId="19" fillId="11" borderId="9" xfId="3" applyFont="1" applyFill="1" applyBorder="1" applyAlignment="1">
      <alignment horizontal="center" vertical="center" wrapText="1"/>
    </xf>
    <xf numFmtId="43" fontId="19" fillId="11" borderId="4" xfId="3" applyFont="1" applyFill="1" applyBorder="1" applyAlignment="1">
      <alignment horizontal="center" vertical="center" wrapText="1"/>
    </xf>
    <xf numFmtId="43" fontId="19" fillId="11" borderId="1" xfId="3" applyFont="1" applyFill="1" applyBorder="1" applyAlignment="1">
      <alignment horizontal="center" wrapText="1"/>
    </xf>
    <xf numFmtId="43" fontId="19" fillId="11" borderId="2" xfId="3" applyFont="1" applyFill="1" applyBorder="1" applyAlignment="1">
      <alignment horizontal="center" vertical="center" wrapText="1"/>
    </xf>
    <xf numFmtId="43" fontId="19" fillId="11" borderId="8" xfId="3" applyFont="1" applyFill="1" applyBorder="1" applyAlignment="1">
      <alignment horizontal="center" vertical="center" wrapText="1"/>
    </xf>
    <xf numFmtId="0" fontId="20" fillId="12" borderId="8" xfId="0" applyFont="1" applyFill="1" applyBorder="1"/>
    <xf numFmtId="0" fontId="20" fillId="12" borderId="1" xfId="0" applyFont="1" applyFill="1" applyBorder="1" applyAlignment="1">
      <alignment horizontal="left" vertical="top"/>
    </xf>
    <xf numFmtId="0" fontId="20" fillId="12" borderId="1" xfId="0" applyFont="1" applyFill="1" applyBorder="1" applyAlignment="1">
      <alignment horizontal="center" wrapText="1"/>
    </xf>
    <xf numFmtId="43" fontId="20" fillId="12" borderId="1" xfId="3" applyFont="1" applyFill="1" applyBorder="1" applyAlignment="1">
      <alignment horizontal="right" wrapText="1"/>
    </xf>
    <xf numFmtId="43" fontId="20" fillId="12" borderId="9" xfId="3" applyFont="1" applyFill="1" applyBorder="1" applyAlignment="1">
      <alignment horizontal="right" wrapText="1"/>
    </xf>
    <xf numFmtId="43" fontId="20" fillId="12" borderId="4" xfId="3" applyFont="1" applyFill="1" applyBorder="1" applyAlignment="1">
      <alignment wrapText="1"/>
    </xf>
    <xf numFmtId="43" fontId="20" fillId="12" borderId="1" xfId="3" applyFont="1" applyFill="1" applyBorder="1" applyAlignment="1">
      <alignment wrapText="1"/>
    </xf>
    <xf numFmtId="43" fontId="20" fillId="12" borderId="2" xfId="3" applyFont="1" applyFill="1" applyBorder="1" applyAlignment="1">
      <alignment wrapText="1"/>
    </xf>
    <xf numFmtId="43" fontId="20" fillId="12" borderId="8" xfId="3" applyFont="1" applyFill="1" applyBorder="1" applyAlignment="1">
      <alignment wrapText="1"/>
    </xf>
    <xf numFmtId="43" fontId="20" fillId="12" borderId="9" xfId="3" applyFont="1" applyFill="1" applyBorder="1" applyAlignment="1">
      <alignment wrapText="1"/>
    </xf>
    <xf numFmtId="0" fontId="41" fillId="0" borderId="0" xfId="0" applyFont="1" applyAlignment="1">
      <alignment wrapText="1"/>
    </xf>
    <xf numFmtId="0" fontId="20" fillId="0" borderId="0" xfId="0" applyFont="1"/>
    <xf numFmtId="0" fontId="19" fillId="0" borderId="8" xfId="0" applyFont="1" applyBorder="1"/>
    <xf numFmtId="0" fontId="19" fillId="0" borderId="1" xfId="0" applyFont="1" applyBorder="1" applyAlignment="1">
      <alignment horizontal="left" vertical="top" wrapText="1"/>
    </xf>
    <xf numFmtId="0" fontId="19" fillId="0" borderId="1" xfId="0" applyFont="1" applyBorder="1" applyAlignment="1">
      <alignment horizontal="center" wrapText="1"/>
    </xf>
    <xf numFmtId="43" fontId="19" fillId="0" borderId="1" xfId="3" applyFont="1" applyBorder="1" applyAlignment="1">
      <alignment horizontal="right" wrapText="1"/>
    </xf>
    <xf numFmtId="43" fontId="19" fillId="0" borderId="9" xfId="3" applyFont="1" applyBorder="1" applyAlignment="1">
      <alignment horizontal="right" wrapText="1"/>
    </xf>
    <xf numFmtId="43" fontId="19" fillId="0" borderId="4" xfId="3" applyFont="1" applyBorder="1" applyAlignment="1">
      <alignment horizontal="right" wrapText="1"/>
    </xf>
    <xf numFmtId="43" fontId="19" fillId="0" borderId="1" xfId="3" applyFont="1" applyBorder="1" applyAlignment="1">
      <alignment wrapText="1"/>
    </xf>
    <xf numFmtId="43" fontId="19" fillId="0" borderId="2" xfId="3" applyFont="1" applyBorder="1" applyAlignment="1">
      <alignment wrapText="1"/>
    </xf>
    <xf numFmtId="43" fontId="19" fillId="0" borderId="8" xfId="3" applyFont="1" applyBorder="1" applyAlignment="1">
      <alignment wrapText="1"/>
    </xf>
    <xf numFmtId="43" fontId="19" fillId="0" borderId="9" xfId="3" applyFont="1" applyBorder="1" applyAlignment="1">
      <alignment wrapText="1"/>
    </xf>
    <xf numFmtId="43" fontId="19" fillId="0" borderId="4" xfId="3" applyFont="1" applyBorder="1" applyAlignment="1">
      <alignment wrapText="1"/>
    </xf>
    <xf numFmtId="0" fontId="20" fillId="13" borderId="8" xfId="0" applyFont="1" applyFill="1" applyBorder="1"/>
    <xf numFmtId="0" fontId="20" fillId="13" borderId="1" xfId="0" applyFont="1" applyFill="1" applyBorder="1" applyAlignment="1">
      <alignment horizontal="left" vertical="top" wrapText="1"/>
    </xf>
    <xf numFmtId="0" fontId="20" fillId="13" borderId="1" xfId="0" applyFont="1" applyFill="1" applyBorder="1" applyAlignment="1">
      <alignment horizontal="center" wrapText="1"/>
    </xf>
    <xf numFmtId="43" fontId="20" fillId="13" borderId="1" xfId="3" applyFont="1" applyFill="1" applyBorder="1" applyAlignment="1">
      <alignment horizontal="right" wrapText="1"/>
    </xf>
    <xf numFmtId="43" fontId="20" fillId="13" borderId="9" xfId="3" applyFont="1" applyFill="1" applyBorder="1" applyAlignment="1">
      <alignment horizontal="right" wrapText="1"/>
    </xf>
    <xf numFmtId="43" fontId="20" fillId="13" borderId="4" xfId="3" applyFont="1" applyFill="1" applyBorder="1" applyAlignment="1">
      <alignment horizontal="right" wrapText="1"/>
    </xf>
    <xf numFmtId="43" fontId="20" fillId="13" borderId="2" xfId="3" applyFont="1" applyFill="1" applyBorder="1" applyAlignment="1">
      <alignment horizontal="right" wrapText="1"/>
    </xf>
    <xf numFmtId="43" fontId="20" fillId="13" borderId="8" xfId="3" applyFont="1" applyFill="1" applyBorder="1" applyAlignment="1">
      <alignment horizontal="right" wrapText="1"/>
    </xf>
    <xf numFmtId="43" fontId="20" fillId="0" borderId="1" xfId="3" applyFont="1" applyBorder="1" applyAlignment="1">
      <alignment horizontal="right" wrapText="1"/>
    </xf>
    <xf numFmtId="43" fontId="19" fillId="13" borderId="4" xfId="3" applyFont="1" applyFill="1" applyBorder="1" applyAlignment="1">
      <alignment wrapText="1"/>
    </xf>
    <xf numFmtId="43" fontId="19" fillId="13" borderId="1" xfId="3" applyFont="1" applyFill="1" applyBorder="1" applyAlignment="1">
      <alignment wrapText="1"/>
    </xf>
    <xf numFmtId="0" fontId="20" fillId="0" borderId="8" xfId="0" applyFont="1" applyBorder="1"/>
    <xf numFmtId="0" fontId="20" fillId="0" borderId="1" xfId="0" applyFont="1" applyBorder="1" applyAlignment="1">
      <alignment horizontal="left" vertical="top" wrapText="1"/>
    </xf>
    <xf numFmtId="0" fontId="20" fillId="0" borderId="1" xfId="0" applyFont="1" applyBorder="1" applyAlignment="1">
      <alignment horizontal="center" wrapText="1"/>
    </xf>
    <xf numFmtId="43" fontId="20" fillId="0" borderId="9" xfId="3" applyFont="1" applyBorder="1" applyAlignment="1">
      <alignment horizontal="right" wrapText="1"/>
    </xf>
    <xf numFmtId="43" fontId="20" fillId="0" borderId="4" xfId="3" applyFont="1" applyBorder="1" applyAlignment="1">
      <alignment wrapText="1"/>
    </xf>
    <xf numFmtId="43" fontId="20" fillId="0" borderId="1" xfId="3" applyFont="1" applyBorder="1" applyAlignment="1">
      <alignment wrapText="1"/>
    </xf>
    <xf numFmtId="43" fontId="20" fillId="0" borderId="2" xfId="3" applyFont="1" applyBorder="1" applyAlignment="1">
      <alignment wrapText="1"/>
    </xf>
    <xf numFmtId="43" fontId="20" fillId="0" borderId="8" xfId="3" applyFont="1" applyBorder="1" applyAlignment="1">
      <alignment wrapText="1"/>
    </xf>
    <xf numFmtId="43" fontId="20" fillId="0" borderId="9" xfId="3" applyFont="1" applyBorder="1" applyAlignment="1">
      <alignment wrapText="1"/>
    </xf>
    <xf numFmtId="43" fontId="41" fillId="13" borderId="9" xfId="3" applyFont="1" applyFill="1" applyBorder="1" applyAlignment="1">
      <alignment horizontal="left"/>
    </xf>
    <xf numFmtId="43" fontId="19" fillId="0" borderId="2" xfId="3" applyFont="1" applyBorder="1" applyAlignment="1">
      <alignment horizontal="right" wrapText="1"/>
    </xf>
    <xf numFmtId="0" fontId="41" fillId="0" borderId="0" xfId="0" applyFont="1" applyFill="1" applyAlignment="1">
      <alignment wrapText="1"/>
    </xf>
    <xf numFmtId="0" fontId="20" fillId="0" borderId="0" xfId="0" applyFont="1" applyFill="1"/>
    <xf numFmtId="0" fontId="20" fillId="0" borderId="8" xfId="0" applyFont="1" applyFill="1" applyBorder="1"/>
    <xf numFmtId="0" fontId="20" fillId="0" borderId="1" xfId="0" applyFont="1" applyFill="1" applyBorder="1" applyAlignment="1">
      <alignment horizontal="left" vertical="top" wrapText="1"/>
    </xf>
    <xf numFmtId="0" fontId="20" fillId="0" borderId="1" xfId="0" applyFont="1" applyFill="1" applyBorder="1" applyAlignment="1">
      <alignment horizontal="center" wrapText="1"/>
    </xf>
    <xf numFmtId="43" fontId="20" fillId="0" borderId="1" xfId="3" applyFont="1" applyFill="1" applyBorder="1" applyAlignment="1">
      <alignment horizontal="right" wrapText="1"/>
    </xf>
    <xf numFmtId="43" fontId="20" fillId="0" borderId="9" xfId="3" applyFont="1" applyFill="1" applyBorder="1" applyAlignment="1">
      <alignment horizontal="right" wrapText="1"/>
    </xf>
    <xf numFmtId="43" fontId="20" fillId="0" borderId="4" xfId="3" applyFont="1" applyFill="1" applyBorder="1" applyAlignment="1">
      <alignment horizontal="right" wrapText="1"/>
    </xf>
    <xf numFmtId="43" fontId="20" fillId="0" borderId="2" xfId="3" applyFont="1" applyFill="1" applyBorder="1" applyAlignment="1">
      <alignment horizontal="right" wrapText="1"/>
    </xf>
    <xf numFmtId="43" fontId="20" fillId="0" borderId="8" xfId="3" applyFont="1" applyFill="1" applyBorder="1" applyAlignment="1">
      <alignment horizontal="right" wrapText="1"/>
    </xf>
    <xf numFmtId="43" fontId="19" fillId="0" borderId="4" xfId="3" applyFont="1" applyFill="1" applyBorder="1" applyAlignment="1">
      <alignment wrapText="1"/>
    </xf>
    <xf numFmtId="43" fontId="20" fillId="12" borderId="2" xfId="3" applyFont="1" applyFill="1" applyBorder="1" applyAlignment="1">
      <alignment horizontal="right" wrapText="1"/>
    </xf>
    <xf numFmtId="43" fontId="40" fillId="0" borderId="0" xfId="0" applyNumberFormat="1" applyFont="1" applyAlignment="1">
      <alignment wrapText="1"/>
    </xf>
    <xf numFmtId="43" fontId="41" fillId="0" borderId="0" xfId="0" applyNumberFormat="1" applyFont="1" applyAlignment="1">
      <alignment wrapText="1"/>
    </xf>
    <xf numFmtId="43" fontId="19" fillId="0" borderId="0" xfId="0" applyNumberFormat="1" applyFont="1"/>
    <xf numFmtId="43" fontId="20" fillId="0" borderId="0" xfId="0" applyNumberFormat="1" applyFont="1"/>
    <xf numFmtId="0" fontId="20" fillId="13" borderId="10" xfId="0" applyFont="1" applyFill="1" applyBorder="1"/>
    <xf numFmtId="0" fontId="20" fillId="13" borderId="11" xfId="0" applyFont="1" applyFill="1" applyBorder="1" applyAlignment="1">
      <alignment horizontal="left" vertical="top" wrapText="1"/>
    </xf>
    <xf numFmtId="0" fontId="20" fillId="13" borderId="11" xfId="0" applyFont="1" applyFill="1" applyBorder="1" applyAlignment="1">
      <alignment horizontal="center" wrapText="1"/>
    </xf>
    <xf numFmtId="43" fontId="20" fillId="13" borderId="11" xfId="3" applyFont="1" applyFill="1" applyBorder="1" applyAlignment="1">
      <alignment horizontal="right" wrapText="1"/>
    </xf>
    <xf numFmtId="43" fontId="20" fillId="13" borderId="30" xfId="3" applyFont="1" applyFill="1" applyBorder="1" applyAlignment="1">
      <alignment horizontal="right" wrapText="1"/>
    </xf>
    <xf numFmtId="43" fontId="20" fillId="13" borderId="37" xfId="3" applyFont="1" applyFill="1" applyBorder="1" applyAlignment="1">
      <alignment horizontal="right" wrapText="1"/>
    </xf>
    <xf numFmtId="43" fontId="20" fillId="13" borderId="10" xfId="3" applyFont="1" applyFill="1" applyBorder="1" applyAlignment="1">
      <alignment horizontal="right" wrapText="1"/>
    </xf>
    <xf numFmtId="43" fontId="20" fillId="13" borderId="12" xfId="3" applyFont="1" applyFill="1" applyBorder="1" applyAlignment="1">
      <alignment horizontal="right" wrapText="1"/>
    </xf>
    <xf numFmtId="43" fontId="19" fillId="13" borderId="30" xfId="3" applyFont="1" applyFill="1" applyBorder="1" applyAlignment="1">
      <alignment wrapText="1"/>
    </xf>
    <xf numFmtId="43" fontId="19" fillId="13" borderId="11" xfId="3" applyFont="1" applyFill="1" applyBorder="1" applyAlignment="1">
      <alignment wrapText="1"/>
    </xf>
    <xf numFmtId="0" fontId="19" fillId="0" borderId="0" xfId="0" applyFont="1" applyAlignment="1">
      <alignment horizontal="left" vertical="top" wrapText="1"/>
    </xf>
    <xf numFmtId="0" fontId="19" fillId="0" borderId="0" xfId="0" applyFont="1" applyAlignment="1">
      <alignment horizontal="center" vertical="top" wrapText="1"/>
    </xf>
    <xf numFmtId="0" fontId="19" fillId="0" borderId="0" xfId="0" applyFont="1" applyFill="1" applyAlignment="1">
      <alignment horizontal="center" wrapText="1"/>
    </xf>
    <xf numFmtId="43" fontId="19" fillId="0" borderId="0" xfId="3" applyFont="1" applyFill="1" applyAlignment="1">
      <alignment horizontal="right" wrapText="1"/>
    </xf>
    <xf numFmtId="43" fontId="19" fillId="0" borderId="0" xfId="3" applyFont="1" applyFill="1" applyAlignment="1">
      <alignment wrapText="1"/>
    </xf>
    <xf numFmtId="0" fontId="40" fillId="0" borderId="0" xfId="0" applyFont="1" applyFill="1" applyAlignment="1">
      <alignment wrapText="1"/>
    </xf>
    <xf numFmtId="0" fontId="19" fillId="0" borderId="0" xfId="0" applyFont="1" applyFill="1"/>
    <xf numFmtId="9" fontId="19" fillId="0" borderId="0" xfId="0" applyNumberFormat="1" applyFont="1"/>
    <xf numFmtId="0" fontId="19" fillId="0" borderId="0" xfId="0" applyFont="1" applyBorder="1"/>
    <xf numFmtId="0" fontId="21" fillId="0" borderId="55" xfId="0" applyFont="1" applyFill="1" applyBorder="1" applyAlignment="1">
      <alignment horizontal="left"/>
    </xf>
    <xf numFmtId="0" fontId="15" fillId="0" borderId="0" xfId="0" applyFont="1" applyFill="1" applyBorder="1" applyAlignment="1">
      <alignment horizontal="left"/>
    </xf>
    <xf numFmtId="0" fontId="21" fillId="0" borderId="0" xfId="0" applyFont="1" applyFill="1" applyBorder="1" applyAlignment="1">
      <alignment horizontal="right"/>
    </xf>
    <xf numFmtId="10" fontId="21" fillId="0" borderId="63" xfId="1" applyNumberFormat="1" applyFont="1" applyFill="1" applyBorder="1" applyAlignment="1">
      <alignment horizontal="right"/>
    </xf>
    <xf numFmtId="0" fontId="20" fillId="0" borderId="0" xfId="0" applyFont="1" applyBorder="1"/>
    <xf numFmtId="43" fontId="21" fillId="0" borderId="1" xfId="3" applyFont="1" applyFill="1" applyBorder="1" applyAlignment="1">
      <alignment horizontal="right"/>
    </xf>
    <xf numFmtId="0" fontId="21" fillId="0" borderId="1" xfId="0" applyFont="1" applyFill="1" applyBorder="1" applyAlignment="1">
      <alignment horizontal="right"/>
    </xf>
    <xf numFmtId="10" fontId="21" fillId="0" borderId="1" xfId="1" applyNumberFormat="1"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xf numFmtId="43" fontId="21" fillId="0" borderId="1" xfId="0" applyNumberFormat="1" applyFont="1" applyFill="1" applyBorder="1" applyAlignment="1">
      <alignment horizontal="right"/>
    </xf>
    <xf numFmtId="0" fontId="15" fillId="0" borderId="1" xfId="0" applyFont="1" applyFill="1" applyBorder="1" applyAlignment="1">
      <alignment horizontal="center"/>
    </xf>
    <xf numFmtId="0" fontId="15" fillId="0" borderId="1" xfId="0" applyFont="1" applyFill="1" applyBorder="1"/>
    <xf numFmtId="43" fontId="15" fillId="0" borderId="1" xfId="3" applyFont="1" applyFill="1" applyBorder="1" applyAlignment="1">
      <alignment horizontal="right"/>
    </xf>
    <xf numFmtId="10" fontId="15" fillId="0" borderId="1" xfId="1" applyNumberFormat="1" applyFont="1" applyFill="1" applyBorder="1" applyAlignment="1">
      <alignment horizontal="right"/>
    </xf>
    <xf numFmtId="43" fontId="15" fillId="0" borderId="1" xfId="0" applyNumberFormat="1" applyFont="1" applyFill="1" applyBorder="1" applyAlignment="1">
      <alignment horizontal="right"/>
    </xf>
    <xf numFmtId="0" fontId="15" fillId="0" borderId="0" xfId="0" applyFont="1" applyBorder="1" applyAlignment="1"/>
    <xf numFmtId="0" fontId="21" fillId="0" borderId="0" xfId="0" applyFont="1" applyBorder="1" applyAlignment="1"/>
    <xf numFmtId="0" fontId="15" fillId="0" borderId="14" xfId="0" applyFont="1" applyFill="1" applyBorder="1" applyAlignment="1">
      <alignment horizontal="center"/>
    </xf>
    <xf numFmtId="0" fontId="15" fillId="0" borderId="14" xfId="0" applyFont="1" applyFill="1" applyBorder="1"/>
    <xf numFmtId="0" fontId="15" fillId="0" borderId="2" xfId="0" applyFont="1" applyFill="1" applyBorder="1" applyAlignment="1">
      <alignment horizontal="center"/>
    </xf>
    <xf numFmtId="0" fontId="15" fillId="0" borderId="4" xfId="0" applyFont="1" applyFill="1" applyBorder="1"/>
    <xf numFmtId="43" fontId="15" fillId="0" borderId="3" xfId="3" applyFont="1" applyFill="1" applyBorder="1" applyAlignment="1">
      <alignment horizontal="right"/>
    </xf>
    <xf numFmtId="10" fontId="15" fillId="0" borderId="3" xfId="1" applyNumberFormat="1" applyFont="1" applyFill="1" applyBorder="1" applyAlignment="1">
      <alignment horizontal="right"/>
    </xf>
    <xf numFmtId="43" fontId="15" fillId="0" borderId="3" xfId="0" applyNumberFormat="1" applyFont="1" applyFill="1" applyBorder="1" applyAlignment="1">
      <alignment horizontal="right"/>
    </xf>
    <xf numFmtId="10" fontId="15" fillId="0" borderId="4" xfId="1" applyNumberFormat="1" applyFont="1" applyFill="1" applyBorder="1" applyAlignment="1">
      <alignment horizontal="right"/>
    </xf>
    <xf numFmtId="0" fontId="15" fillId="0" borderId="23" xfId="0" applyFont="1" applyFill="1" applyBorder="1" applyAlignment="1">
      <alignment horizontal="center"/>
    </xf>
    <xf numFmtId="0" fontId="15" fillId="0" borderId="59" xfId="0" applyFont="1" applyFill="1" applyBorder="1"/>
    <xf numFmtId="43" fontId="15" fillId="0" borderId="59" xfId="3" applyFont="1" applyFill="1" applyBorder="1" applyAlignment="1">
      <alignment horizontal="right"/>
    </xf>
    <xf numFmtId="10" fontId="15" fillId="0" borderId="59" xfId="1" applyNumberFormat="1" applyFont="1" applyFill="1" applyBorder="1" applyAlignment="1">
      <alignment horizontal="right"/>
    </xf>
    <xf numFmtId="0" fontId="15" fillId="0" borderId="59" xfId="0" applyFont="1" applyFill="1" applyBorder="1" applyAlignment="1">
      <alignment horizontal="right"/>
    </xf>
    <xf numFmtId="10" fontId="15" fillId="0" borderId="24" xfId="1" applyNumberFormat="1" applyFont="1" applyFill="1" applyBorder="1" applyAlignment="1">
      <alignment horizontal="right"/>
    </xf>
    <xf numFmtId="0" fontId="21" fillId="0" borderId="1" xfId="0" applyFont="1" applyBorder="1" applyAlignment="1">
      <alignment horizontal="left"/>
    </xf>
    <xf numFmtId="0" fontId="21" fillId="0" borderId="26" xfId="0" applyFont="1" applyFill="1" applyBorder="1" applyAlignment="1"/>
    <xf numFmtId="43" fontId="21" fillId="0" borderId="26" xfId="3" applyFont="1" applyFill="1" applyBorder="1" applyAlignment="1">
      <alignment horizontal="right"/>
    </xf>
    <xf numFmtId="10" fontId="21" fillId="0" borderId="26" xfId="1" applyNumberFormat="1" applyFont="1" applyFill="1" applyBorder="1" applyAlignment="1">
      <alignment horizontal="right"/>
    </xf>
    <xf numFmtId="0" fontId="15" fillId="0" borderId="0" xfId="0" applyFont="1" applyFill="1" applyBorder="1" applyAlignment="1">
      <alignment horizontal="center"/>
    </xf>
    <xf numFmtId="43" fontId="15" fillId="0" borderId="0" xfId="3" applyFont="1" applyFill="1" applyBorder="1" applyAlignment="1">
      <alignment horizontal="right"/>
    </xf>
    <xf numFmtId="0" fontId="15" fillId="0" borderId="0" xfId="0" applyFont="1" applyFill="1" applyBorder="1" applyAlignment="1">
      <alignment horizontal="right"/>
    </xf>
    <xf numFmtId="10" fontId="15" fillId="0" borderId="0" xfId="1" applyNumberFormat="1" applyFont="1" applyFill="1" applyBorder="1" applyAlignment="1">
      <alignment horizontal="right"/>
    </xf>
    <xf numFmtId="0" fontId="14" fillId="0" borderId="0" xfId="0" applyFont="1" applyFill="1" applyBorder="1" applyAlignment="1">
      <alignment horizontal="center"/>
    </xf>
    <xf numFmtId="0" fontId="15" fillId="0" borderId="0" xfId="0" applyFont="1" applyFill="1" applyBorder="1"/>
    <xf numFmtId="0" fontId="15" fillId="0" borderId="67" xfId="0" applyFont="1" applyBorder="1" applyAlignment="1">
      <alignment horizontal="left"/>
    </xf>
    <xf numFmtId="0" fontId="15" fillId="0" borderId="58" xfId="0" applyFont="1" applyBorder="1" applyAlignment="1">
      <alignment horizontal="center"/>
    </xf>
    <xf numFmtId="0" fontId="15" fillId="0" borderId="68" xfId="0" applyFont="1" applyBorder="1" applyAlignment="1">
      <alignment horizontal="center"/>
    </xf>
    <xf numFmtId="0" fontId="21" fillId="0" borderId="55" xfId="0" applyFont="1" applyBorder="1" applyAlignment="1">
      <alignment horizontal="left"/>
    </xf>
    <xf numFmtId="0" fontId="15" fillId="0" borderId="0" xfId="0" applyFont="1" applyBorder="1" applyAlignment="1">
      <alignment horizontal="left"/>
    </xf>
    <xf numFmtId="0" fontId="21" fillId="0" borderId="0" xfId="0" applyFont="1" applyBorder="1" applyAlignment="1">
      <alignment horizontal="left"/>
    </xf>
    <xf numFmtId="0" fontId="21" fillId="0" borderId="0" xfId="0" applyFont="1" applyBorder="1" applyAlignment="1">
      <alignment horizontal="left" vertical="center" wrapText="1"/>
    </xf>
    <xf numFmtId="0" fontId="21" fillId="0" borderId="63" xfId="0" applyFont="1" applyBorder="1" applyAlignment="1">
      <alignment horizontal="left" vertical="center" wrapText="1"/>
    </xf>
    <xf numFmtId="0" fontId="15" fillId="0" borderId="0" xfId="0" applyFont="1" applyBorder="1" applyAlignment="1">
      <alignment horizontal="left" wrapText="1"/>
    </xf>
    <xf numFmtId="0" fontId="21" fillId="0" borderId="0" xfId="0" applyFont="1" applyBorder="1" applyAlignment="1">
      <alignment horizontal="left" wrapText="1"/>
    </xf>
    <xf numFmtId="10" fontId="15" fillId="0" borderId="0" xfId="1" applyNumberFormat="1" applyFont="1" applyBorder="1" applyAlignment="1">
      <alignment horizontal="left" vertical="center"/>
    </xf>
    <xf numFmtId="10" fontId="15" fillId="0" borderId="63" xfId="1" applyNumberFormat="1" applyFont="1" applyBorder="1" applyAlignment="1">
      <alignment horizontal="left" vertical="center"/>
    </xf>
    <xf numFmtId="0" fontId="15" fillId="0" borderId="72" xfId="0" applyFont="1" applyBorder="1" applyAlignment="1">
      <alignment horizontal="left"/>
    </xf>
    <xf numFmtId="0" fontId="15" fillId="0" borderId="59" xfId="0" applyFont="1" applyBorder="1" applyAlignment="1">
      <alignment horizontal="center"/>
    </xf>
    <xf numFmtId="0" fontId="15" fillId="0" borderId="73" xfId="0" applyFont="1" applyBorder="1" applyAlignment="1">
      <alignment horizontal="center"/>
    </xf>
    <xf numFmtId="0" fontId="21" fillId="0" borderId="23" xfId="0" applyFont="1" applyBorder="1" applyAlignment="1">
      <alignment horizontal="left"/>
    </xf>
    <xf numFmtId="0" fontId="21" fillId="0" borderId="59" xfId="0" applyFont="1" applyBorder="1" applyAlignment="1">
      <alignment horizontal="center"/>
    </xf>
    <xf numFmtId="0" fontId="21" fillId="0" borderId="24" xfId="0" applyFont="1" applyBorder="1" applyAlignment="1">
      <alignment horizontal="center"/>
    </xf>
    <xf numFmtId="0" fontId="21" fillId="17" borderId="29" xfId="0" applyFont="1" applyFill="1" applyBorder="1" applyAlignment="1">
      <alignment horizontal="center" vertical="center" wrapText="1"/>
    </xf>
    <xf numFmtId="0" fontId="21" fillId="0" borderId="2" xfId="0" applyFont="1" applyBorder="1" applyAlignment="1">
      <alignment horizontal="left" vertical="center"/>
    </xf>
    <xf numFmtId="0" fontId="21" fillId="0" borderId="3" xfId="0" applyFont="1" applyBorder="1" applyAlignment="1">
      <alignment horizontal="center" vertical="center"/>
    </xf>
    <xf numFmtId="0" fontId="21" fillId="0" borderId="3" xfId="0" applyFont="1" applyBorder="1" applyAlignment="1">
      <alignment horizontal="center" vertical="top" wrapText="1"/>
    </xf>
    <xf numFmtId="0" fontId="20" fillId="0" borderId="4" xfId="0" applyFont="1" applyBorder="1" applyAlignment="1">
      <alignment vertical="top"/>
    </xf>
    <xf numFmtId="0" fontId="20" fillId="0" borderId="0" xfId="0" applyFont="1" applyBorder="1" applyAlignment="1">
      <alignment vertical="top"/>
    </xf>
    <xf numFmtId="0" fontId="21" fillId="17" borderId="16" xfId="0" applyFont="1" applyFill="1" applyBorder="1" applyAlignment="1">
      <alignment horizontal="left" vertical="center"/>
    </xf>
    <xf numFmtId="0" fontId="21" fillId="17" borderId="16" xfId="0" applyFont="1" applyFill="1" applyBorder="1" applyAlignment="1">
      <alignment vertical="center"/>
    </xf>
    <xf numFmtId="0" fontId="21" fillId="17" borderId="16" xfId="0" applyFont="1" applyFill="1" applyBorder="1" applyAlignment="1">
      <alignment horizontal="center" vertical="center" wrapText="1"/>
    </xf>
    <xf numFmtId="0" fontId="21" fillId="17" borderId="16" xfId="0" applyFont="1" applyFill="1" applyBorder="1" applyAlignment="1">
      <alignment horizontal="left" vertical="center" wrapText="1"/>
    </xf>
    <xf numFmtId="0" fontId="21" fillId="17" borderId="16" xfId="0" applyFont="1" applyFill="1" applyBorder="1" applyAlignment="1">
      <alignment horizontal="center" vertical="center"/>
    </xf>
    <xf numFmtId="0" fontId="21" fillId="17" borderId="16" xfId="0" applyFont="1" applyFill="1" applyBorder="1" applyAlignment="1">
      <alignment horizontal="right" vertical="center"/>
    </xf>
    <xf numFmtId="0" fontId="21" fillId="17" borderId="16" xfId="0" applyFont="1" applyFill="1" applyBorder="1" applyAlignment="1">
      <alignment horizontal="right" vertical="center" wrapText="1"/>
    </xf>
    <xf numFmtId="0" fontId="15" fillId="0" borderId="1" xfId="0" applyFont="1" applyBorder="1" applyAlignment="1">
      <alignment vertical="center" wrapText="1"/>
    </xf>
    <xf numFmtId="0" fontId="15" fillId="0" borderId="1" xfId="0" applyFont="1" applyBorder="1" applyAlignment="1">
      <alignment horizontal="left" vertical="center" wrapText="1"/>
    </xf>
    <xf numFmtId="43" fontId="15" fillId="0" borderId="1" xfId="3" applyFont="1" applyFill="1" applyBorder="1" applyAlignment="1">
      <alignment horizontal="right" vertical="center"/>
    </xf>
    <xf numFmtId="43" fontId="15" fillId="0" borderId="1" xfId="3" applyFont="1" applyBorder="1" applyAlignment="1">
      <alignment horizontal="right" vertical="center" wrapText="1"/>
    </xf>
    <xf numFmtId="43" fontId="15" fillId="0" borderId="1" xfId="3" applyFont="1" applyBorder="1" applyAlignment="1">
      <alignment horizontal="right" vertical="center"/>
    </xf>
    <xf numFmtId="0" fontId="19" fillId="0" borderId="0" xfId="0" applyFont="1" applyBorder="1" applyAlignment="1">
      <alignment vertical="top"/>
    </xf>
    <xf numFmtId="0" fontId="15" fillId="0" borderId="1" xfId="0" applyFont="1" applyBorder="1" applyAlignment="1">
      <alignment vertical="center"/>
    </xf>
    <xf numFmtId="4" fontId="19" fillId="0" borderId="0" xfId="0" applyNumberFormat="1" applyFont="1" applyBorder="1" applyAlignment="1">
      <alignment vertical="top"/>
    </xf>
    <xf numFmtId="0" fontId="21" fillId="18" borderId="1" xfId="0" applyFont="1" applyFill="1" applyBorder="1" applyAlignment="1">
      <alignment horizontal="left" vertical="center"/>
    </xf>
    <xf numFmtId="0" fontId="21" fillId="18" borderId="1" xfId="0" applyFont="1" applyFill="1" applyBorder="1" applyAlignment="1">
      <alignment vertical="center"/>
    </xf>
    <xf numFmtId="0" fontId="21" fillId="18" borderId="1" xfId="0" applyFont="1" applyFill="1" applyBorder="1" applyAlignment="1">
      <alignment horizontal="center" vertical="center" wrapText="1"/>
    </xf>
    <xf numFmtId="0" fontId="21" fillId="18" borderId="1" xfId="0" applyFont="1" applyFill="1" applyBorder="1" applyAlignment="1">
      <alignment horizontal="center" vertical="center"/>
    </xf>
    <xf numFmtId="43" fontId="21" fillId="18" borderId="1" xfId="3" applyFont="1" applyFill="1" applyBorder="1" applyAlignment="1">
      <alignment horizontal="right" vertical="center"/>
    </xf>
    <xf numFmtId="0" fontId="15" fillId="18" borderId="1" xfId="0" applyFont="1" applyFill="1" applyBorder="1" applyAlignment="1">
      <alignment horizontal="right" vertical="center"/>
    </xf>
    <xf numFmtId="0" fontId="21" fillId="0" borderId="14" xfId="0" applyFont="1" applyBorder="1" applyAlignment="1">
      <alignment horizontal="left" vertical="center"/>
    </xf>
    <xf numFmtId="0" fontId="21" fillId="0" borderId="14" xfId="0" applyFont="1" applyBorder="1" applyAlignment="1">
      <alignment horizontal="center" vertical="center"/>
    </xf>
    <xf numFmtId="43" fontId="21" fillId="0" borderId="14" xfId="3" applyFont="1" applyBorder="1" applyAlignment="1">
      <alignment horizontal="right" vertical="center"/>
    </xf>
    <xf numFmtId="43" fontId="15" fillId="0" borderId="14" xfId="3" applyFont="1" applyBorder="1" applyAlignment="1">
      <alignment horizontal="right" vertical="center"/>
    </xf>
    <xf numFmtId="0" fontId="21" fillId="18" borderId="16" xfId="0" applyFont="1" applyFill="1" applyBorder="1" applyAlignment="1">
      <alignment horizontal="left" vertical="center"/>
    </xf>
    <xf numFmtId="0" fontId="15" fillId="18" borderId="16" xfId="0" applyFont="1" applyFill="1" applyBorder="1" applyAlignment="1">
      <alignment horizontal="center" vertical="center"/>
    </xf>
    <xf numFmtId="0" fontId="21" fillId="18" borderId="16" xfId="0" applyFont="1" applyFill="1" applyBorder="1" applyAlignment="1">
      <alignment horizontal="left" vertical="center" wrapText="1"/>
    </xf>
    <xf numFmtId="0" fontId="15" fillId="18" borderId="16" xfId="0" applyFont="1" applyFill="1" applyBorder="1" applyAlignment="1">
      <alignment horizontal="right" vertical="center"/>
    </xf>
    <xf numFmtId="43" fontId="15" fillId="18" borderId="16" xfId="3" applyFont="1" applyFill="1" applyBorder="1" applyAlignment="1">
      <alignment horizontal="right"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43" fontId="21" fillId="0" borderId="1" xfId="3" applyFont="1" applyBorder="1" applyAlignment="1">
      <alignment horizontal="right" vertical="center"/>
    </xf>
    <xf numFmtId="0" fontId="15" fillId="18" borderId="1" xfId="0" applyFont="1" applyFill="1" applyBorder="1"/>
    <xf numFmtId="0" fontId="15" fillId="18" borderId="1" xfId="0" applyFont="1" applyFill="1" applyBorder="1" applyAlignment="1">
      <alignment horizontal="center" wrapText="1"/>
    </xf>
    <xf numFmtId="0" fontId="21" fillId="18" borderId="1" xfId="0" applyFont="1" applyFill="1" applyBorder="1" applyAlignment="1">
      <alignment wrapText="1"/>
    </xf>
    <xf numFmtId="0" fontId="15" fillId="18" borderId="1" xfId="0" applyFont="1" applyFill="1" applyBorder="1" applyAlignment="1">
      <alignment horizontal="center" vertical="center"/>
    </xf>
    <xf numFmtId="0" fontId="15" fillId="18" borderId="1" xfId="0" applyFont="1" applyFill="1" applyBorder="1" applyAlignment="1">
      <alignment horizontal="right"/>
    </xf>
    <xf numFmtId="0" fontId="15" fillId="9" borderId="1" xfId="0" applyFont="1" applyFill="1" applyBorder="1" applyAlignment="1">
      <alignment horizontal="center" vertical="center"/>
    </xf>
    <xf numFmtId="43" fontId="21" fillId="0" borderId="1" xfId="0" applyNumberFormat="1" applyFont="1" applyBorder="1" applyAlignment="1">
      <alignment horizontal="right"/>
    </xf>
    <xf numFmtId="0" fontId="15" fillId="0" borderId="1" xfId="0" applyFont="1" applyBorder="1" applyAlignment="1">
      <alignment horizontal="right"/>
    </xf>
    <xf numFmtId="0" fontId="21" fillId="18" borderId="1" xfId="0" applyFont="1" applyFill="1" applyBorder="1" applyAlignment="1">
      <alignment horizontal="right" vertical="center"/>
    </xf>
    <xf numFmtId="0" fontId="15" fillId="0" borderId="1" xfId="0" applyFont="1" applyBorder="1" applyAlignment="1">
      <alignment horizontal="right" vertical="center"/>
    </xf>
    <xf numFmtId="0" fontId="21" fillId="0" borderId="4" xfId="0" applyFont="1" applyBorder="1" applyAlignment="1">
      <alignment horizontal="center" vertical="center"/>
    </xf>
    <xf numFmtId="0" fontId="21" fillId="0" borderId="0" xfId="0" applyFont="1" applyBorder="1" applyAlignment="1">
      <alignment vertical="center"/>
    </xf>
    <xf numFmtId="0" fontId="15" fillId="0" borderId="14" xfId="0" applyFont="1" applyBorder="1" applyAlignment="1">
      <alignment horizontal="right" vertical="center"/>
    </xf>
    <xf numFmtId="0" fontId="21" fillId="0" borderId="3" xfId="0" applyFont="1" applyBorder="1" applyAlignment="1">
      <alignment horizontal="left" vertical="top"/>
    </xf>
    <xf numFmtId="0" fontId="21" fillId="0" borderId="4" xfId="0" applyFont="1" applyBorder="1" applyAlignment="1">
      <alignment horizontal="left" vertical="top"/>
    </xf>
    <xf numFmtId="0" fontId="21" fillId="18" borderId="16" xfId="0" applyFont="1" applyFill="1" applyBorder="1" applyAlignment="1">
      <alignment vertical="center"/>
    </xf>
    <xf numFmtId="0" fontId="21" fillId="18" borderId="16" xfId="0" applyFont="1" applyFill="1" applyBorder="1" applyAlignment="1">
      <alignment horizontal="center" vertical="center" wrapText="1"/>
    </xf>
    <xf numFmtId="0" fontId="21" fillId="18" borderId="16" xfId="0" applyFont="1" applyFill="1" applyBorder="1" applyAlignment="1">
      <alignment horizontal="center" vertical="center"/>
    </xf>
    <xf numFmtId="0" fontId="21" fillId="18" borderId="16" xfId="0" applyFont="1" applyFill="1" applyBorder="1" applyAlignment="1">
      <alignment horizontal="right" vertical="center"/>
    </xf>
    <xf numFmtId="43" fontId="21" fillId="18" borderId="16" xfId="3" applyFont="1" applyFill="1" applyBorder="1" applyAlignment="1">
      <alignment horizontal="right" vertical="center"/>
    </xf>
    <xf numFmtId="43" fontId="21" fillId="0" borderId="14" xfId="0" applyNumberFormat="1" applyFont="1" applyBorder="1" applyAlignment="1">
      <alignment horizontal="right" vertical="center"/>
    </xf>
    <xf numFmtId="43" fontId="21" fillId="18" borderId="16" xfId="0" applyNumberFormat="1" applyFont="1" applyFill="1" applyBorder="1" applyAlignment="1">
      <alignment horizontal="right" vertical="center"/>
    </xf>
    <xf numFmtId="43" fontId="21" fillId="0" borderId="1" xfId="0" applyNumberFormat="1" applyFont="1" applyBorder="1" applyAlignment="1">
      <alignment horizontal="right" vertical="center"/>
    </xf>
    <xf numFmtId="0" fontId="15" fillId="18" borderId="1" xfId="0" applyFont="1" applyFill="1" applyBorder="1" applyAlignment="1">
      <alignment vertical="center"/>
    </xf>
    <xf numFmtId="43" fontId="15" fillId="18" borderId="1" xfId="3" applyFont="1" applyFill="1" applyBorder="1" applyAlignment="1">
      <alignment horizontal="right" vertical="center" wrapText="1"/>
    </xf>
    <xf numFmtId="0" fontId="21" fillId="18" borderId="16" xfId="0" applyFont="1" applyFill="1" applyBorder="1" applyAlignment="1">
      <alignment horizontal="left"/>
    </xf>
    <xf numFmtId="0" fontId="21" fillId="18" borderId="16" xfId="0" applyFont="1" applyFill="1" applyBorder="1"/>
    <xf numFmtId="0" fontId="21" fillId="18" borderId="16" xfId="0" applyFont="1" applyFill="1" applyBorder="1" applyAlignment="1">
      <alignment horizontal="center" wrapText="1"/>
    </xf>
    <xf numFmtId="0" fontId="21" fillId="18" borderId="16" xfId="0" applyFont="1" applyFill="1" applyBorder="1" applyAlignment="1">
      <alignment horizontal="left" vertical="top" wrapText="1"/>
    </xf>
    <xf numFmtId="0" fontId="21" fillId="18" borderId="16" xfId="0" applyFont="1" applyFill="1" applyBorder="1" applyAlignment="1">
      <alignment horizontal="center"/>
    </xf>
    <xf numFmtId="0" fontId="21" fillId="18" borderId="16" xfId="0" applyFont="1" applyFill="1" applyBorder="1" applyAlignment="1">
      <alignment horizontal="right"/>
    </xf>
    <xf numFmtId="43" fontId="21" fillId="18" borderId="16" xfId="3" applyFont="1" applyFill="1" applyBorder="1" applyAlignment="1">
      <alignment horizontal="right"/>
    </xf>
    <xf numFmtId="43" fontId="15" fillId="18" borderId="16" xfId="3" applyFont="1" applyFill="1" applyBorder="1" applyAlignment="1">
      <alignment horizontal="right" vertical="top"/>
    </xf>
    <xf numFmtId="0" fontId="15" fillId="18" borderId="16" xfId="0" applyFont="1" applyFill="1" applyBorder="1" applyAlignment="1">
      <alignment horizontal="right" vertical="top"/>
    </xf>
    <xf numFmtId="0" fontId="21" fillId="0" borderId="14" xfId="0" applyFont="1" applyBorder="1" applyAlignment="1">
      <alignment horizontal="center" vertical="top"/>
    </xf>
    <xf numFmtId="43" fontId="21" fillId="0" borderId="14" xfId="3" applyFont="1" applyBorder="1" applyAlignment="1">
      <alignment horizontal="right"/>
    </xf>
    <xf numFmtId="43" fontId="15" fillId="0" borderId="14" xfId="3" applyFont="1" applyBorder="1" applyAlignment="1">
      <alignment horizontal="right" vertical="top"/>
    </xf>
    <xf numFmtId="0" fontId="15" fillId="0" borderId="14" xfId="0" applyFont="1" applyBorder="1" applyAlignment="1">
      <alignment horizontal="right" vertical="top"/>
    </xf>
    <xf numFmtId="0" fontId="15" fillId="18" borderId="16" xfId="0" applyFont="1" applyFill="1" applyBorder="1" applyAlignment="1">
      <alignment vertical="center"/>
    </xf>
    <xf numFmtId="0" fontId="15" fillId="18" borderId="16" xfId="0" applyFont="1" applyFill="1" applyBorder="1" applyAlignment="1">
      <alignment horizontal="center" vertical="center" wrapText="1"/>
    </xf>
    <xf numFmtId="43" fontId="15" fillId="18" borderId="16" xfId="3" applyFont="1" applyFill="1" applyBorder="1" applyAlignment="1">
      <alignment horizontal="right" vertical="center" wrapText="1"/>
    </xf>
    <xf numFmtId="0" fontId="15" fillId="0" borderId="2" xfId="0" applyFont="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43" fontId="21" fillId="0" borderId="3" xfId="0" applyNumberFormat="1" applyFont="1" applyBorder="1" applyAlignment="1">
      <alignment horizontal="right" vertical="center"/>
    </xf>
    <xf numFmtId="0" fontId="15" fillId="0" borderId="3" xfId="0" applyFont="1" applyBorder="1" applyAlignment="1">
      <alignment horizontal="right" vertical="center"/>
    </xf>
    <xf numFmtId="43" fontId="21" fillId="0" borderId="4" xfId="0" applyNumberFormat="1" applyFont="1" applyBorder="1" applyAlignment="1">
      <alignment horizontal="right" vertical="center"/>
    </xf>
    <xf numFmtId="0" fontId="21" fillId="0" borderId="0" xfId="0" applyFont="1" applyBorder="1" applyAlignment="1">
      <alignment horizontal="center" vertical="center"/>
    </xf>
    <xf numFmtId="0" fontId="15" fillId="0" borderId="2" xfId="0" applyFont="1" applyBorder="1" applyAlignment="1">
      <alignment horizontal="left"/>
    </xf>
    <xf numFmtId="0" fontId="15" fillId="0" borderId="3" xfId="0" applyFont="1" applyBorder="1" applyAlignment="1">
      <alignment horizontal="center"/>
    </xf>
    <xf numFmtId="0" fontId="15" fillId="0" borderId="4" xfId="0" applyFont="1" applyBorder="1" applyAlignment="1">
      <alignment horizontal="center"/>
    </xf>
    <xf numFmtId="0" fontId="21" fillId="18" borderId="1" xfId="0" applyFont="1" applyFill="1" applyBorder="1"/>
    <xf numFmtId="0" fontId="21" fillId="18" borderId="1" xfId="0" applyFont="1" applyFill="1" applyBorder="1" applyAlignment="1">
      <alignment horizontal="center" wrapText="1"/>
    </xf>
    <xf numFmtId="0" fontId="21" fillId="18" borderId="1" xfId="0" applyFont="1" applyFill="1" applyBorder="1" applyAlignment="1">
      <alignment horizontal="center"/>
    </xf>
    <xf numFmtId="0" fontId="21" fillId="18" borderId="1" xfId="0" applyFont="1" applyFill="1" applyBorder="1" applyAlignment="1">
      <alignment horizontal="right"/>
    </xf>
    <xf numFmtId="0" fontId="15" fillId="18" borderId="1" xfId="0" applyFont="1" applyFill="1" applyBorder="1" applyAlignment="1">
      <alignment horizontal="right" vertical="top"/>
    </xf>
    <xf numFmtId="0" fontId="15" fillId="0" borderId="1" xfId="0" applyFont="1" applyFill="1" applyBorder="1" applyAlignment="1">
      <alignment vertical="center"/>
    </xf>
    <xf numFmtId="0" fontId="15" fillId="0" borderId="1" xfId="0" applyFont="1" applyFill="1" applyBorder="1" applyAlignment="1">
      <alignment horizontal="center" vertical="center" wrapText="1"/>
    </xf>
    <xf numFmtId="43" fontId="21" fillId="0" borderId="14" xfId="0" applyNumberFormat="1" applyFont="1" applyBorder="1" applyAlignment="1">
      <alignment horizontal="right"/>
    </xf>
    <xf numFmtId="43" fontId="15" fillId="0" borderId="3" xfId="3" applyFont="1" applyBorder="1" applyAlignment="1">
      <alignment horizontal="right" vertical="top"/>
    </xf>
    <xf numFmtId="0" fontId="15" fillId="0" borderId="3" xfId="0" applyFont="1" applyBorder="1" applyAlignment="1">
      <alignment horizontal="right" vertical="top"/>
    </xf>
    <xf numFmtId="0" fontId="15" fillId="0" borderId="4" xfId="0" applyFont="1" applyBorder="1" applyAlignment="1">
      <alignment horizontal="right" vertical="top"/>
    </xf>
    <xf numFmtId="0" fontId="15" fillId="0" borderId="1" xfId="0" applyFont="1" applyBorder="1"/>
    <xf numFmtId="0" fontId="21" fillId="18" borderId="16" xfId="0" applyFont="1" applyFill="1" applyBorder="1" applyAlignment="1">
      <alignment horizontal="left" vertical="top"/>
    </xf>
    <xf numFmtId="0" fontId="21" fillId="18" borderId="16" xfId="0" applyFont="1" applyFill="1" applyBorder="1" applyAlignment="1">
      <alignment horizontal="center" vertical="top"/>
    </xf>
    <xf numFmtId="0" fontId="21" fillId="18" borderId="16" xfId="0" applyFont="1" applyFill="1" applyBorder="1" applyAlignment="1">
      <alignment horizontal="left" wrapText="1"/>
    </xf>
    <xf numFmtId="0" fontId="21" fillId="18" borderId="16" xfId="0" applyFont="1" applyFill="1" applyBorder="1" applyAlignment="1">
      <alignment horizontal="right" vertical="top"/>
    </xf>
    <xf numFmtId="0" fontId="15" fillId="0" borderId="14" xfId="0" applyFont="1" applyBorder="1" applyAlignment="1">
      <alignment horizontal="right"/>
    </xf>
    <xf numFmtId="0" fontId="15" fillId="18" borderId="16" xfId="0" applyFont="1" applyFill="1" applyBorder="1" applyAlignment="1">
      <alignment horizontal="right"/>
    </xf>
    <xf numFmtId="0" fontId="21" fillId="18" borderId="1" xfId="0" applyFont="1" applyFill="1" applyBorder="1" applyAlignment="1">
      <alignment horizontal="left" vertical="top"/>
    </xf>
    <xf numFmtId="0" fontId="21" fillId="18" borderId="1" xfId="0" applyFont="1" applyFill="1" applyBorder="1" applyAlignment="1">
      <alignment horizontal="center" vertical="top"/>
    </xf>
    <xf numFmtId="43" fontId="21" fillId="18" borderId="1" xfId="0" applyNumberFormat="1" applyFont="1" applyFill="1" applyBorder="1" applyAlignment="1">
      <alignment horizontal="right"/>
    </xf>
    <xf numFmtId="0" fontId="15" fillId="18" borderId="1" xfId="0" applyFont="1" applyFill="1" applyBorder="1" applyAlignment="1">
      <alignment horizontal="left"/>
    </xf>
    <xf numFmtId="0" fontId="15" fillId="18" borderId="1" xfId="0" applyFont="1" applyFill="1" applyBorder="1" applyAlignment="1">
      <alignment horizontal="right" vertical="center" wrapText="1"/>
    </xf>
    <xf numFmtId="0" fontId="15" fillId="0" borderId="14" xfId="0" applyFont="1" applyBorder="1" applyAlignment="1">
      <alignment horizontal="center" vertical="center"/>
    </xf>
    <xf numFmtId="0" fontId="15" fillId="0" borderId="14" xfId="0" applyFont="1" applyBorder="1" applyAlignment="1">
      <alignment horizontal="left" vertical="center" wrapText="1"/>
    </xf>
    <xf numFmtId="43" fontId="15" fillId="0" borderId="14" xfId="3" applyFont="1" applyFill="1" applyBorder="1" applyAlignment="1">
      <alignment horizontal="right" vertical="center"/>
    </xf>
    <xf numFmtId="43" fontId="15" fillId="0" borderId="14" xfId="3" applyFont="1" applyBorder="1" applyAlignment="1">
      <alignment horizontal="right" vertical="center" wrapText="1"/>
    </xf>
    <xf numFmtId="0" fontId="15" fillId="18" borderId="16" xfId="0" applyFont="1" applyFill="1" applyBorder="1"/>
    <xf numFmtId="43" fontId="15" fillId="18" borderId="16" xfId="0" applyNumberFormat="1" applyFont="1" applyFill="1" applyBorder="1" applyAlignment="1">
      <alignment horizontal="right" vertical="center"/>
    </xf>
    <xf numFmtId="0" fontId="15" fillId="18" borderId="16" xfId="0" applyFont="1" applyFill="1" applyBorder="1" applyAlignment="1">
      <alignment horizontal="right" vertical="center" wrapText="1"/>
    </xf>
    <xf numFmtId="43" fontId="21" fillId="0" borderId="3" xfId="3" applyFont="1" applyBorder="1" applyAlignment="1">
      <alignment horizontal="right" vertical="center"/>
    </xf>
    <xf numFmtId="43" fontId="21" fillId="0" borderId="4" xfId="3" applyFont="1" applyBorder="1" applyAlignment="1">
      <alignment horizontal="right" vertical="center"/>
    </xf>
    <xf numFmtId="43" fontId="21" fillId="18" borderId="1" xfId="0" applyNumberFormat="1" applyFont="1" applyFill="1" applyBorder="1" applyAlignment="1">
      <alignment horizontal="right" vertical="center"/>
    </xf>
    <xf numFmtId="0" fontId="21" fillId="18" borderId="1" xfId="0" applyFont="1" applyFill="1" applyBorder="1" applyAlignment="1">
      <alignment horizontal="right" wrapText="1"/>
    </xf>
    <xf numFmtId="43" fontId="21" fillId="18" borderId="1" xfId="3" applyFont="1" applyFill="1" applyBorder="1" applyAlignment="1">
      <alignment horizontal="right"/>
    </xf>
    <xf numFmtId="43" fontId="21" fillId="18" borderId="1" xfId="3" applyFont="1" applyFill="1" applyBorder="1" applyAlignment="1">
      <alignment horizontal="right" vertical="top"/>
    </xf>
    <xf numFmtId="0" fontId="15" fillId="0" borderId="3" xfId="0" applyFont="1" applyBorder="1" applyAlignment="1">
      <alignment horizontal="right"/>
    </xf>
    <xf numFmtId="43" fontId="15" fillId="0" borderId="1" xfId="3" applyFont="1" applyFill="1" applyBorder="1" applyAlignment="1">
      <alignment horizontal="right" vertical="center" wrapText="1"/>
    </xf>
    <xf numFmtId="0" fontId="19" fillId="18" borderId="1" xfId="8" applyFont="1" applyFill="1" applyBorder="1" applyAlignment="1">
      <alignment horizontal="right" vertical="top"/>
    </xf>
    <xf numFmtId="0" fontId="21" fillId="18" borderId="1" xfId="0" applyFont="1" applyFill="1" applyBorder="1" applyAlignment="1">
      <alignment horizontal="right" vertical="top"/>
    </xf>
    <xf numFmtId="0" fontId="21" fillId="0" borderId="2" xfId="0" applyFont="1" applyBorder="1" applyAlignment="1">
      <alignment horizontal="left"/>
    </xf>
    <xf numFmtId="0" fontId="21" fillId="0" borderId="3" xfId="0" applyFont="1" applyBorder="1" applyAlignment="1">
      <alignment horizontal="center"/>
    </xf>
    <xf numFmtId="0" fontId="21" fillId="0" borderId="4" xfId="0" applyFont="1" applyBorder="1" applyAlignment="1">
      <alignment horizontal="center"/>
    </xf>
    <xf numFmtId="43" fontId="21" fillId="0" borderId="3" xfId="0" applyNumberFormat="1" applyFont="1" applyBorder="1" applyAlignment="1">
      <alignment horizontal="right"/>
    </xf>
    <xf numFmtId="43" fontId="21" fillId="0" borderId="4" xfId="0" applyNumberFormat="1" applyFont="1" applyBorder="1" applyAlignment="1">
      <alignment horizontal="right"/>
    </xf>
    <xf numFmtId="0" fontId="21" fillId="18" borderId="2" xfId="0" applyFont="1" applyFill="1" applyBorder="1" applyAlignment="1">
      <alignment horizontal="left"/>
    </xf>
    <xf numFmtId="0" fontId="21" fillId="18" borderId="3" xfId="0" applyFont="1" applyFill="1" applyBorder="1" applyAlignment="1">
      <alignment horizontal="center"/>
    </xf>
    <xf numFmtId="0" fontId="21" fillId="18" borderId="3" xfId="0" applyFont="1" applyFill="1" applyBorder="1" applyAlignment="1">
      <alignment horizontal="left"/>
    </xf>
    <xf numFmtId="0" fontId="21" fillId="18" borderId="4" xfId="0" applyFont="1" applyFill="1" applyBorder="1" applyAlignment="1">
      <alignment horizontal="center"/>
    </xf>
    <xf numFmtId="0" fontId="15" fillId="0" borderId="1" xfId="0" applyFont="1" applyFill="1" applyBorder="1" applyAlignment="1">
      <alignment horizontal="left"/>
    </xf>
    <xf numFmtId="0" fontId="21" fillId="0" borderId="2" xfId="0" applyFont="1" applyFill="1" applyBorder="1" applyAlignment="1">
      <alignment horizontal="left" vertical="top"/>
    </xf>
    <xf numFmtId="0" fontId="15" fillId="0" borderId="1" xfId="0" applyFont="1" applyFill="1" applyBorder="1" applyAlignment="1">
      <alignment horizontal="left" vertical="center"/>
    </xf>
    <xf numFmtId="43" fontId="19" fillId="0" borderId="0" xfId="3" applyFont="1" applyBorder="1"/>
    <xf numFmtId="9" fontId="19" fillId="0" borderId="0" xfId="1" applyFont="1" applyBorder="1"/>
    <xf numFmtId="0" fontId="15" fillId="0" borderId="1" xfId="0" applyFont="1" applyBorder="1" applyAlignment="1">
      <alignment horizontal="center" vertical="top" wrapText="1"/>
    </xf>
    <xf numFmtId="0" fontId="15" fillId="0" borderId="1" xfId="0" applyFont="1" applyFill="1" applyBorder="1" applyAlignment="1">
      <alignment horizontal="right"/>
    </xf>
    <xf numFmtId="0" fontId="21" fillId="0" borderId="1" xfId="0" applyFont="1" applyBorder="1"/>
    <xf numFmtId="0" fontId="21" fillId="0" borderId="1" xfId="0" applyFont="1" applyBorder="1" applyAlignment="1">
      <alignment horizontal="center" wrapText="1"/>
    </xf>
    <xf numFmtId="0" fontId="21" fillId="0" borderId="1" xfId="0" applyFont="1" applyBorder="1" applyAlignment="1">
      <alignment horizontal="left" vertical="top" wrapText="1"/>
    </xf>
    <xf numFmtId="0" fontId="21" fillId="0" borderId="1" xfId="0" applyFont="1" applyBorder="1" applyAlignment="1">
      <alignment horizontal="center"/>
    </xf>
    <xf numFmtId="0" fontId="15" fillId="18" borderId="0" xfId="0" applyFont="1" applyFill="1" applyBorder="1" applyAlignment="1">
      <alignment horizontal="left"/>
    </xf>
    <xf numFmtId="0" fontId="15" fillId="18" borderId="0" xfId="0" applyFont="1" applyFill="1" applyBorder="1"/>
    <xf numFmtId="0" fontId="15" fillId="18" borderId="0" xfId="0" applyFont="1" applyFill="1" applyBorder="1" applyAlignment="1">
      <alignment horizontal="center" wrapText="1"/>
    </xf>
    <xf numFmtId="0" fontId="15" fillId="18" borderId="0" xfId="0" applyFont="1" applyFill="1" applyBorder="1" applyAlignment="1">
      <alignment horizontal="left" vertical="top" wrapText="1"/>
    </xf>
    <xf numFmtId="0" fontId="15" fillId="18" borderId="0" xfId="0" applyFont="1" applyFill="1" applyBorder="1" applyAlignment="1">
      <alignment horizontal="center"/>
    </xf>
    <xf numFmtId="0" fontId="15" fillId="18" borderId="0" xfId="0" applyFont="1" applyFill="1" applyBorder="1" applyAlignment="1">
      <alignment horizontal="right"/>
    </xf>
    <xf numFmtId="0" fontId="15" fillId="0" borderId="0" xfId="0" applyFont="1" applyFill="1" applyBorder="1" applyAlignment="1">
      <alignment horizontal="center" wrapText="1"/>
    </xf>
    <xf numFmtId="0" fontId="15" fillId="0" borderId="0" xfId="0" applyFont="1" applyFill="1" applyBorder="1" applyAlignment="1">
      <alignment horizontal="left" vertical="top" wrapText="1"/>
    </xf>
    <xf numFmtId="0" fontId="15" fillId="0" borderId="0" xfId="0" applyFont="1" applyBorder="1" applyAlignment="1">
      <alignment horizontal="center" wrapText="1"/>
    </xf>
    <xf numFmtId="0" fontId="15" fillId="0" borderId="0" xfId="0" applyFont="1" applyBorder="1" applyAlignment="1">
      <alignment horizontal="left" vertical="top" wrapText="1"/>
    </xf>
    <xf numFmtId="0" fontId="15" fillId="0" borderId="0" xfId="0" applyFont="1" applyBorder="1" applyAlignment="1">
      <alignment horizontal="center"/>
    </xf>
    <xf numFmtId="0" fontId="15" fillId="0" borderId="0" xfId="0" applyFont="1" applyBorder="1" applyAlignment="1">
      <alignment horizontal="right"/>
    </xf>
    <xf numFmtId="0" fontId="21" fillId="0" borderId="55" xfId="0" applyFont="1" applyBorder="1"/>
    <xf numFmtId="43" fontId="21" fillId="0" borderId="63" xfId="3" applyFont="1" applyBorder="1" applyAlignment="1">
      <alignment horizontal="right"/>
    </xf>
    <xf numFmtId="0" fontId="15" fillId="0" borderId="0" xfId="0" applyFont="1" applyBorder="1" applyAlignment="1">
      <alignment horizontal="center" vertical="center" wrapText="1"/>
    </xf>
    <xf numFmtId="9" fontId="15" fillId="0" borderId="63" xfId="1" applyFont="1" applyBorder="1" applyAlignment="1">
      <alignment horizontal="right" vertical="center" wrapText="1"/>
    </xf>
    <xf numFmtId="43" fontId="15" fillId="0" borderId="63" xfId="3" applyFont="1" applyBorder="1" applyAlignment="1">
      <alignment horizontal="right" vertical="center" wrapText="1"/>
    </xf>
    <xf numFmtId="0" fontId="15" fillId="0" borderId="70" xfId="0" applyFont="1" applyBorder="1" applyAlignment="1"/>
    <xf numFmtId="0" fontId="15" fillId="0" borderId="60" xfId="0" applyFont="1" applyBorder="1" applyAlignment="1"/>
    <xf numFmtId="0" fontId="15" fillId="0" borderId="71" xfId="0" applyFont="1" applyBorder="1" applyAlignment="1"/>
    <xf numFmtId="0" fontId="15" fillId="0" borderId="64" xfId="0" applyFont="1" applyBorder="1" applyAlignment="1">
      <alignment horizontal="center"/>
    </xf>
    <xf numFmtId="43" fontId="15" fillId="0" borderId="66" xfId="3" applyFont="1" applyBorder="1" applyAlignment="1">
      <alignment horizontal="center"/>
    </xf>
    <xf numFmtId="0" fontId="21" fillId="0" borderId="8" xfId="0" applyFont="1" applyBorder="1" applyAlignment="1">
      <alignment vertical="center"/>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16" fillId="0" borderId="1" xfId="0" applyFont="1" applyBorder="1" applyAlignment="1">
      <alignment vertical="center" wrapText="1"/>
    </xf>
    <xf numFmtId="43" fontId="21" fillId="0" borderId="9" xfId="3" applyFont="1" applyBorder="1" applyAlignment="1">
      <alignment horizontal="right" vertical="center"/>
    </xf>
    <xf numFmtId="0" fontId="21" fillId="16" borderId="8" xfId="0" applyFont="1" applyFill="1" applyBorder="1" applyAlignment="1">
      <alignment vertical="center"/>
    </xf>
    <xf numFmtId="0" fontId="21" fillId="16" borderId="1" xfId="0" applyFont="1" applyFill="1" applyBorder="1" applyAlignment="1">
      <alignment horizontal="left" vertical="center" wrapText="1"/>
    </xf>
    <xf numFmtId="0" fontId="21" fillId="16" borderId="1" xfId="0" applyFont="1" applyFill="1" applyBorder="1" applyAlignment="1">
      <alignment vertical="center" wrapText="1"/>
    </xf>
    <xf numFmtId="0" fontId="21" fillId="16" borderId="1" xfId="0" applyFont="1" applyFill="1" applyBorder="1" applyAlignment="1">
      <alignment horizontal="center" vertical="center"/>
    </xf>
    <xf numFmtId="0" fontId="16" fillId="16" borderId="1" xfId="0" applyFont="1" applyFill="1" applyBorder="1" applyAlignment="1">
      <alignment vertical="center" wrapText="1"/>
    </xf>
    <xf numFmtId="43" fontId="21" fillId="16" borderId="9" xfId="3" applyFont="1" applyFill="1" applyBorder="1" applyAlignment="1">
      <alignment horizontal="right" vertical="center"/>
    </xf>
    <xf numFmtId="0" fontId="15" fillId="0" borderId="8" xfId="0" applyFont="1" applyBorder="1" applyAlignment="1">
      <alignment horizontal="left" vertical="center"/>
    </xf>
    <xf numFmtId="0" fontId="4" fillId="0" borderId="1" xfId="0" quotePrefix="1" applyFont="1" applyBorder="1" applyAlignment="1">
      <alignment vertical="center" wrapText="1"/>
    </xf>
    <xf numFmtId="43" fontId="15" fillId="0" borderId="9" xfId="3" applyFont="1" applyBorder="1" applyAlignment="1">
      <alignment horizontal="right" vertical="center"/>
    </xf>
    <xf numFmtId="0" fontId="15" fillId="0" borderId="55" xfId="0" applyFont="1" applyBorder="1" applyAlignment="1">
      <alignment horizontal="center"/>
    </xf>
    <xf numFmtId="43" fontId="15" fillId="0" borderId="63" xfId="3" applyFont="1" applyBorder="1" applyAlignment="1">
      <alignment horizontal="center"/>
    </xf>
    <xf numFmtId="0" fontId="15" fillId="0" borderId="64" xfId="0" applyFont="1" applyBorder="1" applyAlignment="1">
      <alignment horizontal="center" vertical="center"/>
    </xf>
    <xf numFmtId="43" fontId="15" fillId="0" borderId="66" xfId="3" applyFont="1" applyBorder="1" applyAlignment="1">
      <alignment horizontal="center" vertical="center"/>
    </xf>
    <xf numFmtId="0" fontId="15" fillId="0" borderId="0" xfId="0" applyFont="1" applyBorder="1" applyAlignment="1">
      <alignment vertical="center"/>
    </xf>
    <xf numFmtId="0" fontId="21" fillId="16" borderId="8" xfId="0" applyFont="1" applyFill="1" applyBorder="1" applyAlignment="1">
      <alignment horizontal="left" vertical="center"/>
    </xf>
    <xf numFmtId="0" fontId="15" fillId="16" borderId="1" xfId="0" applyFont="1" applyFill="1" applyBorder="1" applyAlignment="1">
      <alignment horizontal="center" vertical="center"/>
    </xf>
    <xf numFmtId="0" fontId="21" fillId="16" borderId="1" xfId="0" applyFont="1" applyFill="1" applyBorder="1" applyAlignment="1">
      <alignment horizontal="left" vertical="center"/>
    </xf>
    <xf numFmtId="43" fontId="15" fillId="16" borderId="9" xfId="3" applyFont="1" applyFill="1" applyBorder="1" applyAlignment="1">
      <alignment horizontal="right" vertical="center"/>
    </xf>
    <xf numFmtId="0" fontId="15" fillId="0" borderId="0"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vertical="center"/>
    </xf>
    <xf numFmtId="0" fontId="15" fillId="0" borderId="8" xfId="0" applyFont="1" applyBorder="1" applyAlignment="1">
      <alignment horizontal="left" vertical="center" wrapText="1"/>
    </xf>
    <xf numFmtId="43" fontId="4" fillId="0" borderId="1" xfId="3" quotePrefix="1" applyFont="1" applyBorder="1" applyAlignment="1">
      <alignment vertical="center" wrapText="1"/>
    </xf>
    <xf numFmtId="43" fontId="15" fillId="0" borderId="9" xfId="3" quotePrefix="1" applyFont="1" applyBorder="1" applyAlignment="1">
      <alignment horizontal="right" vertical="center" wrapText="1"/>
    </xf>
    <xf numFmtId="43" fontId="4" fillId="0" borderId="1" xfId="3" quotePrefix="1" applyFont="1" applyBorder="1" applyAlignment="1">
      <alignment vertical="center"/>
    </xf>
    <xf numFmtId="43" fontId="15" fillId="0" borderId="9" xfId="3" quotePrefix="1" applyFont="1" applyBorder="1" applyAlignment="1">
      <alignment horizontal="right" vertical="center"/>
    </xf>
    <xf numFmtId="43" fontId="15" fillId="0" borderId="9" xfId="3" quotePrefix="1" applyFont="1" applyBorder="1" applyAlignment="1">
      <alignment vertical="center"/>
    </xf>
    <xf numFmtId="0" fontId="21" fillId="0" borderId="8" xfId="0" applyFont="1" applyBorder="1" applyAlignment="1">
      <alignment horizontal="left" vertical="center"/>
    </xf>
    <xf numFmtId="43" fontId="21" fillId="0" borderId="9" xfId="3" applyFont="1" applyBorder="1" applyAlignment="1">
      <alignment horizontal="center" vertical="center"/>
    </xf>
    <xf numFmtId="0" fontId="4" fillId="0" borderId="1" xfId="0" quotePrefix="1" applyFont="1" applyBorder="1" applyAlignment="1">
      <alignment horizontal="left" vertical="center"/>
    </xf>
    <xf numFmtId="0" fontId="15" fillId="0" borderId="55" xfId="0" applyFont="1" applyBorder="1" applyAlignment="1">
      <alignment horizontal="center" vertical="center"/>
    </xf>
    <xf numFmtId="43" fontId="15" fillId="0" borderId="63" xfId="3" applyFont="1" applyBorder="1" applyAlignment="1">
      <alignment horizontal="center" vertical="center"/>
    </xf>
    <xf numFmtId="43" fontId="4" fillId="0" borderId="1" xfId="0" quotePrefix="1" applyNumberFormat="1" applyFont="1" applyBorder="1" applyAlignment="1">
      <alignment vertical="center" wrapText="1"/>
    </xf>
    <xf numFmtId="43" fontId="4" fillId="0" borderId="9" xfId="3" quotePrefix="1" applyFont="1" applyBorder="1" applyAlignment="1">
      <alignment vertical="center" wrapText="1"/>
    </xf>
    <xf numFmtId="0" fontId="15" fillId="0" borderId="55" xfId="0" applyFont="1" applyBorder="1" applyAlignment="1">
      <alignment vertical="center"/>
    </xf>
    <xf numFmtId="43" fontId="15" fillId="0" borderId="63" xfId="3" applyFont="1" applyBorder="1" applyAlignment="1">
      <alignment vertical="center"/>
    </xf>
    <xf numFmtId="0" fontId="21" fillId="0" borderId="1" xfId="0" applyFont="1" applyFill="1" applyBorder="1" applyAlignment="1">
      <alignment vertical="center" wrapText="1"/>
    </xf>
    <xf numFmtId="0" fontId="4" fillId="0" borderId="1" xfId="0" applyFont="1" applyBorder="1" applyAlignment="1">
      <alignment vertical="center" wrapText="1"/>
    </xf>
    <xf numFmtId="0" fontId="15" fillId="0" borderId="8" xfId="0" applyFont="1" applyBorder="1" applyAlignment="1">
      <alignment vertical="center"/>
    </xf>
    <xf numFmtId="0" fontId="15" fillId="0" borderId="1" xfId="0" applyFont="1" applyFill="1" applyBorder="1" applyAlignment="1">
      <alignment vertical="center" wrapText="1"/>
    </xf>
    <xf numFmtId="0" fontId="15" fillId="0" borderId="13" xfId="0" applyFont="1" applyBorder="1" applyAlignment="1">
      <alignment vertical="center"/>
    </xf>
    <xf numFmtId="0" fontId="15" fillId="0" borderId="14" xfId="0" applyFont="1" applyFill="1" applyBorder="1" applyAlignment="1">
      <alignment vertical="center" wrapText="1"/>
    </xf>
    <xf numFmtId="0" fontId="4" fillId="0" borderId="14" xfId="0" quotePrefix="1" applyFont="1" applyBorder="1" applyAlignment="1">
      <alignment vertical="center" wrapText="1"/>
    </xf>
    <xf numFmtId="43" fontId="15" fillId="0" borderId="15" xfId="3" applyFont="1" applyBorder="1" applyAlignment="1">
      <alignment horizontal="right" vertical="center"/>
    </xf>
    <xf numFmtId="0" fontId="15" fillId="0" borderId="67" xfId="0" applyFont="1" applyBorder="1" applyAlignment="1">
      <alignment horizontal="center" vertical="center"/>
    </xf>
    <xf numFmtId="0" fontId="15" fillId="0" borderId="58" xfId="0" applyFont="1" applyBorder="1" applyAlignment="1">
      <alignment horizontal="center" vertical="center"/>
    </xf>
    <xf numFmtId="43" fontId="15" fillId="0" borderId="68" xfId="3" applyFont="1" applyBorder="1" applyAlignment="1">
      <alignment horizontal="center" vertical="center"/>
    </xf>
    <xf numFmtId="0" fontId="15" fillId="0" borderId="1" xfId="0" applyFont="1" applyFill="1" applyBorder="1" applyAlignment="1">
      <alignment horizontal="left" vertical="center" wrapText="1"/>
    </xf>
    <xf numFmtId="0" fontId="4" fillId="0" borderId="1" xfId="0" quotePrefix="1" applyFont="1" applyBorder="1" applyAlignment="1">
      <alignment horizontal="left" vertical="center" wrapText="1"/>
    </xf>
    <xf numFmtId="0" fontId="15" fillId="0" borderId="13" xfId="0" applyFont="1" applyBorder="1" applyAlignment="1">
      <alignment horizontal="left" vertical="center"/>
    </xf>
    <xf numFmtId="0" fontId="15" fillId="0" borderId="14" xfId="0" applyFont="1" applyBorder="1" applyAlignment="1">
      <alignment horizontal="center" vertical="center" wrapText="1"/>
    </xf>
    <xf numFmtId="0" fontId="15" fillId="0" borderId="14" xfId="0" applyFont="1" applyFill="1" applyBorder="1" applyAlignment="1">
      <alignment horizontal="left" vertical="center" wrapText="1"/>
    </xf>
    <xf numFmtId="0" fontId="4" fillId="0" borderId="14" xfId="0" quotePrefix="1" applyFont="1" applyBorder="1" applyAlignment="1">
      <alignment horizontal="left" vertical="center" wrapText="1"/>
    </xf>
    <xf numFmtId="43" fontId="4" fillId="0" borderId="15" xfId="3" quotePrefix="1" applyFont="1" applyBorder="1" applyAlignment="1">
      <alignment horizontal="right" vertical="center" wrapText="1"/>
    </xf>
    <xf numFmtId="0" fontId="21" fillId="0" borderId="69" xfId="0" applyFont="1" applyBorder="1" applyAlignment="1">
      <alignment horizontal="left" vertical="center"/>
    </xf>
    <xf numFmtId="0" fontId="21" fillId="0" borderId="16" xfId="0" applyFont="1" applyBorder="1" applyAlignment="1">
      <alignment horizontal="center" vertical="center" wrapText="1"/>
    </xf>
    <xf numFmtId="0" fontId="21" fillId="0" borderId="16" xfId="0" applyFont="1" applyFill="1" applyBorder="1" applyAlignment="1">
      <alignment horizontal="left" vertical="center" wrapText="1"/>
    </xf>
    <xf numFmtId="0" fontId="21" fillId="0" borderId="16" xfId="0" applyFont="1" applyBorder="1" applyAlignment="1">
      <alignment horizontal="center" vertical="center"/>
    </xf>
    <xf numFmtId="0" fontId="16" fillId="0" borderId="16" xfId="0" quotePrefix="1" applyFont="1" applyBorder="1" applyAlignment="1">
      <alignment horizontal="left" vertical="center" wrapText="1"/>
    </xf>
    <xf numFmtId="43" fontId="21" fillId="0" borderId="17" xfId="3" applyFont="1" applyBorder="1" applyAlignment="1">
      <alignment horizontal="right" vertical="center"/>
    </xf>
    <xf numFmtId="0" fontId="20" fillId="0" borderId="0" xfId="0" applyFont="1" applyBorder="1" applyAlignment="1">
      <alignment vertical="center"/>
    </xf>
    <xf numFmtId="43" fontId="43" fillId="0" borderId="9" xfId="3" quotePrefix="1" applyFont="1" applyBorder="1" applyAlignment="1">
      <alignment horizontal="right" vertical="center" wrapText="1"/>
    </xf>
    <xf numFmtId="0" fontId="15" fillId="16" borderId="1" xfId="0" applyFont="1" applyFill="1" applyBorder="1" applyAlignment="1">
      <alignment horizontal="left" vertical="center" wrapText="1"/>
    </xf>
    <xf numFmtId="0" fontId="4" fillId="16" borderId="1" xfId="0" applyFont="1" applyFill="1" applyBorder="1" applyAlignment="1">
      <alignment vertical="center" wrapText="1"/>
    </xf>
    <xf numFmtId="43" fontId="15" fillId="0" borderId="15" xfId="3" quotePrefix="1" applyFont="1" applyBorder="1" applyAlignment="1">
      <alignment horizontal="right" vertical="center" wrapText="1"/>
    </xf>
    <xf numFmtId="0" fontId="21" fillId="0" borderId="64" xfId="0" applyFont="1" applyBorder="1" applyAlignment="1">
      <alignment horizontal="center" vertical="center"/>
    </xf>
    <xf numFmtId="43" fontId="21" fillId="0" borderId="66" xfId="3" applyFont="1" applyBorder="1" applyAlignment="1">
      <alignment horizontal="center" vertical="center"/>
    </xf>
    <xf numFmtId="0" fontId="21" fillId="0" borderId="69" xfId="0" applyFont="1" applyBorder="1" applyAlignment="1">
      <alignment vertical="center"/>
    </xf>
    <xf numFmtId="0" fontId="15" fillId="0" borderId="16" xfId="0" applyFont="1" applyBorder="1" applyAlignment="1">
      <alignment horizontal="left" wrapText="1"/>
    </xf>
    <xf numFmtId="0" fontId="21" fillId="0" borderId="16" xfId="0" applyFont="1" applyFill="1" applyBorder="1" applyAlignment="1">
      <alignment vertical="top" wrapText="1"/>
    </xf>
    <xf numFmtId="0" fontId="15" fillId="0" borderId="16" xfId="0" applyFont="1" applyBorder="1" applyAlignment="1">
      <alignment horizontal="center"/>
    </xf>
    <xf numFmtId="0" fontId="4" fillId="0" borderId="16" xfId="0" applyFont="1" applyBorder="1" applyAlignment="1">
      <alignment wrapText="1"/>
    </xf>
    <xf numFmtId="43" fontId="15" fillId="0" borderId="17" xfId="3" applyFont="1" applyBorder="1" applyAlignment="1">
      <alignment horizontal="right"/>
    </xf>
    <xf numFmtId="0" fontId="21" fillId="0" borderId="1" xfId="0" applyFont="1" applyFill="1" applyBorder="1" applyAlignment="1">
      <alignment horizontal="left" vertical="center" wrapText="1"/>
    </xf>
    <xf numFmtId="43" fontId="4" fillId="0" borderId="9" xfId="3" quotePrefix="1" applyFont="1" applyBorder="1" applyAlignment="1">
      <alignment horizontal="right" vertical="center" wrapText="1"/>
    </xf>
    <xf numFmtId="0" fontId="15" fillId="0" borderId="13" xfId="0" applyFont="1" applyBorder="1" applyAlignment="1">
      <alignment horizontal="left" vertical="center" wrapText="1"/>
    </xf>
    <xf numFmtId="43" fontId="4" fillId="0" borderId="15" xfId="3" quotePrefix="1" applyFont="1" applyBorder="1" applyAlignment="1">
      <alignment vertical="center" wrapText="1"/>
    </xf>
    <xf numFmtId="0" fontId="21" fillId="16" borderId="69" xfId="0" applyFont="1" applyFill="1" applyBorder="1" applyAlignment="1">
      <alignment horizontal="left" vertical="center"/>
    </xf>
    <xf numFmtId="0" fontId="21" fillId="16" borderId="16" xfId="0" applyFont="1" applyFill="1" applyBorder="1" applyAlignment="1">
      <alignment horizontal="center" vertical="center" wrapText="1"/>
    </xf>
    <xf numFmtId="0" fontId="21" fillId="16" borderId="16" xfId="0" applyFont="1" applyFill="1" applyBorder="1" applyAlignment="1">
      <alignment horizontal="left" vertical="center" wrapText="1"/>
    </xf>
    <xf numFmtId="0" fontId="15" fillId="16" borderId="16" xfId="0" applyFont="1" applyFill="1" applyBorder="1" applyAlignment="1">
      <alignment horizontal="center" vertical="center"/>
    </xf>
    <xf numFmtId="0" fontId="4" fillId="16" borderId="16" xfId="0" quotePrefix="1" applyFont="1" applyFill="1" applyBorder="1" applyAlignment="1">
      <alignment vertical="center" wrapText="1"/>
    </xf>
    <xf numFmtId="43" fontId="4" fillId="16" borderId="17" xfId="3" quotePrefix="1" applyFont="1" applyFill="1" applyBorder="1" applyAlignment="1">
      <alignment horizontal="right" vertical="center" wrapText="1"/>
    </xf>
    <xf numFmtId="0" fontId="15" fillId="0" borderId="16" xfId="0" applyFont="1" applyBorder="1" applyAlignment="1">
      <alignment horizontal="center" vertical="center" wrapText="1"/>
    </xf>
    <xf numFmtId="0" fontId="15" fillId="0" borderId="16" xfId="0" applyFont="1" applyBorder="1" applyAlignment="1">
      <alignment horizontal="center" vertical="center"/>
    </xf>
    <xf numFmtId="0" fontId="4" fillId="0" borderId="16" xfId="0" quotePrefix="1" applyFont="1" applyBorder="1" applyAlignment="1">
      <alignment vertical="center" wrapText="1"/>
    </xf>
    <xf numFmtId="43" fontId="4" fillId="0" borderId="17" xfId="3" quotePrefix="1" applyFont="1" applyBorder="1" applyAlignment="1">
      <alignment horizontal="right" vertical="center" wrapText="1"/>
    </xf>
    <xf numFmtId="0" fontId="15" fillId="0" borderId="64" xfId="0" applyFont="1" applyBorder="1" applyAlignment="1">
      <alignment horizontal="center" vertical="center" wrapText="1"/>
    </xf>
    <xf numFmtId="0" fontId="15" fillId="0" borderId="3" xfId="0" applyFont="1" applyBorder="1" applyAlignment="1">
      <alignment horizontal="center" vertical="center" wrapText="1"/>
    </xf>
    <xf numFmtId="43" fontId="15" fillId="0" borderId="66" xfId="3" applyFont="1" applyBorder="1" applyAlignment="1">
      <alignment horizontal="center" vertical="center" wrapText="1"/>
    </xf>
    <xf numFmtId="0" fontId="21" fillId="0" borderId="8" xfId="0" applyFont="1" applyBorder="1" applyAlignment="1">
      <alignment horizontal="left" vertical="center" wrapText="1"/>
    </xf>
    <xf numFmtId="0" fontId="15" fillId="0" borderId="1" xfId="0" quotePrefix="1" applyFont="1" applyBorder="1" applyAlignment="1">
      <alignment vertical="center" wrapText="1"/>
    </xf>
    <xf numFmtId="0" fontId="15" fillId="0" borderId="14" xfId="0" quotePrefix="1" applyFont="1" applyBorder="1" applyAlignment="1">
      <alignment vertical="center" wrapText="1"/>
    </xf>
    <xf numFmtId="43" fontId="15" fillId="0" borderId="15" xfId="3" quotePrefix="1" applyFont="1" applyBorder="1" applyAlignment="1">
      <alignment vertical="center" wrapText="1"/>
    </xf>
    <xf numFmtId="0" fontId="21" fillId="16" borderId="69" xfId="0" applyFont="1" applyFill="1" applyBorder="1" applyAlignment="1">
      <alignment horizontal="left" wrapText="1"/>
    </xf>
    <xf numFmtId="0" fontId="21" fillId="16" borderId="16" xfId="0" applyFont="1" applyFill="1" applyBorder="1" applyAlignment="1">
      <alignment horizontal="center" wrapText="1"/>
    </xf>
    <xf numFmtId="0" fontId="21" fillId="16" borderId="16" xfId="0" applyFont="1" applyFill="1" applyBorder="1" applyAlignment="1">
      <alignment vertical="top" wrapText="1"/>
    </xf>
    <xf numFmtId="0" fontId="16" fillId="16" borderId="16" xfId="0" applyFont="1" applyFill="1" applyBorder="1" applyAlignment="1">
      <alignment wrapText="1"/>
    </xf>
    <xf numFmtId="43" fontId="21" fillId="16" borderId="17" xfId="3" applyFont="1" applyFill="1" applyBorder="1" applyAlignment="1">
      <alignment horizontal="right" wrapText="1"/>
    </xf>
    <xf numFmtId="0" fontId="21" fillId="0" borderId="8" xfId="0" applyFont="1" applyBorder="1" applyAlignment="1">
      <alignment wrapText="1"/>
    </xf>
    <xf numFmtId="0" fontId="21" fillId="0" borderId="1" xfId="0" applyFont="1" applyBorder="1" applyAlignment="1">
      <alignment vertical="top" wrapText="1"/>
    </xf>
    <xf numFmtId="0" fontId="16" fillId="0" borderId="1" xfId="0" applyFont="1" applyBorder="1" applyAlignment="1">
      <alignment wrapText="1"/>
    </xf>
    <xf numFmtId="43" fontId="21" fillId="0" borderId="9" xfId="3" applyFont="1" applyBorder="1" applyAlignment="1">
      <alignment horizontal="right" wrapText="1"/>
    </xf>
    <xf numFmtId="0" fontId="15" fillId="0" borderId="8" xfId="0" applyFont="1" applyBorder="1" applyAlignment="1">
      <alignment wrapText="1"/>
    </xf>
    <xf numFmtId="0" fontId="15" fillId="0" borderId="1" xfId="0" applyFont="1" applyBorder="1" applyAlignment="1">
      <alignment vertical="top" wrapText="1"/>
    </xf>
    <xf numFmtId="43" fontId="15" fillId="0" borderId="9" xfId="3" applyFont="1" applyBorder="1" applyAlignment="1">
      <alignment horizontal="right" wrapText="1"/>
    </xf>
    <xf numFmtId="43" fontId="15" fillId="0" borderId="9" xfId="3" applyFont="1" applyBorder="1" applyAlignment="1">
      <alignment horizontal="right"/>
    </xf>
    <xf numFmtId="43" fontId="15" fillId="0" borderId="9" xfId="3" quotePrefix="1" applyFont="1" applyBorder="1" applyAlignment="1">
      <alignment horizontal="right" wrapText="1"/>
    </xf>
    <xf numFmtId="0" fontId="15" fillId="0" borderId="13" xfId="0" applyFont="1" applyBorder="1" applyAlignment="1">
      <alignment wrapText="1"/>
    </xf>
    <xf numFmtId="0" fontId="15" fillId="0" borderId="14" xfId="0" applyFont="1" applyBorder="1" applyAlignment="1">
      <alignment horizontal="center" wrapText="1"/>
    </xf>
    <xf numFmtId="0" fontId="15" fillId="0" borderId="14" xfId="0" applyFont="1" applyBorder="1" applyAlignment="1">
      <alignment vertical="top" wrapText="1"/>
    </xf>
    <xf numFmtId="43" fontId="4" fillId="0" borderId="14" xfId="3" quotePrefix="1" applyFont="1" applyBorder="1" applyAlignment="1">
      <alignment vertical="center"/>
    </xf>
    <xf numFmtId="43" fontId="15" fillId="0" borderId="15" xfId="3" quotePrefix="1" applyFont="1" applyBorder="1" applyAlignment="1">
      <alignment horizontal="right" wrapText="1"/>
    </xf>
    <xf numFmtId="0" fontId="15" fillId="0" borderId="67" xfId="0" applyFont="1" applyBorder="1" applyAlignment="1">
      <alignment wrapText="1"/>
    </xf>
    <xf numFmtId="0" fontId="15" fillId="0" borderId="58" xfId="0" applyFont="1" applyBorder="1" applyAlignment="1">
      <alignment horizontal="center" wrapText="1"/>
    </xf>
    <xf numFmtId="0" fontId="15" fillId="0" borderId="58" xfId="0" applyFont="1" applyBorder="1" applyAlignment="1">
      <alignment vertical="top" wrapText="1"/>
    </xf>
    <xf numFmtId="43" fontId="4" fillId="0" borderId="58" xfId="3" quotePrefix="1" applyFont="1" applyBorder="1" applyAlignment="1">
      <alignment vertical="center"/>
    </xf>
    <xf numFmtId="43" fontId="15" fillId="0" borderId="68" xfId="3" quotePrefix="1" applyFont="1" applyBorder="1" applyAlignment="1">
      <alignment horizontal="right" wrapText="1"/>
    </xf>
    <xf numFmtId="0" fontId="21" fillId="0" borderId="69" xfId="0" applyFont="1" applyBorder="1" applyAlignment="1">
      <alignment wrapText="1"/>
    </xf>
    <xf numFmtId="0" fontId="21" fillId="0" borderId="16" xfId="0" applyFont="1" applyBorder="1" applyAlignment="1">
      <alignment horizontal="center" wrapText="1"/>
    </xf>
    <xf numFmtId="0" fontId="21" fillId="0" borderId="16" xfId="0" applyFont="1" applyBorder="1" applyAlignment="1">
      <alignment vertical="top" wrapText="1"/>
    </xf>
    <xf numFmtId="0" fontId="16" fillId="0" borderId="16" xfId="0" applyFont="1" applyBorder="1" applyAlignment="1">
      <alignment wrapText="1"/>
    </xf>
    <xf numFmtId="43" fontId="21" fillId="0" borderId="17" xfId="3" applyFont="1" applyBorder="1" applyAlignment="1">
      <alignment horizontal="right" wrapText="1"/>
    </xf>
    <xf numFmtId="0" fontId="15" fillId="0" borderId="8" xfId="0" applyFont="1" applyBorder="1"/>
    <xf numFmtId="0" fontId="15" fillId="0" borderId="13" xfId="0" applyFont="1" applyBorder="1"/>
    <xf numFmtId="0" fontId="15" fillId="0" borderId="14" xfId="0" applyFont="1" applyBorder="1" applyAlignment="1">
      <alignment vertical="center" wrapText="1"/>
    </xf>
    <xf numFmtId="0" fontId="21" fillId="0" borderId="0" xfId="0" applyFont="1" applyBorder="1" applyAlignment="1">
      <alignment horizontal="center"/>
    </xf>
    <xf numFmtId="0" fontId="21" fillId="0" borderId="69" xfId="0" applyFont="1" applyBorder="1" applyAlignment="1">
      <alignment vertical="center" wrapText="1"/>
    </xf>
    <xf numFmtId="0" fontId="4" fillId="0" borderId="1" xfId="0" quotePrefix="1" applyFont="1" applyBorder="1" applyAlignment="1">
      <alignment wrapText="1"/>
    </xf>
    <xf numFmtId="43" fontId="21" fillId="0" borderId="9" xfId="3" applyFont="1" applyBorder="1" applyAlignment="1">
      <alignment horizontal="center"/>
    </xf>
    <xf numFmtId="43" fontId="15" fillId="0" borderId="9" xfId="3" applyFont="1" applyBorder="1" applyAlignment="1">
      <alignment horizontal="center"/>
    </xf>
    <xf numFmtId="0" fontId="4" fillId="0" borderId="1" xfId="0" quotePrefix="1" applyFont="1" applyBorder="1" applyAlignment="1">
      <alignment horizontal="left"/>
    </xf>
    <xf numFmtId="43" fontId="15" fillId="0" borderId="9" xfId="3" quotePrefix="1" applyFont="1" applyBorder="1" applyAlignment="1">
      <alignment horizontal="right"/>
    </xf>
    <xf numFmtId="0" fontId="4" fillId="0" borderId="1" xfId="0" applyFont="1" applyBorder="1" applyAlignment="1">
      <alignment horizontal="left"/>
    </xf>
    <xf numFmtId="0" fontId="21" fillId="16" borderId="8" xfId="0" applyFont="1" applyFill="1" applyBorder="1" applyAlignment="1">
      <alignment horizontal="left"/>
    </xf>
    <xf numFmtId="0" fontId="21" fillId="16" borderId="1" xfId="0" applyFont="1" applyFill="1" applyBorder="1" applyAlignment="1">
      <alignment horizontal="center"/>
    </xf>
    <xf numFmtId="0" fontId="21" fillId="16" borderId="1" xfId="0" applyFont="1" applyFill="1" applyBorder="1" applyAlignment="1">
      <alignment horizontal="left"/>
    </xf>
    <xf numFmtId="0" fontId="15" fillId="16" borderId="1" xfId="0" applyFont="1" applyFill="1" applyBorder="1" applyAlignment="1">
      <alignment horizontal="center"/>
    </xf>
    <xf numFmtId="43" fontId="15" fillId="16" borderId="9" xfId="3" applyFont="1" applyFill="1" applyBorder="1" applyAlignment="1">
      <alignment horizontal="right"/>
    </xf>
    <xf numFmtId="0" fontId="21" fillId="0" borderId="8" xfId="0" applyFont="1" applyBorder="1" applyAlignment="1">
      <alignment horizontal="left"/>
    </xf>
    <xf numFmtId="43" fontId="21" fillId="0" borderId="9" xfId="3" applyFont="1" applyBorder="1" applyAlignment="1">
      <alignment horizontal="right"/>
    </xf>
    <xf numFmtId="0" fontId="15" fillId="0" borderId="14" xfId="0" applyFont="1" applyBorder="1" applyAlignment="1">
      <alignment horizontal="center"/>
    </xf>
    <xf numFmtId="0" fontId="4" fillId="0" borderId="14" xfId="0" quotePrefix="1" applyFont="1" applyBorder="1" applyAlignment="1">
      <alignment wrapText="1"/>
    </xf>
    <xf numFmtId="0" fontId="21" fillId="0" borderId="69" xfId="0" applyFont="1" applyBorder="1" applyAlignment="1">
      <alignment horizontal="left" vertical="center" wrapText="1"/>
    </xf>
    <xf numFmtId="0" fontId="21" fillId="0" borderId="16" xfId="0" applyFont="1" applyBorder="1" applyAlignment="1">
      <alignment horizontal="left" wrapText="1"/>
    </xf>
    <xf numFmtId="43" fontId="21" fillId="0" borderId="16" xfId="3" quotePrefix="1" applyFont="1" applyBorder="1" applyAlignment="1">
      <alignment horizontal="left" vertical="center"/>
    </xf>
    <xf numFmtId="43" fontId="21" fillId="0" borderId="17" xfId="3" quotePrefix="1" applyFont="1" applyBorder="1" applyAlignment="1">
      <alignment horizontal="right" vertical="center"/>
    </xf>
    <xf numFmtId="0" fontId="15" fillId="0" borderId="1" xfId="0" applyFont="1" applyBorder="1" applyAlignment="1">
      <alignment horizontal="left" wrapText="1"/>
    </xf>
    <xf numFmtId="43" fontId="4" fillId="0" borderId="1" xfId="3" quotePrefix="1" applyFont="1" applyBorder="1" applyAlignment="1">
      <alignment horizontal="left" vertical="center"/>
    </xf>
    <xf numFmtId="0" fontId="21" fillId="0" borderId="1" xfId="0" applyFont="1" applyBorder="1" applyAlignment="1">
      <alignment horizontal="left" wrapText="1"/>
    </xf>
    <xf numFmtId="43" fontId="15" fillId="0" borderId="1" xfId="3" quotePrefix="1" applyFont="1" applyBorder="1" applyAlignment="1">
      <alignment horizontal="left" vertical="center"/>
    </xf>
    <xf numFmtId="0" fontId="15" fillId="0" borderId="14" xfId="0" applyFont="1" applyBorder="1" applyAlignment="1">
      <alignment horizontal="left" wrapText="1"/>
    </xf>
    <xf numFmtId="43" fontId="4" fillId="0" borderId="14" xfId="3" quotePrefix="1" applyFont="1" applyBorder="1" applyAlignment="1">
      <alignment horizontal="left" vertical="center"/>
    </xf>
    <xf numFmtId="43" fontId="15" fillId="0" borderId="15" xfId="3" quotePrefix="1" applyFont="1" applyBorder="1" applyAlignment="1">
      <alignment horizontal="right" vertical="center"/>
    </xf>
    <xf numFmtId="0" fontId="15" fillId="0" borderId="64" xfId="0" applyFont="1" applyBorder="1" applyAlignment="1">
      <alignment horizontal="left" vertical="center" wrapText="1"/>
    </xf>
    <xf numFmtId="0" fontId="15" fillId="0" borderId="3" xfId="0" applyFont="1" applyBorder="1" applyAlignment="1">
      <alignment horizontal="left" wrapText="1"/>
    </xf>
    <xf numFmtId="43" fontId="4" fillId="0" borderId="3" xfId="3" quotePrefix="1" applyFont="1" applyBorder="1" applyAlignment="1">
      <alignment horizontal="left" vertical="center"/>
    </xf>
    <xf numFmtId="43" fontId="15" fillId="0" borderId="66" xfId="3" quotePrefix="1" applyFont="1" applyBorder="1" applyAlignment="1">
      <alignment horizontal="right" vertical="center"/>
    </xf>
    <xf numFmtId="43" fontId="4" fillId="0" borderId="16" xfId="3" quotePrefix="1" applyFont="1" applyBorder="1" applyAlignment="1">
      <alignment horizontal="left" vertical="center"/>
    </xf>
    <xf numFmtId="43" fontId="15" fillId="0" borderId="17" xfId="3" quotePrefix="1" applyFont="1" applyBorder="1" applyAlignment="1">
      <alignment horizontal="right" vertical="center"/>
    </xf>
    <xf numFmtId="0" fontId="15" fillId="0" borderId="8" xfId="0" applyFont="1" applyBorder="1" applyAlignment="1">
      <alignment horizontal="left" vertical="top" wrapText="1"/>
    </xf>
    <xf numFmtId="43" fontId="4" fillId="0" borderId="1" xfId="3" quotePrefix="1" applyFont="1" applyBorder="1" applyAlignment="1">
      <alignment horizontal="left" vertical="top"/>
    </xf>
    <xf numFmtId="43" fontId="15" fillId="0" borderId="9" xfId="3" quotePrefix="1" applyFont="1" applyBorder="1" applyAlignment="1">
      <alignment horizontal="right" vertical="top"/>
    </xf>
    <xf numFmtId="0" fontId="21" fillId="0" borderId="8" xfId="0" applyFont="1" applyBorder="1"/>
    <xf numFmtId="0" fontId="4" fillId="0" borderId="1" xfId="0" applyFont="1" applyBorder="1" applyAlignment="1">
      <alignment horizontal="left" wrapText="1"/>
    </xf>
    <xf numFmtId="0" fontId="15" fillId="0" borderId="55" xfId="0" applyFont="1" applyBorder="1" applyAlignment="1"/>
    <xf numFmtId="43" fontId="15" fillId="0" borderId="63" xfId="3" applyFont="1" applyBorder="1" applyAlignment="1"/>
    <xf numFmtId="43" fontId="21" fillId="16" borderId="9" xfId="3" applyFont="1" applyFill="1" applyBorder="1" applyAlignment="1">
      <alignment horizontal="right"/>
    </xf>
    <xf numFmtId="0" fontId="15" fillId="0" borderId="8" xfId="0" applyFont="1" applyBorder="1" applyAlignment="1">
      <alignment horizontal="left"/>
    </xf>
    <xf numFmtId="0" fontId="21" fillId="16" borderId="1" xfId="0" applyFont="1" applyFill="1" applyBorder="1" applyAlignment="1">
      <alignment horizontal="center" wrapText="1"/>
    </xf>
    <xf numFmtId="0" fontId="21" fillId="16" borderId="1" xfId="0" applyFont="1" applyFill="1" applyBorder="1" applyAlignment="1">
      <alignment vertical="top" wrapText="1"/>
    </xf>
    <xf numFmtId="0" fontId="16" fillId="16" borderId="1" xfId="0" applyFont="1" applyFill="1" applyBorder="1" applyAlignment="1">
      <alignment wrapText="1"/>
    </xf>
    <xf numFmtId="0" fontId="15" fillId="0" borderId="1" xfId="0" applyFont="1" applyBorder="1" applyAlignment="1">
      <alignment horizontal="center" vertical="top"/>
    </xf>
    <xf numFmtId="0" fontId="15" fillId="16" borderId="1" xfId="0" applyFont="1" applyFill="1" applyBorder="1" applyAlignment="1">
      <alignment horizontal="center" wrapText="1"/>
    </xf>
    <xf numFmtId="0" fontId="4" fillId="16" borderId="1" xfId="0" applyFont="1" applyFill="1" applyBorder="1" applyAlignment="1">
      <alignment wrapText="1"/>
    </xf>
    <xf numFmtId="0" fontId="19" fillId="0" borderId="1" xfId="0" applyFont="1" applyBorder="1" applyAlignment="1">
      <alignment vertical="center"/>
    </xf>
    <xf numFmtId="43" fontId="19" fillId="0" borderId="9" xfId="3" applyFont="1" applyBorder="1" applyAlignment="1">
      <alignment horizontal="right" vertical="center"/>
    </xf>
    <xf numFmtId="0" fontId="19" fillId="0" borderId="1" xfId="0" applyFont="1" applyBorder="1"/>
    <xf numFmtId="0" fontId="19" fillId="0" borderId="1" xfId="0" applyFont="1" applyBorder="1" applyAlignment="1">
      <alignment horizontal="center" vertical="center"/>
    </xf>
    <xf numFmtId="0" fontId="15" fillId="0" borderId="13" xfId="0" applyFont="1" applyBorder="1" applyAlignment="1">
      <alignment horizontal="left"/>
    </xf>
    <xf numFmtId="0" fontId="19" fillId="0" borderId="14" xfId="0" applyFont="1" applyBorder="1"/>
    <xf numFmtId="0" fontId="19" fillId="0" borderId="14" xfId="0" applyFont="1" applyBorder="1" applyAlignment="1">
      <alignment horizontal="center" vertical="center"/>
    </xf>
    <xf numFmtId="0" fontId="4" fillId="0" borderId="14" xfId="0" applyFont="1" applyBorder="1" applyAlignment="1">
      <alignment horizontal="left" wrapText="1"/>
    </xf>
    <xf numFmtId="43" fontId="15" fillId="0" borderId="15" xfId="3" applyFont="1" applyBorder="1" applyAlignment="1">
      <alignment horizontal="right"/>
    </xf>
    <xf numFmtId="0" fontId="19" fillId="0" borderId="64" xfId="0" applyFont="1" applyBorder="1" applyAlignment="1">
      <alignment horizontal="center" vertical="center"/>
    </xf>
    <xf numFmtId="0" fontId="19" fillId="0" borderId="3" xfId="0" applyFont="1" applyBorder="1" applyAlignment="1">
      <alignment horizontal="center" vertical="center"/>
    </xf>
    <xf numFmtId="43" fontId="19" fillId="0" borderId="66" xfId="3" applyFont="1" applyBorder="1" applyAlignment="1">
      <alignment horizontal="center" vertical="center"/>
    </xf>
    <xf numFmtId="0" fontId="19" fillId="0" borderId="16" xfId="0" applyFont="1" applyBorder="1" applyAlignment="1">
      <alignment vertical="center"/>
    </xf>
    <xf numFmtId="0" fontId="21" fillId="0" borderId="16" xfId="0" applyFont="1" applyBorder="1" applyAlignment="1">
      <alignment vertical="center"/>
    </xf>
    <xf numFmtId="43" fontId="19" fillId="0" borderId="17" xfId="3" applyFont="1" applyBorder="1" applyAlignment="1">
      <alignment horizontal="right" vertical="center"/>
    </xf>
    <xf numFmtId="0" fontId="4" fillId="0" borderId="1" xfId="0" quotePrefix="1" applyFont="1" applyBorder="1" applyAlignment="1">
      <alignment horizontal="left" wrapText="1"/>
    </xf>
    <xf numFmtId="0" fontId="4" fillId="0" borderId="14" xfId="0" quotePrefix="1" applyFont="1" applyBorder="1" applyAlignment="1">
      <alignment horizontal="left" wrapText="1"/>
    </xf>
    <xf numFmtId="0" fontId="21" fillId="0" borderId="69" xfId="0" applyFont="1" applyBorder="1"/>
    <xf numFmtId="0" fontId="15" fillId="0" borderId="16" xfId="0" applyFont="1" applyBorder="1" applyAlignment="1">
      <alignment horizontal="center" wrapText="1"/>
    </xf>
    <xf numFmtId="0" fontId="4" fillId="0" borderId="14" xfId="0" quotePrefix="1" applyFont="1" applyBorder="1" applyAlignment="1">
      <alignment horizontal="left" vertical="center"/>
    </xf>
    <xf numFmtId="0" fontId="21" fillId="16" borderId="69" xfId="0" applyFont="1" applyFill="1" applyBorder="1"/>
    <xf numFmtId="0" fontId="21" fillId="16" borderId="16" xfId="0" applyFont="1" applyFill="1" applyBorder="1" applyAlignment="1">
      <alignment horizontal="center" vertical="center"/>
    </xf>
    <xf numFmtId="43" fontId="21" fillId="16" borderId="17" xfId="3" applyFont="1" applyFill="1" applyBorder="1" applyAlignment="1">
      <alignment horizontal="right"/>
    </xf>
    <xf numFmtId="0" fontId="4" fillId="0" borderId="1" xfId="0" applyFont="1" applyBorder="1" applyAlignment="1">
      <alignment wrapText="1"/>
    </xf>
    <xf numFmtId="43" fontId="4" fillId="0" borderId="9" xfId="3" quotePrefix="1" applyFont="1" applyBorder="1" applyAlignment="1">
      <alignment horizontal="right" wrapText="1"/>
    </xf>
    <xf numFmtId="0" fontId="4" fillId="0" borderId="9" xfId="0" quotePrefix="1" applyFont="1" applyBorder="1" applyAlignment="1">
      <alignment wrapText="1"/>
    </xf>
    <xf numFmtId="0" fontId="21" fillId="16" borderId="8" xfId="0" applyFont="1" applyFill="1" applyBorder="1"/>
    <xf numFmtId="0" fontId="21" fillId="0" borderId="64" xfId="0" applyFont="1" applyBorder="1" applyAlignment="1">
      <alignment horizontal="center"/>
    </xf>
    <xf numFmtId="43" fontId="21" fillId="0" borderId="66" xfId="3" applyFont="1" applyBorder="1" applyAlignment="1">
      <alignment horizontal="center"/>
    </xf>
    <xf numFmtId="43" fontId="4" fillId="0" borderId="9" xfId="3" quotePrefix="1" applyFont="1" applyBorder="1" applyAlignment="1">
      <alignment wrapText="1"/>
    </xf>
    <xf numFmtId="43" fontId="15" fillId="0" borderId="66" xfId="3" applyFont="1" applyBorder="1" applyAlignment="1">
      <alignment horizontal="right"/>
    </xf>
    <xf numFmtId="0" fontId="21" fillId="0" borderId="1" xfId="0" applyFont="1" applyBorder="1" applyAlignment="1">
      <alignment wrapText="1"/>
    </xf>
    <xf numFmtId="0" fontId="15" fillId="0" borderId="1" xfId="0" quotePrefix="1" applyFont="1" applyBorder="1" applyAlignment="1">
      <alignment wrapText="1"/>
    </xf>
    <xf numFmtId="43" fontId="15" fillId="0" borderId="9" xfId="3" quotePrefix="1" applyFont="1" applyBorder="1" applyAlignment="1">
      <alignment wrapText="1"/>
    </xf>
    <xf numFmtId="0" fontId="15" fillId="0" borderId="14" xfId="0" quotePrefix="1" applyFont="1" applyBorder="1" applyAlignment="1">
      <alignment wrapText="1"/>
    </xf>
    <xf numFmtId="43" fontId="15" fillId="0" borderId="15" xfId="3" quotePrefix="1" applyFont="1" applyBorder="1" applyAlignment="1">
      <alignment wrapText="1"/>
    </xf>
    <xf numFmtId="0" fontId="15" fillId="0" borderId="64" xfId="0" applyFont="1" applyBorder="1"/>
    <xf numFmtId="0" fontId="15" fillId="0" borderId="3" xfId="0" applyFont="1" applyBorder="1" applyAlignment="1">
      <alignment horizontal="center" wrapText="1"/>
    </xf>
    <xf numFmtId="0" fontId="15" fillId="0" borderId="3" xfId="0" applyFont="1" applyBorder="1" applyAlignment="1">
      <alignment vertical="top" wrapText="1"/>
    </xf>
    <xf numFmtId="0" fontId="15" fillId="0" borderId="3" xfId="0" applyFont="1" applyBorder="1" applyAlignment="1"/>
    <xf numFmtId="43" fontId="15" fillId="0" borderId="66" xfId="3" applyFont="1" applyBorder="1" applyAlignment="1"/>
    <xf numFmtId="0" fontId="21" fillId="0" borderId="16" xfId="0" applyFont="1" applyBorder="1" applyAlignment="1">
      <alignment wrapText="1"/>
    </xf>
    <xf numFmtId="43" fontId="21" fillId="0" borderId="17" xfId="3" applyFont="1" applyBorder="1" applyAlignment="1">
      <alignment horizontal="right"/>
    </xf>
    <xf numFmtId="0" fontId="15" fillId="0" borderId="1" xfId="0" quotePrefix="1" applyFont="1" applyBorder="1" applyAlignment="1"/>
    <xf numFmtId="43" fontId="15" fillId="0" borderId="9" xfId="3" quotePrefix="1" applyFont="1" applyBorder="1" applyAlignment="1"/>
    <xf numFmtId="0" fontId="15" fillId="0" borderId="1" xfId="0" applyFont="1" applyBorder="1" applyAlignment="1"/>
    <xf numFmtId="43" fontId="15" fillId="0" borderId="9" xfId="3" applyFont="1" applyBorder="1" applyAlignment="1"/>
    <xf numFmtId="0" fontId="15" fillId="0" borderId="14" xfId="0" quotePrefix="1" applyFont="1" applyBorder="1" applyAlignment="1"/>
    <xf numFmtId="43" fontId="15" fillId="0" borderId="15" xfId="3" applyFont="1" applyBorder="1" applyAlignment="1"/>
    <xf numFmtId="0" fontId="16" fillId="16" borderId="1" xfId="0" quotePrefix="1" applyFont="1" applyFill="1" applyBorder="1" applyAlignment="1">
      <alignment wrapText="1"/>
    </xf>
    <xf numFmtId="0" fontId="16" fillId="0" borderId="1" xfId="0" quotePrefix="1" applyFont="1" applyBorder="1" applyAlignment="1">
      <alignment wrapText="1"/>
    </xf>
    <xf numFmtId="0" fontId="15" fillId="0" borderId="0" xfId="0" applyFont="1" applyBorder="1" applyAlignment="1">
      <alignment vertical="center" wrapText="1"/>
    </xf>
    <xf numFmtId="0" fontId="21" fillId="16" borderId="1" xfId="0" applyFont="1" applyFill="1" applyBorder="1" applyAlignment="1">
      <alignment horizontal="center" vertical="center" wrapText="1"/>
    </xf>
    <xf numFmtId="0" fontId="16" fillId="16" borderId="1" xfId="0" quotePrefix="1" applyFont="1" applyFill="1" applyBorder="1" applyAlignment="1">
      <alignment vertical="center" wrapText="1"/>
    </xf>
    <xf numFmtId="0" fontId="16" fillId="0" borderId="1" xfId="0" quotePrefix="1" applyFont="1" applyBorder="1" applyAlignment="1">
      <alignment vertical="center" wrapText="1"/>
    </xf>
    <xf numFmtId="0" fontId="15" fillId="0" borderId="10" xfId="0" applyFont="1" applyBorder="1" applyAlignment="1">
      <alignment vertical="center"/>
    </xf>
    <xf numFmtId="0" fontId="15" fillId="0" borderId="11" xfId="0" applyFont="1" applyBorder="1" applyAlignment="1">
      <alignment horizontal="center" vertical="center" wrapText="1"/>
    </xf>
    <xf numFmtId="0" fontId="15" fillId="0" borderId="11" xfId="0" applyFont="1" applyBorder="1" applyAlignment="1">
      <alignment vertical="center" wrapText="1"/>
    </xf>
    <xf numFmtId="0" fontId="15" fillId="0" borderId="11" xfId="0" applyFont="1" applyBorder="1" applyAlignment="1">
      <alignment horizontal="center" vertical="center"/>
    </xf>
    <xf numFmtId="0" fontId="4" fillId="0" borderId="11" xfId="0" quotePrefix="1" applyFont="1" applyBorder="1" applyAlignment="1">
      <alignment vertical="center" wrapText="1"/>
    </xf>
    <xf numFmtId="43" fontId="15" fillId="0" borderId="12" xfId="3" applyFont="1" applyBorder="1" applyAlignment="1">
      <alignment horizontal="right" vertical="center"/>
    </xf>
    <xf numFmtId="0" fontId="15" fillId="0" borderId="0" xfId="0" applyFont="1" applyFill="1" applyBorder="1" applyAlignment="1">
      <alignment vertical="top" wrapText="1"/>
    </xf>
    <xf numFmtId="0" fontId="15" fillId="0" borderId="0" xfId="0" applyFont="1" applyBorder="1" applyAlignment="1">
      <alignment vertical="top" wrapText="1"/>
    </xf>
    <xf numFmtId="0" fontId="4" fillId="0" borderId="0" xfId="0" applyFont="1" applyBorder="1" applyAlignment="1">
      <alignment wrapText="1"/>
    </xf>
    <xf numFmtId="43" fontId="15" fillId="0" borderId="0" xfId="3" applyFont="1" applyBorder="1" applyAlignment="1">
      <alignment horizontal="right"/>
    </xf>
    <xf numFmtId="0" fontId="27" fillId="0" borderId="2" xfId="0" applyFont="1" applyBorder="1" applyAlignment="1">
      <alignment horizontal="left" vertical="center"/>
    </xf>
    <xf numFmtId="0" fontId="27" fillId="0" borderId="3" xfId="0" applyFont="1" applyBorder="1" applyAlignment="1">
      <alignment horizontal="center" vertical="center"/>
    </xf>
    <xf numFmtId="0" fontId="27" fillId="0" borderId="3" xfId="0" applyFont="1" applyBorder="1" applyAlignment="1">
      <alignment horizontal="center" vertical="center" wrapText="1"/>
    </xf>
    <xf numFmtId="0" fontId="27" fillId="0" borderId="3" xfId="0" applyFont="1" applyFill="1" applyBorder="1" applyAlignment="1">
      <alignment horizontal="center" vertical="center"/>
    </xf>
    <xf numFmtId="0" fontId="28" fillId="0" borderId="3" xfId="0" applyFont="1" applyBorder="1" applyAlignment="1">
      <alignment vertical="top"/>
    </xf>
    <xf numFmtId="0" fontId="15" fillId="0" borderId="3" xfId="0" applyFont="1" applyFill="1" applyBorder="1" applyAlignment="1">
      <alignment horizontal="center"/>
    </xf>
    <xf numFmtId="0" fontId="15" fillId="0" borderId="4" xfId="0" applyFont="1" applyFill="1" applyBorder="1" applyAlignment="1">
      <alignment horizontal="center"/>
    </xf>
    <xf numFmtId="0" fontId="21" fillId="0" borderId="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16" xfId="0" applyFont="1" applyFill="1" applyBorder="1" applyAlignment="1">
      <alignment horizontal="center"/>
    </xf>
    <xf numFmtId="0" fontId="15" fillId="0" borderId="1" xfId="0" applyFont="1" applyFill="1" applyBorder="1" applyAlignment="1">
      <alignment horizontal="center"/>
    </xf>
    <xf numFmtId="0" fontId="19" fillId="9" borderId="23" xfId="0" applyFont="1" applyFill="1" applyBorder="1"/>
    <xf numFmtId="0" fontId="4" fillId="0" borderId="3" xfId="0" applyFont="1" applyFill="1" applyBorder="1" applyAlignment="1">
      <alignment horizontal="center" vertical="top" wrapText="1"/>
    </xf>
    <xf numFmtId="0" fontId="4" fillId="0" borderId="3" xfId="0" applyFont="1" applyFill="1" applyBorder="1" applyAlignment="1">
      <alignment horizontal="left" vertical="top" wrapText="1"/>
    </xf>
    <xf numFmtId="0" fontId="4" fillId="0" borderId="58" xfId="0" applyFont="1" applyFill="1" applyBorder="1" applyAlignment="1">
      <alignment horizontal="center" vertical="top" wrapText="1"/>
    </xf>
    <xf numFmtId="0" fontId="16" fillId="0" borderId="49" xfId="0" applyFont="1" applyFill="1" applyBorder="1" applyAlignment="1">
      <alignment horizontal="center" vertical="top" wrapText="1"/>
    </xf>
    <xf numFmtId="0" fontId="16" fillId="0" borderId="0" xfId="0" applyFont="1" applyFill="1" applyBorder="1" applyAlignment="1">
      <alignment horizontal="center" vertical="top" wrapText="1"/>
    </xf>
    <xf numFmtId="0" fontId="4" fillId="0" borderId="1" xfId="2" applyFont="1" applyFill="1" applyBorder="1" applyAlignment="1">
      <alignment horizontal="left" vertical="top" wrapText="1"/>
    </xf>
    <xf numFmtId="0" fontId="16" fillId="0" borderId="52" xfId="0" applyFont="1" applyFill="1" applyBorder="1" applyAlignment="1">
      <alignment horizontal="center" vertical="top" wrapText="1"/>
    </xf>
    <xf numFmtId="0" fontId="4" fillId="0" borderId="1" xfId="2" applyFont="1" applyFill="1" applyBorder="1" applyAlignment="1">
      <alignment horizontal="justify" vertical="top" wrapText="1"/>
    </xf>
    <xf numFmtId="0" fontId="4" fillId="0" borderId="52"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1" xfId="0" quotePrefix="1" applyFont="1" applyFill="1" applyBorder="1" applyAlignment="1">
      <alignment vertical="top" wrapText="1"/>
    </xf>
    <xf numFmtId="0" fontId="4" fillId="0" borderId="29" xfId="0" applyFont="1" applyFill="1" applyBorder="1" applyAlignment="1">
      <alignment vertical="top" wrapText="1"/>
    </xf>
    <xf numFmtId="0" fontId="4" fillId="0" borderId="0" xfId="2" applyFont="1" applyFill="1" applyBorder="1" applyAlignment="1">
      <alignment horizontal="center" vertical="top" wrapText="1"/>
    </xf>
    <xf numFmtId="0" fontId="4" fillId="0" borderId="0" xfId="0" applyFont="1" applyFill="1" applyBorder="1" applyAlignment="1">
      <alignment vertical="top" wrapText="1"/>
    </xf>
    <xf numFmtId="0" fontId="37" fillId="0" borderId="0" xfId="0" applyFont="1" applyFill="1" applyBorder="1" applyAlignment="1">
      <alignment vertical="top" wrapText="1"/>
    </xf>
    <xf numFmtId="0" fontId="16" fillId="0" borderId="11" xfId="0" applyFont="1" applyFill="1" applyBorder="1" applyAlignment="1">
      <alignment horizontal="center" vertical="top" wrapText="1"/>
    </xf>
    <xf numFmtId="0" fontId="4" fillId="0" borderId="41" xfId="0" applyFont="1" applyFill="1" applyBorder="1" applyAlignment="1">
      <alignment horizontal="center" vertical="top" wrapText="1"/>
    </xf>
    <xf numFmtId="0" fontId="4" fillId="0" borderId="59" xfId="0" applyFont="1" applyFill="1" applyBorder="1" applyAlignment="1">
      <alignment horizontal="center" vertical="top" wrapText="1"/>
    </xf>
    <xf numFmtId="0" fontId="16" fillId="0" borderId="58" xfId="0" applyFont="1" applyFill="1" applyBorder="1" applyAlignment="1">
      <alignment horizontal="center" vertical="top" wrapText="1"/>
    </xf>
    <xf numFmtId="0" fontId="16" fillId="0" borderId="6" xfId="0" applyFont="1" applyFill="1" applyBorder="1" applyAlignment="1">
      <alignment vertical="top" wrapText="1"/>
    </xf>
    <xf numFmtId="0" fontId="4" fillId="0" borderId="11" xfId="0" applyFont="1" applyFill="1" applyBorder="1" applyAlignment="1">
      <alignment vertical="top" wrapText="1"/>
    </xf>
    <xf numFmtId="0" fontId="16" fillId="0" borderId="11" xfId="0" applyFont="1" applyFill="1" applyBorder="1" applyAlignment="1">
      <alignment vertical="top" wrapText="1"/>
    </xf>
    <xf numFmtId="0" fontId="4" fillId="0" borderId="14" xfId="0" applyFont="1" applyFill="1" applyBorder="1" applyAlignment="1">
      <alignment vertical="top" wrapText="1"/>
    </xf>
    <xf numFmtId="0" fontId="4" fillId="0" borderId="16" xfId="0" applyFont="1" applyFill="1" applyBorder="1" applyAlignment="1">
      <alignment vertical="top" wrapText="1"/>
    </xf>
    <xf numFmtId="0" fontId="4" fillId="0" borderId="29" xfId="0" applyFont="1" applyFill="1" applyBorder="1" applyAlignment="1">
      <alignment horizontal="left" vertical="top" wrapText="1"/>
    </xf>
    <xf numFmtId="0" fontId="16" fillId="0" borderId="6" xfId="0" applyFont="1" applyFill="1" applyBorder="1" applyAlignment="1">
      <alignment horizontal="center" vertical="top" wrapText="1"/>
    </xf>
    <xf numFmtId="0" fontId="4" fillId="0" borderId="26" xfId="0" applyFont="1" applyFill="1" applyBorder="1" applyAlignment="1">
      <alignment vertical="top" wrapText="1"/>
    </xf>
    <xf numFmtId="0" fontId="4" fillId="0" borderId="29" xfId="0"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14" xfId="0" applyFont="1" applyFill="1" applyBorder="1" applyAlignment="1">
      <alignment horizontal="center" vertical="top" wrapText="1"/>
    </xf>
    <xf numFmtId="0" fontId="16" fillId="0" borderId="29"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9" fillId="0" borderId="29" xfId="0" applyFont="1" applyFill="1" applyBorder="1" applyAlignment="1">
      <alignment vertical="top" wrapText="1"/>
    </xf>
    <xf numFmtId="0" fontId="4" fillId="0" borderId="0" xfId="0" applyFont="1" applyFill="1" applyAlignment="1">
      <alignment vertical="top" wrapText="1"/>
    </xf>
    <xf numFmtId="43" fontId="4" fillId="0" borderId="3" xfId="3"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4" xfId="0" applyFont="1" applyFill="1" applyBorder="1" applyAlignment="1">
      <alignment horizontal="center" vertical="top" wrapText="1"/>
    </xf>
    <xf numFmtId="43" fontId="16" fillId="0" borderId="2" xfId="3" applyFont="1" applyFill="1" applyBorder="1" applyAlignment="1">
      <alignment horizontal="center" vertical="top" wrapText="1"/>
    </xf>
    <xf numFmtId="43" fontId="4" fillId="0" borderId="21" xfId="3" applyFont="1" applyFill="1" applyBorder="1" applyAlignment="1">
      <alignment horizontal="center" vertical="top" wrapText="1"/>
    </xf>
    <xf numFmtId="43" fontId="4" fillId="0" borderId="22" xfId="3" applyFont="1" applyFill="1" applyBorder="1" applyAlignment="1">
      <alignment horizontal="center" vertical="top" wrapText="1"/>
    </xf>
    <xf numFmtId="10" fontId="4" fillId="0" borderId="21" xfId="1" applyNumberFormat="1" applyFont="1" applyFill="1" applyBorder="1" applyAlignment="1">
      <alignment horizontal="center" vertical="top" wrapText="1"/>
    </xf>
    <xf numFmtId="43" fontId="4" fillId="0" borderId="42" xfId="3" applyFont="1" applyFill="1" applyBorder="1" applyAlignment="1">
      <alignment horizontal="center" vertical="top" wrapText="1"/>
    </xf>
    <xf numFmtId="43" fontId="4" fillId="0" borderId="43" xfId="3" applyFont="1" applyFill="1" applyBorder="1" applyAlignment="1">
      <alignment horizontal="center" vertical="top" wrapText="1"/>
    </xf>
    <xf numFmtId="43" fontId="4" fillId="0" borderId="23" xfId="3" applyFont="1" applyFill="1" applyBorder="1" applyAlignment="1">
      <alignment horizontal="center" vertical="top" wrapText="1"/>
    </xf>
    <xf numFmtId="43" fontId="4" fillId="0" borderId="24" xfId="3" applyFont="1" applyFill="1" applyBorder="1" applyAlignment="1">
      <alignment horizontal="center" vertical="top" wrapText="1"/>
    </xf>
    <xf numFmtId="43" fontId="4" fillId="0" borderId="58" xfId="3" applyFont="1" applyFill="1" applyBorder="1" applyAlignment="1">
      <alignment horizontal="center" vertical="top" wrapText="1"/>
    </xf>
    <xf numFmtId="43" fontId="16" fillId="0" borderId="49" xfId="3" applyFont="1" applyFill="1" applyBorder="1" applyAlignment="1">
      <alignment horizontal="center" vertical="top" wrapText="1"/>
    </xf>
    <xf numFmtId="43" fontId="16" fillId="0" borderId="0" xfId="3" applyFont="1" applyFill="1" applyBorder="1" applyAlignment="1">
      <alignment horizontal="center" vertical="top" wrapText="1"/>
    </xf>
    <xf numFmtId="0" fontId="4" fillId="0" borderId="6" xfId="0" applyFont="1" applyFill="1" applyBorder="1" applyAlignment="1">
      <alignment horizontal="center" vertical="top" wrapText="1"/>
    </xf>
    <xf numFmtId="0" fontId="16" fillId="0" borderId="6" xfId="2" applyFont="1" applyFill="1" applyBorder="1" applyAlignment="1">
      <alignment horizontal="center" vertical="top" wrapText="1"/>
    </xf>
    <xf numFmtId="43" fontId="16" fillId="0" borderId="6" xfId="3" applyFont="1" applyFill="1" applyBorder="1" applyAlignment="1">
      <alignment horizontal="center" vertical="top" wrapText="1"/>
    </xf>
    <xf numFmtId="43" fontId="16" fillId="0" borderId="36" xfId="3" applyFont="1" applyFill="1" applyBorder="1" applyAlignment="1">
      <alignment horizontal="center" vertical="top" wrapText="1"/>
    </xf>
    <xf numFmtId="43" fontId="16" fillId="0" borderId="38" xfId="3" applyFont="1" applyFill="1" applyBorder="1" applyAlignment="1">
      <alignment horizontal="center" vertical="top" wrapText="1"/>
    </xf>
    <xf numFmtId="43" fontId="16" fillId="0" borderId="1" xfId="3" applyFont="1" applyFill="1" applyBorder="1" applyAlignment="1">
      <alignment horizontal="center" vertical="top" wrapText="1"/>
    </xf>
    <xf numFmtId="0" fontId="4" fillId="0" borderId="1" xfId="2" applyNumberFormat="1" applyFont="1" applyFill="1" applyBorder="1" applyAlignment="1">
      <alignment horizontal="center" vertical="top" wrapText="1"/>
    </xf>
    <xf numFmtId="43" fontId="16" fillId="0" borderId="1" xfId="3" applyFont="1" applyFill="1" applyBorder="1" applyAlignment="1">
      <alignment horizontal="right" vertical="top" wrapText="1"/>
    </xf>
    <xf numFmtId="43" fontId="16" fillId="0" borderId="37" xfId="3" applyFont="1" applyFill="1" applyBorder="1" applyAlignment="1">
      <alignment vertical="top" wrapText="1"/>
    </xf>
    <xf numFmtId="43" fontId="16" fillId="0" borderId="37" xfId="3" applyFont="1" applyFill="1" applyBorder="1" applyAlignment="1">
      <alignment horizontal="center" vertical="top" wrapText="1"/>
    </xf>
    <xf numFmtId="43" fontId="16" fillId="0" borderId="52" xfId="3" applyFont="1" applyFill="1" applyBorder="1" applyAlignment="1">
      <alignment horizontal="center" vertical="top" wrapText="1"/>
    </xf>
    <xf numFmtId="43" fontId="4" fillId="0" borderId="1" xfId="3" applyFont="1" applyFill="1" applyBorder="1" applyAlignment="1">
      <alignment horizontal="center" vertical="top" wrapText="1"/>
    </xf>
    <xf numFmtId="43" fontId="16" fillId="0" borderId="11" xfId="3" applyFont="1" applyFill="1" applyBorder="1" applyAlignment="1">
      <alignment horizontal="right" vertical="top" wrapText="1"/>
    </xf>
    <xf numFmtId="43" fontId="4" fillId="0" borderId="52" xfId="3" applyFont="1" applyFill="1" applyBorder="1" applyAlignment="1">
      <alignment horizontal="center" vertical="top" wrapText="1"/>
    </xf>
    <xf numFmtId="43" fontId="16" fillId="0" borderId="1" xfId="3" applyFont="1" applyFill="1" applyBorder="1" applyAlignment="1">
      <alignment vertical="top" wrapText="1"/>
    </xf>
    <xf numFmtId="43" fontId="16" fillId="0" borderId="11" xfId="3" applyFont="1" applyFill="1" applyBorder="1" applyAlignment="1">
      <alignment vertical="top" wrapText="1"/>
    </xf>
    <xf numFmtId="0" fontId="26" fillId="0" borderId="1" xfId="0" applyNumberFormat="1" applyFont="1" applyFill="1" applyBorder="1" applyAlignment="1">
      <alignment horizontal="left" vertical="top" wrapText="1"/>
    </xf>
    <xf numFmtId="0" fontId="4" fillId="0" borderId="1" xfId="2" applyNumberFormat="1" applyFont="1" applyFill="1" applyBorder="1" applyAlignment="1">
      <alignment horizontal="right" vertical="top" wrapText="1"/>
    </xf>
    <xf numFmtId="0" fontId="4" fillId="0" borderId="1" xfId="0" applyNumberFormat="1" applyFont="1" applyFill="1" applyBorder="1" applyAlignment="1">
      <alignment horizontal="right" vertical="top" wrapText="1"/>
    </xf>
    <xf numFmtId="165" fontId="4" fillId="0" borderId="1" xfId="3" applyNumberFormat="1" applyFont="1" applyFill="1" applyBorder="1" applyAlignment="1">
      <alignment horizontal="center" vertical="top" wrapText="1"/>
    </xf>
    <xf numFmtId="43" fontId="4" fillId="0" borderId="0" xfId="3" applyFont="1" applyFill="1" applyBorder="1" applyAlignment="1">
      <alignment horizontal="center" vertical="top" wrapText="1"/>
    </xf>
    <xf numFmtId="43" fontId="4" fillId="0" borderId="29" xfId="3" applyFont="1" applyFill="1" applyBorder="1" applyAlignment="1">
      <alignment vertical="top" wrapText="1"/>
    </xf>
    <xf numFmtId="0" fontId="36" fillId="0" borderId="1" xfId="2" applyNumberFormat="1" applyFont="1" applyFill="1" applyBorder="1" applyAlignment="1">
      <alignment horizontal="center" vertical="top" wrapText="1"/>
    </xf>
    <xf numFmtId="0" fontId="16" fillId="0" borderId="23" xfId="0" applyFont="1" applyFill="1" applyBorder="1" applyAlignment="1">
      <alignment horizontal="left" vertical="top" wrapText="1"/>
    </xf>
    <xf numFmtId="0" fontId="4" fillId="0" borderId="6" xfId="2" applyNumberFormat="1" applyFont="1" applyFill="1" applyBorder="1" applyAlignment="1">
      <alignment horizontal="center" vertical="top" wrapText="1"/>
    </xf>
    <xf numFmtId="43" fontId="4" fillId="0" borderId="0" xfId="3" applyFont="1" applyFill="1" applyBorder="1" applyAlignment="1">
      <alignment vertical="top" wrapText="1"/>
    </xf>
    <xf numFmtId="0" fontId="16" fillId="0" borderId="38" xfId="0" applyFont="1" applyFill="1" applyBorder="1" applyAlignment="1">
      <alignment horizontal="center" vertical="top" wrapText="1"/>
    </xf>
    <xf numFmtId="0" fontId="16" fillId="0" borderId="4" xfId="0" applyFont="1" applyFill="1" applyBorder="1" applyAlignment="1">
      <alignment horizontal="center" vertical="top" wrapText="1"/>
    </xf>
    <xf numFmtId="0" fontId="4" fillId="0" borderId="4" xfId="2" applyFont="1" applyFill="1" applyBorder="1" applyAlignment="1">
      <alignment horizontal="center" vertical="top" wrapText="1"/>
    </xf>
    <xf numFmtId="0" fontId="4" fillId="0" borderId="22" xfId="2" applyFont="1" applyFill="1" applyBorder="1" applyAlignment="1">
      <alignment horizontal="center" vertical="top" wrapText="1"/>
    </xf>
    <xf numFmtId="0" fontId="4" fillId="0" borderId="14" xfId="0" applyFont="1" applyFill="1" applyBorder="1" applyAlignment="1">
      <alignment horizontal="center" vertical="top" wrapText="1"/>
    </xf>
    <xf numFmtId="0" fontId="4" fillId="0" borderId="14" xfId="2" applyFont="1" applyFill="1" applyBorder="1" applyAlignment="1">
      <alignment horizontal="center" vertical="top" wrapText="1"/>
    </xf>
    <xf numFmtId="43" fontId="4" fillId="0" borderId="14" xfId="3" applyFont="1" applyFill="1" applyBorder="1" applyAlignment="1">
      <alignment vertical="top" wrapText="1"/>
    </xf>
    <xf numFmtId="0" fontId="4" fillId="0" borderId="14" xfId="2" applyNumberFormat="1" applyFont="1" applyFill="1" applyBorder="1" applyAlignment="1">
      <alignment horizontal="center" vertical="top" wrapText="1"/>
    </xf>
    <xf numFmtId="43" fontId="4" fillId="0" borderId="14" xfId="3" applyFont="1" applyFill="1" applyBorder="1" applyAlignment="1">
      <alignment horizontal="center" vertical="top" wrapText="1"/>
    </xf>
    <xf numFmtId="0" fontId="20" fillId="0" borderId="5" xfId="0" applyFont="1" applyFill="1" applyBorder="1" applyAlignment="1">
      <alignment vertical="top" wrapText="1"/>
    </xf>
    <xf numFmtId="43" fontId="16" fillId="0" borderId="11" xfId="3" applyFont="1" applyFill="1" applyBorder="1" applyAlignment="1">
      <alignment horizontal="center" vertical="top" wrapText="1"/>
    </xf>
    <xf numFmtId="43" fontId="4" fillId="0" borderId="41" xfId="3" applyFont="1" applyFill="1" applyBorder="1" applyAlignment="1">
      <alignment horizontal="center" vertical="top" wrapText="1"/>
    </xf>
    <xf numFmtId="0" fontId="19" fillId="0" borderId="0" xfId="0" applyFont="1" applyFill="1" applyAlignment="1">
      <alignment vertical="top" wrapText="1"/>
    </xf>
    <xf numFmtId="43" fontId="4" fillId="0" borderId="59" xfId="3" applyFont="1" applyFill="1" applyBorder="1" applyAlignment="1">
      <alignment horizontal="center" vertical="top" wrapText="1"/>
    </xf>
    <xf numFmtId="43" fontId="16" fillId="0" borderId="58" xfId="3" applyFont="1" applyFill="1" applyBorder="1" applyAlignment="1">
      <alignment horizontal="center" vertical="top" wrapText="1"/>
    </xf>
    <xf numFmtId="43" fontId="16" fillId="0" borderId="58" xfId="3" applyFont="1" applyFill="1" applyBorder="1" applyAlignment="1">
      <alignment horizontal="right" vertical="top" wrapText="1"/>
    </xf>
    <xf numFmtId="43" fontId="4" fillId="0" borderId="1" xfId="3" applyNumberFormat="1" applyFont="1" applyFill="1" applyBorder="1" applyAlignment="1">
      <alignment horizontal="right" vertical="top" wrapText="1"/>
    </xf>
    <xf numFmtId="0" fontId="4" fillId="0" borderId="11" xfId="0" applyFont="1" applyFill="1" applyBorder="1" applyAlignment="1">
      <alignment horizontal="center" vertical="top" wrapText="1"/>
    </xf>
    <xf numFmtId="43" fontId="4" fillId="0" borderId="11" xfId="3" applyFont="1" applyFill="1" applyBorder="1" applyAlignment="1">
      <alignment vertical="top" wrapText="1"/>
    </xf>
    <xf numFmtId="43" fontId="16" fillId="0" borderId="6" xfId="3" applyFont="1" applyFill="1" applyBorder="1" applyAlignment="1">
      <alignment horizontal="left" vertical="top" wrapText="1"/>
    </xf>
    <xf numFmtId="43" fontId="16" fillId="0" borderId="1" xfId="3" applyFont="1" applyFill="1" applyBorder="1" applyAlignment="1">
      <alignment horizontal="left" vertical="top" wrapText="1"/>
    </xf>
    <xf numFmtId="0" fontId="4" fillId="0" borderId="6" xfId="0" applyFont="1" applyFill="1" applyBorder="1" applyAlignment="1">
      <alignment vertical="top" wrapText="1"/>
    </xf>
    <xf numFmtId="0" fontId="4" fillId="0" borderId="16" xfId="0" applyFont="1" applyFill="1" applyBorder="1" applyAlignment="1">
      <alignment horizontal="center" vertical="top" wrapText="1"/>
    </xf>
    <xf numFmtId="43" fontId="4" fillId="0" borderId="16" xfId="3" applyFont="1" applyFill="1" applyBorder="1" applyAlignment="1">
      <alignment vertical="top" wrapText="1"/>
    </xf>
    <xf numFmtId="43" fontId="16" fillId="0" borderId="6" xfId="3" applyFont="1" applyFill="1" applyBorder="1" applyAlignment="1">
      <alignment vertical="top" wrapText="1"/>
    </xf>
    <xf numFmtId="0" fontId="4" fillId="0" borderId="26" xfId="0" applyFont="1" applyFill="1" applyBorder="1" applyAlignment="1">
      <alignment horizontal="center" vertical="top" wrapText="1"/>
    </xf>
    <xf numFmtId="43" fontId="4" fillId="0" borderId="26" xfId="3" applyFont="1" applyFill="1" applyBorder="1" applyAlignment="1">
      <alignment vertical="top" wrapText="1"/>
    </xf>
    <xf numFmtId="0" fontId="4" fillId="0" borderId="43" xfId="0" applyFont="1" applyFill="1" applyBorder="1" applyAlignment="1">
      <alignment horizontal="center" vertical="top" wrapText="1"/>
    </xf>
    <xf numFmtId="43" fontId="4" fillId="0" borderId="29" xfId="3" applyFont="1" applyFill="1" applyBorder="1" applyAlignment="1">
      <alignment horizontal="center" vertical="top" wrapText="1"/>
    </xf>
    <xf numFmtId="43" fontId="16" fillId="0" borderId="14" xfId="3" applyFont="1" applyFill="1" applyBorder="1" applyAlignment="1">
      <alignment horizontal="center" vertical="top" wrapText="1"/>
    </xf>
    <xf numFmtId="43" fontId="16" fillId="0" borderId="14" xfId="3" applyFont="1" applyFill="1" applyBorder="1" applyAlignment="1">
      <alignment horizontal="right" vertical="top" wrapText="1"/>
    </xf>
    <xf numFmtId="43" fontId="16" fillId="0" borderId="29" xfId="3" applyFont="1" applyFill="1" applyBorder="1" applyAlignment="1">
      <alignment horizontal="center" vertical="top" wrapText="1"/>
    </xf>
    <xf numFmtId="43" fontId="16" fillId="0" borderId="29" xfId="3" applyFont="1" applyFill="1" applyBorder="1" applyAlignment="1">
      <alignment horizontal="right" vertical="top" wrapText="1"/>
    </xf>
    <xf numFmtId="0" fontId="16" fillId="0" borderId="6" xfId="0" quotePrefix="1" applyFont="1" applyFill="1" applyBorder="1" applyAlignment="1">
      <alignment horizontal="center" vertical="top" wrapText="1"/>
    </xf>
    <xf numFmtId="43" fontId="16" fillId="0" borderId="16" xfId="3" applyFont="1" applyFill="1" applyBorder="1" applyAlignment="1">
      <alignment horizontal="center" vertical="top" wrapText="1"/>
    </xf>
    <xf numFmtId="43" fontId="16" fillId="0" borderId="16" xfId="3" applyFont="1" applyFill="1" applyBorder="1" applyAlignment="1">
      <alignment horizontal="right" vertical="top" wrapText="1"/>
    </xf>
    <xf numFmtId="0" fontId="19" fillId="0" borderId="29" xfId="0" applyFont="1" applyFill="1" applyBorder="1" applyAlignment="1">
      <alignment horizontal="center" vertical="top" wrapText="1"/>
    </xf>
    <xf numFmtId="43" fontId="19" fillId="0" borderId="29" xfId="3" applyFont="1" applyFill="1" applyBorder="1" applyAlignment="1">
      <alignment vertical="top" wrapText="1"/>
    </xf>
    <xf numFmtId="0" fontId="4" fillId="0" borderId="0" xfId="0" applyFont="1" applyFill="1" applyAlignment="1">
      <alignment horizontal="center" vertical="top" wrapText="1"/>
    </xf>
    <xf numFmtId="43" fontId="4" fillId="0" borderId="0" xfId="3" applyFont="1" applyFill="1" applyAlignment="1">
      <alignment vertical="top" wrapText="1"/>
    </xf>
    <xf numFmtId="0" fontId="0" fillId="0" borderId="0" xfId="0"/>
    <xf numFmtId="0" fontId="21" fillId="0" borderId="1" xfId="0" applyFont="1" applyFill="1" applyBorder="1" applyAlignment="1">
      <alignment horizontal="center" vertical="top"/>
    </xf>
    <xf numFmtId="43" fontId="21" fillId="0" borderId="1" xfId="3" applyFont="1" applyFill="1" applyBorder="1" applyAlignment="1">
      <alignment horizontal="right" vertical="center"/>
    </xf>
    <xf numFmtId="0" fontId="15" fillId="0" borderId="1" xfId="0" applyFont="1" applyFill="1" applyBorder="1" applyAlignment="1">
      <alignment horizontal="right" vertical="center"/>
    </xf>
    <xf numFmtId="0" fontId="21" fillId="0" borderId="0" xfId="0" applyFont="1" applyFill="1" applyBorder="1" applyAlignment="1">
      <alignment vertical="top"/>
    </xf>
    <xf numFmtId="0" fontId="15" fillId="0" borderId="2" xfId="0" applyFont="1" applyFill="1" applyBorder="1" applyAlignment="1">
      <alignment horizontal="left"/>
    </xf>
    <xf numFmtId="0" fontId="15" fillId="0" borderId="0" xfId="0" applyFont="1" applyFill="1" applyBorder="1" applyAlignment="1"/>
    <xf numFmtId="0" fontId="21" fillId="0" borderId="1" xfId="0" applyFont="1" applyFill="1" applyBorder="1" applyAlignment="1">
      <alignment horizontal="left"/>
    </xf>
    <xf numFmtId="0" fontId="15" fillId="0" borderId="1" xfId="0" applyFont="1" applyFill="1" applyBorder="1" applyAlignment="1">
      <alignment horizontal="center" wrapText="1"/>
    </xf>
    <xf numFmtId="0" fontId="15" fillId="0" borderId="1" xfId="0" applyFont="1" applyFill="1" applyBorder="1" applyAlignment="1">
      <alignment horizontal="center" vertical="center"/>
    </xf>
    <xf numFmtId="43" fontId="15" fillId="0" borderId="1" xfId="0" applyNumberFormat="1" applyFont="1" applyFill="1" applyBorder="1" applyAlignment="1">
      <alignment horizontal="right" vertical="center"/>
    </xf>
    <xf numFmtId="0" fontId="15" fillId="0" borderId="2" xfId="0" applyFont="1" applyFill="1" applyBorder="1" applyAlignment="1">
      <alignment horizontal="left" vertical="top"/>
    </xf>
    <xf numFmtId="0" fontId="15" fillId="0" borderId="3" xfId="0" applyFont="1" applyFill="1" applyBorder="1" applyAlignment="1">
      <alignment horizontal="center" vertical="top"/>
    </xf>
    <xf numFmtId="0" fontId="15" fillId="0" borderId="4" xfId="0" applyFont="1" applyFill="1" applyBorder="1" applyAlignment="1">
      <alignment horizontal="center" vertical="top"/>
    </xf>
    <xf numFmtId="0" fontId="15" fillId="0" borderId="0" xfId="0" applyFont="1" applyFill="1" applyBorder="1" applyAlignment="1">
      <alignment vertical="top"/>
    </xf>
    <xf numFmtId="0" fontId="21" fillId="0" borderId="1" xfId="0" applyFont="1" applyFill="1" applyBorder="1" applyAlignment="1">
      <alignment horizontal="left" vertical="top" wrapText="1"/>
    </xf>
    <xf numFmtId="0" fontId="21" fillId="0" borderId="14" xfId="0" applyFont="1" applyFill="1" applyBorder="1" applyAlignment="1">
      <alignment horizontal="left" vertical="center"/>
    </xf>
    <xf numFmtId="0" fontId="21" fillId="0" borderId="14" xfId="0" applyFont="1" applyFill="1" applyBorder="1" applyAlignment="1">
      <alignment horizontal="center" vertical="top"/>
    </xf>
    <xf numFmtId="43" fontId="21" fillId="0" borderId="14" xfId="0" applyNumberFormat="1" applyFont="1" applyFill="1" applyBorder="1" applyAlignment="1">
      <alignment horizontal="right"/>
    </xf>
    <xf numFmtId="0" fontId="15" fillId="0" borderId="14" xfId="0" applyFont="1" applyFill="1" applyBorder="1" applyAlignment="1">
      <alignment horizontal="right"/>
    </xf>
    <xf numFmtId="0" fontId="15" fillId="0" borderId="3" xfId="0" applyFont="1" applyFill="1" applyBorder="1" applyAlignment="1">
      <alignment horizontal="right"/>
    </xf>
    <xf numFmtId="0" fontId="15" fillId="0" borderId="4" xfId="0" applyFont="1" applyFill="1" applyBorder="1" applyAlignment="1">
      <alignment horizontal="right"/>
    </xf>
    <xf numFmtId="0" fontId="21" fillId="0" borderId="16" xfId="0" applyFont="1" applyFill="1" applyBorder="1" applyAlignment="1">
      <alignment horizontal="left"/>
    </xf>
    <xf numFmtId="0" fontId="15" fillId="0" borderId="16" xfId="0" applyFont="1" applyFill="1" applyBorder="1"/>
    <xf numFmtId="0" fontId="15" fillId="0" borderId="16" xfId="0" applyFont="1" applyFill="1" applyBorder="1" applyAlignment="1">
      <alignment horizontal="center" wrapText="1"/>
    </xf>
    <xf numFmtId="0" fontId="21" fillId="0" borderId="16" xfId="0" applyFont="1" applyFill="1" applyBorder="1" applyAlignment="1">
      <alignment horizontal="left" vertical="top" wrapText="1"/>
    </xf>
    <xf numFmtId="0" fontId="15" fillId="0" borderId="16" xfId="0" applyFont="1" applyFill="1" applyBorder="1" applyAlignment="1">
      <alignment horizontal="center"/>
    </xf>
    <xf numFmtId="0" fontId="15" fillId="0" borderId="16" xfId="0" applyFont="1" applyFill="1" applyBorder="1" applyAlignment="1">
      <alignment horizontal="right"/>
    </xf>
    <xf numFmtId="43" fontId="21" fillId="0" borderId="14" xfId="3" applyFont="1" applyFill="1" applyBorder="1" applyAlignment="1">
      <alignment horizontal="right"/>
    </xf>
    <xf numFmtId="0" fontId="21" fillId="0" borderId="14" xfId="0" applyFont="1" applyFill="1" applyBorder="1" applyAlignment="1">
      <alignment horizontal="right"/>
    </xf>
    <xf numFmtId="0" fontId="21" fillId="0" borderId="3" xfId="0" applyFont="1" applyFill="1" applyBorder="1" applyAlignment="1">
      <alignment horizontal="center" vertical="top"/>
    </xf>
    <xf numFmtId="0" fontId="21" fillId="0" borderId="4" xfId="0" applyFont="1" applyFill="1" applyBorder="1" applyAlignment="1">
      <alignment horizontal="center" vertical="top"/>
    </xf>
    <xf numFmtId="0" fontId="21" fillId="0" borderId="16" xfId="0" applyFont="1" applyFill="1" applyBorder="1" applyAlignment="1">
      <alignment horizontal="right"/>
    </xf>
    <xf numFmtId="0" fontId="15" fillId="0" borderId="16" xfId="0" applyFont="1" applyFill="1" applyBorder="1" applyAlignment="1">
      <alignment horizontal="center" vertical="center" wrapText="1"/>
    </xf>
    <xf numFmtId="43" fontId="15" fillId="0" borderId="16" xfId="0" applyNumberFormat="1" applyFont="1" applyFill="1" applyBorder="1" applyAlignment="1">
      <alignment horizontal="right" vertical="center"/>
    </xf>
    <xf numFmtId="0" fontId="15" fillId="0" borderId="16" xfId="0" applyFont="1" applyFill="1" applyBorder="1" applyAlignment="1">
      <alignment horizontal="right" wrapText="1"/>
    </xf>
    <xf numFmtId="43" fontId="15" fillId="0" borderId="16" xfId="3" applyFont="1" applyFill="1" applyBorder="1" applyAlignment="1">
      <alignment horizontal="right" vertical="center"/>
    </xf>
    <xf numFmtId="43" fontId="15" fillId="0" borderId="16" xfId="3" applyFont="1" applyFill="1" applyBorder="1" applyAlignment="1">
      <alignment horizontal="right"/>
    </xf>
    <xf numFmtId="43" fontId="15" fillId="0" borderId="16" xfId="3" applyFont="1" applyFill="1" applyBorder="1" applyAlignment="1">
      <alignment horizontal="right" vertical="top"/>
    </xf>
    <xf numFmtId="0" fontId="21" fillId="0" borderId="16" xfId="0" applyFont="1" applyFill="1" applyBorder="1" applyAlignment="1">
      <alignment horizontal="left" vertical="center"/>
    </xf>
    <xf numFmtId="0" fontId="21" fillId="0" borderId="16" xfId="0" applyFont="1" applyFill="1" applyBorder="1" applyAlignment="1">
      <alignment horizontal="center" vertical="top"/>
    </xf>
    <xf numFmtId="43" fontId="21" fillId="0" borderId="16" xfId="3" applyFont="1" applyFill="1" applyBorder="1" applyAlignment="1">
      <alignment horizontal="right"/>
    </xf>
    <xf numFmtId="0" fontId="21" fillId="0" borderId="1" xfId="0" applyFont="1" applyFill="1" applyBorder="1" applyAlignment="1">
      <alignment horizontal="left" vertical="top"/>
    </xf>
    <xf numFmtId="0" fontId="15" fillId="0" borderId="1" xfId="0" applyFont="1" applyFill="1" applyBorder="1" applyAlignment="1"/>
    <xf numFmtId="0" fontId="21" fillId="0" borderId="16" xfId="0" applyFont="1" applyFill="1" applyBorder="1"/>
    <xf numFmtId="0" fontId="21" fillId="0" borderId="16" xfId="0" applyFont="1" applyFill="1" applyBorder="1" applyAlignment="1">
      <alignment horizontal="center" wrapText="1"/>
    </xf>
    <xf numFmtId="0" fontId="21" fillId="0" borderId="14" xfId="0" applyFont="1" applyFill="1" applyBorder="1" applyAlignment="1">
      <alignment horizontal="center" vertical="center"/>
    </xf>
    <xf numFmtId="43" fontId="21" fillId="0" borderId="14" xfId="3" applyFont="1" applyFill="1" applyBorder="1" applyAlignment="1">
      <alignment horizontal="right" vertical="center"/>
    </xf>
    <xf numFmtId="0" fontId="20" fillId="0" borderId="0" xfId="0" applyFont="1" applyFill="1" applyBorder="1" applyAlignment="1">
      <alignment vertical="top"/>
    </xf>
    <xf numFmtId="0" fontId="21" fillId="0" borderId="16" xfId="0" applyFont="1" applyFill="1" applyBorder="1" applyAlignment="1">
      <alignment vertical="center"/>
    </xf>
    <xf numFmtId="0" fontId="21" fillId="0" borderId="16" xfId="0" applyFont="1" applyFill="1" applyBorder="1" applyAlignment="1">
      <alignment horizontal="center" vertical="center" wrapText="1"/>
    </xf>
    <xf numFmtId="0" fontId="21" fillId="0" borderId="16" xfId="0" applyFont="1" applyFill="1" applyBorder="1" applyAlignment="1">
      <alignment horizontal="center" vertical="center"/>
    </xf>
    <xf numFmtId="43" fontId="21" fillId="0" borderId="16" xfId="3" applyFont="1" applyFill="1" applyBorder="1" applyAlignment="1">
      <alignment horizontal="right" vertical="center"/>
    </xf>
    <xf numFmtId="0" fontId="21" fillId="0" borderId="16" xfId="0" applyFont="1" applyFill="1" applyBorder="1" applyAlignment="1">
      <alignment horizontal="right" vertical="center"/>
    </xf>
    <xf numFmtId="43" fontId="21" fillId="0" borderId="14" xfId="3" applyFont="1" applyFill="1" applyBorder="1" applyAlignment="1">
      <alignment horizontal="right" vertical="center" wrapText="1"/>
    </xf>
    <xf numFmtId="0" fontId="15" fillId="0" borderId="16" xfId="0" applyFont="1" applyFill="1" applyBorder="1" applyAlignment="1">
      <alignment horizontal="center" vertical="center"/>
    </xf>
    <xf numFmtId="0" fontId="15" fillId="0" borderId="16" xfId="0" applyFont="1" applyFill="1" applyBorder="1" applyAlignment="1">
      <alignment horizontal="right" vertical="center"/>
    </xf>
    <xf numFmtId="43" fontId="21" fillId="0" borderId="1" xfId="0" applyNumberFormat="1" applyFont="1" applyFill="1" applyBorder="1" applyAlignment="1">
      <alignment horizontal="right" vertical="center"/>
    </xf>
    <xf numFmtId="0" fontId="21" fillId="0" borderId="2" xfId="0" applyFont="1" applyFill="1" applyBorder="1" applyAlignment="1">
      <alignment horizontal="left"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1" xfId="0" applyFont="1" applyFill="1" applyBorder="1" applyAlignment="1">
      <alignment horizontal="right" vertical="center"/>
    </xf>
    <xf numFmtId="43" fontId="21" fillId="0" borderId="16" xfId="0" applyNumberFormat="1" applyFont="1" applyFill="1" applyBorder="1" applyAlignment="1">
      <alignment horizontal="right" vertical="center"/>
    </xf>
    <xf numFmtId="0" fontId="21" fillId="0" borderId="0" xfId="0" applyFont="1" applyFill="1" applyBorder="1" applyAlignment="1">
      <alignment horizontal="center" vertical="top"/>
    </xf>
    <xf numFmtId="0" fontId="19" fillId="0" borderId="0" xfId="0" applyFont="1" applyFill="1" applyBorder="1" applyAlignment="1">
      <alignment vertical="center"/>
    </xf>
    <xf numFmtId="43" fontId="21" fillId="0" borderId="14" xfId="0" applyNumberFormat="1" applyFont="1" applyFill="1" applyBorder="1" applyAlignment="1">
      <alignment horizontal="right" vertical="center"/>
    </xf>
    <xf numFmtId="0" fontId="15" fillId="0" borderId="14" xfId="0" applyFont="1" applyFill="1" applyBorder="1" applyAlignment="1">
      <alignment horizontal="right" vertical="center"/>
    </xf>
    <xf numFmtId="0" fontId="15" fillId="0" borderId="16" xfId="0" applyFont="1" applyFill="1" applyBorder="1" applyAlignment="1">
      <alignment horizontal="right" vertical="top"/>
    </xf>
    <xf numFmtId="0" fontId="19" fillId="0" borderId="1" xfId="8" applyFont="1" applyFill="1" applyBorder="1" applyAlignment="1">
      <alignment horizontal="right"/>
    </xf>
    <xf numFmtId="43" fontId="15" fillId="0" borderId="0" xfId="0" applyNumberFormat="1" applyFont="1" applyAlignment="1">
      <alignment horizontal="left" vertical="top"/>
    </xf>
    <xf numFmtId="0" fontId="0" fillId="0" borderId="0" xfId="0" pivotButton="1"/>
    <xf numFmtId="10" fontId="0" fillId="0" borderId="0" xfId="0" applyNumberFormat="1"/>
    <xf numFmtId="166" fontId="0" fillId="0" borderId="0" xfId="0" applyNumberFormat="1"/>
    <xf numFmtId="43" fontId="44" fillId="0" borderId="0" xfId="3" applyFont="1" applyAlignment="1">
      <alignment wrapText="1"/>
    </xf>
    <xf numFmtId="0" fontId="29" fillId="0" borderId="39" xfId="0" applyFont="1" applyBorder="1" applyAlignment="1">
      <alignment horizontal="center"/>
    </xf>
    <xf numFmtId="0" fontId="29" fillId="0" borderId="41" xfId="0" applyFont="1" applyBorder="1" applyAlignment="1">
      <alignment horizontal="center"/>
    </xf>
    <xf numFmtId="0" fontId="29" fillId="0" borderId="62" xfId="0" applyFont="1" applyBorder="1" applyAlignment="1">
      <alignment horizontal="center"/>
    </xf>
    <xf numFmtId="0" fontId="29" fillId="0" borderId="34" xfId="0" applyFont="1" applyBorder="1" applyAlignment="1">
      <alignment horizontal="center"/>
    </xf>
    <xf numFmtId="0" fontId="29" fillId="0" borderId="35" xfId="0" applyFont="1" applyBorder="1" applyAlignment="1">
      <alignment horizontal="center"/>
    </xf>
    <xf numFmtId="0" fontId="29" fillId="0" borderId="61" xfId="0" applyFont="1" applyBorder="1" applyAlignment="1">
      <alignment horizontal="center"/>
    </xf>
    <xf numFmtId="0" fontId="15" fillId="0" borderId="56" xfId="0" applyFont="1" applyBorder="1" applyAlignment="1">
      <alignment horizontal="center"/>
    </xf>
    <xf numFmtId="0" fontId="15" fillId="0" borderId="52" xfId="0" applyFont="1" applyBorder="1" applyAlignment="1">
      <alignment horizontal="center"/>
    </xf>
    <xf numFmtId="0" fontId="15" fillId="0" borderId="57" xfId="0" applyFont="1" applyBorder="1" applyAlignment="1">
      <alignment horizontal="center"/>
    </xf>
    <xf numFmtId="0" fontId="21" fillId="16" borderId="56" xfId="0" applyFont="1" applyFill="1" applyBorder="1" applyAlignment="1">
      <alignment horizontal="center"/>
    </xf>
    <xf numFmtId="0" fontId="21" fillId="16" borderId="52" xfId="0" applyFont="1" applyFill="1" applyBorder="1" applyAlignment="1">
      <alignment horizontal="center"/>
    </xf>
    <xf numFmtId="0" fontId="21" fillId="16" borderId="57" xfId="0" applyFont="1" applyFill="1" applyBorder="1" applyAlignment="1">
      <alignment horizontal="center"/>
    </xf>
    <xf numFmtId="0" fontId="21" fillId="0" borderId="39" xfId="0" applyFont="1" applyBorder="1" applyAlignment="1">
      <alignment horizontal="center"/>
    </xf>
    <xf numFmtId="0" fontId="21" fillId="0" borderId="41" xfId="0" applyFont="1" applyBorder="1" applyAlignment="1">
      <alignment horizontal="center"/>
    </xf>
    <xf numFmtId="0" fontId="21" fillId="0" borderId="62" xfId="0" applyFont="1" applyBorder="1" applyAlignment="1">
      <alignment horizontal="center"/>
    </xf>
    <xf numFmtId="0" fontId="21" fillId="0" borderId="64" xfId="0" applyFont="1" applyBorder="1" applyAlignment="1">
      <alignment horizontal="center"/>
    </xf>
    <xf numFmtId="0" fontId="21" fillId="0" borderId="3" xfId="0" applyFont="1" applyBorder="1" applyAlignment="1">
      <alignment horizontal="center"/>
    </xf>
    <xf numFmtId="0" fontId="21" fillId="0" borderId="66" xfId="0" applyFont="1" applyBorder="1" applyAlignment="1">
      <alignment horizontal="center"/>
    </xf>
    <xf numFmtId="0" fontId="42" fillId="0" borderId="34" xfId="0" applyFont="1" applyBorder="1" applyAlignment="1">
      <alignment horizontal="center"/>
    </xf>
    <xf numFmtId="0" fontId="42" fillId="0" borderId="35" xfId="0" applyFont="1" applyBorder="1" applyAlignment="1">
      <alignment horizontal="center"/>
    </xf>
    <xf numFmtId="0" fontId="42" fillId="0" borderId="61" xfId="0" applyFont="1" applyBorder="1" applyAlignment="1">
      <alignment horizontal="center"/>
    </xf>
    <xf numFmtId="0" fontId="15" fillId="0" borderId="1" xfId="0" applyFont="1" applyBorder="1" applyAlignment="1">
      <alignment horizontal="center"/>
    </xf>
    <xf numFmtId="0" fontId="21" fillId="0" borderId="1" xfId="0" applyFont="1" applyFill="1" applyBorder="1" applyAlignment="1">
      <alignment horizontal="center"/>
    </xf>
    <xf numFmtId="0" fontId="15" fillId="0" borderId="1" xfId="0" applyFont="1" applyFill="1" applyBorder="1" applyAlignment="1">
      <alignment horizontal="center"/>
    </xf>
    <xf numFmtId="0" fontId="15" fillId="0" borderId="2" xfId="0" applyFont="1" applyFill="1" applyBorder="1" applyAlignment="1">
      <alignment horizontal="center"/>
    </xf>
    <xf numFmtId="0" fontId="15" fillId="0" borderId="3" xfId="0" applyFont="1" applyFill="1" applyBorder="1" applyAlignment="1">
      <alignment horizontal="center"/>
    </xf>
    <xf numFmtId="0" fontId="15" fillId="0" borderId="4" xfId="0" applyFont="1" applyFill="1" applyBorder="1" applyAlignment="1">
      <alignment horizontal="center"/>
    </xf>
    <xf numFmtId="0" fontId="29" fillId="0" borderId="2" xfId="0" applyFont="1" applyFill="1" applyBorder="1" applyAlignment="1">
      <alignment horizontal="center"/>
    </xf>
    <xf numFmtId="0" fontId="29" fillId="0" borderId="3" xfId="0" applyFont="1" applyFill="1" applyBorder="1" applyAlignment="1">
      <alignment horizontal="center"/>
    </xf>
    <xf numFmtId="0" fontId="29" fillId="0" borderId="4" xfId="0" applyFont="1" applyFill="1" applyBorder="1" applyAlignment="1">
      <alignment horizontal="center"/>
    </xf>
    <xf numFmtId="0" fontId="29" fillId="0" borderId="37" xfId="0" applyFont="1" applyFill="1" applyBorder="1" applyAlignment="1">
      <alignment horizontal="center"/>
    </xf>
    <xf numFmtId="0" fontId="29" fillId="0" borderId="35" xfId="0" applyFont="1" applyFill="1" applyBorder="1" applyAlignment="1">
      <alignment horizontal="center"/>
    </xf>
    <xf numFmtId="0" fontId="29" fillId="0" borderId="30" xfId="0" applyFont="1" applyFill="1" applyBorder="1" applyAlignment="1">
      <alignment horizontal="center"/>
    </xf>
    <xf numFmtId="0" fontId="15" fillId="0" borderId="56" xfId="0" applyFont="1" applyFill="1" applyBorder="1" applyAlignment="1">
      <alignment horizontal="center"/>
    </xf>
    <xf numFmtId="0" fontId="15" fillId="0" borderId="52" xfId="0" applyFont="1" applyFill="1" applyBorder="1" applyAlignment="1">
      <alignment horizontal="center"/>
    </xf>
    <xf numFmtId="0" fontId="15" fillId="0" borderId="57" xfId="0" applyFont="1" applyFill="1" applyBorder="1" applyAlignment="1">
      <alignment horizontal="center"/>
    </xf>
    <xf numFmtId="0" fontId="21" fillId="0" borderId="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1" xfId="0" applyFont="1" applyFill="1" applyBorder="1" applyAlignment="1">
      <alignment horizontal="right"/>
    </xf>
    <xf numFmtId="0" fontId="21" fillId="0" borderId="0" xfId="0" applyFont="1" applyFill="1" applyBorder="1" applyAlignment="1">
      <alignment horizontal="right"/>
    </xf>
    <xf numFmtId="0" fontId="21" fillId="0" borderId="16" xfId="0" applyFont="1" applyFill="1" applyBorder="1" applyAlignment="1">
      <alignment horizontal="center"/>
    </xf>
    <xf numFmtId="0" fontId="15" fillId="0" borderId="70" xfId="0" applyFont="1" applyFill="1" applyBorder="1" applyAlignment="1">
      <alignment horizontal="center"/>
    </xf>
    <xf numFmtId="0" fontId="15" fillId="0" borderId="60" xfId="0" applyFont="1" applyFill="1" applyBorder="1" applyAlignment="1">
      <alignment horizontal="center"/>
    </xf>
    <xf numFmtId="0" fontId="15" fillId="0" borderId="71" xfId="0" applyFont="1" applyFill="1" applyBorder="1" applyAlignment="1">
      <alignment horizontal="center"/>
    </xf>
    <xf numFmtId="0" fontId="15" fillId="0" borderId="0" xfId="0" applyFont="1" applyFill="1" applyBorder="1" applyAlignment="1">
      <alignment horizontal="right" wrapText="1"/>
    </xf>
    <xf numFmtId="10" fontId="15" fillId="0" borderId="0" xfId="0" applyNumberFormat="1" applyFont="1" applyFill="1" applyBorder="1" applyAlignment="1">
      <alignment horizontal="right" vertical="center"/>
    </xf>
    <xf numFmtId="10" fontId="15" fillId="0" borderId="63" xfId="1" applyNumberFormat="1" applyFont="1" applyFill="1" applyBorder="1" applyAlignment="1">
      <alignment horizontal="right" vertical="center"/>
    </xf>
    <xf numFmtId="0" fontId="21" fillId="0" borderId="1" xfId="0" applyFont="1" applyBorder="1" applyAlignment="1">
      <alignment horizontal="center"/>
    </xf>
    <xf numFmtId="0" fontId="8" fillId="0" borderId="56" xfId="0" applyFont="1" applyBorder="1" applyAlignment="1">
      <alignment horizontal="center"/>
    </xf>
    <xf numFmtId="0" fontId="8" fillId="0" borderId="52" xfId="0" applyFont="1" applyBorder="1" applyAlignment="1">
      <alignment horizontal="center"/>
    </xf>
    <xf numFmtId="0" fontId="8" fillId="0" borderId="55" xfId="0" applyFont="1" applyBorder="1" applyAlignment="1">
      <alignment horizontal="center"/>
    </xf>
    <xf numFmtId="0" fontId="8" fillId="0" borderId="0" xfId="0" applyFont="1" applyBorder="1" applyAlignment="1">
      <alignment horizontal="center"/>
    </xf>
    <xf numFmtId="0" fontId="5" fillId="0" borderId="55" xfId="0" applyFont="1" applyBorder="1" applyAlignment="1">
      <alignment horizontal="center"/>
    </xf>
    <xf numFmtId="0" fontId="5" fillId="0" borderId="0"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21" xfId="0" applyFont="1" applyBorder="1" applyAlignment="1">
      <alignment horizontal="center" wrapText="1"/>
    </xf>
    <xf numFmtId="0" fontId="5" fillId="0" borderId="22" xfId="0" applyFont="1" applyBorder="1" applyAlignment="1">
      <alignment horizontal="center" wrapText="1"/>
    </xf>
    <xf numFmtId="0" fontId="5" fillId="0" borderId="42" xfId="0" applyFont="1" applyBorder="1" applyAlignment="1">
      <alignment horizontal="center" wrapText="1"/>
    </xf>
    <xf numFmtId="0" fontId="5" fillId="0" borderId="43" xfId="0" applyFont="1" applyBorder="1" applyAlignment="1">
      <alignment horizontal="center" wrapText="1"/>
    </xf>
    <xf numFmtId="0" fontId="5" fillId="0" borderId="48" xfId="0" applyFont="1" applyBorder="1" applyAlignment="1">
      <alignment horizontal="center" wrapText="1"/>
    </xf>
    <xf numFmtId="0" fontId="5" fillId="0" borderId="54" xfId="0" applyFont="1" applyBorder="1" applyAlignment="1">
      <alignment horizontal="center" wrapText="1"/>
    </xf>
    <xf numFmtId="10" fontId="5" fillId="0" borderId="14" xfId="0" applyNumberFormat="1" applyFont="1" applyBorder="1" applyAlignment="1">
      <alignment horizontal="center" vertical="center"/>
    </xf>
    <xf numFmtId="10" fontId="5" fillId="0" borderId="29" xfId="0" applyNumberFormat="1" applyFont="1" applyBorder="1" applyAlignment="1">
      <alignment horizontal="center" vertical="center"/>
    </xf>
    <xf numFmtId="10" fontId="5" fillId="0" borderId="26" xfId="0" applyNumberFormat="1" applyFont="1" applyBorder="1" applyAlignment="1">
      <alignment horizontal="center" vertical="center"/>
    </xf>
    <xf numFmtId="0" fontId="6" fillId="0" borderId="8" xfId="0" applyFont="1" applyBorder="1" applyAlignment="1">
      <alignment horizontal="center"/>
    </xf>
    <xf numFmtId="0" fontId="6" fillId="0" borderId="2" xfId="0" applyFont="1" applyBorder="1" applyAlignment="1">
      <alignment horizontal="center"/>
    </xf>
    <xf numFmtId="0" fontId="5" fillId="0" borderId="31" xfId="0" applyFont="1" applyBorder="1" applyAlignment="1">
      <alignment horizontal="center"/>
    </xf>
    <xf numFmtId="0" fontId="5" fillId="0" borderId="32" xfId="0" applyFont="1" applyBorder="1" applyAlignment="1">
      <alignment horizontal="center"/>
    </xf>
    <xf numFmtId="0" fontId="6" fillId="0" borderId="18" xfId="0" applyFont="1" applyBorder="1" applyAlignment="1">
      <alignment horizontal="center"/>
    </xf>
    <xf numFmtId="0" fontId="6" fillId="0" borderId="19" xfId="0" applyFont="1" applyBorder="1" applyAlignment="1">
      <alignment horizontal="center"/>
    </xf>
    <xf numFmtId="0" fontId="6" fillId="0" borderId="31" xfId="0" applyFont="1" applyBorder="1" applyAlignment="1">
      <alignment horizontal="center" vertical="center"/>
    </xf>
    <xf numFmtId="0" fontId="6" fillId="0" borderId="28" xfId="0" applyFont="1" applyBorder="1" applyAlignment="1">
      <alignment horizontal="center" vertical="center"/>
    </xf>
    <xf numFmtId="0" fontId="6" fillId="0" borderId="53" xfId="0" applyFont="1" applyBorder="1" applyAlignment="1">
      <alignment horizontal="left" vertical="center"/>
    </xf>
    <xf numFmtId="0" fontId="6" fillId="0" borderId="42" xfId="0" applyFont="1" applyBorder="1" applyAlignment="1">
      <alignment horizontal="left" vertical="center"/>
    </xf>
    <xf numFmtId="43" fontId="21" fillId="11" borderId="1" xfId="3" applyFont="1" applyFill="1" applyBorder="1" applyAlignment="1">
      <alignment horizontal="center" vertical="top" wrapText="1"/>
    </xf>
    <xf numFmtId="0" fontId="19" fillId="6" borderId="5" xfId="0" applyFont="1" applyFill="1" applyBorder="1" applyAlignment="1">
      <alignment horizontal="center"/>
    </xf>
    <xf numFmtId="0" fontId="19" fillId="6" borderId="6" xfId="0" applyFont="1" applyFill="1" applyBorder="1" applyAlignment="1">
      <alignment horizontal="center"/>
    </xf>
    <xf numFmtId="0" fontId="19" fillId="6" borderId="7" xfId="0" applyFont="1" applyFill="1" applyBorder="1" applyAlignment="1">
      <alignment horizontal="center"/>
    </xf>
    <xf numFmtId="0" fontId="19" fillId="11" borderId="1" xfId="0" applyFont="1" applyFill="1" applyBorder="1" applyAlignment="1">
      <alignment horizontal="center" wrapText="1"/>
    </xf>
    <xf numFmtId="0" fontId="19" fillId="11" borderId="9" xfId="0" applyFont="1" applyFill="1" applyBorder="1" applyAlignment="1">
      <alignment horizontal="center" wrapText="1"/>
    </xf>
    <xf numFmtId="0" fontId="19" fillId="11" borderId="8" xfId="0" applyFont="1" applyFill="1" applyBorder="1" applyAlignment="1">
      <alignment horizontal="left" vertical="top"/>
    </xf>
    <xf numFmtId="0" fontId="19" fillId="0" borderId="0" xfId="0" applyFont="1" applyAlignment="1">
      <alignment horizontal="center"/>
    </xf>
    <xf numFmtId="43" fontId="21" fillId="11" borderId="6" xfId="3" applyFont="1" applyFill="1" applyBorder="1" applyAlignment="1">
      <alignment horizontal="center" vertical="center" wrapText="1"/>
    </xf>
    <xf numFmtId="43" fontId="21" fillId="11" borderId="7" xfId="3" applyFont="1" applyFill="1" applyBorder="1" applyAlignment="1">
      <alignment horizontal="center" vertical="center" wrapText="1"/>
    </xf>
    <xf numFmtId="43" fontId="21" fillId="11" borderId="1" xfId="3" applyFont="1" applyFill="1" applyBorder="1" applyAlignment="1">
      <alignment horizontal="center" vertical="center" wrapText="1"/>
    </xf>
    <xf numFmtId="43" fontId="21" fillId="11" borderId="9" xfId="3" applyFont="1" applyFill="1" applyBorder="1" applyAlignment="1">
      <alignment horizontal="center" vertical="center" wrapText="1"/>
    </xf>
    <xf numFmtId="43" fontId="20" fillId="7" borderId="38" xfId="3" applyFont="1" applyFill="1" applyBorder="1" applyAlignment="1">
      <alignment horizontal="center" wrapText="1"/>
    </xf>
    <xf numFmtId="43" fontId="20" fillId="7" borderId="6" xfId="3" applyFont="1" applyFill="1" applyBorder="1" applyAlignment="1">
      <alignment horizontal="center" wrapText="1"/>
    </xf>
    <xf numFmtId="43" fontId="20" fillId="7" borderId="36" xfId="3" applyFont="1" applyFill="1" applyBorder="1" applyAlignment="1">
      <alignment horizontal="center" wrapText="1"/>
    </xf>
    <xf numFmtId="43" fontId="21" fillId="11" borderId="38" xfId="3" applyFont="1" applyFill="1" applyBorder="1" applyAlignment="1">
      <alignment horizontal="center" vertical="center" wrapText="1"/>
    </xf>
    <xf numFmtId="43" fontId="21" fillId="11" borderId="4" xfId="3" applyFont="1" applyFill="1" applyBorder="1" applyAlignment="1">
      <alignment horizontal="center" vertical="center" wrapText="1"/>
    </xf>
    <xf numFmtId="43" fontId="20" fillId="15" borderId="5" xfId="3" applyFont="1" applyFill="1" applyBorder="1" applyAlignment="1">
      <alignment horizontal="center" wrapText="1"/>
    </xf>
    <xf numFmtId="43" fontId="20" fillId="15" borderId="6" xfId="3" applyFont="1" applyFill="1" applyBorder="1" applyAlignment="1">
      <alignment horizontal="center" wrapText="1"/>
    </xf>
    <xf numFmtId="43" fontId="20" fillId="15" borderId="7" xfId="3" applyFont="1" applyFill="1" applyBorder="1" applyAlignment="1">
      <alignment horizontal="center" wrapText="1"/>
    </xf>
    <xf numFmtId="43" fontId="21" fillId="11" borderId="2" xfId="3" applyFont="1" applyFill="1" applyBorder="1" applyAlignment="1">
      <alignment horizontal="center" vertical="top" wrapText="1"/>
    </xf>
    <xf numFmtId="43" fontId="21" fillId="11" borderId="8" xfId="3" applyFont="1" applyFill="1" applyBorder="1" applyAlignment="1">
      <alignment horizontal="center" vertical="top" wrapText="1"/>
    </xf>
    <xf numFmtId="43" fontId="21" fillId="11" borderId="4" xfId="3" applyFont="1" applyFill="1" applyBorder="1" applyAlignment="1">
      <alignment horizontal="center" vertical="top" wrapText="1"/>
    </xf>
    <xf numFmtId="43" fontId="21" fillId="11" borderId="9" xfId="3" applyFont="1" applyFill="1" applyBorder="1" applyAlignment="1">
      <alignment horizontal="center" vertical="top" wrapText="1"/>
    </xf>
    <xf numFmtId="0" fontId="19" fillId="11" borderId="1" xfId="0" applyFont="1" applyFill="1" applyBorder="1" applyAlignment="1">
      <alignment horizontal="left" vertical="top"/>
    </xf>
    <xf numFmtId="0" fontId="15" fillId="0" borderId="56" xfId="0" applyFont="1" applyBorder="1" applyAlignment="1">
      <alignment horizontal="center" vertical="top"/>
    </xf>
    <xf numFmtId="0" fontId="15" fillId="0" borderId="52" xfId="0" applyFont="1" applyBorder="1" applyAlignment="1">
      <alignment horizontal="center" vertical="top"/>
    </xf>
    <xf numFmtId="0" fontId="15" fillId="0" borderId="57" xfId="0" applyFont="1" applyBorder="1" applyAlignment="1">
      <alignment horizontal="center" vertical="top"/>
    </xf>
    <xf numFmtId="0" fontId="21" fillId="0" borderId="5" xfId="0" applyFont="1" applyBorder="1" applyAlignment="1">
      <alignment horizontal="center" vertical="top"/>
    </xf>
    <xf numFmtId="0" fontId="21" fillId="0" borderId="7" xfId="0" applyFont="1" applyBorder="1" applyAlignment="1">
      <alignment horizontal="center" vertical="top"/>
    </xf>
    <xf numFmtId="0" fontId="21" fillId="0" borderId="38" xfId="0" applyFont="1" applyBorder="1" applyAlignment="1">
      <alignment horizontal="center" vertical="top"/>
    </xf>
    <xf numFmtId="0" fontId="21" fillId="0" borderId="36" xfId="0" applyFont="1" applyBorder="1" applyAlignment="1">
      <alignment horizontal="center" vertical="top"/>
    </xf>
    <xf numFmtId="0" fontId="21" fillId="0" borderId="5" xfId="0" applyFont="1" applyBorder="1" applyAlignment="1">
      <alignment horizontal="left" vertical="top"/>
    </xf>
    <xf numFmtId="0" fontId="21" fillId="0" borderId="6" xfId="0" applyFont="1" applyBorder="1" applyAlignment="1">
      <alignment horizontal="left" vertical="top"/>
    </xf>
    <xf numFmtId="0" fontId="15" fillId="14" borderId="56" xfId="0" applyFont="1" applyFill="1" applyBorder="1" applyAlignment="1">
      <alignment horizontal="center" vertical="top"/>
    </xf>
    <xf numFmtId="0" fontId="15" fillId="14" borderId="52" xfId="0" applyFont="1" applyFill="1" applyBorder="1" applyAlignment="1">
      <alignment horizontal="center" vertical="top"/>
    </xf>
    <xf numFmtId="0" fontId="15" fillId="14" borderId="57" xfId="0" applyFont="1" applyFill="1" applyBorder="1" applyAlignment="1">
      <alignment horizontal="center" vertical="top"/>
    </xf>
    <xf numFmtId="0" fontId="15" fillId="12" borderId="56" xfId="0" applyFont="1" applyFill="1" applyBorder="1" applyAlignment="1">
      <alignment horizontal="center" vertical="top"/>
    </xf>
    <xf numFmtId="0" fontId="15" fillId="12" borderId="52" xfId="0" applyFont="1" applyFill="1" applyBorder="1" applyAlignment="1">
      <alignment horizontal="center" vertical="top"/>
    </xf>
    <xf numFmtId="0" fontId="15" fillId="12" borderId="57" xfId="0" applyFont="1" applyFill="1" applyBorder="1" applyAlignment="1">
      <alignment horizontal="center" vertical="top"/>
    </xf>
    <xf numFmtId="0" fontId="21" fillId="0" borderId="10" xfId="0" applyFont="1" applyBorder="1" applyAlignment="1">
      <alignment horizontal="left" vertical="top"/>
    </xf>
    <xf numFmtId="0" fontId="21" fillId="0" borderId="11" xfId="0" applyFont="1" applyBorder="1" applyAlignment="1">
      <alignment horizontal="left" vertical="top"/>
    </xf>
    <xf numFmtId="0" fontId="21" fillId="0" borderId="37" xfId="0" applyFont="1" applyBorder="1" applyAlignment="1">
      <alignment horizontal="left" vertical="top"/>
    </xf>
    <xf numFmtId="0" fontId="15" fillId="0" borderId="36" xfId="0" applyFont="1" applyBorder="1" applyAlignment="1">
      <alignment horizontal="left" vertical="top"/>
    </xf>
    <xf numFmtId="0" fontId="15" fillId="0" borderId="41" xfId="0" applyFont="1" applyBorder="1" applyAlignment="1">
      <alignment horizontal="left" vertical="top"/>
    </xf>
    <xf numFmtId="0" fontId="15" fillId="0" borderId="2" xfId="0" applyFont="1" applyBorder="1" applyAlignment="1">
      <alignment horizontal="left" vertical="top"/>
    </xf>
    <xf numFmtId="0" fontId="15" fillId="0" borderId="3" xfId="0" applyFont="1" applyBorder="1" applyAlignment="1">
      <alignment horizontal="left" vertical="top"/>
    </xf>
    <xf numFmtId="0" fontId="15" fillId="0" borderId="37" xfId="0" applyFont="1" applyBorder="1" applyAlignment="1">
      <alignment horizontal="left" vertical="top"/>
    </xf>
    <xf numFmtId="0" fontId="15" fillId="0" borderId="35" xfId="0" applyFont="1" applyBorder="1" applyAlignment="1">
      <alignment horizontal="left" vertical="top"/>
    </xf>
    <xf numFmtId="0" fontId="21" fillId="0" borderId="18" xfId="0" applyFont="1" applyBorder="1" applyAlignment="1">
      <alignment horizontal="left" vertical="top"/>
    </xf>
    <xf numFmtId="0" fontId="21" fillId="0" borderId="19" xfId="0" applyFont="1" applyBorder="1" applyAlignment="1">
      <alignment horizontal="left" vertical="top"/>
    </xf>
    <xf numFmtId="0" fontId="21" fillId="0" borderId="20" xfId="0" applyFont="1" applyBorder="1" applyAlignment="1">
      <alignment horizontal="left" vertical="top"/>
    </xf>
    <xf numFmtId="0" fontId="15" fillId="0" borderId="28" xfId="0" applyFont="1" applyBorder="1" applyAlignment="1">
      <alignment horizontal="left" vertical="top"/>
    </xf>
    <xf numFmtId="0" fontId="15" fillId="0" borderId="29" xfId="0" applyFont="1" applyBorder="1" applyAlignment="1">
      <alignment horizontal="left" vertical="top"/>
    </xf>
    <xf numFmtId="0" fontId="15" fillId="0" borderId="40" xfId="0" applyFont="1" applyBorder="1" applyAlignment="1">
      <alignment horizontal="left" vertical="top"/>
    </xf>
    <xf numFmtId="0" fontId="21" fillId="0" borderId="8" xfId="0" applyFont="1" applyBorder="1" applyAlignment="1">
      <alignment horizontal="left" vertical="top"/>
    </xf>
    <xf numFmtId="0" fontId="21" fillId="0" borderId="6" xfId="0" applyFont="1" applyBorder="1" applyAlignment="1">
      <alignment horizontal="left" vertical="top" wrapText="1"/>
    </xf>
    <xf numFmtId="0" fontId="21" fillId="0" borderId="1" xfId="0" applyFont="1" applyBorder="1" applyAlignment="1">
      <alignment horizontal="left" vertical="top" wrapText="1"/>
    </xf>
    <xf numFmtId="0" fontId="21" fillId="0" borderId="1" xfId="0" applyFont="1" applyBorder="1" applyAlignment="1">
      <alignment horizontal="left" vertical="top"/>
    </xf>
    <xf numFmtId="0" fontId="21" fillId="0" borderId="36" xfId="0" applyFont="1" applyBorder="1" applyAlignment="1">
      <alignment horizontal="left" vertical="top"/>
    </xf>
    <xf numFmtId="0" fontId="21" fillId="0" borderId="2" xfId="0" applyFont="1" applyBorder="1" applyAlignment="1">
      <alignment horizontal="left" vertical="top"/>
    </xf>
    <xf numFmtId="0" fontId="29" fillId="0" borderId="39" xfId="0" applyFont="1" applyBorder="1" applyAlignment="1">
      <alignment horizontal="center" vertical="top"/>
    </xf>
    <xf numFmtId="0" fontId="29" fillId="0" borderId="41" xfId="0" applyFont="1" applyBorder="1" applyAlignment="1">
      <alignment horizontal="center" vertical="top"/>
    </xf>
    <xf numFmtId="0" fontId="29" fillId="0" borderId="62" xfId="0" applyFont="1" applyBorder="1" applyAlignment="1">
      <alignment horizontal="center" vertical="top"/>
    </xf>
    <xf numFmtId="0" fontId="29" fillId="0" borderId="64" xfId="0" applyFont="1" applyBorder="1" applyAlignment="1">
      <alignment horizontal="center" vertical="top"/>
    </xf>
    <xf numFmtId="0" fontId="29" fillId="0" borderId="3" xfId="0" applyFont="1" applyBorder="1" applyAlignment="1">
      <alignment horizontal="center" vertical="top"/>
    </xf>
    <xf numFmtId="0" fontId="29" fillId="0" borderId="66" xfId="0" applyFont="1" applyBorder="1" applyAlignment="1">
      <alignment horizontal="center" vertical="top"/>
    </xf>
    <xf numFmtId="0" fontId="15" fillId="0" borderId="34" xfId="0" applyFont="1" applyBorder="1" applyAlignment="1">
      <alignment horizontal="left" vertical="top"/>
    </xf>
    <xf numFmtId="0" fontId="15" fillId="0" borderId="61" xfId="0" applyFont="1" applyBorder="1" applyAlignment="1">
      <alignment horizontal="left" vertical="top"/>
    </xf>
    <xf numFmtId="0" fontId="15" fillId="0" borderId="53"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73" xfId="0" applyFont="1" applyBorder="1" applyAlignment="1">
      <alignment horizontal="center" vertical="center" wrapText="1"/>
    </xf>
    <xf numFmtId="10" fontId="15" fillId="0" borderId="21" xfId="0" applyNumberFormat="1" applyFont="1" applyBorder="1" applyAlignment="1">
      <alignment horizontal="center" vertical="center"/>
    </xf>
    <xf numFmtId="10" fontId="15" fillId="0" borderId="68" xfId="0" applyNumberFormat="1" applyFont="1" applyBorder="1" applyAlignment="1">
      <alignment horizontal="center" vertical="center"/>
    </xf>
    <xf numFmtId="10" fontId="15" fillId="0" borderId="48" xfId="0" applyNumberFormat="1" applyFont="1" applyBorder="1" applyAlignment="1">
      <alignment horizontal="center" vertical="center"/>
    </xf>
    <xf numFmtId="10" fontId="15" fillId="0" borderId="71" xfId="0" applyNumberFormat="1" applyFont="1" applyBorder="1" applyAlignment="1">
      <alignment horizontal="center" vertical="center"/>
    </xf>
    <xf numFmtId="0" fontId="19" fillId="9" borderId="2" xfId="0" applyFont="1" applyFill="1" applyBorder="1" applyAlignment="1">
      <alignment horizontal="center"/>
    </xf>
    <xf numFmtId="0" fontId="19" fillId="9" borderId="3" xfId="0" applyFont="1" applyFill="1" applyBorder="1" applyAlignment="1">
      <alignment horizontal="center"/>
    </xf>
    <xf numFmtId="0" fontId="19" fillId="9" borderId="4" xfId="0" applyFont="1" applyFill="1" applyBorder="1" applyAlignment="1">
      <alignment horizontal="center"/>
    </xf>
    <xf numFmtId="0" fontId="19" fillId="9" borderId="1" xfId="0" applyFont="1" applyFill="1" applyBorder="1" applyAlignment="1">
      <alignment horizontal="center"/>
    </xf>
    <xf numFmtId="0" fontId="19" fillId="9" borderId="1" xfId="0" applyFont="1" applyFill="1" applyBorder="1" applyAlignment="1">
      <alignment horizontal="center" vertical="center"/>
    </xf>
    <xf numFmtId="0" fontId="19" fillId="9" borderId="1" xfId="0" applyFont="1" applyFill="1" applyBorder="1" applyAlignment="1">
      <alignment horizontal="center" wrapText="1"/>
    </xf>
    <xf numFmtId="0" fontId="29" fillId="9" borderId="0" xfId="0" applyFont="1" applyFill="1" applyAlignment="1">
      <alignment horizontal="center"/>
    </xf>
    <xf numFmtId="0" fontId="19" fillId="9" borderId="0" xfId="0" applyFont="1" applyFill="1" applyAlignment="1">
      <alignment horizontal="center"/>
    </xf>
    <xf numFmtId="0" fontId="4" fillId="9" borderId="0" xfId="0" applyFont="1" applyFill="1" applyAlignment="1">
      <alignment horizontal="center"/>
    </xf>
    <xf numFmtId="0" fontId="13" fillId="9" borderId="0" xfId="0" applyFont="1" applyFill="1" applyBorder="1" applyAlignment="1">
      <alignment wrapText="1"/>
    </xf>
    <xf numFmtId="0" fontId="16" fillId="0" borderId="2" xfId="0" applyFont="1" applyFill="1" applyBorder="1" applyAlignment="1">
      <alignment horizontal="center" wrapText="1"/>
    </xf>
    <xf numFmtId="0" fontId="16" fillId="0" borderId="3" xfId="0" applyFont="1" applyFill="1" applyBorder="1" applyAlignment="1">
      <alignment horizontal="center" wrapText="1"/>
    </xf>
    <xf numFmtId="0" fontId="16" fillId="0" borderId="4" xfId="0" applyFont="1" applyFill="1" applyBorder="1" applyAlignment="1">
      <alignment horizontal="center" wrapText="1"/>
    </xf>
    <xf numFmtId="0" fontId="16" fillId="5" borderId="6" xfId="0" applyFont="1" applyFill="1" applyBorder="1" applyAlignment="1">
      <alignment horizontal="center"/>
    </xf>
    <xf numFmtId="0" fontId="16" fillId="5" borderId="7" xfId="0"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6" fillId="5" borderId="5" xfId="0" applyFont="1" applyFill="1" applyBorder="1" applyAlignment="1">
      <alignment horizontal="center"/>
    </xf>
    <xf numFmtId="0" fontId="16" fillId="5" borderId="8" xfId="0" applyFont="1" applyFill="1" applyBorder="1" applyAlignment="1">
      <alignment horizontal="center"/>
    </xf>
    <xf numFmtId="0" fontId="16" fillId="4" borderId="6" xfId="2" applyFont="1" applyFill="1" applyBorder="1" applyAlignment="1">
      <alignment horizontal="center" vertical="center" wrapText="1"/>
    </xf>
    <xf numFmtId="0" fontId="16" fillId="4" borderId="1" xfId="2" applyFont="1" applyFill="1" applyBorder="1" applyAlignment="1">
      <alignment horizontal="center" vertical="center" wrapText="1"/>
    </xf>
    <xf numFmtId="0" fontId="16" fillId="4" borderId="6" xfId="2" applyFont="1" applyFill="1" applyBorder="1" applyAlignment="1">
      <alignment horizontal="left" vertical="top" wrapText="1"/>
    </xf>
    <xf numFmtId="0" fontId="16" fillId="4" borderId="1" xfId="2" applyFont="1" applyFill="1" applyBorder="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1" xfId="0" applyFont="1" applyBorder="1" applyAlignment="1">
      <alignment horizontal="center"/>
    </xf>
    <xf numFmtId="0" fontId="7" fillId="0" borderId="9" xfId="0" applyFont="1" applyBorder="1" applyAlignment="1">
      <alignment horizontal="center"/>
    </xf>
    <xf numFmtId="10" fontId="7" fillId="0" borderId="1" xfId="0" applyNumberFormat="1" applyFont="1" applyBorder="1" applyAlignment="1">
      <alignment horizontal="center"/>
    </xf>
    <xf numFmtId="10" fontId="7" fillId="0" borderId="9" xfId="0" applyNumberFormat="1" applyFont="1" applyBorder="1" applyAlignment="1">
      <alignment horizontal="center"/>
    </xf>
    <xf numFmtId="0" fontId="7" fillId="0" borderId="1" xfId="0" applyFont="1" applyBorder="1" applyAlignment="1">
      <alignment horizontal="center" wrapText="1"/>
    </xf>
    <xf numFmtId="0" fontId="7" fillId="0" borderId="1" xfId="0" applyFont="1" applyBorder="1" applyAlignment="1">
      <alignment horizontal="left"/>
    </xf>
    <xf numFmtId="0" fontId="9" fillId="0" borderId="18"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61" xfId="0" applyFont="1" applyBorder="1" applyAlignment="1">
      <alignment horizontal="center"/>
    </xf>
    <xf numFmtId="0" fontId="16" fillId="0" borderId="39" xfId="0" applyFont="1" applyFill="1" applyBorder="1" applyAlignment="1">
      <alignment horizontal="center"/>
    </xf>
    <xf numFmtId="0" fontId="16" fillId="0" borderId="41" xfId="0" applyFont="1" applyFill="1" applyBorder="1" applyAlignment="1">
      <alignment horizontal="center"/>
    </xf>
    <xf numFmtId="0" fontId="16" fillId="0" borderId="62" xfId="0" applyFont="1" applyFill="1" applyBorder="1" applyAlignment="1">
      <alignment horizontal="center"/>
    </xf>
    <xf numFmtId="0" fontId="16" fillId="0" borderId="64" xfId="0" applyFont="1" applyFill="1" applyBorder="1" applyAlignment="1">
      <alignment horizontal="center"/>
    </xf>
    <xf numFmtId="0" fontId="16" fillId="0" borderId="3" xfId="0" applyFont="1" applyFill="1" applyBorder="1" applyAlignment="1">
      <alignment horizontal="center"/>
    </xf>
    <xf numFmtId="0" fontId="16" fillId="0" borderId="66" xfId="0" applyFont="1" applyFill="1" applyBorder="1" applyAlignment="1">
      <alignment horizontal="center"/>
    </xf>
    <xf numFmtId="0" fontId="0" fillId="0" borderId="0" xfId="0"/>
  </cellXfs>
  <cellStyles count="12">
    <cellStyle name="Hiperlink" xfId="9" builtinId="8"/>
    <cellStyle name="Neutra" xfId="8" builtinId="28"/>
    <cellStyle name="Normal" xfId="0" builtinId="0"/>
    <cellStyle name="Normal 10" xfId="4"/>
    <cellStyle name="Normal 2 2" xfId="7"/>
    <cellStyle name="Normal 3 4" xfId="6"/>
    <cellStyle name="Normal_Pesquisa no referencial 10 de maio de 2013" xfId="2"/>
    <cellStyle name="Porcentagem" xfId="1" builtinId="5"/>
    <cellStyle name="Porcentagem 2 2" xfId="5"/>
    <cellStyle name="Vírgula" xfId="3" builtinId="3"/>
    <cellStyle name="Vírgula 2 2" xfId="11"/>
    <cellStyle name="Vírgula 3" xfId="10"/>
  </cellStyles>
  <dxfs count="16">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3" formatCode="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[1-LOTE_2_PLANILHA ORÇAMENTÁRIA GERAL 27 06 2022 BLOQUEADO.xlsx]CURVA ABC!Tabela dinâmica2</c:name>
    <c:fmtId val="0"/>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4.0376338557720319E-2"/>
              <c:y val="-3.004419312561736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8B88FFDC-E8B9-4362-BD65-0C7E635B492D}"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78C33918-9FED-4651-B824-84367BCC1906}"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AB47457F-EECC-482A-99B2-06B85751D92B}"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C3394F5B-476A-4961-8464-A444D98E3B6F}"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7DAEFE0F-E9B0-4906-A627-21C379DB8936}"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546033BD-D616-4327-A534-4915BDF83A31}"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99E0E889-B143-4A85-893B-42DA4F1A8DF0}"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4BD887A7-CE71-4F7F-94B1-2CB70D77F35C}"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E1D3ACC1-A41F-472C-955B-FB3CE40CF431}"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1F57D62D-E847-4104-952D-1EE0F97D7B90}"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D0021F5E-C3C7-4235-96BE-CA05B8EAD28A}"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B7052161-F5B5-4352-9B11-A5265822B9E7}"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350DB698-BF93-4A78-8E60-2F7B974707D3}"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533548B0-BF31-4ABF-A9AF-DF9991EB79E8}"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F411B1CD-2C81-45A7-B433-D601A7191B71}"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FCE65AB5-AB77-4BD0-A148-497A4B7F97AA}" type="CELLRANGE">
                  <a:rPr lang="en-US"/>
                  <a:pPr>
                    <a:defRPr sz="20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5720691301961422E-2"/>
              <c:y val="-1.903141060194937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7263391013093937E-2"/>
              <c:y val="-2.453780186378336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7263391013093882E-2"/>
              <c:y val="-1.214842152465687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fld id="{7DF62F78-AD90-42FB-B108-697554F49B2F}" type="CELLRANGE">
                  <a:rPr lang="en-US"/>
                  <a:pPr>
                    <a:defRPr sz="900" b="0" i="0" u="none" strike="noStrike" kern="1200" baseline="0">
                      <a:solidFill>
                        <a:schemeClr val="lt1">
                          <a:lumMod val="85000"/>
                        </a:schemeClr>
                      </a:solidFill>
                      <a:latin typeface="+mn-lt"/>
                      <a:ea typeface="+mn-ea"/>
                      <a:cs typeface="+mn-cs"/>
                    </a:defRPr>
                  </a:pPr>
                  <a:t>[CELLRANGE]</a:t>
                </a:fld>
                <a:endParaRPr lang="pt-B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8"/>
        <c:spPr>
          <a:ln w="34925" cap="rnd">
            <a:solidFill>
              <a:schemeClr val="accent1"/>
            </a:solidFill>
            <a:round/>
          </a:ln>
          <a:effectLst>
            <a:outerShdw blurRad="57150" dist="19050" dir="5400000" algn="ctr" rotWithShape="0">
              <a:srgbClr val="000000">
                <a:alpha val="63000"/>
              </a:srgbClr>
            </a:outerShdw>
          </a:effectLst>
        </c:spPr>
        <c:marker>
          <c:symbol val="none"/>
        </c:marker>
      </c:pivotFmt>
      <c:pivotFmt>
        <c:idx val="49"/>
        <c:spPr>
          <a:ln w="34925" cap="rnd">
            <a:solidFill>
              <a:schemeClr val="accent1"/>
            </a:solidFill>
            <a:round/>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'CURVA ABC'!$B$67</c:f>
              <c:strCache>
                <c:ptCount val="1"/>
                <c:pt idx="0">
                  <c:v>Soma de P. TOTAL NÃO DESONERADO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ABC'!$B$68:$B$84</c:f>
              <c:numCache>
                <c:formatCode>0.00%</c:formatCode>
                <c:ptCount val="16"/>
                <c:pt idx="0">
                  <c:v>0.28820541943389094</c:v>
                </c:pt>
                <c:pt idx="1">
                  <c:v>0.12412894180236124</c:v>
                </c:pt>
                <c:pt idx="2">
                  <c:v>8.9059594978434034E-2</c:v>
                </c:pt>
                <c:pt idx="3">
                  <c:v>7.4259084714720383E-2</c:v>
                </c:pt>
                <c:pt idx="4">
                  <c:v>7.1266766378978011E-2</c:v>
                </c:pt>
                <c:pt idx="5">
                  <c:v>6.7408751406324144E-2</c:v>
                </c:pt>
                <c:pt idx="6">
                  <c:v>6.6815395319588813E-2</c:v>
                </c:pt>
                <c:pt idx="7">
                  <c:v>5.1748358875525959E-2</c:v>
                </c:pt>
                <c:pt idx="8">
                  <c:v>5.1060981383404105E-2</c:v>
                </c:pt>
                <c:pt idx="9">
                  <c:v>3.6243668936481691E-2</c:v>
                </c:pt>
                <c:pt idx="10">
                  <c:v>3.075832091296711E-2</c:v>
                </c:pt>
                <c:pt idx="11">
                  <c:v>2.496482191171261E-2</c:v>
                </c:pt>
                <c:pt idx="12">
                  <c:v>1.3553065899681646E-2</c:v>
                </c:pt>
                <c:pt idx="13">
                  <c:v>4.9055292911326766E-3</c:v>
                </c:pt>
                <c:pt idx="14">
                  <c:v>3.7172307366129895E-3</c:v>
                </c:pt>
                <c:pt idx="15">
                  <c:v>1.9040680181837656E-3</c:v>
                </c:pt>
              </c:numCache>
            </c:numRef>
          </c:val>
        </c:ser>
        <c:dLbls>
          <c:showLegendKey val="0"/>
          <c:showVal val="0"/>
          <c:showCatName val="0"/>
          <c:showSerName val="0"/>
          <c:showPercent val="0"/>
          <c:showBubbleSize val="0"/>
        </c:dLbls>
        <c:gapWidth val="75"/>
        <c:axId val="1105746296"/>
        <c:axId val="1105745120"/>
      </c:barChart>
      <c:lineChart>
        <c:grouping val="stacked"/>
        <c:varyColors val="0"/>
        <c:ser>
          <c:idx val="1"/>
          <c:order val="1"/>
          <c:tx>
            <c:strRef>
              <c:f>'CURVA ABC'!$C$67</c:f>
              <c:strCache>
                <c:ptCount val="1"/>
                <c:pt idx="0">
                  <c:v>Soma de P. TOTAL NÃO DESONERADO2</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ABC'!$C$68:$C$84</c:f>
              <c:numCache>
                <c:formatCode>0.00%</c:formatCode>
                <c:ptCount val="16"/>
                <c:pt idx="0">
                  <c:v>0.28820541943389094</c:v>
                </c:pt>
                <c:pt idx="1">
                  <c:v>0.41233436123625217</c:v>
                </c:pt>
                <c:pt idx="2">
                  <c:v>0.50139395621468619</c:v>
                </c:pt>
                <c:pt idx="3">
                  <c:v>0.5756530409294065</c:v>
                </c:pt>
                <c:pt idx="4">
                  <c:v>0.64691980730838461</c:v>
                </c:pt>
                <c:pt idx="5">
                  <c:v>0.71432855871470868</c:v>
                </c:pt>
                <c:pt idx="6">
                  <c:v>0.78114395403429759</c:v>
                </c:pt>
                <c:pt idx="7">
                  <c:v>0.83289231290982346</c:v>
                </c:pt>
                <c:pt idx="8">
                  <c:v>0.88395329429322755</c:v>
                </c:pt>
                <c:pt idx="9">
                  <c:v>0.92019696322970934</c:v>
                </c:pt>
                <c:pt idx="10">
                  <c:v>0.95095528414267649</c:v>
                </c:pt>
                <c:pt idx="11">
                  <c:v>0.97592010605438917</c:v>
                </c:pt>
                <c:pt idx="12">
                  <c:v>0.98947317195407081</c:v>
                </c:pt>
                <c:pt idx="13">
                  <c:v>0.99437870124520344</c:v>
                </c:pt>
                <c:pt idx="14">
                  <c:v>0.99809593198181656</c:v>
                </c:pt>
                <c:pt idx="15">
                  <c:v>1.0000000000000002</c:v>
                </c:pt>
              </c:numCache>
            </c:numRef>
          </c:val>
          <c:smooth val="0"/>
        </c:ser>
        <c:ser>
          <c:idx val="2"/>
          <c:order val="2"/>
          <c:tx>
            <c:strRef>
              <c:f>'CURVA ABC'!$D$67</c:f>
              <c:strCache>
                <c:ptCount val="1"/>
                <c:pt idx="0">
                  <c:v>Soma de P. TOTAL NÃO DESONERADO3</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ABC'!$D$68:$D$84</c:f>
              <c:numCache>
                <c:formatCode>"R$"\ #,##0.00</c:formatCode>
                <c:ptCount val="16"/>
                <c:pt idx="0">
                  <c:v>813902.98999999987</c:v>
                </c:pt>
                <c:pt idx="1">
                  <c:v>350544.81999999995</c:v>
                </c:pt>
                <c:pt idx="2">
                  <c:v>251507.66</c:v>
                </c:pt>
                <c:pt idx="3">
                  <c:v>209710.46</c:v>
                </c:pt>
                <c:pt idx="4">
                  <c:v>201260.04</c:v>
                </c:pt>
                <c:pt idx="5">
                  <c:v>190364.86</c:v>
                </c:pt>
                <c:pt idx="6">
                  <c:v>188689.19999999998</c:v>
                </c:pt>
                <c:pt idx="7">
                  <c:v>146139.32</c:v>
                </c:pt>
                <c:pt idx="8">
                  <c:v>144198.14000000001</c:v>
                </c:pt>
                <c:pt idx="9">
                  <c:v>102353.49</c:v>
                </c:pt>
                <c:pt idx="10">
                  <c:v>86862.659999999989</c:v>
                </c:pt>
                <c:pt idx="11">
                  <c:v>70501.600000000006</c:v>
                </c:pt>
                <c:pt idx="12">
                  <c:v>38274.369999999995</c:v>
                </c:pt>
                <c:pt idx="13">
                  <c:v>13853.400000000001</c:v>
                </c:pt>
                <c:pt idx="14">
                  <c:v>10497.600000000002</c:v>
                </c:pt>
                <c:pt idx="15">
                  <c:v>5377.16</c:v>
                </c:pt>
              </c:numCache>
            </c:numRef>
          </c:val>
          <c:smooth val="0"/>
        </c:ser>
        <c:dLbls>
          <c:showLegendKey val="0"/>
          <c:showVal val="0"/>
          <c:showCatName val="0"/>
          <c:showSerName val="0"/>
          <c:showPercent val="0"/>
          <c:showBubbleSize val="0"/>
        </c:dLbls>
        <c:marker val="1"/>
        <c:smooth val="0"/>
        <c:axId val="1105746296"/>
        <c:axId val="1105745120"/>
      </c:lineChart>
      <c:catAx>
        <c:axId val="1105746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105745120"/>
        <c:crosses val="autoZero"/>
        <c:auto val="1"/>
        <c:lblAlgn val="ctr"/>
        <c:lblOffset val="100"/>
        <c:noMultiLvlLbl val="0"/>
      </c:catAx>
      <c:valAx>
        <c:axId val="110574512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105746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95247</xdr:colOff>
      <xdr:row>0</xdr:row>
      <xdr:rowOff>114300</xdr:rowOff>
    </xdr:from>
    <xdr:to>
      <xdr:col>16</xdr:col>
      <xdr:colOff>536862</xdr:colOff>
      <xdr:row>41</xdr:row>
      <xdr:rowOff>190499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241</xdr:row>
      <xdr:rowOff>38100</xdr:rowOff>
    </xdr:from>
    <xdr:to>
      <xdr:col>1</xdr:col>
      <xdr:colOff>3295651</xdr:colOff>
      <xdr:row>243</xdr:row>
      <xdr:rowOff>102060</xdr:rowOff>
    </xdr:to>
    <xdr:pic>
      <xdr:nvPicPr>
        <xdr:cNvPr id="2" name="Picture 2">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1" y="33032700"/>
          <a:ext cx="3924300" cy="44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36</xdr:row>
      <xdr:rowOff>38100</xdr:rowOff>
    </xdr:from>
    <xdr:to>
      <xdr:col>1</xdr:col>
      <xdr:colOff>3067579</xdr:colOff>
      <xdr:row>38</xdr:row>
      <xdr:rowOff>76200</xdr:rowOff>
    </xdr:to>
    <xdr:pic>
      <xdr:nvPicPr>
        <xdr:cNvPr id="3" name="Picture 2">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5000625"/>
          <a:ext cx="3696229"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112</xdr:row>
      <xdr:rowOff>38100</xdr:rowOff>
    </xdr:from>
    <xdr:to>
      <xdr:col>1</xdr:col>
      <xdr:colOff>3095625</xdr:colOff>
      <xdr:row>114</xdr:row>
      <xdr:rowOff>79380</xdr:rowOff>
    </xdr:to>
    <xdr:pic>
      <xdr:nvPicPr>
        <xdr:cNvPr id="4" name="Picture 2">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4344650"/>
          <a:ext cx="3724275" cy="422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193</xdr:row>
      <xdr:rowOff>38100</xdr:rowOff>
    </xdr:from>
    <xdr:to>
      <xdr:col>1</xdr:col>
      <xdr:colOff>2714625</xdr:colOff>
      <xdr:row>195</xdr:row>
      <xdr:rowOff>36180</xdr:rowOff>
    </xdr:to>
    <xdr:pic>
      <xdr:nvPicPr>
        <xdr:cNvPr id="5" name="Picture 2">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23879175"/>
          <a:ext cx="3343275" cy="37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6650182</xdr:colOff>
      <xdr:row>117</xdr:row>
      <xdr:rowOff>103908</xdr:rowOff>
    </xdr:from>
    <xdr:to>
      <xdr:col>4</xdr:col>
      <xdr:colOff>383165</xdr:colOff>
      <xdr:row>150</xdr:row>
      <xdr:rowOff>36798</xdr:rowOff>
    </xdr:to>
    <xdr:pic>
      <xdr:nvPicPr>
        <xdr:cNvPr id="6" name="Imagem 5">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4682" y="8104908"/>
          <a:ext cx="5959619" cy="6219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MPOSI&#199;&#213;ES%20OK"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TA&#199;&#195;O%20O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ÕES OK"/>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OK"/>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io Fernandes Mendes Silva" refreshedDate="44739.592455092592" createdVersion="5" refreshedVersion="5" minRefreshableVersion="3" recordCount="617">
  <cacheSource type="worksheet">
    <worksheetSource ref="A11:L628" sheet="PLANILHA"/>
  </cacheSource>
  <cacheFields count="12">
    <cacheField name="ITEM" numFmtId="0">
      <sharedItems containsBlank="1" count="597">
        <m/>
        <s v="1.0"/>
        <s v="1.1"/>
        <s v="1.2"/>
        <s v="1.3"/>
        <s v="1.4"/>
        <s v="1.5"/>
        <s v="1.6"/>
        <s v="1.7"/>
        <s v="TOTAL DO ITEM &gt;&gt;&gt;&gt;1.0"/>
        <s v="2.0"/>
        <s v="2.1"/>
        <s v="TOTAL DO ITEM &gt;&gt;&gt;&gt;2.0"/>
        <s v="3.0"/>
        <s v="3.1"/>
        <s v="3.1.1"/>
        <s v="3.1.2"/>
        <s v="3.1.3"/>
        <s v="3.1.4"/>
        <s v="3.1.5"/>
        <s v="3.1.6"/>
        <s v="3.1.7"/>
        <s v="TOTAL DO ITEM &gt;&gt;&gt;&gt;3.1"/>
        <s v="3.2"/>
        <s v="3.2.1"/>
        <s v="3.2.2"/>
        <s v="3.2.3"/>
        <s v="3.2.4"/>
        <s v="TOTAL DO ITEM &gt;&gt;&gt;&gt;3.2"/>
        <s v="3.3"/>
        <s v="3.3.1"/>
        <s v="3.3.2"/>
        <s v="3.3.3"/>
        <s v="3.3.4"/>
        <s v="3.3.5"/>
        <s v="3.3.6"/>
        <s v="TOTAL DO ITEM &gt;&gt;&gt;&gt;3.3"/>
        <s v="3.4"/>
        <s v="3.4.1"/>
        <s v="3.4.2"/>
        <s v="3.4.3"/>
        <s v="3.4.4"/>
        <s v="TOTAL DO ITEM &gt;&gt;&gt;&gt;3.4"/>
        <s v="3.5"/>
        <s v="3.5.1"/>
        <s v="TOTAL DO ITEM &gt;&gt;&gt;&gt;3.5"/>
        <s v="3.6"/>
        <s v="3.6.1"/>
        <s v="3.6.2"/>
        <s v="3.6.3"/>
        <s v="3.6.4"/>
        <s v="TOTAL DO ITEM &gt;&gt;&gt;&gt;3.6"/>
        <s v="3.7"/>
        <s v="3.7.1"/>
        <s v="3.7.2"/>
        <s v="3.7.3"/>
        <s v="TOTAL DO ITEM &gt;&gt;&gt;&gt;3.7"/>
        <s v="3.8"/>
        <s v="3.8.1"/>
        <s v="3.8.2"/>
        <s v="3.8.3"/>
        <s v="3.8.4"/>
        <s v="3.8.5"/>
        <s v="3.8.6"/>
        <s v="3.8.7"/>
        <s v="3.8.8"/>
        <s v="TOTAL DO ITEM &gt;&gt;&gt;&gt;3.8"/>
        <s v="3.9"/>
        <s v="3.9.1"/>
        <s v="3.9.2"/>
        <s v="3.9.3"/>
        <s v="TOTAL DO ITEM &gt;&gt;&gt;&gt;3.9"/>
        <s v="TOTAL DO ITEM &gt;&gt;&gt;&gt;3.0"/>
        <s v="4.0"/>
        <s v="4.1"/>
        <s v="4.1.1"/>
        <s v="4.1.2"/>
        <s v="4.1.3"/>
        <s v="4.1.4"/>
        <s v="TOTAL DO ITEM &gt;&gt;&gt;&gt;4.1"/>
        <s v="4.2"/>
        <s v="4.2.1"/>
        <s v="4.2.2"/>
        <s v="TOTAL DO ITEM &gt;&gt;&gt;&gt;4.2"/>
        <s v="4.3"/>
        <s v="4.3.1"/>
        <s v="4.3.2"/>
        <s v="4.3.3"/>
        <s v="4.3.4"/>
        <s v="4.3.5"/>
        <s v="4.3.6"/>
        <s v="4.3.7"/>
        <s v="4.3.8"/>
        <s v="4.3.9"/>
        <s v="TOTAL DO ITEM &gt;&gt;&gt;&gt;4.3"/>
        <s v="4.4"/>
        <s v="4.4.1"/>
        <s v="4.4.2"/>
        <s v="4.4.3"/>
        <s v="4.4.4"/>
        <s v="4.4.5"/>
        <s v="4.4.6"/>
        <s v="TOTAL DO ITEM &gt;&gt;&gt;&gt;4.4"/>
        <s v="4.5"/>
        <s v="4.5.1"/>
        <s v="4.5.2"/>
        <s v="4.5.3"/>
        <s v="TOTAL DO ITEM &gt;&gt;&gt;&gt;4.5"/>
        <s v="TOTAL DO ITEM &gt;&gt;&gt;&gt;4.0"/>
        <s v="5.0"/>
        <s v="5.1"/>
        <s v="5.1.1"/>
        <s v="5.1.2"/>
        <s v="5.1.3"/>
        <s v="TOTAL DO ITEM &gt;&gt;&gt;&gt;5.1"/>
        <s v="5.2"/>
        <s v="5.2.1"/>
        <s v="5.2.2"/>
        <s v="TOTAL DO ITEM &gt;&gt;&gt;&gt;5.2"/>
        <s v="5.3"/>
        <s v="5.3.1"/>
        <s v="5.3.2"/>
        <s v="5.3.3"/>
        <s v="TOTAL DO ITEM &gt;&gt;&gt;&gt;5.3"/>
        <s v="5.4"/>
        <s v="5.4.1"/>
        <s v="5.4.2"/>
        <s v="5.4.3"/>
        <s v="5.4.4"/>
        <s v="5.4.5"/>
        <s v="TOTAL DO ITEM &gt;&gt;&gt;&gt;5.4"/>
        <s v="5.5"/>
        <s v="5.5.1"/>
        <s v="5.5.2"/>
        <s v="5.5.3"/>
        <s v="5.5.4"/>
        <s v="5.5.5"/>
        <s v="5.5.6"/>
        <s v="TOTAL DO ITEM &gt;&gt;&gt;&gt;5.5"/>
        <s v="TOTAL DO ITEM &gt;&gt;&gt;&gt;5.0"/>
        <s v="6.0"/>
        <s v="6.1"/>
        <s v="6.1.1"/>
        <s v="6.1.2"/>
        <s v="6.1.3"/>
        <s v="6.1.4"/>
        <s v="6.1.5"/>
        <s v="6.1.6"/>
        <s v="TOTAL DO ITEM &gt;&gt;&gt;&gt;6.1"/>
        <s v="6.2"/>
        <s v="6.2.1"/>
        <s v="6.2.2"/>
        <s v="6.2.3"/>
        <s v="6.2.4"/>
        <s v="6.2.5"/>
        <s v="6.2.6"/>
        <s v="6.2.7"/>
        <s v="6.2.8"/>
        <s v="6.2.9"/>
        <s v="6.2.10"/>
        <s v="6.2.11"/>
        <s v="TOTAL DO ITEM &gt;&gt;&gt;&gt;6.2"/>
        <s v="6.3"/>
        <s v="6.3.1"/>
        <s v="6.3.2"/>
        <s v="6.3.3"/>
        <s v="6.3.4"/>
        <s v="6.3.5"/>
        <s v="6.3.6"/>
        <s v="6.3.7"/>
        <s v="6.3.8"/>
        <s v="6.3.9"/>
        <s v="6.3.10"/>
        <s v="6.3.11"/>
        <s v="6.3.12"/>
        <s v="6.3.13"/>
        <s v="6.3.14"/>
        <s v="TOTAL DO ITEM &gt;&gt;&gt;&gt;6.3"/>
        <s v="6.4"/>
        <s v="6.4.1"/>
        <s v="6.4.2"/>
        <s v="6.4.3"/>
        <s v="6.4.4"/>
        <s v="6.4.5"/>
        <s v="6.4.6"/>
        <s v="6.4.7"/>
        <s v="6.4.8"/>
        <s v="6.4.9"/>
        <s v="6.4.10"/>
        <s v="6.4.11"/>
        <s v="TOTAL DO ITEM &gt;&gt;&gt;&gt;6.4"/>
        <s v="6.5"/>
        <s v="6.5.1"/>
        <s v="6.5.1.1"/>
        <s v="6.5.1.2"/>
        <s v="6.5.1.3"/>
        <s v="6.5.1.4"/>
        <s v="TOTAL DO ITEM &gt;&gt;&gt;&gt;6.5.1"/>
        <s v="6.5.2"/>
        <s v="6.5.2.1"/>
        <s v="6.5.2.2"/>
        <s v="6.5.2.3"/>
        <s v="6.5.2.4"/>
        <s v="6.5.2.5"/>
        <s v="6.5.2.6"/>
        <s v="6.5.2.7"/>
        <s v="6.5.2.8"/>
        <s v="TOTAL DO ITEM &gt;&gt;&gt;&gt;6.5.2"/>
        <s v="6.5.3"/>
        <s v="6.5.3.1"/>
        <s v="6.5.3.2"/>
        <s v="TOTAL DO ITEM &gt;&gt;&gt;&gt;6.5.3"/>
        <s v="TOTAL DO ITEM &gt;&gt;&gt;&gt;6.5"/>
        <s v="TOTAL DO ITEM &gt;&gt;&gt;&gt;6.0"/>
        <s v="7.0"/>
        <s v="7.1"/>
        <s v="7.1.1"/>
        <s v="7.1.2"/>
        <s v="7.1.3"/>
        <s v="7.1.4"/>
        <s v="7.1.6"/>
        <s v="7.1.9"/>
        <s v="7.1.10"/>
        <s v="7.1.12"/>
        <s v="7.1.13"/>
        <s v="7.1.14"/>
        <s v="7.1.15"/>
        <s v="7.1.16"/>
        <s v="TOTAL DO ITEM &gt;&gt;&gt;&gt;7.1"/>
        <s v="7.2"/>
        <s v="7.2.1"/>
        <s v="7.2.2"/>
        <s v="7.2.3"/>
        <s v="7.2.4"/>
        <s v="7.2.5"/>
        <s v="7.2.6"/>
        <s v="7.2.7"/>
        <s v="7.2.8"/>
        <s v="7.2.9"/>
        <s v="7.2.10"/>
        <s v="7.2.11"/>
        <s v="7.2.12"/>
        <s v="7.2.13"/>
        <s v="7.2.14"/>
        <s v="7.2.15"/>
        <s v="7.2.16"/>
        <s v="7.2.17"/>
        <s v="7.2.18"/>
        <s v="7.2.19"/>
        <s v="7.2.20"/>
        <s v="7.2.21"/>
        <s v="7.2.22"/>
        <s v="7.2.23"/>
        <s v="7.2.24"/>
        <s v="7.2.25"/>
        <s v="7.2.26"/>
        <s v="7.2.27"/>
        <s v="7.2.28"/>
        <s v="7.2.29"/>
        <s v="7.2.30"/>
        <s v="7.2.31"/>
        <s v="7.2.32"/>
        <s v="7.2.33"/>
        <s v="7.2.34"/>
        <s v="7.2.35"/>
        <s v="7.2.36"/>
        <s v="7.2.37"/>
        <s v="7.2.38"/>
        <s v="7.2.39"/>
        <s v="7.2.40"/>
        <s v="7.2.41"/>
        <s v="7.2.42"/>
        <s v="7.2.43"/>
        <s v="7.2.44"/>
        <s v="7.2.45"/>
        <s v="7.2.46"/>
        <s v="7.2.47"/>
        <s v="7.2.48"/>
        <s v="7.2.49"/>
        <s v="7.2.50"/>
        <s v="7.2.51"/>
        <s v="7.2.52"/>
        <s v="7.2.53"/>
        <s v="7.2.54"/>
        <s v="7.2.55"/>
        <s v="7.2.56"/>
        <s v="7.2.57"/>
        <s v="7.2.58"/>
        <s v="7.2.59"/>
        <s v="TOTAL DO ITEM &gt;&gt;&gt;&gt;7.2"/>
        <s v="7.3"/>
        <s v="7.3.1"/>
        <s v="7.3.2"/>
        <s v="7.3.3"/>
        <s v="7.3.4"/>
        <s v="7.3.5"/>
        <s v="7.3.6"/>
        <s v="7.3.7"/>
        <s v="7.3.8"/>
        <s v="7.3.9"/>
        <s v="7.3.10"/>
        <s v="7.3.11"/>
        <s v="7.3.12"/>
        <s v="7.3.13"/>
        <s v="7.3.14"/>
        <s v="7.3.15"/>
        <s v="7.3.16"/>
        <s v="7.3.17"/>
        <s v="7.3.18"/>
        <s v="7.3.19"/>
        <s v="7.3.20"/>
        <s v="7.3.21"/>
        <s v="7.3.22"/>
        <s v="7.3.23"/>
        <s v="7.3.24"/>
        <s v="7.3.25"/>
        <s v="TOTAL DO ITEM &gt;&gt;&gt;&gt;7.3"/>
        <s v="TOTAL DO ITEM &gt;&gt;&gt;&gt;7.0"/>
        <s v="8.0"/>
        <s v="8.1"/>
        <s v="8.1.1"/>
        <s v="8.1.2"/>
        <s v="8.1.3"/>
        <s v="8.1.4"/>
        <s v="8.1.5"/>
        <s v="8.1.6"/>
        <s v="8.1.7"/>
        <s v="8.1.8"/>
        <s v="8.1.9"/>
        <s v="8.1.10"/>
        <s v="8.1.11"/>
        <s v="8.1.12"/>
        <s v="8.1.13"/>
        <s v="8.1.14"/>
        <s v="8.1.15"/>
        <s v="8.1.16"/>
        <s v="8.1.17"/>
        <s v="TOTAL DO ITEM &gt;&gt;&gt;&gt;8.1"/>
        <s v="TOTAL DO ITEM &gt;&gt;&gt;&gt;8.0"/>
        <s v="9.0"/>
        <s v="9.1"/>
        <s v="9.1.1"/>
        <s v="9.1.2"/>
        <s v="9.1.3"/>
        <s v="9.1.4"/>
        <s v="9.1.5"/>
        <s v="9.1.6"/>
        <s v="9.1.7"/>
        <s v="TOTAL DO ITEM &gt;&gt;&gt;&gt;9.1"/>
        <s v="TOTAL DO ITEM &gt;&gt;&gt;&gt;9.0"/>
        <s v="10.0"/>
        <s v="10.1"/>
        <s v="10.2"/>
        <s v="10.3"/>
        <s v="10.4"/>
        <s v="10.5"/>
        <s v="10.6"/>
        <s v="10.7"/>
        <s v="10.8"/>
        <s v="10.9"/>
        <s v="10.10"/>
        <s v="10.11"/>
        <s v="10.12"/>
        <s v="10.13"/>
        <s v="10.14"/>
        <s v="10.15"/>
        <s v="10.16"/>
        <s v="10.17"/>
        <s v="TOTAL DO ITEM &gt;&gt;&gt;&gt;10.0"/>
        <s v="11.0"/>
        <s v="11.1"/>
        <s v="11.1.1"/>
        <s v="11.1.2"/>
        <s v="11.1.3"/>
        <s v="11.1.4"/>
        <s v="TOTAL DO ITEM &gt;&gt;&gt;&gt;11.1"/>
        <s v="11.2"/>
        <s v="11.2.1"/>
        <s v="11.2.2"/>
        <s v="11.2.3"/>
        <s v="11.2.4"/>
        <s v="11.2.5"/>
        <s v="11.2.6"/>
        <s v="11.2.7"/>
        <s v="11.2.8"/>
        <s v="11.2.9"/>
        <s v="TOTAL DO ITEM &gt;&gt;&gt;&gt;11.2"/>
        <s v="11.3"/>
        <s v="11.3.1"/>
        <s v="11.3.2"/>
        <s v="TOTAL DO ITEM &gt;&gt;&gt;&gt;11.3"/>
        <s v="11.4"/>
        <s v="11.4.1"/>
        <s v="11.4.2"/>
        <s v="TOTAL DO ITEM &gt;&gt;&gt;&gt;11.4"/>
        <s v="TOTAL DO ITEM &gt;&gt;&gt;&gt;11.0"/>
        <s v="12.0"/>
        <s v="12.1"/>
        <s v="12.1.1"/>
        <s v="12.1.2"/>
        <s v="12.1.3"/>
        <s v="TOTAL DO ITEM &gt;&gt;&gt;&gt;12.1"/>
        <s v="12.2"/>
        <s v="12.2.1"/>
        <s v="12.2.2"/>
        <s v="12.2.3"/>
        <s v="12.2.4"/>
        <s v="12.2.5"/>
        <s v="12.2.6"/>
        <s v="12.2.7"/>
        <s v="12.2.8"/>
        <s v="12.2.9"/>
        <s v="12.2.10"/>
        <s v="12.2.11"/>
        <s v="TOTAL DO ITEM &gt;&gt;&gt;&gt;12.2"/>
        <s v="12.3"/>
        <s v="12.3.1"/>
        <s v="12.3.2"/>
        <s v="12.3.3"/>
        <s v="12.3.4"/>
        <s v="12.3.5"/>
        <s v="TOTAL DO ITEM &gt;&gt;&gt;&gt;12.3"/>
        <s v="12.4"/>
        <s v="12.4.1"/>
        <s v="12.4.2"/>
        <s v="12.4.3"/>
        <s v="TOTAL DO ITEM &gt;&gt;&gt;&gt;12.4"/>
        <s v="TOTAL DO ITEM &gt;&gt;&gt;&gt;12.0"/>
        <s v="13.0"/>
        <s v="13.1"/>
        <s v="13.1.1"/>
        <s v="13.1.1.1"/>
        <s v="13.1.1.2"/>
        <s v="TOTAL DO ITEM &gt;&gt;&gt;&gt;13.1.1"/>
        <s v="13.1.2"/>
        <s v="13.1.2.1"/>
        <s v="13.1.2.2"/>
        <s v="13.1.2.3"/>
        <s v="13.1.2.4"/>
        <s v="13.1.2.5"/>
        <s v="13.1.2.6"/>
        <s v="13.1.2.7"/>
        <s v="13.1.2.8"/>
        <s v="TOTAL DO ITEM &gt;&gt;&gt;&gt;13.1.2"/>
        <s v="13.1.3"/>
        <s v="13.1.3.1"/>
        <s v="13.1.3.2"/>
        <s v="13.1.3.3"/>
        <s v="13.1.3.4"/>
        <s v="13.1.3.5"/>
        <s v="13.1.3.6"/>
        <s v="13.1.3.7"/>
        <s v="13.1.3.8"/>
        <s v="13.1.3.9"/>
        <s v="13.1.3.10"/>
        <s v="13.1.3.11"/>
        <s v="13.1.3.12"/>
        <s v="TOTAL DO ITEM &gt;&gt;&gt;&gt;13.1.3"/>
        <s v="13.2"/>
        <s v="13.2.1"/>
        <s v="13.2.1.1"/>
        <s v="13.2.1.2"/>
        <s v="TOTAL DO ITEM &gt;&gt;&gt;&gt;13.2.1"/>
        <s v="13.3"/>
        <s v="13.3.1"/>
        <s v="13.3.2"/>
        <s v="13.3.3"/>
        <s v="TOTAL DO ITEM &gt;&gt;&gt;&gt;13.3"/>
        <s v="13.4"/>
        <s v="13.4.1"/>
        <s v="13.4.1.1"/>
        <s v="13.4.1.2"/>
        <s v="TOTAL DO ITEM &gt;&gt;&gt;&gt;13.4.1"/>
        <s v="13.4.2"/>
        <s v="13.4.2.1"/>
        <s v="13.4.2.2"/>
        <s v="13.4.2.3"/>
        <s v="13.4.2.4"/>
        <s v="13.4.2.5"/>
        <s v="13.4.2.6"/>
        <s v="TOTAL DO ITEM &gt;&gt;&gt;&gt;13.4.2"/>
        <s v="13.4.3"/>
        <s v="13.4.3.1"/>
        <s v="13.4.3.2"/>
        <s v="13.4.3.3"/>
        <s v="13.4.3.4"/>
        <s v="TOTAL DO ITEM &gt;&gt;&gt;&gt;13.4.3"/>
        <s v="TOTAL DO ITEM &gt;&gt;&gt;&gt;13.0"/>
        <s v="14.0"/>
        <s v="14.1"/>
        <s v="14.2"/>
        <s v="14.3"/>
        <s v="14.4"/>
        <s v="14.5"/>
        <s v="14.6"/>
        <s v="TOTAL DO ITEM &gt;&gt;&gt;&gt;14.0"/>
        <s v="15.0"/>
        <s v="15.1"/>
        <s v="15.1.1"/>
        <s v="15.1.2"/>
        <s v="15.1.3"/>
        <s v="15.1.4"/>
        <s v="TOTAL DO ITEM &gt;&gt;&gt;&gt;15.1"/>
        <s v="15.2"/>
        <s v="15.2.1"/>
        <s v="15.2.2"/>
        <s v="15.2.3"/>
        <s v="15.2.4"/>
        <s v="15.2.5"/>
        <s v="15.2.6"/>
        <s v="15.2.7"/>
        <s v="15.2.8"/>
        <s v="15.2.9"/>
        <s v="TOTAL DO ITEM &gt;&gt;&gt;&gt;15.2"/>
        <s v="15.3"/>
        <s v="15.3.1"/>
        <s v="TOTAL DO ITEM &gt;&gt;&gt;&gt;15.3"/>
        <s v="TOTAL DO ITEM &gt;&gt;&gt;&gt;15.0"/>
        <s v="16.0"/>
        <s v="16.1"/>
        <s v="16.1.1"/>
        <s v="16.1.2"/>
        <s v="16.1.3"/>
        <s v="16.1.4"/>
        <s v="TOTAL DO ITEM &gt;&gt;&gt;&gt;16.1"/>
        <s v="16.2"/>
        <s v="16.2.1"/>
        <s v="16.2.2"/>
        <s v="16.2.3"/>
        <s v="16.2.4"/>
        <s v="16.2.5"/>
        <s v="16.2.6"/>
        <s v="16.2.7"/>
        <s v="TOTAL DO ITEM &gt;&gt;&gt;&gt;16.2"/>
        <s v="16.3"/>
        <s v="16.3.1"/>
        <s v="16.3.2"/>
        <s v="16.3.3"/>
        <s v="16.3.4"/>
        <s v="16.3.5"/>
        <s v="16.3.6"/>
        <s v="16.3.7"/>
        <s v="16.3.8"/>
        <s v="16.3.9"/>
        <s v="TOTAL DO ITEM &gt;&gt;&gt;&gt;16.3"/>
        <s v="16.4"/>
        <s v="16.4.1"/>
        <s v="16.4.2"/>
        <s v="16.4.3"/>
        <s v="TOTAL DO ITEM &gt;&gt;&gt;&gt;16.4"/>
        <s v="TOTAL DO ITEM &gt;&gt;&gt;&gt;16.0"/>
        <s v="13.5.2" u="1"/>
        <s v="6.4.18" u="1"/>
        <s v="6.4.16" u="1"/>
        <s v="13.5.2.1" u="1"/>
        <s v="TOTAL DO ITEM &gt;&gt;&gt;&gt;13.4" u="1"/>
        <s v="6.4.14" u="1"/>
        <s v="6.4.12" u="1"/>
        <s v="7.1.11" u="1"/>
        <s v="13.5.2.2" u="1"/>
        <s v="13.5.2.3" u="1"/>
        <s v="13.5.2.4" u="1"/>
        <s v="10.20" u="1"/>
        <s v="10.21" u="1"/>
        <s v="13.5.2.5" u="1"/>
        <s v="10.22" u="1"/>
        <s v="10.30" u="1"/>
        <s v="10.23" u="1"/>
        <s v="10.24" u="1"/>
        <s v="10.25" u="1"/>
        <s v="13.5.2.6" u="1"/>
        <s v="10.18" u="1"/>
        <s v="10.26" u="1"/>
        <s v="10.19" u="1"/>
        <s v="10.27" u="1"/>
        <s v="10.28" u="1"/>
        <s v="10.29" u="1"/>
        <s v="13.5.3" u="1"/>
        <s v="13.5.1" u="1"/>
        <s v="TOTAL DO ITEM &gt;&gt;&gt;&gt;13.5.1" u="1"/>
        <s v="6.4.19" u="1"/>
        <s v="16.2.8" u="1"/>
        <s v="TOTAL DO ITEM &gt;&gt;&gt;&gt;13.5.2" u="1"/>
        <s v="6.4.17" u="1"/>
        <s v="13.5.3.1" u="1"/>
        <s v="TOTAL DO ITEM &gt;&gt;&gt;&gt;13.5.3" u="1"/>
        <s v="6.4.15" u="1"/>
        <s v="13.5.1.1" u="1"/>
        <s v="6.4.13" u="1"/>
        <s v="13.5.3.2" u="1"/>
        <s v="13.5.1.2" u="1"/>
        <s v="3.5.2" u="1"/>
        <s v="3.5.3" u="1"/>
        <s v="7.1.5" u="1"/>
        <s v="7.1.7" u="1"/>
        <s v="7.1.8" u="1"/>
        <s v="13.5" u="1"/>
      </sharedItems>
    </cacheField>
    <cacheField name="FONTE" numFmtId="0">
      <sharedItems containsBlank="1" count="4">
        <m/>
        <s v="SEPLAG"/>
        <s v="SINAPI"/>
        <s v="PROPRIA" u="1"/>
      </sharedItems>
    </cacheField>
    <cacheField name="CODIGO" numFmtId="0">
      <sharedItems containsBlank="1" containsMixedTypes="1" containsNumber="1" containsInteger="1" minValue="21014" maxValue="103670"/>
    </cacheField>
    <cacheField name="SERVIÇOS" numFmtId="0">
      <sharedItems containsBlank="1" count="393" longText="1">
        <m/>
        <s v="SERVIÇOS PRELIMINARES"/>
        <s v="PLACA DE OBRA EM CHAPA DE ACO GALVANIZADO. FORNECIMENTO E INSTALAÇÃO."/>
        <s v="EXECUÇÃO DE ESCRITÓRIO EM CANTEIRO DE OBRA EM CHAPA DE MADEIRA COMPENSADA, NÃO INCLUSO MOBILIÁRIO E EQUIPAMENTOS. AF_02/2016"/>
        <s v="EXECUÇÃO DE ALMOXARIFADO EM CANTEIRO DE OBRA EM CHAPA DE MADEIRA COMPENSADA, INCLUSO PRATELEIRAS. AF_02/2016"/>
        <s v="EXECUÇÃO DE REFEITÓRIO EM CANTEIRO DE OBRA EM CHAPA DE MADEIRA COMPENSADA, NÃO INCLUSO MOBILIÁRIO E EQUIPAMENTOS. AF_02/2016"/>
        <s v="EXECUÇÃO DE SANITÁRIO E VESTIÁRIO EM CANTEIRO DE OBRA EM CHAPA DE MADEIRA COMPENSADA, NÃO INCLUSO MOBILIÁRIO. AF_02/2016"/>
        <s v="EXECUÇÃO DE RESERVATÓRIO ELEVADO DE ÁGUA (2000 LITROS) EM CANTEIRO DE OBRA, APOIADO EM ESTRUTURA DE MADEIRA. AF_02/2016"/>
        <s v="BANHEIRO QUÍMICO, FORNECIMENTO E INSTALAÇÃO."/>
        <s v="ADMINISTRAÇÃO LOCAL DE OBRA"/>
        <s v="ADMINISTRAÇÃO LOCAL DE OBRA."/>
        <s v="SUBSOLO"/>
        <s v="DEMOLIÇÃO "/>
        <s v="REMOÇÃO DE FORROS DE DRYWALL, PVC E FIBROMINERAL, DE FORMA MANUAL, SEM REAPROVEITAMENTO. AF_12/2017"/>
        <s v="REMOÇÃO DE PORTAS, DE FORMA MANUAL, SEM REAPROVEITAMENTO. AF_12/2017"/>
        <s v="REMOÇÃO DE JANELAS, DE FORMA MANUAL, SEM REAPROVEITAMENTO. AF_12/2017"/>
        <s v="DEMOLIÇÃO DE DIVISÓRIA NAVAL, INCLUSIVE AFASTAMENTO."/>
        <s v="DEMOLIÇÃO DE REVESTIMENTO CERÂMICO, DE FORMA MANUAL, SEM REAPROVEITAMENTO. AF_12/2017"/>
        <s v="REMOÇÃO DE LOUÇAS, DE FORMA MANUAL, SEM REAPROVEITAMENTO. AF_12/2017"/>
        <s v="DEMOLIÇÃO DE CONCRETO SIMPLES - COM EQUIPAMENTO ELÉTRICO, INCLUSIVE AFASTAMENTO."/>
        <s v="MOVIMENTO DE SOLO"/>
        <s v="ESCAVAÇÃO MANUAL PARA BLOCO DE COROAMENTO OU SAPATA (INCLUINDO ESCAVAÇÃO PARA COLOCAÇÃO DE FÔRMAS). AF_06/2017"/>
        <s v="PREPARO DE FUNDO DE VALA COM LARGURA MENOR QUE 1,5 M (ACERTO DO SOLO NATURAL). AF_08/2020"/>
        <s v="LASTRO DE CONCRETO MAGRO, APLICADO EM BLOCOS DE COROAMENTO OU SAPATAS. AF_08/2017"/>
        <s v="REATERRO MANUAL DE VALAS COM COMPACTAÇÃO MECANIZADA. AF_04/2016"/>
        <s v="FUNDAÇÃO/ESTRUTURA"/>
        <s v="CONCRETAGEM DE BLOCOS DE COROAMENTO E VIGAS BALDRAME, FCK 30 MPA, COM USO DE JERICA  LANÇAMENTO, ADENSAMENTO E ACABAMENTO. AF_06/2017"/>
        <s v="ARMAÇÃO DE BLOCO, VIGA BALDRAME E SAPATA UTILIZANDO AÇO CA-60 DE 5 MM - MONTAGEM. AF_06/2017"/>
        <s v="ARMAÇÃO DE BLOCO, VIGA BALDRAME OU SAPATA UTILIZANDO AÇO CA-50 DE 8 MM - MONTAGEM. AF_06/2017"/>
        <s v="ARMAÇÃO DE BLOCO, VIGA BALDRAME OU SAPATA UTILIZANDO AÇO CA-50 DE 10 MM - MONTAGEM. AF_06/2017"/>
        <s v="FABRICAÇÃO DE FÔRMA PARA PILARES E ESTRUTURAS SIMILARES, EM CHAPA DE MADEIRA COMPENSADA RESINADA, E = 17 MM. AF_09/2020"/>
        <s v="IMPERMEABILIZAÇÃO DE SUPERFÍCIE COM EMULSÃO ASFÁLTICA, 2 DEMÃOS AF_06/2018"/>
        <s v="ALVENARIA E FECHAMENTO"/>
        <s v="FORRO EM PLACAS DE GESSO, PARA AMBIENTES COMERCIAIS. AF_05/2017_P"/>
        <s v="ALVENARIA DE VEDAÇÃO DE BLOCOS CERÂMICOS FURADOS NA HORIZONTAL DE 9X19X19 CM (ESPESSURA 9 CM) E ARGAMASSA DE ASSENTAMENTO COM PREPARO EM BETONEIRA. AF_12/2021"/>
        <s v="CHAPISCO APLICADO EM ALVENARIA (SEM PRESENÇA DE VÃOS) E ESTRUTURAS DE CONCRETO DE FACHADA, COM COLHER DE PEDREIRO.  ARGAMASSA TRAÇO 1:3 COM PREPARO MANUAL. AF_06/2014"/>
        <s v="MASSA ÚNICA, PARA RECEBIMENTO DE PINTURA OU CERÂMICA, ARGAMASSA INDUSTRIALIZADA, PREPARO MECÂNICO, APLICADO COM EQUIPAMENTO DE MISTURA E PROJEÇÃO DE 1,5 M3/H EM FACES INTERNAS DE PAREDES, ESPESSURA DE 5MM, SEM EXECUÇÃO DE TALISCAS. AF_06/2014"/>
        <s v="PISOS"/>
        <s v="PISO ELEVADO COM ESTRUTURA EM AÇO, COMPOSTO POR PEDESTAIS E LONGARINAS. AF_09/2020"/>
        <s v="PINTURA"/>
        <s v="APLICAÇÃO DE FUNDO SELADOR ACRÍLICO EM PAREDES, UMA DEMÃO. AF_06/2014"/>
        <s v="APLICAÇÃO E LIXAMENTO DE MASSA LÁTEX EM PAREDES, DUAS DEMÃOS. AF_06/2014"/>
        <s v="APLICAÇÃO MANUAL DE PINTURA COM TINTA LÁTEX ACRÍLICA EM PAREDES, DUAS DEMÃOS. AF_06/2014"/>
        <s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
        <s v="PORTAS"/>
        <s v="KIT PORTA PRONTA PRETA LISA SÓLIDA PORMADE O,80X2,10,ACABAMENTO DE COR UNIFORME, MARCOS E ALIZARES EM PVC WOOD, RESISTENTES A ESTUFAMENTOS. FORNECIMENTO E INSTALAÇÃO."/>
        <s v="PORTA DE ALUMÍNIO DE ABRIR COM LAMBRI, 2 FOLHAS, 2,00x2,10 COM GUARNIÇÃO, FIXAÇÃO COM PARAFUSOS - FORNECIMENTO E INSTALAÇÃO. AF_12/2019"/>
        <s v="PORTA DE ALUMÍNIO DE CORRER, 4 FOLHAS, 2,00x2,10 COM GUARNIÇÃO,  FECHADURA E PUXADOR, SEM ALIZAR. AF_12/2019"/>
        <s v="JANELAS E VIDROS FIXOS"/>
        <s v="J10 (E.G) - JANELA MAXIN AR 6,15 x 1,35 (6 JANELAS DE 1,02). FORNECIMENTO E INSTALAÇÃO."/>
        <s v="J11 (E.G) - JANELA MAXIN AR 3,06 x 1,35 (3 JANELAS DE 1,02). FORNECIMENTO E INSTALAÇÃO."/>
        <s v="J12 (E.G) - JANELA MAXIN AR 3,80 x 0,9 (4 JANELAS DE 0,95). FORNECIMENTO E INSTALAÇÃO."/>
        <s v="J13 (E.G) - JANELA MAXIN AR 1,97 x 0,90 (2 JANELAS DE 0,98). FORNECIMENTO E INSTALAÇÃO."/>
        <s v="J21 (E.G) - JANELA MAXIN AR 0,90 x 0,90. FORNECIMENTO E INSTALAÇÃO."/>
        <s v="J22 (E.G) - JANELA MAXIN AR 1,04 x 1,35. FORNECIMENTO E INSTALAÇÃO."/>
        <s v="INSTALAÇÃO DE VIDRO LISO INCOLOR, E = 8 MM, EM ESQUADRIA DE ALUMÍNIO OU PVC, FIXADO COM BAGUETE. AF_01/2021_P"/>
        <s v="PELÍCULA DE SEGURANÇA PARA PAINES DE VIDRO, FONECIMENTO E INSTALAÇÃO."/>
        <s v="LOUÇAS E METAIS"/>
        <s v="BANCADA DE GRANITO BRANCO SIENA, DE 0,80 X 0,60 M, PARA LAVATÓRIO - FORNECIMENTO E INSTALAÇÃO. AF_01/2020"/>
        <s v="SAIA E FRONTÃO  EM GRANITO POLIDO - BRANCO SIENA  PARA LAVATÓRIO - FORNECIMENTO E INSTALAÇÃO. AF_01/2020"/>
        <s v="CUBA DE EMBUTIR OVAL EM LOUÇA BRANCA DECA OU SIMILAR 48,5 X 37,50CM OU EQUIVALENTE - FORNECIMENTO E INSTALAÇÃO. AF_01/2020"/>
        <s v="TERREO"/>
        <s v="DEMOLIÇÃO"/>
        <s v="DEMOLIÇÃO DE ALVENARIA DE BLOCO FURADO, DE FORMA MANUAL, SEM REAPROVEITAMENTO. AF_12/2017"/>
        <s v="REVESTIMENTO CERÂMICO PARA PISO COM PLACAS TIPO PORCELANATO ARTSY CEMENT NATURAL  0,90X0,90m PORTOBELLO OU SIMILAR, ARGAMASSA TIPO AC III,FORNECIMENTO E INSTALAÇÃO. AF_06/2014"/>
        <s v="RODAPÉ DE 7CM EM REVESTIMENTO CERÂMICO PARA PISO COM PLACAS TIPO PORCELANATO ARTSY CEMENT NATURAL  0,90X0,90m PORTOBELLO OU SIMILAR, ARGAMASSA TIPO AC III,FORNECIMENTO E INSTALAÇÃO. AF_06/2014"/>
        <s v="KIT PORTA PRONTA PRETA LISA SÓLIDA PORMADE O,90X2,10,ACABAMENTO DE COR UNIFORME, MARCOS E ALIZARES EM PVC WOOD, RESISTENTES A ESTUFAMENTOS. FORNECIMENTO E INSTALAÇÃO"/>
        <s v="PORTA PIVOTANTE DE VIDRO TEMPERADO, 2 FOLHAS DE 80X210 CM, ESPESSURA DE 10MM, INCLUSIVE ACESSÓRIOS. FORNECIMENTO E INSTALAÇÃO. AF_01/2021"/>
        <s v="PORTA PIVOTANTE DE VIDRO TEMPERADO E ALUMINIO, 2 FOLHAS DE 100X250 CM, ESPESSURA DE 10MM, INCLUSIVE ACESSÓRIOS. FORNCECIMENTO E INSTALAÇÃO. AF_01/2021"/>
        <s v="PORTA DE FERRO, DE ABRIR, TIPO GRADE COM CHAPA, COM GUARNIÇÕES. AF_12/2019"/>
        <s v="JATEAMENTO ABRASIVO COM GRANALHA DE AÇO EM PERFIL METÁLICO EM FÁBRICA. AF_01/2020"/>
        <s v="CHAPA DE AÇO INOX PARA PROTEÇÃO DAS PORTAS DOS BANHEIROS (PCD) - 2 FACES. FORNECIMENTO E INSTALAÇÃO."/>
        <s v="PUXADOR PARA PCD, FIXADO NA PORTA - FORNECIMENTO E INSTALAÇÃO. AF_01/2020"/>
        <s v="J01 (E.G) - JANELA MAXIN AR 3,80 x 2,55 (3 JANELAS DE 1,20). FORNECIMENTO E INSTALAÇÃO."/>
        <s v="J08 (E.G) - JANELA MAXIN AR 1,53 x 4,85 (1 JANELAS DE 3MODULOS 1,53). FORNECIMENTO E INSTALAÇÃO."/>
        <s v="J02- JANELA MAXIN AR 12,60 x 1,70 (12 JANELAS DE 1,05). FORNECIMENTO E INSTALAÇÃO."/>
        <s v="J04- JANELA MAXIN AR 1,00 x 1,70 FORNECIMENTO E INSTALAÇÃO. FORNECIMENTO E INSTALAÇÃO."/>
        <s v="APLICAÇÃO MANUAL DE MASSA ACRÍLICA EM PANOS DE FACHADA COM PRESENÇA DE VÃOS, DE EDIFÍCIOS DE MÚLTIPLOS PAVIMENTOS, UMA DEMÃO. AF_05/2017"/>
        <s v="1º PAVIMENTO"/>
        <s v="PISO"/>
        <s v="GRADE EM ESTRUTURA METALICA PARA PROTEÇÃO DA PASSARELA TIPO 01, FORNECIMENTO E INSTALAÇÃO."/>
        <s v="PREVENÇÃO E COMBATE A INCÊNDIO"/>
        <s v="ELETROBOMBA E ACESSÓRIOS"/>
        <s v="ELETROBOMBA MOTOR DE 3,0 CV, 220V, TRIFÁSICO COM CAPACIDADE DE VAZÃO DE 2501/MIN. A 18 MCA DE PRESSÃO.  FORNECIMENTO E INSTALAÇÃO."/>
        <s v="SIRENE PARA ALARME DE BOMBA EM FUNCIONAMENTO, 220V.  FORNECIMENTO E INSTALAÇÃO."/>
        <s v="ACIONADOR MANUAL (BOTOEIRA) TIPO QUEBRA-VIDRO, P/INCENDIO.  FORNECIMENTO E INSTALAÇÃO."/>
        <s v="BOTOEIRA LIGA-DESLIGA PARA BOMBA DE INCÊNDIO MODELO BLD-1, MARCA VERIN OU SIMILAR.  FORNECIMENTO E INSTALAÇÃO."/>
        <s v="DETECTOR DE INCÊNDIO"/>
        <s v="DETECTOR DE FUMAÇA"/>
        <s v="ABRIGO, HIDRANTE, MANGUEIRA E EXTINTOR"/>
        <s v="ABRIGO EM CHAPA TIPO EXTERNO 1 PORTA DE AÇO CARBONO, COMPLETO, VIDRO TRANSPARENTE, COM A INSCRIÇÃO &quot;INCÊNDIO&quot;, SUPORTE BASCULANTE PARA MANGUEIRA PINTADO DE VERMELHO NAS DIMENSÕES 90 X 60 X 17 CM.  FORNECIMENTO E INSTALAÇÃO."/>
        <s v="MANGUEIRA DE INCENDIO, TIPO 2, DE 2 1/2&quot;, COMPRIMENTO = 30 M, FORNECIMENTO E INSTALAÇÃO"/>
        <s v="MANGUEIRA DE INCENDIO, TIPO 1, DE 1 1/2&quot;, COMPRIMENTO = 30 M, FORNECIMENTO E INSTALAÇÃO"/>
        <s v="ADAPTADOR EM LATAO P/ INSTALACAO PREDIAL DE COMBATE A INCENDIO ENGATE RAPIDO 1 1/2&quot; X ROSCA INTERNA 5 FIOS 2 1/2&quot; .  FORNECIMENTO E INSTALAÇÃO."/>
        <s v="CHAVE PARA CONEXÕES DE ENGATE RÁPIDO,_x000a_(STORZ), 63 x 38 MM.  FORNECIMENTO E INSTALAÇÃO."/>
        <s v="ESGUICHO TIPO AGULHETA, JUNTA DE UNIÃO ENGATE RÁPIDO 2.1/2.  FORNECIMENTO E INSTALAÇÃO."/>
        <s v="ESGUICHO TIPO AGULHETA, JUNTA DE UNIÃO ENGATE RÁPIDO 1.1/2.  FORNECIMENTO E INSTALAÇÃO."/>
        <s v="EXTINTOR DE INCÊNDIO PORTÁTIL COM CARGA DE CO2 DE 4 KG, CLASSE BC - FORNECIMENTO E INSTALAÇÃO. AF_10/2020_P"/>
        <s v="EXTINTOR DE INCÊNDIO PORTÁTIL COM CARGA DE PQS DE 4 KG, CLASSE BC - FORNECIMENTO E INSTALAÇÃO. AF_10/2020_P"/>
        <s v="EXTINTOR DE INCÊNDIO PORTÁTIL COM CARGA DE ÁGUA PRESSURIZADA DE 10 L, CLASSE A - FORNECIMENTO E INSTALAÇÃO. AF_10/2020_P"/>
        <s v="HIDRANTE DE RECALQUE COMPLETO EM CAIXA DE ALVENARIA.  FORNECIMENTO E INSTALAÇÃO."/>
        <s v="TUBOS"/>
        <s v="TUBO ACO GALVANIZADO COM COSTURA, CLASSE LEVE, DN 65 MM ( 2 1/2&quot;),  E = 3,35 MM, * 6,23* KG/M (NBR 5580)"/>
        <s v="JOELHO 90 GRAUS, EM FERRO GALVANIZADO, DN 65 (2 1/2&quot;), CONEXÃO ROSQUEADA, INSTALADO EM REDE DE ALIMENTAÇÃO PARA HIDRANTE - FORNECIMENTO E INSTALAÇÃO. AF_10/2020"/>
        <s v="TÊ, EM FERRO GALVANIZADO, DN 65 (2 1/2&quot;), CONEXÃO ROSQUEADA, INSTALADO EM PRUMADAS - FORNECIMENTO E INSTALAÇÃO. AF_10/2020"/>
        <s v="NIPLE, EM FERRO GALVANIZADO, DN 65 (2 1/2&quot;), CONEXÃO ROSQUEADA, INSTALADO EM PRUMADAS - FORNECIMENTO E INSTALAÇÃO. AF_10/2020"/>
        <s v="UNIÃO, EM FERRO GALVANIZADO, DN 65 (2 1/2&quot;), CONEXÃO ROSQUEADA, INSTALADO EM PRUMADAS - FORNECIMENTO E INSTALAÇÃO. AF_10/2020"/>
        <s v="VÁLVULA DE RETENÇÃO HORIZONTAL, DE BRONZE, ROSCÁVEL, 2 1/2&quot; - FORNECIMENTO E INSTALAÇÃO. AF_08/2021"/>
        <s v="VALVULA DE SUCÇÃO 2.1/2&quot;, FORNECIMENTO E INSTALAÇÃO"/>
        <s v="REGISTRO DE GAVETA BRUTO, LATÃO, ROSCÁVEL, 2 1/2&quot; - FORNECIMENTO E INSTALAÇÃO. AF_08/2021"/>
        <s v="REGISTRO DE GAVETA 2.1/2&quot; COM HASTE ASCENDENTE DE BRONZE, FORNECIMENTO E INSTALAÇÃO"/>
        <s v="PINTURA ESMALTE EM TUBO GALVANIZADO, DUAS (2) DEMÃOS, INCLUSIVE UMA (1) DEMÃO DE FUNDO ANTICORROSIVO"/>
        <s v="REGISTRO OU VALVULA GLOBO ANGULAR EM LATAO, PARA HIDRANTES, FORNECIMENTO E INSTALAÇÃO"/>
        <s v="TAMPAO COM CORRENTE, EM LATAO, ENGATE RAPIDO 1 1/2&quot;, FORNECIMENTO E INSTALAÇÃO"/>
        <s v="REDUÇÃO GIRATORIA TIPO STORZ - BRONZE OU LATÃO.  FORNECIMENTO E INSTALAÇÃO."/>
        <s v="TAMPAO COM CORRENTE, EM LATAO, ENGATE RAPIDO 2 1/2&quot;, FORNECIMENTO E INSTALAÇÃO"/>
        <s v="ILUMINAÇÃO SINALIZAÇÃO"/>
        <s v="PLACA FOTOLUMINESCENTE &quot;E1&quot; - (ALARME SONORO).  FORNECIMENTO E INSTALAÇÃO."/>
        <s v="PLACA FOTOLUMINESCENTE &quot;E2&quot; - (ALARME INCÊNDIO).  FORNECIMENTO E INSTALAÇÃO."/>
        <s v="PLACA FOTOLUMINESCENTE &quot;E3&quot; - (BOMBA DE INCÊNDIO).  FORNECIMENTO E INSTALAÇÃO."/>
        <s v="PLACA FOTOLUMINESCENTE &quot;E8&quot;- ABRIGO DE MANGUEIRA E HIDRANTE- 300 X 300.  FORNECIMENTO E INSTALAÇÃO."/>
        <s v="PLACA FOTOLUMINESCENTE &quot;S1&quot; OU &quot;S2&quot;- 380 X 190 MM (SAÍDA - DIREITA).  FORNECIMENTO E INSTALAÇÃO."/>
        <s v="PLACA FOTOLUMINESCENTE &quot;S1&quot; OU &quot;S2&quot;- 380 X 190 MM (SAÍDA - ESQUERDA).  FORNECIMENTO E INSTALAÇÃO."/>
        <s v="PLACA FOTOLUMINESCENTE &quot;S3&quot;- 316X 158 MM (SAÍDA EMERGÊNCIA).  FORNECIMENTO E INSTALAÇÃO."/>
        <s v="PLACA FOTOLUMINESCENTE &quot;S8&quot;- 316X 158 MM (ESCADA DE EMERGÊNCIA).  FORNECIMENTO E INSTALAÇÃO."/>
        <s v="PLACA FOTOLUMINESCENTE &quot;S12&quot; - 316 X 158 MM (SAÍDA EMERGENCIA).  FORNECIMENTO E INSTALAÇÃO."/>
        <s v="DEMARCAÇÃO DE PISO PARA LOCAÇÃO DE EXTINTORES.  FORNECIMENTO E INSTALAÇÃO."/>
        <s v="LUMINÁRIA DE EMERGÊNCIA AUTÔNOMA IE-16 COM LÂMPADA DE 8 W.  FORNECIMENTO E INSTALAÇÃO."/>
        <s v="CISTERNA"/>
        <s v="FUNDAÇÃO"/>
        <s v="ARMAÇÃO DE BLOCO, VIGA BALDRAME OU SAPATA UTILIZANDO AÇO CA-50 DE 6,3 MM - MONTAGEM. AF_06/2017"/>
        <s v="LAJE PRÉ-MOLDADA UNIDIRECIONAL, BIAPOIADA, PARA PISO, ENCHIMENTO EM CERÂMICA, VIGOTA CONVENCIONAL, ALTURA TOTAL DA LAJE (ENCHIMENTO+CAPA) = (8+4). AF_11/2020"/>
        <s v="SERVIÇOS COMPLEMENTARES"/>
        <s v="TAMPA EM FERRO FUNDIDO, FORNECIMENTO E INSTALAÇÃO"/>
        <s v="CAIXA D´ÁGUA EM POLIÉSTER REFORÇADO COM FIBRA DE VIDRO, 10000 LITROS - FORNECIMENTO E INSTALAÇÃO. AF_06/2021"/>
        <s v="ELÉTRICA "/>
        <s v="ELÉTRICA INCÊNDIO"/>
        <s v="ELETRODUTO DE AÇO GALVANIZADO, CLASSE LEVE, DN 20 MM (3/4), APARENTE, INSTALADO EM TETO - FORNECIMENTO E INSTALAÇÃO. AF_11/2016_P"/>
        <s v="ELETRODUTO DE AÇO GALVANIZADO, CLASSE LEVE, DN 25 MM (1), APARENTE, INSTALADO EM TETO - FORNECIMENTO E INSTALAÇÃO. AF_11/2016_P"/>
        <s v="CONDULETE DE ALUMÍNIO, TIPO X, PARA ELETRODUTO DE AÇO GALVANIZADO DN 20 MM (3/4''), APARENTE - FORNECIMENTO E INSTALAÇÃO. AF_11/2016_P"/>
        <s v="CONDULETE DE ALUMÍNIO, TIPO X, PARA ELETRODUTO DE AÇO GALVANIZADO DN 25 MM (1''), APARENTE - FORNECIMENTO E INSTALAÇÃO. AF_11/2016_P"/>
        <s v="REDUÇÃO CONDULETE PARA ELETRODUTO METÁLICO DE 1&quot;PARA 3/4&quot;, FORNECIMENTO E INSTALAÇÃO"/>
        <s v="SENSOR DE FUMAÇA NC-102 OU SIMILAR.  FORNECIMENTO E INSTALAÇÃO."/>
        <s v="FORNECIMENTO E INSTALAÇÃO DE BATERIA SELADA PARA CENTRAL DE ALARME E DETECÇÃO 12V/ 5A  - 08693/ORSE. FORNECIMENTO E INSTALAÇÃO."/>
        <s v="CABO DE COBRE FLEXIVEL BLINDADO PARA INCÊNDIO 3 VIAS + TERRA, SEÇÃO 1,5mm². FORNECIMENTO E INSTALAÇÃO."/>
        <s v="CABO DE COBRE FLEXÍVEL ISOLADO, 2,5 MM², ANTI-CHAMA 450/750 V, PARA CIRCUITOS TERMINAIS - FORNECIMENTO E INSTALAÇÃO. AF_12/2015"/>
        <s v="CENTRAL DE ALARME DE INCÊNDIO ENDEREÇAVEL 2 LAÇOS, ATENDENDO NO MINIMO 125 ENDEREÇOS POR LAÇO. FORNECIMENTO E INSTALAÇÃO."/>
        <s v="LUVA DE EMENDA PARA ELETRODUTO, AÇO GALVANIZADO, DN 25 MM (1''), APARENTE, INSTALADA EM PAREDE - FORNECIMENTO E INSTALAÇÃO. AF_11/2016_P"/>
        <s v="LUVA DE EMENDA PARA ELETRODUTO, AÇO GALVANIZADO, DN 20 MM (3/4''), APARENTE, INSTALADA EM PAREDE - FORNECIMENTO E INSTALAÇÃO. AF_11/2016_P"/>
        <s v="CABOS PARA ALIMENTAÇÃO DE QUADROS - ALIMENTAÇÃO GERAL "/>
        <s v="CABO DE COBRE FLEXÍVEL ISOLADO, 16 MM², ANTI-CHAMA 0,6/1,0 KV, PARA CIRCUITOS TERMINAIS - FORNECIMENTO E INSTALAÇÃO. AF_12/2015"/>
        <s v="CABO DE COBRE FLEXÍVEL ISOLADO, 25 MM², ANTI-CHAMA 0,6/1,0 KV, PARA REDE ENTERRADA DE DISTRIBUIÇÃO DE ENERGIA ELÉTRICA - FORNECIMENTO E INSTALAÇÃO. AF_12/2021"/>
        <s v="CABO DE COBRE FLEXÍVEL ISOLADO, 35 MM², ANTI-CHAMA 0,6/1,0 KV, PARA REDE ENTERRADA DE DISTRIBUIÇÃO DE ENERGIA ELÉTRICA - FORNECIMENTO E INSTALAÇÃO. AF_12/2021"/>
        <s v="CABO DE COBRE FLEXÍVEL ISOLADO, 70 MM², ANTI-CHAMA 0,6/1,0 KV, PARA REDE ENTERRADA DE DISTRIBUIÇÃO DE ENERGIA ELÉTRICA - FORNECIMENTO E INSTALAÇÃO. AF_12/2021"/>
        <s v="CABO DE COBRE FLEXÍVEL ISOLADO, 4 MM², ANTI-CHAMA 0,6/1,0 KV, PARA CIRCUITOS TERMINAIS - FORNECIMENTO E INSTALAÇÃO. AF_12/2015"/>
        <s v="CABO DE COBRE FLEXÍVEL ISOLADO, 10 MM², ANTI-CHAMA 0,6/1,0 KV, PARA CIRCUITOS TERMINAIS - FORNECIMENTO E INSTALAÇÃO. AF_12/2015"/>
        <s v="CABO DE COBRE FLEXÍVEL ISOLADO, 50 MM², ANTI-CHAMA 0,6/1,0 KV, PARA REDE ENTERRADA DE DISTRIBUIÇÃO DE ENERGIA ELÉTRICA - FORNECIMENTO E INSTALAÇÃO. AF_12/2021"/>
        <s v="CABO DE COBRE FLEXÍVEL ISOLADO, 120 MM², ANTI-CHAMA 0,6/1,0 KV, PARA REDE ENTERRADA DE DISTRIBUIÇÃO DE ENERGIA ELÉTRICA - FORNECIMENTO E INSTALAÇÃO. AF_12/2021"/>
        <s v="CABOS PARA TERMINAIS"/>
        <s v="CABO DE COBRE FLEXÍVEL ISOLADO, 4 MM², ANTI-CHAMA 450/750 V, PARA CIRCUITOS TERMINAIS - FORNECIMENTO E INSTALAÇÃO. AF_12/2015"/>
        <s v="CABO DE COBRE FLEXÍVEL ISOLADO, 6 MM², ANTI-CHAMA 0,6/1,0 KV, PARA CIRCUITOS TERMINAIS - FORNECIMENTO E INSTALAÇÃO. AF_12/2015"/>
        <s v="TERMINAL A COMPRESSAO EM COBRE ESTANHADO 1 FURO PARA CABO 70 MM2. FORNECIMENTO E INSTALAÇÃO."/>
        <s v="TERMINAL A COMPRESSAO EM COBRE ESTANHADO PARA CABO 35 MM2, 1 FURO E 1 COMPRESSAO, PARA PARAFUSO DE FIXACAO M8, FORNECIMENTO E INSTALAÇÃO"/>
        <s v="TERMINAL A COMPRESSAO EM COBRE ESTANHADO 1 FURO PARA CABO 25 MM2. FORNECIMENTO E INSTALAÇÃO."/>
        <s v="TERMINAL A COMPRESSAO EM COBRE ESTANHADO 1 FURO PARA CABO 16 MM2. FORNECIMENTO E INSTALAÇÃO."/>
        <s v="COMUM"/>
        <s v="INTERRUPTOR SIMPLES (1 MÓDULO), 10A/250V, INCLUINDO SUPORTE E PLACA - FORNECIMENTO E INSTALAÇÃO. AF_12/2015"/>
        <s v="INTERRUPTOR SIMPLES (3 MÓDULOS), 10A/250V, INCLUINDO SUPORTE E PLACA - FORNECIMENTO E INSTALAÇÃO. AF_12/2015"/>
        <s v="CAIXA RETANGULAR 4&quot; X 2&quot; MÉDIA (1,30 M DO PISO), METÁLICA, INSTALADA EM PAREDE - FORNECIMENTO E INSTALAÇÃO. AF_12/2015"/>
        <s v="INTERRUPTOR PARALELO (3 MÓDULOS), 10A/250V, INCLUINDO SUPORTE E PLACA - FORNECIMENTO E INSTALAÇÃO. AF_12/2015"/>
        <s v="TOMADA ALTA DE EMBUTIR (1 MÓDULO), 2P+T 20 A, INCLUINDO SUPORTE E PLACA - FORNECIMENTO E INSTALAÇÃO. AF_12/2015"/>
        <s v="CONDULETE DE ALUMÍNIO, TIPO C, PARA ELETRODUTO DE AÇO GALVANIZADO DN 20 MM (3/4''), APARENTE - FORNECIMENTO E INSTALAÇÃO. AF_11/2016_P"/>
        <s v="CONDULETE DE ALUMÍNIO, TIPO C, PARA ELETRODUTO DE AÇO GALVANIZADO DN 25 MM (1''), APARENTE - FORNECIMENTO E INSTALAÇÃO. AF_11/2016_P"/>
        <s v="CONDULETE DE ALUMÍNIO, TIPO E, PARA ELETRODUTO DE AÇO GALVANIZADO DN 20 MM (3/4''), APARENTE - FORNECIMENTO E INSTALAÇÃO. AF_11/2016_P"/>
        <s v="CONDULETE DE ALUMÍNIO, TIPO LR, PARA ELETRODUTO DE AÇO GALVANIZADO DN 32 MM (1 1/4''), APARENTE - FORNECIMENTO E INSTALAÇÃO. AF_11/2016_P"/>
        <s v="CONDULETE DE ALUMÍNIO, TIPO LR, PARA ELETRODUTO DE AÇO GALVANIZADO DN 20 MM (3/4''), APARENTE - FORNECIMENTO E INSTALAÇÃO. AF_11/2016_P"/>
        <s v="CONDULETE DE ALUMÍNIO, TIPO T, PARA ELETRODUTO DE AÇO GALVANIZADO DN 20 MM (3/4''), APARENTE - FORNECIMENTO E INSTALAÇÃO. AF_11/2016_P"/>
        <s v="DISJUNTOR MONOPOLAR TIPO DIN, CORRENTE NOMINAL DE 10A - FORNECIMENTO E INSTALAÇÃO. AF_10/2020"/>
        <s v="DISJUNTOR MONOPOLAR TIPO DIN, CORRENTE NOMINAL DE 16A - FORNECIMENTO E INSTALAÇÃO. AF_10/2020"/>
        <s v="DISJUNTOR BIPOLAR TIPO DIN, CORRENTE NOMINAL DE 16A - FORNECIMENTO E INSTALAÇÃO. AF_10/2020"/>
        <s v="DISJUNTOR BIPOLAR TIPO DIN, CORRENTE NOMINAL DE 20A - FORNECIMENTO E INSTALAÇÃO. AF_10/2020"/>
        <s v="DISJUNTOR TRIPOLAR TIPO DIN, CORRENTE NOMINAL DE 20A - FORNECIMENTO E INSTALAÇÃO. AF_10/2020"/>
        <s v="DISJUNTOR TRIPOLAR TIPO DIN, CORRENTE NOMINAL DE 25A - FORNECIMENTO E INSTALAÇÃO. AF_10/2020"/>
        <s v="DISJUNTOR TERMOMAGNÉTICO TRIPOLAR , CORRENTE NOMINAL DE 125A - FORNECIMENTO E INSTALAÇÃO. AF_10/2020"/>
        <s v="DISJUNTOR TRIPOLAR TIPO DIN, CORRENTE NOMINAL DE 150A - FORNECIMENTO E INSTALAÇÃO. AF_10/2020"/>
        <s v="SUPRESSOR DE SURTO PARA PROTEÇÃO CLASSE 1 - 45 KA, FORNECIMENTO E INSTALAÇÃO"/>
        <s v="LUVA DE EMENDA PARA ELETRODUTO, AÇO GALVANIZADO, DN 32 MM (1 1/4''), APARENTE, INSTALADA EM TETO - FORNECIMENTO E INSTALAÇÃO. AF_11/2016_P"/>
        <s v="ELETROCALHA LISA (50X50X300)MM EM CHAPA DE AÇO GALVANIZADO #18, COM TRATAMENTO PRÉ-ZINCADO, INCLUSIVE TAMPA DE ENCAIXE, FIXAÇÃO SUPERIOR, CONEXÕES E ACESSÓRIOS. FORNECIMENTO E INSTALAÇÃO."/>
        <s v="ELETROCALHA LISA (100X50X300)MM EM CHAPA DE AÇO GALVANIZADO #18, COM TRATAMENTO PRÉ-ZINCADO, INCLUSIVE TAMPA DE ENCAIXE, FIXAÇÃO SUPERIOR, CONEXÕES E ACESSÓRIOS. FORNECIMENTO E INSTALAÇÃO."/>
        <s v="SAÍDA HORIZONTAL PARA ELETRODUTO 1&quot;, FORNECIMENTO E INSTALAÇÃO."/>
        <s v="CURVA (X) HORIZONTAL 90º, 50X50MM FORNECIMENTO E INSTALAÇÃO."/>
        <s v="CURVA (X) HORIZONTAL 90º, 100X50MM FORNECIMENTO E INSTALAÇÃO."/>
        <s v="ELETROCALHA PERF. GALVANIZADA TIPO &quot;U&quot; COM TAMPA 50X50X3000 mm + SUPORTE PARA ELETROCALHA LISA OU PERFURADA EM AÇO GALVANIZADO, LARGURA 500 OU 800 mm, ESPAÇADO A CADA 1,50 M. FORNECIMENTO E INSTALAÇÃO."/>
        <s v=" T HORIZONTAL (X) HORIZONTAL 90º, 100X50MM FORNECIMENTO E INSTALAÇÃO."/>
        <s v=" T HORIZONTAL (X) HORIZONTAL 90º, 50X50MM FORNECIMENTO E INSTALAÇÃO."/>
        <s v="TALA PLANA PERFURADA 100MM PARA ELETROCALHA METÁLICA, FORNCECIMENTO E INSTALAÇÃO."/>
        <s v="FIXAÇÃO DE TUBOS HORIZONTAIS DE PVC, CPVC OU COBRE DIÂMETROS MENORES OU IGUAIS A 40 MM OU ELETROCALHAS ATÉ 150MM DE LARGURA, COM ABRAÇADEIRA METÁLICA RÍGIDA TIPO D 1/2, FIXADA EM PERFILADO EM LAJE. AF_05/2015"/>
        <s v="FIXAÇÃO DE TUBOS HORIZONTAIS DE PVC, CPVC OU COBRE DIÂMETROS MAIORES QUE 40 MM E MENORES OU IGUAIS A 75 MM COM ABRAÇADEIRA METÁLICA RÍGIDA TIPO D 1 1/2&quot;, FIXADA EM PERFILADO EM LAJE. AF_05/2015"/>
        <s v="FIXAÇÃO DE TUBOS HORIZONTAIS DE PVC, CPVC OU COBRE DIÂMETROS MAIORES QUE 75 MM COM ABRAÇADEIRA METÁLICA RÍGIDA TIPO D 3&quot;, FIXADA EM PERFILADO EM LAJE. AF_05/2015"/>
        <s v=" CRUZETA (X) HORIZONTAL 90º, 300X50MM FORNECIMENTO E INSTALAÇÃO."/>
        <s v="ELETROCALHA LISA (200X50X300)MM EM CHAPA DE AÇO GALVANIZADO #18, COM TRATAMENTO PRÉ-ZINCADO, INCLUSIVE TAMPA DE ENCAIXE, FIXAÇÃO SUPERIOR, CONEXÕES E ACESSÓRIOS. FORNECIMENTO E INSTALAÇÃO."/>
        <s v="ELETROCALHA LISA (300X50X300)MM EM CHAPA DE AÇO GALVANIZADO #18, COM TRATAMENTO PRÉ-ZINCADO, INCLUSIVE TAMPA DE ENCAIXE, FIXAÇÃO SUPERIOR, CONEXÕES E ACESSÓRIOS. FORNECIMENTO E INSTALAÇÃO."/>
        <s v="ELETROCALHA LISA (150X50X300)MM EM CHAPA DE AÇO GALVANIZADO #18, COM TRATAMENTO PRÉ-ZINCADO, INCLUSIVE TAMPA DE ENCAIXE, FIXAÇÃO SUPERIOR, CONEXÕES E ACESSÓRIOS. FORNECIMENTO E INSTALAÇÃO."/>
        <s v="DISJUNTOR TRIPOLAR TIPO DIN, CORRENTE NOMINAL DE 10A - FORNECIMENTO E INSTALAÇÃO. AF_10/2020"/>
        <s v="DISJUNTOR TRIPOLAR TIPO DIN, CORRENTE NOMINAL DE 16A - FORNECIMENTO E INSTALAÇÃO. AF_10/2020"/>
        <s v="LUVA PARA ELETRODUTO, PVC, ROSCÁVEL, DN 25 MM (3/4&quot;), PARA CIRCUITOS TERMINAIS, INSTALADA EM LAJE - FORNECIMENTO E INSTALAÇÃO. AF_12/2015"/>
        <s v="LUVA PARA ELETRODUTO, PVC, ROSCÁVEL, DN 32 MM (1&quot;), PARA CIRCUITOS TERMINAIS, INSTALADA EM LAJE - FORNECIMENTO E INSTALAÇÃO. AF_12/2015"/>
        <s v="LUVA PARA ELETRODUTO, PVC, ROSCÁVEL, DN 50 MM (1 1/2&quot;), PARA REDE ENTERRADA DE DISTRIBUIÇÃO DE ENERGIA ELÉTRICA - FORNECIMENTO E INSTALAÇÃO. AF_12/2021"/>
        <s v="ELETRODUTO FLEXÍVEL CORRUGADO, PEAD, DN 90 (3&quot;), PARA REDE ENTERRADA DE DISTRIBUIÇÃO DE ENERGIA ELÉTRICA - FORNECIMENTO E INSTALAÇÃO. AF_12/2021"/>
        <s v="ESCAVAÇÃO MANUAL DE VALA COM PROFUNDIDADE MENOR OU IGUAL A 1,30 M. AF_02/2021"/>
        <s v="EXECUÇÃO DE PÁTIO/ESTACIONAMENTO EM PISO INTERTRAVADO, COM BLOCO RETANGULAR COR NATURAL DE 20 X 10 CM, ESPESSURA 6 CM. AF_12/2015"/>
        <s v="EXECUÇÃO DE PASSEIO (CALÇADA) OU PISO DE CONCRETO COM CONCRETO MOLDADO IN LOCO, FEITO EM OBRA, ACABAMENTO CONVENCIONAL, ESPESSURA 6 CM, ARMADO. AF_07/2016"/>
        <s v="EXECUÇÃO DE TAPA BURACO COM APLICAÇÃO DE PRÉ MISTURADO A FRIO (USINAGEM PRÓPRIA) E PINTURA DE LIGAÇÃO. AF_12/2020"/>
        <s v="EXECUÇÃO DE CANALETA DE CONCRETO MOLDADO IN LOCO, ESPESSURA DE 0,07 M, GEOMETRIA TRAPEZOIDAL (DIMENSÕES INTERNAS: B=0,9 M; B=0,246 M; H=0,3 M). AF_08/2021"/>
        <s v="ELETRODUTO RÍGIDO ROSCÁVEL, PVC, DN 85 MM (3&quot;), PARA REDE ENTERRADA DE DISTRIBUIÇÃO DE ENERGIA ELÉTRICA - FORNECIMENTO E INSTALAÇÃO. AF_12/2021"/>
        <s v="ELETRODUTO RÍGIDO ROSCÁVEL, PVC, DN 40 MM (1 1/4&quot;), PARA CIRCUITOS TERMINAIS, INSTALADO EM FORRO - FORNECIMENTO E INSTALAÇÃO. AF_12/2015"/>
        <s v="ELETRODUTO RÍGIDO ROSCÁVEL, PVC, DN 32 MM (1&quot;), PARA CIRCUITOS TERMINAIS, INSTALADO EM LAJE - FORNECIMENTO E INSTALAÇÃO. AF_12/2015"/>
        <s v="ELETRODUTO RÍGIDO ROSCÁVEL, PVC, DN 25 MM (3/4&quot;), PARA CIRCUITOS TERMINAIS, INSTALADO EM LAJE - FORNECIMENTO E INSTALAÇÃO. AF_12/2015"/>
        <s v="LUMINÁRIA DE EMERGÊNCIA, COM 30 LÂMPADAS LED DE 2 W, SEM REATOR - FORNECIMENTO E INSTALAÇÃO. AF_02/2020"/>
        <s v="Luminária LED SLIM de Sobrepor, MARCA AVANT OU SIMILAR. FORNECIMENTO E INSTALAÇÃO."/>
        <s v="Luminária LED externa,Refletor LED 100W. FORNECIMENTO E INSTALAÇÃO."/>
        <s v="Luminária LED externa,Refletor LED 150W. FORNECIMENTO E INSTALAÇÃO."/>
        <s v="FONTE 12V METALICA COLMEIA 25A 300W. FORNECIMENTO E INSTALAÇÃO."/>
        <s v="CAIXA ENTERRADA ELÉTRICA RETANGULAR, EM ALVENARIA COM BLOCOS DE CONCRETO, FUNDO COM BRITA, DIMENSÕES INTERNAS: 0,4X0,4X0,4 M. AF_12/2020"/>
        <s v="ELETRODUTO RÍGIDO ROSCÁVEL, PVC, DN 50 MM (1 1/2&quot;), PARA REDE ENTERRADA DE DISTRIBUIÇÃO DE ENERGIA ELÉTRICA - FORNECIMENTO E INSTALAÇÃO. AF_12/2021"/>
        <s v="ELETRODUTO RÍGIDO ROSCÁVEL, PVC, DN 75 MM (2 1/2&quot;), PARA REDE ENTERRADA DE DISTRIBUIÇÃO DE ENERGIA ELÉTRICA - FORNECIMENTO E INSTALAÇÃO. AF_12/2021"/>
        <s v="CAIXA ENTERRADA ELÉTRICA RETANGULAR, EM ALVENARIA COM BLOCOS DE CONCRETO, FUNDO COM BRITA, DIMENSÕES INTERNAS: 0,6X0,6X0,6 M. AF_12/2020"/>
        <s v="CONVERSOR BALUM RJ45/P4, FORNECIMENTO E INSTALAÇÃO."/>
        <s v="PATCH CORD 5,0M CAT 6, FORNECIMENTO E INSTALAÇÃO."/>
        <s v=" PATCH PANEL 24 PORTAS, CATEGORIA &quot;6&quot; FURUKAWA, FORNECIMENTO E INSTALAÇÃO"/>
        <s v="CABO UTP 4 PARES CAT 6, FORNECIMENTO E INSTALAÇÃO."/>
        <s v="QUADRO DE DISTRIBUIÇÃO DE ENERGIA EM CHAPA DE AÇO GALVANIZADO, DE EMBUTIR, COM BARRAMENTO TRIFÁSICO, PARA 30 DISJUNTORES DIN 225A - FORNECIMENTO E INSTALAÇÃO. AF_10/2020"/>
        <s v="INSTALAÇÕES HIDRÁULICAS"/>
        <s v="TUBULAÇÃO DE ALIMENTAÇÃO DO RESERVATÓRIO DE INCÊNDIO"/>
        <s v="RASGO EM ALVENARIA PARA RAMAIS/ DISTRIBUIÇÃO COM DIAMETROS MENORES OU IGUAIS A 40 MM. AF_05/2015"/>
        <s v="RASGO EM CONTRAPISO PARA RAMAIS/ DISTRIBUIÇÃO COM DIÂMETROS MAIORES QUE 40 MM E MENORES OU IGUAIS A 75 MM. AF_05/2015"/>
        <s v="RASGO EM CONTRAPISO PARA RAMAIS/ DISTRIBUIÇÃO COM DIÂMETROS MAIORES QUE 75 MM. AF_05/2015"/>
        <s v="CHUMBAMENTO LINEAR EM CONTRAPISO PARA RAMAIS/DISTRIBUIÇÃO COM DIÂMETROS MENORES OU IGUAIS A 40 MM. AF_05/2015"/>
        <s v="CHUMBAMENTO LINEAR EM CONTRAPISO PARA RAMAIS/DISTRIBUIÇÃO COM DIÂMETROS MAIORES QUE 40 MM E MENORES OU IGUAIS A 75 MM. AF_05/2015"/>
        <s v="CHUMBAMENTO LINEAR EM CONTRAPISO PARA RAMAIS/DISTRIBUIÇÃO COM DIÂMETROS MAIORES QUE 75 MM. AF_05/2015"/>
        <s v="JOELHO 90 GRAUS, PVC, SOLDÁVEL, DN 32MM, INSTALADO EM RAMAL OU SUB-RAMAL DE ÁGUA - FORNECIMENTO E INSTALAÇÃO. AF_12/2014"/>
        <s v="JOELHO 45 GRAUS, PVC, SOLDÁVEL, DN 32MM, INSTALADO EM RAMAL OU SUB-RAMAL DE ÁGUA - FORNECIMENTO E INSTALAÇÃO. AF_12/2014"/>
        <s v="ADAPTADOR CURTO COM BOLSA E ROSCA PARA REGISTRO, PVC, SOLDÁVEL, DN 32MM X 1, INSTALADO EM RAMAL OU SUB-RAMAL DE ÁGUA - FORNECIMENTO E INSTALAÇÃO. AF_12/2014"/>
        <s v="ADAPTADOR COM FLANGE E ANEL DE VEDAÇÃO, PVC, SOLDÁVEL, DN 32 MM X 1 , INSTALADO EM RESERVAÇÃO DE ÁGUA DE EDIFICAÇÃO QUE POSSUA RESERVATÓRIO DE FIBRA/FIBROCIMENTO   FORNECIMENTO E INSTALAÇÃO. AF_06/2016"/>
        <s v="TORNEIRA DE BOIA PARA CAIXA D'ÁGUA, ROSCÁVEL, 1&quot; - FORNECIMENTO E INSTALAÇÃO. AF_08/2021"/>
        <s v="TUBO, PVC, SOLDÁVEL, DN 32MM, INSTALADO EM PRUMADA DE ÁGUA - FORNECIMENTO E INSTALAÇÃO. AF_12/2014"/>
        <s v="REGISTRO DE GAVETA BRUTO, LATÃO, ROSCÁVEL, 1&quot; - FORNECIMENTO E INSTALAÇÃO. AF_08/2021"/>
        <s v="FURO EM ALVENARIA PARA DIÂMETROS MENORES OU IGUAIS A 40 MM. AF_05/2015"/>
        <s v="FURO EM CONCRETO PARA DIÂMETROS MENORES OU IGUAIS A 40 MM. AF_05/2015"/>
        <s v="FURO EM ALVENARIA PARA DIÂMETROS MAIORES QUE 75 MM. AF_05/2015"/>
        <s v="LUVA DE REDUÇÃO EM PEAD 90X63mm, FORNECIMENTO E INSTALAÇÃO"/>
        <s v="DRENAGEM DE AGUAS PLUVIAIS"/>
        <s v="DESCIDAS DE CALHA"/>
        <s v="TUBO PVC, SÉRIE R, ÁGUA PLUVIAL, DN 75 MM, FORNECIDO E INSTALADO EM RAMAL DE ENCAMINHAMENTO. AF_12/2014"/>
        <s v="TUBO PVC, SÉRIE R, ÁGUA PLUVIAL, DN 100 MM, FORNECIDO E INSTALADO EM RAMAL DE ENCAMINHAMENTO. AF_12/2014"/>
        <s v="REDUÇÃO EXCÊNTRICA, PVC, SERIE R, ÁGUA PLUVIAL, DN 100 X 50 MM, JUNTA PLÁSTICA, FORNECIDO E INSTALADO EM RAMAL DE ENCAMINHAMENTO. AF_12/2014. FORNECIMENTO E INSTALAÇÃO."/>
        <s v="JOELHO 90 GRAUS, PVC, SERIE NORMAL, ESGOTO PREDIAL, DN 100 MM, JUNTA ELÁSTICA, FORNECIDO E INSTALADO EM SUBCOLETOR AÉREO DE ESGOTO SANITÁRIO. AF_12/2014"/>
        <s v="JOELHO 90 GRAUS, PVC, SERIE NORMAL, ESGOTO PREDIAL, DN 75 MM, JUNTA ELÁSTICA, FORNECIDO E INSTALADO EM PRUMADA DE ESGOTO SANITÁRIO OU VENTILAÇÃO. AF_12/2014"/>
        <s v="JOELHO 45 GRAUS, PVC, SERIE NORMAL, ESGOTO PREDIAL, DN 100 MM, JUNTA ELÁSTICA, FORNECIDO E INSTALADO EM SUBCOLETOR AÉREO DE ESGOTO SANITÁRIO. AF_12/2014"/>
        <s v="JOELHO 45 GRAUS, PVC, SERIE NORMAL, ESGOTO PREDIAL, DN 75 MM, JUNTA ELÁSTICA, FORNECIDO E INSTALADO EM PRUMADA DE ESGOTO SANITÁRIO OU VENTILAÇÃO. AF_12/2014"/>
        <s v="SPDA - SISTEMA DE PROTEÇÃO CONTRA DESARGA ATMOSFERICA"/>
        <s v="HASTE DE ATERRAMENTO 5/8  PARA SPDA - FORNECIMENTO E INSTALAÇÃO. AF_12/2017"/>
        <s v="ELETRODUTO RÍGIDO ROSCÁVEL, PVC, DN 32 MM (1&quot;), PARA CIRCUITOS TERMINAIS, INSTALADO EM PAREDE - FORNECIMENTO E INSTALAÇÃO. AF_12/2015"/>
        <s v="CABO DE COBRE NU 50 MM² - FORNECIMENTO E INSTALAÇÃO. AF_12/2017"/>
        <s v="TERMINAL A COMPRESSAO EM COBRE ESTANHADO PARA CABO 50 MM2, 1 FURO E 1 COMPRESSAO, PARA PARAFUSO DE FIXACAO M8, FORNECIMENTO E INSTALAÇÃO"/>
        <s v="CARTUCHO PARA SOLDA EXOTÊRMICA Nº 90, FORNECIMENTO E INSTALAÇÃO"/>
        <s v="TERMINAL AEREO BASE PLANA GALVANIZADO A QUENTE - BARRA CHATA, FORNECIMENTO E INSTALAÇÃO"/>
        <s v="PISO CIMENTADO, TRAÇO 1:3 (CIMENTO E AREIA), ACABAMENTO LISO, ESPESSURA 4,0 CM, PREPARO MECÂNICO DA ARGAMASSA. AF_09/2020"/>
        <s v="SUPORTE ISOLADOR PARA CORDOALHA DE COBRE - FORNECIMENTO E INSTALAÇÃO. AF_12/2017"/>
        <s v="LUVA PARA ELETRODUTO, PVC, ROSCÁVEL, DN 32 MM (1&quot;), PARA CIRCUITOS TERMINAIS, INSTALADA EM PAREDE - FORNECIMENTO E INSTALAÇÃO. AF_12/2015"/>
        <s v="CURVA 90 GRAUS PARA ELETRODUTO, PVC, ROSCÁVEL, DN 32 MM (1&quot;), PARA CIRCUITOS TERMINAIS, INSTALADA EM PAREDE - FORNECIMENTO E INSTALAÇÃO. AF_12/2015"/>
        <s v="FIXAÇÃO DE TUBOS HORIZONTAIS DE PPR DIÂMETROS MAIORES QUE 40 MM E MENORES OU IGUAIS A 75 MM COM ABRAÇADEIRA METÁLICA RÍGIDA TIPO D 1 1/2&quot;, FIXADA EM PERFILADO EM LAJE. AF_05/2015"/>
        <s v="CONDULETE DE PVC, TIPO LL, PARA ELETRODUTO DE PVC SOLDÁVEL DN 32 MM (1''), APARENTE - FORNECIMENTO E INSTALAÇÃO. AF_11/2016"/>
        <s v="IMPERMEABILIZAÇÃO DE PAREDES COM ARGAMASSA DE CIMENTO E AREIA, COM ADITIVO IMPERMEABILIZANTE, E = 2CM. AF_06/2018"/>
        <s v="CABO DE COBRE NU 35 MM² - FORNECIMENTO E INSTALAÇÃO. AF_12/2017"/>
        <s v="ESCADA ACESSO "/>
        <s v="TRANSPORTE HORIZONTAL COM JERICA DE 90 L, DE MASSA/ GRANEL (UNIDADE: M3XKM). AF_07/2019"/>
        <s v="ESCAVAÇÃO MANUAL DE VALA PARA VIGA BALDRAME (SEM ESCAVAÇÃO PARA COLOCAÇÃO DE FÔRMAS). AF_06/2017"/>
        <s v="CONCRETO MAGRO PARA LASTRO, TRAÇO 1:4,5:4,5 (EM MASSA SECA DE CIMENTO/ AREIA MÉDIA/ SEIXO ROLADO) - PREPARO MECÂNICO COM BETONEIRA 400 L. AF_05/2021"/>
        <s v="REATERRO MANUAL APILOADO COM SOQUETE. AF_10/2017"/>
        <s v="PISO E REVESTIMENTO"/>
        <s v="CONTRAPISO EM ARGAMASSA TRAÇO 1:4 (CIMENTO E AREIA), PREPARO MECÂNICO COM BETONEIRA 400 L, APLICADO EM ÁREAS SECAS SOBRE LAJE, ADERIDO, ACABAMENTO NÃO REFORÇADO, ESPESSURA 2CM. AF_07/2021"/>
        <s v="PISO EM GRANITO APLICADO EM CALÇADAS OU PISOS EXTERNOS. AF_05/2020"/>
        <s v="GUARDA CORPO COM CORRIMÃO DUPLO  EM TUBO DE AÇO INOXIDAVEL 1 1/2&quot;, COM CHUMBADORES PARA FIXAÇÃO NO PISO"/>
        <s v="COBERTURA"/>
        <s v="REMOÇÃO DE TELHAS DE FIBROCIMENTO, METÁLICA E CERÂMICA, DE FORMA MECANIZADA, COM USO DE GUINDASTE, SEM REAPROVEITAMENTO. AF_12/2017"/>
        <s v="REMOÇÃO DE TRAMA METÁLICA PARA COBERTURA, DE FORMA MANUAL, SEM REAPROVEITAMENTO. AF_12/2017"/>
        <s v="REMOÇÃO DE TESOURAS METÁLICAS, COM VÃO MAIOR OU IGUAL A 8M, DE FORMA MANUAL, SEM REAPROVEITAMENTO. AF_12/2017"/>
        <s v="COBERTURA METALICA"/>
        <s v="IMPERMEABILIZAÇÃO DE SUPERFÍCIE COM MANTA ASFÁLTICA, UMA CAMADA, INCLUSIVE APLICAÇÃO DE PRIMER ASFÁLTICO, E=3MM. AF_06/2018"/>
        <s v="FABRICAÇÃO E INSTALAÇÃO DE TESOURA INTEIRA EM AÇO, VÃO DE 12 M, PARA TELHA ONDULADA DE FIBROCIMENTO, METÁLICA, PLÁSTICA OU TERMOACÚSTICA, INCLUSO IÇAMENTO. AF_12/2015"/>
        <s v="FABRICAÇÃO E INSTALAÇÃO DE TESOURA INTEIRA EM AÇO, VÃO DE 4 M, PARA TELHA ONDULADA DE FIBROCIMENTO, METÁLICA, PLÁSTICA OU TERMOACÚSTICA, INCLUSO IÇAMENTO. AF_12/2015"/>
        <s v="FABRICAÇÃO E INSTALAÇÃO DE TESOURA INTEIRA EM AÇO, VÃO DE 6 M, PARA TELHA ONDULADA DE FIBROCIMENTO, METÁLICA, PLÁSTICA OU TERMOACÚSTICA, INCLUSO IÇAMENTO. AF_12/2015"/>
        <s v="TRAMA DE AÇO COMPOSTA POR TERÇAS PARA TELHADOS DE ATÉ 2 ÁGUAS PARA TELHA ONDULADA DE FIBROCIMENTO, METÁLICA, PLÁSTICA OU TERMOACÚSTICA, INCLUSO TRANSPORTE VERTICAL. AF_07/2019"/>
        <s v="TELHAMENTO COM TELHA DE AÇO/ALUMÍNIO E = 0,5 MM, COM ATÉ 2 ÁGUAS, INCLUSO IÇAMENTO. AF_07/2019"/>
        <s v="CALHA EM CHAPA DE AÇO GALVANIZADO NÚMERO 24, DESENVOLVIMENTO DE 100 CM, INCLUSO TRANSPORTE VERTICAL. AF_07/2019"/>
        <s v="RUFO EM CHAPA DE AÇO GALVANIZADO NÚMERO 24, CORTE DE 25 CM, INCLUSO TRANSPORTE VERTICAL. AF_07/2019"/>
        <s v="COLOCAÇÃO DE CUMEEIRA GALVANIZADA TRAPEZOIDAL E = 0,50 MM, SIMPLES"/>
        <s v="CHAPIM METÁLICO, COM PINGADEIRA, CHAPA GALVANIZADA Nº 24, DESENVOLVIMENTO = 35 CM"/>
        <s v="PASSARELA METALICA TIPO 02, FORNECIMENTO E INSTALAÇÃO"/>
        <s v="ESTRUTURA DE CONCRETO"/>
        <s v="FABRICAÇÃO DE FÔRMA PARA VIGAS, EM CHAPA DE MADEIRA COMPENSADA RESINADA, E = 17 MM. AF_09/2020"/>
        <s v="ARMAÇÃO DE PILAR OU VIGA DE UMA ESTRUTURA CONVENCIONAL DE CONCRETO ARMADO EM UMA EDIFICAÇÃO TÉRREA OU SOBRADO UTILIZANDO AÇO CA-60 DE 5,0 MM - MONTAGEM. AF_12/2015"/>
        <s v="ARMAÇÃO DE PILAR OU VIGA DE UMA ESTRUTURA CONVENCIONAL DE CONCRETO ARMADO EM UMA EDIFICAÇÃO TÉRREA OU SOBRADO UTILIZANDO AÇO CA-50 DE 8,0 MM - MONTAGEM. AF_12/2015"/>
        <s v="ARMAÇÃO DE PILAR OU VIGA DE UMA ESTRUTURA CONVENCIONAL DE CONCRETO ARMADO EM UMA EDIFICAÇÃO TÉRREA OU SOBRADO UTILIZANDO AÇO CA-50 DE 10,0 MM - MONTAGEM. AF_12/2015"/>
        <s v="ALVENARIA E REVESTIMENTO"/>
        <s v="FACHADA"/>
        <s v="MARQUISE E PILARES ENTRADA PRINCIPAL"/>
        <s v="FUNDAÇÃO MARQUISE E PILARES METALICOS"/>
        <s v="CONCRETAGEM DE SAPATAS, FCK 30 MPA, COM USO DE BOMBA  LANÇAMENTO, ADENSAMENTO E ACABAMENTO. AF_11/2016"/>
        <s v="ESTACA HÉLICE CONTÍNUA, DIÂMETRO DE 30 CM, INCLUSO CONCRETO FCK=30MPA E ARMADURA MÍNIMA (EXCLUSIVE MOBILIZAÇÃO, DESMOBILIZAÇÃO E BOMBEAMENTO). AF_12/2019"/>
        <s v="ESTRUTURA METALICA"/>
        <s v="MARQUISE ENTRADA PRINCIPAL, FORNECIMENTO E INSTALAÇÃO."/>
        <s v="REVESTIMENTO EM ACM (ALUMINIO COMPOSTO) FIXADO EM ESTRUTURA METALICA. FORNCECIMENTO E INSTALAÇÃO."/>
        <s v="PILARES ENTRADA PRINCIPAL , H=12,23 M - TIPO 01, FORNECIMENTO E INSTALAÇÃO."/>
        <s v="PILARES ENTRADA PRINCIPAL,  H=8,155 M  - TIPO 03, FORNECIMENTO E INSTALAÇÃO."/>
        <s v="PILARES ENTRADA PRINCIPAL, H=7,348 M - TIPO 02, FORNECIMENTO E INSTALAÇÃO."/>
        <s v="SUPORTE METALICO FACHADA MTI, FORNECIMENTO E INSTALAÇÃO."/>
        <s v="SUPORTE METALICO FACHADA (PRINCIPAL/LATERAL), FORNECIMENTO E INSTALAÇÃO."/>
        <s v="FACHADA DE VIDRO TEMPERADO DE 10mm FIXADO EM ESTRUTURA METALICA. FORNECIMENTO E INSTALAÇÃO."/>
        <s v="FACHADA PELE DE VIDRO (BASCULANTE). FORNECIMENTO E INSTALAÇÃO."/>
        <s v="BRISE FACHADA"/>
        <s v="ESTRUTURA METÁLICA"/>
        <s v="ESTRUTURA PARA SUPORTE DAS BRISES, FORNECIMENTO E INSTALAÇÃO."/>
        <s v="REVESTIMENTO METALICO HUNTER DOUGLAS - BRISE SCREENPANELL J #805 OU SIMILAR, FORNECIMENTO E INSTALAÇÃO."/>
        <s v="APLICAÇÃO MANUAL DE FUNDO SELADOR ACRÍLICO EM PANOS CEGOS DE FACHADA (SEM PRESENÇA DE VÃOS) DE EDIFÍCIOS DE MÚLTIPLOS PAVIMENTOS. AF_06/2014"/>
        <s v="APLICAÇÃO MANUAL DE MASSA ACRÍLICA EM PANOS DE FACHADA COM PRESENÇA DE VÃOS, DE EDIFÍCIOS DE MÚLTIPLOS PAVIMENTOS, DUAS DEMÃOS. AF_05/2017"/>
        <s v="APLICAÇÃO MANUAL DE TINTA LÁTEX ACRÍLICA EM PANOS SEM PRESENÇA DE VÃOS DE EDIFÍCIOS DE MÚLTIPLOS PAVIMENTOS, DUAS DEMÃOS. AF_11/2016"/>
        <s v="FACHADA POSTERIOR - ENVOLTÓRIA DA ESCADA"/>
        <s v="ESTRUTURA METALICA FACHADA POSTERIOR ESCOLA , FORNECIMENTO E INSTALAÇÃO"/>
        <s v="ACESSIBILIDADE"/>
        <s v="MAPA TÁTIL C/ PEDESTAL EM AÇO(40X60). FORNECIMENTO E INSTALAÇÃO."/>
        <s v="PLACA DE PORTA EM BRAILE 20X8CM (AMBIENTES EM GERAL). FORNECIMENTO E INSTALAÇÃO."/>
        <s v="PLACA DE PORTA EM BRAILE (SANITARIOS)                               (5X15CM). FORNECIMENTO E INSTALAÇÃO."/>
        <s v="SINALIZAÇÃO VISUAL P/ DEGRAU DE ESCADA - ESPELHO E PISO   (FOTOLUMINESCENTE). FORNECIMENTO E INSTALAÇÃO."/>
        <s v="SINALIZAÇÃO TATIL DE PAVIMENTO- PARA CORRIMÃO E RAMPA. FORNECIMENTO E INSTALAÇÃO."/>
        <s v="PISO TATIL ALERTA INTERNO CINZA (EM PORCELANATO) 25X25. FORNECIMENTO E INSTALAÇÃO."/>
        <s v="RAMPA DE ACESSO"/>
        <s v="ELEVADOR"/>
        <s v="ESTRUTURA DE CONCRETO - INFRAESTRUTURA"/>
        <s v="FABRICAÇÃO, MONTAGEM E DESMONTAGEM DE FÔRMA PARA VIGA BALDRAME, EM MADEIRA SERRADA, E=25 MM, 4 UTILIZAÇÕES. AF_06/2017"/>
        <s v="CONCRETO FCK = 20MPA, TRAÇO 1:2,6:2,9 (EM MASSA SECA DE CIMENTO/ AREIA MÉDIA/ SEIXO ROLADO) - PREPARO MECÂNICO COM BETONEIRA 600 L. AF_05/2021"/>
        <s v="LANÇAMENTO COM USO DE BALDES, ADENSAMENTO E ACABAMENTO DE CONCRETO EM ESTRUTURAS. AF_02/2022"/>
        <s v="ESTRUTURA - SUPERESTRUTURA"/>
        <s v="ARMAÇÃO DE PILAR OU VIGA DE UMA ESTRUTURA CONVENCIONAL DE CONCRETO ARMADO EM UM EDIFÍCIO DE MÚLTIPLOS PAVIMENTOS UTILIZANDO AÇO CA-60 DE 5,0 MM - MONTAGEM. AF_12/2015"/>
        <s v="ARMAÇÃO DE PILAR OU VIGA DE UMA ESTRUTURA CONVENCIONAL DE CONCRETO ARMADO EM UM EDIFÍCIO DE MÚLTIPLOS PAVIMENTOS UTILIZANDO AÇO CA-50 DE 6,3 MM - MONTAGEM. AF_12/2015"/>
        <s v="ARMAÇÃO DE PILAR OU VIGA DE UMA ESTRUTURA CONVENCIONAL DE CONCRETO ARMADO EM UM EDIFÍCIO DE MÚLTIPLOS PAVIMENTOS UTILIZANDO AÇO CA-50 DE 8,0 MM - MONTAGEM. AF_12/2015"/>
        <s v="ARMAÇÃO DE PILAR OU VIGA DE UMA ESTRUTURA CONVENCIONAL DE CONCRETO ARMADO EM UM EDIFÍCIO DE MÚLTIPLOS PAVIMENTOS UTILIZANDO AÇO CA-50 DE 10,0 MM - MONTAGEM. AF_12/2015"/>
        <s v="CONCRETAGEM DE LAJES EM EDIFICAÇÕES UNIFAMILIARES FEITAS COM SISTEMA DE FÔRMAS MANUSEÁVEIS, COM CONCRETO USINADO BOMBEÁVEL FCK 25 MPA - LANÇAMENTO, ADENSAMENTO E ACABAMENTO (EXCLUSIVE BOMBA LANÇA). AF_10/2021"/>
        <s v=" VIGA SUPORTE METALICO PARA LAJE, FORNECIMENTO E INSTALAÇÃO."/>
        <s v=" VIGA SUPORTE METALICO PARA ELEVADOR, FORNECIMENTO E INSTALAÇÃO."/>
        <s v="SILICONE ESTRUTURAL CARTUCHO BRANCA 420GR, FORNECIMENTO E INSTALAÇÃO" u="1"/>
        <s v="CARTUCHO PARA SOLDA EXOTÊRMICA Nº 115, FORNECIMENTO E INSTALAÇÃO" u="1"/>
        <e v="#N/A" u="1"/>
        <s v="LANÇAMENTO COM USO DE BALDES, ADENSAMENTO E ACABAMENTO DE CONCRETO EM ESTRUTURAS. AF_12/2015" u="1"/>
        <s v="J30- janela maxim ar 0,90 x 0,90. FORNECIMENTO E INSTALAÇÃO." u="1"/>
        <s v="BASE ( SUPORTE GUIA) PARA BARRA CHATA DE ALUMINIO 1/4&quot;X3/4&quot; 6M. FORNECIMENTO E INSTALAÇÃO." u="1"/>
        <s v="TERMINAL OLHAL PARA CABO DE 4,0MM2 À 6,0MM2, FORNECIMENTO E INSTALAÇÃO" u="1"/>
        <s v="TAMPA PARA PASSAGEM DE TUUBLAÇÃO NA LAJE COBERTURA" u="1"/>
        <s v="PLACA FOTOLUMINESCENTE  - 250 MM X350 (PERIGO, INFLAMÁVEL).  FORNECIMENTO E INSTALAÇÃO." u="1"/>
        <s v="ABRACADEIRA DE LATAO PARA FIXACAO DE CABO PARA-RAIO, DIMENSOES 32 X 24 X 24 MM, FORNECIMENTO E INSTALAÇÃO" u="1"/>
        <s v="REVESTIMENTO CERÂMICO PARA PISO COM PLACAS TIPO PORCELANATO RETIFICADO  0,90X0,90m PORTOBELLO OU SIMILAR, ARGAMASSA TIPO AC III, APLICADAS EM AMBIENTES DE ÁREA MAIOR QUE 5 M2 NA ALTURA INTEIRA DAS PAREDES. FORNECIMENTO E INSTALAÇÃO. AF_06/2014" u="1"/>
        <s v="TAMPA DE FERRO FUNDIDO 300MM PARA CAIXA DE INSPEÇÃO DE ATERRAMENTO, FORNECIMENTO E INSTALAÇÃO" u="1"/>
        <s v="MOLDE PARA SOLDA EXOTÊRMICA HCL 3/4,5-5, FORNECIMENTO E INSTALAÇÃO" u="1"/>
        <s v="ABRIGO METALICO PARA EXTINTORES 75X30X25, FORNECIMENTO E INSTALAÇÃO.  FORNECIMENTO E INSTALAÇÃO." u="1"/>
        <s v="REVESTIMENTO ESPECIAIS" u="1"/>
        <s v="BARRA CHATA DE ALUMINIO 1/4&quot;X3/4&quot; BARRA DE 6M, FORNECIMENTO E INSTALAÇÃO. " u="1"/>
        <s v="CAIXA DE EQUIPOTENCIALIZAÇÃO 40X40X10 CM , FORNECIMENTO E INSTALAÇÃO" u="1"/>
        <s v="CONCRETAGEM DE VIGAS E LAJES, FCK=20 MPA, PARA LAJES MACIÇAS OU NERVURADAS COM USO DE BOMBA EM EDIFICAÇÃO COM ÁREA MÉDIA DE LAJES MENOR OU IGUAL A 20 M² - LANÇAMENTO, ADENSAMENTO E ACABAMENTO. AF_12/2015" u="1"/>
        <s v="ABRACADEIRA EM ACO PARA AMARRACAO DE ELETRODUTOS, TIPO D, COM 1&quot; E CUNHA DE FIXACAO, FORNECIMENTO E INSTALAÇÃO" u="1"/>
        <s v="CONTRAPISO EM ARGAMASSA TRAÇO 1:4 (CIMENTO E AREIA), PREPARO MECÂNICO COM BETONEIRA 400 L, APLICADO EM ÁREAS SECAS SOBRE LAJE, ADERIDO, ACABAMENTO NÃO REFORÇADO, ESPESSURA 4CM. AF_07/2021" u="1"/>
        <s v="PLACA FOTOLUMINESCENTE &quot;S17&quot; - 316 X 158 MM (INDICAÇÃO DE PAVIMENTO).  FORNECIMENTO E INSTALAÇÃO." u="1"/>
        <s v="BASE DECORATIVA PARA EXTINTORES, FORNECIMENTO E INSTALAÇÃO.  FORNECIMENTO E INSTALAÇÃO." u="1"/>
        <s v="CONDULETE DE ALUMÍNIO, TIPO B, PARA ELETRODUTO DE AÇO GALVANIZADO DN 25 MM (1''), APARENTE - FORNECIMENTO E INSTALAÇÃO. AF_11/2016_P" u="1"/>
        <s v="CONCRETAGEM DE PILARES, FCK = 25 MPA, COM USO DE BOMBA EM EDIFICAÇÃO COM SEÇÃO MÉDIA DE PILARES MENOR OU IGUAL A 0,25 M² - LANÇAMENTO, ADENSAMENTO E ACABAMENTO. AF_12/2015" u="1"/>
        <s v="CONECTOR DE MEDIÇÃO BIMETÁLICO TEL-565, FORNECIMENTO E INSTALAÇÃO" u="1"/>
        <s v="J04- JANELA MAXIN AR 4,00 x 1,70 (4 JANELAS DE 1,00). FORNECIMENTO E INSTALAÇÃO." u="1"/>
        <s v="ESGUICHO TIPO AGULHETA, JUNTA DE UNIÃO ENGATE RÁPIDO D = 38 MM.  FORNECIMENTO E INSTALAÇÃO." u="1"/>
        <s v="RODAPÉ CERÂMICO DE 7CM DE ALTURA COM PLACAS TIPO PORCELANATO DE DIMENSÕES 60X60CM. FORNECIMENTO E INSTALAÇÃO. AF_06/2014" u="1"/>
        <s v="PLACA FOTOLUMINESCENTE &quot;M4&quot; - 240 X 120 MM (ACESSO DE ESCADA DE EMRGÊNCIA).  FORNECIMENTO E INSTALAÇÃO." u="1"/>
        <s v="SUPORTE PARA FIXAÇÃO DE TUBULAÇÃO DE HIDRANTE  DE 2.1/2&quot;.  FORNECIMENTO E INSTALAÇÃO." u="1"/>
        <s v="CAIXA DE INSPEÇÃO SUSPENSA PVC TEL-541, FORNECIMENTO E INSTALAÇÃO" u="1"/>
        <s v="J11- JANELA MAXIN AR 3,00 x 1,70 (3 JANELAS DE 1,00). FORNECIMENTO E INSTALAÇÃO." u="1"/>
        <s v="JOELHO 45 GRAUS, EM FERRO GALVANIZADO, DN 65 (2 1/2&quot;), CONEXÃO ROSQUEADA, INSTALADO EM REDE DE ALIMENTAÇÃO PARA HIDRANTE - FORNECIMENTO E INSTALAÇÃO. AF_10/2020" u="1"/>
        <s v="J12- JANELA MAXIN AR 6,00 x 1,70 (6 JANELAS DE 1,00). FORNECIMENTO E INSTALAÇÃO." u="1"/>
        <s v="Sealtube 3/4 &quot;ELETRODUTO FLEXÍVEL, EM AÇO GALVANIZADO, REVESTIDO EXTERNAMENTE COM PVC PRETO ( 3/4&quot;), INCLUSIVE CONEXÕES, SUPORTES E FIXAÇÃO. FORNECIMENTO E INSTALAÇÃO. " u="1"/>
        <s v="FIXAÇÃO DE TUBOS VERTICAIS DE PPR DIÂMETROS MENORES OU IGUAIS A 40 MM COM ABRAÇADEIRA METÁLICA RÍGIDA TIPO D 1/2&quot;, FIXADA EM PERFILADO EM ALVENARIA. AF_05/2015" u="1"/>
        <s v="CONJUNTO DE MANGUEIRA PARA COMBATE A INCÊNDIO EM FIBRA DE POLIESTER PURA, COM 1.1/2&quot;, REVESTIDA INTERNAMENTE, COMPRIMENTO DE 15M - FORNECIMENTO E INSTALAÇÃO. AF_10/2020" u="1"/>
        <s v="FACHADA DE ACM (ALUMINIO COMPOSTO) FIXADO ESTRUTURA METALICA. FORNCECIMENTO E INSTALAÇÃO." u="1"/>
        <s v="PLACA FOTOLUMINESCENTE (TIPO : E5|FORMATO: QUADRADA DIMENSÃO: 300MMX300MM INFORMAÇÃO: PICTOGRAMA SEM TEXTO - EXTINTOR DE INCÊNDIO.  FORNECIMENTO E INSTALAÇÃO." u="1"/>
        <s v="PLACA FOTOLUMINESCENTE &quot;P4&quot; - D = 252 MM (EM CASO DE INCÊNDIO NÃO USAR O ELEVADOR).  FORNECIMENTO E INSTALAÇÃO." u="1"/>
        <s v="PISO EM GRANILITE, MARMORITE OU GRANITINA EM AMBIENTES INTERNOS. AF_09/2020" u="1"/>
        <s v="ESTRUTURA DE CONCRETO - SUPERESTRUTURA" u="1"/>
      </sharedItems>
    </cacheField>
    <cacheField name="UND" numFmtId="0">
      <sharedItems containsBlank="1"/>
    </cacheField>
    <cacheField name="QTD" numFmtId="0">
      <sharedItems containsString="0" containsBlank="1" containsNumber="1" minValue="8.5049999999999987E-2" maxValue="1536"/>
    </cacheField>
    <cacheField name="NÃO DESONERADO P.UNIT (S/BDI) " numFmtId="0">
      <sharedItems containsBlank="1" containsMixedTypes="1" containsNumber="1" minValue="6.1899999999999995" maxValue="43383.73000000001"/>
    </cacheField>
    <cacheField name="NÃO DESONERADO P.UNIT (C/BDI) " numFmtId="0">
      <sharedItems containsString="0" containsBlank="1" containsNumber="1" minValue="1.51" maxValue="53026.26"/>
    </cacheField>
    <cacheField name="P. TOTAL NÃO DESONERADO" numFmtId="0">
      <sharedItems containsString="0" containsBlank="1" containsNumber="1" minValue="0" maxValue="820953.06999999983" count="1079">
        <m/>
        <n v="4996.5"/>
        <n v="42155.519999999997"/>
        <n v="29419.32"/>
        <n v="116762.74"/>
        <n v="46598.8"/>
        <n v="10230.299999999999"/>
        <n v="1344.48"/>
        <n v="251507.66"/>
        <n v="201260.04"/>
        <n v="372.59"/>
        <n v="121.48"/>
        <n v="1242.6400000000001"/>
        <n v="157.44"/>
        <n v="1553.55"/>
        <n v="23.18"/>
        <n v="17.96"/>
        <n v="3488.8399999999997"/>
        <n v="264.93"/>
        <n v="16.829999999999998"/>
        <n v="55.67"/>
        <n v="54.8"/>
        <n v="392.23"/>
        <n v="2707.2"/>
        <n v="1488.3"/>
        <n v="2128.11"/>
        <n v="1702.47"/>
        <n v="10914.29"/>
        <n v="3648.41"/>
        <n v="22588.780000000002"/>
        <n v="10109.34"/>
        <n v="6037.91"/>
        <n v="1996.24"/>
        <n v="8066.11"/>
        <n v="26209.600000000002"/>
        <n v="27977.48"/>
        <n v="818.74"/>
        <n v="6412.27"/>
        <n v="5772.16"/>
        <n v="10333.959999999999"/>
        <n v="23337.129999999997"/>
        <n v="12445.16"/>
        <n v="3256.81"/>
        <n v="2978.94"/>
        <n v="18680.91"/>
        <n v="6161.49"/>
        <n v="3586.86"/>
        <n v="3850.74"/>
        <n v="1728.32"/>
        <n v="898.88"/>
        <n v="1242.74"/>
        <n v="802.94"/>
        <n v="1537.85"/>
        <n v="19809.819999999996"/>
        <n v="908.76"/>
        <n v="479.13"/>
        <n v="325.45999999999998"/>
        <n v="1713.35"/>
        <n v="144198.14000000001"/>
        <n v="492.41"/>
        <n v="231.24"/>
        <n v="3372.88"/>
        <n v="328.56"/>
        <n v="4425.0900000000011"/>
        <n v="72205.06"/>
        <n v="3230.67"/>
        <n v="75435.73"/>
        <n v="21779.03"/>
        <n v="3111.29"/>
        <n v="2578.69"/>
        <n v="3580.94"/>
        <n v="706.16"/>
        <n v="611.03"/>
        <n v="33.020000000000003"/>
        <n v="153.11000000000001"/>
        <n v="837.48"/>
        <n v="33390.75"/>
        <n v="12606.44"/>
        <n v="4928.66"/>
        <n v="20523.71"/>
        <n v="1416.67"/>
        <n v="2589.4899999999998"/>
        <n v="3223.3"/>
        <n v="45288.27"/>
        <n v="1849.8"/>
        <n v="16934.11"/>
        <n v="13041.11"/>
        <n v="31825.02"/>
        <n v="190364.86"/>
        <n v="448.93"/>
        <n v="217.94"/>
        <n v="3256.85"/>
        <n v="3923.72"/>
        <n v="65830.38"/>
        <n v="3279.85"/>
        <n v="69110.23000000001"/>
        <n v="1919.28"/>
        <n v="17570.13"/>
        <n v="13530.92"/>
        <n v="33020.33"/>
        <n v="28001.61"/>
        <n v="239.07"/>
        <n v="245.58"/>
        <n v="14.67"/>
        <n v="31079.62"/>
        <n v="2833.34"/>
        <n v="4195.38"/>
        <n v="6467.77"/>
        <n v="51555.299999999988"/>
        <n v="188689.19999999998"/>
        <n v="4028.34"/>
        <n v="4156.17"/>
        <n v="408.12"/>
        <n v="1300.7"/>
        <n v="1346.68"/>
        <n v="11648.130000000003"/>
        <n v="2366.92"/>
        <n v="1602.65"/>
        <n v="2310.5100000000002"/>
        <n v="354.52"/>
        <n v="69.72"/>
        <n v="294.99"/>
        <n v="740.01"/>
        <n v="3396.8"/>
        <n v="671.07"/>
        <n v="1152.6500000000001"/>
        <n v="1283.02"/>
        <n v="14242.86"/>
        <n v="11207.11"/>
        <n v="3505"/>
        <n v="565.74"/>
        <n v="856.9"/>
        <n v="981.25"/>
        <n v="520.63"/>
        <n v="341.35"/>
        <n v="848.88"/>
        <n v="414.7"/>
        <n v="366.01"/>
        <n v="941.32"/>
        <n v="358.41"/>
        <n v="477.69"/>
        <n v="144.82"/>
        <n v="21529.809999999998"/>
        <n v="25.67"/>
        <n v="78.27"/>
        <n v="67.739999999999995"/>
        <n v="77.010000000000005"/>
        <n v="24.99"/>
        <n v="49.98"/>
        <n v="558.22"/>
        <n v="29.38"/>
        <n v="99.96"/>
        <n v="315.7"/>
        <n v="2418.9"/>
        <n v="3745.82"/>
        <n v="10374.07"/>
        <n v="199.82"/>
        <n v="660.58"/>
        <n v="615.76"/>
        <n v="11850.23"/>
        <n v="12460.56"/>
        <n v="780.23"/>
        <n v="7250.67"/>
        <n v="19674.43"/>
        <n v="1551.82"/>
        <n v="26108.28"/>
        <n v="2967.61"/>
        <n v="4318.5200000000004"/>
        <n v="75112.12"/>
        <n v="1093.52"/>
        <n v="6916.83"/>
        <n v="8010.35"/>
        <n v="94972.7"/>
        <n v="146139.32"/>
        <n v="668.36"/>
        <n v="1329.75"/>
        <n v="323.52"/>
        <n v="812.88"/>
        <n v="11.26"/>
        <n v="529.84"/>
        <n v="207.55"/>
        <n v="1376.55"/>
        <n v="702.8"/>
        <n v="2115.31"/>
        <n v="24.86"/>
        <n v="66.36"/>
        <n v="8169.0400000000009"/>
        <n v="2149.35"/>
        <n v="7759.64"/>
        <n v="13319.1"/>
        <n v="69250.320000000007"/>
        <n v="95.5"/>
        <n v="3826.87"/>
        <n v="4901.16"/>
        <n v="93621.16"/>
        <n v="7710.72"/>
        <n v="7463.68"/>
        <n v="5469.39"/>
        <n v="483"/>
        <n v="121.6"/>
        <n v="215.64"/>
        <n v="269.92"/>
        <n v="103.2"/>
        <n v="55.83"/>
        <n v="263.7"/>
        <n v="148.08000000000001"/>
        <n v="544.83000000000004"/>
        <n v="1008.1"/>
        <n v="636.69000000000005"/>
        <n v="1549.83"/>
        <n v="423"/>
        <n v="261.99"/>
        <n v="168.05"/>
        <n v="157.96"/>
        <n v="29.92"/>
        <n v="443.52"/>
        <n v="152.47999999999999"/>
        <n v="862.2"/>
        <n v="958"/>
        <n v="1587.33"/>
        <n v="4248.09"/>
        <n v="9813.9599999999991"/>
        <n v="99.44"/>
        <n v="442.4"/>
        <n v="53.52"/>
        <n v="3586"/>
        <n v="3178.25"/>
        <n v="105.21"/>
        <n v="554.58000000000004"/>
        <n v="399.6"/>
        <n v="2945"/>
        <n v="379.72"/>
        <n v="525.6"/>
        <n v="1113.33"/>
        <n v="547.5"/>
        <n v="105.8"/>
        <n v="94.36"/>
        <n v="133.19999999999999"/>
        <n v="802.48"/>
        <n v="521.04999999999995"/>
        <n v="1318.66"/>
        <n v="362.16"/>
        <n v="92.31"/>
        <n v="100.62"/>
        <n v="39.32"/>
        <n v="88.02"/>
        <n v="257661.93999999994"/>
        <n v="6727.42"/>
        <n v="3929.68"/>
        <n v="1407.94"/>
        <n v="3863.7"/>
        <n v="4283.72"/>
        <n v="3098.22"/>
        <n v="10215.48"/>
        <n v="1282.67"/>
        <n v="388.7"/>
        <n v="806.12"/>
        <n v="2118.96"/>
        <n v="262.44"/>
        <n v="3195.36"/>
        <n v="1165.8499999999999"/>
        <n v="3938.11"/>
        <n v="9163.5"/>
        <n v="3527.68"/>
        <n v="434.75"/>
        <n v="216.66"/>
        <n v="829.08"/>
        <n v="417.54"/>
        <n v="520.64"/>
        <n v="1511.63"/>
        <n v="1978.69"/>
        <n v="19429.3"/>
        <n v="84713.840000000011"/>
        <n v="350544.81999999995"/>
        <n v="120.99"/>
        <n v="48.34"/>
        <n v="398.6"/>
        <n v="56.07"/>
        <n v="18.02"/>
        <n v="190.05"/>
        <n v="67.099999999999994"/>
        <n v="64.959999999999994"/>
        <n v="20.260000000000002"/>
        <n v="56.04"/>
        <n v="116.73"/>
        <n v="364.24"/>
        <n v="59.75"/>
        <n v="28.62"/>
        <n v="56.74"/>
        <n v="199.52"/>
        <n v="3511.13"/>
        <n v="5377.16"/>
        <n v="500.67"/>
        <n v="8793.5400000000009"/>
        <n v="176.7"/>
        <n v="914.95"/>
        <n v="59.19"/>
        <n v="31.47"/>
        <n v="21.08"/>
        <n v="10497.600000000002"/>
        <n v="1676.01"/>
        <n v="600.49"/>
        <n v="3076.64"/>
        <n v="252"/>
        <n v="9043.32"/>
        <n v="174.78"/>
        <n v="2413.04"/>
        <n v="1086.3399999999999"/>
        <n v="1923.99"/>
        <n v="4066.86"/>
        <n v="136.80000000000001"/>
        <n v="189.18"/>
        <n v="159.12"/>
        <n v="162.30000000000001"/>
        <n v="294.83999999999997"/>
        <n v="815.1"/>
        <n v="12203.56"/>
        <n v="38274.369999999995"/>
        <n v="1689.91"/>
        <n v="3251.09"/>
        <n v="997.13"/>
        <n v="12.83"/>
        <n v="5950.96"/>
        <n v="703.03"/>
        <n v="6615.96"/>
        <n v="1973.12"/>
        <n v="1109.55"/>
        <n v="743.72"/>
        <n v="5880.6"/>
        <n v="17634.919999999998"/>
        <n v="5894.98"/>
        <n v="166.73"/>
        <n v="40722.609999999993"/>
        <n v="1459.05"/>
        <n v="20106.86"/>
        <n v="21565.91"/>
        <n v="8971.44"/>
        <n v="25142.57"/>
        <n v="34114.01"/>
        <n v="102353.49"/>
        <n v="1268.77"/>
        <n v="7013.6"/>
        <n v="3534.32"/>
        <n v="11816.69"/>
        <n v="6085.44"/>
        <n v="14147.85"/>
        <n v="4254.72"/>
        <n v="7645.35"/>
        <n v="22913.11"/>
        <n v="30994.46"/>
        <n v="14622.86"/>
        <n v="5541.22"/>
        <n v="1629.33"/>
        <n v="16936.11"/>
        <n v="11775.6"/>
        <n v="136546.04999999999"/>
        <n v="19494.11"/>
        <n v="4665.29"/>
        <n v="4421.76"/>
        <n v="4177.3100000000004"/>
        <n v="3554.2"/>
        <n v="36312.670000000006"/>
        <n v="14132.41"/>
        <n v="2162.94"/>
        <n v="8739.7000000000007"/>
        <n v="25035.050000000003"/>
        <n v="209710.46"/>
        <n v="1218.3900000000001"/>
        <n v="8.07"/>
        <n v="1226.46"/>
        <n v="55.6"/>
        <n v="4753.0200000000004"/>
        <n v="2791.69"/>
        <n v="2501.0700000000002"/>
        <n v="4735.62"/>
        <n v="1583.01"/>
        <n v="6314.42"/>
        <n v="23591.33"/>
        <n v="35468.93"/>
        <n v="8665.39"/>
        <n v="11970.16"/>
        <n v="2021.03"/>
        <n v="1924.91"/>
        <n v="10581.24"/>
        <n v="34750.71"/>
        <n v="16470.740000000002"/>
        <n v="31013.75"/>
        <n v="13430.88"/>
        <n v="160592.60999999999"/>
        <n v="93983.01"/>
        <n v="420873.36"/>
        <n v="106052.52"/>
        <n v="77048.62"/>
        <n v="183101.14"/>
        <n v="1965.24"/>
        <n v="33184.15"/>
        <n v="14135.52"/>
        <n v="49284.91"/>
        <n v="162.25"/>
        <n v="5.94"/>
        <n v="168.19"/>
        <n v="2602.02"/>
        <n v="1501.83"/>
        <n v="2651.71"/>
        <n v="8245.4"/>
        <n v="2756.26"/>
        <n v="1365.28"/>
        <n v="19122.5"/>
        <n v="48674.51"/>
        <n v="8008.28"/>
        <n v="32594.43"/>
        <n v="27257.88"/>
        <n v="116535.1"/>
        <n v="813902.98999999987"/>
        <n v="5419.23"/>
        <n v="1897.92"/>
        <n v="377.3"/>
        <n v="3280.64"/>
        <n v="614.95000000000005"/>
        <n v="2263.36"/>
        <n v="13853.400000000001"/>
        <n v="1001.11"/>
        <n v="1283.98"/>
        <n v="1082.68"/>
        <n v="328.89"/>
        <n v="3696.6600000000003"/>
        <n v="1176.33"/>
        <n v="4450.2"/>
        <n v="2992.38"/>
        <n v="4303.2700000000004"/>
        <n v="2281.6999999999998"/>
        <n v="2717.05"/>
        <n v="15957.45"/>
        <n v="5334.23"/>
        <n v="5461.12"/>
        <n v="44673.73"/>
        <n v="22131.21"/>
        <n v="70501.600000000006"/>
        <n v="1009.26"/>
        <n v="67.709999999999994"/>
        <n v="223.85"/>
        <n v="182.47"/>
        <n v="1483.29"/>
        <n v="333.74"/>
        <n v="6489.43"/>
        <n v="377.52"/>
        <n v="487.11"/>
        <n v="2945.18"/>
        <n v="1271.79"/>
        <n v="452.9"/>
        <n v="12357.67"/>
        <n v="6013.99"/>
        <n v="46.15"/>
        <n v="3502.2"/>
        <n v="7374.54"/>
        <n v="23265.69"/>
        <n v="13254.31"/>
        <n v="5876.36"/>
        <n v="3263.42"/>
        <n v="2854.95"/>
        <n v="65451.609999999993"/>
        <n v="2213.29"/>
        <n v="1062.72"/>
        <n v="4294.08"/>
        <n v="7570.09"/>
        <n v="86862.659999999989"/>
        <n v="0" u="1"/>
        <n v="810.62" u="1"/>
        <n v="144.15" u="1"/>
        <n v="25" u="1"/>
        <n v="701.4" u="1"/>
        <n v="176.9" u="1"/>
        <n v="701.34" u="1"/>
        <n v="18289.53" u="1"/>
        <n v="498.72" u="1"/>
        <n v="69.75" u="1"/>
        <n v="6208.11" u="1"/>
        <n v="67860.490000000005" u="1"/>
        <n v="155.1" u="1"/>
        <n v="1698.55" u="1"/>
        <n v="28.4" u="1"/>
        <n v="838.73" u="1"/>
        <n v="2055.6799999999998" u="1"/>
        <n v="18236" u="1"/>
        <n v="125.44" u="1"/>
        <n v="2986.28" u="1"/>
        <n v="101052.87000000001" u="1"/>
        <n v="56.13" u="1"/>
        <n v="193.37" u="1"/>
        <n v="22059.51" u="1"/>
        <n v="908.82" u="1"/>
        <n v="25814.1" u="1"/>
        <n v="600.69000000000005" u="1"/>
        <n v="120.06" u="1"/>
        <n v="1344.78" u="1"/>
        <n v="13073.42" u="1"/>
        <n v="54.82" u="1"/>
        <n v="4441.66" u="1"/>
        <n v="3130.33" u="1"/>
        <n v="3223.5" u="1"/>
        <n v="4358.5600000000004" u="1"/>
        <n v="796.69" u="1"/>
        <n v="354.06" u="1"/>
        <n v="478.2" u="1"/>
        <n v="2505.7800000000002" u="1"/>
        <n v="25863.75" u="1"/>
        <n v="4292.6400000000003" u="1"/>
        <n v="144.84" u="1"/>
        <n v="10313.039999999999" u="1"/>
        <n v="2354.6999999999998" u="1"/>
        <n v="16568.919999999998" u="1"/>
        <n v="13042.69" u="1"/>
        <n v="354.56" u="1"/>
        <n v="89145.95" u="1"/>
        <n v="5701.45" u="1"/>
        <n v="245.21" u="1"/>
        <n v="121.76" u="1"/>
        <n v="136.97999999999999" u="1"/>
        <n v="193.84" u="1"/>
        <n v="954.8" u="1"/>
        <n v="80432.34" u="1"/>
        <n v="17029.650000000001" u="1"/>
        <n v="209217.06" u="1"/>
        <n v="3039.72" u="1"/>
        <n v="6941.36" u="1"/>
        <n v="1293.3499999999999" u="1"/>
        <n v="1279.96" u="1"/>
        <n v="1747.62" u="1"/>
        <n v="14812.55" u="1"/>
        <n v="4220.93" u="1"/>
        <n v="1677.9" u="1"/>
        <n v="140585.91" u="1"/>
        <n v="278.37" u="1"/>
        <n v="741.08" u="1"/>
        <n v="153.44999999999999" u="1"/>
        <n v="13040.75" u="1"/>
        <n v="1006.23" u="1"/>
        <n v="2726.29" u="1"/>
        <n v="45863.979999999996" u="1"/>
        <n v="240.19" u="1"/>
        <n v="278.33999999999997" u="1"/>
        <n v="425.15" u="1"/>
        <n v="195551.66" u="1"/>
        <n v="8383.5499999999993" u="1"/>
        <n v="15009.54" u="1"/>
        <n v="3359.08" u="1"/>
        <n v="8708.9800000000014" u="1"/>
        <n v="285.26" u="1"/>
        <n v="14.66" u="1"/>
        <n v="921.33" u="1"/>
        <n v="32813.39" u="1"/>
        <n v="19297.98" u="1"/>
        <n v="18054.88" u="1"/>
        <n v="273.57" u="1"/>
        <n v="5568.69" u="1"/>
        <n v="2479.62" u="1"/>
        <n v="676.9" u="1"/>
        <n v="649.61" u="1"/>
        <n v="195536.48" u="1"/>
        <n v="241266.91999999998" u="1"/>
        <n v="10936.8" u="1"/>
        <n v="136058.16" u="1"/>
        <n v="1681.05" u="1"/>
        <n v="1602.66" u="1"/>
        <n v="259.56" u="1"/>
        <n v="1283.3599999999999" u="1"/>
        <n v="81284.55" u="1"/>
        <n v="56.56" u="1"/>
        <n v="251446.53999999998" u="1"/>
        <n v="89555.22" u="1"/>
        <n v="3439.3" u="1"/>
        <n v="3735.28" u="1"/>
        <n v="244.4" u="1"/>
        <n v="1680.57" u="1"/>
        <n v="94001.19" u="1"/>
        <n v="3938.22" u="1"/>
        <n v="2882.71" u="1"/>
        <n v="2570" u="1"/>
        <n v="187.23" u="1"/>
        <n v="22127.89" u="1"/>
        <n v="4599.68" u="1"/>
        <n v="789.12" u="1"/>
        <n v="13225.7" u="1"/>
        <n v="637.04" u="1"/>
        <n v="235.95" u="1"/>
        <n v="1194.07" u="1"/>
        <n v="3338.49" u="1"/>
        <n v="33418.94" u="1"/>
        <n v="67249.489999999991" u="1"/>
        <n v="76697.06" u="1"/>
        <n v="64498.280000000013" u="1"/>
        <n v="73.59" u="1"/>
        <n v="2386.09" u="1"/>
        <n v="1629.5" u="1"/>
        <n v="11560.31" u="1"/>
        <n v="139602.15999999997" u="1"/>
        <n v="444.4" u="1"/>
        <n v="147.4" u="1"/>
        <n v="90854.19" u="1"/>
        <n v="7775.66" u="1"/>
        <n v="509.96" u="1"/>
        <n v="10273.879999999999" u="1"/>
        <n v="21007.7" u="1"/>
        <n v="1626.9" u="1"/>
        <n v="2156.87" u="1"/>
        <n v="18623.84" u="1"/>
        <n v="14992.85" u="1"/>
        <n v="1686.08" u="1"/>
        <n v="358.47" u="1"/>
        <n v="1400.52" u="1"/>
        <n v="21530.390000000007" u="1"/>
        <n v="189764.05" u="1"/>
        <n v="150651.82999999999" u="1"/>
        <n v="103.72" u="1"/>
        <n v="3256.84" u="1"/>
        <n v="28262.080000000002" u="1"/>
        <n v="288.14" u="1"/>
        <n v="25858.649999999994" u="1"/>
        <n v="4996.62" u="1"/>
        <n v="289.29000000000002" u="1"/>
        <n v="429.12" u="1"/>
        <n v="278.25" u="1"/>
        <n v="54.76" u="1"/>
        <n v="10936.38" u="1"/>
        <n v="2366.96" u="1"/>
        <n v="278.19" u="1"/>
        <n v="694.26" u="1"/>
        <n v="218.64" u="1"/>
        <n v="18623.96" u="1"/>
        <n v="10026.719999999999" u="1"/>
        <n v="22437.46" u="1"/>
        <n v="22374.46" u="1"/>
        <n v="199062.51" u="1"/>
        <n v="326.88" u="1"/>
        <n v="204.98" u="1"/>
        <n v="381.99" u="1"/>
        <n v="1239.81" u="1"/>
        <n v="1517.68" u="1"/>
        <n v="370.92" u="1"/>
        <n v="43447.44" u="1"/>
        <n v="10497.800000000001" u="1"/>
        <n v="637.59" u="1"/>
        <n v="60.39" u="1"/>
        <n v="53038.7" u="1"/>
        <n v="10013.64" u="1"/>
        <n v="4283.25" u="1"/>
        <n v="14015.18" u="1"/>
        <n v="1285" u="1"/>
        <n v="7645.8" u="1"/>
        <n v="3292.59" u="1"/>
        <n v="372.48" u="1"/>
        <n v="2569.7800000000002" u="1"/>
        <n v="108.54" u="1"/>
        <n v="285.39999999999998" u="1"/>
        <n v="8413.69" u="1"/>
        <n v="12157.41" u="1"/>
        <n v="11284.82" u="1"/>
        <n v="1471.46" u="1"/>
        <n v="101051.74" u="1"/>
        <n v="2911.07" u="1"/>
        <n v="281.27999999999997" u="1"/>
        <n v="102585.51000000001" u="1"/>
        <n v="2766.3" u="1"/>
        <n v="18101.060000000001" u="1"/>
        <n v="691.08" u="1"/>
        <n v="80744.289999999994" u="1"/>
        <n v="1811.12" u="1"/>
        <n v="3477.97" u="1"/>
        <n v="3560.96" u="1"/>
        <n v="251508.89999999997" u="1"/>
        <n v="113" u="1"/>
        <n v="9163.91" u="1"/>
        <n v="3580.95" u="1"/>
        <n v="19.52" u="1"/>
        <n v="340.92" u="1"/>
        <n v="7851.05" u="1"/>
        <n v="28.44" u="1"/>
        <n v="6130.9" u="1"/>
        <n v="10254.540000000001" u="1"/>
        <n v="3059.86" u="1"/>
        <n v="1641.69" u="1"/>
        <n v="172706.87999999998" u="1"/>
        <n v="193.38" u="1"/>
        <n v="55.33" u="1"/>
        <n v="8576.7999999999993" u="1"/>
        <n v="182.34" u="1"/>
        <n v="477.72" u="1"/>
        <n v="14154.089999999998" u="1"/>
        <n v="44759" u="1"/>
        <n v="2194.9299999999998" u="1"/>
        <n v="696.93" u="1"/>
        <n v="539.64" u="1"/>
        <n v="439.36" u="1"/>
        <n v="2045.62" u="1"/>
        <n v="2766.55" u="1"/>
        <n v="8414.94" u="1"/>
        <n v="5959.6" u="1"/>
        <n v="92912.050000000017" u="1"/>
        <n v="8705.7400000000016" u="1"/>
        <n v="3492.75" u="1"/>
        <n v="1156.3399999999999" u="1"/>
        <n v="31252.36" u="1"/>
        <n v="6622.56" u="1"/>
        <n v="15994.69" u="1"/>
        <n v="136052.65" u="1"/>
        <n v="18.05" u="1"/>
        <n v="520.79999999999995" u="1"/>
        <n v="139600.50999999998" u="1"/>
        <n v="22673.56" u="1"/>
        <n v="1342.8" u="1"/>
        <n v="479.22" u="1"/>
        <n v="242325.74000000002" u="1"/>
        <n v="537.42999999999995" u="1"/>
        <n v="49945.1" u="1"/>
        <n v="3703.69" u="1"/>
        <n v="8042.76" u="1"/>
        <n v="2497.34" u="1"/>
        <n v="364.82" u="1"/>
        <n v="1284.8900000000001" u="1"/>
        <n v="31336.97" u="1"/>
        <n v="741" u="1"/>
        <n v="10636.21" u="1"/>
        <n v="11670.64" u="1"/>
        <n v="852.89" u="1"/>
        <n v="1768.06" u="1"/>
        <n v="490.67" u="1"/>
        <n v="11807.34" u="1"/>
        <n v="50.2" u="1"/>
        <n v="15992.31" u="1"/>
        <n v="3271.05" u="1"/>
        <n v="3134.5" u="1"/>
        <n v="12842.979999999998" u="1"/>
        <n v="92907.6" u="1"/>
        <n v="615.97" u="1"/>
        <n v="4677.54" u="1"/>
        <n v="1839.54" u="1"/>
        <n v="6043.93" u="1"/>
        <n v="21529.67" u="1"/>
        <n v="67.84" u="1"/>
        <n v="46373.790000000008" u="1"/>
        <n v="14812.71" u="1"/>
        <n v="143.44999999999999" u="1"/>
        <n v="11670.7" u="1"/>
        <n v="498.56" u="1"/>
        <n v="8738.4699999999993" u="1"/>
        <n v="19297.8" u="1"/>
        <n v="4682.1400000000003" u="1"/>
        <n v="637.08000000000004" u="1"/>
        <n v="51.76" u="1"/>
        <n v="8576.8799999999992" u="1"/>
        <n v="1194.03" u="1"/>
        <n v="256449.12999999992" u="1"/>
        <n v="58262.169999999991" u="1"/>
        <n v="18922.22" u="1"/>
        <n v="20667.650000000001" u="1"/>
        <n v="820953.06999999983" u="1"/>
        <n v="43513.42" u="1"/>
        <n v="9045.9599999999991" u="1"/>
        <n v="4669.08" u="1"/>
        <n v="14576" u="1"/>
        <n v="3133.66" u="1"/>
        <n v="220.21" u="1"/>
        <n v="347.48" u="1"/>
        <n v="417.1" u="1"/>
        <n v="1946.16" u="1"/>
        <n v="4833.3599999999997" u="1"/>
        <n v="5452.47" u="1"/>
        <n v="4647.28" u="1"/>
        <n v="12203.8" u="1"/>
        <n v="1400.48" u="1"/>
        <n v="38085.99" u="1"/>
        <n v="537.37" u="1"/>
        <n v="29.1" u="1"/>
        <n v="7276.12" u="1"/>
        <n v="1165.92" u="1"/>
        <n v="22.39" u="1"/>
        <n v="1917.27" u="1"/>
        <n v="128676.04000000001" u="1"/>
        <n v="49944.669999999991" u="1"/>
        <n v="911.56" u="1"/>
        <n v="7538.77" u="1"/>
        <n v="15002.269999999999" u="1"/>
        <n v="68.760000000000005" u="1"/>
        <n v="5376.15" u="1"/>
        <n v="25789.09" u="1"/>
        <n v="2872.46" u="1"/>
        <n v="11970.24" u="1"/>
        <n v="2929.28" u="1"/>
        <n v="2310.54" u="1"/>
        <n v="2840.35" u="1"/>
        <n v="4198.75" u="1"/>
        <n v="81275.63" u="1"/>
        <n v="315.36" u="1"/>
        <n v="18982.879999999997" u="1"/>
        <n v="175.14" u="1"/>
        <n v="11.92" u="1"/>
        <n v="7670.59" u="1"/>
        <n v="391.34" u="1"/>
        <n v="1536.72" u="1"/>
        <n v="353129.93" u="1"/>
        <n v="673.4" u="1"/>
        <n v="273.56" u="1"/>
        <n v="8616.16" u="1"/>
        <n v="9073.16" u="1"/>
        <n v="38095.089999999997" u="1"/>
        <n v="317.04000000000002" u="1"/>
        <n v="2302.9" u="1"/>
        <n v="12072.46" u="1"/>
        <n v="64.8" u="1"/>
        <n v="26421.13" u="1"/>
        <n v="48.15" u="1"/>
        <n v="21.47" u="1"/>
        <n v="2558.31" u="1"/>
        <n v="25896.77" u="1"/>
        <n v="113912.52" u="1"/>
        <n v="3086.9" u="1"/>
        <n v="929.07" u="1"/>
        <n v="63.16" u="1"/>
        <n v="397.61" u="1"/>
        <n v="27.56" u="1"/>
        <n v="1517.64" u="1"/>
        <n v="10637.75" u="1"/>
        <n v="4006.84" u="1"/>
        <n v="192848.75999999998" u="1"/>
        <n v="4999.62" u="1"/>
        <n v="2021.04" u="1"/>
        <n v="394.05" u="1"/>
        <n v="11883.27" u="1"/>
        <n v="25899.690000000002" u="1"/>
        <n v="244578.3" u="1"/>
        <n v="3704.2" u="1"/>
        <n v="2773.36" u="1"/>
        <n v="133262.88999999998" u="1"/>
        <n v="4677.57" u="1"/>
        <n v="2060.23" u="1"/>
        <n v="24891.440000000002" u="1"/>
        <n v="2144.1999999999998" u="1"/>
        <n v="67290.38" u="1"/>
        <n v="10541.579999999998" u="1"/>
        <n v="1196.6400000000001" u="1"/>
        <n v="1279.6300000000001" u="1"/>
        <n v="4860.78" u="1"/>
        <n v="1095.05" u="1"/>
        <n v="564.27" u="1"/>
        <n v="59333.24" u="1"/>
        <n v="1136.24" u="1"/>
        <n v="1479.72" u="1"/>
        <n v="18861.05" u="1"/>
        <n v="13652.61" u="1"/>
        <n v="149498.58000000002" u="1"/>
        <n v="1196.4000000000001" u="1"/>
        <n v="141627.18000000002" u="1"/>
        <n v="2345.44" u="1"/>
        <n v="508.77" u="1"/>
        <n v="7028.96" u="1"/>
        <n v="121665.17" u="1"/>
        <n v="3701.78" u="1"/>
        <n v="1884.38" u="1"/>
        <n v="140542.34999999998" u="1"/>
        <n v="2141.41" u="1"/>
        <n v="2354.4" u="1"/>
        <n v="7445.76" u="1"/>
        <n v="166999.24" u="1"/>
        <n v="634.17999999999995" u="1"/>
        <n v="4090.32" u="1"/>
        <n v="1408.42" u="1"/>
        <n v="1951.5" u="1"/>
        <n v="2302.8000000000002" u="1"/>
        <n v="57055.15" u="1"/>
        <n v="552726.38000000012" u="1"/>
        <n v="199046.66999999998" u="1"/>
        <n v="3554.09" u="1"/>
        <n v="32812.26" u="1"/>
        <n v="1981.91" u="1"/>
        <n v="7358.78" u="1"/>
        <n v="33" u="1"/>
        <n v="351.86" u="1"/>
        <n v="2519.31" u="1"/>
        <n v="821.88" u="1"/>
        <n v="853.2" u="1"/>
        <n v="941.4" u="1"/>
        <n v="22099.83" u="1"/>
        <n v="41107.139999999992" u="1"/>
        <n v="36811.379999999997" u="1"/>
        <n v="3963.12" u="1"/>
        <n v="380.8" u="1"/>
        <n v="466.67" u="1"/>
        <n v="677.25" u="1"/>
        <n v="4640.04" u="1"/>
        <n v="5482.56" u="1"/>
        <n v="466.64" u="1"/>
        <n v="3093.58" u="1"/>
        <n v="9837.92" u="1"/>
        <n v="2054.8000000000002" u="1"/>
        <n v="22442.989999999994" u="1"/>
        <n v="1840.16" u="1"/>
        <n v="8063.41" u="1"/>
        <n v="86219.31" u="1"/>
        <n v="796.65" u="1"/>
        <n v="352.83" u="1"/>
        <n v="85629.6" u="1"/>
        <n v="49.29" u="1"/>
        <n v="172.4" u="1"/>
        <n v="12246.04" u="1"/>
        <n v="11.93" u="1"/>
        <n v="1762.02" u="1"/>
        <n v="182.54" u="1"/>
        <n v="100" u="1"/>
        <n v="1938.3" u="1"/>
        <n v="2774.95" u="1"/>
        <n v="353.92" u="1"/>
        <n v="57056.89" u="1"/>
        <n v="11839.669999999998" u="1"/>
        <n v="22443.199999999997" u="1"/>
        <n v="343.44" u="1"/>
        <n v="740.04" u="1"/>
        <n v="803.86" u="1"/>
        <n v="1399.58" u="1"/>
        <n v="775.39" u="1"/>
        <n v="343.41" u="1"/>
        <n v="256.95" u="1"/>
        <n v="5552.11" u="1"/>
        <n v="489.6" u="1"/>
        <n v="240.21" u="1"/>
        <n v="100554.41" u="1"/>
        <n v="546.1" u="1"/>
        <n v="576.24" u="1"/>
        <n v="12157.61" u="1"/>
        <n v="2144.2199999999998" u="1"/>
        <n v="142.71" u="1"/>
        <n v="101.7" u="1"/>
        <n v="2928.7" u="1"/>
        <n v="94016.52" u="1"/>
        <n v="576.17999999999995" u="1"/>
        <n v="25858.840000000004" u="1"/>
        <n v="349.12" u="1"/>
        <n v="45261.88" u="1"/>
        <n v="8207.49" u="1"/>
        <n v="36236.11" u="1"/>
        <n v="2481.0300000000002" u="1"/>
        <n v="649.80999999999995" u="1"/>
        <n v="366.49" u="1"/>
        <n v="204507.37" u="1"/>
        <n v="7695.36" u="1"/>
        <n v="53.68" u="1"/>
        <n v="2024.9299999999998" u="1"/>
        <n v="269.55" u="1"/>
        <n v="7669.69" u="1"/>
        <n v="1561.87" u="1"/>
        <n v="644.48" u="1"/>
        <n v="11308.59" u="1"/>
        <n v="4449.3599999999997" u="1"/>
        <n v="661.23" u="1"/>
        <n v="4855.24" u="1"/>
        <n v="251446.65999999997" u="1"/>
        <n v="86204.77" u="1"/>
        <n v="67292.61" u="1"/>
        <n v="486.48" u="1"/>
        <n v="649.51" u="1"/>
        <n v="15009.4" u="1"/>
        <n v="24530.080000000002" u="1"/>
        <n v="18754.400000000001" u="1"/>
        <n v="40653.120000000003" u="1"/>
        <n v="141.15" u="1"/>
        <n v="2139.4899999999998" u="1"/>
        <n v="62732.56" u="1"/>
        <n v="209222.57" u="1"/>
        <n v="42936.72" u="1"/>
        <n v="465.52" u="1"/>
        <n v="1051.2" u="1"/>
        <n v="141.12" u="1"/>
        <n v="66.66" u="1"/>
        <n v="25773.14" u="1"/>
        <n v="176589.52" u="1"/>
        <n v="4072.78" u="1"/>
        <n v="43446.06" u="1"/>
        <n v="11282.2" u="1"/>
        <n v="148.91999999999999" u="1"/>
        <n v="1186.05" u="1"/>
        <n v="108208.59999999996" u="1"/>
        <n v="31017.07" u="1"/>
        <n v="77715.55" u="1"/>
        <n v="281.44" u="1"/>
        <n v="197.92" u="1"/>
        <n v="7746.98" u="1"/>
        <n v="3488.93" u="1"/>
        <n v="4929.1400000000003" u="1"/>
        <n v="160564.75" u="1"/>
        <n v="12208.28" u="1"/>
        <n v="4060.42" u="1"/>
        <n v="80123.639999999985" u="1"/>
        <n v="54" u="1"/>
        <n v="11376.68" u="1"/>
        <n v="36518.15" u="1"/>
        <n v="2350.56" u="1"/>
        <n v="1432.18" u="1"/>
        <n v="80258.820000000007" u="1"/>
        <n v="113.04" u="1"/>
        <n v="244.3" u="1"/>
        <n v="4632.33" u="1"/>
        <n v="32819.67" u="1"/>
        <n v="53493.919999999998" u="1"/>
        <n v="478" u="1"/>
        <n v="2524.65" u="1"/>
        <n v="10275.41" u="1"/>
        <n v="3679.27" u="1"/>
        <n v="84124.01" u="1"/>
        <n v="33989.97" u="1"/>
        <n v="8454.19" u="1"/>
        <n v="363.66" u="1"/>
        <n v="802.56" u="1"/>
        <n v="833.88" u="1"/>
        <n v="1924.92" u="1"/>
        <n v="3439.26" u="1"/>
        <n v="9077.64" u="1"/>
        <n v="1230.76" u="1"/>
        <n v="1880.64" u="1"/>
        <n v="4632.58" u="1"/>
        <n v="358062.47" u="1"/>
        <n v="1472.04" u="1"/>
        <n v="99470.129999999961" u="1"/>
        <n v="289.27" u="1"/>
        <n v="87803.28" u="1"/>
        <n v="4894.75" u="1"/>
        <n v="505.08" u="1"/>
        <n v="21603.119999999999" u="1"/>
        <n v="382.06" u="1"/>
        <n v="874.71" u="1"/>
        <n v="2978.99" u="1"/>
        <n v="26.84" u="1"/>
        <n v="85.11" u="1"/>
        <n v="5552.14" u="1"/>
        <n v="12896.52" u="1"/>
        <n v="317" u="1"/>
        <n v="2578.6999999999998" u="1"/>
        <n v="5987.82" u="1"/>
        <n v="18919.990000000002" u="1"/>
        <n v="88055.87" u="1"/>
        <n v="16938.830000000002" u="1"/>
        <n v="14153.87" u="1"/>
        <n v="935.38" u="1"/>
        <n v="3710.78" u="1"/>
        <n v="85.08" u="1"/>
        <n v="8736.77" u="1"/>
        <n v="13262.4" u="1"/>
        <n v="18236.21" u="1"/>
        <n v="3039.7" u="1"/>
        <n v="89155.74" u="1"/>
        <n v="1974.6" u="1"/>
        <n v="31.69" u="1"/>
        <n v="101.61" u="1"/>
        <n v="311.64" u="1"/>
        <n v="28574.84" u="1"/>
        <n v="13365.16" u="1"/>
        <n v="42937.039999999994" u="1"/>
        <n v="85626.99" u="1"/>
        <n v="17.760000000000002" u="1"/>
        <n v="4934.76" u="1"/>
        <n v="37907.31" u="1"/>
        <n v="25142.799999999999" u="1"/>
        <n v="257409.00000000003" u="1"/>
        <n v="77.22" u="1"/>
        <n v="9044.26" u="1"/>
        <n v="1370.64" u="1"/>
        <n v="1136.2" u="1"/>
        <n v="57323.39" u="1"/>
        <n v="2025.12" u="1"/>
        <n v="264.51" u="1"/>
        <n v="411061.86" u="1"/>
        <n v="3292.56" u="1"/>
        <n v="4265" u="1"/>
        <n v="6656.38" u="1"/>
        <n v="927.96" u="1"/>
        <n v="12893.6" u="1"/>
        <n v="45297.66" u="1"/>
        <n v="4773.38" u="1"/>
        <n v="7776.82" u="1"/>
        <n v="45141.2" u="1"/>
        <n v="55.14" u="1"/>
      </sharedItems>
    </cacheField>
    <cacheField name="DESONERADO P.UNIT (S/BDI)" numFmtId="0">
      <sharedItems containsBlank="1" containsMixedTypes="1" containsNumber="1" minValue="5.55" maxValue="39981.589999999997"/>
    </cacheField>
    <cacheField name="DESONERADO P.UNIT (C/BDI)" numFmtId="0">
      <sharedItems containsString="0" containsBlank="1" containsNumber="1" minValue="1.4246591915919868" maxValue="51315.441160326358"/>
    </cacheField>
    <cacheField name="P. TOTAL DESONERADO" numFmtId="0">
      <sharedItems containsString="0" containsBlank="1" containsNumber="1" minValue="5.6" maxValue="829463.83000000007" count="467">
        <m/>
        <n v="5156.5200000000004"/>
        <n v="43328.12"/>
        <n v="30300.21"/>
        <n v="119580.45"/>
        <n v="47723.77"/>
        <n v="10679.93"/>
        <n v="1411.82"/>
        <n v="258180.81999999998"/>
        <n v="183080.87"/>
        <n v="351.53"/>
        <n v="114.65"/>
        <n v="1203.97"/>
        <n v="148.34"/>
        <n v="1466.02"/>
        <n v="21.81"/>
        <n v="17.329999999999998"/>
        <n v="3323.65"/>
        <n v="249.97"/>
        <n v="15.9"/>
        <n v="55.93"/>
        <n v="52.69"/>
        <n v="374.49"/>
        <n v="2770.43"/>
        <n v="1501.89"/>
        <n v="2184.02"/>
        <n v="1754.08"/>
        <n v="11224.31"/>
        <n v="3767.49"/>
        <n v="23202.22"/>
        <n v="10023.48"/>
        <n v="5938.3"/>
        <n v="1933.74"/>
        <n v="8269.64"/>
        <n v="26165.16"/>
        <n v="29304.14"/>
        <n v="807.23"/>
        <n v="6314.6"/>
        <n v="5803.51"/>
        <n v="10704.15"/>
        <n v="23629.489999999998"/>
        <n v="13062.5"/>
        <n v="3418.55"/>
        <n v="3127.04"/>
        <n v="19608.09"/>
        <n v="6410.17"/>
        <n v="3726.56"/>
        <n v="3998.67"/>
        <n v="1794.91"/>
        <n v="928.92"/>
        <n v="1285.01"/>
        <n v="841.22"/>
        <n v="1598.96"/>
        <n v="20584.419999999998"/>
        <n v="931.52"/>
        <n v="495.89"/>
        <n v="335.86"/>
        <n v="1763.27"/>
        <n v="147954.93"/>
        <n v="464.58"/>
        <n v="218.23"/>
        <n v="3267.92"/>
        <n v="310.61"/>
        <n v="4261.34"/>
        <n v="75161.73"/>
        <n v="3333.78"/>
        <n v="78495.509999999995"/>
        <n v="22859.38"/>
        <n v="3265.62"/>
        <n v="2689.2"/>
        <n v="3741.65"/>
        <n v="739.42"/>
        <n v="635.30999999999995"/>
        <n v="34.26"/>
        <n v="159.5"/>
        <n v="872.53"/>
        <n v="34996.870000000003"/>
        <n v="13088.04"/>
        <n v="5125.57"/>
        <n v="21202.98"/>
        <n v="1469.7"/>
        <n v="2712.95"/>
        <n v="3351.4"/>
        <n v="46950.639999999992"/>
        <n v="1823.8"/>
        <n v="16684.009999999998"/>
        <n v="13111.95"/>
        <n v="31619.759999999998"/>
        <n v="196324.12"/>
        <n v="423.56"/>
        <n v="205.69"/>
        <n v="3155.51"/>
        <n v="3784.76"/>
        <n v="68526.009999999995"/>
        <n v="3384.52"/>
        <n v="71910.53"/>
        <n v="1892.3"/>
        <n v="17310.64"/>
        <n v="13604.41"/>
        <n v="32807.35"/>
        <n v="29390.639999999999"/>
        <n v="243.05"/>
        <n v="255.34"/>
        <n v="15.22"/>
        <n v="32593.45"/>
        <n v="2939.41"/>
        <n v="4395.3999999999996"/>
        <n v="6724.8"/>
        <n v="53476.200000000004"/>
        <n v="194572.29"/>
        <n v="4189.12"/>
        <n v="4354.95"/>
        <n v="419.19"/>
        <n v="1340.71"/>
        <n v="1404.07"/>
        <n v="12127.23"/>
        <n v="2422.94"/>
        <n v="1680.3"/>
        <n v="2418.37"/>
        <n v="361.99"/>
        <n v="71.5"/>
        <n v="307.18"/>
        <n v="769.35"/>
        <n v="3554.97"/>
        <n v="697.5"/>
        <n v="1198.3800000000001"/>
        <n v="1321.46"/>
        <n v="14803.939999999999"/>
        <n v="11768.87"/>
        <n v="3535.33"/>
        <n v="571.94000000000005"/>
        <n v="862.88"/>
        <n v="1011.95"/>
        <n v="544.32000000000005"/>
        <n v="354.23"/>
        <n v="884.25"/>
        <n v="431.26"/>
        <n v="359.78"/>
        <n v="971.64"/>
        <n v="363.75"/>
        <n v="493.89"/>
        <n v="147.86000000000001"/>
        <n v="22301.949999999997"/>
        <n v="25.52"/>
        <n v="77.89"/>
        <n v="66.84"/>
        <n v="76.58"/>
        <n v="24.8"/>
        <n v="49.61"/>
        <n v="558.91999999999996"/>
        <n v="29.41"/>
        <n v="99.23"/>
        <n v="318.04000000000002"/>
        <n v="2371.09"/>
        <n v="3697.9300000000003"/>
        <n v="9788.4599999999991"/>
        <n v="188.67"/>
        <n v="663.75"/>
        <n v="592.12"/>
        <n v="11233"/>
        <n v="12751.57"/>
        <n v="787.35"/>
        <n v="7390.11"/>
        <n v="20191.34"/>
        <n v="1598.87"/>
        <n v="26849.88"/>
        <n v="3064.47"/>
        <n v="4460.5600000000004"/>
        <n v="77094.149999999994"/>
        <n v="1143.26"/>
        <n v="7250.05"/>
        <n v="8393.31"/>
        <n v="96720.459999999992"/>
        <n v="149651.50999999998"/>
        <n v="678.49"/>
        <n v="1351.5"/>
        <n v="319.43"/>
        <n v="803.96"/>
        <n v="11.57"/>
        <n v="547.73"/>
        <n v="212.82"/>
        <n v="1419.07"/>
        <n v="716.95"/>
        <n v="2218.25"/>
        <n v="24.02"/>
        <n v="64.069999999999993"/>
        <n v="8367.86"/>
        <n v="2216.65"/>
        <n v="8083.36"/>
        <n v="13889.27"/>
        <n v="72343.199999999997"/>
        <n v="98.31"/>
        <n v="3944.28"/>
        <n v="5117.83"/>
        <n v="97888.8"/>
        <n v="7865.96"/>
        <n v="7658.96"/>
        <n v="5629.98"/>
        <n v="476.16"/>
        <n v="119.51"/>
        <n v="207.92"/>
        <n v="258.74"/>
        <n v="102.26"/>
        <n v="55.42"/>
        <n v="254.12"/>
        <n v="146.57"/>
        <n v="534.26"/>
        <n v="998.44"/>
        <n v="634.03"/>
        <n v="1526.81"/>
        <n v="424.5"/>
        <n v="257.82"/>
        <n v="165.31"/>
        <n v="163.91"/>
        <n v="30.9"/>
        <n v="462.74"/>
        <n v="158.76"/>
        <n v="896.26"/>
        <n v="995.84"/>
        <n v="1646.52"/>
        <n v="4389.2"/>
        <n v="9614.3700000000008"/>
        <n v="96.1"/>
        <n v="427.14"/>
        <n v="52.51"/>
        <n v="3704.54"/>
        <n v="3295.31"/>
        <n v="105"/>
        <n v="552.29999999999995"/>
        <n v="404.56"/>
        <n v="3000.29"/>
        <n v="384.68"/>
        <n v="528.67999999999995"/>
        <n v="1112.6500000000001"/>
        <n v="540.98"/>
        <n v="105.09"/>
        <n v="93.61"/>
        <n v="134.85"/>
        <n v="836.57"/>
        <n v="543.47"/>
        <n v="1364.67"/>
        <n v="378.21"/>
        <n v="96.19"/>
        <n v="96.77"/>
        <n v="37.93"/>
        <n v="85.63"/>
        <n v="267234.70000000007"/>
        <n v="6753.34"/>
        <n v="3717.65"/>
        <n v="1353.9"/>
        <n v="4022.09"/>
        <n v="4415.53"/>
        <n v="3167.43"/>
        <n v="10331.16"/>
        <n v="1321.71"/>
        <n v="390.39"/>
        <n v="808.59"/>
        <n v="2112.4699999999998"/>
        <n v="269.37"/>
        <n v="3282.33"/>
        <n v="1212.07"/>
        <n v="4116.17"/>
        <n v="9550.99"/>
        <n v="3470.93"/>
        <n v="442.47"/>
        <n v="222.86"/>
        <n v="818.26"/>
        <n v="436.86"/>
        <n v="543.37"/>
        <n v="1566.85"/>
        <n v="1963.07"/>
        <n v="20365.310000000001"/>
        <n v="86655.17"/>
        <n v="362257.73000000004"/>
        <n v="113.15"/>
        <n v="45.74"/>
        <n v="377.13"/>
        <n v="54.31"/>
        <n v="17.45"/>
        <n v="185.03"/>
        <n v="65.77"/>
        <n v="64.48"/>
        <n v="19.989999999999998"/>
        <n v="57.42"/>
        <n v="121.23"/>
        <n v="379.65"/>
        <n v="61.95"/>
        <n v="26.77"/>
        <n v="53.68"/>
        <n v="186.61"/>
        <n v="3667.7"/>
        <n v="5498.0599999999995"/>
        <n v="510.45"/>
        <n v="9005.89"/>
        <n v="183.02"/>
        <n v="924.56"/>
        <n v="60.91"/>
        <n v="31.79"/>
        <n v="21.71"/>
        <n v="10738.33"/>
        <n v="1585.58"/>
        <n v="577.44000000000005"/>
        <n v="3177.87"/>
        <n v="249.7"/>
        <n v="9277.3799999999992"/>
        <n v="174.42"/>
        <n v="2438.19"/>
        <n v="1111.4100000000001"/>
        <n v="1947.52"/>
        <n v="4010.87"/>
        <n v="134.44999999999999"/>
        <n v="181.81"/>
        <n v="154.55000000000001"/>
        <n v="160.75"/>
        <n v="292.47000000000003"/>
        <n v="796.44"/>
        <n v="12421.95"/>
        <n v="38692.800000000003"/>
        <n v="1631.03"/>
        <n v="3075.14"/>
        <n v="939.94"/>
        <n v="12.11"/>
        <n v="5658.22"/>
        <n v="727.94"/>
        <n v="6770.48"/>
        <n v="1991.15"/>
        <n v="1130.8900000000001"/>
        <n v="763.26"/>
        <n v="6058.88"/>
        <n v="18135.830000000002"/>
        <n v="6087.37"/>
        <n v="157.72999999999999"/>
        <n v="41823.530000000006"/>
        <n v="1483.68"/>
        <n v="20870.22"/>
        <n v="22353.9"/>
        <n v="9240.56"/>
        <n v="26391.23"/>
        <n v="35631.79"/>
        <n v="105467.44"/>
        <n v="1210.49"/>
        <n v="6848.93"/>
        <n v="3428.11"/>
        <n v="11487.53"/>
        <n v="6236.07"/>
        <n v="14709.67"/>
        <n v="4418.4399999999996"/>
        <n v="7938.81"/>
        <n v="23827.119999999999"/>
        <n v="32381.35"/>
        <n v="15151.8"/>
        <n v="5746.81"/>
        <n v="1693.77"/>
        <n v="17100.13"/>
        <n v="12116.43"/>
        <n v="141320.4"/>
        <n v="20004.18"/>
        <n v="4774.25"/>
        <n v="4455.1499999999996"/>
        <n v="4288.6499999999996"/>
        <n v="3662.52"/>
        <n v="37184.75"/>
        <n v="13899.25"/>
        <n v="2095.23"/>
        <n v="8960.2199999999993"/>
        <n v="24954.699999999997"/>
        <n v="214947.37999999998"/>
        <n v="1148.51"/>
        <n v="7.62"/>
        <n v="1156.1299999999999"/>
        <n v="57.57"/>
        <n v="4974.55"/>
        <n v="2817.19"/>
        <n v="879.41"/>
        <n v="2576.89"/>
        <n v="4870.13"/>
        <n v="1634.68"/>
        <n v="6573.37"/>
        <n v="24383.789999999997"/>
        <n v="36004.6"/>
        <n v="9048.1200000000008"/>
        <n v="12234.81"/>
        <n v="2038.53"/>
        <n v="1937.6"/>
        <n v="11048.58"/>
        <n v="35868.019999999997"/>
        <n v="17198.21"/>
        <n v="31732.51"/>
        <n v="14024.08"/>
        <n v="164755.4"/>
        <n v="97386.54"/>
        <n v="433276.99999999994"/>
        <n v="102630.88"/>
        <n v="80252.39"/>
        <n v="182883.27000000002"/>
        <n v="1960.13"/>
        <n v="32790.43"/>
        <n v="14024.82"/>
        <n v="48775.38"/>
        <n v="152.94"/>
        <n v="5.6"/>
        <n v="158.54"/>
        <n v="2723.29"/>
        <n v="1515.55"/>
        <n v="2732.1"/>
        <n v="8479.6"/>
        <n v="2846.21"/>
        <n v="1421.27"/>
        <n v="19718.02"/>
        <n v="49065.4"/>
        <n v="8361.98"/>
        <n v="33439.32"/>
        <n v="28245"/>
        <n v="119111.70000000001"/>
        <n v="829463.83000000007"/>
        <n v="5675.61"/>
        <n v="1988.97"/>
        <n v="394.68"/>
        <n v="3388.37"/>
        <n v="640.13"/>
        <n v="2365.65"/>
        <n v="14453.41"/>
        <n v="966.24"/>
        <n v="1214.49"/>
        <n v="1020.59"/>
        <n v="310.55"/>
        <n v="3511.8700000000003"/>
        <n v="1218.01"/>
        <n v="4554.13"/>
        <n v="3019.72"/>
        <n v="4386.03"/>
        <n v="2341.65"/>
        <n v="2799.42"/>
        <n v="16410.71"/>
        <n v="5508.33"/>
        <n v="5685.08"/>
        <n v="45923.08"/>
        <n v="22795.09"/>
        <n v="72230.039999999994"/>
        <n v="952.28"/>
        <n v="63.94"/>
        <n v="224.93"/>
        <n v="175.47"/>
        <n v="1416.6200000000001"/>
        <n v="336.78"/>
        <n v="6659.93"/>
        <n v="388.96"/>
        <n v="483.69"/>
        <n v="3060.27"/>
        <n v="1199.77"/>
        <n v="467.68"/>
        <n v="12597.08"/>
        <n v="6116.95"/>
        <n v="47.4"/>
        <n v="3622.18"/>
        <n v="7657.63"/>
        <n v="23874.43"/>
        <n v="13873.43"/>
        <n v="6069.65"/>
        <n v="3339"/>
        <n v="2910.07"/>
        <n v="67510.740000000005"/>
        <n v="2176.7800000000002"/>
        <n v="1029.45"/>
        <n v="4402.42"/>
        <n v="7608.6500000000005"/>
        <n v="89133.0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7">
  <r>
    <x v="0"/>
    <x v="0"/>
    <m/>
    <x v="0"/>
    <m/>
    <m/>
    <m/>
    <m/>
    <x v="0"/>
    <m/>
    <m/>
    <x v="0"/>
  </r>
  <r>
    <x v="1"/>
    <x v="0"/>
    <m/>
    <x v="1"/>
    <m/>
    <m/>
    <m/>
    <m/>
    <x v="0"/>
    <m/>
    <m/>
    <x v="0"/>
  </r>
  <r>
    <x v="2"/>
    <x v="1"/>
    <s v="SEPLAG ARQ 01"/>
    <x v="2"/>
    <s v="M2"/>
    <n v="12.5"/>
    <n v="327.04000000000002"/>
    <n v="399.72"/>
    <x v="1"/>
    <n v="321.40999999999997"/>
    <n v="412.52226195457695"/>
    <x v="1"/>
  </r>
  <r>
    <x v="3"/>
    <x v="2"/>
    <n v="93207"/>
    <x v="3"/>
    <s v="M2"/>
    <n v="32"/>
    <s v="1.077,81"/>
    <n v="1317.36"/>
    <x v="2"/>
    <s v="1.054,95"/>
    <n v="1354.0037965495194"/>
    <x v="2"/>
  </r>
  <r>
    <x v="4"/>
    <x v="2"/>
    <n v="93208"/>
    <x v="4"/>
    <s v="M2"/>
    <n v="28"/>
    <s v="859,63"/>
    <n v="1050.69"/>
    <x v="3"/>
    <s v="843,14"/>
    <n v="1082.1505863052862"/>
    <x v="3"/>
  </r>
  <r>
    <x v="5"/>
    <x v="2"/>
    <n v="93210"/>
    <x v="5"/>
    <s v="M2"/>
    <n v="166"/>
    <s v="575,49"/>
    <n v="703.39"/>
    <x v="4"/>
    <s v="561,26"/>
    <n v="720.36416024587254"/>
    <x v="4"/>
  </r>
  <r>
    <x v="6"/>
    <x v="2"/>
    <n v="93212"/>
    <x v="6"/>
    <s v="M2"/>
    <n v="40"/>
    <s v="953,13"/>
    <n v="1164.97"/>
    <x v="5"/>
    <s v="929,58"/>
    <n v="1193.0943165045758"/>
    <x v="5"/>
  </r>
  <r>
    <x v="7"/>
    <x v="2"/>
    <n v="93243"/>
    <x v="7"/>
    <s v="UN"/>
    <n v="1"/>
    <s v="8.369,98"/>
    <n v="10230.299999999999"/>
    <x v="6"/>
    <s v="8.321,10"/>
    <n v="10679.938377618091"/>
    <x v="6"/>
  </r>
  <r>
    <x v="8"/>
    <x v="1"/>
    <s v="SEPLAG ARQ 121"/>
    <x v="8"/>
    <s v="UND"/>
    <n v="2"/>
    <n v="550"/>
    <n v="672.24"/>
    <x v="7"/>
    <n v="550"/>
    <n v="705.91221205008355"/>
    <x v="7"/>
  </r>
  <r>
    <x v="9"/>
    <x v="0"/>
    <m/>
    <x v="0"/>
    <m/>
    <m/>
    <m/>
    <m/>
    <x v="8"/>
    <m/>
    <m/>
    <x v="8"/>
  </r>
  <r>
    <x v="0"/>
    <x v="0"/>
    <m/>
    <x v="0"/>
    <m/>
    <m/>
    <m/>
    <m/>
    <x v="0"/>
    <m/>
    <m/>
    <x v="0"/>
  </r>
  <r>
    <x v="10"/>
    <x v="0"/>
    <m/>
    <x v="9"/>
    <m/>
    <m/>
    <m/>
    <m/>
    <x v="0"/>
    <m/>
    <m/>
    <x v="0"/>
  </r>
  <r>
    <x v="11"/>
    <x v="1"/>
    <s v="SEPLAG ARQ 02"/>
    <x v="10"/>
    <s v="UND"/>
    <n v="12"/>
    <n v="13721.84"/>
    <n v="16771.669999999998"/>
    <x v="9"/>
    <n v="11887.039999999999"/>
    <n v="15256.739456596044"/>
    <x v="9"/>
  </r>
  <r>
    <x v="12"/>
    <x v="0"/>
    <m/>
    <x v="0"/>
    <m/>
    <m/>
    <m/>
    <m/>
    <x v="9"/>
    <m/>
    <m/>
    <x v="9"/>
  </r>
  <r>
    <x v="0"/>
    <x v="0"/>
    <m/>
    <x v="0"/>
    <m/>
    <m/>
    <m/>
    <m/>
    <x v="0"/>
    <m/>
    <m/>
    <x v="0"/>
  </r>
  <r>
    <x v="13"/>
    <x v="0"/>
    <m/>
    <x v="11"/>
    <m/>
    <m/>
    <m/>
    <m/>
    <x v="0"/>
    <m/>
    <m/>
    <x v="0"/>
  </r>
  <r>
    <x v="14"/>
    <x v="0"/>
    <m/>
    <x v="12"/>
    <m/>
    <m/>
    <m/>
    <m/>
    <x v="0"/>
    <m/>
    <m/>
    <x v="0"/>
  </r>
  <r>
    <x v="15"/>
    <x v="2"/>
    <n v="97640"/>
    <x v="13"/>
    <s v="M2"/>
    <n v="246.75"/>
    <s v="1,24"/>
    <n v="1.51"/>
    <x v="10"/>
    <s v="1,11"/>
    <n v="1.4246591915919868"/>
    <x v="10"/>
  </r>
  <r>
    <x v="16"/>
    <x v="2"/>
    <n v="97644"/>
    <x v="14"/>
    <s v="M2"/>
    <n v="13.98"/>
    <s v="7,11"/>
    <n v="8.69"/>
    <x v="11"/>
    <s v="6,39"/>
    <n v="8.2014164272727879"/>
    <x v="11"/>
  </r>
  <r>
    <x v="17"/>
    <x v="2"/>
    <n v="97645"/>
    <x v="15"/>
    <s v="M2"/>
    <n v="39.200000000000003"/>
    <s v="25,94"/>
    <n v="31.7"/>
    <x v="12"/>
    <s v="23,93"/>
    <n v="30.713598607924546"/>
    <x v="12"/>
  </r>
  <r>
    <x v="18"/>
    <x v="1"/>
    <s v="SEPLAG ARQ 05"/>
    <x v="16"/>
    <s v="m²"/>
    <n v="20.826000000000001"/>
    <n v="6.1899999999999995"/>
    <n v="7.56"/>
    <x v="13"/>
    <n v="5.55"/>
    <n v="7.1232959579599342"/>
    <x v="13"/>
  </r>
  <r>
    <x v="19"/>
    <x v="2"/>
    <n v="97633"/>
    <x v="17"/>
    <s v="M2"/>
    <n v="72.8"/>
    <s v="17,46"/>
    <n v="21.34"/>
    <x v="14"/>
    <s v="15,69"/>
    <n v="20.137750194665109"/>
    <x v="14"/>
  </r>
  <r>
    <x v="20"/>
    <x v="2"/>
    <n v="97663"/>
    <x v="18"/>
    <s v="UN"/>
    <n v="2"/>
    <s v="9,49"/>
    <n v="11.59"/>
    <x v="15"/>
    <s v="8,50"/>
    <n v="10.909552368046747"/>
    <x v="15"/>
  </r>
  <r>
    <x v="21"/>
    <x v="1"/>
    <s v="SEPLAG ARQ 07"/>
    <x v="19"/>
    <s v="m³"/>
    <n v="0.1134"/>
    <n v="129.58000000000001"/>
    <n v="158.38"/>
    <x v="16"/>
    <n v="119.1"/>
    <n v="152.86208082757264"/>
    <x v="16"/>
  </r>
  <r>
    <x v="22"/>
    <x v="0"/>
    <m/>
    <x v="0"/>
    <m/>
    <m/>
    <m/>
    <m/>
    <x v="17"/>
    <m/>
    <m/>
    <x v="17"/>
  </r>
  <r>
    <x v="0"/>
    <x v="0"/>
    <m/>
    <x v="0"/>
    <m/>
    <m/>
    <m/>
    <m/>
    <x v="0"/>
    <m/>
    <m/>
    <x v="0"/>
  </r>
  <r>
    <x v="23"/>
    <x v="0"/>
    <m/>
    <x v="20"/>
    <m/>
    <m/>
    <m/>
    <m/>
    <x v="0"/>
    <m/>
    <m/>
    <x v="0"/>
  </r>
  <r>
    <x v="24"/>
    <x v="2"/>
    <n v="96523"/>
    <x v="21"/>
    <s v="M3"/>
    <n v="2.835"/>
    <s v="76,46"/>
    <n v="93.45"/>
    <x v="18"/>
    <s v="68,70"/>
    <n v="88.17485266880135"/>
    <x v="18"/>
  </r>
  <r>
    <x v="25"/>
    <x v="2"/>
    <n v="101616"/>
    <x v="22"/>
    <s v="M2"/>
    <n v="2.835"/>
    <s v="4,86"/>
    <n v="5.94"/>
    <x v="19"/>
    <s v="4,37"/>
    <n v="5.6087933939252093"/>
    <x v="19"/>
  </r>
  <r>
    <x v="26"/>
    <x v="2"/>
    <n v="96616"/>
    <x v="23"/>
    <s v="M3"/>
    <n v="8.5049999999999987E-2"/>
    <s v="535,54"/>
    <n v="654.55999999999995"/>
    <x v="20"/>
    <s v="512,44"/>
    <n v="657.70482535080885"/>
    <x v="20"/>
  </r>
  <r>
    <x v="27"/>
    <x v="2"/>
    <n v="93382"/>
    <x v="24"/>
    <s v="M3"/>
    <n v="1.8800000000000001"/>
    <s v="23,85"/>
    <n v="29.15"/>
    <x v="21"/>
    <s v="21,84"/>
    <n v="28.031132202134227"/>
    <x v="21"/>
  </r>
  <r>
    <x v="28"/>
    <x v="0"/>
    <m/>
    <x v="0"/>
    <m/>
    <m/>
    <m/>
    <m/>
    <x v="22"/>
    <m/>
    <m/>
    <x v="22"/>
  </r>
  <r>
    <x v="0"/>
    <x v="0"/>
    <m/>
    <x v="0"/>
    <m/>
    <m/>
    <m/>
    <m/>
    <x v="0"/>
    <m/>
    <m/>
    <x v="0"/>
  </r>
  <r>
    <x v="29"/>
    <x v="0"/>
    <m/>
    <x v="25"/>
    <m/>
    <m/>
    <m/>
    <m/>
    <x v="0"/>
    <m/>
    <m/>
    <x v="0"/>
  </r>
  <r>
    <x v="30"/>
    <x v="2"/>
    <n v="96555"/>
    <x v="26"/>
    <s v="M3"/>
    <n v="3.65"/>
    <s v="606,83"/>
    <n v="741.7"/>
    <x v="23"/>
    <s v="591,38"/>
    <n v="759.02247993123342"/>
    <x v="23"/>
  </r>
  <r>
    <x v="31"/>
    <x v="2"/>
    <n v="96543"/>
    <x v="27"/>
    <s v="KG"/>
    <n v="66"/>
    <s v="18,45"/>
    <n v="22.55"/>
    <x v="24"/>
    <s v="17,73"/>
    <n v="22.75604276299633"/>
    <x v="24"/>
  </r>
  <r>
    <x v="32"/>
    <x v="2"/>
    <n v="96545"/>
    <x v="28"/>
    <s v="KG"/>
    <n v="105.3"/>
    <s v="16,54"/>
    <n v="20.21"/>
    <x v="25"/>
    <s v="16,16"/>
    <n v="20.740984266780636"/>
    <x v="25"/>
  </r>
  <r>
    <x v="33"/>
    <x v="2"/>
    <n v="96546"/>
    <x v="29"/>
    <s v="KG"/>
    <n v="93.8"/>
    <s v="14,85"/>
    <n v="18.149999999999999"/>
    <x v="26"/>
    <s v="14,57"/>
    <n v="18.700256235581303"/>
    <x v="26"/>
  </r>
  <r>
    <x v="34"/>
    <x v="2"/>
    <n v="92263"/>
    <x v="30"/>
    <s v="M2"/>
    <n v="50.75"/>
    <s v="175,96"/>
    <n v="215.06"/>
    <x v="27"/>
    <s v="172,32"/>
    <n v="221.16871341903709"/>
    <x v="27"/>
  </r>
  <r>
    <x v="35"/>
    <x v="2"/>
    <n v="98557"/>
    <x v="31"/>
    <s v="M2"/>
    <n v="50.75"/>
    <s v="58,82"/>
    <n v="71.89"/>
    <x v="28"/>
    <s v="57,84"/>
    <n v="74.236295172685146"/>
    <x v="28"/>
  </r>
  <r>
    <x v="36"/>
    <x v="0"/>
    <m/>
    <x v="0"/>
    <m/>
    <m/>
    <m/>
    <m/>
    <x v="29"/>
    <m/>
    <m/>
    <x v="29"/>
  </r>
  <r>
    <x v="0"/>
    <x v="0"/>
    <m/>
    <x v="0"/>
    <m/>
    <m/>
    <m/>
    <m/>
    <x v="0"/>
    <m/>
    <m/>
    <x v="0"/>
  </r>
  <r>
    <x v="37"/>
    <x v="0"/>
    <m/>
    <x v="32"/>
    <m/>
    <m/>
    <m/>
    <m/>
    <x v="0"/>
    <m/>
    <m/>
    <x v="0"/>
  </r>
  <r>
    <x v="38"/>
    <x v="2"/>
    <n v="96113"/>
    <x v="33"/>
    <s v="M2"/>
    <n v="246.75"/>
    <s v="33,52"/>
    <n v="40.97"/>
    <x v="30"/>
    <s v="31,65"/>
    <n v="40.622039111609354"/>
    <x v="30"/>
  </r>
  <r>
    <x v="39"/>
    <x v="2"/>
    <n v="103328"/>
    <x v="34"/>
    <s v="M2"/>
    <n v="62.607999999999997"/>
    <s v="78,91"/>
    <n v="96.44"/>
    <x v="31"/>
    <s v="73,90"/>
    <n v="94.848931764547601"/>
    <x v="31"/>
  </r>
  <r>
    <x v="40"/>
    <x v="2"/>
    <n v="87893"/>
    <x v="35"/>
    <s v="M2"/>
    <n v="270.49360000000001"/>
    <s v="6,04"/>
    <n v="7.38"/>
    <x v="32"/>
    <s v="5,57"/>
    <n v="7.1489654929435735"/>
    <x v="32"/>
  </r>
  <r>
    <x v="41"/>
    <x v="2"/>
    <n v="87543"/>
    <x v="36"/>
    <s v="M2"/>
    <n v="270.49360000000001"/>
    <s v="24,40"/>
    <n v="29.82"/>
    <x v="33"/>
    <s v="23,82"/>
    <n v="30.572416165514529"/>
    <x v="33"/>
  </r>
  <r>
    <x v="42"/>
    <x v="0"/>
    <m/>
    <x v="0"/>
    <m/>
    <m/>
    <m/>
    <m/>
    <x v="34"/>
    <m/>
    <m/>
    <x v="34"/>
  </r>
  <r>
    <x v="0"/>
    <x v="0"/>
    <m/>
    <x v="0"/>
    <m/>
    <m/>
    <m/>
    <m/>
    <x v="0"/>
    <m/>
    <m/>
    <x v="0"/>
  </r>
  <r>
    <x v="43"/>
    <x v="0"/>
    <m/>
    <x v="37"/>
    <m/>
    <m/>
    <m/>
    <m/>
    <x v="0"/>
    <m/>
    <m/>
    <x v="0"/>
  </r>
  <r>
    <x v="44"/>
    <x v="2"/>
    <n v="98678"/>
    <x v="38"/>
    <s v="M2"/>
    <n v="46.55"/>
    <s v="491,73"/>
    <n v="601.02"/>
    <x v="35"/>
    <s v="490,48"/>
    <n v="629.51967593877271"/>
    <x v="35"/>
  </r>
  <r>
    <x v="45"/>
    <x v="0"/>
    <m/>
    <x v="0"/>
    <m/>
    <m/>
    <m/>
    <m/>
    <x v="35"/>
    <m/>
    <m/>
    <x v="35"/>
  </r>
  <r>
    <x v="0"/>
    <x v="0"/>
    <m/>
    <x v="0"/>
    <m/>
    <m/>
    <m/>
    <m/>
    <x v="0"/>
    <m/>
    <m/>
    <x v="0"/>
  </r>
  <r>
    <x v="46"/>
    <x v="0"/>
    <m/>
    <x v="39"/>
    <m/>
    <m/>
    <m/>
    <m/>
    <x v="0"/>
    <m/>
    <m/>
    <x v="0"/>
  </r>
  <r>
    <x v="47"/>
    <x v="2"/>
    <n v="88485"/>
    <x v="40"/>
    <s v="M2"/>
    <n v="372.1576"/>
    <s v="1,80"/>
    <n v="2.2000000000000002"/>
    <x v="36"/>
    <s v="1,69"/>
    <n v="2.1690757061175292"/>
    <x v="36"/>
  </r>
  <r>
    <x v="48"/>
    <x v="2"/>
    <n v="88497"/>
    <x v="41"/>
    <s v="M2"/>
    <n v="372.1576"/>
    <s v="14,10"/>
    <n v="17.23"/>
    <x v="37"/>
    <s v="13,22"/>
    <n v="16.967562624185646"/>
    <x v="37"/>
  </r>
  <r>
    <x v="49"/>
    <x v="2"/>
    <n v="88489"/>
    <x v="42"/>
    <s v="M2"/>
    <n v="372.1576"/>
    <s v="12,69"/>
    <n v="15.51"/>
    <x v="38"/>
    <s v="12,15"/>
    <n v="15.594242502560936"/>
    <x v="38"/>
  </r>
  <r>
    <x v="50"/>
    <x v="1"/>
    <s v="SEPLAG ARQ 09"/>
    <x v="43"/>
    <s v="m²"/>
    <n v="72.8"/>
    <n v="116.13999999999999"/>
    <n v="141.94999999999999"/>
    <x v="39"/>
    <n v="114.55999999999999"/>
    <n v="147.03509638628648"/>
    <x v="39"/>
  </r>
  <r>
    <x v="51"/>
    <x v="0"/>
    <m/>
    <x v="0"/>
    <m/>
    <m/>
    <m/>
    <m/>
    <x v="40"/>
    <m/>
    <m/>
    <x v="40"/>
  </r>
  <r>
    <x v="0"/>
    <x v="0"/>
    <m/>
    <x v="0"/>
    <m/>
    <m/>
    <m/>
    <m/>
    <x v="0"/>
    <m/>
    <m/>
    <x v="0"/>
  </r>
  <r>
    <x v="52"/>
    <x v="0"/>
    <m/>
    <x v="44"/>
    <m/>
    <m/>
    <m/>
    <m/>
    <x v="0"/>
    <m/>
    <m/>
    <x v="0"/>
  </r>
  <r>
    <x v="53"/>
    <x v="1"/>
    <s v="SEPLAG ARQ 12"/>
    <x v="45"/>
    <s v="UND"/>
    <n v="4"/>
    <n v="2545.5200000000004"/>
    <n v="3111.29"/>
    <x v="41"/>
    <n v="2544.36"/>
    <n v="3265.6269015486378"/>
    <x v="41"/>
  </r>
  <r>
    <x v="54"/>
    <x v="1"/>
    <s v="SEPLAG ARQ 136"/>
    <x v="46"/>
    <s v="UND"/>
    <n v="1"/>
    <n v="2664.5800000000004"/>
    <n v="3256.81"/>
    <x v="42"/>
    <n v="2663.51"/>
    <n v="3418.5531562136694"/>
    <x v="42"/>
  </r>
  <r>
    <x v="55"/>
    <x v="1"/>
    <s v="SEPLAG ARQ 137"/>
    <x v="47"/>
    <s v="UND"/>
    <n v="1"/>
    <n v="2437.2399999999998"/>
    <n v="2978.94"/>
    <x v="43"/>
    <n v="2436.39"/>
    <n v="3127.0499169394598"/>
    <x v="43"/>
  </r>
  <r>
    <x v="56"/>
    <x v="0"/>
    <m/>
    <x v="0"/>
    <m/>
    <m/>
    <m/>
    <m/>
    <x v="44"/>
    <m/>
    <m/>
    <x v="44"/>
  </r>
  <r>
    <x v="0"/>
    <x v="0"/>
    <m/>
    <x v="0"/>
    <m/>
    <m/>
    <m/>
    <m/>
    <x v="0"/>
    <m/>
    <m/>
    <x v="0"/>
  </r>
  <r>
    <x v="57"/>
    <x v="0"/>
    <m/>
    <x v="48"/>
    <m/>
    <m/>
    <m/>
    <m/>
    <x v="0"/>
    <m/>
    <m/>
    <x v="0"/>
  </r>
  <r>
    <x v="58"/>
    <x v="1"/>
    <s v="SEPLAG  ARQ 155"/>
    <x v="49"/>
    <s v="UND"/>
    <n v="1"/>
    <n v="5041.0600000000004"/>
    <n v="6161.49"/>
    <x v="45"/>
    <n v="4994.38"/>
    <n v="6410.1706065794478"/>
    <x v="45"/>
  </r>
  <r>
    <x v="59"/>
    <x v="1"/>
    <s v="SEPLAG  ARQ 156"/>
    <x v="50"/>
    <s v="UND"/>
    <n v="1"/>
    <n v="2934.61"/>
    <n v="3586.86"/>
    <x v="46"/>
    <n v="2903.4900000000002"/>
    <n v="3726.5619064823586"/>
    <x v="46"/>
  </r>
  <r>
    <x v="60"/>
    <x v="1"/>
    <s v="SEPLAG  ARQ 157"/>
    <x v="51"/>
    <s v="UND"/>
    <n v="1"/>
    <n v="3150.51"/>
    <n v="3850.74"/>
    <x v="47"/>
    <n v="3115.5000000000005"/>
    <n v="3998.6718120764285"/>
    <x v="47"/>
  </r>
  <r>
    <x v="61"/>
    <x v="1"/>
    <s v="SEPLAG  ARQ 158"/>
    <x v="52"/>
    <s v="UND"/>
    <n v="1"/>
    <n v="1414.0400000000002"/>
    <n v="1728.32"/>
    <x v="48"/>
    <n v="1398.4800000000002"/>
    <n v="1794.9165641960019"/>
    <x v="48"/>
  </r>
  <r>
    <x v="62"/>
    <x v="1"/>
    <s v="SEPLAG  ARQ 160"/>
    <x v="53"/>
    <s v="UND"/>
    <n v="1"/>
    <n v="735.43"/>
    <n v="898.88"/>
    <x v="49"/>
    <n v="723.76"/>
    <n v="928.92913198794258"/>
    <x v="49"/>
  </r>
  <r>
    <x v="63"/>
    <x v="1"/>
    <s v="SEPLAG  ARQ 161"/>
    <x v="54"/>
    <s v="UND"/>
    <n v="1"/>
    <n v="1016.76"/>
    <n v="1242.74"/>
    <x v="50"/>
    <n v="1001.2"/>
    <n v="1285.0169212809885"/>
    <x v="50"/>
  </r>
  <r>
    <x v="64"/>
    <x v="2"/>
    <n v="102168"/>
    <x v="55"/>
    <s v="M2"/>
    <n v="1.2"/>
    <s v="547,45"/>
    <n v="669.12"/>
    <x v="51"/>
    <s v="546,19"/>
    <n v="701.02216563570028"/>
    <x v="51"/>
  </r>
  <r>
    <x v="65"/>
    <x v="1"/>
    <s v="SEPLAG ARQ 51"/>
    <x v="56"/>
    <s v="m²"/>
    <n v="21.040499999999998"/>
    <n v="59.8"/>
    <n v="73.09"/>
    <x v="52"/>
    <n v="59.209999999999994"/>
    <n v="75.994658319064442"/>
    <x v="52"/>
  </r>
  <r>
    <x v="66"/>
    <x v="0"/>
    <m/>
    <x v="0"/>
    <m/>
    <m/>
    <m/>
    <m/>
    <x v="53"/>
    <m/>
    <m/>
    <x v="53"/>
  </r>
  <r>
    <x v="0"/>
    <x v="0"/>
    <m/>
    <x v="0"/>
    <m/>
    <m/>
    <m/>
    <m/>
    <x v="0"/>
    <m/>
    <m/>
    <x v="0"/>
  </r>
  <r>
    <x v="67"/>
    <x v="0"/>
    <m/>
    <x v="57"/>
    <m/>
    <m/>
    <m/>
    <m/>
    <x v="0"/>
    <m/>
    <m/>
    <x v="0"/>
  </r>
  <r>
    <x v="68"/>
    <x v="1"/>
    <s v="SEPLAG ARQ 29"/>
    <x v="58"/>
    <s v="UND"/>
    <n v="2"/>
    <n v="371.76"/>
    <n v="454.38"/>
    <x v="54"/>
    <n v="362.89"/>
    <n v="465.76087751064512"/>
    <x v="54"/>
  </r>
  <r>
    <x v="69"/>
    <x v="1"/>
    <s v="SEPLAG ARQ 30"/>
    <x v="59"/>
    <s v="M"/>
    <n v="2.8"/>
    <n v="140.01000000000002"/>
    <n v="171.12"/>
    <x v="55"/>
    <n v="137.99"/>
    <n v="177.10695661962006"/>
    <x v="55"/>
  </r>
  <r>
    <x v="70"/>
    <x v="1"/>
    <s v="SEPLAG ARQ 36"/>
    <x v="60"/>
    <s v="UND"/>
    <n v="2"/>
    <n v="133.14000000000001"/>
    <n v="162.72999999999999"/>
    <x v="56"/>
    <n v="130.84"/>
    <n v="167.93009786296898"/>
    <x v="56"/>
  </r>
  <r>
    <x v="71"/>
    <x v="0"/>
    <m/>
    <x v="0"/>
    <m/>
    <m/>
    <m/>
    <m/>
    <x v="57"/>
    <m/>
    <m/>
    <x v="57"/>
  </r>
  <r>
    <x v="72"/>
    <x v="0"/>
    <m/>
    <x v="0"/>
    <m/>
    <m/>
    <m/>
    <m/>
    <x v="58"/>
    <m/>
    <m/>
    <x v="58"/>
  </r>
  <r>
    <x v="0"/>
    <x v="0"/>
    <m/>
    <x v="0"/>
    <m/>
    <m/>
    <m/>
    <m/>
    <x v="0"/>
    <m/>
    <m/>
    <x v="0"/>
  </r>
  <r>
    <x v="73"/>
    <x v="0"/>
    <m/>
    <x v="61"/>
    <m/>
    <m/>
    <m/>
    <m/>
    <x v="0"/>
    <m/>
    <m/>
    <x v="0"/>
  </r>
  <r>
    <x v="74"/>
    <x v="0"/>
    <m/>
    <x v="62"/>
    <m/>
    <m/>
    <m/>
    <m/>
    <x v="0"/>
    <m/>
    <m/>
    <x v="0"/>
  </r>
  <r>
    <x v="75"/>
    <x v="2"/>
    <n v="97640"/>
    <x v="13"/>
    <s v="M2"/>
    <n v="326.10000000000002"/>
    <s v="1,24"/>
    <n v="1.51"/>
    <x v="59"/>
    <s v="1,11"/>
    <n v="1.4246591915919868"/>
    <x v="59"/>
  </r>
  <r>
    <x v="76"/>
    <x v="2"/>
    <n v="97644"/>
    <x v="14"/>
    <s v="M2"/>
    <n v="26.61"/>
    <s v="7,11"/>
    <n v="8.69"/>
    <x v="60"/>
    <s v="6,39"/>
    <n v="8.2014164272727879"/>
    <x v="60"/>
  </r>
  <r>
    <x v="77"/>
    <x v="2"/>
    <n v="97645"/>
    <x v="15"/>
    <s v="M2"/>
    <n v="106.4"/>
    <s v="25,94"/>
    <n v="31.7"/>
    <x v="61"/>
    <s v="23,93"/>
    <n v="30.713598607924546"/>
    <x v="61"/>
  </r>
  <r>
    <x v="78"/>
    <x v="2"/>
    <n v="97622"/>
    <x v="63"/>
    <s v="M3"/>
    <n v="6.13"/>
    <s v="43,86"/>
    <n v="53.6"/>
    <x v="62"/>
    <s v="39,48"/>
    <n v="50.671662057704175"/>
    <x v="62"/>
  </r>
  <r>
    <x v="79"/>
    <x v="0"/>
    <m/>
    <x v="0"/>
    <m/>
    <m/>
    <m/>
    <m/>
    <x v="63"/>
    <m/>
    <m/>
    <x v="63"/>
  </r>
  <r>
    <x v="0"/>
    <x v="0"/>
    <m/>
    <x v="0"/>
    <m/>
    <m/>
    <m/>
    <m/>
    <x v="0"/>
    <m/>
    <m/>
    <x v="0"/>
  </r>
  <r>
    <x v="80"/>
    <x v="0"/>
    <m/>
    <x v="37"/>
    <m/>
    <m/>
    <m/>
    <m/>
    <x v="0"/>
    <m/>
    <m/>
    <x v="0"/>
  </r>
  <r>
    <x v="81"/>
    <x v="1"/>
    <s v="SEPLAG ARQ 169"/>
    <x v="64"/>
    <s v="m²"/>
    <n v="326.10000000000002"/>
    <n v="181.16"/>
    <n v="221.42"/>
    <x v="64"/>
    <n v="179.57999999999998"/>
    <n v="230.48675461809816"/>
    <x v="64"/>
  </r>
  <r>
    <x v="82"/>
    <x v="1"/>
    <s v="SEPLAG ARQ 170"/>
    <x v="65"/>
    <s v="m "/>
    <n v="184.61"/>
    <n v="14.319999999999999"/>
    <n v="17.5"/>
    <x v="65"/>
    <n v="14.07"/>
    <n v="18.058517860990321"/>
    <x v="65"/>
  </r>
  <r>
    <x v="83"/>
    <x v="0"/>
    <m/>
    <x v="0"/>
    <m/>
    <m/>
    <m/>
    <m/>
    <x v="66"/>
    <m/>
    <m/>
    <x v="66"/>
  </r>
  <r>
    <x v="0"/>
    <x v="0"/>
    <m/>
    <x v="0"/>
    <m/>
    <m/>
    <m/>
    <m/>
    <x v="0"/>
    <m/>
    <m/>
    <x v="0"/>
  </r>
  <r>
    <x v="84"/>
    <x v="0"/>
    <m/>
    <x v="44"/>
    <m/>
    <m/>
    <m/>
    <m/>
    <x v="0"/>
    <m/>
    <m/>
    <x v="0"/>
  </r>
  <r>
    <x v="85"/>
    <x v="1"/>
    <s v="SEPLAG ARQ 12"/>
    <x v="45"/>
    <s v="UND"/>
    <n v="7"/>
    <n v="2545.5200000000004"/>
    <n v="3111.29"/>
    <x v="67"/>
    <n v="2544.36"/>
    <n v="3265.6269015486378"/>
    <x v="67"/>
  </r>
  <r>
    <x v="86"/>
    <x v="1"/>
    <s v="SEPLAG ARQ 53"/>
    <x v="66"/>
    <s v="UND"/>
    <n v="1"/>
    <n v="2545.5200000000004"/>
    <n v="3111.29"/>
    <x v="68"/>
    <n v="2544.36"/>
    <n v="3265.6269015486378"/>
    <x v="68"/>
  </r>
  <r>
    <x v="87"/>
    <x v="1"/>
    <s v="SEPLAG  ARQ 14"/>
    <x v="67"/>
    <s v="UND"/>
    <n v="1"/>
    <n v="2109.77"/>
    <n v="2578.69"/>
    <x v="69"/>
    <n v="2095.25"/>
    <n v="2689.2046587235227"/>
    <x v="69"/>
  </r>
  <r>
    <x v="88"/>
    <x v="1"/>
    <s v="SEPLAG ARQ 138"/>
    <x v="68"/>
    <s v="UND"/>
    <n v="1"/>
    <n v="2929.77"/>
    <n v="3580.94"/>
    <x v="70"/>
    <n v="2915.25"/>
    <n v="3741.6555930527384"/>
    <x v="70"/>
  </r>
  <r>
    <x v="89"/>
    <x v="2"/>
    <n v="100701"/>
    <x v="69"/>
    <s v="M2"/>
    <n v="1.04"/>
    <s v="555,53"/>
    <n v="679"/>
    <x v="71"/>
    <s v="553,95"/>
    <n v="710.98194520935238"/>
    <x v="71"/>
  </r>
  <r>
    <x v="90"/>
    <x v="1"/>
    <s v="SEPLAG ARQ 51"/>
    <x v="56"/>
    <s v="m²"/>
    <n v="8.36"/>
    <n v="59.8"/>
    <n v="73.09"/>
    <x v="72"/>
    <n v="59.209999999999994"/>
    <n v="75.994658319064442"/>
    <x v="72"/>
  </r>
  <r>
    <x v="91"/>
    <x v="2"/>
    <n v="100716"/>
    <x v="70"/>
    <s v="M2"/>
    <n v="1.08"/>
    <s v="25,02"/>
    <n v="30.58"/>
    <x v="73"/>
    <s v="24,72"/>
    <n v="31.727545239778298"/>
    <x v="73"/>
  </r>
  <r>
    <x v="92"/>
    <x v="1"/>
    <s v="SEPLAG ARQ 123"/>
    <x v="71"/>
    <s v="M"/>
    <n v="0.9"/>
    <n v="139.19999999999999"/>
    <n v="170.13"/>
    <x v="74"/>
    <n v="138.07999999999998"/>
    <n v="177.2224695270464"/>
    <x v="74"/>
  </r>
  <r>
    <x v="93"/>
    <x v="2"/>
    <n v="100874"/>
    <x v="72"/>
    <s v="UN"/>
    <n v="2"/>
    <s v="342,60"/>
    <n v="418.74"/>
    <x v="75"/>
    <s v="339,91"/>
    <n v="436.2665818144435"/>
    <x v="75"/>
  </r>
  <r>
    <x v="94"/>
    <x v="0"/>
    <m/>
    <x v="0"/>
    <m/>
    <m/>
    <m/>
    <m/>
    <x v="76"/>
    <m/>
    <m/>
    <x v="76"/>
  </r>
  <r>
    <x v="0"/>
    <x v="0"/>
    <m/>
    <x v="0"/>
    <m/>
    <m/>
    <m/>
    <m/>
    <x v="0"/>
    <m/>
    <m/>
    <x v="0"/>
  </r>
  <r>
    <x v="95"/>
    <x v="0"/>
    <m/>
    <x v="48"/>
    <m/>
    <m/>
    <m/>
    <m/>
    <x v="0"/>
    <m/>
    <m/>
    <x v="0"/>
  </r>
  <r>
    <x v="96"/>
    <x v="1"/>
    <s v="SEPLAG  ARQ 153"/>
    <x v="73"/>
    <s v="UND"/>
    <n v="2"/>
    <n v="5157.0200000000004"/>
    <n v="6303.22"/>
    <x v="77"/>
    <n v="5098.67"/>
    <n v="6544.0243967516353"/>
    <x v="77"/>
  </r>
  <r>
    <x v="97"/>
    <x v="1"/>
    <s v="SEPLAG  ARQ 154"/>
    <x v="74"/>
    <s v="UND"/>
    <n v="1"/>
    <n v="4032.41"/>
    <n v="4928.66"/>
    <x v="78"/>
    <n v="3993.5099999999998"/>
    <n v="5125.5772326256892"/>
    <x v="78"/>
  </r>
  <r>
    <x v="98"/>
    <x v="1"/>
    <s v="SEPLAG  ARQ 68"/>
    <x v="75"/>
    <s v="UND"/>
    <n v="1"/>
    <n v="16791.59"/>
    <n v="20523.71"/>
    <x v="79"/>
    <n v="16519.96"/>
    <n v="21202.984557416177"/>
    <x v="79"/>
  </r>
  <r>
    <x v="99"/>
    <x v="1"/>
    <s v="SEPLAG  ARQ 76"/>
    <x v="76"/>
    <s v="UND"/>
    <n v="1"/>
    <n v="1159.0600000000002"/>
    <n v="1416.67"/>
    <x v="80"/>
    <n v="1145.1000000000001"/>
    <n v="1469.7092254882741"/>
    <x v="80"/>
  </r>
  <r>
    <x v="100"/>
    <x v="2"/>
    <n v="102168"/>
    <x v="55"/>
    <s v="M2"/>
    <n v="3.87"/>
    <s v="547,45"/>
    <n v="669.12"/>
    <x v="81"/>
    <s v="546,19"/>
    <n v="701.02216563570028"/>
    <x v="81"/>
  </r>
  <r>
    <x v="101"/>
    <x v="1"/>
    <s v="SEPLAG ARQ 51"/>
    <x v="56"/>
    <s v="m²"/>
    <n v="44.100499999999997"/>
    <n v="59.8"/>
    <n v="73.09"/>
    <x v="82"/>
    <n v="59.209999999999994"/>
    <n v="75.994658319064442"/>
    <x v="82"/>
  </r>
  <r>
    <x v="102"/>
    <x v="0"/>
    <m/>
    <x v="0"/>
    <m/>
    <m/>
    <m/>
    <m/>
    <x v="83"/>
    <m/>
    <m/>
    <x v="83"/>
  </r>
  <r>
    <x v="0"/>
    <x v="0"/>
    <m/>
    <x v="0"/>
    <m/>
    <m/>
    <m/>
    <m/>
    <x v="0"/>
    <m/>
    <m/>
    <x v="0"/>
  </r>
  <r>
    <x v="103"/>
    <x v="0"/>
    <m/>
    <x v="39"/>
    <m/>
    <m/>
    <m/>
    <m/>
    <x v="0"/>
    <m/>
    <m/>
    <x v="0"/>
  </r>
  <r>
    <x v="104"/>
    <x v="2"/>
    <n v="88485"/>
    <x v="40"/>
    <s v="M2"/>
    <n v="840.82"/>
    <s v="1,80"/>
    <n v="2.2000000000000002"/>
    <x v="84"/>
    <s v="1,69"/>
    <n v="2.1690757061175292"/>
    <x v="84"/>
  </r>
  <r>
    <x v="105"/>
    <x v="2"/>
    <n v="96126"/>
    <x v="77"/>
    <s v="M2"/>
    <n v="840.82"/>
    <s v="16,48"/>
    <n v="20.14"/>
    <x v="85"/>
    <s v="15,46"/>
    <n v="19.842550542353258"/>
    <x v="85"/>
  </r>
  <r>
    <x v="106"/>
    <x v="2"/>
    <n v="88489"/>
    <x v="42"/>
    <s v="M2"/>
    <n v="840.82"/>
    <s v="12,69"/>
    <n v="15.51"/>
    <x v="86"/>
    <s v="12,15"/>
    <n v="15.594242502560936"/>
    <x v="86"/>
  </r>
  <r>
    <x v="107"/>
    <x v="0"/>
    <m/>
    <x v="0"/>
    <m/>
    <m/>
    <m/>
    <m/>
    <x v="87"/>
    <m/>
    <m/>
    <x v="87"/>
  </r>
  <r>
    <x v="0"/>
    <x v="0"/>
    <m/>
    <x v="0"/>
    <m/>
    <m/>
    <m/>
    <m/>
    <x v="0"/>
    <m/>
    <m/>
    <x v="0"/>
  </r>
  <r>
    <x v="108"/>
    <x v="0"/>
    <m/>
    <x v="0"/>
    <m/>
    <m/>
    <m/>
    <m/>
    <x v="88"/>
    <m/>
    <m/>
    <x v="88"/>
  </r>
  <r>
    <x v="0"/>
    <x v="0"/>
    <m/>
    <x v="0"/>
    <m/>
    <m/>
    <m/>
    <m/>
    <x v="0"/>
    <m/>
    <m/>
    <x v="0"/>
  </r>
  <r>
    <x v="109"/>
    <x v="0"/>
    <m/>
    <x v="78"/>
    <m/>
    <m/>
    <m/>
    <m/>
    <x v="0"/>
    <m/>
    <m/>
    <x v="0"/>
  </r>
  <r>
    <x v="110"/>
    <x v="0"/>
    <m/>
    <x v="62"/>
    <m/>
    <m/>
    <m/>
    <m/>
    <x v="0"/>
    <m/>
    <m/>
    <x v="0"/>
  </r>
  <r>
    <x v="111"/>
    <x v="2"/>
    <n v="97640"/>
    <x v="13"/>
    <s v="M2"/>
    <n v="297.31"/>
    <s v="1,24"/>
    <n v="1.51"/>
    <x v="89"/>
    <s v="1,11"/>
    <n v="1.4246591915919868"/>
    <x v="89"/>
  </r>
  <r>
    <x v="112"/>
    <x v="2"/>
    <n v="97644"/>
    <x v="14"/>
    <s v="M2"/>
    <n v="25.08"/>
    <s v="7,11"/>
    <n v="8.69"/>
    <x v="90"/>
    <s v="6,39"/>
    <n v="8.2014164272727879"/>
    <x v="90"/>
  </r>
  <r>
    <x v="113"/>
    <x v="2"/>
    <n v="97645"/>
    <x v="15"/>
    <s v="M2"/>
    <n v="102.74"/>
    <s v="25,94"/>
    <n v="31.7"/>
    <x v="91"/>
    <s v="23,93"/>
    <n v="30.713598607924546"/>
    <x v="91"/>
  </r>
  <r>
    <x v="114"/>
    <x v="0"/>
    <m/>
    <x v="0"/>
    <m/>
    <m/>
    <m/>
    <m/>
    <x v="92"/>
    <m/>
    <m/>
    <x v="92"/>
  </r>
  <r>
    <x v="0"/>
    <x v="0"/>
    <m/>
    <x v="0"/>
    <m/>
    <m/>
    <m/>
    <m/>
    <x v="0"/>
    <m/>
    <m/>
    <x v="0"/>
  </r>
  <r>
    <x v="115"/>
    <x v="0"/>
    <m/>
    <x v="79"/>
    <m/>
    <m/>
    <m/>
    <m/>
    <x v="0"/>
    <m/>
    <m/>
    <x v="0"/>
  </r>
  <r>
    <x v="116"/>
    <x v="1"/>
    <s v="SEPLAG ARQ 169"/>
    <x v="64"/>
    <s v="m²"/>
    <n v="297.31"/>
    <n v="181.16"/>
    <n v="221.42"/>
    <x v="93"/>
    <n v="179.57999999999998"/>
    <n v="230.48675461809816"/>
    <x v="93"/>
  </r>
  <r>
    <x v="117"/>
    <x v="1"/>
    <s v="SEPLAG ARQ 170"/>
    <x v="65"/>
    <s v="m "/>
    <n v="187.42"/>
    <n v="14.319999999999999"/>
    <n v="17.5"/>
    <x v="94"/>
    <n v="14.07"/>
    <n v="18.058517860990321"/>
    <x v="94"/>
  </r>
  <r>
    <x v="118"/>
    <x v="0"/>
    <m/>
    <x v="0"/>
    <m/>
    <m/>
    <m/>
    <m/>
    <x v="95"/>
    <m/>
    <m/>
    <x v="95"/>
  </r>
  <r>
    <x v="0"/>
    <x v="0"/>
    <m/>
    <x v="0"/>
    <m/>
    <m/>
    <m/>
    <m/>
    <x v="0"/>
    <m/>
    <m/>
    <x v="0"/>
  </r>
  <r>
    <x v="119"/>
    <x v="0"/>
    <m/>
    <x v="39"/>
    <m/>
    <m/>
    <m/>
    <m/>
    <x v="0"/>
    <m/>
    <m/>
    <x v="0"/>
  </r>
  <r>
    <x v="120"/>
    <x v="2"/>
    <n v="88485"/>
    <x v="40"/>
    <s v="M2"/>
    <n v="872.4"/>
    <s v="1,80"/>
    <n v="2.2000000000000002"/>
    <x v="96"/>
    <s v="1,69"/>
    <n v="2.1690757061175292"/>
    <x v="96"/>
  </r>
  <r>
    <x v="121"/>
    <x v="2"/>
    <n v="96126"/>
    <x v="77"/>
    <s v="M2"/>
    <n v="872.4"/>
    <s v="16,48"/>
    <n v="20.14"/>
    <x v="97"/>
    <s v="15,46"/>
    <n v="19.842550542353258"/>
    <x v="97"/>
  </r>
  <r>
    <x v="122"/>
    <x v="2"/>
    <n v="88489"/>
    <x v="42"/>
    <s v="M2"/>
    <n v="872.4"/>
    <s v="12,69"/>
    <n v="15.51"/>
    <x v="98"/>
    <s v="12,15"/>
    <n v="15.594242502560936"/>
    <x v="98"/>
  </r>
  <r>
    <x v="123"/>
    <x v="0"/>
    <m/>
    <x v="0"/>
    <m/>
    <m/>
    <m/>
    <m/>
    <x v="99"/>
    <m/>
    <m/>
    <x v="99"/>
  </r>
  <r>
    <x v="0"/>
    <x v="0"/>
    <m/>
    <x v="0"/>
    <m/>
    <m/>
    <m/>
    <m/>
    <x v="0"/>
    <m/>
    <m/>
    <x v="0"/>
  </r>
  <r>
    <x v="124"/>
    <x v="0"/>
    <m/>
    <x v="44"/>
    <m/>
    <m/>
    <m/>
    <m/>
    <x v="0"/>
    <m/>
    <m/>
    <x v="0"/>
  </r>
  <r>
    <x v="125"/>
    <x v="1"/>
    <s v="SEPLAG ARQ 12"/>
    <x v="45"/>
    <s v="UND"/>
    <n v="9"/>
    <n v="2545.5200000000004"/>
    <n v="3111.29"/>
    <x v="100"/>
    <n v="2544.36"/>
    <n v="3265.6269015486378"/>
    <x v="100"/>
  </r>
  <r>
    <x v="126"/>
    <x v="1"/>
    <s v="SEPLAG  ARQ 14"/>
    <x v="67"/>
    <s v="UND"/>
    <n v="1"/>
    <n v="2109.77"/>
    <n v="2578.69"/>
    <x v="69"/>
    <n v="2095.25"/>
    <n v="2689.2046587235227"/>
    <x v="69"/>
  </r>
  <r>
    <x v="127"/>
    <x v="1"/>
    <s v="SEPLAG ARQ 134"/>
    <x v="80"/>
    <s v="M"/>
    <n v="1"/>
    <n v="195.6"/>
    <n v="239.07"/>
    <x v="101"/>
    <n v="189.37"/>
    <n v="243.05199199258968"/>
    <x v="101"/>
  </r>
  <r>
    <x v="128"/>
    <x v="1"/>
    <s v="SEPLAG ARQ 51"/>
    <x v="56"/>
    <s v="m²"/>
    <n v="3.36"/>
    <n v="59.8"/>
    <n v="73.09"/>
    <x v="102"/>
    <n v="59.209999999999994"/>
    <n v="75.994658319064442"/>
    <x v="102"/>
  </r>
  <r>
    <x v="129"/>
    <x v="2"/>
    <n v="100716"/>
    <x v="70"/>
    <s v="M2"/>
    <n v="0.48"/>
    <s v="25,02"/>
    <n v="30.58"/>
    <x v="103"/>
    <s v="24,72"/>
    <n v="31.727545239778298"/>
    <x v="103"/>
  </r>
  <r>
    <x v="130"/>
    <x v="0"/>
    <m/>
    <x v="0"/>
    <m/>
    <m/>
    <m/>
    <m/>
    <x v="104"/>
    <m/>
    <m/>
    <x v="104"/>
  </r>
  <r>
    <x v="0"/>
    <x v="0"/>
    <m/>
    <x v="0"/>
    <m/>
    <m/>
    <m/>
    <m/>
    <x v="0"/>
    <m/>
    <m/>
    <x v="0"/>
  </r>
  <r>
    <x v="131"/>
    <x v="0"/>
    <m/>
    <x v="48"/>
    <m/>
    <m/>
    <m/>
    <m/>
    <x v="0"/>
    <m/>
    <m/>
    <x v="0"/>
  </r>
  <r>
    <x v="132"/>
    <x v="1"/>
    <s v="SEPLAG  ARQ 76"/>
    <x v="76"/>
    <s v="UND"/>
    <n v="2"/>
    <n v="1159.0600000000002"/>
    <n v="1416.67"/>
    <x v="105"/>
    <n v="1145.1000000000001"/>
    <n v="1469.7092254882741"/>
    <x v="105"/>
  </r>
  <r>
    <x v="133"/>
    <x v="1"/>
    <s v="SEPLAG  ARQ 68"/>
    <x v="75"/>
    <s v="UND"/>
    <n v="1"/>
    <n v="16791.59"/>
    <n v="20523.71"/>
    <x v="79"/>
    <n v="16519.96"/>
    <n v="21202.984557416177"/>
    <x v="79"/>
  </r>
  <r>
    <x v="134"/>
    <x v="1"/>
    <s v="SEPLAG  ARQ 153"/>
    <x v="73"/>
    <s v="UND"/>
    <n v="2"/>
    <n v="5157.0200000000004"/>
    <n v="6303.22"/>
    <x v="77"/>
    <n v="5098.67"/>
    <n v="6544.0243967516353"/>
    <x v="77"/>
  </r>
  <r>
    <x v="135"/>
    <x v="1"/>
    <s v="SEPLAG  ARQ 154"/>
    <x v="74"/>
    <s v="UND"/>
    <n v="1"/>
    <n v="4032.41"/>
    <n v="4928.66"/>
    <x v="78"/>
    <n v="3993.5099999999998"/>
    <n v="5125.5772326256892"/>
    <x v="78"/>
  </r>
  <r>
    <x v="136"/>
    <x v="2"/>
    <n v="102168"/>
    <x v="55"/>
    <s v="M2"/>
    <n v="6.27"/>
    <s v="547,45"/>
    <n v="669.12"/>
    <x v="106"/>
    <s v="546,19"/>
    <n v="701.02216563570028"/>
    <x v="106"/>
  </r>
  <r>
    <x v="137"/>
    <x v="1"/>
    <s v="SEPLAG ARQ 51"/>
    <x v="56"/>
    <s v="m²"/>
    <n v="88.490500000000011"/>
    <n v="59.8"/>
    <n v="73.09"/>
    <x v="107"/>
    <n v="59.209999999999994"/>
    <n v="75.994658319064442"/>
    <x v="107"/>
  </r>
  <r>
    <x v="138"/>
    <x v="0"/>
    <m/>
    <x v="0"/>
    <m/>
    <m/>
    <m/>
    <m/>
    <x v="108"/>
    <m/>
    <m/>
    <x v="108"/>
  </r>
  <r>
    <x v="139"/>
    <x v="0"/>
    <m/>
    <x v="0"/>
    <m/>
    <m/>
    <m/>
    <m/>
    <x v="109"/>
    <m/>
    <m/>
    <x v="109"/>
  </r>
  <r>
    <x v="0"/>
    <x v="0"/>
    <m/>
    <x v="0"/>
    <m/>
    <m/>
    <m/>
    <m/>
    <x v="0"/>
    <m/>
    <m/>
    <x v="0"/>
  </r>
  <r>
    <x v="140"/>
    <x v="0"/>
    <m/>
    <x v="81"/>
    <m/>
    <m/>
    <m/>
    <m/>
    <x v="0"/>
    <m/>
    <m/>
    <x v="0"/>
  </r>
  <r>
    <x v="141"/>
    <x v="0"/>
    <m/>
    <x v="82"/>
    <m/>
    <m/>
    <m/>
    <m/>
    <x v="0"/>
    <m/>
    <m/>
    <x v="0"/>
  </r>
  <r>
    <x v="142"/>
    <x v="1"/>
    <s v="SEPLAG INC 01"/>
    <x v="83"/>
    <s v="UND"/>
    <n v="1"/>
    <n v="3295.81"/>
    <n v="4028.34"/>
    <x v="110"/>
    <n v="3263.8900000000003"/>
    <n v="4189.1269268875403"/>
    <x v="110"/>
  </r>
  <r>
    <x v="143"/>
    <x v="1"/>
    <s v="SEPLAG INC 02"/>
    <x v="84"/>
    <s v="UND"/>
    <n v="3"/>
    <n v="1133.4699999999998"/>
    <n v="1385.39"/>
    <x v="111"/>
    <n v="1131.03"/>
    <n v="1451.6507076272835"/>
    <x v="111"/>
  </r>
  <r>
    <x v="144"/>
    <x v="1"/>
    <s v="SEPLAG INC 03"/>
    <x v="85"/>
    <s v="UND"/>
    <n v="3"/>
    <n v="111.31"/>
    <n v="136.04"/>
    <x v="112"/>
    <n v="108.87"/>
    <n v="139.7321136834411"/>
    <x v="112"/>
  </r>
  <r>
    <x v="145"/>
    <x v="1"/>
    <s v="SEPLAG INC 04"/>
    <x v="86"/>
    <s v="UND"/>
    <n v="3"/>
    <n v="111.31"/>
    <n v="136.04"/>
    <x v="112"/>
    <n v="108.87"/>
    <n v="139.7321136834411"/>
    <x v="112"/>
  </r>
  <r>
    <x v="146"/>
    <x v="1"/>
    <s v="SEPLAG INC 50"/>
    <x v="87"/>
    <s v="UND"/>
    <n v="10"/>
    <n v="106.42"/>
    <n v="130.07"/>
    <x v="113"/>
    <n v="104.46"/>
    <n v="134.07198121954858"/>
    <x v="113"/>
  </r>
  <r>
    <x v="147"/>
    <x v="1"/>
    <s v="SEPLAG INC 51"/>
    <x v="88"/>
    <s v="UND"/>
    <n v="4"/>
    <n v="275.45000000000005"/>
    <n v="336.67"/>
    <x v="114"/>
    <n v="273.49"/>
    <n v="351.01805613377701"/>
    <x v="114"/>
  </r>
  <r>
    <x v="148"/>
    <x v="0"/>
    <m/>
    <x v="0"/>
    <m/>
    <m/>
    <m/>
    <m/>
    <x v="115"/>
    <m/>
    <m/>
    <x v="115"/>
  </r>
  <r>
    <x v="0"/>
    <x v="0"/>
    <m/>
    <x v="0"/>
    <m/>
    <m/>
    <m/>
    <m/>
    <x v="0"/>
    <m/>
    <m/>
    <x v="0"/>
  </r>
  <r>
    <x v="149"/>
    <x v="0"/>
    <m/>
    <x v="89"/>
    <m/>
    <m/>
    <m/>
    <m/>
    <x v="0"/>
    <m/>
    <m/>
    <x v="0"/>
  </r>
  <r>
    <x v="150"/>
    <x v="1"/>
    <s v="SEPLAG INC 05"/>
    <x v="90"/>
    <s v="UND"/>
    <n v="4"/>
    <n v="484.13"/>
    <n v="591.73"/>
    <x v="116"/>
    <n v="471.95"/>
    <n v="605.73685177643074"/>
    <x v="116"/>
  </r>
  <r>
    <x v="151"/>
    <x v="1"/>
    <s v="SEPLAG INC 46"/>
    <x v="91"/>
    <s v="UND"/>
    <n v="1"/>
    <n v="1311.22"/>
    <n v="1602.65"/>
    <x v="117"/>
    <n v="1309.1799999999998"/>
    <n v="1680.3020904940513"/>
    <x v="117"/>
  </r>
  <r>
    <x v="152"/>
    <x v="1"/>
    <s v="SEPLAG INC 47"/>
    <x v="92"/>
    <s v="UND"/>
    <n v="3"/>
    <n v="630.12"/>
    <n v="770.17"/>
    <x v="118"/>
    <n v="628.08000000000004"/>
    <n v="806.12607662621178"/>
    <x v="118"/>
  </r>
  <r>
    <x v="153"/>
    <x v="1"/>
    <s v="SEPLAG INC 06"/>
    <x v="93"/>
    <s v="UND"/>
    <n v="4"/>
    <n v="72.52"/>
    <n v="88.63"/>
    <x v="119"/>
    <n v="70.509999999999991"/>
    <n v="90.497945584820698"/>
    <x v="119"/>
  </r>
  <r>
    <x v="154"/>
    <x v="1"/>
    <s v="SEPLAG INC 07"/>
    <x v="94"/>
    <s v="UND"/>
    <n v="3"/>
    <n v="19.02"/>
    <n v="23.24"/>
    <x v="120"/>
    <n v="18.57"/>
    <n v="23.834163232309184"/>
    <x v="120"/>
  </r>
  <r>
    <x v="155"/>
    <x v="1"/>
    <s v="SEPLAG INC 08"/>
    <x v="95"/>
    <s v="UND"/>
    <n v="1"/>
    <n v="241.35"/>
    <n v="294.99"/>
    <x v="121"/>
    <n v="239.34"/>
    <n v="307.18732514921271"/>
    <x v="121"/>
  </r>
  <r>
    <x v="156"/>
    <x v="1"/>
    <s v="SEPLAG INC 48"/>
    <x v="96"/>
    <s v="UND"/>
    <n v="3"/>
    <n v="201.82000000000002"/>
    <n v="246.67"/>
    <x v="122"/>
    <n v="199.81000000000003"/>
    <n v="256.45148925404948"/>
    <x v="122"/>
  </r>
  <r>
    <x v="157"/>
    <x v="2"/>
    <n v="101906"/>
    <x v="97"/>
    <s v="UN"/>
    <n v="5"/>
    <s v="555,83"/>
    <n v="679.36"/>
    <x v="123"/>
    <s v="553,96"/>
    <n v="710.99477997684426"/>
    <x v="123"/>
  </r>
  <r>
    <x v="158"/>
    <x v="2"/>
    <n v="101908"/>
    <x v="98"/>
    <s v="UN"/>
    <n v="3"/>
    <s v="183,02"/>
    <n v="223.69"/>
    <x v="124"/>
    <s v="181,15"/>
    <n v="232.5018131143139"/>
    <x v="124"/>
  </r>
  <r>
    <x v="159"/>
    <x v="2"/>
    <n v="101905"/>
    <x v="99"/>
    <s v="UN"/>
    <n v="5"/>
    <s v="188,61"/>
    <n v="230.53"/>
    <x v="125"/>
    <s v="186,74"/>
    <n v="239.6764481422411"/>
    <x v="125"/>
  </r>
  <r>
    <x v="160"/>
    <x v="1"/>
    <s v="SEPLAG INC 09"/>
    <x v="100"/>
    <s v="UND"/>
    <n v="1"/>
    <n v="1049.7099999999998"/>
    <n v="1283.02"/>
    <x v="126"/>
    <n v="1029.5999999999999"/>
    <n v="1321.4676609577564"/>
    <x v="126"/>
  </r>
  <r>
    <x v="161"/>
    <x v="0"/>
    <m/>
    <x v="0"/>
    <m/>
    <m/>
    <m/>
    <m/>
    <x v="127"/>
    <m/>
    <m/>
    <x v="127"/>
  </r>
  <r>
    <x v="0"/>
    <x v="0"/>
    <m/>
    <x v="0"/>
    <m/>
    <m/>
    <m/>
    <m/>
    <x v="0"/>
    <m/>
    <m/>
    <x v="0"/>
  </r>
  <r>
    <x v="162"/>
    <x v="0"/>
    <m/>
    <x v="101"/>
    <m/>
    <m/>
    <m/>
    <m/>
    <x v="0"/>
    <m/>
    <m/>
    <x v="0"/>
  </r>
  <r>
    <x v="163"/>
    <x v="2"/>
    <n v="21014"/>
    <x v="102"/>
    <s v="M     "/>
    <n v="79.5"/>
    <n v="115.34"/>
    <n v="140.97"/>
    <x v="128"/>
    <s v="115,34"/>
    <n v="148.03620825064843"/>
    <x v="128"/>
  </r>
  <r>
    <x v="164"/>
    <x v="2"/>
    <n v="92390"/>
    <x v="103"/>
    <s v="UN"/>
    <n v="25"/>
    <s v="114,71"/>
    <n v="140.19999999999999"/>
    <x v="129"/>
    <s v="110,18"/>
    <n v="141.41346822486946"/>
    <x v="129"/>
  </r>
  <r>
    <x v="165"/>
    <x v="2"/>
    <n v="92357"/>
    <x v="104"/>
    <s v="UN"/>
    <n v="3"/>
    <s v="154,29"/>
    <n v="188.58"/>
    <x v="130"/>
    <s v="148,54"/>
    <n v="190.64763632348982"/>
    <x v="130"/>
  </r>
  <r>
    <x v="166"/>
    <x v="2"/>
    <n v="92346"/>
    <x v="105"/>
    <s v="UN"/>
    <n v="10"/>
    <s v="70,11"/>
    <n v="85.69"/>
    <x v="131"/>
    <s v="67,23"/>
    <n v="86.288141847503852"/>
    <x v="131"/>
  </r>
  <r>
    <x v="167"/>
    <x v="2"/>
    <n v="92890"/>
    <x v="106"/>
    <s v="UN"/>
    <n v="5"/>
    <s v="160,57"/>
    <n v="196.25"/>
    <x v="132"/>
    <s v="157,69"/>
    <n v="202.39144857850485"/>
    <x v="132"/>
  </r>
  <r>
    <x v="168"/>
    <x v="2"/>
    <n v="99624"/>
    <x v="107"/>
    <s v="UN"/>
    <n v="1"/>
    <s v="425,96"/>
    <n v="520.63"/>
    <x v="133"/>
    <s v="424,10"/>
    <n v="544.32248932807352"/>
    <x v="133"/>
  </r>
  <r>
    <x v="169"/>
    <x v="1"/>
    <s v="SEPLAG INC 11"/>
    <x v="108"/>
    <s v="UND"/>
    <n v="1"/>
    <n v="279.28000000000003"/>
    <n v="341.35"/>
    <x v="134"/>
    <n v="276.00000000000006"/>
    <n v="354.23958277422383"/>
    <x v="134"/>
  </r>
  <r>
    <x v="170"/>
    <x v="2"/>
    <n v="94499"/>
    <x v="109"/>
    <s v="UN"/>
    <n v="3"/>
    <s v="231,51"/>
    <n v="282.95999999999998"/>
    <x v="135"/>
    <s v="229,65"/>
    <n v="294.75043544963944"/>
    <x v="135"/>
  </r>
  <r>
    <x v="171"/>
    <x v="1"/>
    <s v="SEPLAG INC 12"/>
    <x v="110"/>
    <s v="UND"/>
    <n v="1"/>
    <n v="339.29"/>
    <n v="414.7"/>
    <x v="136"/>
    <n v="336.01000000000005"/>
    <n v="431.26102249263386"/>
    <x v="136"/>
  </r>
  <r>
    <x v="172"/>
    <x v="1"/>
    <s v="SEPLAG INC 39"/>
    <x v="111"/>
    <s v="M"/>
    <n v="15.9"/>
    <n v="18.84"/>
    <n v="23.02"/>
    <x v="137"/>
    <n v="17.630000000000003"/>
    <n v="22.627695088078134"/>
    <x v="137"/>
  </r>
  <r>
    <x v="173"/>
    <x v="1"/>
    <s v="SEPLAG INC 42"/>
    <x v="112"/>
    <s v="UND"/>
    <n v="4"/>
    <n v="192.54000000000002"/>
    <n v="235.33"/>
    <x v="138"/>
    <n v="189.26000000000002"/>
    <n v="242.91080955017969"/>
    <x v="138"/>
  </r>
  <r>
    <x v="174"/>
    <x v="1"/>
    <s v="SEPLAG INC 43"/>
    <x v="113"/>
    <s v="UND"/>
    <n v="3"/>
    <n v="97.750000000000014"/>
    <n v="119.47"/>
    <x v="139"/>
    <n v="94.47"/>
    <n v="121.25004849522071"/>
    <x v="139"/>
  </r>
  <r>
    <x v="175"/>
    <x v="1"/>
    <s v="SEPLAG INC 49"/>
    <x v="114"/>
    <s v="UND"/>
    <n v="3"/>
    <n v="130.28"/>
    <n v="159.22999999999999"/>
    <x v="140"/>
    <n v="128.26999999999998"/>
    <n v="164.63156261757126"/>
    <x v="140"/>
  </r>
  <r>
    <x v="176"/>
    <x v="1"/>
    <s v="SEPLAG INC 44"/>
    <x v="115"/>
    <s v="UND"/>
    <n v="1"/>
    <n v="118.49"/>
    <n v="144.82"/>
    <x v="141"/>
    <n v="115.21000000000001"/>
    <n v="147.86935627325477"/>
    <x v="141"/>
  </r>
  <r>
    <x v="177"/>
    <x v="0"/>
    <m/>
    <x v="0"/>
    <m/>
    <m/>
    <m/>
    <m/>
    <x v="142"/>
    <m/>
    <m/>
    <x v="142"/>
  </r>
  <r>
    <x v="0"/>
    <x v="0"/>
    <m/>
    <x v="0"/>
    <m/>
    <m/>
    <m/>
    <m/>
    <x v="0"/>
    <m/>
    <m/>
    <x v="0"/>
  </r>
  <r>
    <x v="178"/>
    <x v="0"/>
    <m/>
    <x v="116"/>
    <m/>
    <m/>
    <m/>
    <m/>
    <x v="0"/>
    <m/>
    <m/>
    <x v="0"/>
  </r>
  <r>
    <x v="179"/>
    <x v="1"/>
    <s v="SEPLAG INC 13"/>
    <x v="117"/>
    <s v="UND"/>
    <n v="1"/>
    <n v="21.01"/>
    <n v="25.67"/>
    <x v="143"/>
    <n v="19.89"/>
    <n v="25.528352541229385"/>
    <x v="143"/>
  </r>
  <r>
    <x v="180"/>
    <x v="1"/>
    <s v="SEPLAG INC 14"/>
    <x v="118"/>
    <s v="UND"/>
    <n v="3"/>
    <n v="21.35"/>
    <n v="26.09"/>
    <x v="144"/>
    <n v="20.23"/>
    <n v="25.964734635951256"/>
    <x v="144"/>
  </r>
  <r>
    <x v="181"/>
    <x v="1"/>
    <s v="SEPLAG INC 15"/>
    <x v="119"/>
    <s v="UND"/>
    <n v="3"/>
    <n v="18.48"/>
    <n v="22.58"/>
    <x v="145"/>
    <n v="17.36"/>
    <n v="22.281156365798999"/>
    <x v="145"/>
  </r>
  <r>
    <x v="182"/>
    <x v="1"/>
    <s v="SEPLAG INC 17"/>
    <x v="120"/>
    <s v="UND"/>
    <n v="3"/>
    <n v="21.01"/>
    <n v="25.67"/>
    <x v="146"/>
    <n v="19.89"/>
    <n v="25.528352541229385"/>
    <x v="146"/>
  </r>
  <r>
    <x v="183"/>
    <x v="1"/>
    <s v="SEPLAG INC 22"/>
    <x v="121"/>
    <s v="UND"/>
    <n v="1"/>
    <n v="20.450000000000003"/>
    <n v="24.99"/>
    <x v="147"/>
    <n v="19.329999999999998"/>
    <n v="24.80960556168748"/>
    <x v="147"/>
  </r>
  <r>
    <x v="184"/>
    <x v="1"/>
    <s v="SEPLAG INC 23"/>
    <x v="122"/>
    <s v="UND"/>
    <n v="2"/>
    <n v="20.450000000000003"/>
    <n v="24.99"/>
    <x v="148"/>
    <n v="19.329999999999998"/>
    <n v="24.80960556168748"/>
    <x v="148"/>
  </r>
  <r>
    <x v="185"/>
    <x v="1"/>
    <s v="SEPLAG INC 24"/>
    <x v="123"/>
    <s v="UND"/>
    <n v="19"/>
    <n v="24.04"/>
    <n v="29.38"/>
    <x v="149"/>
    <n v="22.92"/>
    <n v="29.417287091250756"/>
    <x v="149"/>
  </r>
  <r>
    <x v="186"/>
    <x v="1"/>
    <s v="SEPLAG INC 25"/>
    <x v="124"/>
    <s v="UND"/>
    <n v="1"/>
    <n v="24.04"/>
    <n v="29.38"/>
    <x v="150"/>
    <n v="22.92"/>
    <n v="29.417287091250756"/>
    <x v="150"/>
  </r>
  <r>
    <x v="187"/>
    <x v="1"/>
    <s v="SEPLAG INC 26"/>
    <x v="125"/>
    <s v="UND"/>
    <n v="4"/>
    <n v="20.450000000000003"/>
    <n v="24.99"/>
    <x v="151"/>
    <n v="19.329999999999998"/>
    <n v="24.80960556168748"/>
    <x v="151"/>
  </r>
  <r>
    <x v="188"/>
    <x v="1"/>
    <s v="SEPLAG INC 29"/>
    <x v="126"/>
    <s v="UND"/>
    <n v="14"/>
    <n v="18.45"/>
    <n v="22.55"/>
    <x v="152"/>
    <n v="17.7"/>
    <n v="22.717538460520871"/>
    <x v="152"/>
  </r>
  <r>
    <x v="189"/>
    <x v="1"/>
    <s v="SEPLAG INC 30"/>
    <x v="127"/>
    <s v="UND"/>
    <n v="30"/>
    <n v="65.97"/>
    <n v="80.63"/>
    <x v="153"/>
    <n v="61.58"/>
    <n v="79.036498214625709"/>
    <x v="153"/>
  </r>
  <r>
    <x v="190"/>
    <x v="0"/>
    <m/>
    <x v="0"/>
    <m/>
    <m/>
    <m/>
    <m/>
    <x v="154"/>
    <m/>
    <m/>
    <x v="154"/>
  </r>
  <r>
    <x v="0"/>
    <x v="0"/>
    <m/>
    <x v="0"/>
    <m/>
    <m/>
    <m/>
    <m/>
    <x v="0"/>
    <m/>
    <m/>
    <x v="0"/>
  </r>
  <r>
    <x v="191"/>
    <x v="0"/>
    <m/>
    <x v="128"/>
    <m/>
    <m/>
    <m/>
    <m/>
    <x v="0"/>
    <m/>
    <m/>
    <x v="0"/>
  </r>
  <r>
    <x v="192"/>
    <x v="0"/>
    <m/>
    <x v="20"/>
    <m/>
    <m/>
    <m/>
    <m/>
    <x v="0"/>
    <m/>
    <m/>
    <x v="0"/>
  </r>
  <r>
    <x v="193"/>
    <x v="2"/>
    <n v="96523"/>
    <x v="21"/>
    <s v="M3"/>
    <n v="111.012"/>
    <s v="76,46"/>
    <n v="93.45"/>
    <x v="155"/>
    <s v="68,70"/>
    <n v="88.17485266880135"/>
    <x v="155"/>
  </r>
  <r>
    <x v="194"/>
    <x v="2"/>
    <n v="101616"/>
    <x v="22"/>
    <s v="M2"/>
    <n v="33.64"/>
    <s v="4,86"/>
    <n v="5.94"/>
    <x v="156"/>
    <s v="4,37"/>
    <n v="5.6087933939252093"/>
    <x v="156"/>
  </r>
  <r>
    <x v="195"/>
    <x v="2"/>
    <n v="96616"/>
    <x v="23"/>
    <s v="M3"/>
    <n v="1.0091999999999999"/>
    <s v="535,54"/>
    <n v="654.55999999999995"/>
    <x v="157"/>
    <s v="512,44"/>
    <n v="657.70482535080885"/>
    <x v="157"/>
  </r>
  <r>
    <x v="196"/>
    <x v="2"/>
    <n v="93382"/>
    <x v="24"/>
    <s v="M3"/>
    <n v="21.123999999999995"/>
    <s v="23,85"/>
    <n v="29.15"/>
    <x v="158"/>
    <s v="21,84"/>
    <n v="28.031132202134227"/>
    <x v="158"/>
  </r>
  <r>
    <x v="197"/>
    <x v="0"/>
    <m/>
    <x v="0"/>
    <m/>
    <m/>
    <m/>
    <m/>
    <x v="159"/>
    <m/>
    <m/>
    <x v="159"/>
  </r>
  <r>
    <x v="0"/>
    <x v="0"/>
    <m/>
    <x v="0"/>
    <m/>
    <m/>
    <m/>
    <m/>
    <x v="0"/>
    <m/>
    <m/>
    <x v="0"/>
  </r>
  <r>
    <x v="198"/>
    <x v="0"/>
    <m/>
    <x v="129"/>
    <m/>
    <m/>
    <m/>
    <m/>
    <x v="0"/>
    <m/>
    <m/>
    <x v="0"/>
  </r>
  <r>
    <x v="199"/>
    <x v="2"/>
    <n v="96555"/>
    <x v="26"/>
    <s v="M3"/>
    <n v="16.8"/>
    <s v="606,83"/>
    <n v="741.7"/>
    <x v="160"/>
    <s v="591,38"/>
    <n v="759.02247993123342"/>
    <x v="160"/>
  </r>
  <r>
    <x v="200"/>
    <x v="2"/>
    <n v="96543"/>
    <x v="27"/>
    <s v="KG"/>
    <n v="34.6"/>
    <s v="18,45"/>
    <n v="22.55"/>
    <x v="161"/>
    <s v="17,73"/>
    <n v="22.75604276299633"/>
    <x v="161"/>
  </r>
  <r>
    <x v="201"/>
    <x v="2"/>
    <n v="96544"/>
    <x v="130"/>
    <s v="KG"/>
    <n v="338.5"/>
    <s v="17,53"/>
    <n v="21.42"/>
    <x v="162"/>
    <s v="17,01"/>
    <n v="21.831939503585314"/>
    <x v="162"/>
  </r>
  <r>
    <x v="202"/>
    <x v="2"/>
    <n v="96545"/>
    <x v="28"/>
    <s v="KG"/>
    <n v="973.5"/>
    <s v="16,54"/>
    <n v="20.21"/>
    <x v="163"/>
    <s v="16,16"/>
    <n v="20.740984266780636"/>
    <x v="163"/>
  </r>
  <r>
    <x v="203"/>
    <x v="2"/>
    <n v="96546"/>
    <x v="29"/>
    <s v="KG"/>
    <n v="85.5"/>
    <s v="14,85"/>
    <n v="18.149999999999999"/>
    <x v="164"/>
    <s v="14,57"/>
    <n v="18.700256235581303"/>
    <x v="164"/>
  </r>
  <r>
    <x v="204"/>
    <x v="2"/>
    <n v="92263"/>
    <x v="30"/>
    <s v="M2"/>
    <n v="121.4"/>
    <s v="175,96"/>
    <n v="215.06"/>
    <x v="165"/>
    <s v="172,32"/>
    <n v="221.16871341903709"/>
    <x v="165"/>
  </r>
  <r>
    <x v="205"/>
    <x v="2"/>
    <n v="98557"/>
    <x v="31"/>
    <s v="M2"/>
    <n v="41.28"/>
    <s v="58,82"/>
    <n v="71.89"/>
    <x v="166"/>
    <s v="57,84"/>
    <n v="74.236295172685146"/>
    <x v="166"/>
  </r>
  <r>
    <x v="206"/>
    <x v="2"/>
    <n v="101963"/>
    <x v="131"/>
    <s v="M2"/>
    <n v="18.489999999999998"/>
    <s v="191,09"/>
    <n v="233.56"/>
    <x v="167"/>
    <s v="187,96"/>
    <n v="241.2422897762431"/>
    <x v="167"/>
  </r>
  <r>
    <x v="207"/>
    <x v="0"/>
    <m/>
    <x v="0"/>
    <m/>
    <m/>
    <m/>
    <m/>
    <x v="168"/>
    <m/>
    <m/>
    <x v="168"/>
  </r>
  <r>
    <x v="0"/>
    <x v="0"/>
    <m/>
    <x v="0"/>
    <m/>
    <m/>
    <m/>
    <m/>
    <x v="0"/>
    <m/>
    <m/>
    <x v="0"/>
  </r>
  <r>
    <x v="208"/>
    <x v="0"/>
    <m/>
    <x v="132"/>
    <m/>
    <m/>
    <m/>
    <m/>
    <x v="0"/>
    <m/>
    <m/>
    <x v="0"/>
  </r>
  <r>
    <x v="209"/>
    <x v="1"/>
    <s v="SEPLAG  ARQ 162"/>
    <x v="133"/>
    <s v="UND"/>
    <n v="1"/>
    <n v="894.67000000000007"/>
    <n v="1093.52"/>
    <x v="169"/>
    <n v="890.76"/>
    <n v="1143.2697491013316"/>
    <x v="169"/>
  </r>
  <r>
    <x v="210"/>
    <x v="0"/>
    <n v="102619"/>
    <x v="134"/>
    <s v="UN"/>
    <n v="1"/>
    <s v="5.659,05"/>
    <n v="6916.83"/>
    <x v="170"/>
    <s v="5.648,76"/>
    <n v="7250.0521217091455"/>
    <x v="170"/>
  </r>
  <r>
    <x v="211"/>
    <x v="0"/>
    <m/>
    <x v="0"/>
    <m/>
    <m/>
    <m/>
    <m/>
    <x v="171"/>
    <m/>
    <m/>
    <x v="171"/>
  </r>
  <r>
    <x v="212"/>
    <x v="0"/>
    <m/>
    <x v="0"/>
    <m/>
    <m/>
    <m/>
    <m/>
    <x v="172"/>
    <m/>
    <m/>
    <x v="172"/>
  </r>
  <r>
    <x v="213"/>
    <x v="0"/>
    <m/>
    <x v="0"/>
    <m/>
    <m/>
    <m/>
    <m/>
    <x v="173"/>
    <m/>
    <m/>
    <x v="173"/>
  </r>
  <r>
    <x v="0"/>
    <x v="0"/>
    <m/>
    <x v="0"/>
    <m/>
    <m/>
    <m/>
    <m/>
    <x v="0"/>
    <m/>
    <m/>
    <x v="0"/>
  </r>
  <r>
    <x v="214"/>
    <x v="0"/>
    <m/>
    <x v="135"/>
    <m/>
    <m/>
    <m/>
    <m/>
    <x v="0"/>
    <m/>
    <m/>
    <x v="0"/>
  </r>
  <r>
    <x v="215"/>
    <x v="0"/>
    <m/>
    <x v="136"/>
    <m/>
    <m/>
    <m/>
    <m/>
    <x v="0"/>
    <m/>
    <m/>
    <x v="0"/>
  </r>
  <r>
    <x v="216"/>
    <x v="2"/>
    <n v="95745"/>
    <x v="137"/>
    <s v="M"/>
    <n v="28"/>
    <s v="19,53"/>
    <n v="23.87"/>
    <x v="174"/>
    <s v="18,88"/>
    <n v="24.232041024555592"/>
    <x v="174"/>
  </r>
  <r>
    <x v="217"/>
    <x v="2"/>
    <n v="95746"/>
    <x v="138"/>
    <s v="M"/>
    <n v="45"/>
    <s v="24,18"/>
    <n v="29.55"/>
    <x v="175"/>
    <s v="23,40"/>
    <n v="30.0333559308581"/>
    <x v="175"/>
  </r>
  <r>
    <x v="218"/>
    <x v="2"/>
    <n v="95801"/>
    <x v="139"/>
    <s v="UN"/>
    <n v="8"/>
    <s v="33,09"/>
    <n v="40.44"/>
    <x v="176"/>
    <s v="31,11"/>
    <n v="39.928961667051091"/>
    <x v="176"/>
  </r>
  <r>
    <x v="219"/>
    <x v="2"/>
    <n v="95802"/>
    <x v="140"/>
    <s v="UN"/>
    <n v="18"/>
    <s v="36,95"/>
    <n v="45.16"/>
    <x v="177"/>
    <s v="34,80"/>
    <n v="44.664990871532552"/>
    <x v="177"/>
  </r>
  <r>
    <x v="220"/>
    <x v="1"/>
    <s v="SEPLAG INC 37"/>
    <x v="141"/>
    <s v="UND"/>
    <n v="1"/>
    <n v="9.2200000000000006"/>
    <n v="11.26"/>
    <x v="178"/>
    <n v="9.02"/>
    <n v="11.576960277621369"/>
    <x v="178"/>
  </r>
  <r>
    <x v="221"/>
    <x v="1"/>
    <s v="SEPLAG INC 34"/>
    <x v="142"/>
    <s v="UND"/>
    <n v="4"/>
    <n v="108.38"/>
    <n v="132.46"/>
    <x v="179"/>
    <n v="106.69"/>
    <n v="136.9341343702244"/>
    <x v="179"/>
  </r>
  <r>
    <x v="222"/>
    <x v="1"/>
    <s v="SEPLAG INC 35"/>
    <x v="143"/>
    <s v="UND"/>
    <n v="1"/>
    <n v="169.81"/>
    <n v="207.55"/>
    <x v="180"/>
    <n v="165.82"/>
    <n v="212.82611454935426"/>
    <x v="180"/>
  </r>
  <r>
    <x v="223"/>
    <x v="1"/>
    <s v="SEPLAG INC 41"/>
    <x v="144"/>
    <s v="M"/>
    <n v="105"/>
    <n v="10.73"/>
    <n v="13.11"/>
    <x v="181"/>
    <n v="10.530000000000001"/>
    <n v="13.515010168886146"/>
    <x v="181"/>
  </r>
  <r>
    <x v="224"/>
    <x v="2"/>
    <n v="91926"/>
    <x v="145"/>
    <s v="M"/>
    <n v="140"/>
    <s v="4,11"/>
    <n v="5.0199999999999996"/>
    <x v="182"/>
    <s v="3,99"/>
    <n v="5.1210722292360611"/>
    <x v="182"/>
  </r>
  <r>
    <x v="225"/>
    <x v="1"/>
    <s v="SEPLAG INC 45"/>
    <x v="146"/>
    <s v="UND"/>
    <n v="1"/>
    <n v="1730.6599999999999"/>
    <n v="2115.31"/>
    <x v="183"/>
    <n v="1728.32"/>
    <n v="2218.2585351461826"/>
    <x v="183"/>
  </r>
  <r>
    <x v="226"/>
    <x v="2"/>
    <n v="95758"/>
    <x v="147"/>
    <s v="UN"/>
    <n v="2"/>
    <s v="10,17"/>
    <n v="12.43"/>
    <x v="184"/>
    <s v="9,36"/>
    <n v="12.013342372343239"/>
    <x v="184"/>
  </r>
  <r>
    <x v="227"/>
    <x v="2"/>
    <n v="95757"/>
    <x v="148"/>
    <s v="UN"/>
    <n v="6"/>
    <s v="9,05"/>
    <n v="11.06"/>
    <x v="185"/>
    <s v="8,32"/>
    <n v="10.678526553193992"/>
    <x v="185"/>
  </r>
  <r>
    <x v="228"/>
    <x v="0"/>
    <m/>
    <x v="0"/>
    <m/>
    <m/>
    <m/>
    <m/>
    <x v="186"/>
    <m/>
    <m/>
    <x v="186"/>
  </r>
  <r>
    <x v="0"/>
    <x v="0"/>
    <m/>
    <x v="0"/>
    <m/>
    <m/>
    <m/>
    <m/>
    <x v="0"/>
    <m/>
    <m/>
    <x v="0"/>
  </r>
  <r>
    <x v="229"/>
    <x v="0"/>
    <m/>
    <x v="149"/>
    <m/>
    <m/>
    <m/>
    <m/>
    <x v="0"/>
    <m/>
    <m/>
    <x v="0"/>
  </r>
  <r>
    <x v="230"/>
    <x v="2"/>
    <n v="91935"/>
    <x v="150"/>
    <s v="M"/>
    <n v="69"/>
    <s v="25,49"/>
    <n v="31.15"/>
    <x v="187"/>
    <s v="25,03"/>
    <n v="32.125423032024713"/>
    <x v="187"/>
  </r>
  <r>
    <x v="231"/>
    <x v="2"/>
    <n v="92984"/>
    <x v="151"/>
    <s v="M"/>
    <n v="214"/>
    <s v="29,67"/>
    <n v="36.26"/>
    <x v="188"/>
    <s v="29,43"/>
    <n v="37.772720728425377"/>
    <x v="188"/>
  </r>
  <r>
    <x v="232"/>
    <x v="2"/>
    <n v="92986"/>
    <x v="152"/>
    <s v="M"/>
    <n v="270"/>
    <s v="40,36"/>
    <n v="49.33"/>
    <x v="189"/>
    <s v="40,08"/>
    <n v="51.441748107213357"/>
    <x v="189"/>
  </r>
  <r>
    <x v="233"/>
    <x v="2"/>
    <n v="92990"/>
    <x v="153"/>
    <s v="M"/>
    <n v="724.3"/>
    <s v="78,23"/>
    <n v="95.61"/>
    <x v="190"/>
    <s v="77,82"/>
    <n v="99.880160621340906"/>
    <x v="190"/>
  </r>
  <r>
    <x v="234"/>
    <x v="2"/>
    <n v="91929"/>
    <x v="154"/>
    <s v="M"/>
    <n v="10"/>
    <s v="7,82"/>
    <n v="9.5500000000000007"/>
    <x v="191"/>
    <s v="7,66"/>
    <n v="9.8314318987338911"/>
    <x v="191"/>
  </r>
  <r>
    <x v="235"/>
    <x v="2"/>
    <n v="91933"/>
    <x v="155"/>
    <s v="M"/>
    <n v="187.5"/>
    <s v="16,70"/>
    <n v="20.41"/>
    <x v="192"/>
    <s v="16,39"/>
    <n v="21.03618391909249"/>
    <x v="192"/>
  </r>
  <r>
    <x v="236"/>
    <x v="2"/>
    <n v="92988"/>
    <x v="156"/>
    <s v="M"/>
    <n v="70.5"/>
    <s v="56,88"/>
    <n v="69.52"/>
    <x v="193"/>
    <s v="56,56"/>
    <n v="72.593444933732229"/>
    <x v="193"/>
  </r>
  <r>
    <x v="237"/>
    <x v="2"/>
    <n v="92994"/>
    <x v="157"/>
    <s v="M"/>
    <n v="571"/>
    <s v="134,15"/>
    <n v="163.96"/>
    <x v="194"/>
    <s v="133,57"/>
    <n v="171.43398938823574"/>
    <x v="194"/>
  </r>
  <r>
    <x v="0"/>
    <x v="0"/>
    <m/>
    <x v="0"/>
    <m/>
    <m/>
    <m/>
    <m/>
    <x v="0"/>
    <m/>
    <m/>
    <x v="0"/>
  </r>
  <r>
    <x v="0"/>
    <x v="0"/>
    <m/>
    <x v="158"/>
    <m/>
    <m/>
    <m/>
    <m/>
    <x v="0"/>
    <m/>
    <m/>
    <x v="0"/>
  </r>
  <r>
    <x v="238"/>
    <x v="2"/>
    <n v="91926"/>
    <x v="145"/>
    <s v="M"/>
    <n v="1536"/>
    <s v="4,11"/>
    <n v="5.0199999999999996"/>
    <x v="195"/>
    <s v="3,99"/>
    <n v="5.1210722292360611"/>
    <x v="195"/>
  </r>
  <r>
    <x v="239"/>
    <x v="2"/>
    <n v="91928"/>
    <x v="159"/>
    <s v="M"/>
    <n v="896"/>
    <s v="6,82"/>
    <n v="8.33"/>
    <x v="196"/>
    <s v="6,66"/>
    <n v="8.547955149551921"/>
    <x v="196"/>
  </r>
  <r>
    <x v="240"/>
    <x v="2"/>
    <n v="91931"/>
    <x v="160"/>
    <s v="M"/>
    <n v="423"/>
    <s v="10,58"/>
    <n v="12.93"/>
    <x v="197"/>
    <s v="10,37"/>
    <n v="13.309653889017028"/>
    <x v="197"/>
  </r>
  <r>
    <x v="241"/>
    <x v="1"/>
    <s v="SEPLAG ELE 10"/>
    <x v="161"/>
    <s v="UND"/>
    <n v="20"/>
    <n v="19.759999999999998"/>
    <n v="24.15"/>
    <x v="198"/>
    <n v="18.549999999999997"/>
    <n v="23.808493697325542"/>
    <x v="198"/>
  </r>
  <r>
    <x v="242"/>
    <x v="1"/>
    <s v="SEPLAG SPDA 16"/>
    <x v="162"/>
    <s v="UND"/>
    <n v="16"/>
    <n v="6.2200000000000006"/>
    <n v="7.6"/>
    <x v="199"/>
    <n v="5.82"/>
    <n v="7.4698346802390665"/>
    <x v="199"/>
  </r>
  <r>
    <x v="243"/>
    <x v="1"/>
    <s v="SEPLAG ELE 07"/>
    <x v="163"/>
    <s v="UND"/>
    <n v="12"/>
    <n v="14.71"/>
    <n v="17.97"/>
    <x v="200"/>
    <n v="13.5"/>
    <n v="17.326936113956595"/>
    <x v="200"/>
  </r>
  <r>
    <x v="244"/>
    <x v="1"/>
    <s v="SEPLAG ELE 06"/>
    <x v="164"/>
    <s v="UND"/>
    <n v="16"/>
    <n v="13.809999999999999"/>
    <n v="16.87"/>
    <x v="201"/>
    <n v="12.6"/>
    <n v="16.171807039692823"/>
    <x v="201"/>
  </r>
  <r>
    <x v="0"/>
    <x v="0"/>
    <m/>
    <x v="0"/>
    <m/>
    <m/>
    <m/>
    <m/>
    <x v="0"/>
    <m/>
    <m/>
    <x v="0"/>
  </r>
  <r>
    <x v="0"/>
    <x v="0"/>
    <m/>
    <x v="165"/>
    <m/>
    <m/>
    <m/>
    <m/>
    <x v="0"/>
    <m/>
    <m/>
    <x v="0"/>
  </r>
  <r>
    <x v="245"/>
    <x v="2"/>
    <n v="91953"/>
    <x v="166"/>
    <s v="UN"/>
    <n v="4"/>
    <s v="21,11"/>
    <n v="25.8"/>
    <x v="202"/>
    <s v="19,92"/>
    <n v="25.566856843704848"/>
    <x v="202"/>
  </r>
  <r>
    <x v="246"/>
    <x v="2"/>
    <n v="91967"/>
    <x v="167"/>
    <s v="UN"/>
    <n v="1"/>
    <s v="45,68"/>
    <n v="55.83"/>
    <x v="203"/>
    <s v="43,18"/>
    <n v="55.420526029677468"/>
    <x v="203"/>
  </r>
  <r>
    <x v="247"/>
    <x v="2"/>
    <n v="92868"/>
    <x v="168"/>
    <s v="UN"/>
    <n v="18"/>
    <s v="11,99"/>
    <n v="14.65"/>
    <x v="204"/>
    <s v="11,00"/>
    <n v="14.118244241001671"/>
    <x v="204"/>
  </r>
  <r>
    <x v="248"/>
    <x v="2"/>
    <n v="91969"/>
    <x v="169"/>
    <s v="UN"/>
    <n v="2"/>
    <s v="60,58"/>
    <n v="74.040000000000006"/>
    <x v="205"/>
    <s v="57,10"/>
    <n v="73.286522378290499"/>
    <x v="205"/>
  </r>
  <r>
    <x v="249"/>
    <x v="2"/>
    <n v="91993"/>
    <x v="170"/>
    <s v="UN"/>
    <n v="13"/>
    <s v="34,29"/>
    <n v="41.91"/>
    <x v="206"/>
    <s v="32,02"/>
    <n v="41.096925508806684"/>
    <x v="206"/>
  </r>
  <r>
    <x v="250"/>
    <x v="2"/>
    <n v="95778"/>
    <x v="171"/>
    <s v="UN"/>
    <n v="34"/>
    <s v="24,26"/>
    <n v="29.65"/>
    <x v="207"/>
    <s v="22,88"/>
    <n v="29.365948021283472"/>
    <x v="207"/>
  </r>
  <r>
    <x v="251"/>
    <x v="2"/>
    <n v="95781"/>
    <x v="172"/>
    <s v="UN"/>
    <n v="19"/>
    <s v="27,42"/>
    <n v="33.51"/>
    <x v="208"/>
    <s v="26,00"/>
    <n v="33.370395478731226"/>
    <x v="208"/>
  </r>
  <r>
    <x v="252"/>
    <x v="2"/>
    <n v="95779"/>
    <x v="173"/>
    <s v="UN"/>
    <n v="57"/>
    <s v="22,25"/>
    <n v="27.19"/>
    <x v="209"/>
    <s v="20,87"/>
    <n v="26.786159755427718"/>
    <x v="209"/>
  </r>
  <r>
    <x v="253"/>
    <x v="2"/>
    <n v="95791"/>
    <x v="174"/>
    <s v="UN"/>
    <n v="9"/>
    <s v="38,46"/>
    <n v="47"/>
    <x v="210"/>
    <s v="36,75"/>
    <n v="47.167770532437402"/>
    <x v="210"/>
  </r>
  <r>
    <x v="254"/>
    <x v="2"/>
    <n v="95787"/>
    <x v="175"/>
    <s v="UN"/>
    <n v="9"/>
    <s v="23,82"/>
    <n v="29.11"/>
    <x v="211"/>
    <s v="22,32"/>
    <n v="28.647201041741575"/>
    <x v="211"/>
  </r>
  <r>
    <x v="255"/>
    <x v="2"/>
    <n v="95795"/>
    <x v="176"/>
    <s v="UN"/>
    <n v="5"/>
    <s v="27,50"/>
    <n v="33.61"/>
    <x v="212"/>
    <s v="25,76"/>
    <n v="33.06236105892755"/>
    <x v="212"/>
  </r>
  <r>
    <x v="256"/>
    <x v="2"/>
    <n v="93653"/>
    <x v="177"/>
    <s v="UN"/>
    <n v="11"/>
    <s v="11,75"/>
    <n v="14.36"/>
    <x v="213"/>
    <s v="11,61"/>
    <n v="14.901165058002672"/>
    <x v="213"/>
  </r>
  <r>
    <x v="257"/>
    <x v="2"/>
    <n v="93654"/>
    <x v="178"/>
    <s v="UN"/>
    <n v="2"/>
    <s v="12,24"/>
    <n v="14.96"/>
    <x v="214"/>
    <s v="12,04"/>
    <n v="15.453060060150918"/>
    <x v="214"/>
  </r>
  <r>
    <x v="258"/>
    <x v="2"/>
    <n v="93661"/>
    <x v="179"/>
    <s v="UN"/>
    <n v="6"/>
    <s v="60,48"/>
    <n v="73.92"/>
    <x v="215"/>
    <s v="60,09"/>
    <n v="77.12411785834459"/>
    <x v="215"/>
  </r>
  <r>
    <x v="259"/>
    <x v="2"/>
    <n v="93662"/>
    <x v="180"/>
    <s v="UN"/>
    <n v="2"/>
    <s v="62,38"/>
    <n v="76.239999999999995"/>
    <x v="216"/>
    <s v="61,85"/>
    <n v="79.383036936904858"/>
    <x v="216"/>
  </r>
  <r>
    <x v="260"/>
    <x v="2"/>
    <n v="93669"/>
    <x v="181"/>
    <s v="UN"/>
    <n v="9"/>
    <s v="78,38"/>
    <n v="95.8"/>
    <x v="217"/>
    <s v="77,59"/>
    <n v="99.584960969029055"/>
    <x v="217"/>
  </r>
  <r>
    <x v="261"/>
    <x v="2"/>
    <n v="93670"/>
    <x v="182"/>
    <s v="UN"/>
    <n v="10"/>
    <s v="78,38"/>
    <n v="95.8"/>
    <x v="218"/>
    <s v="77,59"/>
    <n v="99.584960969029055"/>
    <x v="218"/>
  </r>
  <r>
    <x v="262"/>
    <x v="2"/>
    <n v="101895"/>
    <x v="183"/>
    <s v="UN"/>
    <n v="3"/>
    <s v="432,90"/>
    <n v="529.11"/>
    <x v="219"/>
    <s v="427,62"/>
    <n v="548.84032748519405"/>
    <x v="219"/>
  </r>
  <r>
    <x v="263"/>
    <x v="2"/>
    <s v="SEPLAG ELE 22"/>
    <x v="184"/>
    <s v="UND"/>
    <n v="7"/>
    <n v="496.52000000000004"/>
    <n v="606.87"/>
    <x v="220"/>
    <n v="488.54"/>
    <n v="627.02973104535965"/>
    <x v="220"/>
  </r>
  <r>
    <x v="264"/>
    <x v="1"/>
    <s v="SEPLAG ELE 24"/>
    <x v="185"/>
    <s v="UND"/>
    <n v="27"/>
    <n v="297.39"/>
    <n v="363.48"/>
    <x v="221"/>
    <n v="277.44000000000005"/>
    <n v="356.08778929304583"/>
    <x v="221"/>
  </r>
  <r>
    <x v="265"/>
    <x v="2"/>
    <n v="95758"/>
    <x v="147"/>
    <s v="UN"/>
    <n v="8"/>
    <s v="10,17"/>
    <n v="12.43"/>
    <x v="222"/>
    <s v="9,36"/>
    <n v="12.013342372343239"/>
    <x v="222"/>
  </r>
  <r>
    <x v="266"/>
    <x v="2"/>
    <n v="95757"/>
    <x v="148"/>
    <s v="UN"/>
    <n v="40"/>
    <s v="9,05"/>
    <n v="11.06"/>
    <x v="223"/>
    <s v="8,32"/>
    <n v="10.678526553193992"/>
    <x v="223"/>
  </r>
  <r>
    <x v="267"/>
    <x v="2"/>
    <n v="95755"/>
    <x v="186"/>
    <s v="UN"/>
    <n v="4"/>
    <s v="10,95"/>
    <n v="13.38"/>
    <x v="224"/>
    <s v="10,23"/>
    <n v="13.129967144131555"/>
    <x v="224"/>
  </r>
  <r>
    <x v="268"/>
    <x v="2"/>
    <s v="SEPLAG ELE 01"/>
    <x v="187"/>
    <s v="UND"/>
    <n v="16.666666666666668"/>
    <n v="176.04000000000002"/>
    <n v="215.16"/>
    <x v="225"/>
    <n v="173.17999999999998"/>
    <n v="222.27250342333355"/>
    <x v="225"/>
  </r>
  <r>
    <x v="269"/>
    <x v="2"/>
    <s v="SEPLAG ELE 02"/>
    <x v="188"/>
    <s v="UND"/>
    <n v="11.5"/>
    <n v="226.12"/>
    <n v="276.37"/>
    <x v="226"/>
    <n v="223.25999999999996"/>
    <n v="286.54901902236656"/>
    <x v="226"/>
  </r>
  <r>
    <x v="270"/>
    <x v="2"/>
    <s v="SEPLAG ELE 72"/>
    <x v="189"/>
    <s v="UND"/>
    <n v="9"/>
    <n v="9.57"/>
    <n v="11.69"/>
    <x v="227"/>
    <n v="9.09"/>
    <n v="11.666803650064107"/>
    <x v="227"/>
  </r>
  <r>
    <x v="271"/>
    <x v="2"/>
    <s v="SEPLAG ELE 78"/>
    <x v="190"/>
    <s v="UND"/>
    <n v="6"/>
    <n v="75.63"/>
    <n v="92.43"/>
    <x v="228"/>
    <n v="71.72"/>
    <n v="92.050952451330886"/>
    <x v="228"/>
  </r>
  <r>
    <x v="272"/>
    <x v="2"/>
    <s v="SEPLAG ELE 77"/>
    <x v="191"/>
    <s v="UND"/>
    <n v="3"/>
    <n v="108.98"/>
    <n v="133.19999999999999"/>
    <x v="229"/>
    <n v="105.07"/>
    <n v="134.85490203654959"/>
    <x v="229"/>
  </r>
  <r>
    <x v="273"/>
    <x v="1"/>
    <s v="SEPLAG ELE 54"/>
    <x v="192"/>
    <s v="UND"/>
    <n v="31.666666666666668"/>
    <n v="76.09"/>
    <n v="93"/>
    <x v="230"/>
    <n v="73.819999999999993"/>
    <n v="94.746253624613018"/>
    <x v="230"/>
  </r>
  <r>
    <x v="274"/>
    <x v="2"/>
    <s v="SEPLAG ELE 82"/>
    <x v="193"/>
    <s v="UND"/>
    <n v="4"/>
    <n v="77.67"/>
    <n v="94.93"/>
    <x v="231"/>
    <n v="74.929999999999993"/>
    <n v="96.170912816205004"/>
    <x v="231"/>
  </r>
  <r>
    <x v="275"/>
    <x v="2"/>
    <s v="SEPLAG ELE 83"/>
    <x v="194"/>
    <s v="UND"/>
    <n v="8"/>
    <n v="53.760000000000005"/>
    <n v="65.7"/>
    <x v="232"/>
    <n v="51.49"/>
    <n v="66.086217815379641"/>
    <x v="232"/>
  </r>
  <r>
    <x v="276"/>
    <x v="2"/>
    <s v="SEPLAG ELE 84"/>
    <x v="195"/>
    <s v="UND"/>
    <n v="111"/>
    <n v="8.2100000000000009"/>
    <n v="10.029999999999999"/>
    <x v="233"/>
    <n v="7.81"/>
    <n v="10.023953411111187"/>
    <x v="233"/>
  </r>
  <r>
    <x v="277"/>
    <x v="2"/>
    <n v="91170"/>
    <x v="196"/>
    <s v="M"/>
    <n v="150"/>
    <s v="2,99"/>
    <n v="3.65"/>
    <x v="234"/>
    <s v="2,81"/>
    <n v="3.6065696652013362"/>
    <x v="234"/>
  </r>
  <r>
    <x v="278"/>
    <x v="2"/>
    <n v="91171"/>
    <x v="197"/>
    <s v="M"/>
    <n v="23"/>
    <s v="3,77"/>
    <n v="4.5999999999999996"/>
    <x v="235"/>
    <s v="3,56"/>
    <n v="4.5691772270878133"/>
    <x v="235"/>
  </r>
  <r>
    <x v="279"/>
    <x v="2"/>
    <n v="91172"/>
    <x v="198"/>
    <s v="M"/>
    <n v="14"/>
    <s v="5,52"/>
    <n v="6.74"/>
    <x v="236"/>
    <s v="5,21"/>
    <n v="6.6869138632380638"/>
    <x v="236"/>
  </r>
  <r>
    <x v="280"/>
    <x v="1"/>
    <s v="SEPLAG ELE 74"/>
    <x v="199"/>
    <s v="UND"/>
    <n v="1"/>
    <n v="108.98"/>
    <n v="133.19999999999999"/>
    <x v="237"/>
    <n v="105.07"/>
    <n v="134.85490203654959"/>
    <x v="237"/>
  </r>
  <r>
    <x v="281"/>
    <x v="1"/>
    <s v="SEPLAG ELE 03"/>
    <x v="200"/>
    <s v="UND"/>
    <n v="1.6666666666666667"/>
    <n v="393.93999999999994"/>
    <n v="481.49"/>
    <x v="238"/>
    <n v="391.08"/>
    <n v="501.94208707008482"/>
    <x v="238"/>
  </r>
  <r>
    <x v="282"/>
    <x v="1"/>
    <s v="SEPLAG ELE 04"/>
    <x v="201"/>
    <s v="UND"/>
    <n v="1"/>
    <n v="426.29999999999995"/>
    <n v="521.04999999999995"/>
    <x v="239"/>
    <n v="423.44"/>
    <n v="543.47539467361344"/>
    <x v="239"/>
  </r>
  <r>
    <x v="283"/>
    <x v="1"/>
    <s v="SEPLAG ELE 79"/>
    <x v="202"/>
    <s v="UND"/>
    <n v="5.4666666666666659"/>
    <n v="197.36"/>
    <n v="241.22"/>
    <x v="240"/>
    <n v="194.49999999999997"/>
    <n v="249.63622771589314"/>
    <x v="240"/>
  </r>
  <r>
    <x v="284"/>
    <x v="2"/>
    <n v="93667"/>
    <x v="203"/>
    <s v="UN"/>
    <n v="4"/>
    <s v="74,08"/>
    <n v="90.54"/>
    <x v="241"/>
    <s v="73,67"/>
    <n v="94.553732112235735"/>
    <x v="241"/>
  </r>
  <r>
    <x v="285"/>
    <x v="2"/>
    <n v="93668"/>
    <x v="204"/>
    <s v="UN"/>
    <n v="1"/>
    <s v="75,53"/>
    <n v="92.31"/>
    <x v="242"/>
    <s v="74,95"/>
    <n v="96.196582351188653"/>
    <x v="242"/>
  </r>
  <r>
    <x v="286"/>
    <x v="2"/>
    <n v="91879"/>
    <x v="205"/>
    <s v="UN"/>
    <n v="13"/>
    <s v="6,34"/>
    <n v="7.74"/>
    <x v="243"/>
    <s v="5,80"/>
    <n v="7.4441651452554263"/>
    <x v="243"/>
  </r>
  <r>
    <x v="287"/>
    <x v="2"/>
    <n v="91880"/>
    <x v="206"/>
    <s v="UN"/>
    <n v="4"/>
    <s v="8,05"/>
    <n v="9.83"/>
    <x v="244"/>
    <s v="7,39"/>
    <n v="9.4848931764547579"/>
    <x v="244"/>
  </r>
  <r>
    <x v="288"/>
    <x v="2"/>
    <n v="93013"/>
    <x v="207"/>
    <s v="UN"/>
    <n v="6"/>
    <s v="12,01"/>
    <n v="14.67"/>
    <x v="245"/>
    <s v="11,12"/>
    <n v="14.272261450903507"/>
    <x v="245"/>
  </r>
  <r>
    <x v="289"/>
    <x v="0"/>
    <m/>
    <x v="0"/>
    <m/>
    <m/>
    <m/>
    <m/>
    <x v="246"/>
    <m/>
    <m/>
    <x v="246"/>
  </r>
  <r>
    <x v="0"/>
    <x v="0"/>
    <m/>
    <x v="0"/>
    <m/>
    <m/>
    <m/>
    <m/>
    <x v="0"/>
    <m/>
    <m/>
    <x v="0"/>
  </r>
  <r>
    <x v="290"/>
    <x v="0"/>
    <m/>
    <x v="132"/>
    <m/>
    <m/>
    <m/>
    <m/>
    <x v="0"/>
    <m/>
    <m/>
    <x v="0"/>
  </r>
  <r>
    <x v="291"/>
    <x v="2"/>
    <n v="97669"/>
    <x v="208"/>
    <s v="M"/>
    <n v="406"/>
    <s v="13,56"/>
    <n v="16.57"/>
    <x v="247"/>
    <s v="12,96"/>
    <n v="16.633858669398332"/>
    <x v="247"/>
  </r>
  <r>
    <x v="292"/>
    <x v="2"/>
    <n v="93358"/>
    <x v="209"/>
    <s v="M3"/>
    <n v="48.3"/>
    <s v="66,57"/>
    <n v="81.36"/>
    <x v="248"/>
    <s v="59,97"/>
    <n v="76.970100648442752"/>
    <x v="248"/>
  </r>
  <r>
    <x v="293"/>
    <x v="2"/>
    <n v="93382"/>
    <x v="24"/>
    <s v="M3"/>
    <n v="48.3"/>
    <s v="23,85"/>
    <n v="29.15"/>
    <x v="249"/>
    <s v="21,84"/>
    <n v="28.031132202134227"/>
    <x v="249"/>
  </r>
  <r>
    <x v="294"/>
    <x v="2"/>
    <n v="92397"/>
    <x v="210"/>
    <s v="M2"/>
    <n v="46.2"/>
    <s v="68,43"/>
    <n v="83.63"/>
    <x v="250"/>
    <s v="67,83"/>
    <n v="87.058227897013026"/>
    <x v="250"/>
  </r>
  <r>
    <x v="295"/>
    <x v="2"/>
    <n v="94992"/>
    <x v="211"/>
    <s v="M2"/>
    <n v="34.299999999999997"/>
    <s v="102,18"/>
    <n v="124.89"/>
    <x v="251"/>
    <s v="100,30"/>
    <n v="128.73271794295158"/>
    <x v="251"/>
  </r>
  <r>
    <x v="296"/>
    <x v="2"/>
    <n v="101811"/>
    <x v="212"/>
    <s v="M3"/>
    <n v="2.7"/>
    <s v="938,83"/>
    <n v="1147.49"/>
    <x v="252"/>
    <s v="914,02"/>
    <n v="1173.1234182873043"/>
    <x v="252"/>
  </r>
  <r>
    <x v="297"/>
    <x v="2"/>
    <n v="102996"/>
    <x v="213"/>
    <s v="M"/>
    <n v="132"/>
    <s v="63,32"/>
    <n v="77.39"/>
    <x v="253"/>
    <s v="60,98"/>
    <n v="78.266412165116535"/>
    <x v="253"/>
  </r>
  <r>
    <x v="298"/>
    <x v="2"/>
    <n v="93011"/>
    <x v="214"/>
    <s v="M"/>
    <n v="29"/>
    <s v="36,19"/>
    <n v="44.23"/>
    <x v="254"/>
    <s v="35,51"/>
    <n v="45.576259363451754"/>
    <x v="254"/>
  </r>
  <r>
    <x v="299"/>
    <x v="2"/>
    <n v="91865"/>
    <x v="215"/>
    <s v="M"/>
    <n v="19.3"/>
    <s v="16,48"/>
    <n v="20.14"/>
    <x v="255"/>
    <s v="15,76"/>
    <n v="20.227593567107849"/>
    <x v="255"/>
  </r>
  <r>
    <x v="300"/>
    <x v="2"/>
    <n v="91868"/>
    <x v="216"/>
    <s v="M"/>
    <n v="59.1"/>
    <s v="11,16"/>
    <n v="13.64"/>
    <x v="256"/>
    <s v="10,66"/>
    <n v="13.681862146279801"/>
    <x v="256"/>
  </r>
  <r>
    <x v="301"/>
    <x v="2"/>
    <n v="91867"/>
    <x v="217"/>
    <s v="M"/>
    <n v="218"/>
    <s v="7,96"/>
    <n v="9.7200000000000006"/>
    <x v="257"/>
    <s v="7,55"/>
    <n v="9.6902494563238744"/>
    <x v="257"/>
  </r>
  <r>
    <x v="302"/>
    <x v="2"/>
    <n v="97599"/>
    <x v="218"/>
    <s v="UN"/>
    <n v="9"/>
    <s v="23,86"/>
    <n v="29.16"/>
    <x v="258"/>
    <s v="23,32"/>
    <n v="29.930677790923543"/>
    <x v="258"/>
  </r>
  <r>
    <x v="303"/>
    <x v="1"/>
    <s v="SEPLAG ELE 89"/>
    <x v="219"/>
    <s v="UND"/>
    <n v="42"/>
    <n v="62.25"/>
    <n v="76.08"/>
    <x v="259"/>
    <n v="60.89"/>
    <n v="78.150899257690156"/>
    <x v="259"/>
  </r>
  <r>
    <x v="304"/>
    <x v="1"/>
    <s v="SEPLAG ELE 90"/>
    <x v="220"/>
    <s v="UND"/>
    <n v="7"/>
    <n v="136.27000000000001"/>
    <n v="166.55"/>
    <x v="260"/>
    <n v="134.91"/>
    <n v="173.15384823213958"/>
    <x v="260"/>
  </r>
  <r>
    <x v="305"/>
    <x v="1"/>
    <s v="SEPLAG ELE 91"/>
    <x v="221"/>
    <s v="UND"/>
    <n v="11"/>
    <n v="292.90999999999997"/>
    <n v="358.01"/>
    <x v="261"/>
    <n v="291.54999999999995"/>
    <n v="374.19764622400334"/>
    <x v="261"/>
  </r>
  <r>
    <x v="306"/>
    <x v="1"/>
    <s v="SEPLAG ELE 94"/>
    <x v="222"/>
    <s v="UND"/>
    <n v="41"/>
    <n v="182.86"/>
    <n v="223.5"/>
    <x v="262"/>
    <n v="181.5"/>
    <n v="232.95102997652756"/>
    <x v="262"/>
  </r>
  <r>
    <x v="307"/>
    <x v="2"/>
    <n v="97891"/>
    <x v="223"/>
    <s v="UN"/>
    <n v="16"/>
    <s v="180,39"/>
    <n v="220.48"/>
    <x v="263"/>
    <s v="169,02"/>
    <n v="216.93324014673658"/>
    <x v="263"/>
  </r>
  <r>
    <x v="308"/>
    <x v="2"/>
    <n v="93008"/>
    <x v="224"/>
    <s v="M"/>
    <n v="25"/>
    <s v="14,23"/>
    <n v="17.39"/>
    <x v="264"/>
    <s v="13,79"/>
    <n v="17.699144371219365"/>
    <x v="264"/>
  </r>
  <r>
    <x v="309"/>
    <x v="2"/>
    <n v="93010"/>
    <x v="225"/>
    <s v="M"/>
    <n v="6"/>
    <s v="29,55"/>
    <n v="36.11"/>
    <x v="265"/>
    <s v="28,94"/>
    <n v="37.143817121326215"/>
    <x v="265"/>
  </r>
  <r>
    <x v="310"/>
    <x v="2"/>
    <n v="97892"/>
    <x v="226"/>
    <s v="UN"/>
    <n v="2"/>
    <s v="339,16"/>
    <n v="414.54"/>
    <x v="266"/>
    <s v="318,77"/>
    <n v="409.13388333673657"/>
    <x v="266"/>
  </r>
  <r>
    <x v="311"/>
    <x v="1"/>
    <s v="SEPLAG ELE 49"/>
    <x v="227"/>
    <s v="UND"/>
    <n v="6"/>
    <n v="56.94"/>
    <n v="69.59"/>
    <x v="267"/>
    <n v="56.73"/>
    <n v="72.811635981093161"/>
    <x v="267"/>
  </r>
  <r>
    <x v="312"/>
    <x v="1"/>
    <s v="SEPLAG ELE 59"/>
    <x v="228"/>
    <s v="UND"/>
    <n v="16"/>
    <n v="26.63"/>
    <n v="32.54"/>
    <x v="268"/>
    <n v="26.46"/>
    <n v="33.960794783354928"/>
    <x v="268"/>
  </r>
  <r>
    <x v="313"/>
    <x v="1"/>
    <s v="SEPLAG ELE 34"/>
    <x v="229"/>
    <s v="UND"/>
    <n v="1"/>
    <n v="1236.75"/>
    <n v="1511.63"/>
    <x v="269"/>
    <n v="1220.79"/>
    <n v="1566.8555806338572"/>
    <x v="269"/>
  </r>
  <r>
    <x v="314"/>
    <x v="1"/>
    <s v="SEPLAG ELE 69"/>
    <x v="230"/>
    <s v="M"/>
    <n v="161"/>
    <n v="10.06"/>
    <n v="12.29"/>
    <x v="270"/>
    <n v="9.5"/>
    <n v="12.193029117228715"/>
    <x v="270"/>
  </r>
  <r>
    <x v="315"/>
    <x v="2"/>
    <n v="101882"/>
    <x v="231"/>
    <s v="UN"/>
    <n v="10"/>
    <s v="1.589,62"/>
    <n v="1942.93"/>
    <x v="271"/>
    <s v="1.586,73"/>
    <n v="2036.5310622295074"/>
    <x v="271"/>
  </r>
  <r>
    <x v="316"/>
    <x v="0"/>
    <m/>
    <x v="0"/>
    <m/>
    <m/>
    <m/>
    <m/>
    <x v="272"/>
    <m/>
    <m/>
    <x v="272"/>
  </r>
  <r>
    <x v="0"/>
    <x v="0"/>
    <m/>
    <x v="0"/>
    <m/>
    <m/>
    <m/>
    <m/>
    <x v="0"/>
    <m/>
    <m/>
    <x v="0"/>
  </r>
  <r>
    <x v="317"/>
    <x v="0"/>
    <m/>
    <x v="0"/>
    <m/>
    <m/>
    <m/>
    <m/>
    <x v="273"/>
    <m/>
    <m/>
    <x v="273"/>
  </r>
  <r>
    <x v="0"/>
    <x v="0"/>
    <m/>
    <x v="0"/>
    <m/>
    <m/>
    <m/>
    <m/>
    <x v="0"/>
    <m/>
    <m/>
    <x v="0"/>
  </r>
  <r>
    <x v="318"/>
    <x v="0"/>
    <m/>
    <x v="232"/>
    <m/>
    <m/>
    <m/>
    <m/>
    <x v="0"/>
    <m/>
    <m/>
    <x v="0"/>
  </r>
  <r>
    <x v="319"/>
    <x v="0"/>
    <m/>
    <x v="233"/>
    <m/>
    <m/>
    <m/>
    <m/>
    <x v="0"/>
    <m/>
    <m/>
    <x v="0"/>
  </r>
  <r>
    <x v="320"/>
    <x v="2"/>
    <n v="90443"/>
    <x v="234"/>
    <s v="M"/>
    <n v="9.3000000000000007"/>
    <s v="10,65"/>
    <n v="13.01"/>
    <x v="274"/>
    <s v="9,48"/>
    <n v="12.167359582245076"/>
    <x v="274"/>
  </r>
  <r>
    <x v="321"/>
    <x v="2"/>
    <n v="90445"/>
    <x v="235"/>
    <s v="M"/>
    <n v="1.86"/>
    <s v="21,27"/>
    <n v="25.99"/>
    <x v="275"/>
    <s v="19,16"/>
    <n v="24.591414514326548"/>
    <x v="275"/>
  </r>
  <r>
    <x v="322"/>
    <x v="2"/>
    <n v="90446"/>
    <x v="236"/>
    <s v="M"/>
    <n v="14.12"/>
    <s v="23,10"/>
    <n v="28.23"/>
    <x v="276"/>
    <s v="20,81"/>
    <n v="26.709151150476796"/>
    <x v="276"/>
  </r>
  <r>
    <x v="323"/>
    <x v="2"/>
    <n v="90468"/>
    <x v="237"/>
    <s v="M"/>
    <n v="9.3000000000000007"/>
    <s v="4,94"/>
    <n v="6.03"/>
    <x v="277"/>
    <s v="4,55"/>
    <n v="5.8398192087779641"/>
    <x v="277"/>
  </r>
  <r>
    <x v="324"/>
    <x v="2"/>
    <n v="90469"/>
    <x v="238"/>
    <s v="M"/>
    <n v="1.86"/>
    <s v="7,93"/>
    <n v="9.69"/>
    <x v="278"/>
    <s v="7,31"/>
    <n v="9.3822150365202006"/>
    <x v="278"/>
  </r>
  <r>
    <x v="325"/>
    <x v="2"/>
    <n v="90470"/>
    <x v="239"/>
    <s v="M"/>
    <n v="14.12"/>
    <s v="11,02"/>
    <n v="13.46"/>
    <x v="279"/>
    <s v="10,21"/>
    <n v="13.104297609147915"/>
    <x v="279"/>
  </r>
  <r>
    <x v="326"/>
    <x v="2"/>
    <n v="89367"/>
    <x v="240"/>
    <s v="UN"/>
    <n v="5"/>
    <s v="10,98"/>
    <n v="13.42"/>
    <x v="280"/>
    <s v="10,25"/>
    <n v="13.155636679115194"/>
    <x v="280"/>
  </r>
  <r>
    <x v="327"/>
    <x v="2"/>
    <n v="89368"/>
    <x v="241"/>
    <s v="UN"/>
    <n v="4"/>
    <s v="13,29"/>
    <n v="16.239999999999998"/>
    <x v="281"/>
    <s v="12,56"/>
    <n v="16.120467969725546"/>
    <x v="281"/>
  </r>
  <r>
    <x v="328"/>
    <x v="2"/>
    <n v="89391"/>
    <x v="242"/>
    <s v="UN"/>
    <n v="2"/>
    <s v="8,29"/>
    <n v="10.130000000000001"/>
    <x v="282"/>
    <s v="7,79"/>
    <n v="9.9982838761275463"/>
    <x v="282"/>
  </r>
  <r>
    <x v="329"/>
    <x v="2"/>
    <n v="94704"/>
    <x v="243"/>
    <s v="UN"/>
    <n v="2"/>
    <s v="22,93"/>
    <n v="28.02"/>
    <x v="283"/>
    <s v="22,37"/>
    <n v="28.711374879200672"/>
    <x v="283"/>
  </r>
  <r>
    <x v="330"/>
    <x v="2"/>
    <n v="94797"/>
    <x v="244"/>
    <s v="UN"/>
    <n v="1"/>
    <s v="95,51"/>
    <n v="116.73"/>
    <x v="284"/>
    <s v="94,46"/>
    <n v="121.23721372772889"/>
    <x v="284"/>
  </r>
  <r>
    <x v="331"/>
    <x v="2"/>
    <n v="89447"/>
    <x v="245"/>
    <s v="M"/>
    <n v="29"/>
    <s v="10,28"/>
    <n v="12.56"/>
    <x v="285"/>
    <s v="10,20"/>
    <n v="13.091462841656094"/>
    <x v="285"/>
  </r>
  <r>
    <x v="332"/>
    <x v="2"/>
    <n v="94495"/>
    <x v="246"/>
    <s v="UN"/>
    <n v="1"/>
    <s v="48,89"/>
    <n v="59.75"/>
    <x v="286"/>
    <s v="48,27"/>
    <n v="61.953422683013699"/>
    <x v="286"/>
  </r>
  <r>
    <x v="333"/>
    <x v="2"/>
    <n v="90436"/>
    <x v="247"/>
    <s v="UN"/>
    <n v="2"/>
    <s v="11,71"/>
    <n v="14.31"/>
    <x v="287"/>
    <s v="10,43"/>
    <n v="13.386662493967947"/>
    <x v="287"/>
  </r>
  <r>
    <x v="334"/>
    <x v="2"/>
    <n v="90439"/>
    <x v="248"/>
    <s v="UN"/>
    <n v="1"/>
    <s v="46,43"/>
    <n v="56.74"/>
    <x v="288"/>
    <s v="41,83"/>
    <n v="53.687832418281808"/>
    <x v="288"/>
  </r>
  <r>
    <x v="335"/>
    <x v="2"/>
    <n v="90438"/>
    <x v="249"/>
    <s v="UN"/>
    <n v="4"/>
    <s v="40,81"/>
    <n v="49.88"/>
    <x v="289"/>
    <s v="36,35"/>
    <n v="46.654379832764612"/>
    <x v="289"/>
  </r>
  <r>
    <x v="336"/>
    <x v="1"/>
    <s v="SEPLAG HIDR 65"/>
    <x v="250"/>
    <s v="UND"/>
    <n v="25.3"/>
    <n v="113.55"/>
    <n v="138.78"/>
    <x v="290"/>
    <n v="112.94999999999999"/>
    <n v="144.9686988201035"/>
    <x v="290"/>
  </r>
  <r>
    <x v="337"/>
    <x v="0"/>
    <m/>
    <x v="0"/>
    <m/>
    <m/>
    <m/>
    <m/>
    <x v="291"/>
    <m/>
    <m/>
    <x v="291"/>
  </r>
  <r>
    <x v="338"/>
    <x v="0"/>
    <m/>
    <x v="0"/>
    <m/>
    <m/>
    <m/>
    <m/>
    <x v="291"/>
    <m/>
    <m/>
    <x v="291"/>
  </r>
  <r>
    <x v="0"/>
    <x v="0"/>
    <m/>
    <x v="0"/>
    <m/>
    <m/>
    <m/>
    <m/>
    <x v="0"/>
    <m/>
    <m/>
    <x v="0"/>
  </r>
  <r>
    <x v="339"/>
    <x v="0"/>
    <m/>
    <x v="251"/>
    <m/>
    <m/>
    <m/>
    <m/>
    <x v="0"/>
    <m/>
    <m/>
    <x v="0"/>
  </r>
  <r>
    <x v="340"/>
    <x v="0"/>
    <m/>
    <x v="252"/>
    <m/>
    <m/>
    <m/>
    <m/>
    <x v="0"/>
    <m/>
    <m/>
    <x v="0"/>
  </r>
  <r>
    <x v="341"/>
    <x v="2"/>
    <n v="89511"/>
    <x v="253"/>
    <s v="M"/>
    <n v="9"/>
    <s v="45,52"/>
    <n v="55.63"/>
    <x v="292"/>
    <s v="44,19"/>
    <n v="56.716837546351258"/>
    <x v="292"/>
  </r>
  <r>
    <x v="342"/>
    <x v="2"/>
    <n v="89512"/>
    <x v="254"/>
    <s v="M"/>
    <n v="98"/>
    <s v="73,42"/>
    <n v="89.73"/>
    <x v="293"/>
    <s v="71,60"/>
    <n v="91.896935241429048"/>
    <x v="293"/>
  </r>
  <r>
    <x v="343"/>
    <x v="1"/>
    <s v="SEPLAG HIDR 50"/>
    <x v="255"/>
    <s v="UND"/>
    <n v="10"/>
    <n v="14.460000000000003"/>
    <n v="17.670000000000002"/>
    <x v="294"/>
    <n v="14.260000000000002"/>
    <n v="18.302378443334895"/>
    <x v="294"/>
  </r>
  <r>
    <x v="344"/>
    <x v="2"/>
    <n v="89850"/>
    <x v="256"/>
    <s v="UN"/>
    <n v="29"/>
    <s v="25,82"/>
    <n v="31.55"/>
    <x v="295"/>
    <s v="24,84"/>
    <n v="31.881562449680136"/>
    <x v="295"/>
  </r>
  <r>
    <x v="345"/>
    <x v="2"/>
    <n v="89805"/>
    <x v="257"/>
    <s v="UN"/>
    <n v="3"/>
    <s v="16,15"/>
    <n v="19.73"/>
    <x v="296"/>
    <s v="15,82"/>
    <n v="20.304602172058768"/>
    <x v="296"/>
  </r>
  <r>
    <x v="346"/>
    <x v="2"/>
    <n v="89851"/>
    <x v="258"/>
    <s v="UN"/>
    <n v="1"/>
    <s v="25,75"/>
    <n v="31.47"/>
    <x v="297"/>
    <s v="24,77"/>
    <n v="31.791719077237399"/>
    <x v="297"/>
  </r>
  <r>
    <x v="347"/>
    <x v="2"/>
    <n v="89806"/>
    <x v="259"/>
    <s v="UN"/>
    <n v="1"/>
    <s v="17,25"/>
    <n v="21.08"/>
    <x v="298"/>
    <s v="16,92"/>
    <n v="21.716426596158936"/>
    <x v="298"/>
  </r>
  <r>
    <x v="348"/>
    <x v="0"/>
    <m/>
    <x v="0"/>
    <m/>
    <m/>
    <m/>
    <m/>
    <x v="299"/>
    <m/>
    <m/>
    <x v="299"/>
  </r>
  <r>
    <x v="349"/>
    <x v="0"/>
    <m/>
    <x v="0"/>
    <m/>
    <m/>
    <m/>
    <m/>
    <x v="299"/>
    <m/>
    <m/>
    <x v="299"/>
  </r>
  <r>
    <x v="0"/>
    <x v="0"/>
    <m/>
    <x v="0"/>
    <m/>
    <m/>
    <m/>
    <m/>
    <x v="0"/>
    <m/>
    <m/>
    <x v="0"/>
  </r>
  <r>
    <x v="350"/>
    <x v="0"/>
    <m/>
    <x v="260"/>
    <m/>
    <m/>
    <m/>
    <m/>
    <x v="0"/>
    <m/>
    <m/>
    <x v="0"/>
  </r>
  <r>
    <x v="351"/>
    <x v="2"/>
    <n v="93358"/>
    <x v="209"/>
    <s v="M3"/>
    <n v="20.6"/>
    <s v="66,57"/>
    <n v="81.36"/>
    <x v="300"/>
    <s v="59,97"/>
    <n v="76.970100648442752"/>
    <x v="300"/>
  </r>
  <r>
    <x v="352"/>
    <x v="2"/>
    <n v="93382"/>
    <x v="24"/>
    <s v="M3"/>
    <n v="20.6"/>
    <s v="23,85"/>
    <n v="29.15"/>
    <x v="301"/>
    <s v="21,84"/>
    <n v="28.031132202134227"/>
    <x v="301"/>
  </r>
  <r>
    <x v="353"/>
    <x v="2"/>
    <n v="96985"/>
    <x v="261"/>
    <s v="UN"/>
    <n v="41"/>
    <s v="61,40"/>
    <n v="75.040000000000006"/>
    <x v="302"/>
    <s v="60,39"/>
    <n v="77.50916088309917"/>
    <x v="302"/>
  </r>
  <r>
    <x v="354"/>
    <x v="2"/>
    <n v="91872"/>
    <x v="262"/>
    <s v="M"/>
    <n v="15"/>
    <s v="13,75"/>
    <n v="16.8"/>
    <x v="303"/>
    <s v="12,97"/>
    <n v="16.646693436890153"/>
    <x v="303"/>
  </r>
  <r>
    <x v="355"/>
    <x v="1"/>
    <s v="SEPLAG SPDA 15"/>
    <x v="263"/>
    <s v="M"/>
    <n v="132"/>
    <n v="56.06"/>
    <n v="68.510000000000005"/>
    <x v="304"/>
    <n v="54.760000000000005"/>
    <n v="70.283186785204691"/>
    <x v="304"/>
  </r>
  <r>
    <x v="356"/>
    <x v="1"/>
    <s v="SEPLAG SPDA 01"/>
    <x v="264"/>
    <s v="UND"/>
    <n v="18"/>
    <n v="7.95"/>
    <n v="9.7100000000000009"/>
    <x v="305"/>
    <n v="7.55"/>
    <n v="9.6902494563238744"/>
    <x v="305"/>
  </r>
  <r>
    <x v="357"/>
    <x v="1"/>
    <s v="SEPLAG SPDA 05"/>
    <x v="265"/>
    <s v="UND"/>
    <n v="62"/>
    <n v="31.849999999999998"/>
    <n v="38.92"/>
    <x v="306"/>
    <n v="30.639999999999997"/>
    <n v="39.325727594935557"/>
    <x v="306"/>
  </r>
  <r>
    <x v="358"/>
    <x v="1"/>
    <s v="SEPLAG SPDA 12"/>
    <x v="266"/>
    <s v="UND"/>
    <n v="58"/>
    <n v="15.330000000000002"/>
    <n v="18.73"/>
    <x v="307"/>
    <n v="14.93"/>
    <n v="19.162307865286813"/>
    <x v="307"/>
  </r>
  <r>
    <x v="359"/>
    <x v="2"/>
    <n v="101749"/>
    <x v="267"/>
    <s v="M2"/>
    <n v="34.4"/>
    <s v="45,76"/>
    <n v="55.93"/>
    <x v="308"/>
    <s v="44,11"/>
    <n v="56.614159406416704"/>
    <x v="308"/>
  </r>
  <r>
    <x v="360"/>
    <x v="2"/>
    <n v="98463"/>
    <x v="268"/>
    <s v="UN"/>
    <n v="161"/>
    <s v="20,67"/>
    <n v="25.26"/>
    <x v="309"/>
    <s v="19,41"/>
    <n v="24.912283701622037"/>
    <x v="309"/>
  </r>
  <r>
    <x v="361"/>
    <x v="1"/>
    <s v="SEPLAG SPDA 16"/>
    <x v="162"/>
    <s v="UND"/>
    <n v="18"/>
    <n v="6.2200000000000006"/>
    <n v="7.6"/>
    <x v="310"/>
    <n v="5.82"/>
    <n v="7.4698346802390665"/>
    <x v="310"/>
  </r>
  <r>
    <x v="362"/>
    <x v="2"/>
    <n v="91885"/>
    <x v="269"/>
    <s v="UN"/>
    <n v="18"/>
    <s v="8,60"/>
    <n v="10.51"/>
    <x v="311"/>
    <s v="7,87"/>
    <n v="10.100962016062105"/>
    <x v="311"/>
  </r>
  <r>
    <x v="363"/>
    <x v="2"/>
    <n v="91917"/>
    <x v="270"/>
    <s v="UN"/>
    <n v="9"/>
    <s v="14,47"/>
    <n v="17.68"/>
    <x v="312"/>
    <s v="13,38"/>
    <n v="17.172918904054761"/>
    <x v="312"/>
  </r>
  <r>
    <x v="364"/>
    <x v="2"/>
    <n v="91168"/>
    <x v="271"/>
    <s v="M"/>
    <n v="15"/>
    <s v="8,86"/>
    <n v="10.82"/>
    <x v="313"/>
    <s v="8,35"/>
    <n v="10.717030855669449"/>
    <x v="313"/>
  </r>
  <r>
    <x v="365"/>
    <x v="2"/>
    <n v="95809"/>
    <x v="272"/>
    <s v="UN"/>
    <n v="9"/>
    <s v="26,81"/>
    <n v="32.76"/>
    <x v="314"/>
    <s v="25,32"/>
    <n v="32.497631289287483"/>
    <x v="314"/>
  </r>
  <r>
    <x v="366"/>
    <x v="2"/>
    <n v="98561"/>
    <x v="273"/>
    <s v="M2"/>
    <n v="19"/>
    <s v="35,10"/>
    <n v="42.9"/>
    <x v="315"/>
    <s v="32,66"/>
    <n v="41.918350628283136"/>
    <x v="315"/>
  </r>
  <r>
    <x v="367"/>
    <x v="1"/>
    <s v="SEPLAG SPDA 17"/>
    <x v="274"/>
    <s v="M"/>
    <n v="236"/>
    <n v="42.31"/>
    <n v="51.71"/>
    <x v="316"/>
    <n v="41.010000000000005"/>
    <n v="52.6353814839526"/>
    <x v="316"/>
  </r>
  <r>
    <x v="368"/>
    <x v="0"/>
    <m/>
    <x v="0"/>
    <m/>
    <m/>
    <m/>
    <m/>
    <x v="317"/>
    <m/>
    <m/>
    <x v="317"/>
  </r>
  <r>
    <x v="0"/>
    <x v="0"/>
    <m/>
    <x v="0"/>
    <m/>
    <m/>
    <m/>
    <m/>
    <x v="0"/>
    <m/>
    <m/>
    <x v="0"/>
  </r>
  <r>
    <x v="369"/>
    <x v="0"/>
    <m/>
    <x v="275"/>
    <m/>
    <m/>
    <m/>
    <m/>
    <x v="0"/>
    <m/>
    <m/>
    <x v="0"/>
  </r>
  <r>
    <x v="370"/>
    <x v="0"/>
    <m/>
    <x v="1"/>
    <m/>
    <m/>
    <m/>
    <m/>
    <x v="0"/>
    <m/>
    <m/>
    <x v="0"/>
  </r>
  <r>
    <x v="371"/>
    <x v="1"/>
    <s v="SEPLAG ARQ 07"/>
    <x v="19"/>
    <s v="m³"/>
    <n v="10.67"/>
    <n v="129.58000000000001"/>
    <n v="158.38"/>
    <x v="318"/>
    <n v="119.1"/>
    <n v="152.86208082757264"/>
    <x v="318"/>
  </r>
  <r>
    <x v="372"/>
    <x v="2"/>
    <n v="100206"/>
    <x v="276"/>
    <s v="M3XKM"/>
    <n v="3.2010000000000001"/>
    <s v="830,96"/>
    <n v="1015.65"/>
    <x v="319"/>
    <s v="748,50"/>
    <n v="960.68234676270458"/>
    <x v="319"/>
  </r>
  <r>
    <x v="373"/>
    <x v="2"/>
    <n v="96526"/>
    <x v="277"/>
    <s v="M3"/>
    <n v="3.38"/>
    <s v="241,37"/>
    <n v="295.01"/>
    <x v="320"/>
    <s v="216,67"/>
    <n v="278.09090724525743"/>
    <x v="320"/>
  </r>
  <r>
    <x v="374"/>
    <x v="2"/>
    <n v="101616"/>
    <x v="22"/>
    <s v="M2"/>
    <n v="2.16"/>
    <s v="4,86"/>
    <n v="5.94"/>
    <x v="321"/>
    <s v="4,37"/>
    <n v="5.6087933939252093"/>
    <x v="321"/>
  </r>
  <r>
    <x v="375"/>
    <x v="0"/>
    <m/>
    <x v="0"/>
    <m/>
    <m/>
    <m/>
    <m/>
    <x v="322"/>
    <m/>
    <m/>
    <x v="322"/>
  </r>
  <r>
    <x v="0"/>
    <x v="0"/>
    <m/>
    <x v="0"/>
    <m/>
    <m/>
    <m/>
    <m/>
    <x v="0"/>
    <m/>
    <m/>
    <x v="0"/>
  </r>
  <r>
    <x v="376"/>
    <x v="0"/>
    <m/>
    <x v="129"/>
    <m/>
    <m/>
    <m/>
    <m/>
    <x v="0"/>
    <m/>
    <m/>
    <x v="0"/>
  </r>
  <r>
    <x v="377"/>
    <x v="2"/>
    <n v="102473"/>
    <x v="278"/>
    <s v="M3"/>
    <n v="1.25925"/>
    <s v="456,78"/>
    <n v="558.29999999999995"/>
    <x v="323"/>
    <s v="450,40"/>
    <n v="578.07792783155924"/>
    <x v="323"/>
  </r>
  <r>
    <x v="378"/>
    <x v="2"/>
    <n v="96555"/>
    <x v="26"/>
    <s v="M3"/>
    <n v="8.92"/>
    <s v="606,83"/>
    <n v="741.7"/>
    <x v="324"/>
    <s v="591,38"/>
    <n v="759.02247993123342"/>
    <x v="324"/>
  </r>
  <r>
    <x v="379"/>
    <x v="2"/>
    <n v="96543"/>
    <x v="27"/>
    <s v="KG"/>
    <n v="87.5"/>
    <s v="18,45"/>
    <n v="22.55"/>
    <x v="325"/>
    <s v="17,73"/>
    <n v="22.75604276299633"/>
    <x v="325"/>
  </r>
  <r>
    <x v="380"/>
    <x v="2"/>
    <n v="96544"/>
    <x v="130"/>
    <s v="KG"/>
    <n v="51.8"/>
    <s v="17,53"/>
    <n v="21.42"/>
    <x v="326"/>
    <s v="17,01"/>
    <n v="21.831939503585314"/>
    <x v="326"/>
  </r>
  <r>
    <x v="381"/>
    <x v="2"/>
    <n v="96545"/>
    <x v="28"/>
    <s v="KG"/>
    <n v="36.799999999999997"/>
    <s v="16,54"/>
    <n v="20.21"/>
    <x v="327"/>
    <s v="16,16"/>
    <n v="20.740984266780636"/>
    <x v="327"/>
  </r>
  <r>
    <x v="382"/>
    <x v="2"/>
    <n v="96546"/>
    <x v="29"/>
    <s v="KG"/>
    <n v="324"/>
    <s v="14,85"/>
    <n v="18.149999999999999"/>
    <x v="328"/>
    <s v="14,57"/>
    <n v="18.700256235581303"/>
    <x v="328"/>
  </r>
  <r>
    <x v="383"/>
    <x v="2"/>
    <n v="92263"/>
    <x v="30"/>
    <s v="M2"/>
    <n v="82"/>
    <s v="175,96"/>
    <n v="215.06"/>
    <x v="329"/>
    <s v="172,32"/>
    <n v="221.16871341903709"/>
    <x v="329"/>
  </r>
  <r>
    <x v="384"/>
    <x v="2"/>
    <n v="98557"/>
    <x v="31"/>
    <s v="M2"/>
    <n v="82"/>
    <s v="58,82"/>
    <n v="71.89"/>
    <x v="330"/>
    <s v="57,84"/>
    <n v="74.236295172685146"/>
    <x v="330"/>
  </r>
  <r>
    <x v="385"/>
    <x v="2"/>
    <n v="96995"/>
    <x v="279"/>
    <s v="M3"/>
    <n v="3.38"/>
    <s v="40,36"/>
    <n v="49.33"/>
    <x v="331"/>
    <s v="36,36"/>
    <n v="46.667214600256429"/>
    <x v="331"/>
  </r>
  <r>
    <x v="386"/>
    <x v="0"/>
    <m/>
    <x v="0"/>
    <m/>
    <m/>
    <m/>
    <m/>
    <x v="332"/>
    <m/>
    <m/>
    <x v="332"/>
  </r>
  <r>
    <x v="0"/>
    <x v="0"/>
    <m/>
    <x v="0"/>
    <m/>
    <m/>
    <m/>
    <m/>
    <x v="0"/>
    <m/>
    <m/>
    <x v="0"/>
  </r>
  <r>
    <x v="387"/>
    <x v="0"/>
    <m/>
    <x v="280"/>
    <m/>
    <m/>
    <m/>
    <m/>
    <x v="0"/>
    <m/>
    <m/>
    <x v="0"/>
  </r>
  <r>
    <x v="388"/>
    <x v="2"/>
    <n v="87620"/>
    <x v="281"/>
    <s v="M2"/>
    <n v="41.975000000000001"/>
    <s v="28,44"/>
    <n v="34.76"/>
    <x v="333"/>
    <s v="27,54"/>
    <n v="35.346949672471453"/>
    <x v="333"/>
  </r>
  <r>
    <x v="389"/>
    <x v="2"/>
    <n v="101092"/>
    <x v="282"/>
    <s v="M2"/>
    <n v="41.975000000000001"/>
    <s v="391,92"/>
    <n v="479.02"/>
    <x v="334"/>
    <s v="387,39"/>
    <n v="497.20605786560338"/>
    <x v="334"/>
  </r>
  <r>
    <x v="390"/>
    <x v="0"/>
    <m/>
    <x v="0"/>
    <m/>
    <m/>
    <m/>
    <m/>
    <x v="335"/>
    <m/>
    <m/>
    <x v="335"/>
  </r>
  <r>
    <x v="0"/>
    <x v="0"/>
    <m/>
    <x v="0"/>
    <m/>
    <m/>
    <m/>
    <m/>
    <x v="0"/>
    <m/>
    <m/>
    <x v="0"/>
  </r>
  <r>
    <x v="391"/>
    <x v="0"/>
    <m/>
    <x v="132"/>
    <m/>
    <m/>
    <m/>
    <m/>
    <x v="0"/>
    <m/>
    <m/>
    <x v="0"/>
  </r>
  <r>
    <x v="392"/>
    <x v="1"/>
    <s v="SEPLAG ARQ 115"/>
    <x v="283"/>
    <s v="M"/>
    <n v="18.100000000000001"/>
    <n v="405.53000000000003"/>
    <n v="495.66"/>
    <x v="336"/>
    <n v="397.77000000000004"/>
    <n v="510.52854652211226"/>
    <x v="336"/>
  </r>
  <r>
    <x v="393"/>
    <x v="1"/>
    <s v="SEPLAG ARQ 136"/>
    <x v="46"/>
    <s v="UND"/>
    <n v="7.7199999999999989"/>
    <n v="2664.5800000000004"/>
    <n v="3256.81"/>
    <x v="337"/>
    <n v="2663.51"/>
    <n v="3418.5531562136694"/>
    <x v="337"/>
  </r>
  <r>
    <x v="394"/>
    <x v="0"/>
    <m/>
    <x v="0"/>
    <m/>
    <m/>
    <m/>
    <m/>
    <x v="338"/>
    <m/>
    <m/>
    <x v="338"/>
  </r>
  <r>
    <x v="395"/>
    <x v="0"/>
    <m/>
    <x v="0"/>
    <m/>
    <m/>
    <m/>
    <m/>
    <x v="339"/>
    <m/>
    <m/>
    <x v="339"/>
  </r>
  <r>
    <x v="0"/>
    <x v="0"/>
    <m/>
    <x v="0"/>
    <m/>
    <m/>
    <m/>
    <m/>
    <x v="0"/>
    <m/>
    <m/>
    <x v="0"/>
  </r>
  <r>
    <x v="396"/>
    <x v="0"/>
    <m/>
    <x v="284"/>
    <m/>
    <m/>
    <m/>
    <m/>
    <x v="0"/>
    <m/>
    <m/>
    <x v="0"/>
  </r>
  <r>
    <x v="397"/>
    <x v="0"/>
    <m/>
    <x v="62"/>
    <m/>
    <m/>
    <m/>
    <m/>
    <x v="0"/>
    <m/>
    <m/>
    <x v="0"/>
  </r>
  <r>
    <x v="398"/>
    <x v="2"/>
    <n v="97649"/>
    <x v="285"/>
    <s v="M2"/>
    <n v="307.20999999999998"/>
    <s v="3,38"/>
    <n v="4.13"/>
    <x v="340"/>
    <s v="3,07"/>
    <n v="3.9402736199886479"/>
    <x v="340"/>
  </r>
  <r>
    <x v="399"/>
    <x v="2"/>
    <n v="97655"/>
    <x v="286"/>
    <s v="M2"/>
    <n v="307.20999999999998"/>
    <s v="18,68"/>
    <n v="22.83"/>
    <x v="341"/>
    <s v="17,37"/>
    <n v="22.29399113329082"/>
    <x v="341"/>
  </r>
  <r>
    <x v="400"/>
    <x v="2"/>
    <n v="97657"/>
    <x v="287"/>
    <s v="UN"/>
    <n v="8"/>
    <s v="361,46"/>
    <n v="441.79"/>
    <x v="342"/>
    <s v="333,87"/>
    <n v="428.51438224938437"/>
    <x v="342"/>
  </r>
  <r>
    <x v="401"/>
    <x v="0"/>
    <m/>
    <x v="0"/>
    <m/>
    <m/>
    <m/>
    <m/>
    <x v="343"/>
    <m/>
    <m/>
    <x v="343"/>
  </r>
  <r>
    <x v="0"/>
    <x v="0"/>
    <m/>
    <x v="0"/>
    <m/>
    <m/>
    <m/>
    <m/>
    <x v="0"/>
    <m/>
    <m/>
    <x v="0"/>
  </r>
  <r>
    <x v="402"/>
    <x v="0"/>
    <m/>
    <x v="288"/>
    <m/>
    <m/>
    <m/>
    <m/>
    <x v="0"/>
    <m/>
    <m/>
    <x v="0"/>
  </r>
  <r>
    <x v="403"/>
    <x v="2"/>
    <n v="98546"/>
    <x v="289"/>
    <s v="M2"/>
    <n v="54.04"/>
    <s v="92,14"/>
    <n v="112.61"/>
    <x v="344"/>
    <s v="89,91"/>
    <n v="115.39739451895093"/>
    <x v="344"/>
  </r>
  <r>
    <x v="404"/>
    <x v="2"/>
    <n v="92620"/>
    <x v="290"/>
    <s v="UN"/>
    <n v="5"/>
    <s v="2.315,03"/>
    <n v="2829.57"/>
    <x v="345"/>
    <s v="2.292,16"/>
    <n v="2941.9340654049442"/>
    <x v="345"/>
  </r>
  <r>
    <x v="405"/>
    <x v="2"/>
    <n v="92604"/>
    <x v="291"/>
    <s v="UN"/>
    <n v="4"/>
    <s v="870,26"/>
    <n v="1063.68"/>
    <x v="346"/>
    <s v="860,64"/>
    <n v="1104.6114294159706"/>
    <x v="346"/>
  </r>
  <r>
    <x v="406"/>
    <x v="2"/>
    <n v="92608"/>
    <x v="292"/>
    <s v="UN"/>
    <n v="5"/>
    <s v="1.251,02"/>
    <n v="1529.07"/>
    <x v="347"/>
    <s v="1.237,08"/>
    <n v="1587.7634168780314"/>
    <x v="347"/>
  </r>
  <r>
    <x v="407"/>
    <x v="2"/>
    <n v="92580"/>
    <x v="293"/>
    <s v="M2"/>
    <n v="342.14"/>
    <s v="54,80"/>
    <n v="66.97"/>
    <x v="348"/>
    <s v="54,26"/>
    <n v="69.641448410613691"/>
    <x v="348"/>
  </r>
  <r>
    <x v="408"/>
    <x v="2"/>
    <n v="94213"/>
    <x v="294"/>
    <s v="M2"/>
    <n v="342.14"/>
    <s v="74,12"/>
    <n v="90.59"/>
    <x v="349"/>
    <s v="73,74"/>
    <n v="94.643575484678465"/>
    <x v="349"/>
  </r>
  <r>
    <x v="409"/>
    <x v="2"/>
    <n v="94229"/>
    <x v="295"/>
    <s v="M"/>
    <n v="68.94"/>
    <s v="173,54"/>
    <n v="212.11"/>
    <x v="350"/>
    <s v="171,24"/>
    <n v="219.78255852992058"/>
    <x v="350"/>
  </r>
  <r>
    <x v="410"/>
    <x v="2"/>
    <n v="94231"/>
    <x v="296"/>
    <s v="M"/>
    <n v="86.69"/>
    <s v="52,30"/>
    <n v="63.92"/>
    <x v="351"/>
    <s v="51,65"/>
    <n v="66.291574095248748"/>
    <x v="351"/>
  </r>
  <r>
    <x v="411"/>
    <x v="1"/>
    <s v="SEPLAG  ARQ 163"/>
    <x v="297"/>
    <s v="UND"/>
    <n v="17.28"/>
    <n v="77.149999999999991"/>
    <n v="94.29"/>
    <x v="352"/>
    <n v="76.36999999999999"/>
    <n v="98.019119335027042"/>
    <x v="352"/>
  </r>
  <r>
    <x v="412"/>
    <x v="1"/>
    <s v="SEPLAG  ARQ 164"/>
    <x v="298"/>
    <s v="m "/>
    <n v="136.22999999999999"/>
    <n v="101.72"/>
    <n v="124.32"/>
    <x v="353"/>
    <n v="97.8"/>
    <n v="125.52402606999667"/>
    <x v="353"/>
  </r>
  <r>
    <x v="413"/>
    <x v="1"/>
    <s v="SEPLAG ARQ 130"/>
    <x v="299"/>
    <s v="M"/>
    <n v="52.49"/>
    <n v="183.55"/>
    <n v="224.34"/>
    <x v="354"/>
    <n v="179.85000000000002"/>
    <n v="230.83329334037734"/>
    <x v="354"/>
  </r>
  <r>
    <x v="414"/>
    <x v="0"/>
    <m/>
    <x v="0"/>
    <m/>
    <m/>
    <m/>
    <m/>
    <x v="355"/>
    <m/>
    <m/>
    <x v="355"/>
  </r>
  <r>
    <x v="0"/>
    <x v="0"/>
    <m/>
    <x v="0"/>
    <m/>
    <m/>
    <m/>
    <m/>
    <x v="0"/>
    <m/>
    <m/>
    <x v="0"/>
  </r>
  <r>
    <x v="415"/>
    <x v="0"/>
    <m/>
    <x v="300"/>
    <m/>
    <m/>
    <m/>
    <m/>
    <x v="0"/>
    <m/>
    <m/>
    <x v="0"/>
  </r>
  <r>
    <x v="416"/>
    <x v="2"/>
    <n v="92265"/>
    <x v="301"/>
    <s v="M2"/>
    <n v="123.17"/>
    <s v="129,49"/>
    <n v="158.27000000000001"/>
    <x v="356"/>
    <s v="126,54"/>
    <n v="162.4111478414865"/>
    <x v="356"/>
  </r>
  <r>
    <x v="417"/>
    <x v="2"/>
    <n v="96555"/>
    <x v="26"/>
    <s v="M3"/>
    <n v="6.29"/>
    <s v="606,83"/>
    <n v="741.7"/>
    <x v="357"/>
    <s v="591,38"/>
    <n v="759.02247993123342"/>
    <x v="357"/>
  </r>
  <r>
    <x v="418"/>
    <x v="2"/>
    <n v="92775"/>
    <x v="302"/>
    <s v="KG"/>
    <n v="196"/>
    <s v="18,46"/>
    <n v="22.56"/>
    <x v="358"/>
    <s v="17,71"/>
    <n v="22.730373228012692"/>
    <x v="358"/>
  </r>
  <r>
    <x v="419"/>
    <x v="2"/>
    <n v="92777"/>
    <x v="303"/>
    <s v="KG"/>
    <n v="206.9"/>
    <s v="16,52"/>
    <n v="20.190000000000001"/>
    <x v="359"/>
    <s v="16,15"/>
    <n v="20.728149499288815"/>
    <x v="359"/>
  </r>
  <r>
    <x v="420"/>
    <x v="2"/>
    <n v="92778"/>
    <x v="304"/>
    <s v="KG"/>
    <n v="196.8"/>
    <s v="14,78"/>
    <n v="18.059999999999999"/>
    <x v="360"/>
    <s v="14,50"/>
    <n v="18.610412863138567"/>
    <x v="360"/>
  </r>
  <r>
    <x v="421"/>
    <x v="0"/>
    <m/>
    <x v="0"/>
    <m/>
    <m/>
    <m/>
    <m/>
    <x v="361"/>
    <m/>
    <m/>
    <x v="361"/>
  </r>
  <r>
    <x v="0"/>
    <x v="0"/>
    <m/>
    <x v="0"/>
    <m/>
    <m/>
    <m/>
    <m/>
    <x v="0"/>
    <m/>
    <m/>
    <x v="0"/>
  </r>
  <r>
    <x v="422"/>
    <x v="0"/>
    <m/>
    <x v="305"/>
    <m/>
    <m/>
    <m/>
    <m/>
    <x v="0"/>
    <m/>
    <m/>
    <x v="0"/>
  </r>
  <r>
    <x v="423"/>
    <x v="2"/>
    <n v="103328"/>
    <x v="34"/>
    <s v="M2"/>
    <n v="146.541"/>
    <s v="78,91"/>
    <n v="96.44"/>
    <x v="362"/>
    <s v="73,90"/>
    <n v="94.848931764547601"/>
    <x v="362"/>
  </r>
  <r>
    <x v="424"/>
    <x v="2"/>
    <n v="87893"/>
    <x v="35"/>
    <s v="M2"/>
    <n v="293.08199999999999"/>
    <s v="6,04"/>
    <n v="7.38"/>
    <x v="363"/>
    <s v="5,57"/>
    <n v="7.1489654929435735"/>
    <x v="363"/>
  </r>
  <r>
    <x v="425"/>
    <x v="2"/>
    <n v="87543"/>
    <x v="36"/>
    <s v="M2"/>
    <n v="293.08199999999999"/>
    <s v="24,40"/>
    <n v="29.82"/>
    <x v="364"/>
    <s v="23,82"/>
    <n v="30.572416165514529"/>
    <x v="364"/>
  </r>
  <r>
    <x v="426"/>
    <x v="0"/>
    <m/>
    <x v="0"/>
    <m/>
    <m/>
    <m/>
    <m/>
    <x v="365"/>
    <m/>
    <m/>
    <x v="365"/>
  </r>
  <r>
    <x v="427"/>
    <x v="0"/>
    <m/>
    <x v="0"/>
    <m/>
    <m/>
    <m/>
    <m/>
    <x v="366"/>
    <m/>
    <m/>
    <x v="366"/>
  </r>
  <r>
    <x v="0"/>
    <x v="0"/>
    <m/>
    <x v="0"/>
    <m/>
    <m/>
    <m/>
    <m/>
    <x v="0"/>
    <m/>
    <m/>
    <x v="0"/>
  </r>
  <r>
    <x v="428"/>
    <x v="0"/>
    <m/>
    <x v="306"/>
    <m/>
    <m/>
    <m/>
    <m/>
    <x v="0"/>
    <m/>
    <m/>
    <x v="0"/>
  </r>
  <r>
    <x v="0"/>
    <x v="0"/>
    <m/>
    <x v="0"/>
    <m/>
    <m/>
    <m/>
    <m/>
    <x v="0"/>
    <m/>
    <m/>
    <x v="0"/>
  </r>
  <r>
    <x v="429"/>
    <x v="0"/>
    <m/>
    <x v="307"/>
    <m/>
    <m/>
    <m/>
    <m/>
    <x v="0"/>
    <m/>
    <m/>
    <x v="0"/>
  </r>
  <r>
    <x v="430"/>
    <x v="0"/>
    <m/>
    <x v="1"/>
    <m/>
    <m/>
    <m/>
    <m/>
    <x v="0"/>
    <m/>
    <m/>
    <x v="0"/>
  </r>
  <r>
    <x v="431"/>
    <x v="2"/>
    <n v="96526"/>
    <x v="277"/>
    <s v="M3"/>
    <n v="4.13"/>
    <s v="241,37"/>
    <n v="295.01"/>
    <x v="367"/>
    <s v="216,67"/>
    <n v="278.09090724525743"/>
    <x v="367"/>
  </r>
  <r>
    <x v="432"/>
    <x v="2"/>
    <n v="101616"/>
    <x v="22"/>
    <s v="M2"/>
    <n v="1.36"/>
    <s v="4,86"/>
    <n v="5.94"/>
    <x v="368"/>
    <s v="4,37"/>
    <n v="5.6087933939252093"/>
    <x v="368"/>
  </r>
  <r>
    <x v="433"/>
    <x v="0"/>
    <m/>
    <x v="0"/>
    <m/>
    <m/>
    <m/>
    <m/>
    <x v="369"/>
    <m/>
    <m/>
    <x v="369"/>
  </r>
  <r>
    <x v="0"/>
    <x v="0"/>
    <m/>
    <x v="0"/>
    <m/>
    <m/>
    <m/>
    <m/>
    <x v="0"/>
    <m/>
    <m/>
    <x v="0"/>
  </r>
  <r>
    <x v="434"/>
    <x v="0"/>
    <m/>
    <x v="308"/>
    <m/>
    <m/>
    <m/>
    <m/>
    <x v="0"/>
    <m/>
    <m/>
    <x v="0"/>
  </r>
  <r>
    <x v="435"/>
    <x v="2"/>
    <n v="102473"/>
    <x v="278"/>
    <s v="M3"/>
    <n v="9.9599999999999994E-2"/>
    <s v="456,78"/>
    <n v="558.29999999999995"/>
    <x v="370"/>
    <s v="450,40"/>
    <n v="578.07792783155924"/>
    <x v="370"/>
  </r>
  <r>
    <x v="436"/>
    <x v="2"/>
    <n v="96558"/>
    <x v="309"/>
    <s v="M3"/>
    <n v="5.48"/>
    <s v="709,62"/>
    <n v="867.34"/>
    <x v="371"/>
    <s v="707,27"/>
    <n v="907.76460039393191"/>
    <x v="371"/>
  </r>
  <r>
    <x v="437"/>
    <x v="2"/>
    <n v="96543"/>
    <x v="27"/>
    <s v="KG"/>
    <n v="123.8"/>
    <s v="18,45"/>
    <n v="22.55"/>
    <x v="372"/>
    <s v="17,73"/>
    <n v="22.75604276299633"/>
    <x v="372"/>
  </r>
  <r>
    <x v="438"/>
    <x v="2"/>
    <n v="96545"/>
    <x v="28"/>
    <s v="KG"/>
    <n v="42.400000000000006"/>
    <s v="16,54"/>
    <n v="20.21"/>
    <x v="131"/>
    <s v="16,16"/>
    <n v="20.740984266780636"/>
    <x v="373"/>
  </r>
  <r>
    <x v="439"/>
    <x v="2"/>
    <n v="96546"/>
    <x v="29"/>
    <s v="KG"/>
    <n v="137.80000000000001"/>
    <s v="14,85"/>
    <n v="18.149999999999999"/>
    <x v="373"/>
    <s v="14,57"/>
    <n v="18.700256235581303"/>
    <x v="374"/>
  </r>
  <r>
    <x v="440"/>
    <x v="2"/>
    <n v="92263"/>
    <x v="30"/>
    <s v="M2"/>
    <n v="22.02"/>
    <s v="175,96"/>
    <n v="215.06"/>
    <x v="374"/>
    <s v="172,32"/>
    <n v="221.16871341903709"/>
    <x v="375"/>
  </r>
  <r>
    <x v="441"/>
    <x v="2"/>
    <n v="98557"/>
    <x v="31"/>
    <s v="M2"/>
    <n v="22.02"/>
    <s v="58,82"/>
    <n v="71.89"/>
    <x v="375"/>
    <s v="57,84"/>
    <n v="74.236295172685146"/>
    <x v="376"/>
  </r>
  <r>
    <x v="442"/>
    <x v="2"/>
    <n v="100651"/>
    <x v="310"/>
    <s v="M"/>
    <n v="37"/>
    <s v="139,63"/>
    <n v="170.66"/>
    <x v="376"/>
    <s v="138,42"/>
    <n v="177.65885162176829"/>
    <x v="377"/>
  </r>
  <r>
    <x v="443"/>
    <x v="0"/>
    <m/>
    <x v="0"/>
    <m/>
    <m/>
    <m/>
    <m/>
    <x v="377"/>
    <m/>
    <m/>
    <x v="378"/>
  </r>
  <r>
    <x v="0"/>
    <x v="0"/>
    <m/>
    <x v="0"/>
    <m/>
    <m/>
    <m/>
    <m/>
    <x v="0"/>
    <m/>
    <m/>
    <x v="0"/>
  </r>
  <r>
    <x v="444"/>
    <x v="0"/>
    <m/>
    <x v="311"/>
    <m/>
    <m/>
    <m/>
    <m/>
    <x v="0"/>
    <m/>
    <m/>
    <x v="0"/>
  </r>
  <r>
    <x v="445"/>
    <x v="1"/>
    <s v="SEPLAG ARQ 144"/>
    <x v="312"/>
    <s v="UND"/>
    <n v="1"/>
    <n v="29019.100000000002"/>
    <n v="35468.93"/>
    <x v="378"/>
    <n v="28052.400000000001"/>
    <n v="36004.603158752303"/>
    <x v="379"/>
  </r>
  <r>
    <x v="446"/>
    <x v="1"/>
    <s v="SEPLAG ARQ 119"/>
    <x v="313"/>
    <s v="m²"/>
    <n v="62.769999999999996"/>
    <n v="112.95"/>
    <n v="138.05000000000001"/>
    <x v="379"/>
    <n v="112.31"/>
    <n v="144.14727370062707"/>
    <x v="380"/>
  </r>
  <r>
    <x v="447"/>
    <x v="1"/>
    <s v="SEPLAG ARQ 145"/>
    <x v="314"/>
    <s v="UND"/>
    <n v="4"/>
    <n v="2448.37"/>
    <n v="2992.54"/>
    <x v="380"/>
    <n v="2383.14"/>
    <n v="3058.7047800455202"/>
    <x v="381"/>
  </r>
  <r>
    <x v="448"/>
    <x v="1"/>
    <s v="SEPLAG ARQ 147"/>
    <x v="315"/>
    <s v="UND"/>
    <n v="1"/>
    <n v="1653.5200000000002"/>
    <n v="2021.03"/>
    <x v="381"/>
    <n v="1588.2900000000002"/>
    <n v="2038.5332859582315"/>
    <x v="382"/>
  </r>
  <r>
    <x v="449"/>
    <x v="1"/>
    <s v="SEPLAG ARQ 146"/>
    <x v="316"/>
    <s v="UND"/>
    <n v="1"/>
    <n v="1574.88"/>
    <n v="1924.91"/>
    <x v="382"/>
    <n v="1509.65"/>
    <n v="1937.6006744025613"/>
    <x v="383"/>
  </r>
  <r>
    <x v="450"/>
    <x v="1"/>
    <s v="SEPLAG ARQ 119"/>
    <x v="313"/>
    <s v="m²"/>
    <n v="76.647899999999993"/>
    <n v="112.95"/>
    <n v="138.05000000000001"/>
    <x v="383"/>
    <n v="112.31"/>
    <n v="144.14727370062707"/>
    <x v="384"/>
  </r>
  <r>
    <x v="451"/>
    <x v="1"/>
    <s v="SEPLAG ARQ 151"/>
    <x v="317"/>
    <s v="UND"/>
    <n v="1"/>
    <n v="28431.489999999998"/>
    <n v="34750.71"/>
    <x v="384"/>
    <n v="27945.989999999998"/>
    <n v="35868.028397871843"/>
    <x v="385"/>
  </r>
  <r>
    <x v="452"/>
    <x v="1"/>
    <s v="SEPLAG ARQ 119"/>
    <x v="313"/>
    <s v="m²"/>
    <n v="119.31"/>
    <n v="112.95"/>
    <n v="138.05000000000001"/>
    <x v="385"/>
    <n v="112.31"/>
    <n v="144.14727370062707"/>
    <x v="386"/>
  </r>
  <r>
    <x v="453"/>
    <x v="1"/>
    <s v="SEPLAG ARQ 152"/>
    <x v="318"/>
    <s v="UND"/>
    <n v="1"/>
    <n v="25374.070000000003"/>
    <n v="31013.75"/>
    <x v="386"/>
    <n v="24723.87"/>
    <n v="31732.512294797634"/>
    <x v="387"/>
  </r>
  <r>
    <x v="454"/>
    <x v="1"/>
    <s v="SEPLAG ARQ 119"/>
    <x v="313"/>
    <s v="m²"/>
    <n v="97.289999999999992"/>
    <n v="112.95"/>
    <n v="138.05000000000001"/>
    <x v="387"/>
    <n v="112.31"/>
    <n v="144.14727370062707"/>
    <x v="388"/>
  </r>
  <r>
    <x v="455"/>
    <x v="1"/>
    <s v="SEPLAG ARQ 47"/>
    <x v="319"/>
    <s v="m²"/>
    <n v="174.12"/>
    <n v="754.6"/>
    <n v="922.31"/>
    <x v="388"/>
    <n v="737.23"/>
    <n v="946.21756379942383"/>
    <x v="389"/>
  </r>
  <r>
    <x v="456"/>
    <x v="1"/>
    <s v="SEPLAG  ARQ 165"/>
    <x v="320"/>
    <s v="m²"/>
    <n v="87.06"/>
    <n v="883.21999999999991"/>
    <n v="1079.52"/>
    <x v="389"/>
    <n v="871.55"/>
    <n v="1118.614160749546"/>
    <x v="390"/>
  </r>
  <r>
    <x v="457"/>
    <x v="0"/>
    <m/>
    <x v="0"/>
    <m/>
    <m/>
    <m/>
    <m/>
    <x v="390"/>
    <m/>
    <m/>
    <x v="391"/>
  </r>
  <r>
    <x v="0"/>
    <x v="0"/>
    <m/>
    <x v="0"/>
    <m/>
    <m/>
    <m/>
    <m/>
    <x v="0"/>
    <m/>
    <m/>
    <x v="0"/>
  </r>
  <r>
    <x v="458"/>
    <x v="0"/>
    <m/>
    <x v="321"/>
    <m/>
    <m/>
    <m/>
    <m/>
    <x v="0"/>
    <m/>
    <m/>
    <x v="0"/>
  </r>
  <r>
    <x v="0"/>
    <x v="0"/>
    <m/>
    <x v="0"/>
    <m/>
    <m/>
    <m/>
    <m/>
    <x v="0"/>
    <m/>
    <m/>
    <x v="0"/>
  </r>
  <r>
    <x v="459"/>
    <x v="0"/>
    <m/>
    <x v="322"/>
    <m/>
    <m/>
    <m/>
    <m/>
    <x v="0"/>
    <m/>
    <m/>
    <x v="0"/>
  </r>
  <r>
    <x v="460"/>
    <x v="1"/>
    <s v="SEPLAG ARQ 140"/>
    <x v="323"/>
    <s v="UND"/>
    <n v="2"/>
    <n v="43383.73000000001"/>
    <n v="53026.26"/>
    <x v="391"/>
    <n v="39981.589999999997"/>
    <n v="51315.441160326358"/>
    <x v="392"/>
  </r>
  <r>
    <x v="461"/>
    <x v="1"/>
    <s v="SEPLAG ARQ 148"/>
    <x v="324"/>
    <s v="m²"/>
    <n v="45.82"/>
    <n v="1375.7700000000002"/>
    <n v="1681.55"/>
    <x v="392"/>
    <n v="1364.63"/>
    <n v="1751.470876236192"/>
    <x v="393"/>
  </r>
  <r>
    <x v="462"/>
    <x v="0"/>
    <m/>
    <x v="0"/>
    <m/>
    <m/>
    <m/>
    <m/>
    <x v="393"/>
    <m/>
    <m/>
    <x v="394"/>
  </r>
  <r>
    <x v="0"/>
    <x v="0"/>
    <m/>
    <x v="0"/>
    <m/>
    <m/>
    <m/>
    <m/>
    <x v="0"/>
    <m/>
    <m/>
    <x v="0"/>
  </r>
  <r>
    <x v="463"/>
    <x v="0"/>
    <m/>
    <x v="39"/>
    <m/>
    <m/>
    <m/>
    <m/>
    <x v="0"/>
    <m/>
    <m/>
    <x v="0"/>
  </r>
  <r>
    <x v="464"/>
    <x v="2"/>
    <n v="88412"/>
    <x v="325"/>
    <s v="M2"/>
    <n v="1183.8800000000001"/>
    <s v="1,36"/>
    <n v="1.66"/>
    <x v="394"/>
    <s v="1,29"/>
    <n v="1.6556850064447415"/>
    <x v="395"/>
  </r>
  <r>
    <x v="465"/>
    <x v="2"/>
    <n v="96131"/>
    <x v="326"/>
    <s v="M2"/>
    <n v="1183.8800000000001"/>
    <s v="22,94"/>
    <n v="28.03"/>
    <x v="395"/>
    <s v="21,58"/>
    <n v="27.697428247346913"/>
    <x v="396"/>
  </r>
  <r>
    <x v="466"/>
    <x v="2"/>
    <n v="95623"/>
    <x v="327"/>
    <s v="M2"/>
    <n v="1183.8800000000001"/>
    <s v="9,77"/>
    <n v="11.94"/>
    <x v="396"/>
    <s v="9,23"/>
    <n v="11.846490394949583"/>
    <x v="397"/>
  </r>
  <r>
    <x v="467"/>
    <x v="0"/>
    <m/>
    <x v="0"/>
    <m/>
    <m/>
    <m/>
    <m/>
    <x v="397"/>
    <m/>
    <m/>
    <x v="398"/>
  </r>
  <r>
    <x v="0"/>
    <x v="0"/>
    <m/>
    <x v="0"/>
    <m/>
    <m/>
    <m/>
    <m/>
    <x v="0"/>
    <m/>
    <m/>
    <x v="0"/>
  </r>
  <r>
    <x v="468"/>
    <x v="0"/>
    <m/>
    <x v="328"/>
    <m/>
    <m/>
    <m/>
    <m/>
    <x v="0"/>
    <m/>
    <m/>
    <x v="0"/>
  </r>
  <r>
    <x v="469"/>
    <x v="0"/>
    <m/>
    <x v="1"/>
    <m/>
    <m/>
    <m/>
    <m/>
    <x v="0"/>
    <m/>
    <m/>
    <x v="0"/>
  </r>
  <r>
    <x v="470"/>
    <x v="2"/>
    <n v="96526"/>
    <x v="277"/>
    <s v="M3"/>
    <n v="0.55000000000000004"/>
    <s v="241,37"/>
    <n v="295.01"/>
    <x v="398"/>
    <s v="216,67"/>
    <n v="278.09090724525743"/>
    <x v="399"/>
  </r>
  <r>
    <x v="471"/>
    <x v="2"/>
    <n v="101616"/>
    <x v="22"/>
    <s v="M2"/>
    <n v="1"/>
    <s v="4,86"/>
    <n v="5.94"/>
    <x v="399"/>
    <s v="4,37"/>
    <n v="5.6087933939252093"/>
    <x v="400"/>
  </r>
  <r>
    <x v="472"/>
    <x v="0"/>
    <m/>
    <x v="0"/>
    <m/>
    <m/>
    <m/>
    <m/>
    <x v="400"/>
    <m/>
    <m/>
    <x v="401"/>
  </r>
  <r>
    <x v="0"/>
    <x v="0"/>
    <m/>
    <x v="0"/>
    <m/>
    <m/>
    <m/>
    <m/>
    <x v="0"/>
    <m/>
    <m/>
    <x v="0"/>
  </r>
  <r>
    <x v="473"/>
    <x v="0"/>
    <m/>
    <x v="129"/>
    <m/>
    <m/>
    <m/>
    <m/>
    <x v="0"/>
    <m/>
    <m/>
    <x v="0"/>
  </r>
  <r>
    <x v="474"/>
    <x v="2"/>
    <n v="96558"/>
    <x v="309"/>
    <s v="M3"/>
    <n v="3"/>
    <s v="709,62"/>
    <n v="867.34"/>
    <x v="401"/>
    <s v="707,27"/>
    <n v="907.76460039393191"/>
    <x v="402"/>
  </r>
  <r>
    <x v="475"/>
    <x v="2"/>
    <n v="96543"/>
    <x v="27"/>
    <s v="KG"/>
    <n v="66.599999999999994"/>
    <s v="18,45"/>
    <n v="22.55"/>
    <x v="402"/>
    <s v="17,73"/>
    <n v="22.75604276299633"/>
    <x v="403"/>
  </r>
  <r>
    <x v="476"/>
    <x v="2"/>
    <n v="96546"/>
    <x v="29"/>
    <s v="KG"/>
    <n v="146.1"/>
    <s v="14,85"/>
    <n v="18.149999999999999"/>
    <x v="403"/>
    <s v="14,57"/>
    <n v="18.700256235581303"/>
    <x v="404"/>
  </r>
  <r>
    <x v="477"/>
    <x v="2"/>
    <n v="92263"/>
    <x v="30"/>
    <s v="M2"/>
    <n v="38.340000000000003"/>
    <s v="175,96"/>
    <n v="215.06"/>
    <x v="404"/>
    <s v="172,32"/>
    <n v="221.16871341903709"/>
    <x v="405"/>
  </r>
  <r>
    <x v="478"/>
    <x v="2"/>
    <n v="98557"/>
    <x v="31"/>
    <s v="M2"/>
    <n v="38.340000000000003"/>
    <s v="58,82"/>
    <n v="71.89"/>
    <x v="405"/>
    <s v="57,84"/>
    <n v="74.236295172685146"/>
    <x v="406"/>
  </r>
  <r>
    <x v="479"/>
    <x v="2"/>
    <n v="100651"/>
    <x v="310"/>
    <s v="M"/>
    <n v="8"/>
    <s v="139,63"/>
    <n v="170.66"/>
    <x v="406"/>
    <s v="138,42"/>
    <n v="177.65885162176829"/>
    <x v="407"/>
  </r>
  <r>
    <x v="480"/>
    <x v="0"/>
    <m/>
    <x v="0"/>
    <m/>
    <m/>
    <m/>
    <m/>
    <x v="407"/>
    <m/>
    <m/>
    <x v="408"/>
  </r>
  <r>
    <x v="0"/>
    <x v="0"/>
    <m/>
    <x v="0"/>
    <m/>
    <m/>
    <m/>
    <m/>
    <x v="0"/>
    <m/>
    <m/>
    <x v="0"/>
  </r>
  <r>
    <x v="481"/>
    <x v="0"/>
    <m/>
    <x v="322"/>
    <m/>
    <m/>
    <m/>
    <m/>
    <x v="0"/>
    <m/>
    <m/>
    <x v="0"/>
  </r>
  <r>
    <x v="482"/>
    <x v="1"/>
    <s v="SEPLAG ARQ 150"/>
    <x v="329"/>
    <s v="UND"/>
    <n v="1"/>
    <n v="39823.320000000007"/>
    <n v="48674.51"/>
    <x v="408"/>
    <n v="38228.51"/>
    <n v="49065.403740870439"/>
    <x v="409"/>
  </r>
  <r>
    <x v="483"/>
    <x v="1"/>
    <s v="SEPLAG ARQ 119"/>
    <x v="313"/>
    <s v="m²"/>
    <n v="58.01"/>
    <n v="112.95"/>
    <n v="138.05000000000001"/>
    <x v="409"/>
    <n v="112.31"/>
    <n v="144.14727370062707"/>
    <x v="410"/>
  </r>
  <r>
    <x v="484"/>
    <x v="1"/>
    <s v="SEPLAG ARQ 47"/>
    <x v="319"/>
    <s v="m²"/>
    <n v="35.340000000000003"/>
    <n v="754.6"/>
    <n v="922.31"/>
    <x v="410"/>
    <n v="737.23"/>
    <n v="946.21756379942383"/>
    <x v="411"/>
  </r>
  <r>
    <x v="485"/>
    <x v="1"/>
    <s v="SEPLAG  ARQ 165"/>
    <x v="320"/>
    <s v="m²"/>
    <n v="25.25"/>
    <n v="883.21999999999991"/>
    <n v="1079.52"/>
    <x v="411"/>
    <n v="871.55"/>
    <n v="1118.614160749546"/>
    <x v="412"/>
  </r>
  <r>
    <x v="486"/>
    <x v="0"/>
    <m/>
    <x v="0"/>
    <m/>
    <m/>
    <m/>
    <m/>
    <x v="412"/>
    <m/>
    <m/>
    <x v="413"/>
  </r>
  <r>
    <x v="0"/>
    <x v="0"/>
    <m/>
    <x v="0"/>
    <m/>
    <m/>
    <m/>
    <m/>
    <x v="0"/>
    <m/>
    <m/>
    <x v="0"/>
  </r>
  <r>
    <x v="487"/>
    <x v="0"/>
    <m/>
    <x v="0"/>
    <m/>
    <m/>
    <m/>
    <m/>
    <x v="413"/>
    <m/>
    <m/>
    <x v="414"/>
  </r>
  <r>
    <x v="0"/>
    <x v="0"/>
    <m/>
    <x v="0"/>
    <m/>
    <m/>
    <m/>
    <m/>
    <x v="0"/>
    <m/>
    <m/>
    <x v="0"/>
  </r>
  <r>
    <x v="488"/>
    <x v="0"/>
    <m/>
    <x v="330"/>
    <m/>
    <m/>
    <m/>
    <m/>
    <x v="0"/>
    <m/>
    <m/>
    <x v="0"/>
  </r>
  <r>
    <x v="489"/>
    <x v="1"/>
    <s v="SEPLAG ACESS 01"/>
    <x v="331"/>
    <s v="UND"/>
    <n v="3"/>
    <n v="1477.9299999999998"/>
    <n v="1806.41"/>
    <x v="414"/>
    <n v="1474.02"/>
    <n v="1891.8703978292074"/>
    <x v="415"/>
  </r>
  <r>
    <x v="490"/>
    <x v="1"/>
    <s v="SEPLAG ACESS 02"/>
    <x v="332"/>
    <s v="UND"/>
    <n v="24"/>
    <n v="64.7"/>
    <n v="79.08"/>
    <x v="415"/>
    <n v="64.569999999999993"/>
    <n v="82.8740936946798"/>
    <x v="416"/>
  </r>
  <r>
    <x v="491"/>
    <x v="1"/>
    <s v="SEPLAG ACESS 03"/>
    <x v="333"/>
    <s v="UND"/>
    <n v="7"/>
    <n v="44.1"/>
    <n v="53.9"/>
    <x v="416"/>
    <n v="43.93"/>
    <n v="56.383133591563947"/>
    <x v="417"/>
  </r>
  <r>
    <x v="492"/>
    <x v="1"/>
    <s v="SEPLAG ACESS 04"/>
    <x v="334"/>
    <s v="UND"/>
    <n v="352"/>
    <n v="7.63"/>
    <n v="9.32"/>
    <x v="417"/>
    <n v="7.5"/>
    <n v="9.6260756188647747"/>
    <x v="418"/>
  </r>
  <r>
    <x v="493"/>
    <x v="1"/>
    <s v="SEPLAG ACESS 05"/>
    <x v="335"/>
    <s v="UND"/>
    <n v="35"/>
    <n v="14.379999999999999"/>
    <n v="17.57"/>
    <x v="418"/>
    <n v="14.25"/>
    <n v="18.289543675843074"/>
    <x v="419"/>
  </r>
  <r>
    <x v="494"/>
    <x v="1"/>
    <s v="SEPLAG ACESS 07"/>
    <x v="336"/>
    <s v="UND"/>
    <n v="44"/>
    <n v="42.089999999999996"/>
    <n v="51.44"/>
    <x v="419"/>
    <n v="41.89"/>
    <n v="53.764841023232727"/>
    <x v="420"/>
  </r>
  <r>
    <x v="495"/>
    <x v="0"/>
    <m/>
    <x v="0"/>
    <m/>
    <m/>
    <m/>
    <m/>
    <x v="420"/>
    <m/>
    <m/>
    <x v="421"/>
  </r>
  <r>
    <x v="0"/>
    <x v="0"/>
    <m/>
    <x v="0"/>
    <m/>
    <m/>
    <m/>
    <m/>
    <x v="0"/>
    <m/>
    <m/>
    <x v="0"/>
  </r>
  <r>
    <x v="496"/>
    <x v="0"/>
    <m/>
    <x v="337"/>
    <m/>
    <m/>
    <m/>
    <m/>
    <x v="0"/>
    <m/>
    <m/>
    <x v="0"/>
  </r>
  <r>
    <x v="497"/>
    <x v="0"/>
    <m/>
    <x v="1"/>
    <m/>
    <m/>
    <m/>
    <m/>
    <x v="0"/>
    <m/>
    <m/>
    <x v="0"/>
  </r>
  <r>
    <x v="498"/>
    <x v="1"/>
    <s v="SEPLAG ARQ 07"/>
    <x v="19"/>
    <s v="m³"/>
    <n v="6.3209999999999997"/>
    <n v="129.58000000000001"/>
    <n v="158.38"/>
    <x v="421"/>
    <n v="119.1"/>
    <n v="152.86208082757264"/>
    <x v="422"/>
  </r>
  <r>
    <x v="499"/>
    <x v="2"/>
    <n v="100206"/>
    <x v="276"/>
    <s v="M3XKM"/>
    <n v="1.2642"/>
    <s v="830,96"/>
    <n v="1015.65"/>
    <x v="422"/>
    <s v="748,50"/>
    <n v="960.68234676270458"/>
    <x v="423"/>
  </r>
  <r>
    <x v="500"/>
    <x v="2"/>
    <n v="96526"/>
    <x v="277"/>
    <s v="M3"/>
    <n v="3.67"/>
    <s v="241,37"/>
    <n v="295.01"/>
    <x v="423"/>
    <s v="216,67"/>
    <n v="278.09090724525743"/>
    <x v="424"/>
  </r>
  <r>
    <x v="501"/>
    <x v="2"/>
    <n v="101616"/>
    <x v="22"/>
    <s v="M2"/>
    <n v="55.37"/>
    <s v="4,86"/>
    <n v="5.94"/>
    <x v="424"/>
    <s v="4,37"/>
    <n v="5.6087933939252093"/>
    <x v="425"/>
  </r>
  <r>
    <x v="502"/>
    <x v="0"/>
    <m/>
    <x v="0"/>
    <m/>
    <m/>
    <m/>
    <m/>
    <x v="425"/>
    <m/>
    <m/>
    <x v="426"/>
  </r>
  <r>
    <x v="0"/>
    <x v="0"/>
    <m/>
    <x v="0"/>
    <m/>
    <m/>
    <m/>
    <m/>
    <x v="0"/>
    <m/>
    <m/>
    <x v="0"/>
  </r>
  <r>
    <x v="503"/>
    <x v="0"/>
    <m/>
    <x v="129"/>
    <m/>
    <m/>
    <m/>
    <m/>
    <x v="0"/>
    <m/>
    <m/>
    <x v="0"/>
  </r>
  <r>
    <x v="504"/>
    <x v="2"/>
    <n v="102473"/>
    <x v="278"/>
    <s v="M3"/>
    <n v="2.1070000000000002"/>
    <s v="456,78"/>
    <n v="558.29999999999995"/>
    <x v="426"/>
    <s v="450,40"/>
    <n v="578.07792783155924"/>
    <x v="427"/>
  </r>
  <r>
    <x v="505"/>
    <x v="2"/>
    <n v="96555"/>
    <x v="26"/>
    <s v="M3"/>
    <n v="6"/>
    <s v="606,83"/>
    <n v="741.7"/>
    <x v="427"/>
    <s v="591,38"/>
    <n v="759.02247993123342"/>
    <x v="428"/>
  </r>
  <r>
    <x v="506"/>
    <x v="2"/>
    <n v="96543"/>
    <x v="27"/>
    <s v="KG"/>
    <n v="132.69999999999999"/>
    <s v="18,45"/>
    <n v="22.55"/>
    <x v="428"/>
    <s v="17,73"/>
    <n v="22.75604276299633"/>
    <x v="429"/>
  </r>
  <r>
    <x v="507"/>
    <x v="2"/>
    <n v="96544"/>
    <x v="130"/>
    <s v="KG"/>
    <n v="200.9"/>
    <s v="17,53"/>
    <n v="21.42"/>
    <x v="429"/>
    <s v="17,01"/>
    <n v="21.831939503585314"/>
    <x v="430"/>
  </r>
  <r>
    <x v="508"/>
    <x v="2"/>
    <n v="96545"/>
    <x v="28"/>
    <s v="KG"/>
    <n v="112.9"/>
    <s v="16,54"/>
    <n v="20.21"/>
    <x v="430"/>
    <s v="16,16"/>
    <n v="20.740984266780636"/>
    <x v="431"/>
  </r>
  <r>
    <x v="509"/>
    <x v="2"/>
    <n v="96546"/>
    <x v="29"/>
    <s v="KG"/>
    <n v="149.69999999999999"/>
    <s v="14,85"/>
    <n v="18.149999999999999"/>
    <x v="431"/>
    <s v="14,57"/>
    <n v="18.700256235581303"/>
    <x v="432"/>
  </r>
  <r>
    <x v="510"/>
    <x v="2"/>
    <n v="92263"/>
    <x v="30"/>
    <s v="M2"/>
    <n v="74.2"/>
    <s v="175,96"/>
    <n v="215.06"/>
    <x v="432"/>
    <s v="172,32"/>
    <n v="221.16871341903709"/>
    <x v="433"/>
  </r>
  <r>
    <x v="511"/>
    <x v="2"/>
    <n v="98557"/>
    <x v="31"/>
    <s v="M2"/>
    <n v="74.2"/>
    <s v="58,82"/>
    <n v="71.89"/>
    <x v="433"/>
    <s v="57,84"/>
    <n v="74.236295172685146"/>
    <x v="434"/>
  </r>
  <r>
    <x v="512"/>
    <x v="2"/>
    <n v="100651"/>
    <x v="310"/>
    <s v="M"/>
    <n v="32"/>
    <s v="139,63"/>
    <n v="170.66"/>
    <x v="434"/>
    <s v="138,42"/>
    <n v="177.65885162176829"/>
    <x v="435"/>
  </r>
  <r>
    <x v="513"/>
    <x v="0"/>
    <m/>
    <x v="0"/>
    <m/>
    <m/>
    <m/>
    <m/>
    <x v="435"/>
    <m/>
    <m/>
    <x v="436"/>
  </r>
  <r>
    <x v="0"/>
    <x v="0"/>
    <m/>
    <x v="0"/>
    <m/>
    <m/>
    <m/>
    <m/>
    <x v="0"/>
    <m/>
    <m/>
    <x v="0"/>
  </r>
  <r>
    <x v="514"/>
    <x v="0"/>
    <m/>
    <x v="132"/>
    <m/>
    <m/>
    <m/>
    <m/>
    <x v="0"/>
    <m/>
    <m/>
    <x v="0"/>
  </r>
  <r>
    <x v="515"/>
    <x v="1"/>
    <s v="SEPLAG ARQ 115"/>
    <x v="283"/>
    <s v="M"/>
    <n v="44.65"/>
    <n v="405.53000000000003"/>
    <n v="495.66"/>
    <x v="436"/>
    <n v="397.77000000000004"/>
    <n v="510.52854652211226"/>
    <x v="437"/>
  </r>
  <r>
    <x v="516"/>
    <x v="0"/>
    <m/>
    <x v="0"/>
    <m/>
    <m/>
    <m/>
    <m/>
    <x v="436"/>
    <m/>
    <m/>
    <x v="437"/>
  </r>
  <r>
    <x v="517"/>
    <x v="0"/>
    <m/>
    <x v="0"/>
    <m/>
    <m/>
    <m/>
    <m/>
    <x v="437"/>
    <m/>
    <m/>
    <x v="438"/>
  </r>
  <r>
    <x v="0"/>
    <x v="0"/>
    <m/>
    <x v="0"/>
    <m/>
    <m/>
    <m/>
    <m/>
    <x v="0"/>
    <m/>
    <m/>
    <x v="0"/>
  </r>
  <r>
    <x v="518"/>
    <x v="0"/>
    <m/>
    <x v="338"/>
    <m/>
    <m/>
    <m/>
    <m/>
    <x v="0"/>
    <m/>
    <m/>
    <x v="0"/>
  </r>
  <r>
    <x v="519"/>
    <x v="0"/>
    <m/>
    <x v="20"/>
    <m/>
    <m/>
    <m/>
    <m/>
    <x v="0"/>
    <m/>
    <m/>
    <x v="0"/>
  </r>
  <r>
    <x v="520"/>
    <x v="2"/>
    <n v="96523"/>
    <x v="21"/>
    <s v="M3"/>
    <n v="10.8"/>
    <s v="76,46"/>
    <n v="93.45"/>
    <x v="438"/>
    <s v="68,70"/>
    <n v="88.17485266880135"/>
    <x v="439"/>
  </r>
  <r>
    <x v="521"/>
    <x v="2"/>
    <n v="101616"/>
    <x v="22"/>
    <s v="M2"/>
    <n v="11.4"/>
    <s v="4,86"/>
    <n v="5.94"/>
    <x v="439"/>
    <s v="4,37"/>
    <n v="5.6087933939252093"/>
    <x v="440"/>
  </r>
  <r>
    <x v="522"/>
    <x v="2"/>
    <n v="96616"/>
    <x v="23"/>
    <s v="M3"/>
    <n v="0.34199999999999997"/>
    <s v="535,54"/>
    <n v="654.55999999999995"/>
    <x v="440"/>
    <s v="512,44"/>
    <n v="657.70482535080885"/>
    <x v="441"/>
  </r>
  <r>
    <x v="523"/>
    <x v="2"/>
    <n v="93382"/>
    <x v="24"/>
    <s v="M3"/>
    <n v="6.26"/>
    <s v="23,85"/>
    <n v="29.15"/>
    <x v="441"/>
    <s v="21,84"/>
    <n v="28.031132202134227"/>
    <x v="442"/>
  </r>
  <r>
    <x v="524"/>
    <x v="0"/>
    <m/>
    <x v="0"/>
    <m/>
    <m/>
    <m/>
    <m/>
    <x v="442"/>
    <m/>
    <m/>
    <x v="443"/>
  </r>
  <r>
    <x v="0"/>
    <x v="0"/>
    <m/>
    <x v="0"/>
    <m/>
    <m/>
    <m/>
    <m/>
    <x v="0"/>
    <m/>
    <m/>
    <x v="0"/>
  </r>
  <r>
    <x v="525"/>
    <x v="0"/>
    <m/>
    <x v="339"/>
    <m/>
    <m/>
    <m/>
    <m/>
    <x v="0"/>
    <m/>
    <m/>
    <x v="0"/>
  </r>
  <r>
    <x v="526"/>
    <x v="2"/>
    <n v="96543"/>
    <x v="27"/>
    <s v="KG"/>
    <n v="14.8"/>
    <s v="18,45"/>
    <n v="22.55"/>
    <x v="443"/>
    <s v="17,73"/>
    <n v="22.75604276299633"/>
    <x v="444"/>
  </r>
  <r>
    <x v="527"/>
    <x v="2"/>
    <n v="96545"/>
    <x v="28"/>
    <s v="KG"/>
    <n v="321.10000000000002"/>
    <s v="16,54"/>
    <n v="20.21"/>
    <x v="444"/>
    <s v="16,16"/>
    <n v="20.740984266780636"/>
    <x v="445"/>
  </r>
  <r>
    <x v="528"/>
    <x v="2"/>
    <n v="96546"/>
    <x v="29"/>
    <s v="KG"/>
    <n v="20.8"/>
    <s v="14,85"/>
    <n v="18.149999999999999"/>
    <x v="445"/>
    <s v="14,57"/>
    <n v="18.700256235581303"/>
    <x v="446"/>
  </r>
  <r>
    <x v="529"/>
    <x v="2"/>
    <n v="96536"/>
    <x v="340"/>
    <s v="M2"/>
    <n v="6.3"/>
    <s v="63,26"/>
    <n v="77.319999999999993"/>
    <x v="446"/>
    <s v="59,82"/>
    <n v="76.777579136065455"/>
    <x v="447"/>
  </r>
  <r>
    <x v="530"/>
    <x v="2"/>
    <n v="102481"/>
    <x v="341"/>
    <s v="M3"/>
    <n v="4.54"/>
    <s v="530,76"/>
    <n v="648.72"/>
    <x v="447"/>
    <s v="525,19"/>
    <n v="674.06915390287895"/>
    <x v="448"/>
  </r>
  <r>
    <x v="531"/>
    <x v="2"/>
    <n v="103670"/>
    <x v="342"/>
    <s v="M3"/>
    <n v="4.54"/>
    <s v="229,19"/>
    <n v="280.13"/>
    <x v="448"/>
    <s v="205,90"/>
    <n v="264.26786265656767"/>
    <x v="449"/>
  </r>
  <r>
    <x v="532"/>
    <x v="2"/>
    <n v="98557"/>
    <x v="31"/>
    <s v="M2"/>
    <n v="6.3"/>
    <s v="58,82"/>
    <n v="71.89"/>
    <x v="449"/>
    <s v="57,84"/>
    <n v="74.236295172685146"/>
    <x v="450"/>
  </r>
  <r>
    <x v="533"/>
    <x v="0"/>
    <m/>
    <x v="0"/>
    <m/>
    <m/>
    <m/>
    <m/>
    <x v="450"/>
    <m/>
    <m/>
    <x v="451"/>
  </r>
  <r>
    <x v="0"/>
    <x v="0"/>
    <m/>
    <x v="0"/>
    <m/>
    <m/>
    <m/>
    <m/>
    <x v="0"/>
    <m/>
    <m/>
    <x v="0"/>
  </r>
  <r>
    <x v="534"/>
    <x v="0"/>
    <m/>
    <x v="343"/>
    <m/>
    <m/>
    <m/>
    <m/>
    <x v="0"/>
    <m/>
    <m/>
    <x v="0"/>
  </r>
  <r>
    <x v="535"/>
    <x v="2"/>
    <n v="92759"/>
    <x v="344"/>
    <s v="KG"/>
    <n v="305.89999999999998"/>
    <s v="16,09"/>
    <n v="19.66"/>
    <x v="451"/>
    <s v="15,58"/>
    <n v="19.996567752255093"/>
    <x v="452"/>
  </r>
  <r>
    <x v="536"/>
    <x v="2"/>
    <n v="92760"/>
    <x v="345"/>
    <s v="KG"/>
    <n v="2.4"/>
    <s v="15,74"/>
    <n v="19.23"/>
    <x v="452"/>
    <s v="15,39"/>
    <n v="19.752707169910522"/>
    <x v="453"/>
  </r>
  <r>
    <x v="537"/>
    <x v="2"/>
    <n v="92761"/>
    <x v="346"/>
    <s v="KG"/>
    <n v="188.9"/>
    <s v="15,17"/>
    <n v="18.54"/>
    <x v="453"/>
    <s v="14,94"/>
    <n v="19.175142632778631"/>
    <x v="454"/>
  </r>
  <r>
    <x v="538"/>
    <x v="2"/>
    <n v="92762"/>
    <x v="347"/>
    <s v="KG"/>
    <n v="438.7"/>
    <s v="13,76"/>
    <n v="16.809999999999999"/>
    <x v="454"/>
    <s v="13,60"/>
    <n v="17.455283788874794"/>
    <x v="455"/>
  </r>
  <r>
    <x v="539"/>
    <x v="2"/>
    <n v="92265"/>
    <x v="301"/>
    <s v="M2"/>
    <n v="147"/>
    <s v="129,49"/>
    <n v="158.27000000000001"/>
    <x v="455"/>
    <s v="126,54"/>
    <n v="162.4111478414865"/>
    <x v="456"/>
  </r>
  <r>
    <x v="540"/>
    <x v="2"/>
    <n v="99431"/>
    <x v="348"/>
    <s v="M3"/>
    <n v="15.4"/>
    <s v="704,17"/>
    <n v="860.67"/>
    <x v="456"/>
    <s v="701,90"/>
    <n v="900.8723302508248"/>
    <x v="457"/>
  </r>
  <r>
    <x v="541"/>
    <x v="2"/>
    <n v="101963"/>
    <x v="131"/>
    <s v="M2"/>
    <n v="25.16"/>
    <s v="191,09"/>
    <n v="233.56"/>
    <x v="457"/>
    <s v="187,96"/>
    <n v="241.2422897762431"/>
    <x v="458"/>
  </r>
  <r>
    <x v="542"/>
    <x v="1"/>
    <s v="SEPLAG ARQ 167"/>
    <x v="349"/>
    <s v="UND"/>
    <n v="1"/>
    <n v="2669.9900000000002"/>
    <n v="3263.42"/>
    <x v="458"/>
    <n v="2601.5300000000002"/>
    <n v="3339.0032672993711"/>
    <x v="459"/>
  </r>
  <r>
    <x v="543"/>
    <x v="1"/>
    <s v="SEPLAG ARQ 168"/>
    <x v="350"/>
    <s v="UND"/>
    <n v="1"/>
    <n v="2335.8000000000002"/>
    <n v="2854.95"/>
    <x v="459"/>
    <n v="2267.34"/>
    <n v="2910.0781724902481"/>
    <x v="460"/>
  </r>
  <r>
    <x v="544"/>
    <x v="0"/>
    <m/>
    <x v="0"/>
    <m/>
    <m/>
    <m/>
    <m/>
    <x v="460"/>
    <m/>
    <m/>
    <x v="461"/>
  </r>
  <r>
    <x v="0"/>
    <x v="0"/>
    <m/>
    <x v="0"/>
    <m/>
    <m/>
    <m/>
    <m/>
    <x v="0"/>
    <m/>
    <m/>
    <x v="0"/>
  </r>
  <r>
    <x v="545"/>
    <x v="0"/>
    <m/>
    <x v="32"/>
    <m/>
    <m/>
    <m/>
    <m/>
    <x v="0"/>
    <m/>
    <m/>
    <x v="0"/>
  </r>
  <r>
    <x v="546"/>
    <x v="2"/>
    <n v="103328"/>
    <x v="34"/>
    <s v="M2"/>
    <n v="22.95"/>
    <s v="78,91"/>
    <n v="96.44"/>
    <x v="461"/>
    <s v="73,90"/>
    <n v="94.848931764547601"/>
    <x v="462"/>
  </r>
  <r>
    <x v="547"/>
    <x v="2"/>
    <n v="87893"/>
    <x v="35"/>
    <s v="M2"/>
    <n v="144"/>
    <s v="6,04"/>
    <n v="7.38"/>
    <x v="462"/>
    <s v="5,57"/>
    <n v="7.1489654929435735"/>
    <x v="463"/>
  </r>
  <r>
    <x v="548"/>
    <x v="2"/>
    <n v="87543"/>
    <x v="36"/>
    <s v="M2"/>
    <n v="144"/>
    <s v="24,40"/>
    <n v="29.82"/>
    <x v="463"/>
    <s v="23,82"/>
    <n v="30.572416165514529"/>
    <x v="464"/>
  </r>
  <r>
    <x v="549"/>
    <x v="0"/>
    <m/>
    <x v="0"/>
    <m/>
    <m/>
    <m/>
    <m/>
    <x v="464"/>
    <m/>
    <m/>
    <x v="465"/>
  </r>
  <r>
    <x v="550"/>
    <x v="0"/>
    <m/>
    <x v="0"/>
    <m/>
    <m/>
    <m/>
    <m/>
    <x v="465"/>
    <m/>
    <m/>
    <x v="4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2" cacheId="8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7">
  <location ref="A67:D84" firstHeaderRow="0" firstDataRow="1" firstDataCol="1" rowPageCount="1" colPageCount="1"/>
  <pivotFields count="12">
    <pivotField axis="axisRow" outline="0" multipleItemSelectionAllowed="1" showAll="0" sortType="descending" defaultSubtotal="0">
      <items count="597">
        <item h="1" x="1"/>
        <item h="1" x="2"/>
        <item h="1" x="3"/>
        <item h="1" x="4"/>
        <item h="1" x="5"/>
        <item h="1" x="6"/>
        <item h="1" x="7"/>
        <item h="1" x="8"/>
        <item h="1" x="350"/>
        <item h="1" x="351"/>
        <item h="1" x="360"/>
        <item h="1" x="361"/>
        <item h="1" x="362"/>
        <item h="1" x="363"/>
        <item h="1" x="364"/>
        <item h="1" x="365"/>
        <item h="1" x="366"/>
        <item h="1" x="367"/>
        <item h="1" m="1" x="571"/>
        <item h="1" m="1" x="573"/>
        <item h="1" x="352"/>
        <item h="1" m="1" x="562"/>
        <item h="1" m="1" x="563"/>
        <item h="1" m="1" x="565"/>
        <item h="1" m="1" x="567"/>
        <item h="1" m="1" x="568"/>
        <item h="1" m="1" x="569"/>
        <item h="1" m="1" x="572"/>
        <item h="1" m="1" x="574"/>
        <item h="1" m="1" x="575"/>
        <item h="1" m="1" x="576"/>
        <item h="1" x="353"/>
        <item h="1" m="1" x="566"/>
        <item h="1" x="354"/>
        <item h="1" x="355"/>
        <item h="1" x="356"/>
        <item h="1" x="357"/>
        <item h="1" x="358"/>
        <item h="1" x="359"/>
        <item h="1" x="369"/>
        <item h="1" x="370"/>
        <item h="1" x="371"/>
        <item h="1" x="372"/>
        <item h="1" x="373"/>
        <item h="1" x="374"/>
        <item h="1" x="376"/>
        <item h="1" x="377"/>
        <item h="1" x="378"/>
        <item h="1" x="379"/>
        <item h="1" x="380"/>
        <item h="1" x="381"/>
        <item h="1" x="382"/>
        <item h="1" x="383"/>
        <item h="1" x="384"/>
        <item h="1" x="385"/>
        <item h="1" x="387"/>
        <item h="1" x="388"/>
        <item h="1" x="389"/>
        <item h="1" x="391"/>
        <item h="1" x="392"/>
        <item h="1" x="393"/>
        <item h="1" x="396"/>
        <item h="1" x="397"/>
        <item h="1" x="398"/>
        <item h="1" x="399"/>
        <item h="1" x="400"/>
        <item h="1" x="402"/>
        <item h="1" x="403"/>
        <item h="1" x="404"/>
        <item h="1" x="405"/>
        <item h="1" x="406"/>
        <item h="1" x="407"/>
        <item h="1" x="408"/>
        <item h="1" x="409"/>
        <item h="1" x="410"/>
        <item h="1" x="411"/>
        <item h="1" x="415"/>
        <item h="1" x="416"/>
        <item h="1" x="417"/>
        <item h="1" x="418"/>
        <item h="1" x="419"/>
        <item h="1" x="420"/>
        <item h="1" x="422"/>
        <item h="1" x="423"/>
        <item h="1" x="424"/>
        <item h="1" x="425"/>
        <item h="1" x="428"/>
        <item h="1" x="429"/>
        <item h="1" x="430"/>
        <item h="1" x="431"/>
        <item h="1" x="432"/>
        <item h="1" x="434"/>
        <item h="1" x="435"/>
        <item h="1" x="436"/>
        <item h="1" x="437"/>
        <item h="1" x="438"/>
        <item h="1" x="439"/>
        <item h="1" x="440"/>
        <item h="1" x="441"/>
        <item h="1" x="442"/>
        <item h="1" x="444"/>
        <item h="1" x="445"/>
        <item h="1" x="446"/>
        <item h="1" x="447"/>
        <item h="1" x="448"/>
        <item h="1" x="449"/>
        <item h="1" x="450"/>
        <item h="1" x="458"/>
        <item h="1" x="459"/>
        <item h="1" x="460"/>
        <item h="1" x="461"/>
        <item h="1" x="463"/>
        <item h="1" x="464"/>
        <item h="1" x="465"/>
        <item h="1" x="466"/>
        <item h="1" x="468"/>
        <item h="1" x="469"/>
        <item h="1" x="473"/>
        <item h="1" m="1" x="596"/>
        <item h="1" m="1" x="578"/>
        <item h="1" m="1" x="587"/>
        <item h="1" m="1" x="590"/>
        <item h="1" m="1" x="551"/>
        <item h="1" m="1" x="554"/>
        <item h="1" m="1" x="559"/>
        <item h="1" m="1" x="560"/>
        <item h="1" m="1" x="561"/>
        <item h="1" m="1" x="564"/>
        <item h="1" m="1" x="570"/>
        <item h="1" m="1" x="577"/>
        <item h="1" m="1" x="584"/>
        <item h="1" m="1" x="589"/>
        <item h="1" x="488"/>
        <item h="1" x="489"/>
        <item h="1" x="490"/>
        <item h="1" x="491"/>
        <item h="1" x="492"/>
        <item h="1" x="493"/>
        <item h="1" x="494"/>
        <item h="1" x="496"/>
        <item h="1" x="497"/>
        <item h="1" x="498"/>
        <item h="1" x="499"/>
        <item h="1" x="500"/>
        <item h="1" x="501"/>
        <item h="1" x="503"/>
        <item h="1" x="504"/>
        <item h="1" x="505"/>
        <item h="1" x="506"/>
        <item h="1" x="507"/>
        <item h="1" x="508"/>
        <item h="1" x="509"/>
        <item h="1" x="510"/>
        <item h="1" x="511"/>
        <item h="1" x="512"/>
        <item h="1" x="514"/>
        <item h="1" x="515"/>
        <item h="1" x="518"/>
        <item h="1" x="519"/>
        <item h="1" x="520"/>
        <item h="1" x="521"/>
        <item h="1" x="522"/>
        <item h="1" x="523"/>
        <item h="1" x="525"/>
        <item h="1" x="526"/>
        <item h="1" x="527"/>
        <item h="1" x="528"/>
        <item h="1" x="529"/>
        <item h="1" x="530"/>
        <item h="1" x="531"/>
        <item h="1" x="532"/>
        <item h="1" m="1" x="581"/>
        <item h="1" x="534"/>
        <item h="1" x="535"/>
        <item h="1" x="536"/>
        <item h="1" x="537"/>
        <item h="1" x="538"/>
        <item h="1" x="539"/>
        <item h="1" x="540"/>
        <item h="1" x="541"/>
        <item h="1" x="545"/>
        <item h="1" x="546"/>
        <item h="1" x="547"/>
        <item h="1" x="548"/>
        <item h="1" x="10"/>
        <item h="1" x="11"/>
        <item h="1" x="13"/>
        <item h="1" x="14"/>
        <item h="1" x="15"/>
        <item h="1" x="16"/>
        <item h="1" x="17"/>
        <item h="1" x="18"/>
        <item h="1" x="19"/>
        <item h="1" x="20"/>
        <item h="1" x="21"/>
        <item h="1" x="23"/>
        <item h="1" x="24"/>
        <item h="1" x="25"/>
        <item h="1" x="26"/>
        <item h="1" x="27"/>
        <item h="1" x="29"/>
        <item h="1" x="30"/>
        <item h="1" x="31"/>
        <item h="1" x="32"/>
        <item h="1" x="33"/>
        <item h="1" x="34"/>
        <item h="1" x="35"/>
        <item h="1" x="37"/>
        <item h="1" x="38"/>
        <item h="1" x="39"/>
        <item h="1" x="40"/>
        <item h="1" x="41"/>
        <item h="1" x="43"/>
        <item h="1" x="44"/>
        <item h="1" m="1" x="591"/>
        <item h="1" m="1" x="592"/>
        <item h="1" x="46"/>
        <item h="1" x="47"/>
        <item h="1" x="48"/>
        <item h="1" x="49"/>
        <item h="1" x="50"/>
        <item h="1" x="52"/>
        <item h="1" x="53"/>
        <item h="1" x="54"/>
        <item h="1" x="55"/>
        <item h="1" x="57"/>
        <item h="1" x="58"/>
        <item h="1" x="59"/>
        <item h="1" x="60"/>
        <item h="1" x="61"/>
        <item h="1" x="67"/>
        <item h="1" x="68"/>
        <item h="1" x="69"/>
        <item h="1" x="70"/>
        <item h="1" x="73"/>
        <item h="1" x="74"/>
        <item h="1" x="75"/>
        <item h="1" x="76"/>
        <item h="1" x="77"/>
        <item h="1" x="78"/>
        <item h="1" x="80"/>
        <item h="1" x="81"/>
        <item h="1" x="82"/>
        <item h="1" x="84"/>
        <item h="1" x="85"/>
        <item h="1" x="86"/>
        <item h="1" x="87"/>
        <item h="1" x="88"/>
        <item h="1" x="89"/>
        <item h="1" x="90"/>
        <item h="1" x="91"/>
        <item h="1" x="92"/>
        <item h="1" x="93"/>
        <item h="1" x="95"/>
        <item h="1" x="96"/>
        <item h="1" x="97"/>
        <item h="1" x="98"/>
        <item h="1" x="109"/>
        <item h="1" x="110"/>
        <item h="1" x="111"/>
        <item h="1" x="112"/>
        <item h="1" x="113"/>
        <item h="1" x="115"/>
        <item h="1" x="116"/>
        <item h="1" x="117"/>
        <item h="1" x="119"/>
        <item h="1" x="120"/>
        <item h="1" x="121"/>
        <item h="1" x="122"/>
        <item h="1" x="124"/>
        <item h="1" x="125"/>
        <item h="1" x="126"/>
        <item h="1" x="127"/>
        <item h="1" x="128"/>
        <item h="1" x="129"/>
        <item h="1" x="131"/>
        <item h="1" x="132"/>
        <item h="1" x="133"/>
        <item h="1" x="134"/>
        <item h="1" x="135"/>
        <item h="1" x="140"/>
        <item h="1" x="141"/>
        <item h="1" x="142"/>
        <item h="1" x="143"/>
        <item h="1" x="144"/>
        <item h="1" x="145"/>
        <item h="1" x="149"/>
        <item h="1" x="150"/>
        <item h="1" x="151"/>
        <item h="1" x="152"/>
        <item h="1" x="153"/>
        <item h="1" x="154"/>
        <item h="1" x="155"/>
        <item h="1" x="156"/>
        <item h="1" x="157"/>
        <item h="1" x="158"/>
        <item h="1" x="162"/>
        <item h="1" x="163"/>
        <item h="1" x="172"/>
        <item h="1" x="173"/>
        <item h="1" x="174"/>
        <item h="1" x="175"/>
        <item h="1" x="176"/>
        <item h="1" x="164"/>
        <item h="1" x="165"/>
        <item h="1" x="166"/>
        <item h="1" x="167"/>
        <item h="1" x="168"/>
        <item h="1" x="169"/>
        <item h="1" x="170"/>
        <item h="1" x="171"/>
        <item h="1" x="178"/>
        <item h="1" x="179"/>
        <item h="1" x="188"/>
        <item h="1" x="189"/>
        <item h="1" m="1" x="557"/>
        <item h="1" m="1" x="588"/>
        <item h="1" m="1" x="556"/>
        <item h="1" m="1" x="586"/>
        <item h="1" m="1" x="553"/>
        <item h="1" m="1" x="583"/>
        <item h="1" m="1" x="552"/>
        <item h="1" m="1" x="580"/>
        <item h="1" x="180"/>
        <item h="1" x="181"/>
        <item h="1" x="182"/>
        <item h="1" x="183"/>
        <item h="1" x="184"/>
        <item h="1" x="185"/>
        <item h="1" x="186"/>
        <item h="1" x="187"/>
        <item h="1" x="191"/>
        <item h="1" x="192"/>
        <item h="1" x="193"/>
        <item h="1" x="194"/>
        <item h="1" x="195"/>
        <item h="1" x="196"/>
        <item h="1" x="198"/>
        <item h="1" x="199"/>
        <item h="1" x="200"/>
        <item h="1" x="201"/>
        <item h="1" x="202"/>
        <item h="1" x="203"/>
        <item h="1" x="204"/>
        <item h="1" x="205"/>
        <item h="1" x="206"/>
        <item h="1" x="208"/>
        <item h="1" x="209"/>
        <item h="1" x="210"/>
        <item h="1" x="214"/>
        <item h="1" x="215"/>
        <item h="1" x="216"/>
        <item h="1" x="222"/>
        <item h="1" m="1" x="558"/>
        <item h="1" x="223"/>
        <item h="1" x="224"/>
        <item h="1" x="225"/>
        <item h="1" x="226"/>
        <item h="1" x="227"/>
        <item h="1" x="217"/>
        <item h="1" x="218"/>
        <item h="1" x="219"/>
        <item h="1" m="1" x="593"/>
        <item h="1" x="220"/>
        <item h="1" m="1" x="594"/>
        <item h="1" m="1" x="595"/>
        <item h="1" x="221"/>
        <item h="1" x="229"/>
        <item h="1" x="230"/>
        <item h="1" x="239"/>
        <item h="1" x="240"/>
        <item h="1" x="241"/>
        <item h="1" x="244"/>
        <item h="1" x="246"/>
        <item h="1" x="247"/>
        <item h="1" x="248"/>
        <item h="1" x="231"/>
        <item h="1" x="249"/>
        <item h="1" x="250"/>
        <item h="1" x="251"/>
        <item h="1" x="252"/>
        <item h="1" x="253"/>
        <item h="1" x="254"/>
        <item h="1" x="255"/>
        <item h="1" x="256"/>
        <item h="1" x="257"/>
        <item h="1" x="258"/>
        <item h="1" x="232"/>
        <item h="1" x="259"/>
        <item h="1" x="260"/>
        <item h="1" x="261"/>
        <item h="1" x="262"/>
        <item h="1" x="263"/>
        <item h="1" x="264"/>
        <item h="1" x="265"/>
        <item h="1" x="266"/>
        <item h="1" x="267"/>
        <item h="1" x="268"/>
        <item h="1" x="233"/>
        <item h="1" x="269"/>
        <item h="1" x="270"/>
        <item h="1" x="271"/>
        <item h="1" x="272"/>
        <item h="1" x="273"/>
        <item h="1" x="274"/>
        <item h="1" x="275"/>
        <item h="1" x="276"/>
        <item h="1" x="277"/>
        <item h="1" x="278"/>
        <item h="1" x="234"/>
        <item h="1" x="235"/>
        <item h="1" x="236"/>
        <item h="1" x="237"/>
        <item h="1" x="238"/>
        <item h="1" x="290"/>
        <item h="1" x="291"/>
        <item h="1" x="300"/>
        <item h="1" x="301"/>
        <item h="1" x="302"/>
        <item h="1" x="303"/>
        <item h="1" x="304"/>
        <item h="1" x="305"/>
        <item h="1" x="306"/>
        <item h="1" x="307"/>
        <item h="1" x="308"/>
        <item h="1" x="292"/>
        <item h="1" x="293"/>
        <item h="1" x="294"/>
        <item h="1" x="295"/>
        <item h="1" x="296"/>
        <item h="1" x="297"/>
        <item h="1" x="298"/>
        <item h="1" x="299"/>
        <item h="1" x="318"/>
        <item h="1" x="319"/>
        <item h="1" x="320"/>
        <item h="1" x="329"/>
        <item h="1" x="330"/>
        <item h="1" x="331"/>
        <item h="1" x="332"/>
        <item h="1" x="333"/>
        <item h="1" x="334"/>
        <item h="1" x="335"/>
        <item h="1" x="336"/>
        <item h="1" x="321"/>
        <item h="1" x="322"/>
        <item h="1" x="323"/>
        <item h="1" x="324"/>
        <item h="1" x="325"/>
        <item h="1" x="326"/>
        <item h="1" x="327"/>
        <item h="1" x="328"/>
        <item h="1" x="339"/>
        <item h="1" x="340"/>
        <item h="1" x="341"/>
        <item h="1" x="342"/>
        <item h="1" x="343"/>
        <item h="1" x="344"/>
        <item h="1" x="345"/>
        <item h="1" x="346"/>
        <item h="1" x="347"/>
        <item x="9"/>
        <item x="368"/>
        <item x="395"/>
        <item h="1" x="375"/>
        <item h="1" x="386"/>
        <item h="1" x="390"/>
        <item h="1" x="394"/>
        <item x="427"/>
        <item h="1" x="401"/>
        <item h="1" x="414"/>
        <item h="1" x="421"/>
        <item h="1" x="426"/>
        <item x="487"/>
        <item h="1" x="433"/>
        <item h="1" x="443"/>
        <item h="1" x="457"/>
        <item h="1" x="462"/>
        <item h="1" x="467"/>
        <item h="1" m="1" x="555"/>
        <item h="1" m="1" x="579"/>
        <item h="1" m="1" x="582"/>
        <item h="1" m="1" x="585"/>
        <item x="495"/>
        <item x="517"/>
        <item h="1" x="502"/>
        <item h="1" x="513"/>
        <item h="1" x="516"/>
        <item x="550"/>
        <item h="1" x="524"/>
        <item h="1" x="533"/>
        <item h="1" x="544"/>
        <item h="1" x="549"/>
        <item x="12"/>
        <item x="72"/>
        <item h="1" x="22"/>
        <item h="1" x="28"/>
        <item h="1" x="36"/>
        <item h="1" x="42"/>
        <item h="1" x="45"/>
        <item h="1" x="51"/>
        <item h="1" x="56"/>
        <item h="1" x="66"/>
        <item h="1" x="71"/>
        <item x="108"/>
        <item h="1" x="79"/>
        <item h="1" x="83"/>
        <item h="1" x="94"/>
        <item h="1" x="102"/>
        <item x="139"/>
        <item h="1" x="114"/>
        <item h="1" x="118"/>
        <item h="1" x="123"/>
        <item h="1" x="130"/>
        <item h="1" x="138"/>
        <item x="213"/>
        <item h="1" x="148"/>
        <item h="1" x="161"/>
        <item h="1" x="177"/>
        <item h="1" x="190"/>
        <item h="1" x="212"/>
        <item h="1" x="197"/>
        <item h="1" x="207"/>
        <item h="1" x="211"/>
        <item x="317"/>
        <item h="1" x="228"/>
        <item h="1" x="289"/>
        <item h="1" x="316"/>
        <item x="338"/>
        <item h="1" x="337"/>
        <item x="349"/>
        <item h="1" x="348"/>
        <item h="1" x="0"/>
        <item h="1" x="62"/>
        <item h="1" x="63"/>
        <item h="1" x="64"/>
        <item h="1" x="65"/>
        <item h="1" x="99"/>
        <item h="1" x="100"/>
        <item h="1" x="101"/>
        <item h="1" x="103"/>
        <item h="1" x="104"/>
        <item h="1" x="105"/>
        <item h="1" x="106"/>
        <item h="1" x="107"/>
        <item h="1" x="136"/>
        <item h="1" x="137"/>
        <item h="1" x="146"/>
        <item h="1" x="147"/>
        <item h="1" x="159"/>
        <item h="1" x="160"/>
        <item h="1" x="242"/>
        <item h="1" x="243"/>
        <item h="1" x="245"/>
        <item h="1" x="279"/>
        <item h="1" x="280"/>
        <item h="1" x="281"/>
        <item h="1" x="282"/>
        <item h="1" x="283"/>
        <item h="1" x="284"/>
        <item h="1" x="309"/>
        <item h="1" x="310"/>
        <item h="1" x="311"/>
        <item h="1" x="312"/>
        <item h="1" x="313"/>
        <item h="1" x="314"/>
        <item h="1" x="315"/>
        <item h="1" x="412"/>
        <item h="1" x="413"/>
        <item h="1" x="451"/>
        <item h="1" x="452"/>
        <item h="1" x="453"/>
        <item h="1" x="454"/>
        <item h="1" x="455"/>
        <item h="1" x="456"/>
        <item h="1" x="285"/>
        <item h="1" x="286"/>
        <item h="1" x="287"/>
        <item h="1" x="288"/>
        <item h="1" x="542"/>
        <item h="1" x="543"/>
        <item h="1" x="470"/>
        <item h="1" x="471"/>
        <item h="1" x="472"/>
        <item h="1" x="474"/>
        <item h="1" x="475"/>
        <item h="1" x="476"/>
        <item h="1" x="477"/>
        <item h="1" x="478"/>
        <item h="1" x="479"/>
        <item h="1" x="480"/>
        <item h="1" x="481"/>
        <item h="1" x="482"/>
        <item h="1" x="483"/>
        <item h="1" x="484"/>
        <item h="1" x="485"/>
        <item h="1" x="486"/>
      </items>
      <autoSortScope>
        <pivotArea dataOnly="0" outline="0" fieldPosition="0">
          <references count="1">
            <reference field="4294967294" count="1" selected="0">
              <x v="0"/>
            </reference>
          </references>
        </pivotArea>
      </autoSortScope>
    </pivotField>
    <pivotField showAll="0"/>
    <pivotField showAll="0"/>
    <pivotField outline="0" showAll="0" defaultSubtotal="0"/>
    <pivotField showAll="0"/>
    <pivotField showAll="0"/>
    <pivotField showAll="0"/>
    <pivotField showAll="0"/>
    <pivotField dataField="1" multipleItemSelectionAllowed="1" showAll="0">
      <items count="1080">
        <item m="1" x="466"/>
        <item x="399"/>
        <item x="368"/>
        <item m="1" x="904"/>
        <item x="321"/>
        <item m="1" x="548"/>
        <item x="19"/>
        <item m="1" x="1056"/>
        <item m="1" x="705"/>
        <item m="1" x="673"/>
        <item m="1" x="811"/>
        <item m="1" x="775"/>
        <item x="15"/>
        <item m="1" x="469"/>
        <item m="1" x="1029"/>
        <item m="1" x="819"/>
        <item m="1" x="480"/>
        <item m="1" x="676"/>
        <item m="1" x="772"/>
        <item m="1" x="1049"/>
        <item m="1" x="875"/>
        <item m="1" x="810"/>
        <item m="1" x="901"/>
        <item m="1" x="748"/>
        <item m="1" x="944"/>
        <item m="1" x="991"/>
        <item m="1" x="622"/>
        <item m="1" x="496"/>
        <item m="1" x="1078"/>
        <item m="1" x="683"/>
        <item m="1" x="487"/>
        <item m="1" x="567"/>
        <item m="1" x="642"/>
        <item m="1" x="817"/>
        <item m="1" x="808"/>
        <item m="1" x="971"/>
        <item x="439"/>
        <item m="1" x="738"/>
        <item m="1" x="782"/>
        <item m="1" x="591"/>
        <item m="1" x="1061"/>
        <item m="1" x="1030"/>
        <item m="1" x="907"/>
        <item m="1" x="930"/>
        <item m="1" x="613"/>
        <item m="1" x="652"/>
        <item m="1" x="997"/>
        <item m="1" x="493"/>
        <item x="11"/>
        <item m="1" x="484"/>
        <item m="1" x="970"/>
        <item m="1" x="963"/>
        <item m="1" x="929"/>
        <item m="1" x="741"/>
        <item m="1" x="597"/>
        <item m="1" x="977"/>
        <item m="1" x="534"/>
        <item m="1" x="478"/>
        <item x="13"/>
        <item x="312"/>
        <item x="398"/>
        <item x="331"/>
        <item x="400"/>
        <item m="1" x="902"/>
        <item m="1" x="685"/>
        <item m="1" x="906"/>
        <item m="1" x="578"/>
        <item x="311"/>
        <item m="1" x="518"/>
        <item m="1" x="983"/>
        <item x="156"/>
        <item m="1" x="634"/>
        <item x="90"/>
        <item m="1" x="627"/>
        <item m="1" x="761"/>
        <item x="60"/>
        <item m="1" x="584"/>
        <item m="1" x="998"/>
        <item m="1" x="572"/>
        <item m="1" x="515"/>
        <item m="1" x="920"/>
        <item m="1" x="564"/>
        <item m="1" x="1067"/>
        <item x="18"/>
        <item m="1" x="946"/>
        <item m="1" x="625"/>
        <item m="1" x="621"/>
        <item m="1" x="532"/>
        <item m="1" x="982"/>
        <item m="1" x="547"/>
        <item m="1" x="653"/>
        <item m="1" x="616"/>
        <item x="314"/>
        <item m="1" x="1051"/>
        <item m="1" x="792"/>
        <item m="1" x="633"/>
        <item x="62"/>
        <item x="424"/>
        <item m="1" x="674"/>
        <item m="1" x="762"/>
        <item m="1" x="935"/>
        <item m="1" x="876"/>
        <item m="1" x="899"/>
        <item m="1" x="502"/>
        <item m="1" x="1009"/>
        <item m="1" x="717"/>
        <item m="1" x="638"/>
        <item m="1" x="650"/>
        <item x="10"/>
        <item m="1" x="885"/>
        <item m="1" x="1026"/>
        <item m="1" x="797"/>
        <item m="1" x="826"/>
        <item m="1" x="818"/>
        <item m="1" x="763"/>
        <item m="1" x="541"/>
        <item m="1" x="620"/>
        <item m="1" x="692"/>
        <item m="1" x="596"/>
        <item x="89"/>
        <item x="449"/>
        <item m="1" x="968"/>
        <item m="1" x="503"/>
        <item m="1" x="957"/>
        <item m="1" x="922"/>
        <item m="1" x="725"/>
        <item x="59"/>
        <item m="1" x="1024"/>
        <item m="1" x="853"/>
        <item m="1" x="600"/>
        <item m="1" x="691"/>
        <item m="1" x="925"/>
        <item m="1" x="843"/>
        <item m="1" x="492"/>
        <item m="1" x="733"/>
        <item m="1" x="863"/>
        <item m="1" x="641"/>
        <item m="1" x="949"/>
        <item m="1" x="940"/>
        <item m="1" x="952"/>
        <item m="1" x="800"/>
        <item m="1" x="887"/>
        <item m="1" x="664"/>
        <item m="1" x="626"/>
        <item m="1" x="690"/>
        <item m="1" x="470"/>
        <item m="1" x="533"/>
        <item m="1" x="918"/>
        <item m="1" x="581"/>
        <item m="1" x="1010"/>
        <item m="1" x="916"/>
        <item m="1" x="467"/>
        <item m="1" x="878"/>
        <item m="1" x="1011"/>
        <item m="1" x="481"/>
        <item m="1" x="723"/>
        <item m="1" x="879"/>
        <item m="1" x="1027"/>
        <item m="1" x="549"/>
        <item m="1" x="1040"/>
        <item m="1" x="519"/>
        <item x="320"/>
        <item m="1" x="536"/>
        <item x="438"/>
        <item m="1" x="969"/>
        <item x="423"/>
        <item m="1" x="842"/>
        <item m="1" x="700"/>
        <item m="1" x="978"/>
        <item m="1" x="839"/>
        <item x="367"/>
        <item x="369"/>
        <item m="1" x="1015"/>
        <item m="1" x="636"/>
        <item x="12"/>
        <item m="1" x="565"/>
        <item x="422"/>
        <item m="1" x="525"/>
        <item m="1" x="709"/>
        <item m="1" x="494"/>
        <item m="1" x="1063"/>
        <item m="1" x="917"/>
        <item m="1" x="865"/>
        <item m="1" x="995"/>
        <item m="1" x="1019"/>
        <item m="1" x="846"/>
        <item m="1" x="798"/>
        <item x="14"/>
        <item x="375"/>
        <item m="1" x="603"/>
        <item m="1" x="680"/>
        <item x="300"/>
        <item m="1" x="562"/>
        <item m="1" x="607"/>
        <item m="1" x="479"/>
        <item m="1" x="527"/>
        <item m="1" x="905"/>
        <item m="1" x="724"/>
        <item m="1" x="666"/>
        <item m="1" x="895"/>
        <item m="1" x="1016"/>
        <item m="1" x="857"/>
        <item m="1" x="776"/>
        <item m="1" x="908"/>
        <item m="1" x="764"/>
        <item m="1" x="1048"/>
        <item m="1" x="693"/>
        <item m="1" x="482"/>
        <item m="1" x="834"/>
        <item m="1" x="964"/>
        <item m="1" x="859"/>
        <item m="1" x="928"/>
        <item m="1" x="604"/>
        <item m="1" x="689"/>
        <item m="1" x="852"/>
        <item m="1" x="994"/>
        <item m="1" x="509"/>
        <item m="1" x="592"/>
        <item m="1" x="555"/>
        <item m="1" x="939"/>
        <item m="1" x="716"/>
        <item m="1" x="504"/>
        <item m="1" x="877"/>
        <item m="1" x="1003"/>
        <item m="1" x="812"/>
        <item m="1" x="537"/>
        <item x="405"/>
        <item m="1" x="694"/>
        <item m="1" x="789"/>
        <item m="1" x="785"/>
        <item m="1" x="576"/>
        <item m="1" x="659"/>
        <item x="166"/>
        <item m="1" x="485"/>
        <item m="1" x="679"/>
        <item m="1" x="815"/>
        <item m="1" x="498"/>
        <item m="1" x="499"/>
        <item x="319"/>
        <item x="91"/>
        <item m="1" x="729"/>
        <item m="1" x="649"/>
        <item m="1" x="586"/>
        <item m="1" x="545"/>
        <item x="61"/>
        <item m="1" x="667"/>
        <item m="1" x="985"/>
        <item m="1" x="699"/>
        <item m="1" x="871"/>
        <item m="1" x="668"/>
        <item x="28"/>
        <item m="1" x="856"/>
        <item m="1" x="830"/>
        <item m="1" x="1041"/>
        <item x="92"/>
        <item x="248"/>
        <item m="1" x="884"/>
        <item m="1" x="822"/>
        <item m="1" x="989"/>
        <item m="1" x="974"/>
        <item m="1" x="790"/>
        <item m="1" x="529"/>
        <item m="1" x="1070"/>
        <item m="1" x="645"/>
        <item m="1" x="506"/>
        <item m="1" x="500"/>
        <item x="63"/>
        <item m="1" x="497"/>
        <item m="1" x="951"/>
        <item m="1" x="580"/>
        <item m="1" x="888"/>
        <item m="1" x="767"/>
        <item m="1" x="758"/>
        <item m="1" x="746"/>
        <item m="1" x="1075"/>
        <item m="1" x="765"/>
        <item m="1" x="841"/>
        <item m="1" x="1023"/>
        <item m="1" x="1057"/>
        <item m="1" x="824"/>
        <item x="433"/>
        <item m="1" x="783"/>
        <item m="1" x="766"/>
        <item m="1" x="889"/>
        <item m="1" x="554"/>
        <item m="1" x="514"/>
        <item x="330"/>
        <item m="1" x="696"/>
        <item m="1" x="1035"/>
        <item m="1" x="736"/>
        <item m="1" x="677"/>
        <item m="1" x="476"/>
        <item x="37"/>
        <item m="1" x="702"/>
        <item m="1" x="1071"/>
        <item m="1" x="524"/>
        <item m="1" x="854"/>
        <item m="1" x="773"/>
        <item m="1" x="874"/>
        <item m="1" x="861"/>
        <item m="1" x="780"/>
        <item m="1" x="648"/>
        <item m="1" x="943"/>
        <item m="1" x="984"/>
        <item m="1" x="1076"/>
        <item m="1" x="675"/>
        <item m="1" x="715"/>
        <item m="1" x="896"/>
        <item m="1" x="543"/>
        <item m="1" x="695"/>
        <item m="1" x="1008"/>
        <item m="1" x="749"/>
        <item m="1" x="802"/>
        <item m="1" x="1043"/>
        <item m="1" x="744"/>
        <item m="1" x="1062"/>
        <item m="1" x="803"/>
        <item m="1" x="1014"/>
        <item m="1" x="892"/>
        <item m="1" x="644"/>
        <item m="1" x="629"/>
        <item m="1" x="678"/>
        <item m="1" x="1004"/>
        <item m="1" x="508"/>
        <item x="155"/>
        <item m="1" x="838"/>
        <item m="1" x="821"/>
        <item m="1" x="950"/>
        <item m="1" x="992"/>
        <item m="1" x="594"/>
        <item m="1" x="726"/>
        <item m="1" x="912"/>
        <item m="1" x="827"/>
        <item m="1" x="768"/>
        <item m="1" x="903"/>
        <item m="1" x="731"/>
        <item m="1" x="1032"/>
        <item m="1" x="495"/>
        <item m="1" x="582"/>
        <item m="1" x="1044"/>
        <item m="1" x="1053"/>
        <item m="1" x="646"/>
        <item m="1" x="759"/>
        <item m="1" x="606"/>
        <item m="1" x="781"/>
        <item m="1" x="544"/>
        <item m="1" x="510"/>
        <item m="1" x="521"/>
        <item x="97"/>
        <item m="1" x="552"/>
        <item m="1" x="663"/>
        <item m="1" x="473"/>
        <item m="1" x="847"/>
        <item m="1" x="793"/>
        <item m="1" x="551"/>
        <item m="1" x="754"/>
        <item m="1" x="602"/>
        <item m="1" x="1025"/>
        <item m="1" x="489"/>
        <item m="1" x="881"/>
        <item m="1" x="631"/>
        <item m="1" x="630"/>
        <item m="1" x="708"/>
        <item m="1" x="960"/>
        <item m="1" x="835"/>
        <item m="1" x="972"/>
        <item m="1" x="784"/>
        <item m="1" x="491"/>
        <item m="1" x="505"/>
        <item m="1" x="809"/>
        <item x="35"/>
        <item m="1" x="615"/>
        <item m="1" x="1052"/>
        <item m="1" x="701"/>
        <item m="1" x="719"/>
        <item m="1" x="1000"/>
        <item m="1" x="587"/>
        <item m="1" x="1007"/>
        <item m="1" x="993"/>
        <item m="1" x="1058"/>
        <item m="1" x="962"/>
        <item m="1" x="882"/>
        <item m="1" x="756"/>
        <item m="1" x="1077"/>
        <item m="1" x="936"/>
        <item m="1" x="1074"/>
        <item m="1" x="538"/>
        <item m="1" x="739"/>
        <item m="1" x="643"/>
        <item m="1" x="1065"/>
        <item m="1" x="752"/>
        <item m="1" x="588"/>
        <item m="1" x="477"/>
        <item m="1" x="981"/>
        <item m="1" x="990"/>
        <item m="1" x="566"/>
        <item m="1" x="897"/>
        <item m="1" x="1047"/>
        <item m="1" x="569"/>
        <item m="1" x="932"/>
        <item m="1" x="1020"/>
        <item m="1" x="661"/>
        <item m="1" x="979"/>
        <item m="1" x="814"/>
        <item m="1" x="832"/>
        <item m="1" x="858"/>
        <item m="1" x="531"/>
        <item m="1" x="612"/>
        <item m="1" x="973"/>
        <item x="9"/>
        <item m="1" x="559"/>
        <item m="1" x="829"/>
        <item x="0"/>
        <item m="1" x="560"/>
        <item m="1" x="774"/>
        <item m="1" x="575"/>
        <item m="1" x="671"/>
        <item m="1" x="891"/>
        <item m="1" x="590"/>
        <item m="1" x="681"/>
        <item m="1" x="618"/>
        <item x="2"/>
        <item x="3"/>
        <item x="4"/>
        <item x="5"/>
        <item x="6"/>
        <item m="1" x="954"/>
        <item x="16"/>
        <item x="17"/>
        <item x="20"/>
        <item x="21"/>
        <item x="22"/>
        <item x="23"/>
        <item x="24"/>
        <item x="25"/>
        <item x="26"/>
        <item x="27"/>
        <item x="29"/>
        <item x="30"/>
        <item x="31"/>
        <item x="32"/>
        <item x="33"/>
        <item x="34"/>
        <item m="1" x="468"/>
        <item m="1" x="965"/>
        <item m="1" x="598"/>
        <item x="36"/>
        <item x="38"/>
        <item m="1" x="828"/>
        <item m="1" x="614"/>
        <item m="1" x="1028"/>
        <item m="1" x="740"/>
        <item m="1" x="1031"/>
        <item m="1" x="523"/>
        <item m="1" x="570"/>
        <item m="1" x="637"/>
        <item m="1" x="501"/>
        <item m="1" x="845"/>
        <item x="51"/>
        <item m="1" x="866"/>
        <item m="1" x="1045"/>
        <item m="1" x="490"/>
        <item m="1" x="710"/>
        <item m="1" x="747"/>
        <item m="1" x="1066"/>
        <item m="1" x="942"/>
        <item m="1" x="1034"/>
        <item m="1" x="672"/>
        <item x="71"/>
        <item x="73"/>
        <item m="1" x="682"/>
        <item x="75"/>
        <item m="1" x="934"/>
        <item m="1" x="742"/>
        <item m="1" x="833"/>
        <item m="1" x="628"/>
        <item m="1" x="647"/>
        <item x="81"/>
        <item m="1" x="864"/>
        <item m="1" x="1054"/>
        <item x="84"/>
        <item x="85"/>
        <item x="86"/>
        <item x="87"/>
        <item m="1" x="632"/>
        <item x="96"/>
        <item x="98"/>
        <item x="99"/>
        <item m="1" x="923"/>
        <item x="103"/>
        <item m="1" x="913"/>
        <item m="1" x="577"/>
        <item x="106"/>
        <item m="1" x="937"/>
        <item m="1" x="713"/>
        <item m="1" x="542"/>
        <item m="1" x="806"/>
        <item m="1" x="609"/>
        <item m="1" x="927"/>
        <item m="1" x="624"/>
        <item m="1" x="563"/>
        <item m="1" x="788"/>
        <item m="1" x="512"/>
        <item m="1" x="475"/>
        <item x="121"/>
        <item m="1" x="915"/>
        <item x="123"/>
        <item x="124"/>
        <item x="125"/>
        <item m="1" x="585"/>
        <item m="1" x="687"/>
        <item x="128"/>
        <item x="129"/>
        <item x="130"/>
        <item x="131"/>
        <item x="132"/>
        <item x="133"/>
        <item m="1" x="619"/>
        <item x="135"/>
        <item m="1" x="886"/>
        <item m="1" x="941"/>
        <item m="1" x="880"/>
        <item m="1" x="608"/>
        <item m="1" x="686"/>
        <item m="1" x="507"/>
        <item m="1" x="610"/>
        <item x="157"/>
        <item x="158"/>
        <item x="159"/>
        <item x="160"/>
        <item x="161"/>
        <item x="162"/>
        <item x="163"/>
        <item x="164"/>
        <item x="165"/>
        <item x="167"/>
        <item x="168"/>
        <item x="169"/>
        <item m="1" x="1037"/>
        <item m="1" x="595"/>
        <item x="174"/>
        <item x="175"/>
        <item x="176"/>
        <item x="177"/>
        <item x="182"/>
        <item x="184"/>
        <item x="185"/>
        <item m="1" x="546"/>
        <item x="187"/>
        <item x="188"/>
        <item x="189"/>
        <item x="190"/>
        <item x="191"/>
        <item x="192"/>
        <item x="193"/>
        <item x="194"/>
        <item m="1" x="727"/>
        <item m="1" x="948"/>
        <item m="1" x="779"/>
        <item m="1" x="848"/>
        <item m="1" x="516"/>
        <item x="202"/>
        <item x="203"/>
        <item x="204"/>
        <item x="205"/>
        <item x="206"/>
        <item x="207"/>
        <item x="208"/>
        <item x="209"/>
        <item x="210"/>
        <item x="211"/>
        <item x="212"/>
        <item x="213"/>
        <item x="214"/>
        <item x="215"/>
        <item x="216"/>
        <item x="217"/>
        <item x="218"/>
        <item x="219"/>
        <item x="220"/>
        <item x="221"/>
        <item x="222"/>
        <item x="223"/>
        <item x="224"/>
        <item m="1" x="730"/>
        <item m="1" x="787"/>
        <item m="1" x="926"/>
        <item m="1" x="914"/>
        <item m="1" x="909"/>
        <item m="1" x="805"/>
        <item m="1" x="474"/>
        <item m="1" x="816"/>
        <item x="234"/>
        <item x="235"/>
        <item x="236"/>
        <item m="1" x="553"/>
        <item m="1" x="557"/>
        <item m="1" x="712"/>
        <item m="1" x="526"/>
        <item x="241"/>
        <item x="242"/>
        <item x="243"/>
        <item x="244"/>
        <item x="245"/>
        <item m="1" x="669"/>
        <item x="247"/>
        <item x="249"/>
        <item x="250"/>
        <item x="251"/>
        <item x="252"/>
        <item x="253"/>
        <item x="254"/>
        <item x="255"/>
        <item x="256"/>
        <item x="257"/>
        <item x="258"/>
        <item x="263"/>
        <item x="264"/>
        <item x="265"/>
        <item x="266"/>
        <item m="1" x="706"/>
        <item m="1" x="573"/>
        <item m="1" x="873"/>
        <item x="271"/>
        <item m="1" x="697"/>
        <item m="1" x="799"/>
        <item x="274"/>
        <item x="275"/>
        <item x="276"/>
        <item x="277"/>
        <item x="278"/>
        <item x="279"/>
        <item x="280"/>
        <item x="281"/>
        <item x="282"/>
        <item x="283"/>
        <item x="284"/>
        <item x="285"/>
        <item x="286"/>
        <item x="287"/>
        <item x="288"/>
        <item x="289"/>
        <item m="1" x="1017"/>
        <item x="292"/>
        <item x="293"/>
        <item m="1" x="471"/>
        <item x="295"/>
        <item x="296"/>
        <item x="297"/>
        <item x="298"/>
        <item m="1" x="640"/>
        <item x="301"/>
        <item x="302"/>
        <item x="303"/>
        <item m="1" x="757"/>
        <item m="1" x="794"/>
        <item x="308"/>
        <item x="309"/>
        <item m="1" x="517"/>
        <item x="313"/>
        <item x="315"/>
        <item m="1" x="988"/>
        <item m="1" x="804"/>
        <item x="318"/>
        <item x="322"/>
        <item x="323"/>
        <item x="324"/>
        <item x="325"/>
        <item x="326"/>
        <item x="327"/>
        <item x="328"/>
        <item x="329"/>
        <item x="332"/>
        <item x="333"/>
        <item x="334"/>
        <item x="335"/>
        <item m="1" x="796"/>
        <item m="1" x="1059"/>
        <item m="1" x="550"/>
        <item m="1" x="486"/>
        <item x="340"/>
        <item x="341"/>
        <item x="342"/>
        <item x="343"/>
        <item x="344"/>
        <item x="345"/>
        <item x="346"/>
        <item x="347"/>
        <item x="348"/>
        <item x="349"/>
        <item x="350"/>
        <item x="351"/>
        <item m="1" x="593"/>
        <item m="1" x="1038"/>
        <item m="1" x="656"/>
        <item m="1" x="561"/>
        <item x="356"/>
        <item x="357"/>
        <item x="358"/>
        <item x="359"/>
        <item x="360"/>
        <item x="361"/>
        <item x="362"/>
        <item x="363"/>
        <item x="364"/>
        <item x="365"/>
        <item m="1" x="966"/>
        <item x="370"/>
        <item x="371"/>
        <item x="372"/>
        <item x="373"/>
        <item x="374"/>
        <item x="376"/>
        <item x="377"/>
        <item m="1" x="579"/>
        <item m="1" x="786"/>
        <item m="1" x="825"/>
        <item m="1" x="1012"/>
        <item m="1" x="961"/>
        <item m="1" x="703"/>
        <item m="1" x="980"/>
        <item m="1" x="511"/>
        <item m="1" x="938"/>
        <item m="1" x="900"/>
        <item m="1" x="1060"/>
        <item m="1" x="883"/>
        <item m="1" x="639"/>
        <item m="1" x="996"/>
        <item x="394"/>
        <item x="395"/>
        <item x="396"/>
        <item x="397"/>
        <item x="401"/>
        <item x="402"/>
        <item x="403"/>
        <item x="404"/>
        <item x="406"/>
        <item x="407"/>
        <item m="1" x="688"/>
        <item m="1" x="807"/>
        <item m="1" x="911"/>
        <item m="1" x="855"/>
        <item m="1" x="869"/>
        <item x="421"/>
        <item x="425"/>
        <item x="426"/>
        <item x="427"/>
        <item x="428"/>
        <item x="429"/>
        <item x="430"/>
        <item x="431"/>
        <item x="432"/>
        <item x="434"/>
        <item x="435"/>
        <item m="1" x="753"/>
        <item m="1" x="956"/>
        <item x="440"/>
        <item x="441"/>
        <item x="442"/>
        <item x="443"/>
        <item x="444"/>
        <item x="445"/>
        <item x="446"/>
        <item x="447"/>
        <item x="448"/>
        <item x="450"/>
        <item x="451"/>
        <item x="452"/>
        <item x="453"/>
        <item x="454"/>
        <item x="455"/>
        <item x="456"/>
        <item x="457"/>
        <item m="1" x="844"/>
        <item x="461"/>
        <item x="462"/>
        <item x="463"/>
        <item x="464"/>
        <item m="1" x="665"/>
        <item x="1"/>
        <item m="1" x="568"/>
        <item m="1" x="924"/>
        <item m="1" x="777"/>
        <item m="1" x="1073"/>
        <item m="1" x="813"/>
        <item m="1" x="684"/>
        <item x="42"/>
        <item x="43"/>
        <item m="1" x="528"/>
        <item m="1" x="921"/>
        <item m="1" x="1046"/>
        <item m="1" x="1013"/>
        <item m="1" x="820"/>
        <item m="1" x="898"/>
        <item m="1" x="1064"/>
        <item m="1" x="483"/>
        <item x="54"/>
        <item x="55"/>
        <item m="1" x="583"/>
        <item m="1" x="945"/>
        <item m="1" x="711"/>
        <item m="1" x="513"/>
        <item m="1" x="953"/>
        <item m="1" x="574"/>
        <item m="1" x="959"/>
        <item m="1" x="836"/>
        <item x="69"/>
        <item x="70"/>
        <item m="1" x="488"/>
        <item m="1" x="617"/>
        <item m="1" x="722"/>
        <item m="1" x="734"/>
        <item m="1" x="605"/>
        <item m="1" x="718"/>
        <item m="1" x="967"/>
        <item m="1" x="870"/>
        <item m="1" x="791"/>
        <item m="1" x="986"/>
        <item m="1" x="955"/>
        <item m="1" x="745"/>
        <item m="1" x="539"/>
        <item m="1" x="894"/>
        <item m="1" x="651"/>
        <item m="1" x="778"/>
        <item m="1" x="558"/>
        <item m="1" x="1069"/>
        <item m="1" x="540"/>
        <item m="1" x="867"/>
        <item m="1" x="769"/>
        <item m="1" x="655"/>
        <item x="116"/>
        <item x="117"/>
        <item x="118"/>
        <item x="119"/>
        <item x="120"/>
        <item x="122"/>
        <item m="1" x="750"/>
        <item m="1" x="1039"/>
        <item m="1" x="1021"/>
        <item m="1" x="890"/>
        <item x="137"/>
        <item x="138"/>
        <item x="139"/>
        <item x="140"/>
        <item x="141"/>
        <item m="1" x="737"/>
        <item m="1" x="1042"/>
        <item m="1" x="670"/>
        <item m="1" x="910"/>
        <item m="1" x="860"/>
        <item m="1" x="714"/>
        <item m="1" x="707"/>
        <item m="1" x="795"/>
        <item m="1" x="720"/>
        <item m="1" x="530"/>
        <item m="1" x="698"/>
        <item x="195"/>
        <item x="196"/>
        <item x="197"/>
        <item m="1" x="1002"/>
        <item x="199"/>
        <item m="1" x="660"/>
        <item m="1" x="760"/>
        <item m="1" x="931"/>
        <item m="1" x="1050"/>
        <item m="1" x="933"/>
        <item m="1" x="919"/>
        <item m="1" x="831"/>
        <item m="1" x="1033"/>
        <item m="1" x="743"/>
        <item m="1" x="1072"/>
        <item m="1" x="801"/>
        <item m="1" x="958"/>
        <item m="1" x="771"/>
        <item m="1" x="840"/>
        <item m="1" x="751"/>
        <item m="1" x="623"/>
        <item x="260"/>
        <item x="261"/>
        <item x="262"/>
        <item m="1" x="472"/>
        <item x="268"/>
        <item x="270"/>
        <item m="1" x="732"/>
        <item m="1" x="1018"/>
        <item m="1" x="662"/>
        <item m="1" x="999"/>
        <item x="294"/>
        <item x="299"/>
        <item x="304"/>
        <item x="305"/>
        <item m="1" x="735"/>
        <item m="1" x="657"/>
        <item x="310"/>
        <item x="316"/>
        <item m="1" x="770"/>
        <item m="1" x="947"/>
        <item x="337"/>
        <item m="1" x="872"/>
        <item m="1" x="658"/>
        <item x="352"/>
        <item x="353"/>
        <item m="1" x="976"/>
        <item m="1" x="704"/>
        <item m="1" x="522"/>
        <item x="378"/>
        <item m="1" x="654"/>
        <item x="380"/>
        <item x="381"/>
        <item x="382"/>
        <item m="1" x="601"/>
        <item x="384"/>
        <item m="1" x="728"/>
        <item x="386"/>
        <item m="1" x="535"/>
        <item m="1" x="987"/>
        <item m="1" x="1055"/>
        <item m="1" x="1068"/>
        <item x="391"/>
        <item m="1" x="975"/>
        <item m="1" x="849"/>
        <item x="408"/>
        <item m="1" x="599"/>
        <item m="1" x="1001"/>
        <item m="1" x="868"/>
        <item m="1" x="862"/>
        <item m="1" x="755"/>
        <item m="1" x="850"/>
        <item m="1" x="635"/>
        <item m="1" x="556"/>
        <item m="1" x="893"/>
        <item m="1" x="721"/>
        <item m="1" x="1036"/>
        <item m="1" x="837"/>
        <item x="458"/>
        <item x="459"/>
        <item x="460"/>
        <item x="465"/>
        <item m="1" x="851"/>
        <item m="1" x="1006"/>
        <item m="1" x="1005"/>
        <item m="1" x="1022"/>
        <item m="1" x="823"/>
        <item m="1" x="589"/>
        <item m="1" x="571"/>
        <item m="1" x="520"/>
        <item m="1" x="611"/>
        <item x="7"/>
        <item x="8"/>
        <item x="39"/>
        <item x="40"/>
        <item x="41"/>
        <item x="44"/>
        <item x="45"/>
        <item x="46"/>
        <item x="47"/>
        <item x="48"/>
        <item x="49"/>
        <item x="50"/>
        <item x="52"/>
        <item x="53"/>
        <item x="56"/>
        <item x="57"/>
        <item x="58"/>
        <item x="64"/>
        <item x="65"/>
        <item x="66"/>
        <item x="67"/>
        <item x="68"/>
        <item x="72"/>
        <item x="74"/>
        <item x="76"/>
        <item x="77"/>
        <item x="78"/>
        <item x="79"/>
        <item x="80"/>
        <item x="82"/>
        <item x="83"/>
        <item x="88"/>
        <item x="93"/>
        <item x="94"/>
        <item x="95"/>
        <item x="100"/>
        <item x="101"/>
        <item x="102"/>
        <item x="104"/>
        <item x="105"/>
        <item x="107"/>
        <item x="108"/>
        <item x="109"/>
        <item x="110"/>
        <item x="111"/>
        <item x="112"/>
        <item x="113"/>
        <item x="114"/>
        <item x="115"/>
        <item x="126"/>
        <item x="127"/>
        <item x="134"/>
        <item x="136"/>
        <item x="142"/>
        <item x="143"/>
        <item x="144"/>
        <item x="145"/>
        <item x="146"/>
        <item x="147"/>
        <item x="148"/>
        <item x="149"/>
        <item x="150"/>
        <item x="151"/>
        <item x="152"/>
        <item x="153"/>
        <item x="154"/>
        <item x="170"/>
        <item x="171"/>
        <item x="172"/>
        <item x="173"/>
        <item x="178"/>
        <item x="179"/>
        <item x="180"/>
        <item x="181"/>
        <item x="183"/>
        <item x="186"/>
        <item x="198"/>
        <item x="200"/>
        <item x="201"/>
        <item x="225"/>
        <item x="226"/>
        <item x="227"/>
        <item x="228"/>
        <item x="229"/>
        <item x="230"/>
        <item x="231"/>
        <item x="232"/>
        <item x="233"/>
        <item x="237"/>
        <item x="238"/>
        <item x="239"/>
        <item x="240"/>
        <item x="246"/>
        <item x="259"/>
        <item x="267"/>
        <item x="269"/>
        <item x="272"/>
        <item x="273"/>
        <item x="290"/>
        <item x="291"/>
        <item x="306"/>
        <item x="307"/>
        <item x="317"/>
        <item x="336"/>
        <item x="338"/>
        <item x="339"/>
        <item x="354"/>
        <item x="355"/>
        <item x="366"/>
        <item x="379"/>
        <item x="383"/>
        <item x="385"/>
        <item x="387"/>
        <item x="388"/>
        <item x="389"/>
        <item x="390"/>
        <item x="392"/>
        <item x="393"/>
        <item x="409"/>
        <item x="410"/>
        <item x="411"/>
        <item x="412"/>
        <item x="413"/>
        <item x="414"/>
        <item x="415"/>
        <item x="416"/>
        <item x="417"/>
        <item x="418"/>
        <item x="419"/>
        <item x="420"/>
        <item x="436"/>
        <item x="437"/>
        <item t="default"/>
      </items>
    </pivotField>
    <pivotField showAll="0"/>
    <pivotField showAll="0"/>
    <pivotField axis="axisPage" showAll="0">
      <items count="468">
        <item x="400"/>
        <item x="368"/>
        <item x="178"/>
        <item x="321"/>
        <item x="103"/>
        <item x="19"/>
        <item x="16"/>
        <item x="278"/>
        <item x="282"/>
        <item x="298"/>
        <item x="15"/>
        <item x="184"/>
        <item x="147"/>
        <item x="143"/>
        <item x="287"/>
        <item x="150"/>
        <item x="214"/>
        <item x="297"/>
        <item x="73"/>
        <item x="244"/>
        <item x="275"/>
        <item x="453"/>
        <item x="148"/>
        <item x="224"/>
        <item x="21"/>
        <item x="288"/>
        <item x="277"/>
        <item x="203"/>
        <item x="20"/>
        <item x="283"/>
        <item x="370"/>
        <item x="296"/>
        <item x="286"/>
        <item x="440"/>
        <item x="185"/>
        <item x="281"/>
        <item x="280"/>
        <item x="145"/>
        <item x="120"/>
        <item x="146"/>
        <item x="144"/>
        <item x="245"/>
        <item x="236"/>
        <item x="222"/>
        <item x="242"/>
        <item x="243"/>
        <item x="191"/>
        <item x="151"/>
        <item x="202"/>
        <item x="227"/>
        <item x="235"/>
        <item x="274"/>
        <item x="11"/>
        <item x="199"/>
        <item x="284"/>
        <item x="310"/>
        <item x="237"/>
        <item x="205"/>
        <item x="141"/>
        <item x="13"/>
        <item x="399"/>
        <item x="312"/>
        <item x="331"/>
        <item x="401"/>
        <item x="216"/>
        <item x="74"/>
        <item x="313"/>
        <item x="213"/>
        <item x="212"/>
        <item x="305"/>
        <item x="442"/>
        <item x="311"/>
        <item x="294"/>
        <item x="279"/>
        <item x="289"/>
        <item x="156"/>
        <item x="90"/>
        <item x="200"/>
        <item x="180"/>
        <item x="60"/>
        <item x="265"/>
        <item x="441"/>
        <item x="101"/>
        <item x="303"/>
        <item x="18"/>
        <item x="204"/>
        <item x="102"/>
        <item x="211"/>
        <item x="201"/>
        <item x="258"/>
        <item x="314"/>
        <item x="121"/>
        <item x="425"/>
        <item x="62"/>
        <item x="152"/>
        <item x="176"/>
        <item x="56"/>
        <item x="444"/>
        <item x="10"/>
        <item x="134"/>
        <item x="137"/>
        <item x="119"/>
        <item x="139"/>
        <item x="22"/>
        <item x="276"/>
        <item x="241"/>
        <item x="285"/>
        <item x="231"/>
        <item x="446"/>
        <item x="255"/>
        <item x="417"/>
        <item x="229"/>
        <item x="112"/>
        <item x="89"/>
        <item x="210"/>
        <item x="223"/>
        <item x="136"/>
        <item x="267"/>
        <item x="264"/>
        <item x="215"/>
        <item x="59"/>
        <item x="450"/>
        <item x="198"/>
        <item x="447"/>
        <item x="140"/>
        <item x="55"/>
        <item x="292"/>
        <item x="232"/>
        <item x="206"/>
        <item x="234"/>
        <item x="268"/>
        <item x="239"/>
        <item x="133"/>
        <item x="179"/>
        <item x="228"/>
        <item x="149"/>
        <item x="130"/>
        <item x="301"/>
        <item x="158"/>
        <item x="208"/>
        <item x="72"/>
        <item x="419"/>
        <item x="157"/>
        <item x="174"/>
        <item x="124"/>
        <item x="182"/>
        <item x="323"/>
        <item x="71"/>
        <item x="327"/>
        <item x="122"/>
        <item x="161"/>
        <item x="315"/>
        <item x="177"/>
        <item x="36"/>
        <item x="256"/>
        <item x="266"/>
        <item x="238"/>
        <item x="51"/>
        <item x="131"/>
        <item x="75"/>
        <item x="373"/>
        <item x="135"/>
        <item x="217"/>
        <item x="295"/>
        <item x="49"/>
        <item x="54"/>
        <item x="320"/>
        <item x="439"/>
        <item x="422"/>
        <item x="138"/>
        <item x="218"/>
        <item x="207"/>
        <item x="132"/>
        <item x="424"/>
        <item x="463"/>
        <item x="307"/>
        <item x="233"/>
        <item x="326"/>
        <item x="169"/>
        <item x="367"/>
        <item x="369"/>
        <item x="125"/>
        <item x="449"/>
        <item x="12"/>
        <item x="340"/>
        <item x="260"/>
        <item x="423"/>
        <item x="427"/>
        <item x="50"/>
        <item x="126"/>
        <item x="254"/>
        <item x="113"/>
        <item x="175"/>
        <item x="249"/>
        <item x="240"/>
        <item x="114"/>
        <item x="7"/>
        <item x="443"/>
        <item x="181"/>
        <item x="407"/>
        <item x="14"/>
        <item x="80"/>
        <item x="333"/>
        <item x="24"/>
        <item x="403"/>
        <item x="209"/>
        <item x="269"/>
        <item x="300"/>
        <item x="164"/>
        <item x="52"/>
        <item x="318"/>
        <item x="376"/>
        <item x="219"/>
        <item x="117"/>
        <item x="352"/>
        <item x="26"/>
        <item x="57"/>
        <item x="48"/>
        <item x="84"/>
        <item x="96"/>
        <item x="32"/>
        <item x="383"/>
        <item x="308"/>
        <item x="395"/>
        <item x="270"/>
        <item x="416"/>
        <item x="325"/>
        <item x="382"/>
        <item x="363"/>
        <item x="257"/>
        <item x="462"/>
        <item x="25"/>
        <item x="187"/>
        <item x="183"/>
        <item x="431"/>
        <item x="420"/>
        <item x="153"/>
        <item x="118"/>
        <item x="116"/>
        <item x="306"/>
        <item x="374"/>
        <item x="69"/>
        <item x="81"/>
        <item x="402"/>
        <item x="404"/>
        <item x="23"/>
        <item x="432"/>
        <item x="372"/>
        <item x="406"/>
        <item x="460"/>
        <item x="105"/>
        <item x="230"/>
        <item x="429"/>
        <item x="448"/>
        <item x="166"/>
        <item x="319"/>
        <item x="43"/>
        <item x="91"/>
        <item x="252"/>
        <item x="302"/>
        <item x="68"/>
        <item x="61"/>
        <item x="259"/>
        <item x="226"/>
        <item x="17"/>
        <item x="65"/>
        <item x="459"/>
        <item x="82"/>
        <item x="94"/>
        <item x="418"/>
        <item x="42"/>
        <item x="342"/>
        <item x="263"/>
        <item x="426"/>
        <item x="129"/>
        <item x="123"/>
        <item x="454"/>
        <item x="360"/>
        <item x="290"/>
        <item x="154"/>
        <item x="225"/>
        <item x="248"/>
        <item x="46"/>
        <item x="70"/>
        <item x="28"/>
        <item x="92"/>
        <item x="192"/>
        <item x="47"/>
        <item x="309"/>
        <item x="250"/>
        <item x="261"/>
        <item x="110"/>
        <item x="63"/>
        <item x="359"/>
        <item x="111"/>
        <item x="430"/>
        <item x="220"/>
        <item x="106"/>
        <item x="464"/>
        <item x="251"/>
        <item x="346"/>
        <item x="358"/>
        <item x="167"/>
        <item x="428"/>
        <item x="357"/>
        <item x="375"/>
        <item x="371"/>
        <item x="193"/>
        <item x="78"/>
        <item x="1"/>
        <item x="291"/>
        <item x="434"/>
        <item x="197"/>
        <item x="322"/>
        <item x="415"/>
        <item x="435"/>
        <item x="351"/>
        <item x="38"/>
        <item x="31"/>
        <item x="328"/>
        <item x="458"/>
        <item x="330"/>
        <item x="452"/>
        <item x="344"/>
        <item x="37"/>
        <item x="45"/>
        <item x="377"/>
        <item x="445"/>
        <item x="107"/>
        <item x="247"/>
        <item x="324"/>
        <item x="341"/>
        <item x="170"/>
        <item x="162"/>
        <item x="465"/>
        <item x="455"/>
        <item x="196"/>
        <item x="195"/>
        <item x="347"/>
        <item x="188"/>
        <item x="33"/>
        <item x="410"/>
        <item x="186"/>
        <item x="171"/>
        <item x="405"/>
        <item x="364"/>
        <item x="293"/>
        <item x="380"/>
        <item x="336"/>
        <item x="304"/>
        <item x="262"/>
        <item x="221"/>
        <item x="155"/>
        <item x="30"/>
        <item x="253"/>
        <item x="6"/>
        <item x="39"/>
        <item x="299"/>
        <item x="384"/>
        <item x="27"/>
        <item x="159"/>
        <item x="343"/>
        <item x="128"/>
        <item x="354"/>
        <item x="115"/>
        <item x="381"/>
        <item x="316"/>
        <item x="451"/>
        <item x="160"/>
        <item x="41"/>
        <item x="77"/>
        <item x="86"/>
        <item x="98"/>
        <item x="457"/>
        <item x="189"/>
        <item x="362"/>
        <item x="388"/>
        <item x="397"/>
        <item x="421"/>
        <item x="345"/>
        <item x="127"/>
        <item x="350"/>
        <item x="433"/>
        <item x="85"/>
        <item x="353"/>
        <item x="386"/>
        <item x="97"/>
        <item x="329"/>
        <item x="44"/>
        <item x="408"/>
        <item x="356"/>
        <item x="163"/>
        <item x="271"/>
        <item x="53"/>
        <item x="334"/>
        <item x="79"/>
        <item x="142"/>
        <item x="335"/>
        <item x="437"/>
        <item x="67"/>
        <item x="29"/>
        <item x="40"/>
        <item x="348"/>
        <item x="456"/>
        <item x="378"/>
        <item x="365"/>
        <item x="34"/>
        <item x="337"/>
        <item x="165"/>
        <item x="412"/>
        <item x="35"/>
        <item x="100"/>
        <item x="3"/>
        <item x="87"/>
        <item x="387"/>
        <item x="349"/>
        <item x="104"/>
        <item x="396"/>
        <item x="99"/>
        <item x="411"/>
        <item x="76"/>
        <item x="338"/>
        <item x="385"/>
        <item x="379"/>
        <item x="361"/>
        <item x="317"/>
        <item x="332"/>
        <item x="2"/>
        <item x="436"/>
        <item x="83"/>
        <item x="5"/>
        <item x="398"/>
        <item x="409"/>
        <item x="108"/>
        <item x="461"/>
        <item x="93"/>
        <item x="95"/>
        <item x="438"/>
        <item x="190"/>
        <item x="64"/>
        <item x="168"/>
        <item x="66"/>
        <item x="393"/>
        <item x="272"/>
        <item x="466"/>
        <item x="172"/>
        <item x="390"/>
        <item x="194"/>
        <item x="392"/>
        <item x="339"/>
        <item x="413"/>
        <item x="4"/>
        <item x="355"/>
        <item x="58"/>
        <item x="173"/>
        <item x="389"/>
        <item x="394"/>
        <item x="9"/>
        <item x="109"/>
        <item x="88"/>
        <item x="366"/>
        <item x="8"/>
        <item x="246"/>
        <item x="273"/>
        <item x="391"/>
        <item x="414"/>
        <item x="0"/>
        <item t="default"/>
      </items>
    </pivotField>
  </pivotFields>
  <rowFields count="1">
    <field x="0"/>
  </rowFields>
  <rowItems count="17">
    <i>
      <x v="473"/>
    </i>
    <i>
      <x v="524"/>
    </i>
    <i>
      <x v="461"/>
    </i>
    <i>
      <x v="468"/>
    </i>
    <i>
      <x v="493"/>
    </i>
    <i>
      <x v="504"/>
    </i>
    <i>
      <x v="509"/>
    </i>
    <i>
      <x v="515"/>
    </i>
    <i>
      <x v="494"/>
    </i>
    <i>
      <x v="463"/>
    </i>
    <i>
      <x v="488"/>
    </i>
    <i>
      <x v="484"/>
    </i>
    <i>
      <x v="462"/>
    </i>
    <i>
      <x v="483"/>
    </i>
    <i>
      <x v="530"/>
    </i>
    <i>
      <x v="528"/>
    </i>
    <i t="grand">
      <x/>
    </i>
  </rowItems>
  <colFields count="1">
    <field x="-2"/>
  </colFields>
  <colItems count="3">
    <i>
      <x/>
    </i>
    <i i="1">
      <x v="1"/>
    </i>
    <i i="2">
      <x v="2"/>
    </i>
  </colItems>
  <pageFields count="1">
    <pageField fld="11" hier="-1"/>
  </pageFields>
  <dataFields count="3">
    <dataField name="Soma de P. TOTAL NÃO DESONERADO" fld="8" showDataAs="percentOfTotal" baseField="0" baseItem="468" numFmtId="10"/>
    <dataField name="Soma de P. TOTAL NÃO DESONERADO2" fld="8" baseField="0" baseItem="504" numFmtId="10">
      <extLst>
        <ext xmlns:x14="http://schemas.microsoft.com/office/spreadsheetml/2009/9/main" uri="{E15A36E0-9728-4e99-A89B-3F7291B0FE68}">
          <x14:dataField pivotShowAs="percentOfRunningTotal"/>
        </ext>
      </extLst>
    </dataField>
    <dataField name="Soma de P. TOTAL NÃO DESONERADO3" fld="8" baseField="0" baseItem="504" numFmtId="166"/>
  </dataFields>
  <chartFormats count="3">
    <chartFormat chart="0" format="47" series="1">
      <pivotArea type="data" outline="0" fieldPosition="0">
        <references count="1">
          <reference field="4294967294" count="1" selected="0">
            <x v="0"/>
          </reference>
        </references>
      </pivotArea>
    </chartFormat>
    <chartFormat chart="0" format="48" series="1">
      <pivotArea type="data" outline="0" fieldPosition="0">
        <references count="1">
          <reference field="4294967294" count="1" selected="0">
            <x v="1"/>
          </reference>
        </references>
      </pivotArea>
    </chartFormat>
    <chartFormat chart="0" format="4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1" cacheId="8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D355" firstHeaderRow="0" firstDataRow="1" firstDataCol="2"/>
  <pivotFields count="12">
    <pivotField showAll="0" defaultSubtotal="0"/>
    <pivotField axis="axisRow" outline="0" showAll="0" defaultSubtotal="0">
      <items count="4">
        <item m="1" x="3"/>
        <item x="1"/>
        <item x="2"/>
        <item x="0"/>
      </items>
    </pivotField>
    <pivotField showAll="0" defaultSubtotal="0"/>
    <pivotField axis="axisRow" showAll="0" defaultSubtotal="0">
      <items count="393">
        <item x="193"/>
        <item x="194"/>
        <item x="78"/>
        <item m="1" x="360"/>
        <item m="1" x="369"/>
        <item x="90"/>
        <item m="1" x="364"/>
        <item x="89"/>
        <item x="330"/>
        <item x="85"/>
        <item x="243"/>
        <item x="242"/>
        <item x="93"/>
        <item x="9"/>
        <item x="10"/>
        <item x="34"/>
        <item x="32"/>
        <item x="305"/>
        <item x="40"/>
        <item x="41"/>
        <item x="325"/>
        <item x="326"/>
        <item x="77"/>
        <item x="42"/>
        <item x="327"/>
        <item x="27"/>
        <item x="29"/>
        <item x="130"/>
        <item x="28"/>
        <item x="347"/>
        <item x="345"/>
        <item x="346"/>
        <item x="344"/>
        <item x="304"/>
        <item x="303"/>
        <item x="302"/>
        <item x="58"/>
        <item x="8"/>
        <item m="1" x="366"/>
        <item m="1" x="356"/>
        <item m="1" x="372"/>
        <item x="86"/>
        <item x="321"/>
        <item x="144"/>
        <item x="150"/>
        <item x="145"/>
        <item x="151"/>
        <item x="152"/>
        <item x="159"/>
        <item x="160"/>
        <item x="153"/>
        <item x="274"/>
        <item x="263"/>
        <item x="149"/>
        <item x="158"/>
        <item m="1" x="367"/>
        <item m="1" x="381"/>
        <item x="168"/>
        <item x="295"/>
        <item m="1" x="352"/>
        <item x="265"/>
        <item x="146"/>
        <item x="71"/>
        <item x="35"/>
        <item x="94"/>
        <item x="238"/>
        <item x="239"/>
        <item x="237"/>
        <item x="128"/>
        <item x="284"/>
        <item x="288"/>
        <item x="165"/>
        <item m="1" x="374"/>
        <item x="309"/>
        <item m="1" x="368"/>
        <item x="341"/>
        <item x="278"/>
        <item m="1" x="373"/>
        <item x="171"/>
        <item x="172"/>
        <item x="173"/>
        <item x="175"/>
        <item x="174"/>
        <item x="176"/>
        <item x="139"/>
        <item x="140"/>
        <item x="272"/>
        <item m="1" x="375"/>
        <item m="1" x="387"/>
        <item x="281"/>
        <item m="1" x="370"/>
        <item x="60"/>
        <item x="191"/>
        <item x="190"/>
        <item x="270"/>
        <item x="126"/>
        <item x="62"/>
        <item x="12"/>
        <item x="63"/>
        <item x="19"/>
        <item x="16"/>
        <item x="17"/>
        <item x="252"/>
        <item x="179"/>
        <item x="180"/>
        <item x="177"/>
        <item x="178"/>
        <item x="183"/>
        <item x="184"/>
        <item x="181"/>
        <item x="182"/>
        <item x="251"/>
        <item x="135"/>
        <item x="136"/>
        <item x="82"/>
        <item x="83"/>
        <item x="188"/>
        <item x="187"/>
        <item x="192"/>
        <item x="137"/>
        <item x="138"/>
        <item x="208"/>
        <item x="217"/>
        <item x="216"/>
        <item x="262"/>
        <item x="215"/>
        <item x="214"/>
        <item x="338"/>
        <item x="275"/>
        <item x="209"/>
        <item x="277"/>
        <item x="21"/>
        <item m="1" x="377"/>
        <item x="310"/>
        <item x="300"/>
        <item x="339"/>
        <item m="1" x="392"/>
        <item x="311"/>
        <item x="322"/>
        <item x="329"/>
        <item x="4"/>
        <item x="213"/>
        <item x="3"/>
        <item x="211"/>
        <item x="210"/>
        <item x="5"/>
        <item x="7"/>
        <item x="6"/>
        <item x="212"/>
        <item x="99"/>
        <item x="97"/>
        <item x="98"/>
        <item x="30"/>
        <item x="301"/>
        <item x="290"/>
        <item x="291"/>
        <item x="292"/>
        <item x="340"/>
        <item x="306"/>
        <item m="1" x="388"/>
        <item x="319"/>
        <item x="328"/>
        <item x="271"/>
        <item x="196"/>
        <item m="1" x="386"/>
        <item x="143"/>
        <item x="33"/>
        <item x="129"/>
        <item x="308"/>
        <item x="25"/>
        <item x="249"/>
        <item x="247"/>
        <item x="248"/>
        <item x="80"/>
        <item x="283"/>
        <item x="261"/>
        <item x="100"/>
        <item x="116"/>
        <item x="273"/>
        <item x="31"/>
        <item x="289"/>
        <item x="232"/>
        <item x="169"/>
        <item x="166"/>
        <item x="167"/>
        <item x="75"/>
        <item x="76"/>
        <item m="1" x="376"/>
        <item m="1" x="382"/>
        <item m="1" x="384"/>
        <item m="1" x="355"/>
        <item x="48"/>
        <item x="70"/>
        <item m="1" x="383"/>
        <item x="258"/>
        <item x="259"/>
        <item x="241"/>
        <item x="103"/>
        <item x="256"/>
        <item x="257"/>
        <item x="240"/>
        <item x="45"/>
        <item x="66"/>
        <item x="131"/>
        <item m="1" x="354"/>
        <item x="23"/>
        <item x="57"/>
        <item x="127"/>
        <item x="218"/>
        <item x="220"/>
        <item x="221"/>
        <item x="219"/>
        <item x="148"/>
        <item x="147"/>
        <item x="186"/>
        <item x="250"/>
        <item x="269"/>
        <item x="331"/>
        <item x="307"/>
        <item x="312"/>
        <item x="36"/>
        <item m="1" x="363"/>
        <item x="20"/>
        <item x="105"/>
        <item x="299"/>
        <item x="56"/>
        <item x="314"/>
        <item x="315"/>
        <item x="316"/>
        <item x="39"/>
        <item x="111"/>
        <item x="79"/>
        <item x="267"/>
        <item x="280"/>
        <item x="38"/>
        <item m="1" x="391"/>
        <item x="282"/>
        <item x="336"/>
        <item x="37"/>
        <item x="2"/>
        <item x="333"/>
        <item x="332"/>
        <item m="1" x="359"/>
        <item x="117"/>
        <item x="118"/>
        <item x="119"/>
        <item x="120"/>
        <item m="1" x="379"/>
        <item m="1" x="390"/>
        <item x="121"/>
        <item x="122"/>
        <item x="125"/>
        <item m="1" x="371"/>
        <item x="123"/>
        <item x="124"/>
        <item m="1" x="389"/>
        <item x="46"/>
        <item x="47"/>
        <item x="69"/>
        <item x="68"/>
        <item x="67"/>
        <item x="44"/>
        <item x="22"/>
        <item x="81"/>
        <item x="72"/>
        <item x="337"/>
        <item x="234"/>
        <item x="235"/>
        <item x="236"/>
        <item x="279"/>
        <item x="24"/>
        <item x="141"/>
        <item x="255"/>
        <item x="110"/>
        <item x="246"/>
        <item x="109"/>
        <item x="112"/>
        <item x="13"/>
        <item x="15"/>
        <item x="18"/>
        <item x="14"/>
        <item x="285"/>
        <item x="287"/>
        <item x="286"/>
        <item x="43"/>
        <item m="1" x="361"/>
        <item x="313"/>
        <item m="1" x="365"/>
        <item x="324"/>
        <item m="1" x="378"/>
        <item x="296"/>
        <item x="59"/>
        <item x="189"/>
        <item m="1" x="385"/>
        <item x="142"/>
        <item x="132"/>
        <item x="1"/>
        <item m="1" x="351"/>
        <item x="335"/>
        <item x="334"/>
        <item x="84"/>
        <item x="260"/>
        <item x="11"/>
        <item x="268"/>
        <item m="1" x="380"/>
        <item x="185"/>
        <item x="195"/>
        <item m="1" x="362"/>
        <item m="1" x="358"/>
        <item x="113"/>
        <item x="115"/>
        <item x="104"/>
        <item x="294"/>
        <item x="164"/>
        <item x="163"/>
        <item x="161"/>
        <item x="162"/>
        <item x="264"/>
        <item x="266"/>
        <item m="1" x="357"/>
        <item x="61"/>
        <item x="170"/>
        <item x="244"/>
        <item x="276"/>
        <item x="102"/>
        <item x="254"/>
        <item x="253"/>
        <item x="245"/>
        <item x="101"/>
        <item x="233"/>
        <item x="106"/>
        <item x="107"/>
        <item x="108"/>
        <item m="1" x="353"/>
        <item x="0"/>
        <item x="222"/>
        <item x="223"/>
        <item x="26"/>
        <item x="49"/>
        <item x="50"/>
        <item x="51"/>
        <item x="52"/>
        <item x="53"/>
        <item x="54"/>
        <item x="55"/>
        <item x="73"/>
        <item x="74"/>
        <item x="87"/>
        <item x="88"/>
        <item x="91"/>
        <item x="92"/>
        <item x="95"/>
        <item x="96"/>
        <item x="114"/>
        <item x="133"/>
        <item x="154"/>
        <item x="155"/>
        <item x="156"/>
        <item x="157"/>
        <item x="197"/>
        <item x="198"/>
        <item x="199"/>
        <item x="200"/>
        <item x="201"/>
        <item x="202"/>
        <item x="203"/>
        <item x="204"/>
        <item x="205"/>
        <item x="206"/>
        <item x="207"/>
        <item x="224"/>
        <item x="225"/>
        <item x="226"/>
        <item x="227"/>
        <item x="228"/>
        <item x="229"/>
        <item x="230"/>
        <item x="231"/>
        <item x="293"/>
        <item x="297"/>
        <item x="298"/>
        <item x="317"/>
        <item x="318"/>
        <item x="320"/>
        <item x="323"/>
        <item x="342"/>
        <item x="348"/>
        <item x="343"/>
        <item x="349"/>
        <item x="350"/>
        <item x="64"/>
        <item x="65"/>
        <item x="134"/>
      </items>
    </pivotField>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s>
  <rowFields count="2">
    <field x="1"/>
    <field x="3"/>
  </rowFields>
  <rowItems count="352">
    <i>
      <x v="1"/>
      <x v="5"/>
    </i>
    <i r="1">
      <x v="9"/>
    </i>
    <i r="1">
      <x v="12"/>
    </i>
    <i r="1">
      <x v="14"/>
    </i>
    <i r="1">
      <x v="36"/>
    </i>
    <i r="1">
      <x v="37"/>
    </i>
    <i r="1">
      <x v="41"/>
    </i>
    <i r="1">
      <x v="43"/>
    </i>
    <i r="1">
      <x v="51"/>
    </i>
    <i r="1">
      <x v="52"/>
    </i>
    <i r="1">
      <x v="60"/>
    </i>
    <i r="1">
      <x v="61"/>
    </i>
    <i r="1">
      <x v="62"/>
    </i>
    <i r="1">
      <x v="64"/>
    </i>
    <i r="1">
      <x v="91"/>
    </i>
    <i r="1">
      <x v="95"/>
    </i>
    <i r="1">
      <x v="99"/>
    </i>
    <i r="1">
      <x v="100"/>
    </i>
    <i r="1">
      <x v="115"/>
    </i>
    <i r="1">
      <x v="118"/>
    </i>
    <i r="1">
      <x v="139"/>
    </i>
    <i r="1">
      <x v="160"/>
    </i>
    <i r="1">
      <x v="165"/>
    </i>
    <i r="1">
      <x v="173"/>
    </i>
    <i r="1">
      <x v="174"/>
    </i>
    <i r="1">
      <x v="176"/>
    </i>
    <i r="1">
      <x v="185"/>
    </i>
    <i r="1">
      <x v="186"/>
    </i>
    <i r="1">
      <x v="201"/>
    </i>
    <i r="1">
      <x v="202"/>
    </i>
    <i r="1">
      <x v="207"/>
    </i>
    <i r="1">
      <x v="209"/>
    </i>
    <i r="1">
      <x v="210"/>
    </i>
    <i r="1">
      <x v="211"/>
    </i>
    <i r="1">
      <x v="215"/>
    </i>
    <i r="1">
      <x v="217"/>
    </i>
    <i r="1">
      <x v="219"/>
    </i>
    <i r="1">
      <x v="224"/>
    </i>
    <i r="1">
      <x v="225"/>
    </i>
    <i r="1">
      <x v="226"/>
    </i>
    <i r="1">
      <x v="227"/>
    </i>
    <i r="1">
      <x v="228"/>
    </i>
    <i r="1">
      <x v="230"/>
    </i>
    <i r="1">
      <x v="237"/>
    </i>
    <i r="1">
      <x v="239"/>
    </i>
    <i r="1">
      <x v="240"/>
    </i>
    <i r="1">
      <x v="241"/>
    </i>
    <i r="1">
      <x v="243"/>
    </i>
    <i r="1">
      <x v="244"/>
    </i>
    <i r="1">
      <x v="245"/>
    </i>
    <i r="1">
      <x v="246"/>
    </i>
    <i r="1">
      <x v="249"/>
    </i>
    <i r="1">
      <x v="250"/>
    </i>
    <i r="1">
      <x v="251"/>
    </i>
    <i r="1">
      <x v="253"/>
    </i>
    <i r="1">
      <x v="254"/>
    </i>
    <i r="1">
      <x v="256"/>
    </i>
    <i r="1">
      <x v="257"/>
    </i>
    <i r="1">
      <x v="259"/>
    </i>
    <i r="1">
      <x v="260"/>
    </i>
    <i r="1">
      <x v="271"/>
    </i>
    <i r="1">
      <x v="272"/>
    </i>
    <i r="1">
      <x v="273"/>
    </i>
    <i r="1">
      <x v="276"/>
    </i>
    <i r="1">
      <x v="284"/>
    </i>
    <i r="1">
      <x v="286"/>
    </i>
    <i r="1">
      <x v="288"/>
    </i>
    <i r="1">
      <x v="291"/>
    </i>
    <i r="1">
      <x v="294"/>
    </i>
    <i r="1">
      <x v="298"/>
    </i>
    <i r="1">
      <x v="299"/>
    </i>
    <i r="1">
      <x v="300"/>
    </i>
    <i r="1">
      <x v="305"/>
    </i>
    <i r="1">
      <x v="309"/>
    </i>
    <i r="1">
      <x v="310"/>
    </i>
    <i r="1">
      <x v="313"/>
    </i>
    <i r="1">
      <x v="314"/>
    </i>
    <i r="1">
      <x v="315"/>
    </i>
    <i r="1">
      <x v="316"/>
    </i>
    <i r="1">
      <x v="317"/>
    </i>
    <i r="1">
      <x v="318"/>
    </i>
    <i r="1">
      <x v="332"/>
    </i>
    <i r="1">
      <x v="335"/>
    </i>
    <i r="1">
      <x v="338"/>
    </i>
    <i r="1">
      <x v="339"/>
    </i>
    <i r="1">
      <x v="340"/>
    </i>
    <i r="1">
      <x v="341"/>
    </i>
    <i r="1">
      <x v="342"/>
    </i>
    <i r="1">
      <x v="343"/>
    </i>
    <i r="1">
      <x v="345"/>
    </i>
    <i r="1">
      <x v="346"/>
    </i>
    <i r="1">
      <x v="347"/>
    </i>
    <i r="1">
      <x v="348"/>
    </i>
    <i r="1">
      <x v="349"/>
    </i>
    <i r="1">
      <x v="350"/>
    </i>
    <i r="1">
      <x v="351"/>
    </i>
    <i r="1">
      <x v="352"/>
    </i>
    <i r="1">
      <x v="353"/>
    </i>
    <i r="1">
      <x v="354"/>
    </i>
    <i r="1">
      <x v="361"/>
    </i>
    <i r="1">
      <x v="362"/>
    </i>
    <i r="1">
      <x v="363"/>
    </i>
    <i r="1">
      <x v="364"/>
    </i>
    <i r="1">
      <x v="373"/>
    </i>
    <i r="1">
      <x v="374"/>
    </i>
    <i r="1">
      <x v="375"/>
    </i>
    <i r="1">
      <x v="376"/>
    </i>
    <i r="1">
      <x v="379"/>
    </i>
    <i r="1">
      <x v="380"/>
    </i>
    <i r="1">
      <x v="381"/>
    </i>
    <i r="1">
      <x v="382"/>
    </i>
    <i r="1">
      <x v="383"/>
    </i>
    <i r="1">
      <x v="384"/>
    </i>
    <i r="1">
      <x v="388"/>
    </i>
    <i r="1">
      <x v="389"/>
    </i>
    <i r="1">
      <x v="390"/>
    </i>
    <i r="1">
      <x v="391"/>
    </i>
    <i>
      <x v="2"/>
      <x/>
    </i>
    <i r="1">
      <x v="1"/>
    </i>
    <i r="1">
      <x v="10"/>
    </i>
    <i r="1">
      <x v="11"/>
    </i>
    <i r="1">
      <x v="15"/>
    </i>
    <i r="1">
      <x v="18"/>
    </i>
    <i r="1">
      <x v="19"/>
    </i>
    <i r="1">
      <x v="20"/>
    </i>
    <i r="1">
      <x v="21"/>
    </i>
    <i r="1">
      <x v="22"/>
    </i>
    <i r="1">
      <x v="23"/>
    </i>
    <i r="1">
      <x v="24"/>
    </i>
    <i r="1">
      <x v="25"/>
    </i>
    <i r="1">
      <x v="26"/>
    </i>
    <i r="1">
      <x v="27"/>
    </i>
    <i r="1">
      <x v="28"/>
    </i>
    <i r="1">
      <x v="29"/>
    </i>
    <i r="1">
      <x v="30"/>
    </i>
    <i r="1">
      <x v="31"/>
    </i>
    <i r="1">
      <x v="32"/>
    </i>
    <i r="1">
      <x v="33"/>
    </i>
    <i r="1">
      <x v="34"/>
    </i>
    <i r="1">
      <x v="35"/>
    </i>
    <i r="1">
      <x v="44"/>
    </i>
    <i r="1">
      <x v="45"/>
    </i>
    <i r="1">
      <x v="46"/>
    </i>
    <i r="1">
      <x v="47"/>
    </i>
    <i r="1">
      <x v="48"/>
    </i>
    <i r="1">
      <x v="49"/>
    </i>
    <i r="1">
      <x v="50"/>
    </i>
    <i r="1">
      <x v="57"/>
    </i>
    <i r="1">
      <x v="58"/>
    </i>
    <i r="1">
      <x v="63"/>
    </i>
    <i r="1">
      <x v="65"/>
    </i>
    <i r="1">
      <x v="66"/>
    </i>
    <i r="1">
      <x v="67"/>
    </i>
    <i r="1">
      <x v="73"/>
    </i>
    <i r="1">
      <x v="75"/>
    </i>
    <i r="1">
      <x v="76"/>
    </i>
    <i r="1">
      <x v="78"/>
    </i>
    <i r="1">
      <x v="79"/>
    </i>
    <i r="1">
      <x v="80"/>
    </i>
    <i r="1">
      <x v="81"/>
    </i>
    <i r="1">
      <x v="82"/>
    </i>
    <i r="1">
      <x v="83"/>
    </i>
    <i r="1">
      <x v="84"/>
    </i>
    <i r="1">
      <x v="85"/>
    </i>
    <i r="1">
      <x v="86"/>
    </i>
    <i r="1">
      <x v="89"/>
    </i>
    <i r="1">
      <x v="92"/>
    </i>
    <i r="1">
      <x v="93"/>
    </i>
    <i r="1">
      <x v="94"/>
    </i>
    <i r="1">
      <x v="98"/>
    </i>
    <i r="1">
      <x v="101"/>
    </i>
    <i r="1">
      <x v="103"/>
    </i>
    <i r="1">
      <x v="104"/>
    </i>
    <i r="1">
      <x v="105"/>
    </i>
    <i r="1">
      <x v="106"/>
    </i>
    <i r="1">
      <x v="107"/>
    </i>
    <i r="1">
      <x v="108"/>
    </i>
    <i r="1">
      <x v="109"/>
    </i>
    <i r="1">
      <x v="110"/>
    </i>
    <i r="1">
      <x v="116"/>
    </i>
    <i r="1">
      <x v="117"/>
    </i>
    <i r="1">
      <x v="119"/>
    </i>
    <i r="1">
      <x v="120"/>
    </i>
    <i r="1">
      <x v="121"/>
    </i>
    <i r="1">
      <x v="122"/>
    </i>
    <i r="1">
      <x v="123"/>
    </i>
    <i r="1">
      <x v="124"/>
    </i>
    <i r="1">
      <x v="125"/>
    </i>
    <i r="1">
      <x v="126"/>
    </i>
    <i r="1">
      <x v="129"/>
    </i>
    <i r="1">
      <x v="130"/>
    </i>
    <i r="1">
      <x v="131"/>
    </i>
    <i r="1">
      <x v="133"/>
    </i>
    <i r="1">
      <x v="140"/>
    </i>
    <i r="1">
      <x v="141"/>
    </i>
    <i r="1">
      <x v="142"/>
    </i>
    <i r="1">
      <x v="143"/>
    </i>
    <i r="1">
      <x v="144"/>
    </i>
    <i r="1">
      <x v="145"/>
    </i>
    <i r="1">
      <x v="146"/>
    </i>
    <i r="1">
      <x v="147"/>
    </i>
    <i r="1">
      <x v="148"/>
    </i>
    <i r="1">
      <x v="149"/>
    </i>
    <i r="1">
      <x v="150"/>
    </i>
    <i r="1">
      <x v="151"/>
    </i>
    <i r="1">
      <x v="152"/>
    </i>
    <i r="1">
      <x v="153"/>
    </i>
    <i r="1">
      <x v="154"/>
    </i>
    <i r="1">
      <x v="155"/>
    </i>
    <i r="1">
      <x v="156"/>
    </i>
    <i r="1">
      <x v="157"/>
    </i>
    <i r="1">
      <x v="162"/>
    </i>
    <i r="1">
      <x v="163"/>
    </i>
    <i r="1">
      <x v="166"/>
    </i>
    <i r="1">
      <x v="170"/>
    </i>
    <i r="1">
      <x v="171"/>
    </i>
    <i r="1">
      <x v="172"/>
    </i>
    <i r="1">
      <x v="175"/>
    </i>
    <i r="1">
      <x v="178"/>
    </i>
    <i r="1">
      <x v="179"/>
    </i>
    <i r="1">
      <x v="180"/>
    </i>
    <i r="1">
      <x v="182"/>
    </i>
    <i r="1">
      <x v="183"/>
    </i>
    <i r="1">
      <x v="184"/>
    </i>
    <i r="1">
      <x v="192"/>
    </i>
    <i r="1">
      <x v="194"/>
    </i>
    <i r="1">
      <x v="195"/>
    </i>
    <i r="1">
      <x v="196"/>
    </i>
    <i r="1">
      <x v="197"/>
    </i>
    <i r="1">
      <x v="198"/>
    </i>
    <i r="1">
      <x v="199"/>
    </i>
    <i r="1">
      <x v="200"/>
    </i>
    <i r="1">
      <x v="203"/>
    </i>
    <i r="1">
      <x v="205"/>
    </i>
    <i r="1">
      <x v="208"/>
    </i>
    <i r="1">
      <x v="212"/>
    </i>
    <i r="1">
      <x v="213"/>
    </i>
    <i r="1">
      <x v="214"/>
    </i>
    <i r="1">
      <x v="216"/>
    </i>
    <i r="1">
      <x v="220"/>
    </i>
    <i r="1">
      <x v="223"/>
    </i>
    <i r="1">
      <x v="232"/>
    </i>
    <i r="1">
      <x v="234"/>
    </i>
    <i r="1">
      <x v="236"/>
    </i>
    <i r="1">
      <x v="258"/>
    </i>
    <i r="1">
      <x v="262"/>
    </i>
    <i r="1">
      <x v="264"/>
    </i>
    <i r="1">
      <x v="266"/>
    </i>
    <i r="1">
      <x v="267"/>
    </i>
    <i r="1">
      <x v="268"/>
    </i>
    <i r="1">
      <x v="269"/>
    </i>
    <i r="1">
      <x v="270"/>
    </i>
    <i r="1">
      <x v="274"/>
    </i>
    <i r="1">
      <x v="275"/>
    </i>
    <i r="1">
      <x v="277"/>
    </i>
    <i r="1">
      <x v="278"/>
    </i>
    <i r="1">
      <x v="279"/>
    </i>
    <i r="1">
      <x v="280"/>
    </i>
    <i r="1">
      <x v="281"/>
    </i>
    <i r="1">
      <x v="282"/>
    </i>
    <i r="1">
      <x v="283"/>
    </i>
    <i r="1">
      <x v="290"/>
    </i>
    <i r="1">
      <x v="292"/>
    </i>
    <i r="1">
      <x v="303"/>
    </i>
    <i r="1">
      <x v="306"/>
    </i>
    <i r="1">
      <x v="311"/>
    </i>
    <i r="1">
      <x v="312"/>
    </i>
    <i r="1">
      <x v="321"/>
    </i>
    <i r="1">
      <x v="322"/>
    </i>
    <i r="1">
      <x v="323"/>
    </i>
    <i r="1">
      <x v="324"/>
    </i>
    <i r="1">
      <x v="325"/>
    </i>
    <i r="1">
      <x v="326"/>
    </i>
    <i r="1">
      <x v="327"/>
    </i>
    <i r="1">
      <x v="330"/>
    </i>
    <i r="1">
      <x v="331"/>
    </i>
    <i r="1">
      <x v="336"/>
    </i>
    <i r="1">
      <x v="337"/>
    </i>
    <i r="1">
      <x v="344"/>
    </i>
    <i r="1">
      <x v="355"/>
    </i>
    <i r="1">
      <x v="356"/>
    </i>
    <i r="1">
      <x v="357"/>
    </i>
    <i r="1">
      <x v="358"/>
    </i>
    <i r="1">
      <x v="359"/>
    </i>
    <i r="1">
      <x v="360"/>
    </i>
    <i r="1">
      <x v="365"/>
    </i>
    <i r="1">
      <x v="366"/>
    </i>
    <i r="1">
      <x v="367"/>
    </i>
    <i r="1">
      <x v="368"/>
    </i>
    <i r="1">
      <x v="369"/>
    </i>
    <i r="1">
      <x v="370"/>
    </i>
    <i r="1">
      <x v="371"/>
    </i>
    <i r="1">
      <x v="372"/>
    </i>
    <i r="1">
      <x v="377"/>
    </i>
    <i r="1">
      <x v="378"/>
    </i>
    <i r="1">
      <x v="385"/>
    </i>
    <i r="1">
      <x v="386"/>
    </i>
    <i>
      <x v="3"/>
      <x v="2"/>
    </i>
    <i r="1">
      <x v="7"/>
    </i>
    <i r="1">
      <x v="8"/>
    </i>
    <i r="1">
      <x v="13"/>
    </i>
    <i r="1">
      <x v="16"/>
    </i>
    <i r="1">
      <x v="17"/>
    </i>
    <i r="1">
      <x v="42"/>
    </i>
    <i r="1">
      <x v="53"/>
    </i>
    <i r="1">
      <x v="54"/>
    </i>
    <i r="1">
      <x v="68"/>
    </i>
    <i r="1">
      <x v="69"/>
    </i>
    <i r="1">
      <x v="70"/>
    </i>
    <i r="1">
      <x v="71"/>
    </i>
    <i r="1">
      <x v="96"/>
    </i>
    <i r="1">
      <x v="97"/>
    </i>
    <i r="1">
      <x v="102"/>
    </i>
    <i r="1">
      <x v="111"/>
    </i>
    <i r="1">
      <x v="112"/>
    </i>
    <i r="1">
      <x v="113"/>
    </i>
    <i r="1">
      <x v="114"/>
    </i>
    <i r="1">
      <x v="127"/>
    </i>
    <i r="1">
      <x v="128"/>
    </i>
    <i r="1">
      <x v="134"/>
    </i>
    <i r="1">
      <x v="135"/>
    </i>
    <i r="1">
      <x v="137"/>
    </i>
    <i r="1">
      <x v="138"/>
    </i>
    <i r="1">
      <x v="158"/>
    </i>
    <i r="1">
      <x v="161"/>
    </i>
    <i r="1">
      <x v="167"/>
    </i>
    <i r="1">
      <x v="168"/>
    </i>
    <i r="1">
      <x v="169"/>
    </i>
    <i r="1">
      <x v="177"/>
    </i>
    <i r="1">
      <x v="181"/>
    </i>
    <i r="1">
      <x v="191"/>
    </i>
    <i r="1">
      <x v="206"/>
    </i>
    <i r="1">
      <x v="218"/>
    </i>
    <i r="1">
      <x v="222"/>
    </i>
    <i r="1">
      <x v="229"/>
    </i>
    <i r="1">
      <x v="231"/>
    </i>
    <i r="1">
      <x v="233"/>
    </i>
    <i r="1">
      <x v="238"/>
    </i>
    <i r="1">
      <x v="261"/>
    </i>
    <i r="1">
      <x v="263"/>
    </i>
    <i r="1">
      <x v="265"/>
    </i>
    <i r="1">
      <x v="295"/>
    </i>
    <i r="1">
      <x v="296"/>
    </i>
    <i r="1">
      <x v="301"/>
    </i>
    <i r="1">
      <x v="302"/>
    </i>
    <i r="1">
      <x v="320"/>
    </i>
    <i r="1">
      <x v="328"/>
    </i>
    <i r="1">
      <x v="329"/>
    </i>
    <i r="1">
      <x v="334"/>
    </i>
    <i r="1">
      <x v="387"/>
    </i>
    <i r="1">
      <x v="392"/>
    </i>
    <i t="grand">
      <x/>
    </i>
  </rowItems>
  <colFields count="1">
    <field x="-2"/>
  </colFields>
  <colItems count="2">
    <i>
      <x/>
    </i>
    <i i="1">
      <x v="1"/>
    </i>
  </colItems>
  <dataFields count="2">
    <dataField name="Contagem de QTD" fld="5" subtotal="count" baseField="0" baseItem="0"/>
    <dataField name="Soma de NÃO DESONERADO P.UNIT (S/BDI) " fld="6" baseField="3" baseItem="115"/>
  </dataFields>
  <formats count="14">
    <format dxfId="13">
      <pivotArea type="all" dataOnly="0" outline="0" fieldPosition="0"/>
    </format>
    <format dxfId="12">
      <pivotArea outline="0" collapsedLevelsAreSubtotals="1"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fieldPosition="0">
        <references count="2">
          <reference field="1" count="1" selected="0">
            <x v="1"/>
          </reference>
          <reference field="3" count="50">
            <x v="3"/>
            <x v="4"/>
            <x v="5"/>
            <x v="6"/>
            <x v="9"/>
            <x v="12"/>
            <x v="14"/>
            <x v="36"/>
            <x v="37"/>
            <x v="38"/>
            <x v="39"/>
            <x v="40"/>
            <x v="41"/>
            <x v="43"/>
            <x v="51"/>
            <x v="52"/>
            <x v="55"/>
            <x v="56"/>
            <x v="59"/>
            <x v="60"/>
            <x v="61"/>
            <x v="62"/>
            <x v="64"/>
            <x v="87"/>
            <x v="91"/>
            <x v="95"/>
            <x v="99"/>
            <x v="100"/>
            <x v="115"/>
            <x v="118"/>
            <x v="132"/>
            <x v="139"/>
            <x v="159"/>
            <x v="160"/>
            <x v="165"/>
            <x v="173"/>
            <x v="174"/>
            <x v="176"/>
            <x v="185"/>
            <x v="186"/>
            <x v="187"/>
            <x v="188"/>
            <x v="189"/>
            <x v="190"/>
            <x v="201"/>
            <x v="202"/>
            <x v="207"/>
            <x v="209"/>
            <x v="210"/>
            <x v="211"/>
          </reference>
        </references>
      </pivotArea>
    </format>
    <format dxfId="8">
      <pivotArea dataOnly="0" labelOnly="1" fieldPosition="0">
        <references count="2">
          <reference field="1" count="1" selected="0">
            <x v="1"/>
          </reference>
          <reference field="3" count="50">
            <x v="215"/>
            <x v="217"/>
            <x v="219"/>
            <x v="221"/>
            <x v="224"/>
            <x v="225"/>
            <x v="226"/>
            <x v="227"/>
            <x v="228"/>
            <x v="230"/>
            <x v="235"/>
            <x v="237"/>
            <x v="239"/>
            <x v="240"/>
            <x v="241"/>
            <x v="242"/>
            <x v="243"/>
            <x v="244"/>
            <x v="245"/>
            <x v="246"/>
            <x v="247"/>
            <x v="248"/>
            <x v="249"/>
            <x v="250"/>
            <x v="251"/>
            <x v="252"/>
            <x v="253"/>
            <x v="254"/>
            <x v="255"/>
            <x v="256"/>
            <x v="257"/>
            <x v="259"/>
            <x v="260"/>
            <x v="271"/>
            <x v="272"/>
            <x v="273"/>
            <x v="276"/>
            <x v="284"/>
            <x v="285"/>
            <x v="286"/>
            <x v="288"/>
            <x v="289"/>
            <x v="291"/>
            <x v="293"/>
            <x v="294"/>
            <x v="297"/>
            <x v="298"/>
            <x v="299"/>
            <x v="300"/>
            <x v="304"/>
          </reference>
        </references>
      </pivotArea>
    </format>
    <format dxfId="7">
      <pivotArea dataOnly="0" labelOnly="1" fieldPosition="0">
        <references count="2">
          <reference field="1" count="1" selected="0">
            <x v="1"/>
          </reference>
          <reference field="3" count="14">
            <x v="305"/>
            <x v="307"/>
            <x v="308"/>
            <x v="309"/>
            <x v="310"/>
            <x v="313"/>
            <x v="314"/>
            <x v="315"/>
            <x v="316"/>
            <x v="317"/>
            <x v="318"/>
            <x v="319"/>
            <x v="332"/>
            <x v="335"/>
          </reference>
        </references>
      </pivotArea>
    </format>
    <format dxfId="6">
      <pivotArea dataOnly="0" labelOnly="1" fieldPosition="0">
        <references count="2">
          <reference field="1" count="1" selected="0">
            <x v="2"/>
          </reference>
          <reference field="3" count="50">
            <x v="0"/>
            <x v="1"/>
            <x v="10"/>
            <x v="11"/>
            <x v="15"/>
            <x v="18"/>
            <x v="19"/>
            <x v="20"/>
            <x v="21"/>
            <x v="22"/>
            <x v="23"/>
            <x v="24"/>
            <x v="25"/>
            <x v="26"/>
            <x v="27"/>
            <x v="28"/>
            <x v="29"/>
            <x v="30"/>
            <x v="31"/>
            <x v="32"/>
            <x v="33"/>
            <x v="34"/>
            <x v="35"/>
            <x v="44"/>
            <x v="45"/>
            <x v="46"/>
            <x v="47"/>
            <x v="48"/>
            <x v="49"/>
            <x v="50"/>
            <x v="57"/>
            <x v="58"/>
            <x v="63"/>
            <x v="65"/>
            <x v="66"/>
            <x v="67"/>
            <x v="72"/>
            <x v="73"/>
            <x v="74"/>
            <x v="75"/>
            <x v="76"/>
            <x v="77"/>
            <x v="78"/>
            <x v="79"/>
            <x v="80"/>
            <x v="81"/>
            <x v="82"/>
            <x v="83"/>
            <x v="84"/>
            <x v="85"/>
          </reference>
        </references>
      </pivotArea>
    </format>
    <format dxfId="5">
      <pivotArea dataOnly="0" labelOnly="1" fieldPosition="0">
        <references count="2">
          <reference field="1" count="1" selected="0">
            <x v="2"/>
          </reference>
          <reference field="3" count="50">
            <x v="86"/>
            <x v="88"/>
            <x v="89"/>
            <x v="90"/>
            <x v="92"/>
            <x v="93"/>
            <x v="94"/>
            <x v="98"/>
            <x v="101"/>
            <x v="103"/>
            <x v="104"/>
            <x v="105"/>
            <x v="106"/>
            <x v="107"/>
            <x v="108"/>
            <x v="109"/>
            <x v="110"/>
            <x v="116"/>
            <x v="117"/>
            <x v="119"/>
            <x v="120"/>
            <x v="121"/>
            <x v="122"/>
            <x v="123"/>
            <x v="124"/>
            <x v="125"/>
            <x v="126"/>
            <x v="129"/>
            <x v="130"/>
            <x v="131"/>
            <x v="133"/>
            <x v="140"/>
            <x v="141"/>
            <x v="142"/>
            <x v="143"/>
            <x v="144"/>
            <x v="145"/>
            <x v="146"/>
            <x v="147"/>
            <x v="148"/>
            <x v="149"/>
            <x v="150"/>
            <x v="151"/>
            <x v="152"/>
            <x v="153"/>
            <x v="154"/>
            <x v="155"/>
            <x v="156"/>
            <x v="157"/>
            <x v="162"/>
          </reference>
        </references>
      </pivotArea>
    </format>
    <format dxfId="4">
      <pivotArea dataOnly="0" labelOnly="1" fieldPosition="0">
        <references count="2">
          <reference field="1" count="1" selected="0">
            <x v="2"/>
          </reference>
          <reference field="3" count="50">
            <x v="163"/>
            <x v="164"/>
            <x v="166"/>
            <x v="170"/>
            <x v="171"/>
            <x v="172"/>
            <x v="175"/>
            <x v="178"/>
            <x v="179"/>
            <x v="180"/>
            <x v="182"/>
            <x v="183"/>
            <x v="184"/>
            <x v="192"/>
            <x v="193"/>
            <x v="194"/>
            <x v="195"/>
            <x v="196"/>
            <x v="197"/>
            <x v="198"/>
            <x v="199"/>
            <x v="200"/>
            <x v="203"/>
            <x v="204"/>
            <x v="205"/>
            <x v="208"/>
            <x v="212"/>
            <x v="213"/>
            <x v="214"/>
            <x v="216"/>
            <x v="220"/>
            <x v="223"/>
            <x v="232"/>
            <x v="234"/>
            <x v="236"/>
            <x v="258"/>
            <x v="262"/>
            <x v="264"/>
            <x v="266"/>
            <x v="267"/>
            <x v="268"/>
            <x v="269"/>
            <x v="270"/>
            <x v="274"/>
            <x v="275"/>
            <x v="277"/>
            <x v="278"/>
            <x v="279"/>
            <x v="280"/>
            <x v="281"/>
          </reference>
        </references>
      </pivotArea>
    </format>
    <format dxfId="3">
      <pivotArea dataOnly="0" labelOnly="1" fieldPosition="0">
        <references count="2">
          <reference field="1" count="1" selected="0">
            <x v="2"/>
          </reference>
          <reference field="3" count="18">
            <x v="282"/>
            <x v="283"/>
            <x v="290"/>
            <x v="292"/>
            <x v="303"/>
            <x v="306"/>
            <x v="311"/>
            <x v="312"/>
            <x v="321"/>
            <x v="322"/>
            <x v="323"/>
            <x v="324"/>
            <x v="325"/>
            <x v="326"/>
            <x v="327"/>
            <x v="330"/>
            <x v="331"/>
            <x v="336"/>
          </reference>
        </references>
      </pivotArea>
    </format>
    <format dxfId="2">
      <pivotArea dataOnly="0" labelOnly="1" fieldPosition="0">
        <references count="2">
          <reference field="1" count="1" selected="0">
            <x v="3"/>
          </reference>
          <reference field="3" count="50">
            <x v="2"/>
            <x v="7"/>
            <x v="8"/>
            <x v="13"/>
            <x v="16"/>
            <x v="17"/>
            <x v="42"/>
            <x v="53"/>
            <x v="54"/>
            <x v="68"/>
            <x v="69"/>
            <x v="70"/>
            <x v="71"/>
            <x v="96"/>
            <x v="97"/>
            <x v="102"/>
            <x v="111"/>
            <x v="112"/>
            <x v="113"/>
            <x v="114"/>
            <x v="127"/>
            <x v="128"/>
            <x v="134"/>
            <x v="135"/>
            <x v="136"/>
            <x v="137"/>
            <x v="138"/>
            <x v="158"/>
            <x v="161"/>
            <x v="167"/>
            <x v="168"/>
            <x v="169"/>
            <x v="177"/>
            <x v="181"/>
            <x v="191"/>
            <x v="206"/>
            <x v="218"/>
            <x v="222"/>
            <x v="229"/>
            <x v="231"/>
            <x v="233"/>
            <x v="238"/>
            <x v="261"/>
            <x v="263"/>
            <x v="265"/>
            <x v="287"/>
            <x v="295"/>
            <x v="296"/>
            <x v="301"/>
            <x v="302"/>
          </reference>
        </references>
      </pivotArea>
    </format>
    <format dxfId="1">
      <pivotArea dataOnly="0" labelOnly="1" fieldPosition="0">
        <references count="2">
          <reference field="1" count="1" selected="0">
            <x v="3"/>
          </reference>
          <reference field="3" count="4">
            <x v="320"/>
            <x v="328"/>
            <x v="329"/>
            <x v="334"/>
          </reference>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ela1" displayName="Tabela1" ref="E67:E83" totalsRowShown="0">
  <autoFilter ref="E67:E83"/>
  <tableColumns count="1">
    <tableColumn id="5" name="CURVA" dataDxfId="15">
      <calculatedColumnFormula>IF(C68&lt;$I$69,$H$69,IF(C68&lt;$I$70,$H$70,$H$71))</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2" name="Tabela2" displayName="Tabela2" ref="H67:I71" totalsRowShown="0">
  <autoFilter ref="H67:I71"/>
  <tableColumns count="2">
    <tableColumn id="1" name="Colunas1"/>
    <tableColumn id="2" name="Colunas2" dataDxfId="14"/>
  </tableColumns>
  <tableStyleInfo name="TableStyleLight8"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produto.mercadolivre.com.br/MLB-2001688743-parafuso-auto-brocante-flangeado-phillips-42x16-100-pcs-_JM?matt_tool=18956390&amp;utm_source=google_shopping&amp;utm_medium=organic" TargetMode="External"/><Relationship Id="rId117" Type="http://schemas.openxmlformats.org/officeDocument/2006/relationships/hyperlink" Target="https://www.piresmartins.com.br/arruela-lisa-5-16-pol-100-pecas/p/1315/" TargetMode="External"/><Relationship Id="rId21" Type="http://schemas.openxmlformats.org/officeDocument/2006/relationships/hyperlink" Target="https://shopee.com.br/Presilha-para-arremate-acabamento-moldura-mp-347-nyl-190--50-p%C3%A7s--i.371042463.5380896543" TargetMode="External"/><Relationship Id="rId42" Type="http://schemas.openxmlformats.org/officeDocument/2006/relationships/hyperlink" Target="https://www.clarezo.com.br/lampada-mr16-6w-bivolt-2700k-60-450lm-stella-sth853527?utm_source=Site&amp;utm_medium=GoogleMerchant&amp;utm_campaign=GoogleMerchant&amp;gclid=CjwKCAjws8yUBhA1EiwAi_tpER1FmCqB8HdvJ4TA8_irSdaGbi_enmKSfYHbYgvnMawhhwMW4EcWAxoC6F8QAvD_BwE" TargetMode="External"/><Relationship Id="rId47" Type="http://schemas.openxmlformats.org/officeDocument/2006/relationships/hyperlink" Target="https://www.americanas.com.br/produto/3997775501?epar=bp_pl_00_go_agro_pmax_geral&amp;opn=YSMESP&amp;WT.srch=1&amp;offerId=6150e22709c351890d41bbea&amp;gclid=CjwKCAjwtIaVBhBkEiwAsr7-c3FB_nURinITjrhADYwdmoeoM2dhKl9Fn8bWlBFrpC7hyx0Xjo89lxoCIvwQAvD_BwE" TargetMode="External"/><Relationship Id="rId63" Type="http://schemas.openxmlformats.org/officeDocument/2006/relationships/hyperlink" Targe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TargetMode="External"/><Relationship Id="rId68" Type="http://schemas.openxmlformats.org/officeDocument/2006/relationships/hyperlink" Target="https://www.santil.com.br/produto/tubo-flexivel-sealtubo-34-preto-5-metros-decalflex/2881707?gclid=CjwKCAjwtIaVBhBkEiwAsr7-cwr07acJFQ7-LMGAHplezZKLaXA_8RrTn697xF6wOmjrcMR3WgSr0BoC1f8QAvD_BwE" TargetMode="External"/><Relationship Id="rId84" Type="http://schemas.openxmlformats.org/officeDocument/2006/relationships/hyperlink" Target="mailto:comercial@wbxracks.com.br" TargetMode="External"/><Relationship Id="rId89" Type="http://schemas.openxmlformats.org/officeDocument/2006/relationships/hyperlink" Target="mailto:comercial@wbxracks.com.br" TargetMode="External"/><Relationship Id="rId112" Type="http://schemas.openxmlformats.org/officeDocument/2006/relationships/hyperlink" Target="https://www.mabore.com.br/porca-sextavada-aco-zincado-516-pol-unc-ref2852015161-vonder/p?gclid=EAIaIQobChMIkcapo7X-9wIV5kFIAB1EJg2IEAQYBCABEgJlMPD_BwE" TargetMode="External"/><Relationship Id="rId16" Type="http://schemas.openxmlformats.org/officeDocument/2006/relationships/hyperlink" Target="https://produto.mercadolivre.com.br/MLB-2613331771-borracha-guarnico-p-esquadrias-de-aluminio-gua-007-50m-_JM?matt_tool=18956390&amp;utm_source=google_shopping&amp;utm_medium=organic" TargetMode="External"/><Relationship Id="rId107" Type="http://schemas.openxmlformats.org/officeDocument/2006/relationships/hyperlink" Target="https://www.kalunga.com.br/prod/fita-dupla-face-3m-scotch-fixa-forte-fixacao-extrema-24-mm-x-2-m-3m-bt-1-un/301633?pcID=115&amp;gclid=EAIaIQobChMIr-74rbab-AIVgQnnCh3WkA3DEAQYBCABEgIc7fD_BwE" TargetMode="External"/><Relationship Id="rId11" Type="http://schemas.openxmlformats.org/officeDocument/2006/relationships/hyperlink" Targe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TargetMode="External"/><Relationship Id="rId32" Type="http://schemas.openxmlformats.org/officeDocument/2006/relationships/hyperlink" Target="https://www.canmetal.com.br/chumbador-grapa-para-contramarco-cm060cm063-c100-pcs/p" TargetMode="External"/><Relationship Id="rId37" Type="http://schemas.openxmlformats.org/officeDocument/2006/relationships/hyperlink" Target="https://produto.mercadolivre.com.br/MLB-1789949327-presilha-de-arremate-nyl-190-100-unidades-_JM" TargetMode="External"/><Relationship Id="rId53" Type="http://schemas.openxmlformats.org/officeDocument/2006/relationships/hyperlink" Target="https://produto.mercadolivre.com.br/MLB-1712360587-tampa-tampo-de-incndio-hidrante-recalque-40-x-60-ferro-_JM?matt_tool=18956390&amp;utm_source=google_shopping&amp;utm_medium=organic" TargetMode="External"/><Relationship Id="rId58" Type="http://schemas.openxmlformats.org/officeDocument/2006/relationships/hyperlink" Target="https://produto.mercadolivre.com.br/MLB-1818081626-valvula-gaveta-212-lato-eale-_JM?matt_tool=18956390&amp;utm_source=google_shopping&amp;utm_medium=organic" TargetMode="External"/><Relationship Id="rId74" Type="http://schemas.openxmlformats.org/officeDocument/2006/relationships/hyperlink" Target="https://www.megsegurancaeletronica.com.br/MLB-1690880988-central-alarme-incndio-segurimax-125l-enderecavel-bateria-_JM?utm_source=google&amp;utm_medium=cpc&amp;utm_campaign=darwin_ss" TargetMode="External"/><Relationship Id="rId79" Type="http://schemas.openxmlformats.org/officeDocument/2006/relationships/hyperlink" Target="https://www.leroymerlin.com.br/silicone-estrutural-cartucho-420gr-adesfix-branco_1567211274" TargetMode="External"/><Relationship Id="rId102" Type="http://schemas.openxmlformats.org/officeDocument/2006/relationships/hyperlink" Target="https://wbxracks.com.br/produto/rack-piso-fechado-44u-x-670mm/" TargetMode="External"/><Relationship Id="rId123" Type="http://schemas.openxmlformats.org/officeDocument/2006/relationships/hyperlink" Target="mailto:soledcuiaba@hotmail.com" TargetMode="External"/><Relationship Id="rId128" Type="http://schemas.openxmlformats.org/officeDocument/2006/relationships/hyperlink" Target="https://www.submarino.com.br/produto/45230782?pfm_carac=detector-de-calor&amp;pfm_index=2&amp;pfm_page=search&amp;pfm_pos=grid&amp;pfm_type=search_page&amp;offerId=5bd72529c81d486d203facb1" TargetMode="External"/><Relationship Id="rId5" Type="http://schemas.openxmlformats.org/officeDocument/2006/relationships/hyperlink" Target="https://www.tramontinastore.com/cuba-de-embutir-tramontina-lavinia-48-bl-em-aco-inox-acetinado-48x34-cm_94027103/p?idsku=94027103&amp;gclid=Cj0KCQiAjc2QBhDgARIsAMc3SqRwtSJQAahdKQWECibiA6rfSE6xszTVQvb5MjGM17rhyoTjyezCnXkaAqfAEALw_wcB" TargetMode="External"/><Relationship Id="rId90" Type="http://schemas.openxmlformats.org/officeDocument/2006/relationships/hyperlink" Target="https://www.americanas.com.br/produto/3500461743?epar=bp_pl_00_go_geral_pmax&amp;opn=YSMESP&amp;WT.srch=1&amp;offerId=60e2fc9652131c3c8176ffc7&amp;gclid=Cj0KCQjw-daUBhCIARIsALbkjSaZjD03mFns8S0zS7XaglW2Xf2wNMGvBcCDfPvU9UXMhujxqhVL4BMaArppEALw_wcB" TargetMode="External"/><Relationship Id="rId95" Type="http://schemas.openxmlformats.org/officeDocument/2006/relationships/hyperlink" Target="https://www.upperseg.com.br/cftv/rack-organizador/acessorios-para-rack/bandeja-fixa-para-rack-19-1u-x-400mm-bf1u-400-intelbras/" TargetMode="External"/><Relationship Id="rId19" Type="http://schemas.openxmlformats.org/officeDocument/2006/relationships/hyperlink" Target="https://loja.pagbem.com.br/fita-adesiva-elastobor-espuma-polietileno-20mmx5mm-com-10mt-5812/p?idsku=5717&amp;gclid=CjwKCAjwkMeUBhBuEiwA4hpqEJn0RP6XW24NqzyBrG8dX6MdCQuTr9sdA-hd-eDTUQkAkHVs_GVlpBoCefAQAvD_BwE" TargetMode="External"/><Relationship Id="rId14" Type="http://schemas.openxmlformats.org/officeDocument/2006/relationships/hyperlink" Target="https://www.americanas.com.br/produto/1702131241?epar=bp_pl_00_go_el_pmax_geral&amp;opn=YSMESP&amp;WT.srch=1&amp;offerId=5eb8bc4679bf8430cbcda9f1&amp;gclid=CjwKCAjw7vuUBhBUEiwAEdu2pBc2SjTxVeZiRlkBOEvo4O_Le1NRQ8PbvLchOBLvFj6463Yzyz6mrRoCSIYQAvD_BwE" TargetMode="External"/><Relationship Id="rId22" Type="http://schemas.openxmlformats.org/officeDocument/2006/relationships/hyperlink" Target="mailto:ajuda@suporte.shopee.com.br" TargetMode="External"/><Relationship Id="rId27" Type="http://schemas.openxmlformats.org/officeDocument/2006/relationships/hyperlink" Target="https://www.magazineluiza.com.br/kit-100-pecas-parafuso-42x16-auto-brocante-flangeado-philips-08x5-8-new-fix/p/fa8ag38fk5/fs/prfs/?&amp;seller_id=kingantenas" TargetMode="External"/><Relationship Id="rId30" Type="http://schemas.openxmlformats.org/officeDocument/2006/relationships/hyperlink" Target="https://www.casadosparafusosfranca.com.br/fixadores/parafusos/auto-atarraxante/parafuso-auto-atarraxante-panela-phillips-4-8-x-32-zincado?parceiro=7954&amp;parceiro=3942&amp;gclid=CjwKCAjwkMeUBhBuEiwA4hpqECpU72wWWzEGO5VNFFNOGYorajAcgyWQj9eCPPrYbkf0jGrbVde8yxoCIbAQAvD_BwE" TargetMode="External"/><Relationship Id="rId35" Type="http://schemas.openxmlformats.org/officeDocument/2006/relationships/hyperlink" Target="https://produto.mercadolivre.com.br/MLB-1891314627-fecho-alavanca-maxim-ar-para-linha-25-ou-30mm-fma51-preto-_JM?quantity=13" TargetMode="External"/><Relationship Id="rId43" Type="http://schemas.openxmlformats.org/officeDocument/2006/relationships/hyperlink" Target="https://www.blight.com.br/lampadas/dicroica-par16/lampada-led-stella-sth853565-dicroicapar16-gu10-6w-6500k-36g-bivolt?parceiro=8963&amp;gclid=CjwKCAjws8yUBhA1EiwAi_tpEdWlFWaCPsCw4orlliEeJM9okLrBCR8n7xNK4oUK-IfWcabwJOqDFBoCPAgQAvD_BwE" TargetMode="External"/><Relationship Id="rId48" Type="http://schemas.openxmlformats.org/officeDocument/2006/relationships/hyperlink" Targe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TargetMode="External"/><Relationship Id="rId56" Type="http://schemas.openxmlformats.org/officeDocument/2006/relationships/hyperlink" Target="https://www.soedral.com.br/valvula-de-succao-212-30012500-docol" TargetMode="External"/><Relationship Id="rId64" Type="http://schemas.openxmlformats.org/officeDocument/2006/relationships/hyperlink" Target="https://www.elastobor.com.br/suporte-de-chao-elastobor-para-extintor-pqs-170mm/p?idsku=161635007" TargetMode="External"/><Relationship Id="rId69" Type="http://schemas.openxmlformats.org/officeDocument/2006/relationships/hyperlink" Target="http://www.lojaeletrica.com.br/rolo-seal-tube-galvanizado-pvc-h-34-5-metros,product,2491400000765,dept,0.aspx" TargetMode="External"/><Relationship Id="rId77" Type="http://schemas.openxmlformats.org/officeDocument/2006/relationships/hyperlink" Target="https://www.magazineluiza.com.br/conector-pressao-intelli-bimetalico-70mm-1856-pfb-70-kit-c-20/p/jb0448aj5f/in/otin/" TargetMode="External"/><Relationship Id="rId100" Type="http://schemas.openxmlformats.org/officeDocument/2006/relationships/hyperlink" Target="https://www.santil.com.br/produto/te-horizontal-perfurado-200x50mm-90-calhas-kennedy/2730541/" TargetMode="External"/><Relationship Id="rId105" Type="http://schemas.openxmlformats.org/officeDocument/2006/relationships/hyperlink" Target="http://cnpj.info/12535095000127" TargetMode="External"/><Relationship Id="rId113" Type="http://schemas.openxmlformats.org/officeDocument/2006/relationships/hyperlink" Target="https://www.jofepar.com.br/porca-sextavada-ferro-unc-5-16-p687?gclid=EAIaIQobChMIkcapo7X-9wIV5kFIAB1EJg2IEAQYASABEgL2e_D_BwE" TargetMode="External"/><Relationship Id="rId118" Type="http://schemas.openxmlformats.org/officeDocument/2006/relationships/hyperlink" Target="https://www.iluminim.com.br/tubular-led-sobrepor-completa-36w-branco-frio?utm_source=Site&amp;utm_medium=GoogleMerchant&amp;utm_campaign=GoogleMerchant&amp;gclid=CjwKCAjw46CVBhB1EiwAgy6M4ino1BXPphSUKXCv8w25QMt5UPbpWrE6BQgjRLnxb9gOvacn5YaB0hoCc0MQAvD_BwE" TargetMode="External"/><Relationship Id="rId126" Type="http://schemas.openxmlformats.org/officeDocument/2006/relationships/hyperlink" Target="https://contraincendio.com.br/produto/alarme-de-incendio/detector/ascael-detector/detector-termovelocimetrico-enderecavel-adte-1024-ascael/" TargetMode="External"/><Relationship Id="rId8" Type="http://schemas.openxmlformats.org/officeDocument/2006/relationships/hyperlink" Target="https://lojaobrafacil.com.br/torneira-mesa-fechamento-automatico-link-deca-1172clnk" TargetMode="External"/><Relationship Id="rId51" Type="http://schemas.openxmlformats.org/officeDocument/2006/relationships/hyperlink" Target="https://www.lojaqualitytubos.com.br/acionador-manual-convencional-com-sirene-bivolt-12-24v-p1000742?utm_source=google&amp;utm_medium=upc&amp;utm_campaign=qualitytubos&amp;gclid=CjwKCAjws8yUBhA1EiwAi_tpEfxA6k7OZ1o613MSPIIyPgsTSFIfkEaqFIP85UXnqs9OTjbOQekGCRoCpGcQAvD_BwE" TargetMode="External"/><Relationship Id="rId72" Type="http://schemas.openxmlformats.org/officeDocument/2006/relationships/hyperlink" Target="http://www.lojaeletrica.com.br/bucha-de-reducao-com-rosca-em-aluminio-1x34tramontina,product,2490302490087,dept,0.aspx" TargetMode="External"/><Relationship Id="rId80" Type="http://schemas.openxmlformats.org/officeDocument/2006/relationships/hyperlink" Targe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TargetMode="External"/><Relationship Id="rId85" Type="http://schemas.openxmlformats.org/officeDocument/2006/relationships/hyperlink" Target="mailto:comercial@wbxracks.com.br" TargetMode="External"/><Relationship Id="rId93" Type="http://schemas.openxmlformats.org/officeDocument/2006/relationships/hyperlink" Target="https://www.kabum.com.br/produto/303803/power-balun-16-canais-full-hd-com-alimentacao-vb-1016-wp-intelbras?gclid=EAIaIQobChMIvrCpmYCZ-AIVAcORCh2STw6YEAQYCCABEgKwzfD_BwE" TargetMode="External"/><Relationship Id="rId98" Type="http://schemas.openxmlformats.org/officeDocument/2006/relationships/hyperlink" Target="https://web.whatsapp.com/send?phone=554136613100&amp;text=Ol%C3%A1,%20estou%20navegando%20no%20site%20e%20preciso%20de%20ajuda." TargetMode="External"/><Relationship Id="rId121" Type="http://schemas.openxmlformats.org/officeDocument/2006/relationships/hyperlink" Target="mailto:soledcuiaba@hotmail.com" TargetMode="External"/><Relationship Id="rId3" Type="http://schemas.openxmlformats.org/officeDocument/2006/relationships/hyperlink" Target="https://www.leroymerlin.com.br/cuba-de-embutir-ceramica-oval-l37-17-16x48,5x37,5-cm-branca-deca_85237852" TargetMode="External"/><Relationship Id="rId12" Type="http://schemas.openxmlformats.org/officeDocument/2006/relationships/hyperlink" Target="https://www.submarino.com.br/produto/3523250893?epar=bp_pl_px_go_pmax_telefonia_geral_3P&amp;opn=XMLGOOGLE&amp;WT.srch=1&amp;offerId=60e9a1cb0fff249a32d13577&amp;gclid=CjwKCAjwkMeUBhBuEiwA4hpqEB9thlVwCGbSOZhWjqQJGRIgydvnbuM6kJIgV5axNyRJLubeKthADhoCj9IQAvD_BwE" TargetMode="External"/><Relationship Id="rId17" Type="http://schemas.openxmlformats.org/officeDocument/2006/relationships/hyperlink" Target="https://www.perfildealuminio.com.br/guarnicao-gua161-em-epdm-p-maxi-ar-vedacao-folhas-de-vidro-rolo-com-50mts?utm_source=Site&amp;utm_medium=GoogleMerchant&amp;utm_campaign=GoogleMerchant" TargetMode="External"/><Relationship Id="rId25" Type="http://schemas.openxmlformats.org/officeDocument/2006/relationships/hyperlink" Target="https://www.lojabrafer.com.br/parafuso-auto-brocante-4-2x16-phillips-flangeado-100-unidade/p/kit1896?c=5&amp;t=459" TargetMode="External"/><Relationship Id="rId33" Type="http://schemas.openxmlformats.org/officeDocument/2006/relationships/hyperlink" Target="https://www.americanas.com.br/produto/5022521245?opn=YSMESP&amp;offerId=6272e6c187c00289c2adb7a5&amp;srsltid=AWLEVJwP63DwDSIp2w47C1P7PxvRrbvHWYhLNL7awN1LRjzy0KMv4OTQwG4" TargetMode="External"/><Relationship Id="rId38" Type="http://schemas.openxmlformats.org/officeDocument/2006/relationships/hyperlink" Targe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TargetMode="External"/><Relationship Id="rId46" Type="http://schemas.openxmlformats.org/officeDocument/2006/relationships/hyperlink" Target="https://produto.mercadolivre.com.br/MLB-2658108844-barra-de-aco-inox-304-redondo-38-x-1-metro-kit-com-6pcs-_JM" TargetMode="External"/><Relationship Id="rId59" Type="http://schemas.openxmlformats.org/officeDocument/2006/relationships/hyperlink" Target="https://www.megathor.com.br/placa-alarme-de-incendio-fotoluminescente" TargetMode="External"/><Relationship Id="rId67" Type="http://schemas.openxmlformats.org/officeDocument/2006/relationships/hyperlink" Target="https://www.dimensional.com.br/eletroduto-seal-tubo-ac-pvc-3-4-ssp6034/p?idsku=939203" TargetMode="External"/><Relationship Id="rId103" Type="http://schemas.openxmlformats.org/officeDocument/2006/relationships/hyperlink" Target="https://inforack.com.br/rack-informatica/19-fechado/44u-x-670mm/" TargetMode="External"/><Relationship Id="rId108" Type="http://schemas.openxmlformats.org/officeDocument/2006/relationships/hyperlink" Target="https://www.santil.com.br/produto/fita-dupla-face-scotch-fixa-forte-transparente-24mm-x-2m-3m/471592" TargetMode="External"/><Relationship Id="rId116" Type="http://schemas.openxmlformats.org/officeDocument/2006/relationships/hyperlink" Target="https://www.jofepar.com.br/arruela-lisa-5-16-x-1,2-411-p1174" TargetMode="External"/><Relationship Id="rId124" Type="http://schemas.openxmlformats.org/officeDocument/2006/relationships/hyperlink" Target="https://www.fastsecurity.com.br/materias-eletricos/detector-de-temperatura-convencional-universal-dtc-421-un-intelbras" TargetMode="External"/><Relationship Id="rId129" Type="http://schemas.openxmlformats.org/officeDocument/2006/relationships/hyperlink" Target="https://produto.mercadolivre.com.br/MLB-2639374694-suporte-guia-p-barra-chata-aluminio-e-cabo-pp-valor-10-pc-_JM" TargetMode="External"/><Relationship Id="rId20" Type="http://schemas.openxmlformats.org/officeDocument/2006/relationships/hyperlink" Targe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TargetMode="External"/><Relationship Id="rId41" Type="http://schemas.openxmlformats.org/officeDocument/2006/relationships/hyperlink" Target="https://luminariasonline.com.br/luminarias/arandela-lirios-retangular-5-vidros-interno-20x12x10cm-metal-usina-5041-1/" TargetMode="External"/><Relationship Id="rId54" Type="http://schemas.openxmlformats.org/officeDocument/2006/relationships/hyperlink" Target="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TargetMode="External"/><Relationship Id="rId62" Type="http://schemas.openxmlformats.org/officeDocument/2006/relationships/hyperlink" Target="https://www.isinaliza.com/placa-37-andar-fotoluminescente-s17-37/p?idsku=16252&amp;gclid=CjwKCAjw46CVBhB1EiwAgy6M4tkgNP8eK_8Qv6L724TFRfswYe-StjQjwYc7u6V5BZQpjbuxMkQ6DxoCSC0QAvD_BwE" TargetMode="External"/><Relationship Id="rId70" Type="http://schemas.openxmlformats.org/officeDocument/2006/relationships/hyperlink" Target="https://www.tramontinastore.com/reducao-com-rosca-1--x-3-4-_56124003/p?idsku=56124003&amp;gclid=CjwKCAjwnZaVBhA6EiwAVVyv9AokPrnKeuCXaF5SffQdl1xN6yXfN7i8E1EgG1-xMtz3hU7Jj58n9RoCg9sQAvD_BwE" TargetMode="External"/><Relationship Id="rId75" Type="http://schemas.openxmlformats.org/officeDocument/2006/relationships/hyperlink" Target="https://www.shoptime.com.br/produto/2391235957?epar=bp_pl_px_go_pmax_casaeconstrucao&amp;opn=GOOGLEXML&amp;WT.srch=1&amp;gclid=EAIaIQobChMInvTU1qTN9gIVVsmUCR1INglYEAQYDCABEgJiBvD_BwE" TargetMode="External"/><Relationship Id="rId83" Type="http://schemas.openxmlformats.org/officeDocument/2006/relationships/hyperlink" Target="https://rceletrica.com.br/produto/suporte-horizontal-para-eletrocalha-100x100mm/" TargetMode="External"/><Relationship Id="rId88" Type="http://schemas.openxmlformats.org/officeDocument/2006/relationships/hyperlink" Target="https://www.kabum.com.br/precarrinho/265912/0" TargetMode="External"/><Relationship Id="rId91" Type="http://schemas.openxmlformats.org/officeDocument/2006/relationships/hyperlink" Target="https://www.kabum.com.br/precarrinho/253590/0" TargetMode="External"/><Relationship Id="rId96" Type="http://schemas.openxmlformats.org/officeDocument/2006/relationships/hyperlink" Target="https://netcomputadores.com.br/p/000000425-raker-bandeja-movel-400mm/21024" TargetMode="External"/><Relationship Id="rId111" Type="http://schemas.openxmlformats.org/officeDocument/2006/relationships/hyperlink" Target="https://www.piresmartins.com.br/barra-rosqueada-5-16-pol-unc/p/1658/" TargetMode="External"/><Relationship Id="rId1" Type="http://schemas.openxmlformats.org/officeDocument/2006/relationships/hyperlink" Target="https://www.lojaqualitytubos.com.br/acionador-manual-convencional-com-sirene-bivolt-12-24v-p1000742?utm_source=google&amp;utm_medium=upc&amp;utm_campaign=qualitytubos&amp;gclid=CjwKCAjws8yUBhA1EiwAi_tpEfxA6k7OZ1o613MSPIIyPgsTSFIfkEaqFIP85UXnqs9OTjbOQekGCRoCpGcQAvD_BwE" TargetMode="External"/><Relationship Id="rId6" Type="http://schemas.openxmlformats.org/officeDocument/2006/relationships/hyperlink" Target="https://www.copafer.com.br/torneira-de-mesa-para-lavatorio-decamatic-conforto-1173-c-conf-deca-p1105206?region_id=000001" TargetMode="External"/><Relationship Id="rId15" Type="http://schemas.openxmlformats.org/officeDocument/2006/relationships/hyperlink" Target="https://www.perfildealuminio.com.br/guarnicao-gua161-em-epdm-p-maxi-ar-vedacao-folhas-de-vidro-rolo-com-50mts?utm_source=Site&amp;utm_medium=GoogleMerchant&amp;utm_campaign=GoogleMerchant" TargetMode="External"/><Relationship Id="rId23" Type="http://schemas.openxmlformats.org/officeDocument/2006/relationships/hyperlink" Target="https://produto.mercadolivre.com.br/MLB-2026561904-presilha-de-arremate-em-nyl-190-50-unidades-_JM?matt_tool=18956390&amp;utm_source=google_shopping&amp;utm_medium=organic" TargetMode="External"/><Relationship Id="rId28" Type="http://schemas.openxmlformats.org/officeDocument/2006/relationships/hyperlink" Target="https://www.jofepar.com.br/parafuso-inox-304-auto-atarraxante-panela-phillips-4,8-x-32-p8695?gclid=CjwKCAjwkMeUBhBuEiwA4hpqEEPX-p1ihy7dQJJ8XFpuS6sZUV0ktvuYnK94sVZdSlyR9SCstMN7_xoCAe4QAvD_BwE" TargetMode="External"/><Relationship Id="rId36" Type="http://schemas.openxmlformats.org/officeDocument/2006/relationships/hyperlink" Targe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TargetMode="External"/><Relationship Id="rId49" Type="http://schemas.openxmlformats.org/officeDocument/2006/relationships/hyperlink" Target="https://produto.mercadolivre.com.br/MLB-2658108844-barra-de-aco-inox-304-redondo-38-x-1-metro-kit-com-6pcs-_JM" TargetMode="External"/><Relationship Id="rId57" Type="http://schemas.openxmlformats.org/officeDocument/2006/relationships/hyperlink" Target="https://www.lojaqualitytubos.com.br/registro-de-gaveta-bruto-em-latao-de-2-1-2-p999195?utm_source=google&amp;utm_medium=upc&amp;utm_campaign=qualitytubos&amp;gclid=CjwKCAjws8yUBhA1EiwAi_tpET5X0X-c9P4UtCvCdtCN-hD3Ze30d1gZVWHENjLKHBjq8GtCHOmChRoCZZ0QAvD_BwE" TargetMode="External"/><Relationship Id="rId106" Type="http://schemas.openxmlformats.org/officeDocument/2006/relationships/hyperlink" Target="https://www.americanas.com.br/produto/4874307441?epar=bp_pl_00_go_cc_pmax_geral&amp;opn=YSMESP&amp;WT.srch=1&amp;offerId=6247aa3487c00289c26671a7&amp;gclid=CjwKCAjwqauVBhBGEiwAXOepkS7fSRpJ84x_grsAUOrUjcujBTZGr6Q_GHcb-pg-pkxI2aAdbRQ-KxoCKkIQAvD_BwE&amp;cor=Verde&amp;tamanho=Grande" TargetMode="External"/><Relationship Id="rId114" Type="http://schemas.openxmlformats.org/officeDocument/2006/relationships/hyperlink" Target="https://produto.mercadolivre.com.br/MLB-2174458333-porca-de-parafuso-516-12-unf-sextavada-polida-200-unidade-_JM?matt_tool=18956390&amp;utm_source=google_shopping&amp;utm_medium=organic" TargetMode="External"/><Relationship Id="rId119" Type="http://schemas.openxmlformats.org/officeDocument/2006/relationships/hyperlink" Target="https://www.santil.com.br/produto/luminaria-led-slim-linear-sobrepor-36w-bivolt-luz-branca-120-cm-blumenau/471230?gclid=CjwKCAjw46CVBhB1EiwAgy6M4qCSOe_Xc_-30gdoUa__K8oZpAsoUvJkQmWQ1dQ50idl-7S_fW8LsRoCrF0QAvD_BwE" TargetMode="External"/><Relationship Id="rId127" Type="http://schemas.openxmlformats.org/officeDocument/2006/relationships/hyperlink" Target="https://www.magazineluiza.com.br/detector-de-calor-enderecavel-termovelocimetrico-dhi-700-da-jfl/p/gch0jf4bjj/pi/sise/" TargetMode="External"/><Relationship Id="rId10" Type="http://schemas.openxmlformats.org/officeDocument/2006/relationships/hyperlink" Target="https://www.marinbrasil.com.br/tanque-de-encaixe-30l-em-aco-inox-polido-50x40-cm-outlet-tramontina-94900385/p?idsku=1401&amp;gclid=CjwKCAiAsNKQBhAPEiwAB-I5zXetkD0lWI3EuaN4SwTcUv8gnaJtppdE3ccZQP_j88rNUfq20LtmKxoCfegQAvD_BwE" TargetMode="External"/><Relationship Id="rId31" Type="http://schemas.openxmlformats.org/officeDocument/2006/relationships/hyperlink" Target="https://produto.mercadolivre.com.br/MLB-1545613297-chu-787-chumbador-contramarco-100-unid-_JM?matt_tool=18956390&amp;utm_source=google_shopping&amp;utm_medium=organic" TargetMode="External"/><Relationship Id="rId44" Type="http://schemas.openxmlformats.org/officeDocument/2006/relationships/hyperlink" Targe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TargetMode="External"/><Relationship Id="rId52" Type="http://schemas.openxmlformats.org/officeDocument/2006/relationships/hyperlink" Target="https://www.americanas.com.br/produto/3854147348?epar=bp_pl_00_go_cc_pmax_geral&amp;opn=YSMESP&amp;WT.srch=1&amp;offerId=613601a009c351890d654e72&amp;gclid=CjwKCAjws8yUBhA1EiwAi_tpEcQ4LfMkWtmNxiYCv4PrBsvlnRtAErI8I-SVlJcAn_dVjn1imthOuRoCqbkQAvD_BwE" TargetMode="External"/><Relationship Id="rId60" Type="http://schemas.openxmlformats.org/officeDocument/2006/relationships/hyperlink" Target="https://www.isinaliza.com/placa-perigo--inflamavel/p?idsku=36160&amp;gclid=CjwKCAjws8yUBhA1EiwAi_tpEUbkxcFEX6w6FTI0YybX0aCXEfkYq_mp8U3vuNfhQ7oT2LIocm-jbxoCv-MQAvD_BwE" TargetMode="External"/><Relationship Id="rId65" Type="http://schemas.openxmlformats.org/officeDocument/2006/relationships/hyperlink" Target="https://www.fastsecurity.com.br/materias-eletricos/detector-de-temperatura-convencional-universal-dtc-421-un-intelbras" TargetMode="External"/><Relationship Id="rId73" Type="http://schemas.openxmlformats.org/officeDocument/2006/relationships/hyperlink" Target="https://lumiled.com.br/produto/central-de-alarme-de-incendio-enderecavel-smart-125/?utm_source=Google+Shopping&amp;utm_medium=cpc&amp;utm_campaign=Lumiled&amp;gclid=EAIaIQobChMIj_TpiKLN9gIVCw2RCh0C7AM7EAQYASABEgKsTPD_BwE" TargetMode="External"/><Relationship Id="rId78" Type="http://schemas.openxmlformats.org/officeDocument/2006/relationships/hyperlink" Targe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TargetMode="External"/><Relationship Id="rId81" Type="http://schemas.openxmlformats.org/officeDocument/2006/relationships/hyperlink" Target="https://www.santil.com.br/produto/suporte-u-reforcado-200x50mm-calhas-kennedy/2730546" TargetMode="External"/><Relationship Id="rId86" Type="http://schemas.openxmlformats.org/officeDocument/2006/relationships/hyperlink" Target="https://wbxracks.com.br/produto/rack-piso-fechado-44u-x-670mm/" TargetMode="External"/><Relationship Id="rId94" Type="http://schemas.openxmlformats.org/officeDocument/2006/relationships/hyperlink" Target="https://www.leroymerlin.com.br/eletrocalha-perfurada-50x50-aco-zincado-3metros-perfil-lider_89087971" TargetMode="External"/><Relationship Id="rId99" Type="http://schemas.openxmlformats.org/officeDocument/2006/relationships/hyperlink" Target="https://www.eletrorastro.com.br/produto/curva-horizontal-90g-050x050-inbraell-85963" TargetMode="External"/><Relationship Id="rId101" Type="http://schemas.openxmlformats.org/officeDocument/2006/relationships/hyperlink" Target="https://web.whatsapp.com/send?phone=554136613100&amp;text=Ol%C3%A1,%20estou%20navegando%20no%20site%20e%20preciso%20de%20ajuda." TargetMode="External"/><Relationship Id="rId122" Type="http://schemas.openxmlformats.org/officeDocument/2006/relationships/hyperlink" Target="mailto:soledcuiaba@hotmail.com" TargetMode="External"/><Relationship Id="rId130" Type="http://schemas.openxmlformats.org/officeDocument/2006/relationships/printerSettings" Target="../printerSettings/printerSettings11.bin"/><Relationship Id="rId4" Type="http://schemas.openxmlformats.org/officeDocument/2006/relationships/hyperlink" Target="https://www.marinbrasil.com.br/cuba-de-embutir-tramontina-lavinia-48-bl-em-aco-inox-acetinado-48-x-34-x-18-cm-com-valvula-94027102/p?idsku=465&amp;gclid=Cj0KCQiAjc2QBhDgARIsAMc3SqRlJHzTYno5DyGQlHQNYp2vZL0L5EuVaXp5iP0F3uIYh3mXLr5-nmEaAgwHEALw_wcB" TargetMode="External"/><Relationship Id="rId9" Type="http://schemas.openxmlformats.org/officeDocument/2006/relationships/hyperlink" Target="https://www.abcdaconstrucao.com.br/produto/saboneteira-de-parede-flat-cromado-docol-87624?keyword=&amp;creative=541111541219&amp;gclid=CjwKCAiAsNKQBhAPEiwAB-I5zXX5r6cWAdFS_oxQN84c4fMlWR4XRbcNeq0TznmEbgF8S_exXd0YWhoCVnkQAvD_BwE" TargetMode="External"/><Relationship Id="rId13" Type="http://schemas.openxmlformats.org/officeDocument/2006/relationships/hyperlink" Target="https://www.magazineluiza.com.br/braco-articulacao-p-janela-maxim-ar-natural-600mm-1-par-comercial/p/cbfe354gcd/au/voac/" TargetMode="External"/><Relationship Id="rId18" Type="http://schemas.openxmlformats.org/officeDocument/2006/relationships/hyperlink" Target="https://www.elastobor.com.br/fita-adesiva-elastobor-espuma-polietileno-20mm-x-5mm-com-10mt/p?idsku=121653049" TargetMode="External"/><Relationship Id="rId39" Type="http://schemas.openxmlformats.org/officeDocument/2006/relationships/hyperlink" Target="https://www.blight.com.br/checkout/cart?session_id=ehtt2r50fgp8ju89gd1srp8rp0&amp;store_id=683033" TargetMode="External"/><Relationship Id="rId109" Type="http://schemas.openxmlformats.org/officeDocument/2006/relationships/hyperlink" Target="https://www.jofepar.com.br/barra-roscada-ferro-unc-5-16-p9?gclid=EAIaIQobChMI-Pn9_dP_9wIVAEFIAB2QSgFMEAQYAyABEgJArvD_BwE" TargetMode="External"/><Relationship Id="rId34" Type="http://schemas.openxmlformats.org/officeDocument/2006/relationships/hyperlink" Target="https://www.magazineluiza.com.br/fecho-alavanca-frontal-maxim-ar-aluminio-linha-25-30-preto-kmp/p/fbac9a49c7/rc/rcnm/?&amp;seller_id=kmpacessorios" TargetMode="External"/><Relationship Id="rId50" Type="http://schemas.openxmlformats.org/officeDocument/2006/relationships/hyperlink" Target="https://www.eletrorastro.com.br/produto/sirene-eletromecanica-eg-101-1500m-220v-0-6a-engesig-82265?utm_source=google&amp;utm_medium=cpc&amp;utm_campaign=&amp;gclid=CjwKCAjws8yUBhA1EiwAi_tpEUKsun5qTSFVZPzM1XtO3ZIiHYOnVbLSlDwCnm76sOYmUTZhwKTIuBoC4pUQAvD_BwE" TargetMode="External"/><Relationship Id="rId55" Type="http://schemas.openxmlformats.org/officeDocument/2006/relationships/hyperlink" Targe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TargetMode="External"/><Relationship Id="rId76" Type="http://schemas.openxmlformats.org/officeDocument/2006/relationships/hyperlink" Target="https://www.santil.com.br/produto/tampa-para-caixa-de-inspecao-em-ferro-fundido-300mm-paratec/2898181" TargetMode="External"/><Relationship Id="rId97" Type="http://schemas.openxmlformats.org/officeDocument/2006/relationships/hyperlink" Target="https://www.hdstore.com.br/bandeja-movel-max-eletron-19-pol-x-400mm-preta-4-pontos-fixacao-4577?gclid=Cj0KCQjw-daUBhCIARIsALbkjSYcvK_qPG3n_3cWcUuAp5jffxVluMCjb760IY112AEe3TX5IIwbguMaAupvEALw_wcB" TargetMode="External"/><Relationship Id="rId104" Type="http://schemas.openxmlformats.org/officeDocument/2006/relationships/hyperlink" Target="https://pollofundidos.com.br/produtos/ralo-semisferico-em-ferro-fundido-4-polegadas-10-cm/?pf=gs&amp;srsltid=AQP2TeO_IGoQdALxWT04pH9lOET8RPDCwNGlSQTUdtuLmJpUBvsnysbtg3o" TargetMode="External"/><Relationship Id="rId120" Type="http://schemas.openxmlformats.org/officeDocument/2006/relationships/hyperlink" Target="mailto:soledcuiaba@hotmail.com" TargetMode="External"/><Relationship Id="rId125" Type="http://schemas.openxmlformats.org/officeDocument/2006/relationships/hyperlink" Targe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TargetMode="External"/><Relationship Id="rId7" Type="http://schemas.openxmlformats.org/officeDocument/2006/relationships/hyperlink" Target="https://www.americanas.com.br/produto/5010036701?epar=bp_pl_00_go_cc_pmax_geral&amp;opn=YSMESP&amp;WT.srch=1&amp;offerId=626c3aff87c00289c2fc9973&amp;gclid=Cj0KCQjw-daUBhCIARIsALbkjSZp903KL2TaKbyEqKoqSVO7R13Y1tQDadVQW_kvYcNUw2AeDrxUtQkaAjXeEALw_wcB" TargetMode="External"/><Relationship Id="rId71" Type="http://schemas.openxmlformats.org/officeDocument/2006/relationships/hyperlink" Target="https://www.dimensional.com.br/bucha-reducao-metalica-eletroduto-aluminio-bsp-1-1-2x3-4-56124008-tramontina/p?idsku=944911&amp;gclid=CjwKCAjwnZaVBhA6EiwAVVyv9EwVpgz0IOIZVTy-WRnSnegbhlpI6zS0QlnxlGKindFQ4WSpgZX7yxoCNsYQAvD_BwE" TargetMode="External"/><Relationship Id="rId92" Type="http://schemas.openxmlformats.org/officeDocument/2006/relationships/hyperlink" Target="https://www.americanas.com.br/produto/3277251611?epar=bp_pl_00_go_cc_pmax_geral&amp;opn=YSMESP&amp;WT.srch=1&amp;offerId=609adef952131c3c81a2d56d&amp;gclid=EAIaIQobChMIvrCpmYCZ-AIVAcORCh2STw6YEAQYAyABEgLi1_D_BwE" TargetMode="External"/><Relationship Id="rId2" Type="http://schemas.openxmlformats.org/officeDocument/2006/relationships/hyperlink" Target="https://torneiraeletronica.com.br/produto/assento-bacia-deficiente-com-abertura-de-fisico-frontal-plus-care-duraguard-81-001/160987" TargetMode="External"/><Relationship Id="rId29" Type="http://schemas.openxmlformats.org/officeDocument/2006/relationships/hyperlink" Target="https://www.dallanese.com.br/4323/pf-aa-panela-phillips-inox-304?gclid=CjwKCAjwkMeUBhBuEiwA4hpqEK7y-qOeJ7i7GJE1ibTsVnr29Zq0GD--FIZhuBDLbsKFrsq_ewZbMxoCPn8QAvD_BwE" TargetMode="External"/><Relationship Id="rId24" Type="http://schemas.openxmlformats.org/officeDocument/2006/relationships/hyperlink" Target="https://www.perfildealuminio.com.br/botao-peca-fixacao-arremate-do-perfil-mp-347-de-nylon-pacote-c-500-pecas?utm_source=Site&amp;utm_medium=GoogleMerchant&amp;utm_campaign=GoogleMerchant" TargetMode="External"/><Relationship Id="rId40" Type="http://schemas.openxmlformats.org/officeDocument/2006/relationships/hyperlink" Target="https://www.magazineluiza.com.br/kit-perfil-de-embutir-1-metro-branco-fonte-alimentacao-fita-led-3000k-bela-home/p/jkkj5b8ea6/rc/rcnm/?&amp;seller_id=belahomeud" TargetMode="External"/><Relationship Id="rId45" Type="http://schemas.openxmlformats.org/officeDocument/2006/relationships/hyperlink" Target="https://www.blight.com.br/lampadas/fita-led-12v-24v/fita-led-stella-sth780465-eco-rolo-5-metros-5wm-6500k-12v-ip20?parceiro=8963&amp;gclid=CjwKCAjws8yUBhA1EiwAi_tpEeAbw2_WmxqR05I-AkEpjLKIqSucmwmC4cjg8-WZYuT8lT5DY20fiBoCqqAQAvD_BwE" TargetMode="External"/><Relationship Id="rId66" Type="http://schemas.openxmlformats.org/officeDocument/2006/relationships/hyperlink" Targe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TargetMode="External"/><Relationship Id="rId87" Type="http://schemas.openxmlformats.org/officeDocument/2006/relationships/hyperlink" Target="https://inforack.com.br/rack-informatica/19-fechado/44u-x-670mm/" TargetMode="External"/><Relationship Id="rId110" Type="http://schemas.openxmlformats.org/officeDocument/2006/relationships/hyperlink" Target="https://www.casadosparafusosfranca.com.br/barra-roscada-unc-516-x-01-mt-polida?parceiro=7954&amp;parceiro=3942&amp;gclid=CjwKCAjw7cGUBhA9EiwArBAvogJ9qHsAW-h-4huVC6S3gPTky9EAM-TjFflthHWnAVk3wdTBbwFiuxoC9-4QAvD_BwE" TargetMode="External"/><Relationship Id="rId115" Type="http://schemas.openxmlformats.org/officeDocument/2006/relationships/hyperlink" Target="https://www.casadosparafusosfranca.com.br/fixadores/arruela-lisa-zincada-516?parceiro=7954&amp;parceiro=3942&amp;gclid=EAIaIQobChMI7dmtv67-9wIVdEJIAB2GCgDkEAQYCiABEgJd9vD_BwE" TargetMode="External"/><Relationship Id="rId131" Type="http://schemas.openxmlformats.org/officeDocument/2006/relationships/vmlDrawing" Target="../drawings/vmlDrawing10.vml"/><Relationship Id="rId61" Type="http://schemas.openxmlformats.org/officeDocument/2006/relationships/hyperlink" Target="https://www.isinaliza.com/placa-37-andar-fotoluminescente-s17-37/p?idsku=16252&amp;gclid=CjwKCAjw46CVBhB1EiwAgy6M4tkgNP8eK_8Qv6L724TFRfswYe-StjQjwYc7u6V5BZQpjbuxMkQ6DxoCSC0QAvD_BwE" TargetMode="External"/><Relationship Id="rId82" Type="http://schemas.openxmlformats.org/officeDocument/2006/relationships/hyperlink" Target="https://produto.mercadolivre.com.br/MLB-2165389120-suporte-horizontal-p-eletrocalha-100x100mm-_JM?quantity=1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37"/>
  <sheetViews>
    <sheetView showGridLines="0" view="pageBreakPreview" topLeftCell="A97" zoomScale="80" zoomScaleNormal="85" zoomScaleSheetLayoutView="80" zoomScalePageLayoutView="40" workbookViewId="0">
      <selection activeCell="K214" sqref="K214"/>
    </sheetView>
  </sheetViews>
  <sheetFormatPr defaultRowHeight="15" outlineLevelRow="1"/>
  <cols>
    <col min="1" max="1" width="10.7109375" style="334" customWidth="1"/>
    <col min="2" max="2" width="10.85546875" style="856" customWidth="1"/>
    <col min="3" max="3" width="77.85546875" style="1112" customWidth="1"/>
    <col min="4" max="4" width="9.85546875" style="858" bestFit="1" customWidth="1"/>
    <col min="5" max="5" width="41.140625" style="1113" customWidth="1"/>
    <col min="6" max="6" width="34.28515625" style="1114" customWidth="1"/>
    <col min="7" max="16384" width="9.140625" style="637"/>
  </cols>
  <sheetData>
    <row r="1" spans="1:6" ht="15.75">
      <c r="A1" s="1315" t="s">
        <v>0</v>
      </c>
      <c r="B1" s="1316"/>
      <c r="C1" s="1316"/>
      <c r="D1" s="1316"/>
      <c r="E1" s="1316"/>
      <c r="F1" s="1317"/>
    </row>
    <row r="2" spans="1:6" ht="16.5" thickBot="1">
      <c r="A2" s="1318" t="s">
        <v>82</v>
      </c>
      <c r="B2" s="1319"/>
      <c r="C2" s="1319"/>
      <c r="D2" s="1319"/>
      <c r="E2" s="1319"/>
      <c r="F2" s="1320"/>
    </row>
    <row r="3" spans="1:6">
      <c r="A3" s="1321"/>
      <c r="B3" s="1322"/>
      <c r="C3" s="1322"/>
      <c r="D3" s="1322"/>
      <c r="E3" s="1322"/>
      <c r="F3" s="1323"/>
    </row>
    <row r="4" spans="1:6">
      <c r="A4" s="860" t="s">
        <v>1</v>
      </c>
      <c r="B4" s="684" t="s">
        <v>14732</v>
      </c>
      <c r="C4" s="684"/>
      <c r="D4" s="684"/>
      <c r="E4" s="784" t="s">
        <v>14</v>
      </c>
      <c r="F4" s="861" t="str">
        <f>PLANILHA!K4</f>
        <v>BDI NÃO DESON</v>
      </c>
    </row>
    <row r="5" spans="1:6" ht="15" customHeight="1">
      <c r="A5" s="860" t="s">
        <v>2</v>
      </c>
      <c r="B5" s="684" t="s">
        <v>96</v>
      </c>
      <c r="C5" s="684"/>
      <c r="D5" s="684"/>
      <c r="E5" s="862" t="s">
        <v>14733</v>
      </c>
      <c r="F5" s="863">
        <f>PLANILHA!K6</f>
        <v>0.22226164190779008</v>
      </c>
    </row>
    <row r="6" spans="1:6">
      <c r="A6" s="860" t="s">
        <v>3</v>
      </c>
      <c r="B6" s="684" t="s">
        <v>0</v>
      </c>
      <c r="C6" s="684"/>
      <c r="D6" s="684"/>
      <c r="E6" s="862"/>
      <c r="F6" s="864" t="str">
        <f>PLANILHA!L4</f>
        <v>BDI DESON</v>
      </c>
    </row>
    <row r="7" spans="1:6">
      <c r="A7" s="860" t="s">
        <v>4</v>
      </c>
      <c r="B7" s="684" t="s">
        <v>161</v>
      </c>
      <c r="C7" s="684"/>
      <c r="D7" s="684"/>
      <c r="E7" s="862"/>
      <c r="F7" s="863">
        <f>PLANILHA!L6</f>
        <v>0.28347674918197008</v>
      </c>
    </row>
    <row r="8" spans="1:6" ht="15.75" thickBot="1">
      <c r="A8" s="865"/>
      <c r="B8" s="866"/>
      <c r="C8" s="866"/>
      <c r="D8" s="866"/>
      <c r="E8" s="866"/>
      <c r="F8" s="867"/>
    </row>
    <row r="9" spans="1:6">
      <c r="A9" s="1324" t="s">
        <v>5</v>
      </c>
      <c r="B9" s="1325"/>
      <c r="C9" s="1325"/>
      <c r="D9" s="1325"/>
      <c r="E9" s="1325"/>
      <c r="F9" s="1326"/>
    </row>
    <row r="10" spans="1:6">
      <c r="A10" s="868"/>
      <c r="B10" s="786"/>
      <c r="C10" s="786"/>
      <c r="D10" s="786"/>
      <c r="E10" s="786"/>
      <c r="F10" s="869"/>
    </row>
    <row r="11" spans="1:6" s="642" customFormat="1">
      <c r="A11" s="870" t="str">
        <f>PLANILHA!A11</f>
        <v>ITEM</v>
      </c>
      <c r="B11" s="871" t="str">
        <f>PLANILHA!C11</f>
        <v>CODIGO</v>
      </c>
      <c r="C11" s="872" t="str">
        <f>PLANILHA!D11</f>
        <v>SERVIÇOS</v>
      </c>
      <c r="D11" s="735" t="str">
        <f>PLANILHA!E11</f>
        <v>UND</v>
      </c>
      <c r="E11" s="873"/>
      <c r="F11" s="874"/>
    </row>
    <row r="12" spans="1:6" s="642" customFormat="1">
      <c r="A12" s="875" t="str">
        <f>PLANILHA!A13</f>
        <v>1.0</v>
      </c>
      <c r="B12" s="876"/>
      <c r="C12" s="877" t="str">
        <f>PLANILHA!D13</f>
        <v>SERVIÇOS PRELIMINARES</v>
      </c>
      <c r="D12" s="878"/>
      <c r="E12" s="879"/>
      <c r="F12" s="880"/>
    </row>
    <row r="13" spans="1:6" ht="28.5" outlineLevel="1">
      <c r="A13" s="881" t="s">
        <v>44</v>
      </c>
      <c r="B13" s="74" t="str">
        <f>PLANILHA!C14</f>
        <v>SEPLAG ARQ 01</v>
      </c>
      <c r="C13" s="712" t="str">
        <f>PLANILHA!D14</f>
        <v>PLACA DE OBRA EM CHAPA DE ACO GALVANIZADO. FORNECIMENTO E INSTALAÇÃO.</v>
      </c>
      <c r="D13" s="76" t="str">
        <f>PLANILHA!E14</f>
        <v>M2</v>
      </c>
      <c r="E13" s="882" t="s">
        <v>85</v>
      </c>
      <c r="F13" s="883">
        <f>5*2.5</f>
        <v>12.5</v>
      </c>
    </row>
    <row r="14" spans="1:6" ht="42.75" outlineLevel="1">
      <c r="A14" s="881" t="str">
        <f>PLANILHA!A15</f>
        <v>1.2</v>
      </c>
      <c r="B14" s="74">
        <f>PLANILHA!C15</f>
        <v>93207</v>
      </c>
      <c r="C14" s="712" t="str">
        <f>PLANILHA!D15</f>
        <v>EXECUÇÃO DE ESCRITÓRIO EM CANTEIRO DE OBRA EM CHAPA DE MADEIRA COMPENSADA, NÃO INCLUSO MOBILIÁRIO E EQUIPAMENTOS. AF_02/2016</v>
      </c>
      <c r="D14" s="76" t="str">
        <f>PLANILHA!E15</f>
        <v>M2</v>
      </c>
      <c r="E14" s="882" t="s">
        <v>86</v>
      </c>
      <c r="F14" s="883">
        <f>8*4</f>
        <v>32</v>
      </c>
    </row>
    <row r="15" spans="1:6" ht="27.75" customHeight="1" outlineLevel="1">
      <c r="A15" s="881" t="str">
        <f>PLANILHA!A16</f>
        <v>1.3</v>
      </c>
      <c r="B15" s="74">
        <f>PLANILHA!C16</f>
        <v>93208</v>
      </c>
      <c r="C15" s="712" t="str">
        <f>PLANILHA!D16</f>
        <v>EXECUÇÃO DE ALMOXARIFADO EM CANTEIRO DE OBRA EM CHAPA DE MADEIRA COMPENSADA, INCLUSO PRATELEIRAS. AF_02/2016</v>
      </c>
      <c r="D15" s="76" t="str">
        <f>PLANILHA!E16</f>
        <v>M2</v>
      </c>
      <c r="E15" s="882" t="s">
        <v>13004</v>
      </c>
      <c r="F15" s="883">
        <f>8*3.5</f>
        <v>28</v>
      </c>
    </row>
    <row r="16" spans="1:6" ht="42.75" outlineLevel="1">
      <c r="A16" s="881" t="str">
        <f>PLANILHA!A17</f>
        <v>1.4</v>
      </c>
      <c r="B16" s="74">
        <f>PLANILHA!C17</f>
        <v>93210</v>
      </c>
      <c r="C16" s="712" t="str">
        <f>PLANILHA!D17</f>
        <v>EXECUÇÃO DE REFEITÓRIO EM CANTEIRO DE OBRA EM CHAPA DE MADEIRA COMPENSADA, NÃO INCLUSO MOBILIÁRIO E EQUIPAMENTOS. AF_02/2016</v>
      </c>
      <c r="D16" s="76" t="str">
        <f>PLANILHA!E17</f>
        <v>M2</v>
      </c>
      <c r="E16" s="882" t="s">
        <v>13003</v>
      </c>
      <c r="F16" s="883">
        <f>20*8.3</f>
        <v>166</v>
      </c>
    </row>
    <row r="17" spans="1:6" ht="42.75" outlineLevel="1">
      <c r="A17" s="881" t="str">
        <f>PLANILHA!A18</f>
        <v>1.5</v>
      </c>
      <c r="B17" s="74">
        <f>PLANILHA!C18</f>
        <v>93212</v>
      </c>
      <c r="C17" s="712" t="str">
        <f>PLANILHA!D18</f>
        <v>EXECUÇÃO DE SANITÁRIO E VESTIÁRIO EM CANTEIRO DE OBRA EM CHAPA DE MADEIRA COMPENSADA, NÃO INCLUSO MOBILIÁRIO. AF_02/2016</v>
      </c>
      <c r="D17" s="76" t="str">
        <f>PLANILHA!E18</f>
        <v>M2</v>
      </c>
      <c r="E17" s="882" t="s">
        <v>13071</v>
      </c>
      <c r="F17" s="883">
        <f>40</f>
        <v>40</v>
      </c>
    </row>
    <row r="18" spans="1:6" ht="28.5" outlineLevel="1">
      <c r="A18" s="881" t="str">
        <f>PLANILHA!A19</f>
        <v>1.6</v>
      </c>
      <c r="B18" s="74">
        <f>PLANILHA!C19</f>
        <v>93243</v>
      </c>
      <c r="C18" s="712" t="str">
        <f>PLANILHA!D19</f>
        <v>EXECUÇÃO DE RESERVATÓRIO ELEVADO DE ÁGUA (2000 LITROS) EM CANTEIRO DE OBRA, APOIADO EM ESTRUTURA DE MADEIRA. AF_02/2016</v>
      </c>
      <c r="D18" s="76" t="str">
        <f>PLANILHA!E19</f>
        <v>UN</v>
      </c>
      <c r="E18" s="882" t="s">
        <v>107</v>
      </c>
      <c r="F18" s="883">
        <v>1</v>
      </c>
    </row>
    <row r="19" spans="1:6" ht="28.5" outlineLevel="1">
      <c r="A19" s="881" t="str">
        <f>PLANILHA!A20</f>
        <v>1.7</v>
      </c>
      <c r="B19" s="74" t="str">
        <f>PLANILHA!C20</f>
        <v>SEPLAG ARQ 121</v>
      </c>
      <c r="C19" s="712" t="str">
        <f>PLANILHA!D20</f>
        <v>BANHEIRO QUÍMICO, FORNECIMENTO E INSTALAÇÃO.</v>
      </c>
      <c r="D19" s="76" t="str">
        <f>PLANILHA!E20</f>
        <v>UND</v>
      </c>
      <c r="E19" s="882" t="s">
        <v>108</v>
      </c>
      <c r="F19" s="883">
        <f>2</f>
        <v>2</v>
      </c>
    </row>
    <row r="20" spans="1:6" s="858" customFormat="1" ht="14.25" outlineLevel="1">
      <c r="A20" s="884"/>
      <c r="F20" s="885"/>
    </row>
    <row r="21" spans="1:6" s="642" customFormat="1">
      <c r="A21" s="875" t="str">
        <f>PLANILHA!A23</f>
        <v>2.0</v>
      </c>
      <c r="B21" s="876"/>
      <c r="C21" s="877" t="str">
        <f>PLANILHA!D23</f>
        <v>ADMINISTRAÇÃO LOCAL DE OBRA</v>
      </c>
      <c r="D21" s="878"/>
      <c r="E21" s="879"/>
      <c r="F21" s="880"/>
    </row>
    <row r="22" spans="1:6" s="308" customFormat="1" ht="25.5" outlineLevel="1">
      <c r="A22" s="881" t="str">
        <f>PLANILHA!A24</f>
        <v>2.1</v>
      </c>
      <c r="B22" s="74" t="str">
        <f>PLANILHA!B24</f>
        <v>SEPLAG</v>
      </c>
      <c r="C22" s="712" t="str">
        <f>PLANILHA!D24</f>
        <v>ADMINISTRAÇÃO LOCAL DE OBRA.</v>
      </c>
      <c r="D22" s="76" t="str">
        <f>PLANILHA!E24</f>
        <v>und</v>
      </c>
      <c r="E22" s="882" t="s">
        <v>13826</v>
      </c>
      <c r="F22" s="883">
        <v>12</v>
      </c>
    </row>
    <row r="23" spans="1:6" s="888" customFormat="1" ht="14.25" outlineLevel="1">
      <c r="A23" s="886"/>
      <c r="B23" s="779"/>
      <c r="C23" s="779"/>
      <c r="D23" s="779"/>
      <c r="E23" s="779"/>
      <c r="F23" s="887"/>
    </row>
    <row r="24" spans="1:6" s="893" customFormat="1">
      <c r="A24" s="889" t="str">
        <f>PLANILHA!A27</f>
        <v>3.0</v>
      </c>
      <c r="B24" s="890"/>
      <c r="C24" s="891" t="str">
        <f>PLANILHA!D27</f>
        <v>SUBSOLO</v>
      </c>
      <c r="D24" s="890"/>
      <c r="E24" s="890"/>
      <c r="F24" s="892"/>
    </row>
    <row r="25" spans="1:6" s="308" customFormat="1" outlineLevel="1">
      <c r="A25" s="870" t="str">
        <f>PLANILHA!A28</f>
        <v>3.1</v>
      </c>
      <c r="B25" s="894"/>
      <c r="C25" s="895" t="str">
        <f>PLANILHA!D28</f>
        <v xml:space="preserve">DEMOLIÇÃO </v>
      </c>
      <c r="D25" s="735"/>
      <c r="E25" s="873"/>
      <c r="F25" s="874"/>
    </row>
    <row r="26" spans="1:6" s="308" customFormat="1" ht="28.5" outlineLevel="1">
      <c r="A26" s="896" t="str">
        <f>PLANILHA!A29</f>
        <v>3.1.1</v>
      </c>
      <c r="B26" s="74">
        <f>PLANILHA!C29</f>
        <v>97640</v>
      </c>
      <c r="C26" s="712" t="str">
        <f>PLANILHA!D29</f>
        <v>REMOÇÃO DE FORROS DE DRYWALL, PVC E FIBROMINERAL, DE FORMA MANUAL, SEM REAPROVEITAMENTO. AF_12/2017</v>
      </c>
      <c r="D26" s="76" t="str">
        <f>PLANILHA!E29</f>
        <v>M2</v>
      </c>
      <c r="E26" s="897" t="s">
        <v>13832</v>
      </c>
      <c r="F26" s="898">
        <v>246.75</v>
      </c>
    </row>
    <row r="27" spans="1:6" s="308" customFormat="1" ht="28.5" outlineLevel="1">
      <c r="A27" s="881" t="str">
        <f>PLANILHA!A30</f>
        <v>3.1.2</v>
      </c>
      <c r="B27" s="74">
        <f>PLANILHA!C30</f>
        <v>97644</v>
      </c>
      <c r="C27" s="712" t="str">
        <f>PLANILHA!D30</f>
        <v>REMOÇÃO DE PORTAS, DE FORMA MANUAL, SEM REAPROVEITAMENTO. AF_12/2017</v>
      </c>
      <c r="D27" s="76" t="str">
        <f>PLANILHA!E30</f>
        <v>M2</v>
      </c>
      <c r="E27" s="897" t="s">
        <v>13832</v>
      </c>
      <c r="F27" s="898">
        <f>13.98</f>
        <v>13.98</v>
      </c>
    </row>
    <row r="28" spans="1:6" s="308" customFormat="1" ht="28.5" outlineLevel="1">
      <c r="A28" s="881" t="str">
        <f>PLANILHA!A31</f>
        <v>3.1.3</v>
      </c>
      <c r="B28" s="74">
        <f>PLANILHA!C31</f>
        <v>97645</v>
      </c>
      <c r="C28" s="712" t="str">
        <f>PLANILHA!D31</f>
        <v>REMOÇÃO DE JANELAS, DE FORMA MANUAL, SEM REAPROVEITAMENTO. AF_12/2017</v>
      </c>
      <c r="D28" s="76" t="str">
        <f>PLANILHA!E31</f>
        <v>M2</v>
      </c>
      <c r="E28" s="897" t="s">
        <v>13832</v>
      </c>
      <c r="F28" s="898">
        <v>39.200000000000003</v>
      </c>
    </row>
    <row r="29" spans="1:6" s="308" customFormat="1" ht="28.5" outlineLevel="1">
      <c r="A29" s="881" t="str">
        <f>PLANILHA!A32</f>
        <v>3.1.4</v>
      </c>
      <c r="B29" s="74" t="str">
        <f>PLANILHA!C32</f>
        <v>SEPLAG ARQ 05</v>
      </c>
      <c r="C29" s="712" t="str">
        <f>PLANILHA!D32</f>
        <v>DEMOLIÇÃO DE DIVISÓRIA NAVAL, INCLUSIVE AFASTAMENTO.</v>
      </c>
      <c r="D29" s="76" t="str">
        <f>PLANILHA!E32</f>
        <v>m²</v>
      </c>
      <c r="E29" s="897" t="s">
        <v>13830</v>
      </c>
      <c r="F29" s="898">
        <f>(4.29+3.72)*2.6</f>
        <v>20.826000000000001</v>
      </c>
    </row>
    <row r="30" spans="1:6" s="308" customFormat="1" ht="28.5" outlineLevel="1">
      <c r="A30" s="881" t="str">
        <f>PLANILHA!A33</f>
        <v>3.1.5</v>
      </c>
      <c r="B30" s="74">
        <f>PLANILHA!C33</f>
        <v>97633</v>
      </c>
      <c r="C30" s="712" t="str">
        <f>PLANILHA!D33</f>
        <v>DEMOLIÇÃO DE REVESTIMENTO CERÂMICO, DE FORMA MANUAL, SEM REAPROVEITAMENTO. AF_12/2017</v>
      </c>
      <c r="D30" s="76" t="str">
        <f>PLANILHA!E33</f>
        <v>M2</v>
      </c>
      <c r="E30" s="899" t="s">
        <v>13831</v>
      </c>
      <c r="F30" s="900">
        <f>(14+14)*2.6</f>
        <v>72.8</v>
      </c>
    </row>
    <row r="31" spans="1:6" s="308" customFormat="1" ht="28.5" outlineLevel="1">
      <c r="A31" s="881" t="str">
        <f>PLANILHA!A34</f>
        <v>3.1.6</v>
      </c>
      <c r="B31" s="74">
        <f>PLANILHA!C34</f>
        <v>97663</v>
      </c>
      <c r="C31" s="712" t="str">
        <f>PLANILHA!D34</f>
        <v>REMOÇÃO DE LOUÇAS, DE FORMA MANUAL, SEM REAPROVEITAMENTO. AF_12/2017</v>
      </c>
      <c r="D31" s="76" t="str">
        <f>PLANILHA!E34</f>
        <v>UN</v>
      </c>
      <c r="E31" s="899" t="s">
        <v>108</v>
      </c>
      <c r="F31" s="900">
        <v>2</v>
      </c>
    </row>
    <row r="32" spans="1:6" s="893" customFormat="1" ht="28.5" outlineLevel="1">
      <c r="A32" s="881" t="str">
        <f>PLANILHA!A35</f>
        <v>3.1.7</v>
      </c>
      <c r="B32" s="74" t="str">
        <f>PLANILHA!C35</f>
        <v>SEPLAG ARQ 07</v>
      </c>
      <c r="C32" s="712" t="str">
        <f>PLANILHA!D35</f>
        <v>DEMOLIÇÃO DE CONCRETO SIMPLES - COM EQUIPAMENTO ELÉTRICO, INCLUSIVE AFASTAMENTO.</v>
      </c>
      <c r="D32" s="76" t="str">
        <f>PLANILHA!E35</f>
        <v>m³</v>
      </c>
      <c r="E32" s="899" t="s">
        <v>14260</v>
      </c>
      <c r="F32" s="901">
        <f>0.55*0.7*0.04*5+0.65*0.7*0.04*2</f>
        <v>0.1134</v>
      </c>
    </row>
    <row r="33" spans="1:6" s="893" customFormat="1" ht="14.25" outlineLevel="1">
      <c r="A33" s="886"/>
      <c r="B33" s="779"/>
      <c r="C33" s="779"/>
      <c r="D33" s="779"/>
      <c r="E33" s="779"/>
      <c r="F33" s="887"/>
    </row>
    <row r="34" spans="1:6" s="784" customFormat="1" outlineLevel="1">
      <c r="A34" s="902" t="str">
        <f>PLANILHA!A38</f>
        <v>3.2</v>
      </c>
      <c r="B34" s="871"/>
      <c r="C34" s="894" t="str">
        <f>PLANILHA!D38</f>
        <v>MOVIMENTO DE SOLO</v>
      </c>
      <c r="D34" s="735"/>
      <c r="E34" s="735"/>
      <c r="F34" s="903"/>
    </row>
    <row r="35" spans="1:6" s="893" customFormat="1" ht="28.5" outlineLevel="1">
      <c r="A35" s="881" t="str">
        <f>PLANILHA!A39</f>
        <v>3.2.1</v>
      </c>
      <c r="B35" s="74">
        <f>PLANILHA!C39</f>
        <v>96523</v>
      </c>
      <c r="C35" s="712" t="str">
        <f>PLANILHA!D39</f>
        <v>ESCAVAÇÃO MANUAL PARA BLOCO DE COROAMENTO OU SAPATA (INCLUINDO ESCAVAÇÃO PARA COLOCAÇÃO DE FÔRMAS). AF_06/2017</v>
      </c>
      <c r="D35" s="76" t="str">
        <f>PLANILHA!E39</f>
        <v>M3</v>
      </c>
      <c r="E35" s="904" t="s">
        <v>14250</v>
      </c>
      <c r="F35" s="900">
        <f>0.55*0.7*1*5+0.65*0.7*1*2</f>
        <v>2.835</v>
      </c>
    </row>
    <row r="36" spans="1:6" s="893" customFormat="1" ht="28.5" outlineLevel="1">
      <c r="A36" s="881" t="str">
        <f>PLANILHA!A40</f>
        <v>3.2.2</v>
      </c>
      <c r="B36" s="74">
        <f>PLANILHA!C40</f>
        <v>101616</v>
      </c>
      <c r="C36" s="712" t="str">
        <f>PLANILHA!D40</f>
        <v>PREPARO DE FUNDO DE VALA COM LARGURA MENOR QUE 1,5 M (ACERTO DO SOLO NATURAL). AF_08/2020</v>
      </c>
      <c r="D36" s="76" t="str">
        <f>PLANILHA!E40</f>
        <v>M2</v>
      </c>
      <c r="E36" s="904" t="s">
        <v>14251</v>
      </c>
      <c r="F36" s="900">
        <f>0.55*0.7*5+0.65*0.7*2</f>
        <v>2.835</v>
      </c>
    </row>
    <row r="37" spans="1:6" s="893" customFormat="1" ht="28.5" outlineLevel="1">
      <c r="A37" s="881" t="str">
        <f>PLANILHA!A41</f>
        <v>3.2.3</v>
      </c>
      <c r="B37" s="74">
        <f>PLANILHA!C41</f>
        <v>96616</v>
      </c>
      <c r="C37" s="712" t="str">
        <f>PLANILHA!D41</f>
        <v>LASTRO DE CONCRETO MAGRO, APLICADO EM BLOCOS DE COROAMENTO OU SAPATAS. AF_08/2017</v>
      </c>
      <c r="D37" s="76" t="str">
        <f>PLANILHA!E41</f>
        <v>M3</v>
      </c>
      <c r="E37" s="904" t="s">
        <v>14252</v>
      </c>
      <c r="F37" s="900">
        <f>0.55*0.7*0.03*5+0.65*0.7*0.03*2</f>
        <v>8.5049999999999987E-2</v>
      </c>
    </row>
    <row r="38" spans="1:6" s="893" customFormat="1" ht="28.5" outlineLevel="1">
      <c r="A38" s="881" t="str">
        <f>PLANILHA!A42</f>
        <v>3.2.4</v>
      </c>
      <c r="B38" s="74">
        <f>PLANILHA!C42</f>
        <v>93382</v>
      </c>
      <c r="C38" s="712" t="str">
        <f>PLANILHA!D42</f>
        <v>REATERRO MANUAL DE VALAS COM COMPACTAÇÃO MECANIZADA. AF_04/2016</v>
      </c>
      <c r="D38" s="76" t="str">
        <f>PLANILHA!E42</f>
        <v>M3</v>
      </c>
      <c r="E38" s="904" t="s">
        <v>14253</v>
      </c>
      <c r="F38" s="883">
        <f>2.83-0.95</f>
        <v>1.8800000000000001</v>
      </c>
    </row>
    <row r="39" spans="1:6" s="893" customFormat="1" ht="14.25" outlineLevel="1">
      <c r="A39" s="886"/>
      <c r="B39" s="779"/>
      <c r="C39" s="779"/>
      <c r="D39" s="779"/>
      <c r="E39" s="779"/>
      <c r="F39" s="887"/>
    </row>
    <row r="40" spans="1:6" s="784" customFormat="1" outlineLevel="1">
      <c r="A40" s="902" t="str">
        <f>PLANILHA!A45</f>
        <v>3.3</v>
      </c>
      <c r="B40" s="871"/>
      <c r="C40" s="894" t="str">
        <f>PLANILHA!D45</f>
        <v>FUNDAÇÃO/ESTRUTURA</v>
      </c>
      <c r="D40" s="735"/>
      <c r="E40" s="735"/>
      <c r="F40" s="874"/>
    </row>
    <row r="41" spans="1:6" s="893" customFormat="1" ht="42.75" outlineLevel="1">
      <c r="A41" s="881" t="str">
        <f>PLANILHA!A46</f>
        <v>3.3.1</v>
      </c>
      <c r="B41" s="74">
        <f>PLANILHA!C46</f>
        <v>96555</v>
      </c>
      <c r="C41" s="712" t="str">
        <f>PLANILHA!D46</f>
        <v>CONCRETAGEM DE BLOCOS DE COROAMENTO E VIGAS BALDRAME, FCK 30 MPA, COM USO DE JERICA  LANÇAMENTO, ADENSAMENTO E ACABAMENTO. AF_06/2017</v>
      </c>
      <c r="D41" s="76" t="str">
        <f>PLANILHA!E46</f>
        <v>M3</v>
      </c>
      <c r="E41" s="904" t="s">
        <v>14254</v>
      </c>
      <c r="F41" s="883">
        <v>3.65</v>
      </c>
    </row>
    <row r="42" spans="1:6" s="893" customFormat="1" ht="28.5" outlineLevel="1">
      <c r="A42" s="881" t="str">
        <f>PLANILHA!A47</f>
        <v>3.3.2</v>
      </c>
      <c r="B42" s="74">
        <f>PLANILHA!C47</f>
        <v>96543</v>
      </c>
      <c r="C42" s="712" t="str">
        <f>PLANILHA!D47</f>
        <v>ARMAÇÃO DE BLOCO, VIGA BALDRAME E SAPATA UTILIZANDO AÇO CA-60 DE 5 MM - MONTAGEM. AF_06/2017</v>
      </c>
      <c r="D42" s="76" t="str">
        <f>PLANILHA!E47</f>
        <v>KG</v>
      </c>
      <c r="E42" s="904" t="s">
        <v>14255</v>
      </c>
      <c r="F42" s="883">
        <v>66</v>
      </c>
    </row>
    <row r="43" spans="1:6" s="893" customFormat="1" ht="28.5" outlineLevel="1">
      <c r="A43" s="881" t="str">
        <f>PLANILHA!A48</f>
        <v>3.3.3</v>
      </c>
      <c r="B43" s="74">
        <f>PLANILHA!C48</f>
        <v>96545</v>
      </c>
      <c r="C43" s="712" t="str">
        <f>PLANILHA!D48</f>
        <v>ARMAÇÃO DE BLOCO, VIGA BALDRAME OU SAPATA UTILIZANDO AÇO CA-50 DE 8 MM - MONTAGEM. AF_06/2017</v>
      </c>
      <c r="D43" s="76" t="str">
        <f>PLANILHA!E48</f>
        <v>KG</v>
      </c>
      <c r="E43" s="904" t="s">
        <v>14256</v>
      </c>
      <c r="F43" s="883">
        <v>105.3</v>
      </c>
    </row>
    <row r="44" spans="1:6" s="893" customFormat="1" ht="28.5" outlineLevel="1">
      <c r="A44" s="881" t="str">
        <f>PLANILHA!A49</f>
        <v>3.3.4</v>
      </c>
      <c r="B44" s="74">
        <f>PLANILHA!C49</f>
        <v>96546</v>
      </c>
      <c r="C44" s="712" t="str">
        <f>PLANILHA!D49</f>
        <v>ARMAÇÃO DE BLOCO, VIGA BALDRAME OU SAPATA UTILIZANDO AÇO CA-50 DE 10 MM - MONTAGEM. AF_06/2017</v>
      </c>
      <c r="D44" s="76" t="str">
        <f>PLANILHA!E49</f>
        <v>KG</v>
      </c>
      <c r="E44" s="904" t="s">
        <v>14257</v>
      </c>
      <c r="F44" s="883">
        <v>93.8</v>
      </c>
    </row>
    <row r="45" spans="1:6" s="893" customFormat="1" ht="28.5" outlineLevel="1">
      <c r="A45" s="881" t="str">
        <f>PLANILHA!A50</f>
        <v>3.3.5</v>
      </c>
      <c r="B45" s="74">
        <f>PLANILHA!C50</f>
        <v>92263</v>
      </c>
      <c r="C45" s="712" t="str">
        <f>PLANILHA!D50</f>
        <v>FABRICAÇÃO DE FÔRMA PARA PILARES E ESTRUTURAS SIMILARES, EM CHAPA DE MADEIRA COMPENSADA RESINADA, E = 17 MM. AF_09/2020</v>
      </c>
      <c r="D45" s="76" t="str">
        <f>PLANILHA!E50</f>
        <v>M2</v>
      </c>
      <c r="E45" s="904" t="s">
        <v>14258</v>
      </c>
      <c r="F45" s="883">
        <v>50.75</v>
      </c>
    </row>
    <row r="46" spans="1:6" s="893" customFormat="1" ht="28.5" outlineLevel="1">
      <c r="A46" s="881" t="str">
        <f>PLANILHA!A51</f>
        <v>3.3.6</v>
      </c>
      <c r="B46" s="74">
        <f>PLANILHA!C51</f>
        <v>98557</v>
      </c>
      <c r="C46" s="712" t="str">
        <f>PLANILHA!D51</f>
        <v>IMPERMEABILIZAÇÃO DE SUPERFÍCIE COM EMULSÃO ASFÁLTICA, 2 DEMÃOS AF_06/2018</v>
      </c>
      <c r="D46" s="76" t="str">
        <f>PLANILHA!E51</f>
        <v>M2</v>
      </c>
      <c r="E46" s="904" t="s">
        <v>14258</v>
      </c>
      <c r="F46" s="883">
        <f>F45</f>
        <v>50.75</v>
      </c>
    </row>
    <row r="47" spans="1:6" s="893" customFormat="1" ht="14.25" outlineLevel="1">
      <c r="A47" s="905"/>
      <c r="F47" s="906"/>
    </row>
    <row r="48" spans="1:6" s="308" customFormat="1" outlineLevel="1">
      <c r="A48" s="870" t="str">
        <f>PLANILHA!A54</f>
        <v>3.4</v>
      </c>
      <c r="B48" s="894"/>
      <c r="C48" s="872" t="str">
        <f>PLANILHA!D54</f>
        <v>ALVENARIA E FECHAMENTO</v>
      </c>
      <c r="D48" s="735"/>
      <c r="E48" s="873"/>
      <c r="F48" s="874"/>
    </row>
    <row r="49" spans="1:6" s="308" customFormat="1" ht="28.5" outlineLevel="1">
      <c r="A49" s="881" t="str">
        <f>PLANILHA!A55</f>
        <v>3.4.1</v>
      </c>
      <c r="B49" s="74">
        <f>PLANILHA!C55</f>
        <v>96113</v>
      </c>
      <c r="C49" s="712" t="str">
        <f>PLANILHA!D55</f>
        <v>FORRO EM PLACAS DE GESSO, PARA AMBIENTES COMERCIAIS. AF_05/2017_P</v>
      </c>
      <c r="D49" s="76" t="str">
        <f>PLANILHA!E55</f>
        <v>M2</v>
      </c>
      <c r="E49" s="907" t="str">
        <f>E26</f>
        <v>ver projeto</v>
      </c>
      <c r="F49" s="898">
        <f>F26</f>
        <v>246.75</v>
      </c>
    </row>
    <row r="50" spans="1:6" s="308" customFormat="1" ht="42.75" outlineLevel="1">
      <c r="A50" s="881" t="str">
        <f>PLANILHA!A56</f>
        <v>3.4.2</v>
      </c>
      <c r="B50" s="74">
        <f>PLANILHA!C56</f>
        <v>103328</v>
      </c>
      <c r="C50" s="712" t="str">
        <f>PLANILHA!D56</f>
        <v>ALVENARIA DE VEDAÇÃO DE BLOCOS CERÂMICOS FURADOS NA HORIZONTAL DE 9X19X19 CM (ESPESSURA 9 CM) E ARGAMASSA DE ASSENTAMENTO COM PREPARO EM BETONEIRA. AF_12/2021</v>
      </c>
      <c r="D50" s="76" t="str">
        <f>PLANILHA!E56</f>
        <v>M2</v>
      </c>
      <c r="E50" s="897" t="s">
        <v>14279</v>
      </c>
      <c r="F50" s="908">
        <f>((4.18*3)+11.54)*2.6</f>
        <v>62.607999999999997</v>
      </c>
    </row>
    <row r="51" spans="1:6" s="308" customFormat="1" ht="42.75" customHeight="1" outlineLevel="1">
      <c r="A51" s="881" t="str">
        <f>PLANILHA!A57</f>
        <v>3.4.3</v>
      </c>
      <c r="B51" s="74">
        <f>PLANILHA!C57</f>
        <v>87893</v>
      </c>
      <c r="C51" s="712" t="str">
        <f>PLANILHA!D57</f>
        <v>CHAPISCO APLICADO EM ALVENARIA (SEM PRESENÇA DE VÃOS) E ESTRUTURAS DE CONCRETO DE FACHADA, COM COLHER DE PEDREIRO.  ARGAMASSA TRAÇO 1:3 COM PREPARO MANUAL. AF_06/2014</v>
      </c>
      <c r="D51" s="76" t="str">
        <f>PLANILHA!E57</f>
        <v>M2</v>
      </c>
      <c r="E51" s="897" t="s">
        <v>14280</v>
      </c>
      <c r="F51" s="908">
        <f>(4.18+4.118+4.18+11.54)*2.6*2+(14+14)*2.6*2</f>
        <v>270.49360000000001</v>
      </c>
    </row>
    <row r="52" spans="1:6" s="308" customFormat="1" ht="71.25" outlineLevel="1">
      <c r="A52" s="881" t="str">
        <f>PLANILHA!A58</f>
        <v>3.4.4</v>
      </c>
      <c r="B52" s="74">
        <f>PLANILHA!C58</f>
        <v>87543</v>
      </c>
      <c r="C52" s="712" t="str">
        <f>PLANILHA!D58</f>
        <v>MASSA ÚNICA, PARA RECEBIMENTO DE PINTURA OU CERÂMICA, ARGAMASSA INDUSTRIALIZADA, PREPARO MECÂNICO, APLICADO COM EQUIPAMENTO DE MISTURA E PROJEÇÃO DE 1,5 M3/H EM FACES INTERNAS DE PAREDES, ESPESSURA DE 5MM, SEM EXECUÇÃO DE TALISCAS. AF_06/2014</v>
      </c>
      <c r="D52" s="76" t="str">
        <f>PLANILHA!E58</f>
        <v>M2</v>
      </c>
      <c r="E52" s="907" t="str">
        <f>E51</f>
        <v>=(4,18*3+11,54)*2,60*2+(14+14)2,60*2</v>
      </c>
      <c r="F52" s="898">
        <f>F51</f>
        <v>270.49360000000001</v>
      </c>
    </row>
    <row r="53" spans="1:6" s="893" customFormat="1" ht="14.25" outlineLevel="1">
      <c r="A53" s="905"/>
      <c r="F53" s="906"/>
    </row>
    <row r="54" spans="1:6" s="308" customFormat="1" outlineLevel="1">
      <c r="A54" s="870" t="str">
        <f>PLANILHA!A61</f>
        <v>3.5</v>
      </c>
      <c r="B54" s="894"/>
      <c r="C54" s="872" t="str">
        <f>PLANILHA!D61</f>
        <v>PISOS</v>
      </c>
      <c r="D54" s="735"/>
      <c r="E54" s="873"/>
      <c r="F54" s="874"/>
    </row>
    <row r="55" spans="1:6" s="308" customFormat="1" ht="28.5" outlineLevel="1">
      <c r="A55" s="881" t="str">
        <f>PLANILHA!A62</f>
        <v>3.5.1</v>
      </c>
      <c r="B55" s="74">
        <f>PLANILHA!C62</f>
        <v>98678</v>
      </c>
      <c r="C55" s="712" t="str">
        <f>PLANILHA!D62</f>
        <v>PISO ELEVADO COM ESTRUTURA EM AÇO, COMPOSTO POR PEDESTAIS E LONGARINAS. AF_09/2020</v>
      </c>
      <c r="D55" s="76" t="str">
        <f>PLANILHA!E62</f>
        <v>M2</v>
      </c>
      <c r="E55" s="882" t="s">
        <v>14278</v>
      </c>
      <c r="F55" s="908">
        <f>12.49+6.89+27.17</f>
        <v>46.55</v>
      </c>
    </row>
    <row r="56" spans="1:6" s="888" customFormat="1" ht="14.25" outlineLevel="1">
      <c r="A56" s="909"/>
      <c r="F56" s="910"/>
    </row>
    <row r="57" spans="1:6" s="308" customFormat="1" outlineLevel="1">
      <c r="A57" s="870" t="str">
        <f>PLANILHA!A65</f>
        <v>3.6</v>
      </c>
      <c r="B57" s="894"/>
      <c r="C57" s="872" t="str">
        <f>PLANILHA!D65</f>
        <v>PINTURA</v>
      </c>
      <c r="D57" s="735"/>
      <c r="E57" s="873"/>
      <c r="F57" s="874"/>
    </row>
    <row r="58" spans="1:6" s="308" customFormat="1" ht="28.5" outlineLevel="1">
      <c r="A58" s="881" t="str">
        <f>PLANILHA!A66</f>
        <v>3.6.1</v>
      </c>
      <c r="B58" s="74">
        <f>PLANILHA!C66</f>
        <v>88485</v>
      </c>
      <c r="C58" s="712" t="str">
        <f>PLANILHA!D66</f>
        <v>APLICAÇÃO DE FUNDO SELADOR ACRÍLICO EM PAREDES, UMA DEMÃO. AF_06/2014</v>
      </c>
      <c r="D58" s="76" t="str">
        <f>PLANILHA!E66</f>
        <v>M2</v>
      </c>
      <c r="E58" s="882" t="s">
        <v>13833</v>
      </c>
      <c r="F58" s="898">
        <f>(73.64+18.14+15.78)*3.46</f>
        <v>372.1576</v>
      </c>
    </row>
    <row r="59" spans="1:6" s="308" customFormat="1" ht="28.5" outlineLevel="1">
      <c r="A59" s="881" t="str">
        <f>PLANILHA!A67</f>
        <v>3.6.2</v>
      </c>
      <c r="B59" s="74">
        <f>PLANILHA!C67</f>
        <v>88497</v>
      </c>
      <c r="C59" s="712" t="str">
        <f>PLANILHA!D67</f>
        <v>APLICAÇÃO E LIXAMENTO DE MASSA LÁTEX EM PAREDES, DUAS DEMÃOS. AF_06/2014</v>
      </c>
      <c r="D59" s="76" t="str">
        <f>PLANILHA!E67</f>
        <v>M2</v>
      </c>
      <c r="E59" s="882" t="str">
        <f>E58</f>
        <v>=(73,64+18,14+15,78)*3,46</v>
      </c>
      <c r="F59" s="898">
        <f>F58</f>
        <v>372.1576</v>
      </c>
    </row>
    <row r="60" spans="1:6" s="308" customFormat="1" ht="28.5" outlineLevel="1">
      <c r="A60" s="881" t="str">
        <f>PLANILHA!A68</f>
        <v>3.6.3</v>
      </c>
      <c r="B60" s="74">
        <f>PLANILHA!C68</f>
        <v>88489</v>
      </c>
      <c r="C60" s="712" t="str">
        <f>PLANILHA!D68</f>
        <v>APLICAÇÃO MANUAL DE PINTURA COM TINTA LÁTEX ACRÍLICA EM PAREDES, DUAS DEMÃOS. AF_06/2014</v>
      </c>
      <c r="D60" s="76" t="str">
        <f>PLANILHA!E68</f>
        <v>M2</v>
      </c>
      <c r="E60" s="882" t="str">
        <f>E58</f>
        <v>=(73,64+18,14+15,78)*3,46</v>
      </c>
      <c r="F60" s="898">
        <f>F58</f>
        <v>372.1576</v>
      </c>
    </row>
    <row r="61" spans="1:6" s="308" customFormat="1" ht="71.25" outlineLevel="1">
      <c r="A61" s="881" t="str">
        <f>PLANILHA!A69</f>
        <v>3.6.4</v>
      </c>
      <c r="B61" s="74" t="str">
        <f>PLANILHA!C69</f>
        <v>SEPLAG ARQ 09</v>
      </c>
      <c r="C61" s="712" t="str">
        <f>PLANILHA!D69</f>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
      <c r="D61" s="76" t="str">
        <f>PLANILHA!E69</f>
        <v>M²</v>
      </c>
      <c r="E61" s="899" t="s">
        <v>13831</v>
      </c>
      <c r="F61" s="900">
        <f>(14+14)*2.6</f>
        <v>72.8</v>
      </c>
    </row>
    <row r="62" spans="1:6" s="893" customFormat="1" ht="14.25" outlineLevel="1">
      <c r="A62" s="905"/>
      <c r="F62" s="906"/>
    </row>
    <row r="63" spans="1:6" s="308" customFormat="1" outlineLevel="1">
      <c r="A63" s="870" t="str">
        <f>PLANILHA!A72</f>
        <v>3.7</v>
      </c>
      <c r="B63" s="894"/>
      <c r="C63" s="911" t="str">
        <f>PLANILHA!D72</f>
        <v>PORTAS</v>
      </c>
      <c r="D63" s="76"/>
      <c r="E63" s="912"/>
      <c r="F63" s="883"/>
    </row>
    <row r="64" spans="1:6" s="308" customFormat="1" ht="57" outlineLevel="1">
      <c r="A64" s="913" t="str">
        <f>PLANILHA!A73</f>
        <v>3.7.1</v>
      </c>
      <c r="B64" s="712" t="str">
        <f>PLANILHA!C73</f>
        <v>SEPLAG ARQ 12</v>
      </c>
      <c r="C64" s="914" t="str">
        <f>PLANILHA!D73</f>
        <v>KIT PORTA PRONTA PRETA LISA SÓLIDA PORMADE O,80X2,10,ACABAMENTO DE COR UNIFORME, MARCOS E ALIZARES EM PVC WOOD, RESISTENTES A ESTUFAMENTOS. FORNECIMENTO E INSTALAÇÃO.</v>
      </c>
      <c r="D64" s="76" t="str">
        <f>PLANILHA!E73</f>
        <v>UND</v>
      </c>
      <c r="E64" s="882" t="s">
        <v>13844</v>
      </c>
      <c r="F64" s="883">
        <f>4</f>
        <v>4</v>
      </c>
    </row>
    <row r="65" spans="1:6" s="308" customFormat="1" ht="42.75" outlineLevel="1">
      <c r="A65" s="913" t="str">
        <f>PLANILHA!A74</f>
        <v>3.7.2</v>
      </c>
      <c r="B65" s="712" t="str">
        <f>PLANILHA!C74</f>
        <v>SEPLAG ARQ 136</v>
      </c>
      <c r="C65" s="914" t="str">
        <f>PLANILHA!D74</f>
        <v>PORTA DE ALUMÍNIO DE ABRIR COM LAMBRI, 2 FOLHAS, 2,00x2,10 COM GUARNIÇÃO, FIXAÇÃO COM PARAFUSOS - FORNECIMENTO E INSTALAÇÃO. AF_12/2019</v>
      </c>
      <c r="D65" s="76" t="str">
        <f>PLANILHA!E74</f>
        <v>UND</v>
      </c>
      <c r="E65" s="882" t="s">
        <v>107</v>
      </c>
      <c r="F65" s="883">
        <f>1</f>
        <v>1</v>
      </c>
    </row>
    <row r="66" spans="1:6" s="308" customFormat="1" ht="28.5" outlineLevel="1">
      <c r="A66" s="915" t="str">
        <f>PLANILHA!A75</f>
        <v>3.7.3</v>
      </c>
      <c r="B66" s="812" t="str">
        <f>PLANILHA!C75</f>
        <v>SEPLAG ARQ 137</v>
      </c>
      <c r="C66" s="916" t="str">
        <f>PLANILHA!D75</f>
        <v>PORTA DE ALUMÍNIO DE CORRER, 4 FOLHAS, 2,00x2,10 COM GUARNIÇÃO,  FECHADURA E PUXADOR, SEM ALIZAR. AF_12/2019</v>
      </c>
      <c r="D66" s="811" t="str">
        <f>PLANILHA!E75</f>
        <v>UND</v>
      </c>
      <c r="E66" s="917" t="s">
        <v>107</v>
      </c>
      <c r="F66" s="918">
        <f>1</f>
        <v>1</v>
      </c>
    </row>
    <row r="67" spans="1:6" s="308" customFormat="1" outlineLevel="1">
      <c r="A67" s="919"/>
      <c r="B67" s="920"/>
      <c r="C67" s="920"/>
      <c r="D67" s="920"/>
      <c r="E67" s="920"/>
      <c r="F67" s="921"/>
    </row>
    <row r="68" spans="1:6" s="308" customFormat="1" outlineLevel="1">
      <c r="A68" s="870" t="str">
        <f>PLANILHA!A78</f>
        <v>3.8</v>
      </c>
      <c r="B68" s="894"/>
      <c r="C68" s="911" t="str">
        <f>PLANILHA!D78</f>
        <v>JANELAS E VIDROS FIXOS</v>
      </c>
      <c r="D68" s="76"/>
      <c r="E68" s="912"/>
      <c r="F68" s="883"/>
    </row>
    <row r="69" spans="1:6" s="308" customFormat="1" ht="28.5" outlineLevel="1">
      <c r="A69" s="881" t="str">
        <f>PLANILHA!A79</f>
        <v>3.8.1</v>
      </c>
      <c r="B69" s="74" t="str">
        <f>PLANILHA!C79</f>
        <v>SEPLAG  ARQ 155</v>
      </c>
      <c r="C69" s="922" t="str">
        <f>PLANILHA!D79</f>
        <v>J10 (E.G) - JANELA MAXIN AR 6,15 x 1,35 (6 JANELAS DE 1,02). FORNECIMENTO E INSTALAÇÃO.</v>
      </c>
      <c r="D69" s="76" t="str">
        <f>PLANILHA!E79</f>
        <v>und</v>
      </c>
      <c r="E69" s="923" t="s">
        <v>13832</v>
      </c>
      <c r="F69" s="898">
        <v>1</v>
      </c>
    </row>
    <row r="70" spans="1:6" s="308" customFormat="1" ht="28.5" outlineLevel="1">
      <c r="A70" s="881" t="str">
        <f>PLANILHA!A80</f>
        <v>3.8.2</v>
      </c>
      <c r="B70" s="74" t="str">
        <f>PLANILHA!C80</f>
        <v>SEPLAG  ARQ 156</v>
      </c>
      <c r="C70" s="922" t="str">
        <f>PLANILHA!D80</f>
        <v>J11 (E.G) - JANELA MAXIN AR 3,06 x 1,35 (3 JANELAS DE 1,02). FORNECIMENTO E INSTALAÇÃO.</v>
      </c>
      <c r="D70" s="76" t="str">
        <f>PLANILHA!E80</f>
        <v>und</v>
      </c>
      <c r="E70" s="923"/>
      <c r="F70" s="883">
        <v>1</v>
      </c>
    </row>
    <row r="71" spans="1:6" s="308" customFormat="1" ht="28.5" outlineLevel="1">
      <c r="A71" s="881" t="str">
        <f>PLANILHA!A81</f>
        <v>3.8.3</v>
      </c>
      <c r="B71" s="74" t="str">
        <f>PLANILHA!C81</f>
        <v>SEPLAG  ARQ 157</v>
      </c>
      <c r="C71" s="922" t="str">
        <f>PLANILHA!D81</f>
        <v>J12 (E.G) - JANELA MAXIN AR 3,80 x 0,9 (4 JANELAS DE 0,95). FORNECIMENTO E INSTALAÇÃO.</v>
      </c>
      <c r="D71" s="76" t="str">
        <f>PLANILHA!E81</f>
        <v>und</v>
      </c>
      <c r="E71" s="923"/>
      <c r="F71" s="883">
        <v>1</v>
      </c>
    </row>
    <row r="72" spans="1:6" s="308" customFormat="1" ht="28.5" outlineLevel="1">
      <c r="A72" s="881" t="str">
        <f>PLANILHA!A82</f>
        <v>3.8.4</v>
      </c>
      <c r="B72" s="74" t="str">
        <f>PLANILHA!C82</f>
        <v>SEPLAG  ARQ 158</v>
      </c>
      <c r="C72" s="922" t="str">
        <f>PLANILHA!D82</f>
        <v>J13 (E.G) - JANELA MAXIN AR 1,97 x 0,90 (2 JANELAS DE 0,98). FORNECIMENTO E INSTALAÇÃO.</v>
      </c>
      <c r="D72" s="76" t="str">
        <f>PLANILHA!E82</f>
        <v>und</v>
      </c>
      <c r="E72" s="923"/>
      <c r="F72" s="883">
        <v>1</v>
      </c>
    </row>
    <row r="73" spans="1:6" s="308" customFormat="1" ht="28.5" outlineLevel="1">
      <c r="A73" s="881" t="str">
        <f>PLANILHA!A83</f>
        <v>3.8.5</v>
      </c>
      <c r="B73" s="74" t="str">
        <f>PLANILHA!C83</f>
        <v>SEPLAG  ARQ 160</v>
      </c>
      <c r="C73" s="922" t="str">
        <f>PLANILHA!D83</f>
        <v>J21 (E.G) - JANELA MAXIN AR 0,90 x 0,90. FORNECIMENTO E INSTALAÇÃO.</v>
      </c>
      <c r="D73" s="76" t="str">
        <f>PLANILHA!E83</f>
        <v>und</v>
      </c>
      <c r="E73" s="923"/>
      <c r="F73" s="883">
        <v>1</v>
      </c>
    </row>
    <row r="74" spans="1:6" s="308" customFormat="1" ht="28.5" outlineLevel="1">
      <c r="A74" s="881" t="str">
        <f>PLANILHA!A84</f>
        <v>3.8.6</v>
      </c>
      <c r="B74" s="74" t="str">
        <f>PLANILHA!C84</f>
        <v>SEPLAG  ARQ 161</v>
      </c>
      <c r="C74" s="922" t="str">
        <f>PLANILHA!D84</f>
        <v>J22 (E.G) - JANELA MAXIN AR 1,04 x 1,35. FORNECIMENTO E INSTALAÇÃO.</v>
      </c>
      <c r="D74" s="76" t="str">
        <f>PLANILHA!E84</f>
        <v>und</v>
      </c>
      <c r="E74" s="923"/>
      <c r="F74" s="883">
        <v>1</v>
      </c>
    </row>
    <row r="75" spans="1:6" s="308" customFormat="1" ht="28.5" outlineLevel="1">
      <c r="A75" s="881" t="str">
        <f>PLANILHA!A85</f>
        <v>3.8.7</v>
      </c>
      <c r="B75" s="74">
        <f>PLANILHA!C85</f>
        <v>102168</v>
      </c>
      <c r="C75" s="922" t="str">
        <f>PLANILHA!D85</f>
        <v>INSTALAÇÃO DE VIDRO LISO INCOLOR, E = 8 MM, EM ESQUADRIA DE ALUMÍNIO OU PVC, FIXADO COM BAGUETE. AF_01/2021_P</v>
      </c>
      <c r="D75" s="76" t="str">
        <f>PLANILHA!E85</f>
        <v>M2</v>
      </c>
      <c r="E75" s="923" t="s">
        <v>14662</v>
      </c>
      <c r="F75" s="883">
        <f>1.2*1</f>
        <v>1.2</v>
      </c>
    </row>
    <row r="76" spans="1:6" s="308" customFormat="1" ht="28.5" outlineLevel="1">
      <c r="A76" s="924" t="str">
        <f>PLANILHA!A86</f>
        <v>3.8.8</v>
      </c>
      <c r="B76" s="925" t="str">
        <f>PLANILHA!C86</f>
        <v>SEPLAG ARQ 51</v>
      </c>
      <c r="C76" s="926" t="str">
        <f>PLANILHA!D86</f>
        <v>PELÍCULA DE SEGURANÇA PARA PAINES DE VIDRO, FONECIMENTO E INSTALAÇÃO.</v>
      </c>
      <c r="D76" s="811" t="str">
        <f>PLANILHA!E86</f>
        <v>m²</v>
      </c>
      <c r="E76" s="927" t="s">
        <v>14663</v>
      </c>
      <c r="F76" s="928">
        <f>6.15*1.35+3.06*1.35+3.8*0.9+1.97*0.9+0.9*0.9+1.04*1.35+1.2*1</f>
        <v>21.040499999999998</v>
      </c>
    </row>
    <row r="77" spans="1:6" s="308" customFormat="1" outlineLevel="1">
      <c r="A77" s="886"/>
      <c r="B77" s="779"/>
      <c r="C77" s="779"/>
      <c r="D77" s="779"/>
      <c r="E77" s="779"/>
      <c r="F77" s="887"/>
    </row>
    <row r="78" spans="1:6" s="935" customFormat="1" outlineLevel="1">
      <c r="A78" s="929" t="str">
        <f>PLANILHA!A89</f>
        <v>3.9</v>
      </c>
      <c r="B78" s="930"/>
      <c r="C78" s="931" t="str">
        <f>PLANILHA!D89</f>
        <v>LOUÇAS E METAIS</v>
      </c>
      <c r="D78" s="932"/>
      <c r="E78" s="933"/>
      <c r="F78" s="934"/>
    </row>
    <row r="79" spans="1:6" s="308" customFormat="1" ht="28.5" outlineLevel="1">
      <c r="A79" s="881" t="str">
        <f>PLANILHA!A90</f>
        <v>3.9.1</v>
      </c>
      <c r="B79" s="74" t="str">
        <f>PLANILHA!C90</f>
        <v>SEPLAG ARQ 29</v>
      </c>
      <c r="C79" s="922" t="str">
        <f>PLANILHA!D90</f>
        <v>BANCADA DE GRANITO BRANCO SIENA, DE 0,80 X 0,60 M, PARA LAVATÓRIO - FORNECIMENTO E INSTALAÇÃO. AF_01/2020</v>
      </c>
      <c r="D79" s="76" t="str">
        <f>PLANILHA!E90</f>
        <v>UND</v>
      </c>
      <c r="E79" s="923" t="s">
        <v>108</v>
      </c>
      <c r="F79" s="936">
        <v>2</v>
      </c>
    </row>
    <row r="80" spans="1:6" s="308" customFormat="1" ht="28.5" outlineLevel="1">
      <c r="A80" s="881" t="str">
        <f>PLANILHA!A91</f>
        <v>3.9.2</v>
      </c>
      <c r="B80" s="74" t="str">
        <f>PLANILHA!C91</f>
        <v>SEPLAG ARQ 30</v>
      </c>
      <c r="C80" s="922" t="str">
        <f>PLANILHA!D91</f>
        <v>SAIA E FRONTÃO  EM GRANITO POLIDO - BRANCO SIENA  PARA LAVATÓRIO - FORNECIMENTO E INSTALAÇÃO. AF_01/2020</v>
      </c>
      <c r="D80" s="76" t="str">
        <f>PLANILHA!E91</f>
        <v>M</v>
      </c>
      <c r="E80" s="923" t="s">
        <v>13838</v>
      </c>
      <c r="F80" s="936">
        <f>(0.8+0.6)*2</f>
        <v>2.8</v>
      </c>
    </row>
    <row r="81" spans="1:6" s="308" customFormat="1" ht="28.5" outlineLevel="1">
      <c r="A81" s="881" t="str">
        <f>PLANILHA!A92</f>
        <v>3.9.3</v>
      </c>
      <c r="B81" s="74" t="str">
        <f>PLANILHA!C92</f>
        <v>SEPLAG ARQ 36</v>
      </c>
      <c r="C81" s="922" t="str">
        <f>PLANILHA!D92</f>
        <v>CUBA DE EMBUTIR OVAL EM LOUÇA BRANCA DECA OU SIMILAR 48,5 X 37,50CM OU EQUIVALENTE - FORNECIMENTO E INSTALAÇÃO. AF_01/2020</v>
      </c>
      <c r="D81" s="76" t="str">
        <f>PLANILHA!E92</f>
        <v>UND</v>
      </c>
      <c r="E81" s="923" t="s">
        <v>108</v>
      </c>
      <c r="F81" s="936">
        <v>2</v>
      </c>
    </row>
    <row r="82" spans="1:6" s="308" customFormat="1" outlineLevel="1">
      <c r="A82" s="886"/>
      <c r="B82" s="779"/>
      <c r="C82" s="779"/>
      <c r="D82" s="779"/>
      <c r="E82" s="779"/>
      <c r="F82" s="887"/>
    </row>
    <row r="83" spans="1:6" s="308" customFormat="1">
      <c r="A83" s="875" t="str">
        <f>PLANILHA!A96</f>
        <v>4.0</v>
      </c>
      <c r="B83" s="937"/>
      <c r="C83" s="877" t="str">
        <f>PLANILHA!D96</f>
        <v>TERREO</v>
      </c>
      <c r="D83" s="890"/>
      <c r="E83" s="938"/>
      <c r="F83" s="892"/>
    </row>
    <row r="84" spans="1:6" s="308" customFormat="1" outlineLevel="1">
      <c r="A84" s="870" t="str">
        <f>PLANILHA!A97</f>
        <v>4.1</v>
      </c>
      <c r="B84" s="712"/>
      <c r="C84" s="911" t="str">
        <f>PLANILHA!D97</f>
        <v>DEMOLIÇÃO</v>
      </c>
      <c r="D84" s="76"/>
      <c r="E84" s="912"/>
      <c r="F84" s="883"/>
    </row>
    <row r="85" spans="1:6" s="308" customFormat="1" ht="28.5" outlineLevel="1">
      <c r="A85" s="913" t="str">
        <f>PLANILHA!A98</f>
        <v>4.1.1</v>
      </c>
      <c r="B85" s="712">
        <f>PLANILHA!C98</f>
        <v>97640</v>
      </c>
      <c r="C85" s="914" t="str">
        <f>PLANILHA!D98</f>
        <v>REMOÇÃO DE FORROS DE DRYWALL, PVC E FIBROMINERAL, DE FORMA MANUAL, SEM REAPROVEITAMENTO. AF_12/2017</v>
      </c>
      <c r="D85" s="76" t="str">
        <f>PLANILHA!E98</f>
        <v>M2</v>
      </c>
      <c r="E85" s="882" t="s">
        <v>13843</v>
      </c>
      <c r="F85" s="898">
        <f>326.1</f>
        <v>326.10000000000002</v>
      </c>
    </row>
    <row r="86" spans="1:6" s="308" customFormat="1" ht="28.5" outlineLevel="1">
      <c r="A86" s="913" t="str">
        <f>PLANILHA!A99</f>
        <v>4.1.2</v>
      </c>
      <c r="B86" s="712">
        <f>PLANILHA!C99</f>
        <v>97644</v>
      </c>
      <c r="C86" s="914" t="str">
        <f>PLANILHA!D99</f>
        <v>REMOÇÃO DE PORTAS, DE FORMA MANUAL, SEM REAPROVEITAMENTO. AF_12/2017</v>
      </c>
      <c r="D86" s="76" t="str">
        <f>PLANILHA!E99</f>
        <v>M2</v>
      </c>
      <c r="E86" s="882" t="s">
        <v>13842</v>
      </c>
      <c r="F86" s="898">
        <f>26.61</f>
        <v>26.61</v>
      </c>
    </row>
    <row r="87" spans="1:6" s="308" customFormat="1" ht="28.5" outlineLevel="1">
      <c r="A87" s="913" t="str">
        <f>PLANILHA!A100</f>
        <v>4.1.3</v>
      </c>
      <c r="B87" s="712">
        <f>PLANILHA!C100</f>
        <v>97645</v>
      </c>
      <c r="C87" s="914" t="str">
        <f>PLANILHA!D100</f>
        <v>REMOÇÃO DE JANELAS, DE FORMA MANUAL, SEM REAPROVEITAMENTO. AF_12/2017</v>
      </c>
      <c r="D87" s="76" t="str">
        <f>PLANILHA!E100</f>
        <v>M2</v>
      </c>
      <c r="E87" s="882" t="s">
        <v>13841</v>
      </c>
      <c r="F87" s="898">
        <f>106.4</f>
        <v>106.4</v>
      </c>
    </row>
    <row r="88" spans="1:6" s="308" customFormat="1" ht="28.5" outlineLevel="1">
      <c r="A88" s="915" t="str">
        <f>PLANILHA!A101</f>
        <v>4.1.4</v>
      </c>
      <c r="B88" s="812">
        <f>PLANILHA!C101</f>
        <v>97622</v>
      </c>
      <c r="C88" s="916" t="str">
        <f>PLANILHA!D101</f>
        <v>DEMOLIÇÃO DE ALVENARIA DE BLOCO FURADO, DE FORMA MANUAL, SEM REAPROVEITAMENTO. AF_12/2017</v>
      </c>
      <c r="D88" s="811" t="str">
        <f>PLANILHA!E101</f>
        <v>M3</v>
      </c>
      <c r="E88" s="917" t="s">
        <v>13840</v>
      </c>
      <c r="F88" s="939">
        <f>6.13</f>
        <v>6.13</v>
      </c>
    </row>
    <row r="89" spans="1:6" s="308" customFormat="1" outlineLevel="1">
      <c r="A89" s="940"/>
      <c r="B89" s="700"/>
      <c r="C89" s="700"/>
      <c r="D89" s="700"/>
      <c r="E89" s="700"/>
      <c r="F89" s="941"/>
    </row>
    <row r="90" spans="1:6" s="308" customFormat="1" outlineLevel="1">
      <c r="A90" s="942" t="str">
        <f>PLANILHA!A104</f>
        <v>4.2</v>
      </c>
      <c r="B90" s="943"/>
      <c r="C90" s="944" t="str">
        <f>PLANILHA!D104</f>
        <v>PISOS</v>
      </c>
      <c r="D90" s="945"/>
      <c r="E90" s="946"/>
      <c r="F90" s="947"/>
    </row>
    <row r="91" spans="1:6" s="308" customFormat="1" ht="57" outlineLevel="1">
      <c r="A91" s="881" t="str">
        <f>PLANILHA!A105</f>
        <v>4.2.1</v>
      </c>
      <c r="B91" s="74" t="str">
        <f>PLANILHA!C105</f>
        <v>SEPLAG ARQ 169</v>
      </c>
      <c r="C91" s="922" t="str">
        <f>PLANILHA!D105</f>
        <v>REVESTIMENTO CERÂMICO PARA PISO COM PLACAS TIPO PORCELANATO ARTSY CEMENT NATURAL  0,90X0,90m PORTOBELLO OU SIMILAR, ARGAMASSA TIPO AC III,FORNECIMENTO E INSTALAÇÃO. AF_06/2014</v>
      </c>
      <c r="D91" s="76" t="str">
        <f>PLANILHA!E105</f>
        <v>m²</v>
      </c>
      <c r="E91" s="882" t="s">
        <v>13843</v>
      </c>
      <c r="F91" s="898">
        <f>326.1</f>
        <v>326.10000000000002</v>
      </c>
    </row>
    <row r="92" spans="1:6" s="308" customFormat="1" ht="57" outlineLevel="1">
      <c r="A92" s="924" t="str">
        <f>PLANILHA!A106</f>
        <v>4.2.2</v>
      </c>
      <c r="B92" s="925" t="str">
        <f>PLANILHA!C106</f>
        <v>SEPLAG ARQ 170</v>
      </c>
      <c r="C92" s="926" t="str">
        <f>PLANILHA!D106</f>
        <v>RODAPÉ DE 7CM EM REVESTIMENTO CERÂMICO PARA PISO COM PLACAS TIPO PORCELANATO ARTSY CEMENT NATURAL  0,90X0,90m PORTOBELLO OU SIMILAR, ARGAMASSA TIPO AC III,FORNECIMENTO E INSTALAÇÃO. AF_06/2014</v>
      </c>
      <c r="D92" s="811" t="str">
        <f>PLANILHA!E106</f>
        <v xml:space="preserve">m </v>
      </c>
      <c r="E92" s="917" t="s">
        <v>13856</v>
      </c>
      <c r="F92" s="939">
        <f>184.61</f>
        <v>184.61</v>
      </c>
    </row>
    <row r="93" spans="1:6" s="308" customFormat="1" outlineLevel="1">
      <c r="A93" s="886"/>
      <c r="B93" s="779"/>
      <c r="C93" s="779"/>
      <c r="D93" s="779"/>
      <c r="E93" s="779"/>
      <c r="F93" s="887"/>
    </row>
    <row r="94" spans="1:6" s="308" customFormat="1" outlineLevel="1">
      <c r="A94" s="942" t="str">
        <f>PLANILHA!A109</f>
        <v>4.3</v>
      </c>
      <c r="B94" s="943"/>
      <c r="C94" s="944" t="str">
        <f>PLANILHA!D109</f>
        <v>PORTAS</v>
      </c>
      <c r="D94" s="945"/>
      <c r="E94" s="946"/>
      <c r="F94" s="947"/>
    </row>
    <row r="95" spans="1:6" s="308" customFormat="1" ht="57" outlineLevel="1">
      <c r="A95" s="881" t="str">
        <f>PLANILHA!A110</f>
        <v>4.3.1</v>
      </c>
      <c r="B95" s="74" t="str">
        <f>PLANILHA!C110</f>
        <v>SEPLAG ARQ 12</v>
      </c>
      <c r="C95" s="922" t="str">
        <f>PLANILHA!D110</f>
        <v>KIT PORTA PRONTA PRETA LISA SÓLIDA PORMADE O,80X2,10,ACABAMENTO DE COR UNIFORME, MARCOS E ALIZARES EM PVC WOOD, RESISTENTES A ESTUFAMENTOS. FORNECIMENTO E INSTALAÇÃO.</v>
      </c>
      <c r="D95" s="76" t="str">
        <f>PLANILHA!E110</f>
        <v>UND</v>
      </c>
      <c r="E95" s="882" t="s">
        <v>13858</v>
      </c>
      <c r="F95" s="898">
        <f>7</f>
        <v>7</v>
      </c>
    </row>
    <row r="96" spans="1:6" s="308" customFormat="1" ht="57" outlineLevel="1">
      <c r="A96" s="881" t="str">
        <f>PLANILHA!A111</f>
        <v>4.3.2</v>
      </c>
      <c r="B96" s="74" t="str">
        <f>PLANILHA!C111</f>
        <v>SEPLAG ARQ 53</v>
      </c>
      <c r="C96" s="922" t="str">
        <f>PLANILHA!D111</f>
        <v>KIT PORTA PRONTA PRETA LISA SÓLIDA PORMADE O,90X2,10,ACABAMENTO DE COR UNIFORME, MARCOS E ALIZARES EM PVC WOOD, RESISTENTES A ESTUFAMENTOS. FORNECIMENTO E INSTALAÇÃO</v>
      </c>
      <c r="D96" s="76" t="str">
        <f>PLANILHA!E111</f>
        <v>UND</v>
      </c>
      <c r="E96" s="882" t="s">
        <v>107</v>
      </c>
      <c r="F96" s="898">
        <f>1</f>
        <v>1</v>
      </c>
    </row>
    <row r="97" spans="1:6" s="308" customFormat="1" ht="42.75" outlineLevel="1">
      <c r="A97" s="881" t="str">
        <f>PLANILHA!A112</f>
        <v>4.3.3</v>
      </c>
      <c r="B97" s="74" t="str">
        <f>PLANILHA!C112</f>
        <v>SEPLAG  ARQ 14</v>
      </c>
      <c r="C97" s="922" t="str">
        <f>PLANILHA!D112</f>
        <v>PORTA PIVOTANTE DE VIDRO TEMPERADO, 2 FOLHAS DE 80X210 CM, ESPESSURA DE 10MM, INCLUSIVE ACESSÓRIOS. FORNECIMENTO E INSTALAÇÃO. AF_01/2021</v>
      </c>
      <c r="D97" s="76" t="str">
        <f>PLANILHA!E112</f>
        <v>UND</v>
      </c>
      <c r="E97" s="882" t="s">
        <v>107</v>
      </c>
      <c r="F97" s="898">
        <f>1</f>
        <v>1</v>
      </c>
    </row>
    <row r="98" spans="1:6" s="308" customFormat="1" ht="42.75" outlineLevel="1">
      <c r="A98" s="881" t="str">
        <f>PLANILHA!A113</f>
        <v>4.3.4</v>
      </c>
      <c r="B98" s="74" t="str">
        <f>PLANILHA!C113</f>
        <v>SEPLAG ARQ 138</v>
      </c>
      <c r="C98" s="922" t="str">
        <f>PLANILHA!D113</f>
        <v>PORTA PIVOTANTE DE VIDRO TEMPERADO E ALUMINIO, 2 FOLHAS DE 100X250 CM, ESPESSURA DE 10MM, INCLUSIVE ACESSÓRIOS. FORNCECIMENTO E INSTALAÇÃO. AF_01/2021</v>
      </c>
      <c r="D98" s="76" t="str">
        <f>PLANILHA!E113</f>
        <v>UND</v>
      </c>
      <c r="E98" s="882" t="s">
        <v>107</v>
      </c>
      <c r="F98" s="898">
        <f>1</f>
        <v>1</v>
      </c>
    </row>
    <row r="99" spans="1:6" s="308" customFormat="1" ht="28.5" outlineLevel="1">
      <c r="A99" s="881" t="str">
        <f>PLANILHA!A114</f>
        <v>4.3.5</v>
      </c>
      <c r="B99" s="74">
        <f>PLANILHA!C114</f>
        <v>100701</v>
      </c>
      <c r="C99" s="922" t="str">
        <f>PLANILHA!D114</f>
        <v>PORTA DE FERRO, DE ABRIR, TIPO GRADE COM CHAPA, COM GUARNIÇÕES. AF_12/2019</v>
      </c>
      <c r="D99" s="76" t="str">
        <f>PLANILHA!E114</f>
        <v>M2</v>
      </c>
      <c r="E99" s="882" t="s">
        <v>13861</v>
      </c>
      <c r="F99" s="898">
        <f>0.8*1.3</f>
        <v>1.04</v>
      </c>
    </row>
    <row r="100" spans="1:6" s="308" customFormat="1" ht="28.5" outlineLevel="1">
      <c r="A100" s="881" t="str">
        <f>PLANILHA!A115</f>
        <v>4.3.6</v>
      </c>
      <c r="B100" s="74" t="str">
        <f>PLANILHA!C115</f>
        <v>SEPLAG ARQ 51</v>
      </c>
      <c r="C100" s="922" t="str">
        <f>PLANILHA!D115</f>
        <v>PELÍCULA DE SEGURANÇA PARA PAINES DE VIDRO, FONECIMENTO E INSTALAÇÃO.</v>
      </c>
      <c r="D100" s="76" t="str">
        <f>PLANILHA!E115</f>
        <v>m²</v>
      </c>
      <c r="E100" s="882" t="s">
        <v>13864</v>
      </c>
      <c r="F100" s="898">
        <f>5+3.36</f>
        <v>8.36</v>
      </c>
    </row>
    <row r="101" spans="1:6" s="308" customFormat="1" ht="28.5" outlineLevel="1">
      <c r="A101" s="881" t="str">
        <f>PLANILHA!A116</f>
        <v>4.3.7</v>
      </c>
      <c r="B101" s="74">
        <f>PLANILHA!C116</f>
        <v>100716</v>
      </c>
      <c r="C101" s="922" t="str">
        <f>PLANILHA!D116</f>
        <v>JATEAMENTO ABRASIVO COM GRANALHA DE AÇO EM PERFIL METÁLICO EM FÁBRICA. AF_01/2020</v>
      </c>
      <c r="D101" s="76" t="str">
        <f>PLANILHA!E116</f>
        <v>M2</v>
      </c>
      <c r="E101" s="882" t="s">
        <v>13865</v>
      </c>
      <c r="F101" s="898">
        <f>3.6*0.3</f>
        <v>1.08</v>
      </c>
    </row>
    <row r="102" spans="1:6" s="308" customFormat="1" ht="28.5" outlineLevel="1">
      <c r="A102" s="881" t="str">
        <f>PLANILHA!A117</f>
        <v>4.3.8</v>
      </c>
      <c r="B102" s="74" t="str">
        <f>PLANILHA!C117</f>
        <v>SEPLAG ARQ 123</v>
      </c>
      <c r="C102" s="922" t="str">
        <f>PLANILHA!D117</f>
        <v>CHAPA DE AÇO INOX PARA PROTEÇÃO DAS PORTAS DOS BANHEIROS (PCD) - 2 FACES. FORNECIMENTO E INSTALAÇÃO.</v>
      </c>
      <c r="D102" s="76" t="str">
        <f>PLANILHA!E117</f>
        <v>m</v>
      </c>
      <c r="E102" s="882" t="s">
        <v>13869</v>
      </c>
      <c r="F102" s="898">
        <f>0.9</f>
        <v>0.9</v>
      </c>
    </row>
    <row r="103" spans="1:6" s="308" customFormat="1" ht="28.5" outlineLevel="1">
      <c r="A103" s="881" t="str">
        <f>PLANILHA!A118</f>
        <v>4.3.9</v>
      </c>
      <c r="B103" s="74">
        <f>PLANILHA!C118</f>
        <v>100874</v>
      </c>
      <c r="C103" s="922" t="str">
        <f>PLANILHA!D118</f>
        <v>PUXADOR PARA PCD, FIXADO NA PORTA - FORNECIMENTO E INSTALAÇÃO. AF_01/2020</v>
      </c>
      <c r="D103" s="76" t="str">
        <f>PLANILHA!E118</f>
        <v>UN</v>
      </c>
      <c r="E103" s="882" t="s">
        <v>108</v>
      </c>
      <c r="F103" s="898">
        <f>2</f>
        <v>2</v>
      </c>
    </row>
    <row r="104" spans="1:6" s="308" customFormat="1" outlineLevel="1">
      <c r="A104" s="886"/>
      <c r="B104" s="779"/>
      <c r="C104" s="779"/>
      <c r="D104" s="779"/>
      <c r="E104" s="779"/>
      <c r="F104" s="887"/>
    </row>
    <row r="105" spans="1:6" s="308" customFormat="1" outlineLevel="1">
      <c r="A105" s="902" t="str">
        <f>PLANILHA!A121</f>
        <v>4.4</v>
      </c>
      <c r="B105" s="871"/>
      <c r="C105" s="948" t="str">
        <f>PLANILHA!D121</f>
        <v>JANELAS E VIDROS FIXOS</v>
      </c>
      <c r="D105" s="76"/>
      <c r="E105" s="882"/>
      <c r="F105" s="949"/>
    </row>
    <row r="106" spans="1:6" s="308" customFormat="1" ht="28.5" outlineLevel="1">
      <c r="A106" s="896" t="str">
        <f>PLANILHA!A122</f>
        <v>4.4.1</v>
      </c>
      <c r="B106" s="74" t="str">
        <f>PLANILHA!C122</f>
        <v>SEPLAG  ARQ 153</v>
      </c>
      <c r="C106" s="922" t="str">
        <f>PLANILHA!D122</f>
        <v>J01 (E.G) - JANELA MAXIN AR 3,80 x 2,55 (3 JANELAS DE 1,20). FORNECIMENTO E INSTALAÇÃO.</v>
      </c>
      <c r="D106" s="74" t="str">
        <f>PLANILHA!E122</f>
        <v>und</v>
      </c>
      <c r="E106" s="882" t="s">
        <v>13832</v>
      </c>
      <c r="F106" s="898">
        <v>2</v>
      </c>
    </row>
    <row r="107" spans="1:6" s="308" customFormat="1" ht="28.5" outlineLevel="1">
      <c r="A107" s="896" t="str">
        <f>PLANILHA!A123</f>
        <v>4.4.2</v>
      </c>
      <c r="B107" s="74" t="str">
        <f>PLANILHA!C123</f>
        <v>SEPLAG  ARQ 154</v>
      </c>
      <c r="C107" s="922" t="str">
        <f>PLANILHA!D123</f>
        <v>J08 (E.G) - JANELA MAXIN AR 1,53 x 4,85 (1 JANELAS DE 3MODULOS 1,53). FORNECIMENTO E INSTALAÇÃO.</v>
      </c>
      <c r="D107" s="74" t="str">
        <f>PLANILHA!E123</f>
        <v>und</v>
      </c>
      <c r="E107" s="882" t="s">
        <v>13832</v>
      </c>
      <c r="F107" s="883">
        <f>1</f>
        <v>1</v>
      </c>
    </row>
    <row r="108" spans="1:6" s="308" customFormat="1" ht="28.5" outlineLevel="1">
      <c r="A108" s="896" t="str">
        <f>PLANILHA!A124</f>
        <v>4.4.3</v>
      </c>
      <c r="B108" s="74" t="str">
        <f>PLANILHA!C124</f>
        <v>SEPLAG  ARQ 68</v>
      </c>
      <c r="C108" s="922" t="str">
        <f>PLANILHA!D124</f>
        <v>J02- JANELA MAXIN AR 12,60 x 1,70 (12 JANELAS DE 1,05). FORNECIMENTO E INSTALAÇÃO.</v>
      </c>
      <c r="D108" s="74" t="str">
        <f>PLANILHA!E124</f>
        <v>und</v>
      </c>
      <c r="E108" s="882" t="s">
        <v>13832</v>
      </c>
      <c r="F108" s="883">
        <v>1</v>
      </c>
    </row>
    <row r="109" spans="1:6" s="308" customFormat="1" ht="28.5" outlineLevel="1">
      <c r="A109" s="896" t="str">
        <f>PLANILHA!A125</f>
        <v>4.4.4</v>
      </c>
      <c r="B109" s="74" t="str">
        <f>PLANILHA!C125</f>
        <v>SEPLAG  ARQ 76</v>
      </c>
      <c r="C109" s="922" t="str">
        <f>PLANILHA!D125</f>
        <v>J04- JANELA MAXIN AR 1,00 x 1,70 FORNECIMENTO E INSTALAÇÃO. FORNECIMENTO E INSTALAÇÃO.</v>
      </c>
      <c r="D109" s="74" t="str">
        <f>PLANILHA!E125</f>
        <v>und</v>
      </c>
      <c r="E109" s="882" t="s">
        <v>13832</v>
      </c>
      <c r="F109" s="898">
        <v>1</v>
      </c>
    </row>
    <row r="110" spans="1:6" s="308" customFormat="1" ht="28.5" outlineLevel="1">
      <c r="A110" s="896" t="str">
        <f>PLANILHA!A126</f>
        <v>4.4.5</v>
      </c>
      <c r="B110" s="74">
        <f>PLANILHA!C126</f>
        <v>102168</v>
      </c>
      <c r="C110" s="922" t="str">
        <f>PLANILHA!D126</f>
        <v>INSTALAÇÃO DE VIDRO LISO INCOLOR, E = 8 MM, EM ESQUADRIA DE ALUMÍNIO OU PVC, FIXADO COM BAGUETE. AF_01/2021_P</v>
      </c>
      <c r="D110" s="74" t="str">
        <f>PLANILHA!E126</f>
        <v>M2</v>
      </c>
      <c r="E110" s="882" t="s">
        <v>14656</v>
      </c>
      <c r="F110" s="898">
        <f>1.8*2.15</f>
        <v>3.87</v>
      </c>
    </row>
    <row r="111" spans="1:6" s="308" customFormat="1" ht="28.5" outlineLevel="1">
      <c r="A111" s="896" t="str">
        <f>PLANILHA!A127</f>
        <v>4.4.6</v>
      </c>
      <c r="B111" s="74" t="str">
        <f>PLANILHA!C127</f>
        <v>SEPLAG ARQ 51</v>
      </c>
      <c r="C111" s="922" t="str">
        <f>PLANILHA!D127</f>
        <v>PELÍCULA DE SEGURANÇA PARA PAINES DE VIDRO, FONECIMENTO E INSTALAÇÃO.</v>
      </c>
      <c r="D111" s="74" t="str">
        <f>PLANILHA!E127</f>
        <v>m²</v>
      </c>
      <c r="E111" s="882" t="s">
        <v>14657</v>
      </c>
      <c r="F111" s="908">
        <f>3.8*2.55+1.53*4.85+12.6*1.7+1*1.7+1.8*2.15</f>
        <v>44.100499999999997</v>
      </c>
    </row>
    <row r="112" spans="1:6" s="308" customFormat="1" outlineLevel="1">
      <c r="A112" s="896"/>
      <c r="B112" s="74"/>
      <c r="C112" s="922"/>
      <c r="D112" s="74"/>
      <c r="E112" s="882"/>
      <c r="F112" s="908"/>
    </row>
    <row r="113" spans="1:6" s="308" customFormat="1" outlineLevel="1">
      <c r="A113" s="902" t="str">
        <f>PLANILHA!A130</f>
        <v>4.5</v>
      </c>
      <c r="B113" s="871"/>
      <c r="C113" s="948" t="str">
        <f>PLANILHA!D130</f>
        <v>PINTURA</v>
      </c>
      <c r="D113" s="76"/>
      <c r="E113" s="882"/>
      <c r="F113" s="949"/>
    </row>
    <row r="114" spans="1:6" s="308" customFormat="1" ht="28.5" outlineLevel="1">
      <c r="A114" s="896" t="str">
        <f>PLANILHA!A131</f>
        <v>4.5.1</v>
      </c>
      <c r="B114" s="74">
        <f>PLANILHA!C131</f>
        <v>88485</v>
      </c>
      <c r="C114" s="922" t="str">
        <f>PLANILHA!D131</f>
        <v>APLICAÇÃO DE FUNDO SELADOR ACRÍLICO EM PAREDES, UMA DEMÃO. AF_06/2014</v>
      </c>
      <c r="D114" s="74" t="str">
        <f>PLANILHA!E131</f>
        <v>M2</v>
      </c>
      <c r="E114" s="882"/>
      <c r="F114" s="908">
        <v>840.82</v>
      </c>
    </row>
    <row r="115" spans="1:6" s="308" customFormat="1" ht="42.75" outlineLevel="1">
      <c r="A115" s="896" t="str">
        <f>PLANILHA!A132</f>
        <v>4.5.2</v>
      </c>
      <c r="B115" s="74">
        <f>PLANILHA!C132</f>
        <v>96126</v>
      </c>
      <c r="C115" s="922" t="str">
        <f>PLANILHA!D132</f>
        <v>APLICAÇÃO MANUAL DE MASSA ACRÍLICA EM PANOS DE FACHADA COM PRESENÇA DE VÃOS, DE EDIFÍCIOS DE MÚLTIPLOS PAVIMENTOS, UMA DEMÃO. AF_05/2017</v>
      </c>
      <c r="D115" s="74" t="str">
        <f>PLANILHA!E132</f>
        <v>M2</v>
      </c>
      <c r="E115" s="882"/>
      <c r="F115" s="908">
        <f>F114</f>
        <v>840.82</v>
      </c>
    </row>
    <row r="116" spans="1:6" s="308" customFormat="1" ht="28.5" outlineLevel="1">
      <c r="A116" s="950" t="str">
        <f>PLANILHA!A133</f>
        <v>4.5.3</v>
      </c>
      <c r="B116" s="925">
        <f>PLANILHA!C133</f>
        <v>88489</v>
      </c>
      <c r="C116" s="926" t="str">
        <f>PLANILHA!D133</f>
        <v>APLICAÇÃO MANUAL DE PINTURA COM TINTA LÁTEX ACRÍLICA EM PAREDES, DUAS DEMÃOS. AF_06/2014</v>
      </c>
      <c r="D116" s="925" t="str">
        <f>PLANILHA!E133</f>
        <v>M2</v>
      </c>
      <c r="E116" s="917"/>
      <c r="F116" s="951">
        <f>F114</f>
        <v>840.82</v>
      </c>
    </row>
    <row r="117" spans="1:6" s="308" customFormat="1" outlineLevel="1">
      <c r="A117" s="886"/>
      <c r="B117" s="779"/>
      <c r="C117" s="779"/>
      <c r="D117" s="779"/>
      <c r="E117" s="779"/>
      <c r="F117" s="887"/>
    </row>
    <row r="118" spans="1:6" s="308" customFormat="1">
      <c r="A118" s="952" t="str">
        <f>PLANILHA!A138</f>
        <v>5.0</v>
      </c>
      <c r="B118" s="953"/>
      <c r="C118" s="954" t="str">
        <f>PLANILHA!D138</f>
        <v>1º PAVIMENTO</v>
      </c>
      <c r="D118" s="955"/>
      <c r="E118" s="956"/>
      <c r="F118" s="957"/>
    </row>
    <row r="119" spans="1:6" s="308" customFormat="1" outlineLevel="1">
      <c r="A119" s="902" t="str">
        <f>PLANILHA!A139</f>
        <v>5.1</v>
      </c>
      <c r="B119" s="871"/>
      <c r="C119" s="948" t="str">
        <f>PLANILHA!D139</f>
        <v>DEMOLIÇÃO</v>
      </c>
      <c r="D119" s="76"/>
      <c r="E119" s="882"/>
      <c r="F119" s="949"/>
    </row>
    <row r="120" spans="1:6" s="308" customFormat="1" ht="28.5" outlineLevel="1">
      <c r="A120" s="881" t="str">
        <f>PLANILHA!A140</f>
        <v>5.1.1</v>
      </c>
      <c r="B120" s="74">
        <f>PLANILHA!C140</f>
        <v>97640</v>
      </c>
      <c r="C120" s="922" t="str">
        <f>PLANILHA!D140</f>
        <v>REMOÇÃO DE FORROS DE DRYWALL, PVC E FIBROMINERAL, DE FORMA MANUAL, SEM REAPROVEITAMENTO. AF_12/2017</v>
      </c>
      <c r="D120" s="76" t="str">
        <f>PLANILHA!E140</f>
        <v>M2</v>
      </c>
      <c r="E120" s="882" t="s">
        <v>13845</v>
      </c>
      <c r="F120" s="898">
        <f>297.31</f>
        <v>297.31</v>
      </c>
    </row>
    <row r="121" spans="1:6" s="308" customFormat="1" ht="28.5" outlineLevel="1">
      <c r="A121" s="881" t="str">
        <f>PLANILHA!A141</f>
        <v>5.1.2</v>
      </c>
      <c r="B121" s="74">
        <f>PLANILHA!C141</f>
        <v>97644</v>
      </c>
      <c r="C121" s="922" t="str">
        <f>PLANILHA!D141</f>
        <v>REMOÇÃO DE PORTAS, DE FORMA MANUAL, SEM REAPROVEITAMENTO. AF_12/2017</v>
      </c>
      <c r="D121" s="76" t="str">
        <f>PLANILHA!E141</f>
        <v>M2</v>
      </c>
      <c r="E121" s="882" t="s">
        <v>13846</v>
      </c>
      <c r="F121" s="898">
        <f>25.08</f>
        <v>25.08</v>
      </c>
    </row>
    <row r="122" spans="1:6" s="308" customFormat="1" ht="28.5" outlineLevel="1">
      <c r="A122" s="881" t="str">
        <f>PLANILHA!A142</f>
        <v>5.1.3</v>
      </c>
      <c r="B122" s="74">
        <f>PLANILHA!C142</f>
        <v>97645</v>
      </c>
      <c r="C122" s="922" t="str">
        <f>PLANILHA!D142</f>
        <v>REMOÇÃO DE JANELAS, DE FORMA MANUAL, SEM REAPROVEITAMENTO. AF_12/2017</v>
      </c>
      <c r="D122" s="76" t="str">
        <f>PLANILHA!E142</f>
        <v>M2</v>
      </c>
      <c r="E122" s="882" t="s">
        <v>13847</v>
      </c>
      <c r="F122" s="898">
        <f>102.74</f>
        <v>102.74</v>
      </c>
    </row>
    <row r="123" spans="1:6" s="893" customFormat="1" ht="14.25" outlineLevel="1">
      <c r="A123" s="905"/>
      <c r="F123" s="906"/>
    </row>
    <row r="124" spans="1:6" s="893" customFormat="1" outlineLevel="1">
      <c r="A124" s="902" t="str">
        <f>PLANILHA!A145</f>
        <v>5.2</v>
      </c>
      <c r="B124" s="76"/>
      <c r="C124" s="734" t="str">
        <f>PLANILHA!D145</f>
        <v>PISO</v>
      </c>
      <c r="D124" s="76"/>
      <c r="E124" s="76"/>
      <c r="F124" s="883"/>
    </row>
    <row r="125" spans="1:6" s="308" customFormat="1" ht="57" outlineLevel="1">
      <c r="A125" s="881" t="str">
        <f>PLANILHA!A146</f>
        <v>5.2.1</v>
      </c>
      <c r="B125" s="74" t="str">
        <f>PLANILHA!C146</f>
        <v>SEPLAG ARQ 169</v>
      </c>
      <c r="C125" s="922" t="str">
        <f>PLANILHA!D146</f>
        <v>REVESTIMENTO CERÂMICO PARA PISO COM PLACAS TIPO PORCELANATO ARTSY CEMENT NATURAL  0,90X0,90m PORTOBELLO OU SIMILAR, ARGAMASSA TIPO AC III,FORNECIMENTO E INSTALAÇÃO. AF_06/2014</v>
      </c>
      <c r="D125" s="76" t="str">
        <f>PLANILHA!E146</f>
        <v>m²</v>
      </c>
      <c r="E125" s="882" t="s">
        <v>13845</v>
      </c>
      <c r="F125" s="898">
        <f>297.31</f>
        <v>297.31</v>
      </c>
    </row>
    <row r="126" spans="1:6" s="308" customFormat="1" ht="57" outlineLevel="1">
      <c r="A126" s="924" t="str">
        <f>PLANILHA!A147</f>
        <v>5.2.2</v>
      </c>
      <c r="B126" s="925" t="str">
        <f>PLANILHA!C147</f>
        <v>SEPLAG ARQ 170</v>
      </c>
      <c r="C126" s="926" t="str">
        <f>PLANILHA!D147</f>
        <v>RODAPÉ DE 7CM EM REVESTIMENTO CERÂMICO PARA PISO COM PLACAS TIPO PORCELANATO ARTSY CEMENT NATURAL  0,90X0,90m PORTOBELLO OU SIMILAR, ARGAMASSA TIPO AC III,FORNECIMENTO E INSTALAÇÃO. AF_06/2014</v>
      </c>
      <c r="D126" s="811" t="str">
        <f>PLANILHA!E147</f>
        <v xml:space="preserve">m </v>
      </c>
      <c r="E126" s="917" t="s">
        <v>13866</v>
      </c>
      <c r="F126" s="939">
        <f>187.42</f>
        <v>187.42</v>
      </c>
    </row>
    <row r="127" spans="1:6" s="308" customFormat="1" outlineLevel="1">
      <c r="A127" s="886"/>
      <c r="B127" s="779"/>
      <c r="C127" s="779"/>
      <c r="D127" s="779"/>
      <c r="E127" s="779"/>
      <c r="F127" s="887"/>
    </row>
    <row r="128" spans="1:6" s="308" customFormat="1" outlineLevel="1">
      <c r="A128" s="929" t="str">
        <f>PLANILHA!A150</f>
        <v>5.3</v>
      </c>
      <c r="B128" s="958"/>
      <c r="C128" s="931" t="str">
        <f>PLANILHA!D150</f>
        <v>PINTURA</v>
      </c>
      <c r="D128" s="959"/>
      <c r="E128" s="960"/>
      <c r="F128" s="961"/>
    </row>
    <row r="129" spans="1:6" s="308" customFormat="1" ht="28.5" outlineLevel="1">
      <c r="A129" s="881" t="str">
        <f>PLANILHA!A151</f>
        <v>5.3.1</v>
      </c>
      <c r="B129" s="74">
        <f>PLANILHA!C151</f>
        <v>88485</v>
      </c>
      <c r="C129" s="922" t="str">
        <f>PLANILHA!D151</f>
        <v>APLICAÇÃO DE FUNDO SELADOR ACRÍLICO EM PAREDES, UMA DEMÃO. AF_06/2014</v>
      </c>
      <c r="D129" s="76" t="str">
        <f>PLANILHA!E151</f>
        <v>M2</v>
      </c>
      <c r="E129" s="882" t="s">
        <v>13867</v>
      </c>
      <c r="F129" s="898">
        <f>872.4</f>
        <v>872.4</v>
      </c>
    </row>
    <row r="130" spans="1:6" s="308" customFormat="1" ht="42.75" outlineLevel="1">
      <c r="A130" s="881" t="str">
        <f>PLANILHA!A152</f>
        <v>5.3.2</v>
      </c>
      <c r="B130" s="74">
        <f>PLANILHA!C152</f>
        <v>96126</v>
      </c>
      <c r="C130" s="922" t="str">
        <f>PLANILHA!D152</f>
        <v>APLICAÇÃO MANUAL DE MASSA ACRÍLICA EM PANOS DE FACHADA COM PRESENÇA DE VÃOS, DE EDIFÍCIOS DE MÚLTIPLOS PAVIMENTOS, UMA DEMÃO. AF_05/2017</v>
      </c>
      <c r="D130" s="76" t="str">
        <f>PLANILHA!E152</f>
        <v>M2</v>
      </c>
      <c r="E130" s="882" t="s">
        <v>13867</v>
      </c>
      <c r="F130" s="898">
        <f>872.4</f>
        <v>872.4</v>
      </c>
    </row>
    <row r="131" spans="1:6" s="308" customFormat="1" ht="28.5" outlineLevel="1">
      <c r="A131" s="924" t="str">
        <f>PLANILHA!A153</f>
        <v>5.3.3</v>
      </c>
      <c r="B131" s="925">
        <f>PLANILHA!C153</f>
        <v>88489</v>
      </c>
      <c r="C131" s="926" t="str">
        <f>PLANILHA!D153</f>
        <v>APLICAÇÃO MANUAL DE PINTURA COM TINTA LÁTEX ACRÍLICA EM PAREDES, DUAS DEMÃOS. AF_06/2014</v>
      </c>
      <c r="D131" s="811" t="str">
        <f>PLANILHA!E153</f>
        <v>M2</v>
      </c>
      <c r="E131" s="917" t="s">
        <v>13867</v>
      </c>
      <c r="F131" s="939">
        <f>872.4</f>
        <v>872.4</v>
      </c>
    </row>
    <row r="132" spans="1:6" s="308" customFormat="1" outlineLevel="1">
      <c r="A132" s="886"/>
      <c r="B132" s="779"/>
      <c r="C132" s="779"/>
      <c r="D132" s="779"/>
      <c r="E132" s="779"/>
      <c r="F132" s="887"/>
    </row>
    <row r="133" spans="1:6" s="308" customFormat="1" outlineLevel="1">
      <c r="A133" s="929" t="str">
        <f>PLANILHA!A156</f>
        <v>5.4</v>
      </c>
      <c r="B133" s="958"/>
      <c r="C133" s="931" t="str">
        <f>PLANILHA!D156</f>
        <v>PORTAS</v>
      </c>
      <c r="D133" s="959"/>
      <c r="E133" s="960"/>
      <c r="F133" s="961"/>
    </row>
    <row r="134" spans="1:6" s="308" customFormat="1" ht="57" outlineLevel="1">
      <c r="A134" s="896" t="str">
        <f>PLANILHA!A157</f>
        <v>5.4.1</v>
      </c>
      <c r="B134" s="74" t="str">
        <f>PLANILHA!C157</f>
        <v>SEPLAG ARQ 12</v>
      </c>
      <c r="C134" s="922" t="str">
        <f>PLANILHA!D157</f>
        <v>KIT PORTA PRONTA PRETA LISA SÓLIDA PORMADE O,80X2,10,ACABAMENTO DE COR UNIFORME, MARCOS E ALIZARES EM PVC WOOD, RESISTENTES A ESTUFAMENTOS. FORNECIMENTO E INSTALAÇÃO.</v>
      </c>
      <c r="D134" s="74" t="str">
        <f>PLANILHA!E157</f>
        <v>UND</v>
      </c>
      <c r="E134" s="882" t="s">
        <v>13870</v>
      </c>
      <c r="F134" s="898">
        <f>9</f>
        <v>9</v>
      </c>
    </row>
    <row r="135" spans="1:6" s="308" customFormat="1" ht="42.75" outlineLevel="1">
      <c r="A135" s="896" t="str">
        <f>PLANILHA!A158</f>
        <v>5.4.2</v>
      </c>
      <c r="B135" s="74" t="str">
        <f>PLANILHA!C158</f>
        <v>SEPLAG  ARQ 14</v>
      </c>
      <c r="C135" s="922" t="str">
        <f>PLANILHA!D158</f>
        <v>PORTA PIVOTANTE DE VIDRO TEMPERADO, 2 FOLHAS DE 80X210 CM, ESPESSURA DE 10MM, INCLUSIVE ACESSÓRIOS. FORNECIMENTO E INSTALAÇÃO. AF_01/2021</v>
      </c>
      <c r="D135" s="74" t="str">
        <f>PLANILHA!E158</f>
        <v>UND</v>
      </c>
      <c r="E135" s="882" t="s">
        <v>107</v>
      </c>
      <c r="F135" s="898">
        <f>1</f>
        <v>1</v>
      </c>
    </row>
    <row r="136" spans="1:6" s="308" customFormat="1" ht="28.5" outlineLevel="1">
      <c r="A136" s="896" t="str">
        <f>PLANILHA!A159</f>
        <v>5.4.3</v>
      </c>
      <c r="B136" s="74" t="str">
        <f>PLANILHA!C159</f>
        <v>SEPLAG ARQ 134</v>
      </c>
      <c r="C136" s="922" t="str">
        <f>PLANILHA!D159</f>
        <v>GRADE EM ESTRUTURA METALICA PARA PROTEÇÃO DA PASSARELA TIPO 01, FORNECIMENTO E INSTALAÇÃO.</v>
      </c>
      <c r="D136" s="74" t="str">
        <f>PLANILHA!E159</f>
        <v>m</v>
      </c>
      <c r="E136" s="882" t="s">
        <v>107</v>
      </c>
      <c r="F136" s="898">
        <f>1</f>
        <v>1</v>
      </c>
    </row>
    <row r="137" spans="1:6" s="308" customFormat="1" ht="28.5" outlineLevel="1">
      <c r="A137" s="896" t="str">
        <f>PLANILHA!A160</f>
        <v>5.4.4</v>
      </c>
      <c r="B137" s="74" t="str">
        <f>PLANILHA!C160</f>
        <v>SEPLAG ARQ 51</v>
      </c>
      <c r="C137" s="922" t="str">
        <f>PLANILHA!D160</f>
        <v>PELÍCULA DE SEGURANÇA PARA PAINES DE VIDRO, FONECIMENTO E INSTALAÇÃO.</v>
      </c>
      <c r="D137" s="74" t="str">
        <f>PLANILHA!E160</f>
        <v>m²</v>
      </c>
      <c r="E137" s="882" t="s">
        <v>13873</v>
      </c>
      <c r="F137" s="898">
        <f>3.36</f>
        <v>3.36</v>
      </c>
    </row>
    <row r="138" spans="1:6" s="308" customFormat="1" ht="28.5" outlineLevel="1">
      <c r="A138" s="896" t="str">
        <f>PLANILHA!A161</f>
        <v>5.4.5</v>
      </c>
      <c r="B138" s="74">
        <f>PLANILHA!C161</f>
        <v>100716</v>
      </c>
      <c r="C138" s="922" t="str">
        <f>PLANILHA!D161</f>
        <v>JATEAMENTO ABRASIVO COM GRANALHA DE AÇO EM PERFIL METÁLICO EM FÁBRICA. AF_01/2020</v>
      </c>
      <c r="D138" s="74" t="str">
        <f>PLANILHA!E161</f>
        <v>M2</v>
      </c>
      <c r="E138" s="882" t="s">
        <v>13875</v>
      </c>
      <c r="F138" s="898">
        <f>1.6*0.3</f>
        <v>0.48</v>
      </c>
    </row>
    <row r="139" spans="1:6" s="308" customFormat="1" outlineLevel="1">
      <c r="A139" s="962"/>
      <c r="B139" s="963"/>
      <c r="C139" s="963"/>
      <c r="D139" s="963"/>
      <c r="E139" s="963"/>
      <c r="F139" s="964"/>
    </row>
    <row r="140" spans="1:6" s="308" customFormat="1" outlineLevel="1">
      <c r="A140" s="965" t="str">
        <f>PLANILHA!A164</f>
        <v>5.5</v>
      </c>
      <c r="B140" s="871"/>
      <c r="C140" s="948" t="str">
        <f>PLANILHA!D164</f>
        <v>JANELAS E VIDROS FIXOS</v>
      </c>
      <c r="D140" s="74"/>
      <c r="E140" s="882"/>
      <c r="F140" s="949"/>
    </row>
    <row r="141" spans="1:6" s="308" customFormat="1" ht="28.5" outlineLevel="1">
      <c r="A141" s="896" t="str">
        <f>PLANILHA!A165</f>
        <v>5.5.1</v>
      </c>
      <c r="B141" s="74" t="str">
        <f>PLANILHA!C165</f>
        <v>SEPLAG  ARQ 76</v>
      </c>
      <c r="C141" s="922" t="str">
        <f>PLANILHA!D165</f>
        <v>J04- JANELA MAXIN AR 1,00 x 1,70 FORNECIMENTO E INSTALAÇÃO. FORNECIMENTO E INSTALAÇÃO.</v>
      </c>
      <c r="D141" s="74" t="str">
        <f>PLANILHA!E165</f>
        <v>und</v>
      </c>
      <c r="E141" s="966" t="s">
        <v>13832</v>
      </c>
      <c r="F141" s="898">
        <f>2</f>
        <v>2</v>
      </c>
    </row>
    <row r="142" spans="1:6" s="308" customFormat="1" ht="28.5" outlineLevel="1">
      <c r="A142" s="896" t="str">
        <f>PLANILHA!A166</f>
        <v>5.5.2</v>
      </c>
      <c r="B142" s="74" t="str">
        <f>PLANILHA!C166</f>
        <v>SEPLAG  ARQ 68</v>
      </c>
      <c r="C142" s="922" t="str">
        <f>PLANILHA!D166</f>
        <v>J02- JANELA MAXIN AR 12,60 x 1,70 (12 JANELAS DE 1,05). FORNECIMENTO E INSTALAÇÃO.</v>
      </c>
      <c r="D142" s="74" t="str">
        <f>PLANILHA!E166</f>
        <v>und</v>
      </c>
      <c r="E142" s="966" t="s">
        <v>13832</v>
      </c>
      <c r="F142" s="898">
        <f>1</f>
        <v>1</v>
      </c>
    </row>
    <row r="143" spans="1:6" s="308" customFormat="1" ht="28.5" outlineLevel="1">
      <c r="A143" s="896" t="str">
        <f>PLANILHA!A167</f>
        <v>5.5.3</v>
      </c>
      <c r="B143" s="74" t="str">
        <f>PLANILHA!C167</f>
        <v>SEPLAG  ARQ 153</v>
      </c>
      <c r="C143" s="922" t="str">
        <f>PLANILHA!D167</f>
        <v>J01 (E.G) - JANELA MAXIN AR 3,80 x 2,55 (3 JANELAS DE 1,20). FORNECIMENTO E INSTALAÇÃO.</v>
      </c>
      <c r="D143" s="74" t="str">
        <f>PLANILHA!E167</f>
        <v>und</v>
      </c>
      <c r="E143" s="966" t="s">
        <v>13832</v>
      </c>
      <c r="F143" s="898">
        <v>2</v>
      </c>
    </row>
    <row r="144" spans="1:6" s="308" customFormat="1" ht="28.5" outlineLevel="1">
      <c r="A144" s="896" t="str">
        <f>PLANILHA!A168</f>
        <v>5.5.4</v>
      </c>
      <c r="B144" s="74" t="str">
        <f>PLANILHA!C168</f>
        <v>SEPLAG  ARQ 154</v>
      </c>
      <c r="C144" s="922" t="str">
        <f>PLANILHA!D168</f>
        <v>J08 (E.G) - JANELA MAXIN AR 1,53 x 4,85 (1 JANELAS DE 3MODULOS 1,53). FORNECIMENTO E INSTALAÇÃO.</v>
      </c>
      <c r="D144" s="74" t="str">
        <f>PLANILHA!E168</f>
        <v>und</v>
      </c>
      <c r="E144" s="966" t="s">
        <v>13832</v>
      </c>
      <c r="F144" s="898">
        <v>1</v>
      </c>
    </row>
    <row r="145" spans="1:6" s="308" customFormat="1" ht="28.5" outlineLevel="1">
      <c r="A145" s="896" t="str">
        <f>PLANILHA!A169</f>
        <v>5.5.5</v>
      </c>
      <c r="B145" s="74">
        <f>PLANILHA!C169</f>
        <v>102168</v>
      </c>
      <c r="C145" s="922" t="str">
        <f>PLANILHA!D169</f>
        <v>INSTALAÇÃO DE VIDRO LISO INCOLOR, E = 8 MM, EM ESQUADRIA DE ALUMÍNIO OU PVC, FIXADO COM BAGUETE. AF_01/2021_P</v>
      </c>
      <c r="D145" s="74" t="str">
        <f>PLANILHA!E169</f>
        <v>M2</v>
      </c>
      <c r="E145" s="966" t="s">
        <v>14660</v>
      </c>
      <c r="F145" s="898">
        <f>1.2*1*2+1.8*2.15</f>
        <v>6.27</v>
      </c>
    </row>
    <row r="146" spans="1:6" s="308" customFormat="1" ht="28.5" outlineLevel="1">
      <c r="A146" s="950" t="str">
        <f>PLANILHA!A170</f>
        <v>5.5.6</v>
      </c>
      <c r="B146" s="925" t="str">
        <f>PLANILHA!C170</f>
        <v>SEPLAG ARQ 51</v>
      </c>
      <c r="C146" s="926" t="str">
        <f>PLANILHA!D170</f>
        <v>PELÍCULA DE SEGURANÇA PARA PAINES DE VIDRO, FONECIMENTO E INSTALAÇÃO.</v>
      </c>
      <c r="D146" s="925" t="str">
        <f>PLANILHA!E170</f>
        <v>m²</v>
      </c>
      <c r="E146" s="967" t="s">
        <v>14664</v>
      </c>
      <c r="F146" s="968">
        <f>17*2+12.6*1.7*1+3.8*2.55*2+1.53*4.85*1+1.2*1*2+1.8*2.15</f>
        <v>88.490500000000011</v>
      </c>
    </row>
    <row r="147" spans="1:6" s="308" customFormat="1" outlineLevel="1">
      <c r="A147" s="962"/>
      <c r="B147" s="963"/>
      <c r="C147" s="963"/>
      <c r="D147" s="963"/>
      <c r="E147" s="963"/>
      <c r="F147" s="964"/>
    </row>
    <row r="148" spans="1:6" s="308" customFormat="1">
      <c r="A148" s="969" t="str">
        <f>PLANILHA!A174</f>
        <v>6.0</v>
      </c>
      <c r="B148" s="970"/>
      <c r="C148" s="971" t="str">
        <f>PLANILHA!D174</f>
        <v>PREVENÇÃO E COMBATE A INCÊNDIO</v>
      </c>
      <c r="D148" s="970"/>
      <c r="E148" s="972"/>
      <c r="F148" s="973"/>
    </row>
    <row r="149" spans="1:6" s="642" customFormat="1" outlineLevel="1">
      <c r="A149" s="974" t="str">
        <f>PLANILHA!A175</f>
        <v>6.1</v>
      </c>
      <c r="B149" s="845"/>
      <c r="C149" s="975" t="str">
        <f>PLANILHA!D175</f>
        <v>ELETROBOMBA E ACESSÓRIOS</v>
      </c>
      <c r="D149" s="845"/>
      <c r="E149" s="976"/>
      <c r="F149" s="977"/>
    </row>
    <row r="150" spans="1:6" s="642" customFormat="1" ht="42.75" outlineLevel="1">
      <c r="A150" s="978" t="str">
        <f>PLANILHA!A176</f>
        <v>6.1.1</v>
      </c>
      <c r="B150" s="78" t="str">
        <f>PLANILHA!C176</f>
        <v>SEPLAG INC 01</v>
      </c>
      <c r="C150" s="979" t="str">
        <f>PLANILHA!D176</f>
        <v>ELETROBOMBA MOTOR DE 3,0 CV, 220V, TRIFÁSICO COM CAPACIDADE DE VAZÃO DE 2501/MIN. A 18 MCA DE PRESSÃO.  FORNECIMENTO E INSTALAÇÃO.</v>
      </c>
      <c r="D150" s="78" t="str">
        <f>PLANILHA!E176</f>
        <v>UND</v>
      </c>
      <c r="E150" s="899" t="s">
        <v>13832</v>
      </c>
      <c r="F150" s="980">
        <f>1</f>
        <v>1</v>
      </c>
    </row>
    <row r="151" spans="1:6" s="893" customFormat="1" ht="28.5" outlineLevel="1">
      <c r="A151" s="978" t="str">
        <f>PLANILHA!A177</f>
        <v>6.1.2</v>
      </c>
      <c r="B151" s="78" t="str">
        <f>PLANILHA!C177</f>
        <v>SEPLAG INC 02</v>
      </c>
      <c r="C151" s="979" t="str">
        <f>PLANILHA!D177</f>
        <v>SIRENE PARA ALARME DE BOMBA EM FUNCIONAMENTO, 220V.  FORNECIMENTO E INSTALAÇÃO.</v>
      </c>
      <c r="D151" s="78" t="str">
        <f>PLANILHA!E177</f>
        <v>UND</v>
      </c>
      <c r="E151" s="899" t="s">
        <v>13832</v>
      </c>
      <c r="F151" s="981">
        <f>3</f>
        <v>3</v>
      </c>
    </row>
    <row r="152" spans="1:6" s="308" customFormat="1" ht="28.5" outlineLevel="1">
      <c r="A152" s="978" t="str">
        <f>PLANILHA!A178</f>
        <v>6.1.3</v>
      </c>
      <c r="B152" s="78" t="str">
        <f>PLANILHA!C178</f>
        <v>SEPLAG INC 03</v>
      </c>
      <c r="C152" s="979" t="str">
        <f>PLANILHA!D178</f>
        <v>ACIONADOR MANUAL (BOTOEIRA) TIPO QUEBRA-VIDRO, P/INCENDIO.  FORNECIMENTO E INSTALAÇÃO.</v>
      </c>
      <c r="D152" s="78" t="str">
        <f>PLANILHA!E178</f>
        <v>UND</v>
      </c>
      <c r="E152" s="899" t="s">
        <v>13832</v>
      </c>
      <c r="F152" s="982">
        <f>3</f>
        <v>3</v>
      </c>
    </row>
    <row r="153" spans="1:6" s="308" customFormat="1" ht="28.5" outlineLevel="1">
      <c r="A153" s="983" t="str">
        <f>PLANILHA!A179</f>
        <v>6.1.4</v>
      </c>
      <c r="B153" s="984" t="str">
        <f>PLANILHA!C179</f>
        <v>SEPLAG INC 04</v>
      </c>
      <c r="C153" s="985" t="str">
        <f>PLANILHA!D179</f>
        <v>BOTOEIRA LIGA-DESLIGA PARA BOMBA DE INCÊNDIO MODELO BLD-1, MARCA VERIN OU SIMILAR.  FORNECIMENTO E INSTALAÇÃO.</v>
      </c>
      <c r="D153" s="984" t="str">
        <f>PLANILHA!E179</f>
        <v>UND</v>
      </c>
      <c r="E153" s="986" t="s">
        <v>13832</v>
      </c>
      <c r="F153" s="987">
        <f>3</f>
        <v>3</v>
      </c>
    </row>
    <row r="154" spans="1:6" s="308" customFormat="1" ht="28.5" outlineLevel="1">
      <c r="A154" s="983" t="str">
        <f>PLANILHA!A180</f>
        <v>6.1.5</v>
      </c>
      <c r="B154" s="984" t="str">
        <f>PLANILHA!C180</f>
        <v>SEPLAG INC 50</v>
      </c>
      <c r="C154" s="985" t="str">
        <f>PLANILHA!D180</f>
        <v>DETECTOR DE INCÊNDIO</v>
      </c>
      <c r="D154" s="984" t="str">
        <f>PLANILHA!E180</f>
        <v>UND</v>
      </c>
      <c r="E154" s="986" t="s">
        <v>13832</v>
      </c>
      <c r="F154" s="987">
        <f>10</f>
        <v>10</v>
      </c>
    </row>
    <row r="155" spans="1:6" s="308" customFormat="1" ht="28.5" outlineLevel="1">
      <c r="A155" s="983" t="str">
        <f>PLANILHA!A181</f>
        <v>6.1.6</v>
      </c>
      <c r="B155" s="984" t="str">
        <f>PLANILHA!C181</f>
        <v>SEPLAG INC 51</v>
      </c>
      <c r="C155" s="985" t="str">
        <f>PLANILHA!D181</f>
        <v>DETECTOR DE FUMAÇA</v>
      </c>
      <c r="D155" s="984" t="str">
        <f>PLANILHA!E181</f>
        <v>UND</v>
      </c>
      <c r="E155" s="986" t="s">
        <v>13832</v>
      </c>
      <c r="F155" s="987">
        <f>4</f>
        <v>4</v>
      </c>
    </row>
    <row r="156" spans="1:6" s="308" customFormat="1" outlineLevel="1">
      <c r="A156" s="988"/>
      <c r="B156" s="989"/>
      <c r="C156" s="990"/>
      <c r="D156" s="989"/>
      <c r="E156" s="991"/>
      <c r="F156" s="992"/>
    </row>
    <row r="157" spans="1:6" s="308" customFormat="1" outlineLevel="1">
      <c r="A157" s="993" t="str">
        <f>PLANILHA!A184</f>
        <v>6.2</v>
      </c>
      <c r="B157" s="994"/>
      <c r="C157" s="995" t="str">
        <f>PLANILHA!D184</f>
        <v>ABRIGO, HIDRANTE, MANGUEIRA E EXTINTOR</v>
      </c>
      <c r="D157" s="994"/>
      <c r="E157" s="996"/>
      <c r="F157" s="997"/>
    </row>
    <row r="158" spans="1:6" s="308" customFormat="1" ht="57" outlineLevel="1">
      <c r="A158" s="998" t="str">
        <f>PLANILHA!A185</f>
        <v>6.2.1</v>
      </c>
      <c r="B158" s="74" t="str">
        <f>PLANILHA!C185</f>
        <v>SEPLAG INC 05</v>
      </c>
      <c r="C158" s="711" t="str">
        <f>PLANILHA!D185</f>
        <v>ABRIGO EM CHAPA TIPO EXTERNO 1 PORTA DE AÇO CARBONO, COMPLETO, VIDRO TRANSPARENTE, COM A INSCRIÇÃO "INCÊNDIO", SUPORTE BASCULANTE PARA MANGUEIRA PINTADO DE VERMELHO NAS DIMENSÕES 90 X 60 X 17 CM.  FORNECIMENTO E INSTALAÇÃO.</v>
      </c>
      <c r="D158" s="76" t="str">
        <f>PLANILHA!E185</f>
        <v>UND</v>
      </c>
      <c r="E158" s="899" t="s">
        <v>13832</v>
      </c>
      <c r="F158" s="883">
        <v>4</v>
      </c>
    </row>
    <row r="159" spans="1:6" s="308" customFormat="1" ht="28.5" outlineLevel="1">
      <c r="A159" s="998" t="str">
        <f>PLANILHA!A186</f>
        <v>6.2.2</v>
      </c>
      <c r="B159" s="74" t="str">
        <f>PLANILHA!C186</f>
        <v>SEPLAG INC 46</v>
      </c>
      <c r="C159" s="711" t="str">
        <f>PLANILHA!D186</f>
        <v>MANGUEIRA DE INCENDIO, TIPO 2, DE 2 1/2", COMPRIMENTO = 30 M, FORNECIMENTO E INSTALAÇÃO</v>
      </c>
      <c r="D159" s="76" t="str">
        <f>PLANILHA!E186</f>
        <v>UND</v>
      </c>
      <c r="E159" s="899" t="s">
        <v>13832</v>
      </c>
      <c r="F159" s="883">
        <v>1</v>
      </c>
    </row>
    <row r="160" spans="1:6" s="308" customFormat="1" ht="28.5" outlineLevel="1">
      <c r="A160" s="998" t="str">
        <f>PLANILHA!A187</f>
        <v>6.2.3</v>
      </c>
      <c r="B160" s="74" t="str">
        <f>PLANILHA!C187</f>
        <v>SEPLAG INC 47</v>
      </c>
      <c r="C160" s="711" t="str">
        <f>PLANILHA!D187</f>
        <v>MANGUEIRA DE INCENDIO, TIPO 1, DE 1 1/2", COMPRIMENTO = 30 M, FORNECIMENTO E INSTALAÇÃO</v>
      </c>
      <c r="D160" s="76" t="str">
        <f>PLANILHA!E187</f>
        <v>UND</v>
      </c>
      <c r="E160" s="899" t="s">
        <v>13832</v>
      </c>
      <c r="F160" s="883">
        <v>3</v>
      </c>
    </row>
    <row r="161" spans="1:6" s="308" customFormat="1" ht="42.75" outlineLevel="1">
      <c r="A161" s="998" t="str">
        <f>PLANILHA!A188</f>
        <v>6.2.4</v>
      </c>
      <c r="B161" s="74" t="str">
        <f>PLANILHA!C188</f>
        <v>SEPLAG INC 06</v>
      </c>
      <c r="C161" s="711" t="str">
        <f>PLANILHA!D188</f>
        <v>ADAPTADOR EM LATAO P/ INSTALACAO PREDIAL DE COMBATE A INCENDIO ENGATE RAPIDO 1 1/2" X ROSCA INTERNA 5 FIOS 2 1/2" .  FORNECIMENTO E INSTALAÇÃO.</v>
      </c>
      <c r="D161" s="76" t="str">
        <f>PLANILHA!E188</f>
        <v>UND</v>
      </c>
      <c r="E161" s="899" t="s">
        <v>13832</v>
      </c>
      <c r="F161" s="883">
        <v>4</v>
      </c>
    </row>
    <row r="162" spans="1:6" s="308" customFormat="1" ht="28.5" outlineLevel="1">
      <c r="A162" s="998" t="str">
        <f>PLANILHA!A189</f>
        <v>6.2.5</v>
      </c>
      <c r="B162" s="74" t="str">
        <f>PLANILHA!C189</f>
        <v>SEPLAG INC 07</v>
      </c>
      <c r="C162" s="711" t="str">
        <f>PLANILHA!D189</f>
        <v>CHAVE PARA CONEXÕES DE ENGATE RÁPIDO,
(STORZ), 63 x 38 MM.  FORNECIMENTO E INSTALAÇÃO.</v>
      </c>
      <c r="D162" s="76" t="str">
        <f>PLANILHA!E189</f>
        <v>UND</v>
      </c>
      <c r="E162" s="899" t="s">
        <v>13832</v>
      </c>
      <c r="F162" s="883">
        <v>3</v>
      </c>
    </row>
    <row r="163" spans="1:6" s="308" customFormat="1" ht="28.5" outlineLevel="1">
      <c r="A163" s="998" t="str">
        <f>PLANILHA!A190</f>
        <v>6.2.6</v>
      </c>
      <c r="B163" s="74" t="str">
        <f>PLANILHA!C190</f>
        <v>SEPLAG INC 08</v>
      </c>
      <c r="C163" s="711" t="str">
        <f>PLANILHA!D190</f>
        <v>ESGUICHO TIPO AGULHETA, JUNTA DE UNIÃO ENGATE RÁPIDO 2.1/2.  FORNECIMENTO E INSTALAÇÃO.</v>
      </c>
      <c r="D163" s="76" t="str">
        <f>PLANILHA!E190</f>
        <v>UND</v>
      </c>
      <c r="E163" s="899" t="s">
        <v>13832</v>
      </c>
      <c r="F163" s="883">
        <v>1</v>
      </c>
    </row>
    <row r="164" spans="1:6" s="308" customFormat="1" ht="28.5" outlineLevel="1">
      <c r="A164" s="998" t="str">
        <f>PLANILHA!A191</f>
        <v>6.2.7</v>
      </c>
      <c r="B164" s="74" t="str">
        <f>PLANILHA!C191</f>
        <v>SEPLAG INC 48</v>
      </c>
      <c r="C164" s="711" t="str">
        <f>PLANILHA!D191</f>
        <v>ESGUICHO TIPO AGULHETA, JUNTA DE UNIÃO ENGATE RÁPIDO 1.1/2.  FORNECIMENTO E INSTALAÇÃO.</v>
      </c>
      <c r="D164" s="76" t="str">
        <f>PLANILHA!E191</f>
        <v>UND</v>
      </c>
      <c r="E164" s="899" t="s">
        <v>13832</v>
      </c>
      <c r="F164" s="883">
        <v>3</v>
      </c>
    </row>
    <row r="165" spans="1:6" s="893" customFormat="1" ht="28.5" outlineLevel="1">
      <c r="A165" s="998" t="str">
        <f>PLANILHA!A192</f>
        <v>6.2.8</v>
      </c>
      <c r="B165" s="74">
        <f>PLANILHA!C192</f>
        <v>101906</v>
      </c>
      <c r="C165" s="711" t="str">
        <f>PLANILHA!D192</f>
        <v>EXTINTOR DE INCÊNDIO PORTÁTIL COM CARGA DE CO2 DE 4 KG, CLASSE BC - FORNECIMENTO E INSTALAÇÃO. AF_10/2020_P</v>
      </c>
      <c r="D165" s="76" t="str">
        <f>PLANILHA!E192</f>
        <v>UN</v>
      </c>
      <c r="E165" s="899" t="s">
        <v>13832</v>
      </c>
      <c r="F165" s="883">
        <f>5</f>
        <v>5</v>
      </c>
    </row>
    <row r="166" spans="1:6" s="642" customFormat="1" ht="28.5" outlineLevel="1">
      <c r="A166" s="998" t="str">
        <f>PLANILHA!A193</f>
        <v>6.2.9</v>
      </c>
      <c r="B166" s="74">
        <f>PLANILHA!C193</f>
        <v>101908</v>
      </c>
      <c r="C166" s="711" t="str">
        <f>PLANILHA!D193</f>
        <v>EXTINTOR DE INCÊNDIO PORTÁTIL COM CARGA DE PQS DE 4 KG, CLASSE BC - FORNECIMENTO E INSTALAÇÃO. AF_10/2020_P</v>
      </c>
      <c r="D166" s="76" t="str">
        <f>PLANILHA!E193</f>
        <v>UN</v>
      </c>
      <c r="E166" s="899" t="s">
        <v>13832</v>
      </c>
      <c r="F166" s="883">
        <f>3</f>
        <v>3</v>
      </c>
    </row>
    <row r="167" spans="1:6" s="642" customFormat="1" ht="42.75" outlineLevel="1">
      <c r="A167" s="998" t="str">
        <f>PLANILHA!A194</f>
        <v>6.2.10</v>
      </c>
      <c r="B167" s="74">
        <f>PLANILHA!C194</f>
        <v>101905</v>
      </c>
      <c r="C167" s="711" t="str">
        <f>PLANILHA!D194</f>
        <v>EXTINTOR DE INCÊNDIO PORTÁTIL COM CARGA DE ÁGUA PRESSURIZADA DE 10 L, CLASSE A - FORNECIMENTO E INSTALAÇÃO. AF_10/2020_P</v>
      </c>
      <c r="D167" s="76" t="str">
        <f>PLANILHA!E194</f>
        <v>UN</v>
      </c>
      <c r="E167" s="899" t="s">
        <v>13832</v>
      </c>
      <c r="F167" s="883">
        <f>5</f>
        <v>5</v>
      </c>
    </row>
    <row r="168" spans="1:6" s="642" customFormat="1" ht="28.5" outlineLevel="1">
      <c r="A168" s="999" t="str">
        <f>PLANILHA!A195</f>
        <v>6.2.11</v>
      </c>
      <c r="B168" s="925" t="str">
        <f>PLANILHA!C195</f>
        <v>SEPLAG INC 09</v>
      </c>
      <c r="C168" s="1000" t="str">
        <f>PLANILHA!D195</f>
        <v>HIDRANTE DE RECALQUE COMPLETO EM CAIXA DE ALVENARIA.  FORNECIMENTO E INSTALAÇÃO.</v>
      </c>
      <c r="D168" s="811" t="str">
        <f>PLANILHA!E195</f>
        <v>UND</v>
      </c>
      <c r="E168" s="986" t="s">
        <v>13832</v>
      </c>
      <c r="F168" s="918">
        <f>1</f>
        <v>1</v>
      </c>
    </row>
    <row r="169" spans="1:6" s="308" customFormat="1" outlineLevel="1">
      <c r="A169" s="868"/>
      <c r="B169" s="786"/>
      <c r="C169" s="786"/>
      <c r="D169" s="786"/>
      <c r="E169" s="786"/>
      <c r="F169" s="869"/>
    </row>
    <row r="170" spans="1:6" s="893" customFormat="1" outlineLevel="1">
      <c r="A170" s="993" t="str">
        <f>PLANILHA!A198</f>
        <v>6.3</v>
      </c>
      <c r="B170" s="994"/>
      <c r="C170" s="995" t="str">
        <f>PLANILHA!D198</f>
        <v>TUBOS</v>
      </c>
      <c r="D170" s="994"/>
      <c r="E170" s="996"/>
      <c r="F170" s="997"/>
    </row>
    <row r="171" spans="1:6" s="308" customFormat="1" ht="28.5" outlineLevel="1">
      <c r="A171" s="913" t="str">
        <f>PLANILHA!A199</f>
        <v>6.3.1</v>
      </c>
      <c r="B171" s="74">
        <f>PLANILHA!C199</f>
        <v>21014</v>
      </c>
      <c r="C171" s="711" t="str">
        <f>PLANILHA!D199</f>
        <v>TUBO ACO GALVANIZADO COM COSTURA, CLASSE LEVE, DN 65 MM ( 2 1/2"),  E = 3,35 MM, * 6,23* KG/M (NBR 5580)</v>
      </c>
      <c r="D171" s="76" t="str">
        <f>PLANILHA!E199</f>
        <v xml:space="preserve">M     </v>
      </c>
      <c r="E171" s="899" t="s">
        <v>13832</v>
      </c>
      <c r="F171" s="900">
        <v>79.5</v>
      </c>
    </row>
    <row r="172" spans="1:6" s="308" customFormat="1" ht="42.75" outlineLevel="1">
      <c r="A172" s="913" t="str">
        <f>PLANILHA!A200</f>
        <v>6.3.2</v>
      </c>
      <c r="B172" s="74">
        <f>PLANILHA!C200</f>
        <v>92390</v>
      </c>
      <c r="C172" s="711" t="str">
        <f>PLANILHA!D200</f>
        <v>JOELHO 90 GRAUS, EM FERRO GALVANIZADO, DN 65 (2 1/2"), CONEXÃO ROSQUEADA, INSTALADO EM REDE DE ALIMENTAÇÃO PARA HIDRANTE - FORNECIMENTO E INSTALAÇÃO. AF_10/2020</v>
      </c>
      <c r="D172" s="76" t="str">
        <f>PLANILHA!E200</f>
        <v>UN</v>
      </c>
      <c r="E172" s="899" t="s">
        <v>13832</v>
      </c>
      <c r="F172" s="883">
        <v>25</v>
      </c>
    </row>
    <row r="173" spans="1:6" s="308" customFormat="1" ht="28.5" outlineLevel="1">
      <c r="A173" s="913" t="str">
        <f>PLANILHA!A201</f>
        <v>6.3.3</v>
      </c>
      <c r="B173" s="74">
        <f>PLANILHA!C201</f>
        <v>92357</v>
      </c>
      <c r="C173" s="711" t="str">
        <f>PLANILHA!D201</f>
        <v>TÊ, EM FERRO GALVANIZADO, DN 65 (2 1/2"), CONEXÃO ROSQUEADA, INSTALADO EM PRUMADAS - FORNECIMENTO E INSTALAÇÃO. AF_10/2020</v>
      </c>
      <c r="D173" s="76" t="str">
        <f>PLANILHA!E201</f>
        <v>UN</v>
      </c>
      <c r="E173" s="899" t="s">
        <v>13832</v>
      </c>
      <c r="F173" s="883">
        <v>3</v>
      </c>
    </row>
    <row r="174" spans="1:6" s="308" customFormat="1" ht="28.5" outlineLevel="1">
      <c r="A174" s="913" t="str">
        <f>PLANILHA!A202</f>
        <v>6.3.4</v>
      </c>
      <c r="B174" s="74">
        <f>PLANILHA!C202</f>
        <v>92346</v>
      </c>
      <c r="C174" s="711" t="str">
        <f>PLANILHA!D202</f>
        <v>NIPLE, EM FERRO GALVANIZADO, DN 65 (2 1/2"), CONEXÃO ROSQUEADA, INSTALADO EM PRUMADAS - FORNECIMENTO E INSTALAÇÃO. AF_10/2020</v>
      </c>
      <c r="D174" s="76" t="str">
        <f>PLANILHA!E202</f>
        <v>UN</v>
      </c>
      <c r="E174" s="899" t="s">
        <v>13832</v>
      </c>
      <c r="F174" s="898">
        <v>10</v>
      </c>
    </row>
    <row r="175" spans="1:6" s="308" customFormat="1" ht="28.5" outlineLevel="1">
      <c r="A175" s="913" t="str">
        <f>PLANILHA!A203</f>
        <v>6.3.5</v>
      </c>
      <c r="B175" s="74">
        <f>PLANILHA!C203</f>
        <v>92890</v>
      </c>
      <c r="C175" s="711" t="str">
        <f>PLANILHA!D203</f>
        <v>UNIÃO, EM FERRO GALVANIZADO, DN 65 (2 1/2"), CONEXÃO ROSQUEADA, INSTALADO EM PRUMADAS - FORNECIMENTO E INSTALAÇÃO. AF_10/2020</v>
      </c>
      <c r="D175" s="76" t="str">
        <f>PLANILHA!E203</f>
        <v>UN</v>
      </c>
      <c r="E175" s="899" t="s">
        <v>13832</v>
      </c>
      <c r="F175" s="883">
        <v>5</v>
      </c>
    </row>
    <row r="176" spans="1:6" s="308" customFormat="1" ht="28.5" outlineLevel="1">
      <c r="A176" s="913" t="str">
        <f>PLANILHA!A204</f>
        <v>6.3.6</v>
      </c>
      <c r="B176" s="74">
        <f>PLANILHA!C204</f>
        <v>99624</v>
      </c>
      <c r="C176" s="711" t="str">
        <f>PLANILHA!D204</f>
        <v>VÁLVULA DE RETENÇÃO HORIZONTAL, DE BRONZE, ROSCÁVEL, 2 1/2" - FORNECIMENTO E INSTALAÇÃO. AF_08/2021</v>
      </c>
      <c r="D176" s="76" t="str">
        <f>PLANILHA!E204</f>
        <v>UN</v>
      </c>
      <c r="E176" s="899" t="s">
        <v>13832</v>
      </c>
      <c r="F176" s="883">
        <v>1</v>
      </c>
    </row>
    <row r="177" spans="1:6" s="1001" customFormat="1" ht="28.5" outlineLevel="1">
      <c r="A177" s="913" t="str">
        <f>PLANILHA!A205</f>
        <v>6.3.7</v>
      </c>
      <c r="B177" s="74" t="str">
        <f>PLANILHA!C205</f>
        <v>SEPLAG INC 11</v>
      </c>
      <c r="C177" s="711" t="str">
        <f>PLANILHA!D205</f>
        <v>VALVULA DE SUCÇÃO 2.1/2", FORNECIMENTO E INSTALAÇÃO</v>
      </c>
      <c r="D177" s="76" t="str">
        <f>PLANILHA!E205</f>
        <v>UND</v>
      </c>
      <c r="E177" s="899" t="s">
        <v>13832</v>
      </c>
      <c r="F177" s="883">
        <v>1</v>
      </c>
    </row>
    <row r="178" spans="1:6" s="308" customFormat="1" ht="28.5" outlineLevel="1">
      <c r="A178" s="913" t="str">
        <f>PLANILHA!A206</f>
        <v>6.3.8</v>
      </c>
      <c r="B178" s="74">
        <f>PLANILHA!C206</f>
        <v>94499</v>
      </c>
      <c r="C178" s="711" t="str">
        <f>PLANILHA!D206</f>
        <v>REGISTRO DE GAVETA BRUTO, LATÃO, ROSCÁVEL, 2 1/2" - FORNECIMENTO E INSTALAÇÃO. AF_08/2021</v>
      </c>
      <c r="D178" s="76" t="str">
        <f>PLANILHA!E206</f>
        <v>UN</v>
      </c>
      <c r="E178" s="899" t="s">
        <v>13832</v>
      </c>
      <c r="F178" s="883">
        <v>3</v>
      </c>
    </row>
    <row r="179" spans="1:6" s="308" customFormat="1" ht="28.5" outlineLevel="1">
      <c r="A179" s="913" t="str">
        <f>PLANILHA!A207</f>
        <v>6.3.9</v>
      </c>
      <c r="B179" s="74" t="str">
        <f>PLANILHA!C207</f>
        <v>SEPLAG INC 12</v>
      </c>
      <c r="C179" s="711" t="str">
        <f>PLANILHA!D207</f>
        <v>REGISTRO DE GAVETA 2.1/2" COM HASTE ASCENDENTE DE BRONZE, FORNECIMENTO E INSTALAÇÃO</v>
      </c>
      <c r="D179" s="76" t="str">
        <f>PLANILHA!E207</f>
        <v>UND</v>
      </c>
      <c r="E179" s="899" t="s">
        <v>13832</v>
      </c>
      <c r="F179" s="883">
        <v>1</v>
      </c>
    </row>
    <row r="180" spans="1:6" s="308" customFormat="1" ht="28.5" outlineLevel="1">
      <c r="A180" s="913" t="str">
        <f>PLANILHA!A208</f>
        <v>6.3.10</v>
      </c>
      <c r="B180" s="74" t="str">
        <f>PLANILHA!C208</f>
        <v>SEPLAG INC 39</v>
      </c>
      <c r="C180" s="711" t="str">
        <f>PLANILHA!D208</f>
        <v>PINTURA ESMALTE EM TUBO GALVANIZADO, DUAS (2) DEMÃOS, INCLUSIVE UMA (1) DEMÃO DE FUNDO ANTICORROSIVO</v>
      </c>
      <c r="D180" s="76" t="str">
        <f>PLANILHA!E208</f>
        <v>M</v>
      </c>
      <c r="E180" s="899" t="s">
        <v>13933</v>
      </c>
      <c r="F180" s="898">
        <f>0.2*F171</f>
        <v>15.9</v>
      </c>
    </row>
    <row r="181" spans="1:6" s="893" customFormat="1" ht="28.5" outlineLevel="1">
      <c r="A181" s="913" t="str">
        <f>PLANILHA!A209</f>
        <v>6.3.11</v>
      </c>
      <c r="B181" s="74" t="str">
        <f>PLANILHA!C209</f>
        <v>SEPLAG INC 42</v>
      </c>
      <c r="C181" s="711" t="str">
        <f>PLANILHA!D209</f>
        <v>REGISTRO OU VALVULA GLOBO ANGULAR EM LATAO, PARA HIDRANTES, FORNECIMENTO E INSTALAÇÃO</v>
      </c>
      <c r="D181" s="76" t="str">
        <f>PLANILHA!E209</f>
        <v>UND</v>
      </c>
      <c r="E181" s="899" t="s">
        <v>13832</v>
      </c>
      <c r="F181" s="898">
        <v>4</v>
      </c>
    </row>
    <row r="182" spans="1:6" s="893" customFormat="1" ht="28.5" outlineLevel="1">
      <c r="A182" s="913" t="str">
        <f>PLANILHA!A210</f>
        <v>6.3.12</v>
      </c>
      <c r="B182" s="74" t="str">
        <f>PLANILHA!C210</f>
        <v>SEPLAG INC 43</v>
      </c>
      <c r="C182" s="711" t="str">
        <f>PLANILHA!D210</f>
        <v>TAMPAO COM CORRENTE, EM LATAO, ENGATE RAPIDO 1 1/2", FORNECIMENTO E INSTALAÇÃO</v>
      </c>
      <c r="D182" s="76" t="str">
        <f>PLANILHA!E210</f>
        <v>UND</v>
      </c>
      <c r="E182" s="899" t="s">
        <v>13832</v>
      </c>
      <c r="F182" s="898">
        <v>3</v>
      </c>
    </row>
    <row r="183" spans="1:6" s="893" customFormat="1" ht="28.5" outlineLevel="1">
      <c r="A183" s="913" t="str">
        <f>PLANILHA!A211</f>
        <v>6.3.13</v>
      </c>
      <c r="B183" s="74" t="str">
        <f>PLANILHA!C211</f>
        <v>SEPLAG INC 49</v>
      </c>
      <c r="C183" s="711" t="str">
        <f>PLANILHA!D211</f>
        <v>REDUÇÃO GIRATORIA TIPO STORZ - BRONZE OU LATÃO.  FORNECIMENTO E INSTALAÇÃO.</v>
      </c>
      <c r="D183" s="76" t="str">
        <f>PLANILHA!E211</f>
        <v>UND</v>
      </c>
      <c r="E183" s="899" t="s">
        <v>13832</v>
      </c>
      <c r="F183" s="898">
        <v>3</v>
      </c>
    </row>
    <row r="184" spans="1:6" s="893" customFormat="1" ht="28.5" outlineLevel="1">
      <c r="A184" s="915" t="str">
        <f>PLANILHA!A212</f>
        <v>6.3.14</v>
      </c>
      <c r="B184" s="925" t="str">
        <f>PLANILHA!C212</f>
        <v>SEPLAG INC 44</v>
      </c>
      <c r="C184" s="1000" t="str">
        <f>PLANILHA!D212</f>
        <v>TAMPAO COM CORRENTE, EM LATAO, ENGATE RAPIDO 2 1/2", FORNECIMENTO E INSTALAÇÃO</v>
      </c>
      <c r="D184" s="811" t="str">
        <f>PLANILHA!E212</f>
        <v>UND</v>
      </c>
      <c r="E184" s="986" t="s">
        <v>13832</v>
      </c>
      <c r="F184" s="939">
        <v>1</v>
      </c>
    </row>
    <row r="185" spans="1:6" s="642" customFormat="1" outlineLevel="1">
      <c r="A185" s="868"/>
      <c r="B185" s="786"/>
      <c r="C185" s="786"/>
      <c r="D185" s="786"/>
      <c r="E185" s="786"/>
      <c r="F185" s="869"/>
    </row>
    <row r="186" spans="1:6" s="308" customFormat="1" outlineLevel="1">
      <c r="A186" s="1002" t="str">
        <f>PLANILHA!A215</f>
        <v>6.4</v>
      </c>
      <c r="B186" s="994"/>
      <c r="C186" s="995" t="str">
        <f>PLANILHA!D215</f>
        <v>ILUMINAÇÃO SINALIZAÇÃO</v>
      </c>
      <c r="D186" s="994"/>
      <c r="E186" s="996"/>
      <c r="F186" s="997"/>
    </row>
    <row r="187" spans="1:6" s="308" customFormat="1" ht="28.5" outlineLevel="1">
      <c r="A187" s="913" t="str">
        <f>PLANILHA!A216</f>
        <v>6.4.1</v>
      </c>
      <c r="B187" s="78" t="str">
        <f>PLANILHA!C216</f>
        <v>SEPLAG INC 13</v>
      </c>
      <c r="C187" s="979" t="str">
        <f>PLANILHA!D216</f>
        <v>PLACA FOTOLUMINESCENTE "E1" - (ALARME SONORO).  FORNECIMENTO E INSTALAÇÃO.</v>
      </c>
      <c r="D187" s="75" t="str">
        <f>PLANILHA!E216</f>
        <v>UND</v>
      </c>
      <c r="E187" s="1003" t="s">
        <v>107</v>
      </c>
      <c r="F187" s="981">
        <f>1</f>
        <v>1</v>
      </c>
    </row>
    <row r="188" spans="1:6" s="308" customFormat="1" ht="28.5" outlineLevel="1">
      <c r="A188" s="913" t="str">
        <f>PLANILHA!A217</f>
        <v>6.4.2</v>
      </c>
      <c r="B188" s="78" t="str">
        <f>PLANILHA!C217</f>
        <v>SEPLAG INC 14</v>
      </c>
      <c r="C188" s="979" t="str">
        <f>PLANILHA!D217</f>
        <v>PLACA FOTOLUMINESCENTE "E2" - (ALARME INCÊNDIO).  FORNECIMENTO E INSTALAÇÃO.</v>
      </c>
      <c r="D188" s="75" t="str">
        <f>PLANILHA!E217</f>
        <v>UND</v>
      </c>
      <c r="E188" s="1003" t="s">
        <v>13919</v>
      </c>
      <c r="F188" s="981">
        <f>3</f>
        <v>3</v>
      </c>
    </row>
    <row r="189" spans="1:6" s="308" customFormat="1" ht="28.5" outlineLevel="1">
      <c r="A189" s="913" t="str">
        <f>PLANILHA!A218</f>
        <v>6.4.3</v>
      </c>
      <c r="B189" s="78" t="str">
        <f>PLANILHA!C218</f>
        <v>SEPLAG INC 15</v>
      </c>
      <c r="C189" s="979" t="str">
        <f>PLANILHA!D218</f>
        <v>PLACA FOTOLUMINESCENTE "E3" - (BOMBA DE INCÊNDIO).  FORNECIMENTO E INSTALAÇÃO.</v>
      </c>
      <c r="D189" s="75" t="str">
        <f>PLANILHA!E218</f>
        <v>UND</v>
      </c>
      <c r="E189" s="1003" t="s">
        <v>13919</v>
      </c>
      <c r="F189" s="981">
        <f>3</f>
        <v>3</v>
      </c>
    </row>
    <row r="190" spans="1:6" s="893" customFormat="1" ht="28.5" outlineLevel="1">
      <c r="A190" s="913" t="str">
        <f>PLANILHA!A219</f>
        <v>6.4.4</v>
      </c>
      <c r="B190" s="78" t="str">
        <f>PLANILHA!C219</f>
        <v>SEPLAG INC 17</v>
      </c>
      <c r="C190" s="979" t="str">
        <f>PLANILHA!D219</f>
        <v>PLACA FOTOLUMINESCENTE "E8"- ABRIGO DE MANGUEIRA E HIDRANTE- 300 X 300.  FORNECIMENTO E INSTALAÇÃO.</v>
      </c>
      <c r="D190" s="75" t="str">
        <f>PLANILHA!E219</f>
        <v>UND</v>
      </c>
      <c r="E190" s="1003" t="s">
        <v>13919</v>
      </c>
      <c r="F190" s="981">
        <f>3</f>
        <v>3</v>
      </c>
    </row>
    <row r="191" spans="1:6" s="308" customFormat="1" ht="28.5" outlineLevel="1">
      <c r="A191" s="913" t="str">
        <f>PLANILHA!A220</f>
        <v>6.4.5</v>
      </c>
      <c r="B191" s="78" t="str">
        <f>PLANILHA!C220</f>
        <v>SEPLAG INC 22</v>
      </c>
      <c r="C191" s="979" t="str">
        <f>PLANILHA!D220</f>
        <v>PLACA FOTOLUMINESCENTE "S1" OU "S2"- 380 X 190 MM (SAÍDA - DIREITA).  FORNECIMENTO E INSTALAÇÃO.</v>
      </c>
      <c r="D191" s="75" t="str">
        <f>PLANILHA!E220</f>
        <v>UND</v>
      </c>
      <c r="E191" s="1003" t="s">
        <v>107</v>
      </c>
      <c r="F191" s="982">
        <f>1</f>
        <v>1</v>
      </c>
    </row>
    <row r="192" spans="1:6" s="308" customFormat="1" ht="28.5" outlineLevel="1">
      <c r="A192" s="913" t="str">
        <f>PLANILHA!A221</f>
        <v>6.4.6</v>
      </c>
      <c r="B192" s="78" t="str">
        <f>PLANILHA!C221</f>
        <v>SEPLAG INC 23</v>
      </c>
      <c r="C192" s="979" t="str">
        <f>PLANILHA!D221</f>
        <v>PLACA FOTOLUMINESCENTE "S1" OU "S2"- 380 X 190 MM (SAÍDA - ESQUERDA).  FORNECIMENTO E INSTALAÇÃO.</v>
      </c>
      <c r="D192" s="75" t="str">
        <f>PLANILHA!E221</f>
        <v>UND</v>
      </c>
      <c r="E192" s="1003" t="s">
        <v>108</v>
      </c>
      <c r="F192" s="981">
        <f>2</f>
        <v>2</v>
      </c>
    </row>
    <row r="193" spans="1:6" s="642" customFormat="1" ht="29.25" outlineLevel="1">
      <c r="A193" s="913" t="str">
        <f>PLANILHA!A222</f>
        <v>6.4.7</v>
      </c>
      <c r="B193" s="78" t="str">
        <f>PLANILHA!C222</f>
        <v>SEPLAG INC 24</v>
      </c>
      <c r="C193" s="979" t="str">
        <f>PLANILHA!D222</f>
        <v>PLACA FOTOLUMINESCENTE "S3"- 316X 158 MM (SAÍDA EMERGÊNCIA).  FORNECIMENTO E INSTALAÇÃO.</v>
      </c>
      <c r="D193" s="75" t="str">
        <f>PLANILHA!E222</f>
        <v>UND</v>
      </c>
      <c r="E193" s="1003" t="s">
        <v>13929</v>
      </c>
      <c r="F193" s="982">
        <f>19</f>
        <v>19</v>
      </c>
    </row>
    <row r="194" spans="1:6" s="308" customFormat="1" ht="28.5" outlineLevel="1">
      <c r="A194" s="913" t="str">
        <f>PLANILHA!A223</f>
        <v>6.4.8</v>
      </c>
      <c r="B194" s="78" t="str">
        <f>PLANILHA!C223</f>
        <v>SEPLAG INC 25</v>
      </c>
      <c r="C194" s="979" t="str">
        <f>PLANILHA!D223</f>
        <v>PLACA FOTOLUMINESCENTE "S8"- 316X 158 MM (ESCADA DE EMERGÊNCIA).  FORNECIMENTO E INSTALAÇÃO.</v>
      </c>
      <c r="D194" s="75" t="str">
        <f>PLANILHA!E223</f>
        <v>UND</v>
      </c>
      <c r="E194" s="1003" t="s">
        <v>107</v>
      </c>
      <c r="F194" s="981">
        <f>1</f>
        <v>1</v>
      </c>
    </row>
    <row r="195" spans="1:6" s="308" customFormat="1" ht="28.5" outlineLevel="1">
      <c r="A195" s="913" t="str">
        <f>PLANILHA!A224</f>
        <v>6.4.9</v>
      </c>
      <c r="B195" s="78" t="str">
        <f>PLANILHA!C224</f>
        <v>SEPLAG INC 26</v>
      </c>
      <c r="C195" s="979" t="str">
        <f>PLANILHA!D224</f>
        <v>PLACA FOTOLUMINESCENTE "S12" - 316 X 158 MM (SAÍDA EMERGENCIA).  FORNECIMENTO E INSTALAÇÃO.</v>
      </c>
      <c r="D195" s="75" t="str">
        <f>PLANILHA!E224</f>
        <v>UND</v>
      </c>
      <c r="E195" s="1003" t="s">
        <v>13844</v>
      </c>
      <c r="F195" s="981">
        <f>4</f>
        <v>4</v>
      </c>
    </row>
    <row r="196" spans="1:6" s="642" customFormat="1" ht="29.25" outlineLevel="1">
      <c r="A196" s="913" t="str">
        <f>PLANILHA!A225</f>
        <v>6.4.10</v>
      </c>
      <c r="B196" s="78" t="str">
        <f>PLANILHA!C225</f>
        <v>SEPLAG INC 29</v>
      </c>
      <c r="C196" s="979" t="str">
        <f>PLANILHA!D225</f>
        <v>DEMARCAÇÃO DE PISO PARA LOCAÇÃO DE EXTINTORES.  FORNECIMENTO E INSTALAÇÃO.</v>
      </c>
      <c r="D196" s="75" t="str">
        <f>PLANILHA!E225</f>
        <v>UND</v>
      </c>
      <c r="E196" s="1003" t="s">
        <v>13930</v>
      </c>
      <c r="F196" s="981">
        <f>14</f>
        <v>14</v>
      </c>
    </row>
    <row r="197" spans="1:6" s="642" customFormat="1" ht="29.25" outlineLevel="1">
      <c r="A197" s="913" t="str">
        <f>PLANILHA!A226</f>
        <v>6.4.11</v>
      </c>
      <c r="B197" s="78" t="str">
        <f>PLANILHA!C226</f>
        <v>SEPLAG INC 30</v>
      </c>
      <c r="C197" s="979" t="str">
        <f>PLANILHA!D226</f>
        <v>LUMINÁRIA DE EMERGÊNCIA AUTÔNOMA IE-16 COM LÂMPADA DE 8 W.  FORNECIMENTO E INSTALAÇÃO.</v>
      </c>
      <c r="D197" s="75" t="str">
        <f>PLANILHA!E226</f>
        <v>UND</v>
      </c>
      <c r="E197" s="1003" t="s">
        <v>13932</v>
      </c>
      <c r="F197" s="981">
        <f>30</f>
        <v>30</v>
      </c>
    </row>
    <row r="198" spans="1:6" s="308" customFormat="1" outlineLevel="1">
      <c r="A198" s="886"/>
      <c r="B198" s="779"/>
      <c r="C198" s="779"/>
      <c r="D198" s="779"/>
      <c r="E198" s="779"/>
      <c r="F198" s="887"/>
    </row>
    <row r="199" spans="1:6" s="935" customFormat="1" outlineLevel="1">
      <c r="A199" s="870" t="str">
        <f>PLANILHA!A229</f>
        <v>6.5</v>
      </c>
      <c r="B199" s="845"/>
      <c r="C199" s="975" t="str">
        <f>PLANILHA!D229</f>
        <v>CISTERNA</v>
      </c>
      <c r="D199" s="847"/>
      <c r="E199" s="847"/>
      <c r="F199" s="1004"/>
    </row>
    <row r="200" spans="1:6" s="308" customFormat="1" outlineLevel="1">
      <c r="A200" s="870" t="str">
        <f>PLANILHA!A230</f>
        <v>6.5.1</v>
      </c>
      <c r="B200" s="845"/>
      <c r="C200" s="975" t="str">
        <f>PLANILHA!D230</f>
        <v>MOVIMENTO DE SOLO</v>
      </c>
      <c r="D200" s="75"/>
      <c r="E200" s="75"/>
      <c r="F200" s="1005"/>
    </row>
    <row r="201" spans="1:6" s="308" customFormat="1" ht="28.5" outlineLevel="1">
      <c r="A201" s="913" t="str">
        <f>PLANILHA!A231</f>
        <v>6.5.1.1</v>
      </c>
      <c r="B201" s="78">
        <f>PLANILHA!C231</f>
        <v>96523</v>
      </c>
      <c r="C201" s="979" t="str">
        <f>PLANILHA!D231</f>
        <v>ESCAVAÇÃO MANUAL PARA BLOCO DE COROAMENTO OU SAPATA (INCLUINDO ESCAVAÇÃO PARA COLOCAÇÃO DE FÔRMAS). AF_06/2017</v>
      </c>
      <c r="D201" s="75" t="str">
        <f>PLANILHA!E231</f>
        <v>M3</v>
      </c>
      <c r="E201" s="1006" t="s">
        <v>14194</v>
      </c>
      <c r="F201" s="981">
        <f>5.8*5.8*3.3</f>
        <v>111.012</v>
      </c>
    </row>
    <row r="202" spans="1:6" s="308" customFormat="1" ht="28.5" outlineLevel="1">
      <c r="A202" s="913" t="str">
        <f>PLANILHA!A232</f>
        <v>6.5.1.2</v>
      </c>
      <c r="B202" s="78">
        <f>PLANILHA!C232</f>
        <v>101616</v>
      </c>
      <c r="C202" s="979" t="str">
        <f>PLANILHA!D232</f>
        <v>PREPARO DE FUNDO DE VALA COM LARGURA MENOR QUE 1,5 M (ACERTO DO SOLO NATURAL). AF_08/2020</v>
      </c>
      <c r="D202" s="75" t="str">
        <f>PLANILHA!E232</f>
        <v>M2</v>
      </c>
      <c r="E202" s="1006" t="s">
        <v>14195</v>
      </c>
      <c r="F202" s="981">
        <f>5.8*5.8</f>
        <v>33.64</v>
      </c>
    </row>
    <row r="203" spans="1:6" s="308" customFormat="1" ht="28.5" outlineLevel="1">
      <c r="A203" s="913" t="str">
        <f>PLANILHA!A233</f>
        <v>6.5.1.3</v>
      </c>
      <c r="B203" s="78">
        <f>PLANILHA!C233</f>
        <v>96616</v>
      </c>
      <c r="C203" s="979" t="str">
        <f>PLANILHA!D233</f>
        <v>LASTRO DE CONCRETO MAGRO, APLICADO EM BLOCOS DE COROAMENTO OU SAPATAS. AF_08/2017</v>
      </c>
      <c r="D203" s="75" t="str">
        <f>PLANILHA!E233</f>
        <v>M3</v>
      </c>
      <c r="E203" s="1006" t="s">
        <v>14196</v>
      </c>
      <c r="F203" s="981">
        <f>5.8*5.8*0.03</f>
        <v>1.0091999999999999</v>
      </c>
    </row>
    <row r="204" spans="1:6" s="308" customFormat="1" ht="28.5" outlineLevel="1">
      <c r="A204" s="913" t="str">
        <f>PLANILHA!A234</f>
        <v>6.5.1.4</v>
      </c>
      <c r="B204" s="78">
        <f>PLANILHA!C234</f>
        <v>93382</v>
      </c>
      <c r="C204" s="979" t="str">
        <f>PLANILHA!D234</f>
        <v>REATERRO MANUAL DE VALAS COM COMPACTAÇÃO MECANIZADA. AF_04/2016</v>
      </c>
      <c r="D204" s="75" t="str">
        <f>PLANILHA!E234</f>
        <v>M3</v>
      </c>
      <c r="E204" s="1006" t="s">
        <v>14197</v>
      </c>
      <c r="F204" s="1007">
        <f>(5.8*5.8*3.3)-(5.3*5.3*3.2)</f>
        <v>21.123999999999995</v>
      </c>
    </row>
    <row r="205" spans="1:6" s="308" customFormat="1" outlineLevel="1">
      <c r="A205" s="886"/>
      <c r="B205" s="779"/>
      <c r="C205" s="779"/>
      <c r="D205" s="779"/>
      <c r="E205" s="779"/>
      <c r="F205" s="887"/>
    </row>
    <row r="206" spans="1:6" s="308" customFormat="1" outlineLevel="1">
      <c r="A206" s="870" t="str">
        <f>PLANILHA!A237</f>
        <v>6.5.2</v>
      </c>
      <c r="B206" s="78"/>
      <c r="C206" s="975" t="str">
        <f>PLANILHA!D237</f>
        <v>FUNDAÇÃO</v>
      </c>
      <c r="D206" s="75"/>
      <c r="E206" s="75"/>
      <c r="F206" s="1005"/>
    </row>
    <row r="207" spans="1:6" s="308" customFormat="1" ht="42.75" outlineLevel="1">
      <c r="A207" s="913" t="str">
        <f>PLANILHA!A238</f>
        <v>6.5.2.1</v>
      </c>
      <c r="B207" s="78">
        <f>PLANILHA!C238</f>
        <v>96555</v>
      </c>
      <c r="C207" s="979" t="str">
        <f>PLANILHA!D238</f>
        <v>CONCRETAGEM DE BLOCOS DE COROAMENTO E VIGAS BALDRAME, FCK 30 MPA, COM USO DE JERICA  LANÇAMENTO, ADENSAMENTO E ACABAMENTO. AF_06/2017</v>
      </c>
      <c r="D207" s="75" t="str">
        <f>PLANILHA!E238</f>
        <v>M3</v>
      </c>
      <c r="E207" s="1008" t="s">
        <v>7316</v>
      </c>
      <c r="F207" s="1005">
        <v>16.8</v>
      </c>
    </row>
    <row r="208" spans="1:6" s="308" customFormat="1" ht="28.5" outlineLevel="1">
      <c r="A208" s="913" t="str">
        <f>PLANILHA!A239</f>
        <v>6.5.2.2</v>
      </c>
      <c r="B208" s="78">
        <f>PLANILHA!C239</f>
        <v>96543</v>
      </c>
      <c r="C208" s="979" t="str">
        <f>PLANILHA!D239</f>
        <v>ARMAÇÃO DE BLOCO, VIGA BALDRAME E SAPATA UTILIZANDO AÇO CA-60 DE 5 MM - MONTAGEM. AF_06/2017</v>
      </c>
      <c r="D208" s="75" t="str">
        <f>PLANILHA!E239</f>
        <v>KG</v>
      </c>
      <c r="E208" s="1008" t="s">
        <v>7316</v>
      </c>
      <c r="F208" s="1005">
        <v>34.6</v>
      </c>
    </row>
    <row r="209" spans="1:6" s="308" customFormat="1" ht="28.5" outlineLevel="1">
      <c r="A209" s="913" t="str">
        <f>PLANILHA!A240</f>
        <v>6.5.2.3</v>
      </c>
      <c r="B209" s="78">
        <f>PLANILHA!C240</f>
        <v>96544</v>
      </c>
      <c r="C209" s="979" t="str">
        <f>PLANILHA!D240</f>
        <v>ARMAÇÃO DE BLOCO, VIGA BALDRAME OU SAPATA UTILIZANDO AÇO CA-50 DE 6,3 MM - MONTAGEM. AF_06/2017</v>
      </c>
      <c r="D209" s="75" t="str">
        <f>PLANILHA!E240</f>
        <v>KG</v>
      </c>
      <c r="E209" s="1008" t="s">
        <v>7316</v>
      </c>
      <c r="F209" s="1005">
        <v>338.5</v>
      </c>
    </row>
    <row r="210" spans="1:6" s="308" customFormat="1" ht="28.5" outlineLevel="1">
      <c r="A210" s="913" t="str">
        <f>PLANILHA!A241</f>
        <v>6.5.2.4</v>
      </c>
      <c r="B210" s="78">
        <f>PLANILHA!C241</f>
        <v>96545</v>
      </c>
      <c r="C210" s="979" t="str">
        <f>PLANILHA!D241</f>
        <v>ARMAÇÃO DE BLOCO, VIGA BALDRAME OU SAPATA UTILIZANDO AÇO CA-50 DE 8 MM - MONTAGEM. AF_06/2017</v>
      </c>
      <c r="D210" s="75" t="str">
        <f>PLANILHA!E241</f>
        <v>KG</v>
      </c>
      <c r="E210" s="1008" t="s">
        <v>7316</v>
      </c>
      <c r="F210" s="1005">
        <v>973.5</v>
      </c>
    </row>
    <row r="211" spans="1:6" s="308" customFormat="1" ht="28.5" outlineLevel="1">
      <c r="A211" s="913" t="str">
        <f>PLANILHA!A242</f>
        <v>6.5.2.5</v>
      </c>
      <c r="B211" s="78">
        <f>PLANILHA!C242</f>
        <v>96546</v>
      </c>
      <c r="C211" s="979" t="str">
        <f>PLANILHA!D242</f>
        <v>ARMAÇÃO DE BLOCO, VIGA BALDRAME OU SAPATA UTILIZANDO AÇO CA-50 DE 10 MM - MONTAGEM. AF_06/2017</v>
      </c>
      <c r="D211" s="75" t="str">
        <f>PLANILHA!E242</f>
        <v>KG</v>
      </c>
      <c r="E211" s="1008" t="s">
        <v>7316</v>
      </c>
      <c r="F211" s="1005">
        <v>85.5</v>
      </c>
    </row>
    <row r="212" spans="1:6" s="308" customFormat="1" ht="28.5" outlineLevel="1">
      <c r="A212" s="913" t="str">
        <f>PLANILHA!A243</f>
        <v>6.5.2.6</v>
      </c>
      <c r="B212" s="78">
        <f>PLANILHA!C243</f>
        <v>92263</v>
      </c>
      <c r="C212" s="979" t="str">
        <f>PLANILHA!D243</f>
        <v>FABRICAÇÃO DE FÔRMA PARA PILARES E ESTRUTURAS SIMILARES, EM CHAPA DE MADEIRA COMPENSADA RESINADA, E = 17 MM. AF_09/2020</v>
      </c>
      <c r="D212" s="75" t="str">
        <f>PLANILHA!E243</f>
        <v>M2</v>
      </c>
      <c r="E212" s="1008" t="s">
        <v>7316</v>
      </c>
      <c r="F212" s="1005">
        <v>121.4</v>
      </c>
    </row>
    <row r="213" spans="1:6" s="308" customFormat="1" ht="28.5" outlineLevel="1">
      <c r="A213" s="913" t="str">
        <f>PLANILHA!A244</f>
        <v>6.5.2.7</v>
      </c>
      <c r="B213" s="78">
        <f>PLANILHA!C244</f>
        <v>98557</v>
      </c>
      <c r="C213" s="979" t="str">
        <f>PLANILHA!D244</f>
        <v>IMPERMEABILIZAÇÃO DE SUPERFÍCIE COM EMULSÃO ASFÁLTICA, 2 DEMÃOS AF_06/2018</v>
      </c>
      <c r="D213" s="75" t="str">
        <f>PLANILHA!E244</f>
        <v>M2</v>
      </c>
      <c r="E213" s="1008" t="s">
        <v>7316</v>
      </c>
      <c r="F213" s="1005">
        <f>4.3*3*3.2</f>
        <v>41.28</v>
      </c>
    </row>
    <row r="214" spans="1:6" s="308" customFormat="1" ht="42.75" outlineLevel="1">
      <c r="A214" s="913" t="str">
        <f>PLANILHA!A245</f>
        <v>6.5.2.8</v>
      </c>
      <c r="B214" s="78">
        <f>PLANILHA!C245</f>
        <v>101963</v>
      </c>
      <c r="C214" s="979" t="str">
        <f>PLANILHA!D245</f>
        <v>LAJE PRÉ-MOLDADA UNIDIRECIONAL, BIAPOIADA, PARA PISO, ENCHIMENTO EM CERÂMICA, VIGOTA CONVENCIONAL, ALTURA TOTAL DA LAJE (ENCHIMENTO+CAPA) = (8+4). AF_11/2020</v>
      </c>
      <c r="D214" s="75" t="str">
        <f>PLANILHA!E245</f>
        <v>M2</v>
      </c>
      <c r="E214" s="1008" t="s">
        <v>7316</v>
      </c>
      <c r="F214" s="981">
        <f>4.3*4.3</f>
        <v>18.489999999999998</v>
      </c>
    </row>
    <row r="215" spans="1:6" s="308" customFormat="1" outlineLevel="1">
      <c r="A215" s="886"/>
      <c r="B215" s="779"/>
      <c r="C215" s="779"/>
      <c r="D215" s="779"/>
      <c r="E215" s="779"/>
      <c r="F215" s="887"/>
    </row>
    <row r="216" spans="1:6" s="308" customFormat="1" outlineLevel="1">
      <c r="A216" s="870" t="str">
        <f>PLANILHA!A248</f>
        <v>6.5.3</v>
      </c>
      <c r="B216" s="845"/>
      <c r="C216" s="975" t="str">
        <f>PLANILHA!D248</f>
        <v>SERVIÇOS COMPLEMENTARES</v>
      </c>
      <c r="D216" s="75"/>
      <c r="E216" s="75"/>
      <c r="F216" s="1005"/>
    </row>
    <row r="217" spans="1:6" s="308" customFormat="1" ht="28.5" outlineLevel="1">
      <c r="A217" s="913" t="str">
        <f>PLANILHA!A249</f>
        <v>6.5.3.1</v>
      </c>
      <c r="B217" s="78" t="str">
        <f>PLANILHA!C249</f>
        <v>SEPLAG  ARQ 162</v>
      </c>
      <c r="C217" s="979" t="str">
        <f>PLANILHA!D249</f>
        <v>TAMPA EM FERRO FUNDIDO, FORNECIMENTO E INSTALAÇÃO</v>
      </c>
      <c r="D217" s="75" t="str">
        <f>PLANILHA!E249</f>
        <v>und</v>
      </c>
      <c r="E217" s="1008" t="s">
        <v>7316</v>
      </c>
      <c r="F217" s="981">
        <v>1</v>
      </c>
    </row>
    <row r="218" spans="1:6" s="308" customFormat="1" ht="28.5" outlineLevel="1">
      <c r="A218" s="913" t="str">
        <f>PLANILHA!A250</f>
        <v>6.5.3.2</v>
      </c>
      <c r="B218" s="78">
        <f>PLANILHA!C250</f>
        <v>102619</v>
      </c>
      <c r="C218" s="979" t="str">
        <f>PLANILHA!D250</f>
        <v>CAIXA D´ÁGUA EM POLIÉSTER REFORÇADO COM FIBRA DE VIDRO, 10000 LITROS - FORNECIMENTO E INSTALAÇÃO. AF_06/2021</v>
      </c>
      <c r="D218" s="75" t="str">
        <f>PLANILHA!E250</f>
        <v>UN</v>
      </c>
      <c r="E218" s="1008" t="s">
        <v>7316</v>
      </c>
      <c r="F218" s="981">
        <v>1</v>
      </c>
    </row>
    <row r="219" spans="1:6" s="308" customFormat="1" outlineLevel="1">
      <c r="A219" s="868"/>
      <c r="B219" s="786"/>
      <c r="C219" s="786"/>
      <c r="D219" s="786"/>
      <c r="E219" s="786"/>
      <c r="F219" s="869"/>
    </row>
    <row r="220" spans="1:6" s="308" customFormat="1">
      <c r="A220" s="1009" t="str">
        <f>PLANILHA!A255</f>
        <v>7.0</v>
      </c>
      <c r="B220" s="1010"/>
      <c r="C220" s="1011" t="str">
        <f>PLANILHA!D255</f>
        <v xml:space="preserve">ELÉTRICA </v>
      </c>
      <c r="D220" s="1012"/>
      <c r="E220" s="1012"/>
      <c r="F220" s="1013"/>
    </row>
    <row r="221" spans="1:6" s="308" customFormat="1" outlineLevel="1">
      <c r="A221" s="1014" t="str">
        <f>PLANILHA!A256</f>
        <v>7.1</v>
      </c>
      <c r="B221" s="845"/>
      <c r="C221" s="975" t="str">
        <f>PLANILHA!D256</f>
        <v>ELÉTRICA INCÊNDIO</v>
      </c>
      <c r="D221" s="847"/>
      <c r="E221" s="976"/>
      <c r="F221" s="1015"/>
    </row>
    <row r="222" spans="1:6" s="308" customFormat="1" ht="42.75" outlineLevel="1">
      <c r="A222" s="998" t="str">
        <f>PLANILHA!A257</f>
        <v>7.1.1</v>
      </c>
      <c r="B222" s="78">
        <f>PLANILHA!C257</f>
        <v>95745</v>
      </c>
      <c r="C222" s="979" t="str">
        <f>PLANILHA!D257</f>
        <v>ELETRODUTO DE AÇO GALVANIZADO, CLASSE LEVE, DN 20 MM (3/4), APARENTE, INSTALADO EM TETO - FORNECIMENTO E INSTALAÇÃO. AF_11/2016_P</v>
      </c>
      <c r="D222" s="75" t="str">
        <f>PLANILHA!E257</f>
        <v>M</v>
      </c>
      <c r="E222" s="1003" t="s">
        <v>14169</v>
      </c>
      <c r="F222" s="982">
        <f>28</f>
        <v>28</v>
      </c>
    </row>
    <row r="223" spans="1:6" s="308" customFormat="1" ht="42.75" outlineLevel="1">
      <c r="A223" s="998" t="str">
        <f>PLANILHA!A258</f>
        <v>7.1.2</v>
      </c>
      <c r="B223" s="78">
        <f>PLANILHA!C258</f>
        <v>95746</v>
      </c>
      <c r="C223" s="979" t="str">
        <f>PLANILHA!D258</f>
        <v>ELETRODUTO DE AÇO GALVANIZADO, CLASSE LEVE, DN 25 MM (1), APARENTE, INSTALADO EM TETO - FORNECIMENTO E INSTALAÇÃO. AF_11/2016_P</v>
      </c>
      <c r="D223" s="75" t="str">
        <f>PLANILHA!E258</f>
        <v>M</v>
      </c>
      <c r="E223" s="1003" t="s">
        <v>13917</v>
      </c>
      <c r="F223" s="982">
        <f>45</f>
        <v>45</v>
      </c>
    </row>
    <row r="224" spans="1:6" s="308" customFormat="1" ht="42.75" outlineLevel="1">
      <c r="A224" s="998" t="str">
        <f>PLANILHA!A259</f>
        <v>7.1.3</v>
      </c>
      <c r="B224" s="78">
        <f>PLANILHA!C259</f>
        <v>95801</v>
      </c>
      <c r="C224" s="979" t="str">
        <f>PLANILHA!D259</f>
        <v>CONDULETE DE ALUMÍNIO, TIPO X, PARA ELETRODUTO DE AÇO GALVANIZADO DN 20 MM (3/4''), APARENTE - FORNECIMENTO E INSTALAÇÃO. AF_11/2016_P</v>
      </c>
      <c r="D224" s="75" t="str">
        <f>PLANILHA!E259</f>
        <v>UN</v>
      </c>
      <c r="E224" s="1003" t="s">
        <v>13850</v>
      </c>
      <c r="F224" s="982">
        <f>8</f>
        <v>8</v>
      </c>
    </row>
    <row r="225" spans="1:6" s="308" customFormat="1" ht="42.75" outlineLevel="1">
      <c r="A225" s="998" t="str">
        <f>PLANILHA!A260</f>
        <v>7.1.4</v>
      </c>
      <c r="B225" s="78">
        <f>PLANILHA!C260</f>
        <v>95802</v>
      </c>
      <c r="C225" s="979" t="str">
        <f>PLANILHA!D260</f>
        <v>CONDULETE DE ALUMÍNIO, TIPO X, PARA ELETRODUTO DE AÇO GALVANIZADO DN 25 MM (1''), APARENTE - FORNECIMENTO E INSTALAÇÃO. AF_11/2016_P</v>
      </c>
      <c r="D225" s="75" t="str">
        <f>PLANILHA!E260</f>
        <v>UN</v>
      </c>
      <c r="E225" s="1003" t="s">
        <v>13918</v>
      </c>
      <c r="F225" s="982">
        <f>18</f>
        <v>18</v>
      </c>
    </row>
    <row r="226" spans="1:6" s="308" customFormat="1" ht="28.5" outlineLevel="1">
      <c r="A226" s="998" t="str">
        <f>PLANILHA!A261</f>
        <v>7.1.6</v>
      </c>
      <c r="B226" s="78" t="str">
        <f>PLANILHA!C261</f>
        <v>SEPLAG INC 37</v>
      </c>
      <c r="C226" s="979" t="str">
        <f>PLANILHA!D261</f>
        <v>REDUÇÃO CONDULETE PARA ELETRODUTO METÁLICO DE 1"PARA 3/4", FORNECIMENTO E INSTALAÇÃO</v>
      </c>
      <c r="D226" s="75" t="str">
        <f>PLANILHA!E261</f>
        <v>UND</v>
      </c>
      <c r="E226" s="1003" t="s">
        <v>107</v>
      </c>
      <c r="F226" s="982">
        <f>1</f>
        <v>1</v>
      </c>
    </row>
    <row r="227" spans="1:6" s="308" customFormat="1" ht="28.5" outlineLevel="1">
      <c r="A227" s="998" t="str">
        <f>PLANILHA!A262</f>
        <v>7.1.9</v>
      </c>
      <c r="B227" s="78" t="str">
        <f>PLANILHA!C262</f>
        <v>SEPLAG INC 34</v>
      </c>
      <c r="C227" s="979" t="str">
        <f>PLANILHA!D262</f>
        <v>SENSOR DE FUMAÇA NC-102 OU SIMILAR.  FORNECIMENTO E INSTALAÇÃO.</v>
      </c>
      <c r="D227" s="75" t="str">
        <f>PLANILHA!E262</f>
        <v>UND</v>
      </c>
      <c r="E227" s="1003" t="s">
        <v>13844</v>
      </c>
      <c r="F227" s="982">
        <f>4</f>
        <v>4</v>
      </c>
    </row>
    <row r="228" spans="1:6" s="308" customFormat="1" ht="42.75" outlineLevel="1">
      <c r="A228" s="998" t="str">
        <f>PLANILHA!A263</f>
        <v>7.1.10</v>
      </c>
      <c r="B228" s="78" t="str">
        <f>PLANILHA!C263</f>
        <v>SEPLAG INC 35</v>
      </c>
      <c r="C228" s="979" t="str">
        <f>PLANILHA!D263</f>
        <v>FORNECIMENTO E INSTALAÇÃO DE BATERIA SELADA PARA CENTRAL DE ALARME E DETECÇÃO 12V/ 5A  - 08693/ORSE. FORNECIMENTO E INSTALAÇÃO.</v>
      </c>
      <c r="D228" s="75" t="str">
        <f>PLANILHA!E263</f>
        <v>UND</v>
      </c>
      <c r="E228" s="1003" t="s">
        <v>107</v>
      </c>
      <c r="F228" s="981">
        <f>1</f>
        <v>1</v>
      </c>
    </row>
    <row r="229" spans="1:6" s="308" customFormat="1" ht="28.5" outlineLevel="1">
      <c r="A229" s="998" t="str">
        <f>PLANILHA!A264</f>
        <v>7.1.12</v>
      </c>
      <c r="B229" s="78" t="str">
        <f>PLANILHA!C264</f>
        <v>SEPLAG INC 41</v>
      </c>
      <c r="C229" s="979" t="str">
        <f>PLANILHA!D264</f>
        <v>CABO DE COBRE FLEXIVEL BLINDADO PARA INCÊNDIO 3 VIAS + TERRA, SEÇÃO 1,5mm². FORNECIMENTO E INSTALAÇÃO.</v>
      </c>
      <c r="D229" s="75" t="str">
        <f>PLANILHA!E264</f>
        <v>M</v>
      </c>
      <c r="E229" s="1003" t="s">
        <v>14170</v>
      </c>
      <c r="F229" s="982">
        <f>105</f>
        <v>105</v>
      </c>
    </row>
    <row r="230" spans="1:6" s="308" customFormat="1" ht="42.75" outlineLevel="1">
      <c r="A230" s="998" t="str">
        <f>PLANILHA!A265</f>
        <v>7.1.13</v>
      </c>
      <c r="B230" s="78">
        <f>PLANILHA!C265</f>
        <v>91926</v>
      </c>
      <c r="C230" s="979" t="str">
        <f>PLANILHA!D265</f>
        <v>CABO DE COBRE FLEXÍVEL ISOLADO, 2,5 MM², ANTI-CHAMA 450/750 V, PARA CIRCUITOS TERMINAIS - FORNECIMENTO E INSTALAÇÃO. AF_12/2015</v>
      </c>
      <c r="D230" s="75" t="str">
        <f>PLANILHA!E265</f>
        <v>M</v>
      </c>
      <c r="E230" s="1003" t="s">
        <v>13924</v>
      </c>
      <c r="F230" s="982">
        <f>140</f>
        <v>140</v>
      </c>
    </row>
    <row r="231" spans="1:6" s="308" customFormat="1" ht="42.75" outlineLevel="1">
      <c r="A231" s="998" t="str">
        <f>PLANILHA!A266</f>
        <v>7.1.14</v>
      </c>
      <c r="B231" s="78" t="str">
        <f>PLANILHA!C266</f>
        <v>SEPLAG INC 45</v>
      </c>
      <c r="C231" s="979" t="str">
        <f>PLANILHA!D266</f>
        <v>CENTRAL DE ALARME DE INCÊNDIO ENDEREÇAVEL 2 LAÇOS, ATENDENDO NO MINIMO 125 ENDEREÇOS POR LAÇO. FORNECIMENTO E INSTALAÇÃO.</v>
      </c>
      <c r="D231" s="75" t="str">
        <f>PLANILHA!E266</f>
        <v>UND</v>
      </c>
      <c r="E231" s="1003" t="s">
        <v>107</v>
      </c>
      <c r="F231" s="982">
        <f>1</f>
        <v>1</v>
      </c>
    </row>
    <row r="232" spans="1:6" s="308" customFormat="1" ht="42.75" outlineLevel="1">
      <c r="A232" s="998" t="str">
        <f>PLANILHA!A267</f>
        <v>7.1.15</v>
      </c>
      <c r="B232" s="78">
        <f>PLANILHA!C267</f>
        <v>95758</v>
      </c>
      <c r="C232" s="979" t="str">
        <f>PLANILHA!D267</f>
        <v>LUVA DE EMENDA PARA ELETRODUTO, AÇO GALVANIZADO, DN 25 MM (1''), APARENTE, INSTALADA EM PAREDE - FORNECIMENTO E INSTALAÇÃO. AF_11/2016_P</v>
      </c>
      <c r="D232" s="75" t="str">
        <f>PLANILHA!E267</f>
        <v>UN</v>
      </c>
      <c r="E232" s="1003" t="s">
        <v>108</v>
      </c>
      <c r="F232" s="982">
        <f>2</f>
        <v>2</v>
      </c>
    </row>
    <row r="233" spans="1:6" s="308" customFormat="1" ht="42.75" outlineLevel="1">
      <c r="A233" s="999" t="str">
        <f>PLANILHA!A268</f>
        <v>7.1.16</v>
      </c>
      <c r="B233" s="984">
        <f>PLANILHA!C268</f>
        <v>95757</v>
      </c>
      <c r="C233" s="985" t="str">
        <f>PLANILHA!D268</f>
        <v>LUVA DE EMENDA PARA ELETRODUTO, AÇO GALVANIZADO, DN 20 MM (3/4''), APARENTE, INSTALADA EM PAREDE - FORNECIMENTO E INSTALAÇÃO. AF_11/2016_P</v>
      </c>
      <c r="D233" s="1016" t="str">
        <f>PLANILHA!E268</f>
        <v>UN</v>
      </c>
      <c r="E233" s="1017" t="s">
        <v>13893</v>
      </c>
      <c r="F233" s="987">
        <f>6</f>
        <v>6</v>
      </c>
    </row>
    <row r="234" spans="1:6" s="308" customFormat="1" outlineLevel="1">
      <c r="A234" s="868"/>
      <c r="B234" s="786"/>
      <c r="C234" s="786"/>
      <c r="D234" s="786"/>
      <c r="E234" s="786"/>
      <c r="F234" s="869"/>
    </row>
    <row r="235" spans="1:6" s="308" customFormat="1" outlineLevel="1">
      <c r="A235" s="1018" t="str">
        <f>PLANILHA!A271</f>
        <v>7.2</v>
      </c>
      <c r="B235" s="930"/>
      <c r="C235" s="1019" t="str">
        <f>PLANILHA!D271</f>
        <v xml:space="preserve">CABOS PARA ALIMENTAÇÃO DE QUADROS - ALIMENTAÇÃO GERAL </v>
      </c>
      <c r="D235" s="930"/>
      <c r="E235" s="1020"/>
      <c r="F235" s="1021"/>
    </row>
    <row r="236" spans="1:6" s="308" customFormat="1" ht="42.75" outlineLevel="1">
      <c r="A236" s="896" t="str">
        <f>PLANILHA!A272</f>
        <v>7.2.1</v>
      </c>
      <c r="B236" s="74">
        <f>PLANILHA!C272</f>
        <v>91935</v>
      </c>
      <c r="C236" s="1022" t="str">
        <f>PLANILHA!D272</f>
        <v>CABO DE COBRE FLEXÍVEL ISOLADO, 16 MM², ANTI-CHAMA 0,6/1,0 KV, PARA CIRCUITOS TERMINAIS - FORNECIMENTO E INSTALAÇÃO. AF_12/2015</v>
      </c>
      <c r="D236" s="74" t="str">
        <f>PLANILHA!E272</f>
        <v>M</v>
      </c>
      <c r="E236" s="1023"/>
      <c r="F236" s="900">
        <v>69</v>
      </c>
    </row>
    <row r="237" spans="1:6" s="308" customFormat="1" ht="42.75" outlineLevel="1">
      <c r="A237" s="896" t="str">
        <f>PLANILHA!A273</f>
        <v>7.2.2</v>
      </c>
      <c r="B237" s="74">
        <f>PLANILHA!C273</f>
        <v>92984</v>
      </c>
      <c r="C237" s="1022" t="str">
        <f>PLANILHA!D273</f>
        <v>CABO DE COBRE FLEXÍVEL ISOLADO, 25 MM², ANTI-CHAMA 0,6/1,0 KV, PARA REDE ENTERRADA DE DISTRIBUIÇÃO DE ENERGIA ELÉTRICA - FORNECIMENTO E INSTALAÇÃO. AF_12/2021</v>
      </c>
      <c r="D237" s="74" t="str">
        <f>PLANILHA!E273</f>
        <v>M</v>
      </c>
      <c r="E237" s="1023"/>
      <c r="F237" s="900">
        <v>214</v>
      </c>
    </row>
    <row r="238" spans="1:6" s="308" customFormat="1" ht="42.75" outlineLevel="1">
      <c r="A238" s="896" t="str">
        <f>PLANILHA!A274</f>
        <v>7.2.3</v>
      </c>
      <c r="B238" s="74">
        <f>PLANILHA!C274</f>
        <v>92986</v>
      </c>
      <c r="C238" s="1022" t="str">
        <f>PLANILHA!D274</f>
        <v>CABO DE COBRE FLEXÍVEL ISOLADO, 35 MM², ANTI-CHAMA 0,6/1,0 KV, PARA REDE ENTERRADA DE DISTRIBUIÇÃO DE ENERGIA ELÉTRICA - FORNECIMENTO E INSTALAÇÃO. AF_12/2021</v>
      </c>
      <c r="D238" s="74" t="str">
        <f>PLANILHA!E274</f>
        <v>M</v>
      </c>
      <c r="E238" s="1023"/>
      <c r="F238" s="900">
        <v>270</v>
      </c>
    </row>
    <row r="239" spans="1:6" s="308" customFormat="1" ht="42.75" outlineLevel="1">
      <c r="A239" s="896" t="str">
        <f>PLANILHA!A275</f>
        <v>7.2.4</v>
      </c>
      <c r="B239" s="74">
        <f>PLANILHA!C275</f>
        <v>92990</v>
      </c>
      <c r="C239" s="1022" t="str">
        <f>PLANILHA!D275</f>
        <v>CABO DE COBRE FLEXÍVEL ISOLADO, 70 MM², ANTI-CHAMA 0,6/1,0 KV, PARA REDE ENTERRADA DE DISTRIBUIÇÃO DE ENERGIA ELÉTRICA - FORNECIMENTO E INSTALAÇÃO. AF_12/2021</v>
      </c>
      <c r="D239" s="74" t="str">
        <f>PLANILHA!E275</f>
        <v>M</v>
      </c>
      <c r="E239" s="1023"/>
      <c r="F239" s="900">
        <v>724.3</v>
      </c>
    </row>
    <row r="240" spans="1:6" s="308" customFormat="1" ht="42.75" outlineLevel="1">
      <c r="A240" s="896" t="str">
        <f>PLANILHA!A276</f>
        <v>7.2.5</v>
      </c>
      <c r="B240" s="74">
        <f>PLANILHA!C276</f>
        <v>91929</v>
      </c>
      <c r="C240" s="1022" t="str">
        <f>PLANILHA!D276</f>
        <v>CABO DE COBRE FLEXÍVEL ISOLADO, 4 MM², ANTI-CHAMA 0,6/1,0 KV, PARA CIRCUITOS TERMINAIS - FORNECIMENTO E INSTALAÇÃO. AF_12/2015</v>
      </c>
      <c r="D240" s="74" t="str">
        <f>PLANILHA!E276</f>
        <v>M</v>
      </c>
      <c r="E240" s="1023"/>
      <c r="F240" s="900">
        <v>10</v>
      </c>
    </row>
    <row r="241" spans="1:6" s="308" customFormat="1" ht="42.75" outlineLevel="1">
      <c r="A241" s="896" t="str">
        <f>PLANILHA!A277</f>
        <v>7.2.6</v>
      </c>
      <c r="B241" s="74">
        <f>PLANILHA!C277</f>
        <v>91933</v>
      </c>
      <c r="C241" s="1022" t="str">
        <f>PLANILHA!D277</f>
        <v>CABO DE COBRE FLEXÍVEL ISOLADO, 10 MM², ANTI-CHAMA 0,6/1,0 KV, PARA CIRCUITOS TERMINAIS - FORNECIMENTO E INSTALAÇÃO. AF_12/2015</v>
      </c>
      <c r="D241" s="74" t="str">
        <f>PLANILHA!E277</f>
        <v>M</v>
      </c>
      <c r="E241" s="1023"/>
      <c r="F241" s="900">
        <v>187.5</v>
      </c>
    </row>
    <row r="242" spans="1:6" s="308" customFormat="1" ht="42.75" outlineLevel="1">
      <c r="A242" s="896" t="str">
        <f>PLANILHA!A278</f>
        <v>7.2.7</v>
      </c>
      <c r="B242" s="74">
        <f>PLANILHA!C278</f>
        <v>92988</v>
      </c>
      <c r="C242" s="1022" t="str">
        <f>PLANILHA!D278</f>
        <v>CABO DE COBRE FLEXÍVEL ISOLADO, 50 MM², ANTI-CHAMA 0,6/1,0 KV, PARA REDE ENTERRADA DE DISTRIBUIÇÃO DE ENERGIA ELÉTRICA - FORNECIMENTO E INSTALAÇÃO. AF_12/2021</v>
      </c>
      <c r="D242" s="74" t="str">
        <f>PLANILHA!E278</f>
        <v>M</v>
      </c>
      <c r="E242" s="1023"/>
      <c r="F242" s="900">
        <v>70.5</v>
      </c>
    </row>
    <row r="243" spans="1:6" s="308" customFormat="1" ht="42.75" outlineLevel="1">
      <c r="A243" s="896" t="str">
        <f>PLANILHA!A279</f>
        <v>7.2.8</v>
      </c>
      <c r="B243" s="74">
        <f>PLANILHA!C279</f>
        <v>92994</v>
      </c>
      <c r="C243" s="1022" t="str">
        <f>PLANILHA!D279</f>
        <v>CABO DE COBRE FLEXÍVEL ISOLADO, 120 MM², ANTI-CHAMA 0,6/1,0 KV, PARA REDE ENTERRADA DE DISTRIBUIÇÃO DE ENERGIA ELÉTRICA - FORNECIMENTO E INSTALAÇÃO. AF_12/2021</v>
      </c>
      <c r="D243" s="74" t="str">
        <f>PLANILHA!E279</f>
        <v>M</v>
      </c>
      <c r="E243" s="1023"/>
      <c r="F243" s="900">
        <v>571</v>
      </c>
    </row>
    <row r="244" spans="1:6" s="308" customFormat="1" outlineLevel="1">
      <c r="A244" s="962"/>
      <c r="B244" s="963"/>
      <c r="C244" s="963"/>
      <c r="D244" s="963"/>
      <c r="E244" s="963"/>
      <c r="F244" s="964"/>
    </row>
    <row r="245" spans="1:6" s="308" customFormat="1" outlineLevel="1">
      <c r="A245" s="896"/>
      <c r="B245" s="74"/>
      <c r="C245" s="1024" t="str">
        <f>PLANILHA!D281</f>
        <v>CABOS PARA TERMINAIS</v>
      </c>
      <c r="D245" s="74"/>
      <c r="E245" s="1025"/>
      <c r="F245" s="900"/>
    </row>
    <row r="246" spans="1:6" s="308" customFormat="1" ht="42.75" outlineLevel="1">
      <c r="A246" s="896" t="str">
        <f>PLANILHA!A282</f>
        <v>7.2.9</v>
      </c>
      <c r="B246" s="74">
        <f>PLANILHA!C282</f>
        <v>91926</v>
      </c>
      <c r="C246" s="1022" t="str">
        <f>PLANILHA!D282</f>
        <v>CABO DE COBRE FLEXÍVEL ISOLADO, 2,5 MM², ANTI-CHAMA 450/750 V, PARA CIRCUITOS TERMINAIS - FORNECIMENTO E INSTALAÇÃO. AF_12/2015</v>
      </c>
      <c r="D246" s="74" t="str">
        <f>PLANILHA!E282</f>
        <v>M</v>
      </c>
      <c r="E246" s="1023"/>
      <c r="F246" s="900">
        <v>1536</v>
      </c>
    </row>
    <row r="247" spans="1:6" s="308" customFormat="1" ht="28.5" customHeight="1" outlineLevel="1">
      <c r="A247" s="896" t="str">
        <f>PLANILHA!A283</f>
        <v>7.2.10</v>
      </c>
      <c r="B247" s="74">
        <f>PLANILHA!C283</f>
        <v>91928</v>
      </c>
      <c r="C247" s="1022" t="str">
        <f>PLANILHA!D283</f>
        <v>CABO DE COBRE FLEXÍVEL ISOLADO, 4 MM², ANTI-CHAMA 450/750 V, PARA CIRCUITOS TERMINAIS - FORNECIMENTO E INSTALAÇÃO. AF_12/2015</v>
      </c>
      <c r="D247" s="74" t="str">
        <f>PLANILHA!E283</f>
        <v>M</v>
      </c>
      <c r="E247" s="1023"/>
      <c r="F247" s="900">
        <v>896</v>
      </c>
    </row>
    <row r="248" spans="1:6" s="308" customFormat="1" ht="42.75" outlineLevel="1">
      <c r="A248" s="896" t="str">
        <f>PLANILHA!A284</f>
        <v>7.2.11</v>
      </c>
      <c r="B248" s="74">
        <f>PLANILHA!C284</f>
        <v>91931</v>
      </c>
      <c r="C248" s="1022" t="str">
        <f>PLANILHA!D284</f>
        <v>CABO DE COBRE FLEXÍVEL ISOLADO, 6 MM², ANTI-CHAMA 0,6/1,0 KV, PARA CIRCUITOS TERMINAIS - FORNECIMENTO E INSTALAÇÃO. AF_12/2015</v>
      </c>
      <c r="D248" s="74" t="str">
        <f>PLANILHA!E284</f>
        <v>M</v>
      </c>
      <c r="E248" s="1023"/>
      <c r="F248" s="900">
        <v>423</v>
      </c>
    </row>
    <row r="249" spans="1:6" s="308" customFormat="1" ht="28.5" outlineLevel="1">
      <c r="A249" s="896" t="str">
        <f>PLANILHA!A285</f>
        <v>7.2.12</v>
      </c>
      <c r="B249" s="74" t="str">
        <f>PLANILHA!C285</f>
        <v>SEPLAG ELE 10</v>
      </c>
      <c r="C249" s="1022" t="str">
        <f>PLANILHA!D285</f>
        <v>TERMINAL A COMPRESSAO EM COBRE ESTANHADO 1 FURO PARA CABO 70 MM2. FORNECIMENTO E INSTALAÇÃO.</v>
      </c>
      <c r="D249" s="74" t="str">
        <f>PLANILHA!E285</f>
        <v>UND</v>
      </c>
      <c r="E249" s="1023"/>
      <c r="F249" s="900">
        <v>20</v>
      </c>
    </row>
    <row r="250" spans="1:6" s="308" customFormat="1" ht="42.75" outlineLevel="1">
      <c r="A250" s="896" t="str">
        <f>PLANILHA!A286</f>
        <v>7.2.13</v>
      </c>
      <c r="B250" s="74" t="str">
        <f>PLANILHA!C286</f>
        <v>SEPLAG SPDA 16</v>
      </c>
      <c r="C250" s="1022" t="str">
        <f>PLANILHA!D286</f>
        <v>TERMINAL A COMPRESSAO EM COBRE ESTANHADO PARA CABO 35 MM2, 1 FURO E 1 COMPRESSAO, PARA PARAFUSO DE FIXACAO M8, FORNECIMENTO E INSTALAÇÃO</v>
      </c>
      <c r="D250" s="74" t="str">
        <f>PLANILHA!E286</f>
        <v>UND</v>
      </c>
      <c r="E250" s="1023"/>
      <c r="F250" s="900">
        <v>16</v>
      </c>
    </row>
    <row r="251" spans="1:6" s="308" customFormat="1" ht="28.5" outlineLevel="1">
      <c r="A251" s="896" t="str">
        <f>PLANILHA!A287</f>
        <v>7.2.14</v>
      </c>
      <c r="B251" s="74" t="str">
        <f>PLANILHA!C287</f>
        <v>SEPLAG ELE 07</v>
      </c>
      <c r="C251" s="1022" t="str">
        <f>PLANILHA!D287</f>
        <v>TERMINAL A COMPRESSAO EM COBRE ESTANHADO 1 FURO PARA CABO 25 MM2. FORNECIMENTO E INSTALAÇÃO.</v>
      </c>
      <c r="D251" s="74" t="str">
        <f>PLANILHA!E287</f>
        <v>UND</v>
      </c>
      <c r="E251" s="1023"/>
      <c r="F251" s="900">
        <v>12</v>
      </c>
    </row>
    <row r="252" spans="1:6" s="308" customFormat="1" ht="28.5" outlineLevel="1">
      <c r="A252" s="896" t="str">
        <f>PLANILHA!A288</f>
        <v>7.2.15</v>
      </c>
      <c r="B252" s="74" t="str">
        <f>PLANILHA!C288</f>
        <v>SEPLAG ELE 06</v>
      </c>
      <c r="C252" s="1022" t="str">
        <f>PLANILHA!D288</f>
        <v>TERMINAL A COMPRESSAO EM COBRE ESTANHADO 1 FURO PARA CABO 16 MM2. FORNECIMENTO E INSTALAÇÃO.</v>
      </c>
      <c r="D252" s="74" t="str">
        <f>PLANILHA!E288</f>
        <v>UND</v>
      </c>
      <c r="E252" s="1023"/>
      <c r="F252" s="900">
        <v>16</v>
      </c>
    </row>
    <row r="253" spans="1:6" s="308" customFormat="1" outlineLevel="1">
      <c r="A253" s="962"/>
      <c r="B253" s="963"/>
      <c r="C253" s="963"/>
      <c r="D253" s="963"/>
      <c r="E253" s="963"/>
      <c r="F253" s="964"/>
    </row>
    <row r="254" spans="1:6" s="308" customFormat="1" outlineLevel="1">
      <c r="A254" s="896"/>
      <c r="B254" s="74"/>
      <c r="C254" s="1024" t="str">
        <f>PLANILHA!D290</f>
        <v>COMUM</v>
      </c>
      <c r="D254" s="74"/>
      <c r="E254" s="1025"/>
      <c r="F254" s="900"/>
    </row>
    <row r="255" spans="1:6" s="308" customFormat="1" ht="28.5" outlineLevel="1">
      <c r="A255" s="896" t="str">
        <f>PLANILHA!A291</f>
        <v>7.2.16</v>
      </c>
      <c r="B255" s="74">
        <f>PLANILHA!C291</f>
        <v>91953</v>
      </c>
      <c r="C255" s="1022" t="str">
        <f>PLANILHA!D291</f>
        <v>INTERRUPTOR SIMPLES (1 MÓDULO), 10A/250V, INCLUINDO SUPORTE E PLACA - FORNECIMENTO E INSTALAÇÃO. AF_12/2015</v>
      </c>
      <c r="D255" s="74" t="str">
        <f>PLANILHA!E291</f>
        <v>UN</v>
      </c>
      <c r="E255" s="1023"/>
      <c r="F255" s="900">
        <v>4</v>
      </c>
    </row>
    <row r="256" spans="1:6" s="308" customFormat="1" ht="28.5" outlineLevel="1">
      <c r="A256" s="896" t="str">
        <f>PLANILHA!A292</f>
        <v>7.2.17</v>
      </c>
      <c r="B256" s="74">
        <f>PLANILHA!C292</f>
        <v>91967</v>
      </c>
      <c r="C256" s="1022" t="str">
        <f>PLANILHA!D292</f>
        <v>INTERRUPTOR SIMPLES (3 MÓDULOS), 10A/250V, INCLUINDO SUPORTE E PLACA - FORNECIMENTO E INSTALAÇÃO. AF_12/2015</v>
      </c>
      <c r="D256" s="74" t="str">
        <f>PLANILHA!E292</f>
        <v>UN</v>
      </c>
      <c r="E256" s="1023"/>
      <c r="F256" s="900">
        <v>1</v>
      </c>
    </row>
    <row r="257" spans="1:6" s="308" customFormat="1" ht="28.5" outlineLevel="1">
      <c r="A257" s="896" t="str">
        <f>PLANILHA!A293</f>
        <v>7.2.18</v>
      </c>
      <c r="B257" s="74">
        <f>PLANILHA!C293</f>
        <v>92868</v>
      </c>
      <c r="C257" s="1022" t="str">
        <f>PLANILHA!D293</f>
        <v>CAIXA RETANGULAR 4" X 2" MÉDIA (1,30 M DO PISO), METÁLICA, INSTALADA EM PAREDE - FORNECIMENTO E INSTALAÇÃO. AF_12/2015</v>
      </c>
      <c r="D257" s="74" t="str">
        <f>PLANILHA!E293</f>
        <v>UN</v>
      </c>
      <c r="E257" s="1023"/>
      <c r="F257" s="900">
        <v>18</v>
      </c>
    </row>
    <row r="258" spans="1:6" s="308" customFormat="1" ht="28.5" outlineLevel="1">
      <c r="A258" s="896" t="str">
        <f>PLANILHA!A294</f>
        <v>7.2.19</v>
      </c>
      <c r="B258" s="74">
        <f>PLANILHA!C294</f>
        <v>91969</v>
      </c>
      <c r="C258" s="1022" t="str">
        <f>PLANILHA!D294</f>
        <v>INTERRUPTOR PARALELO (3 MÓDULOS), 10A/250V, INCLUINDO SUPORTE E PLACA - FORNECIMENTO E INSTALAÇÃO. AF_12/2015</v>
      </c>
      <c r="D258" s="74" t="str">
        <f>PLANILHA!E294</f>
        <v>UN</v>
      </c>
      <c r="E258" s="1023"/>
      <c r="F258" s="900">
        <v>2</v>
      </c>
    </row>
    <row r="259" spans="1:6" s="308" customFormat="1" ht="28.5" outlineLevel="1">
      <c r="A259" s="896" t="str">
        <f>PLANILHA!A295</f>
        <v>7.2.20</v>
      </c>
      <c r="B259" s="74">
        <f>PLANILHA!C295</f>
        <v>91993</v>
      </c>
      <c r="C259" s="1022" t="str">
        <f>PLANILHA!D295</f>
        <v>TOMADA ALTA DE EMBUTIR (1 MÓDULO), 2P+T 20 A, INCLUINDO SUPORTE E PLACA - FORNECIMENTO E INSTALAÇÃO. AF_12/2015</v>
      </c>
      <c r="D259" s="74" t="str">
        <f>PLANILHA!E295</f>
        <v>UN</v>
      </c>
      <c r="E259" s="1023"/>
      <c r="F259" s="900">
        <v>13</v>
      </c>
    </row>
    <row r="260" spans="1:6" s="308" customFormat="1" ht="42.75" outlineLevel="1">
      <c r="A260" s="896" t="str">
        <f>PLANILHA!A296</f>
        <v>7.2.21</v>
      </c>
      <c r="B260" s="74">
        <f>PLANILHA!C296</f>
        <v>95778</v>
      </c>
      <c r="C260" s="1022" t="str">
        <f>PLANILHA!D296</f>
        <v>CONDULETE DE ALUMÍNIO, TIPO C, PARA ELETRODUTO DE AÇO GALVANIZADO DN 20 MM (3/4''), APARENTE - FORNECIMENTO E INSTALAÇÃO. AF_11/2016_P</v>
      </c>
      <c r="D260" s="74" t="str">
        <f>PLANILHA!E296</f>
        <v>UN</v>
      </c>
      <c r="E260" s="1023"/>
      <c r="F260" s="900">
        <v>34</v>
      </c>
    </row>
    <row r="261" spans="1:6" s="308" customFormat="1" ht="42.75" outlineLevel="1">
      <c r="A261" s="896" t="str">
        <f>PLANILHA!A297</f>
        <v>7.2.22</v>
      </c>
      <c r="B261" s="74">
        <f>PLANILHA!C297</f>
        <v>95781</v>
      </c>
      <c r="C261" s="1022" t="str">
        <f>PLANILHA!D297</f>
        <v>CONDULETE DE ALUMÍNIO, TIPO C, PARA ELETRODUTO DE AÇO GALVANIZADO DN 25 MM (1''), APARENTE - FORNECIMENTO E INSTALAÇÃO. AF_11/2016_P</v>
      </c>
      <c r="D261" s="74" t="str">
        <f>PLANILHA!E297</f>
        <v>UN</v>
      </c>
      <c r="E261" s="1023"/>
      <c r="F261" s="900">
        <v>19</v>
      </c>
    </row>
    <row r="262" spans="1:6" s="308" customFormat="1" ht="42.75" outlineLevel="1">
      <c r="A262" s="896" t="str">
        <f>PLANILHA!A298</f>
        <v>7.2.23</v>
      </c>
      <c r="B262" s="74">
        <f>PLANILHA!C298</f>
        <v>95779</v>
      </c>
      <c r="C262" s="1022" t="str">
        <f>PLANILHA!D298</f>
        <v>CONDULETE DE ALUMÍNIO, TIPO E, PARA ELETRODUTO DE AÇO GALVANIZADO DN 20 MM (3/4''), APARENTE - FORNECIMENTO E INSTALAÇÃO. AF_11/2016_P</v>
      </c>
      <c r="D262" s="74" t="str">
        <f>PLANILHA!E298</f>
        <v>UN</v>
      </c>
      <c r="E262" s="1023"/>
      <c r="F262" s="900">
        <v>57</v>
      </c>
    </row>
    <row r="263" spans="1:6" s="308" customFormat="1" ht="42.75" outlineLevel="1">
      <c r="A263" s="896" t="str">
        <f>PLANILHA!A299</f>
        <v>7.2.24</v>
      </c>
      <c r="B263" s="74">
        <f>PLANILHA!C299</f>
        <v>95791</v>
      </c>
      <c r="C263" s="1022" t="str">
        <f>PLANILHA!D299</f>
        <v>CONDULETE DE ALUMÍNIO, TIPO LR, PARA ELETRODUTO DE AÇO GALVANIZADO DN 32 MM (1 1/4''), APARENTE - FORNECIMENTO E INSTALAÇÃO. AF_11/2016_P</v>
      </c>
      <c r="D263" s="74" t="str">
        <f>PLANILHA!E299</f>
        <v>UN</v>
      </c>
      <c r="E263" s="1023"/>
      <c r="F263" s="900">
        <v>9</v>
      </c>
    </row>
    <row r="264" spans="1:6" s="308" customFormat="1" ht="42.75" outlineLevel="1">
      <c r="A264" s="896" t="str">
        <f>PLANILHA!A300</f>
        <v>7.2.25</v>
      </c>
      <c r="B264" s="74">
        <f>PLANILHA!C300</f>
        <v>95787</v>
      </c>
      <c r="C264" s="1022" t="str">
        <f>PLANILHA!D300</f>
        <v>CONDULETE DE ALUMÍNIO, TIPO LR, PARA ELETRODUTO DE AÇO GALVANIZADO DN 20 MM (3/4''), APARENTE - FORNECIMENTO E INSTALAÇÃO. AF_11/2016_P</v>
      </c>
      <c r="D264" s="74" t="str">
        <f>PLANILHA!E300</f>
        <v>UN</v>
      </c>
      <c r="E264" s="1023"/>
      <c r="F264" s="900">
        <v>9</v>
      </c>
    </row>
    <row r="265" spans="1:6" s="308" customFormat="1" ht="42.75" outlineLevel="1">
      <c r="A265" s="896" t="str">
        <f>PLANILHA!A301</f>
        <v>7.2.26</v>
      </c>
      <c r="B265" s="74">
        <f>PLANILHA!C301</f>
        <v>95795</v>
      </c>
      <c r="C265" s="1022" t="str">
        <f>PLANILHA!D301</f>
        <v>CONDULETE DE ALUMÍNIO, TIPO T, PARA ELETRODUTO DE AÇO GALVANIZADO DN 20 MM (3/4''), APARENTE - FORNECIMENTO E INSTALAÇÃO. AF_11/2016_P</v>
      </c>
      <c r="D265" s="74" t="str">
        <f>PLANILHA!E301</f>
        <v>UN</v>
      </c>
      <c r="E265" s="1023"/>
      <c r="F265" s="900">
        <v>5</v>
      </c>
    </row>
    <row r="266" spans="1:6" s="308" customFormat="1" ht="28.5" outlineLevel="1">
      <c r="A266" s="896" t="str">
        <f>PLANILHA!A302</f>
        <v>7.2.27</v>
      </c>
      <c r="B266" s="74">
        <f>PLANILHA!C302</f>
        <v>93653</v>
      </c>
      <c r="C266" s="1022" t="str">
        <f>PLANILHA!D302</f>
        <v>DISJUNTOR MONOPOLAR TIPO DIN, CORRENTE NOMINAL DE 10A - FORNECIMENTO E INSTALAÇÃO. AF_10/2020</v>
      </c>
      <c r="D266" s="74" t="str">
        <f>PLANILHA!E302</f>
        <v>UN</v>
      </c>
      <c r="E266" s="1023"/>
      <c r="F266" s="900">
        <v>11</v>
      </c>
    </row>
    <row r="267" spans="1:6" s="308" customFormat="1" ht="28.5" outlineLevel="1">
      <c r="A267" s="896" t="str">
        <f>PLANILHA!A303</f>
        <v>7.2.28</v>
      </c>
      <c r="B267" s="74">
        <f>PLANILHA!C303</f>
        <v>93654</v>
      </c>
      <c r="C267" s="1022" t="str">
        <f>PLANILHA!D303</f>
        <v>DISJUNTOR MONOPOLAR TIPO DIN, CORRENTE NOMINAL DE 16A - FORNECIMENTO E INSTALAÇÃO. AF_10/2020</v>
      </c>
      <c r="D267" s="74" t="str">
        <f>PLANILHA!E303</f>
        <v>UN</v>
      </c>
      <c r="E267" s="1023"/>
      <c r="F267" s="900">
        <v>2</v>
      </c>
    </row>
    <row r="268" spans="1:6" s="308" customFormat="1" ht="28.5" outlineLevel="1">
      <c r="A268" s="896" t="str">
        <f>PLANILHA!A304</f>
        <v>7.2.29</v>
      </c>
      <c r="B268" s="74">
        <f>PLANILHA!C304</f>
        <v>93661</v>
      </c>
      <c r="C268" s="1022" t="str">
        <f>PLANILHA!D304</f>
        <v>DISJUNTOR BIPOLAR TIPO DIN, CORRENTE NOMINAL DE 16A - FORNECIMENTO E INSTALAÇÃO. AF_10/2020</v>
      </c>
      <c r="D268" s="74" t="str">
        <f>PLANILHA!E304</f>
        <v>UN</v>
      </c>
      <c r="E268" s="1023"/>
      <c r="F268" s="900">
        <v>6</v>
      </c>
    </row>
    <row r="269" spans="1:6" s="308" customFormat="1" ht="28.5" outlineLevel="1">
      <c r="A269" s="896" t="str">
        <f>PLANILHA!A305</f>
        <v>7.2.30</v>
      </c>
      <c r="B269" s="74">
        <f>PLANILHA!C305</f>
        <v>93662</v>
      </c>
      <c r="C269" s="1022" t="str">
        <f>PLANILHA!D305</f>
        <v>DISJUNTOR BIPOLAR TIPO DIN, CORRENTE NOMINAL DE 20A - FORNECIMENTO E INSTALAÇÃO. AF_10/2020</v>
      </c>
      <c r="D269" s="74" t="str">
        <f>PLANILHA!E305</f>
        <v>UN</v>
      </c>
      <c r="E269" s="1023"/>
      <c r="F269" s="900">
        <v>2</v>
      </c>
    </row>
    <row r="270" spans="1:6" s="308" customFormat="1" ht="28.5" outlineLevel="1">
      <c r="A270" s="896" t="str">
        <f>PLANILHA!A306</f>
        <v>7.2.31</v>
      </c>
      <c r="B270" s="74">
        <f>PLANILHA!C306</f>
        <v>93669</v>
      </c>
      <c r="C270" s="1022" t="str">
        <f>PLANILHA!D306</f>
        <v>DISJUNTOR TRIPOLAR TIPO DIN, CORRENTE NOMINAL DE 20A - FORNECIMENTO E INSTALAÇÃO. AF_10/2020</v>
      </c>
      <c r="D270" s="74" t="str">
        <f>PLANILHA!E306</f>
        <v>UN</v>
      </c>
      <c r="E270" s="1023"/>
      <c r="F270" s="900">
        <v>9</v>
      </c>
    </row>
    <row r="271" spans="1:6" s="308" customFormat="1" ht="28.5" outlineLevel="1">
      <c r="A271" s="896" t="str">
        <f>PLANILHA!A307</f>
        <v>7.2.32</v>
      </c>
      <c r="B271" s="74">
        <f>PLANILHA!C307</f>
        <v>93670</v>
      </c>
      <c r="C271" s="1022" t="str">
        <f>PLANILHA!D307</f>
        <v>DISJUNTOR TRIPOLAR TIPO DIN, CORRENTE NOMINAL DE 25A - FORNECIMENTO E INSTALAÇÃO. AF_10/2020</v>
      </c>
      <c r="D271" s="74" t="str">
        <f>PLANILHA!E307</f>
        <v>UN</v>
      </c>
      <c r="E271" s="1023"/>
      <c r="F271" s="900">
        <v>10</v>
      </c>
    </row>
    <row r="272" spans="1:6" s="308" customFormat="1" ht="28.5" outlineLevel="1">
      <c r="A272" s="896" t="str">
        <f>PLANILHA!A308</f>
        <v>7.2.33</v>
      </c>
      <c r="B272" s="74">
        <f>PLANILHA!C308</f>
        <v>101895</v>
      </c>
      <c r="C272" s="1022" t="str">
        <f>PLANILHA!D308</f>
        <v>DISJUNTOR TERMOMAGNÉTICO TRIPOLAR , CORRENTE NOMINAL DE 125A - FORNECIMENTO E INSTALAÇÃO. AF_10/2020</v>
      </c>
      <c r="D272" s="74" t="str">
        <f>PLANILHA!E308</f>
        <v>UN</v>
      </c>
      <c r="E272" s="1023"/>
      <c r="F272" s="900">
        <v>3</v>
      </c>
    </row>
    <row r="273" spans="1:6" s="308" customFormat="1" ht="28.5" outlineLevel="1">
      <c r="A273" s="896" t="str">
        <f>PLANILHA!A309</f>
        <v>7.2.34</v>
      </c>
      <c r="B273" s="74" t="str">
        <f>PLANILHA!C309</f>
        <v>SEPLAG ELE 22</v>
      </c>
      <c r="C273" s="1022" t="str">
        <f>PLANILHA!D309</f>
        <v>DISJUNTOR TRIPOLAR TIPO DIN, CORRENTE NOMINAL DE 150A - FORNECIMENTO E INSTALAÇÃO. AF_10/2020</v>
      </c>
      <c r="D273" s="74" t="str">
        <f>PLANILHA!E309</f>
        <v>UND</v>
      </c>
      <c r="E273" s="1023"/>
      <c r="F273" s="900">
        <v>7</v>
      </c>
    </row>
    <row r="274" spans="1:6" s="308" customFormat="1" ht="28.5" outlineLevel="1">
      <c r="A274" s="896" t="str">
        <f>PLANILHA!A310</f>
        <v>7.2.35</v>
      </c>
      <c r="B274" s="74" t="str">
        <f>PLANILHA!C310</f>
        <v>SEPLAG ELE 24</v>
      </c>
      <c r="C274" s="1022" t="str">
        <f>PLANILHA!D310</f>
        <v>SUPRESSOR DE SURTO PARA PROTEÇÃO CLASSE 1 - 45 KA, FORNECIMENTO E INSTALAÇÃO</v>
      </c>
      <c r="D274" s="74" t="str">
        <f>PLANILHA!E310</f>
        <v>UND</v>
      </c>
      <c r="E274" s="1023"/>
      <c r="F274" s="900">
        <v>27</v>
      </c>
    </row>
    <row r="275" spans="1:6" s="308" customFormat="1" ht="42.75" outlineLevel="1">
      <c r="A275" s="896" t="str">
        <f>PLANILHA!A311</f>
        <v>7.2.36</v>
      </c>
      <c r="B275" s="74">
        <f>PLANILHA!C311</f>
        <v>95758</v>
      </c>
      <c r="C275" s="1022" t="str">
        <f>PLANILHA!D311</f>
        <v>LUVA DE EMENDA PARA ELETRODUTO, AÇO GALVANIZADO, DN 25 MM (1''), APARENTE, INSTALADA EM PAREDE - FORNECIMENTO E INSTALAÇÃO. AF_11/2016_P</v>
      </c>
      <c r="D275" s="74" t="str">
        <f>PLANILHA!E311</f>
        <v>UN</v>
      </c>
      <c r="E275" s="1023"/>
      <c r="F275" s="900">
        <v>8</v>
      </c>
    </row>
    <row r="276" spans="1:6" s="308" customFormat="1" ht="42.75" outlineLevel="1">
      <c r="A276" s="896" t="str">
        <f>PLANILHA!A312</f>
        <v>7.2.37</v>
      </c>
      <c r="B276" s="74">
        <f>PLANILHA!C312</f>
        <v>95757</v>
      </c>
      <c r="C276" s="1022" t="str">
        <f>PLANILHA!D312</f>
        <v>LUVA DE EMENDA PARA ELETRODUTO, AÇO GALVANIZADO, DN 20 MM (3/4''), APARENTE, INSTALADA EM PAREDE - FORNECIMENTO E INSTALAÇÃO. AF_11/2016_P</v>
      </c>
      <c r="D276" s="74" t="str">
        <f>PLANILHA!E312</f>
        <v>UN</v>
      </c>
      <c r="E276" s="1023"/>
      <c r="F276" s="900">
        <v>40</v>
      </c>
    </row>
    <row r="277" spans="1:6" s="308" customFormat="1" ht="42.75" outlineLevel="1">
      <c r="A277" s="896" t="str">
        <f>PLANILHA!A313</f>
        <v>7.2.38</v>
      </c>
      <c r="B277" s="74">
        <f>PLANILHA!C313</f>
        <v>95755</v>
      </c>
      <c r="C277" s="1022" t="str">
        <f>PLANILHA!D313</f>
        <v>LUVA DE EMENDA PARA ELETRODUTO, AÇO GALVANIZADO, DN 32 MM (1 1/4''), APARENTE, INSTALADA EM TETO - FORNECIMENTO E INSTALAÇÃO. AF_11/2016_P</v>
      </c>
      <c r="D277" s="74" t="str">
        <f>PLANILHA!E313</f>
        <v>UN</v>
      </c>
      <c r="E277" s="1023"/>
      <c r="F277" s="900">
        <v>4</v>
      </c>
    </row>
    <row r="278" spans="1:6" s="308" customFormat="1" ht="57" outlineLevel="1">
      <c r="A278" s="896" t="str">
        <f>PLANILHA!A314</f>
        <v>7.2.39</v>
      </c>
      <c r="B278" s="74" t="str">
        <f>PLANILHA!C314</f>
        <v>SEPLAG ELE 01</v>
      </c>
      <c r="C278" s="1022" t="str">
        <f>PLANILHA!D314</f>
        <v>ELETROCALHA LISA (50X50X300)MM EM CHAPA DE AÇO GALVANIZADO #18, COM TRATAMENTO PRÉ-ZINCADO, INCLUSIVE TAMPA DE ENCAIXE, FIXAÇÃO SUPERIOR, CONEXÕES E ACESSÓRIOS. FORNECIMENTO E INSTALAÇÃO.</v>
      </c>
      <c r="D278" s="74" t="str">
        <f>PLANILHA!E314</f>
        <v>UND</v>
      </c>
      <c r="E278" s="1023"/>
      <c r="F278" s="900">
        <f>50/3</f>
        <v>16.666666666666668</v>
      </c>
    </row>
    <row r="279" spans="1:6" s="308" customFormat="1" ht="57" outlineLevel="1">
      <c r="A279" s="896" t="str">
        <f>PLANILHA!A315</f>
        <v>7.2.40</v>
      </c>
      <c r="B279" s="74" t="str">
        <f>PLANILHA!C315</f>
        <v>SEPLAG ELE 02</v>
      </c>
      <c r="C279" s="1022" t="str">
        <f>PLANILHA!D315</f>
        <v>ELETROCALHA LISA (100X50X300)MM EM CHAPA DE AÇO GALVANIZADO #18, COM TRATAMENTO PRÉ-ZINCADO, INCLUSIVE TAMPA DE ENCAIXE, FIXAÇÃO SUPERIOR, CONEXÕES E ACESSÓRIOS. FORNECIMENTO E INSTALAÇÃO.</v>
      </c>
      <c r="D279" s="74" t="str">
        <f>PLANILHA!E315</f>
        <v>UND</v>
      </c>
      <c r="E279" s="1023"/>
      <c r="F279" s="900">
        <f>34.5/3</f>
        <v>11.5</v>
      </c>
    </row>
    <row r="280" spans="1:6" s="308" customFormat="1" ht="28.5" outlineLevel="1">
      <c r="A280" s="896" t="str">
        <f>PLANILHA!A316</f>
        <v>7.2.41</v>
      </c>
      <c r="B280" s="74" t="str">
        <f>PLANILHA!C316</f>
        <v>SEPLAG ELE 72</v>
      </c>
      <c r="C280" s="1022" t="str">
        <f>PLANILHA!D316</f>
        <v>SAÍDA HORIZONTAL PARA ELETRODUTO 1", FORNECIMENTO E INSTALAÇÃO.</v>
      </c>
      <c r="D280" s="74" t="str">
        <f>PLANILHA!E316</f>
        <v>UND</v>
      </c>
      <c r="E280" s="1023"/>
      <c r="F280" s="900">
        <v>9</v>
      </c>
    </row>
    <row r="281" spans="1:6" s="308" customFormat="1" ht="28.5" outlineLevel="1">
      <c r="A281" s="896" t="str">
        <f>PLANILHA!A317</f>
        <v>7.2.42</v>
      </c>
      <c r="B281" s="74" t="str">
        <f>PLANILHA!C317</f>
        <v>SEPLAG ELE 78</v>
      </c>
      <c r="C281" s="1022" t="str">
        <f>PLANILHA!D317</f>
        <v>CURVA (X) HORIZONTAL 90º, 50X50MM FORNECIMENTO E INSTALAÇÃO.</v>
      </c>
      <c r="D281" s="74" t="str">
        <f>PLANILHA!E317</f>
        <v>UND</v>
      </c>
      <c r="E281" s="1023"/>
      <c r="F281" s="900">
        <v>6</v>
      </c>
    </row>
    <row r="282" spans="1:6" s="308" customFormat="1" ht="28.5" outlineLevel="1">
      <c r="A282" s="896" t="str">
        <f>PLANILHA!A318</f>
        <v>7.2.43</v>
      </c>
      <c r="B282" s="74" t="str">
        <f>PLANILHA!C318</f>
        <v>SEPLAG ELE 77</v>
      </c>
      <c r="C282" s="1022" t="str">
        <f>PLANILHA!D318</f>
        <v>CURVA (X) HORIZONTAL 90º, 100X50MM FORNECIMENTO E INSTALAÇÃO.</v>
      </c>
      <c r="D282" s="74" t="str">
        <f>PLANILHA!E318</f>
        <v>UND</v>
      </c>
      <c r="E282" s="1023"/>
      <c r="F282" s="900">
        <v>3</v>
      </c>
    </row>
    <row r="283" spans="1:6" s="308" customFormat="1" ht="57" outlineLevel="1">
      <c r="A283" s="896" t="str">
        <f>PLANILHA!A319</f>
        <v>7.2.44</v>
      </c>
      <c r="B283" s="74" t="str">
        <f>PLANILHA!C319</f>
        <v>SEPLAG ELE 54</v>
      </c>
      <c r="C283" s="1022" t="str">
        <f>PLANILHA!D319</f>
        <v>ELETROCALHA PERF. GALVANIZADA TIPO "U" COM TAMPA 50X50X3000 mm + SUPORTE PARA ELETROCALHA LISA OU PERFURADA EM AÇO GALVANIZADO, LARGURA 500 OU 800 mm, ESPAÇADO A CADA 1,50 M. FORNECIMENTO E INSTALAÇÃO.</v>
      </c>
      <c r="D283" s="74" t="str">
        <f>PLANILHA!E319</f>
        <v>UND</v>
      </c>
      <c r="E283" s="1023"/>
      <c r="F283" s="900">
        <f>95/3</f>
        <v>31.666666666666668</v>
      </c>
    </row>
    <row r="284" spans="1:6" s="308" customFormat="1" ht="28.5" outlineLevel="1">
      <c r="A284" s="896" t="str">
        <f>PLANILHA!A320</f>
        <v>7.2.45</v>
      </c>
      <c r="B284" s="74" t="str">
        <f>PLANILHA!C320</f>
        <v>SEPLAG ELE 82</v>
      </c>
      <c r="C284" s="1022" t="str">
        <f>PLANILHA!D320</f>
        <v xml:space="preserve"> T HORIZONTAL (X) HORIZONTAL 90º, 100X50MM FORNECIMENTO E INSTALAÇÃO.</v>
      </c>
      <c r="D284" s="74" t="str">
        <f>PLANILHA!E320</f>
        <v>UND</v>
      </c>
      <c r="E284" s="1023"/>
      <c r="F284" s="900">
        <v>4</v>
      </c>
    </row>
    <row r="285" spans="1:6" s="308" customFormat="1" ht="28.5" outlineLevel="1">
      <c r="A285" s="896" t="str">
        <f>PLANILHA!A321</f>
        <v>7.2.46</v>
      </c>
      <c r="B285" s="74" t="str">
        <f>PLANILHA!C321</f>
        <v>SEPLAG ELE 83</v>
      </c>
      <c r="C285" s="1022" t="str">
        <f>PLANILHA!D321</f>
        <v xml:space="preserve"> T HORIZONTAL (X) HORIZONTAL 90º, 50X50MM FORNECIMENTO E INSTALAÇÃO.</v>
      </c>
      <c r="D285" s="74" t="str">
        <f>PLANILHA!E321</f>
        <v>UND</v>
      </c>
      <c r="E285" s="1023"/>
      <c r="F285" s="900">
        <v>8</v>
      </c>
    </row>
    <row r="286" spans="1:6" s="308" customFormat="1" ht="28.5" outlineLevel="1">
      <c r="A286" s="896" t="str">
        <f>PLANILHA!A322</f>
        <v>7.2.47</v>
      </c>
      <c r="B286" s="74" t="str">
        <f>PLANILHA!C322</f>
        <v>SEPLAG ELE 84</v>
      </c>
      <c r="C286" s="1022" t="str">
        <f>PLANILHA!D322</f>
        <v>TALA PLANA PERFURADA 100MM PARA ELETROCALHA METÁLICA, FORNCECIMENTO E INSTALAÇÃO.</v>
      </c>
      <c r="D286" s="74" t="str">
        <f>PLANILHA!E322</f>
        <v>UND</v>
      </c>
      <c r="E286" s="1023"/>
      <c r="F286" s="900">
        <v>111</v>
      </c>
    </row>
    <row r="287" spans="1:6" s="308" customFormat="1" ht="57" outlineLevel="1">
      <c r="A287" s="896" t="str">
        <f>PLANILHA!A323</f>
        <v>7.2.48</v>
      </c>
      <c r="B287" s="74">
        <f>PLANILHA!C323</f>
        <v>91170</v>
      </c>
      <c r="C287" s="1022" t="str">
        <f>PLANILHA!D323</f>
        <v>FIXAÇÃO DE TUBOS HORIZONTAIS DE PVC, CPVC OU COBRE DIÂMETROS MENORES OU IGUAIS A 40 MM OU ELETROCALHAS ATÉ 150MM DE LARGURA, COM ABRAÇADEIRA METÁLICA RÍGIDA TIPO D 1/2, FIXADA EM PERFILADO EM LAJE. AF_05/2015</v>
      </c>
      <c r="D287" s="74" t="str">
        <f>PLANILHA!E323</f>
        <v>M</v>
      </c>
      <c r="E287" s="1023"/>
      <c r="F287" s="900">
        <v>150</v>
      </c>
    </row>
    <row r="288" spans="1:6" s="308" customFormat="1" ht="45" customHeight="1" outlineLevel="1">
      <c r="A288" s="896" t="str">
        <f>PLANILHA!A324</f>
        <v>7.2.49</v>
      </c>
      <c r="B288" s="74">
        <f>PLANILHA!C324</f>
        <v>91171</v>
      </c>
      <c r="C288" s="1022" t="str">
        <f>PLANILHA!D324</f>
        <v>FIXAÇÃO DE TUBOS HORIZONTAIS DE PVC, CPVC OU COBRE DIÂMETROS MAIORES QUE 40 MM E MENORES OU IGUAIS A 75 MM COM ABRAÇADEIRA METÁLICA RÍGIDA TIPO D 1 1/2", FIXADA EM PERFILADO EM LAJE. AF_05/2015</v>
      </c>
      <c r="D288" s="74" t="str">
        <f>PLANILHA!E324</f>
        <v>M</v>
      </c>
      <c r="E288" s="1023"/>
      <c r="F288" s="900">
        <v>23</v>
      </c>
    </row>
    <row r="289" spans="1:6" s="308" customFormat="1" ht="42.75" outlineLevel="1">
      <c r="A289" s="896" t="str">
        <f>PLANILHA!A325</f>
        <v>7.2.50</v>
      </c>
      <c r="B289" s="74">
        <f>PLANILHA!C325</f>
        <v>91172</v>
      </c>
      <c r="C289" s="1022" t="str">
        <f>PLANILHA!D325</f>
        <v>FIXAÇÃO DE TUBOS HORIZONTAIS DE PVC, CPVC OU COBRE DIÂMETROS MAIORES QUE 75 MM COM ABRAÇADEIRA METÁLICA RÍGIDA TIPO D 3", FIXADA EM PERFILADO EM LAJE. AF_05/2015</v>
      </c>
      <c r="D289" s="74" t="str">
        <f>PLANILHA!E325</f>
        <v>M</v>
      </c>
      <c r="E289" s="1023"/>
      <c r="F289" s="900">
        <v>14</v>
      </c>
    </row>
    <row r="290" spans="1:6" s="308" customFormat="1" ht="28.5" outlineLevel="1">
      <c r="A290" s="896" t="str">
        <f>PLANILHA!A326</f>
        <v>7.2.51</v>
      </c>
      <c r="B290" s="74" t="str">
        <f>PLANILHA!C326</f>
        <v>SEPLAG ELE 74</v>
      </c>
      <c r="C290" s="1022" t="str">
        <f>PLANILHA!D326</f>
        <v xml:space="preserve"> CRUZETA (X) HORIZONTAL 90º, 300X50MM FORNECIMENTO E INSTALAÇÃO.</v>
      </c>
      <c r="D290" s="74" t="str">
        <f>PLANILHA!E326</f>
        <v>UND</v>
      </c>
      <c r="E290" s="1023"/>
      <c r="F290" s="900">
        <v>1</v>
      </c>
    </row>
    <row r="291" spans="1:6" s="308" customFormat="1" ht="57" outlineLevel="1">
      <c r="A291" s="896" t="str">
        <f>PLANILHA!A327</f>
        <v>7.2.52</v>
      </c>
      <c r="B291" s="74" t="str">
        <f>PLANILHA!C327</f>
        <v>SEPLAG ELE 03</v>
      </c>
      <c r="C291" s="1022" t="str">
        <f>PLANILHA!D327</f>
        <v>ELETROCALHA LISA (200X50X300)MM EM CHAPA DE AÇO GALVANIZADO #18, COM TRATAMENTO PRÉ-ZINCADO, INCLUSIVE TAMPA DE ENCAIXE, FIXAÇÃO SUPERIOR, CONEXÕES E ACESSÓRIOS. FORNECIMENTO E INSTALAÇÃO.</v>
      </c>
      <c r="D291" s="74" t="str">
        <f>PLANILHA!E327</f>
        <v>UND</v>
      </c>
      <c r="E291" s="1023"/>
      <c r="F291" s="900">
        <f>5/3</f>
        <v>1.6666666666666667</v>
      </c>
    </row>
    <row r="292" spans="1:6" s="308" customFormat="1" ht="57" outlineLevel="1">
      <c r="A292" s="896" t="str">
        <f>PLANILHA!A328</f>
        <v>7.2.53</v>
      </c>
      <c r="B292" s="74" t="str">
        <f>PLANILHA!C328</f>
        <v>SEPLAG ELE 04</v>
      </c>
      <c r="C292" s="1022" t="str">
        <f>PLANILHA!D328</f>
        <v>ELETROCALHA LISA (300X50X300)MM EM CHAPA DE AÇO GALVANIZADO #18, COM TRATAMENTO PRÉ-ZINCADO, INCLUSIVE TAMPA DE ENCAIXE, FIXAÇÃO SUPERIOR, CONEXÕES E ACESSÓRIOS. FORNECIMENTO E INSTALAÇÃO.</v>
      </c>
      <c r="D292" s="74" t="str">
        <f>PLANILHA!E328</f>
        <v>UND</v>
      </c>
      <c r="E292" s="1023"/>
      <c r="F292" s="900">
        <f>3/3</f>
        <v>1</v>
      </c>
    </row>
    <row r="293" spans="1:6" s="308" customFormat="1" ht="57" outlineLevel="1">
      <c r="A293" s="896" t="str">
        <f>PLANILHA!A329</f>
        <v>7.2.54</v>
      </c>
      <c r="B293" s="74" t="str">
        <f>PLANILHA!C329</f>
        <v>SEPLAG ELE 79</v>
      </c>
      <c r="C293" s="1022" t="str">
        <f>PLANILHA!D329</f>
        <v>ELETROCALHA LISA (150X50X300)MM EM CHAPA DE AÇO GALVANIZADO #18, COM TRATAMENTO PRÉ-ZINCADO, INCLUSIVE TAMPA DE ENCAIXE, FIXAÇÃO SUPERIOR, CONEXÕES E ACESSÓRIOS. FORNECIMENTO E INSTALAÇÃO.</v>
      </c>
      <c r="D293" s="74" t="str">
        <f>PLANILHA!E329</f>
        <v>UND</v>
      </c>
      <c r="E293" s="1023"/>
      <c r="F293" s="900">
        <f>16.4/3</f>
        <v>5.4666666666666659</v>
      </c>
    </row>
    <row r="294" spans="1:6" s="308" customFormat="1" ht="28.5" outlineLevel="1">
      <c r="A294" s="896" t="str">
        <f>PLANILHA!A330</f>
        <v>7.2.55</v>
      </c>
      <c r="B294" s="74">
        <f>PLANILHA!C330</f>
        <v>93667</v>
      </c>
      <c r="C294" s="1022" t="str">
        <f>PLANILHA!D330</f>
        <v>DISJUNTOR TRIPOLAR TIPO DIN, CORRENTE NOMINAL DE 10A - FORNECIMENTO E INSTALAÇÃO. AF_10/2020</v>
      </c>
      <c r="D294" s="74" t="str">
        <f>PLANILHA!E330</f>
        <v>UN</v>
      </c>
      <c r="E294" s="1023"/>
      <c r="F294" s="900">
        <f>4</f>
        <v>4</v>
      </c>
    </row>
    <row r="295" spans="1:6" s="308" customFormat="1" ht="28.5" outlineLevel="1">
      <c r="A295" s="896" t="str">
        <f>PLANILHA!A331</f>
        <v>7.2.56</v>
      </c>
      <c r="B295" s="74">
        <f>PLANILHA!C331</f>
        <v>93668</v>
      </c>
      <c r="C295" s="1022" t="str">
        <f>PLANILHA!D331</f>
        <v>DISJUNTOR TRIPOLAR TIPO DIN, CORRENTE NOMINAL DE 16A - FORNECIMENTO E INSTALAÇÃO. AF_10/2020</v>
      </c>
      <c r="D295" s="74" t="str">
        <f>PLANILHA!E331</f>
        <v>UN</v>
      </c>
      <c r="E295" s="1023"/>
      <c r="F295" s="900">
        <f>1</f>
        <v>1</v>
      </c>
    </row>
    <row r="296" spans="1:6" s="308" customFormat="1" ht="42.75" outlineLevel="1">
      <c r="A296" s="896" t="str">
        <f>PLANILHA!A332</f>
        <v>7.2.57</v>
      </c>
      <c r="B296" s="74">
        <f>PLANILHA!C332</f>
        <v>91879</v>
      </c>
      <c r="C296" s="1022" t="str">
        <f>PLANILHA!D332</f>
        <v>LUVA PARA ELETRODUTO, PVC, ROSCÁVEL, DN 25 MM (3/4"), PARA CIRCUITOS TERMINAIS, INSTALADA EM LAJE - FORNECIMENTO E INSTALAÇÃO. AF_12/2015</v>
      </c>
      <c r="D296" s="74" t="str">
        <f>PLANILHA!E332</f>
        <v>UN</v>
      </c>
      <c r="E296" s="1023"/>
      <c r="F296" s="900">
        <v>13</v>
      </c>
    </row>
    <row r="297" spans="1:6" s="308" customFormat="1" ht="42.75" outlineLevel="1">
      <c r="A297" s="896" t="str">
        <f>PLANILHA!A333</f>
        <v>7.2.58</v>
      </c>
      <c r="B297" s="74">
        <f>PLANILHA!C333</f>
        <v>91880</v>
      </c>
      <c r="C297" s="1022" t="str">
        <f>PLANILHA!D333</f>
        <v>LUVA PARA ELETRODUTO, PVC, ROSCÁVEL, DN 32 MM (1"), PARA CIRCUITOS TERMINAIS, INSTALADA EM LAJE - FORNECIMENTO E INSTALAÇÃO. AF_12/2015</v>
      </c>
      <c r="D297" s="74" t="str">
        <f>PLANILHA!E333</f>
        <v>UN</v>
      </c>
      <c r="E297" s="1023"/>
      <c r="F297" s="900">
        <v>4</v>
      </c>
    </row>
    <row r="298" spans="1:6" s="308" customFormat="1" ht="42.75" outlineLevel="1">
      <c r="A298" s="950" t="str">
        <f>PLANILHA!A334</f>
        <v>7.2.59</v>
      </c>
      <c r="B298" s="925">
        <f>PLANILHA!C334</f>
        <v>93013</v>
      </c>
      <c r="C298" s="1026" t="str">
        <f>PLANILHA!D334</f>
        <v>LUVA PARA ELETRODUTO, PVC, ROSCÁVEL, DN 50 MM (1 1/2"), PARA REDE ENTERRADA DE DISTRIBUIÇÃO DE ENERGIA ELÉTRICA - FORNECIMENTO E INSTALAÇÃO. AF_12/2021</v>
      </c>
      <c r="D298" s="925" t="str">
        <f>PLANILHA!E334</f>
        <v>UN</v>
      </c>
      <c r="E298" s="1027"/>
      <c r="F298" s="1028">
        <v>6</v>
      </c>
    </row>
    <row r="299" spans="1:6" s="308" customFormat="1" outlineLevel="1">
      <c r="A299" s="1029"/>
      <c r="B299" s="963"/>
      <c r="C299" s="1030"/>
      <c r="D299" s="963"/>
      <c r="E299" s="1031"/>
      <c r="F299" s="1032"/>
    </row>
    <row r="300" spans="1:6" s="308" customFormat="1" outlineLevel="1">
      <c r="A300" s="1018" t="str">
        <f>PLANILHA!A337</f>
        <v>7.3</v>
      </c>
      <c r="B300" s="930"/>
      <c r="C300" s="1019" t="str">
        <f>PLANILHA!D337</f>
        <v>SERVIÇOS COMPLEMENTARES</v>
      </c>
      <c r="D300" s="958"/>
      <c r="E300" s="1033"/>
      <c r="F300" s="1034"/>
    </row>
    <row r="301" spans="1:6" s="716" customFormat="1" ht="42.75" outlineLevel="1">
      <c r="A301" s="1035" t="str">
        <f>PLANILHA!A338</f>
        <v>7.3.1</v>
      </c>
      <c r="B301" s="842">
        <f>PLANILHA!C338</f>
        <v>97669</v>
      </c>
      <c r="C301" s="492" t="str">
        <f>PLANILHA!D338</f>
        <v>ELETRODUTO FLEXÍVEL CORRUGADO, PEAD, DN 90 (3"), PARA REDE ENTERRADA DE DISTRIBUIÇÃO DE ENERGIA ELÉTRICA - FORNECIMENTO E INSTALAÇÃO. AF_12/2021</v>
      </c>
      <c r="D301" s="842" t="str">
        <f>PLANILHA!E338</f>
        <v>M</v>
      </c>
      <c r="E301" s="1036"/>
      <c r="F301" s="1037">
        <v>406</v>
      </c>
    </row>
    <row r="302" spans="1:6" s="716" customFormat="1" ht="28.5" outlineLevel="1">
      <c r="A302" s="1035" t="str">
        <f>PLANILHA!A339</f>
        <v>7.3.2</v>
      </c>
      <c r="B302" s="842">
        <f>PLANILHA!C339</f>
        <v>93358</v>
      </c>
      <c r="C302" s="492" t="str">
        <f>PLANILHA!D339</f>
        <v>ESCAVAÇÃO MANUAL DE VALA COM PROFUNDIDADE MENOR OU IGUAL A 1,30 M. AF_02/2021</v>
      </c>
      <c r="D302" s="842" t="str">
        <f>PLANILHA!E339</f>
        <v>M3</v>
      </c>
      <c r="E302" s="1036"/>
      <c r="F302" s="1037">
        <v>48.3</v>
      </c>
    </row>
    <row r="303" spans="1:6" s="716" customFormat="1" ht="28.5" outlineLevel="1">
      <c r="A303" s="1035" t="str">
        <f>PLANILHA!A340</f>
        <v>7.3.3</v>
      </c>
      <c r="B303" s="842">
        <f>PLANILHA!C340</f>
        <v>93382</v>
      </c>
      <c r="C303" s="492" t="str">
        <f>PLANILHA!D340</f>
        <v>REATERRO MANUAL DE VALAS COM COMPACTAÇÃO MECANIZADA. AF_04/2016</v>
      </c>
      <c r="D303" s="842" t="str">
        <f>PLANILHA!E340</f>
        <v>M3</v>
      </c>
      <c r="E303" s="1036"/>
      <c r="F303" s="1037">
        <v>48.3</v>
      </c>
    </row>
    <row r="304" spans="1:6" s="716" customFormat="1" ht="42.75" outlineLevel="1">
      <c r="A304" s="1035" t="str">
        <f>PLANILHA!A341</f>
        <v>7.3.4</v>
      </c>
      <c r="B304" s="842">
        <f>PLANILHA!C341</f>
        <v>92397</v>
      </c>
      <c r="C304" s="492" t="str">
        <f>PLANILHA!D341</f>
        <v>EXECUÇÃO DE PÁTIO/ESTACIONAMENTO EM PISO INTERTRAVADO, COM BLOCO RETANGULAR COR NATURAL DE 20 X 10 CM, ESPESSURA 6 CM. AF_12/2015</v>
      </c>
      <c r="D304" s="842" t="str">
        <f>PLANILHA!E341</f>
        <v>M2</v>
      </c>
      <c r="E304" s="1036"/>
      <c r="F304" s="1037">
        <v>46.2</v>
      </c>
    </row>
    <row r="305" spans="1:6" s="716" customFormat="1" ht="42.75" outlineLevel="1">
      <c r="A305" s="1035" t="str">
        <f>PLANILHA!A342</f>
        <v>7.3.5</v>
      </c>
      <c r="B305" s="842">
        <f>PLANILHA!C342</f>
        <v>94992</v>
      </c>
      <c r="C305" s="492" t="str">
        <f>PLANILHA!D342</f>
        <v>EXECUÇÃO DE PASSEIO (CALÇADA) OU PISO DE CONCRETO COM CONCRETO MOLDADO IN LOCO, FEITO EM OBRA, ACABAMENTO CONVENCIONAL, ESPESSURA 6 CM, ARMADO. AF_07/2016</v>
      </c>
      <c r="D305" s="842" t="str">
        <f>PLANILHA!E342</f>
        <v>M2</v>
      </c>
      <c r="E305" s="1036"/>
      <c r="F305" s="1037">
        <v>34.299999999999997</v>
      </c>
    </row>
    <row r="306" spans="1:6" s="716" customFormat="1" ht="28.5" outlineLevel="1">
      <c r="A306" s="1035" t="str">
        <f>PLANILHA!A343</f>
        <v>7.3.6</v>
      </c>
      <c r="B306" s="842">
        <f>PLANILHA!C343</f>
        <v>101811</v>
      </c>
      <c r="C306" s="492" t="str">
        <f>PLANILHA!D343</f>
        <v>EXECUÇÃO DE TAPA BURACO COM APLICAÇÃO DE PRÉ MISTURADO A FRIO (USINAGEM PRÓPRIA) E PINTURA DE LIGAÇÃO. AF_12/2020</v>
      </c>
      <c r="D306" s="842" t="str">
        <f>PLANILHA!E343</f>
        <v>M3</v>
      </c>
      <c r="E306" s="1036"/>
      <c r="F306" s="1037">
        <v>2.7</v>
      </c>
    </row>
    <row r="307" spans="1:6" s="716" customFormat="1" ht="42.75" outlineLevel="1">
      <c r="A307" s="1035" t="str">
        <f>PLANILHA!A344</f>
        <v>7.3.7</v>
      </c>
      <c r="B307" s="842">
        <f>PLANILHA!C344</f>
        <v>102996</v>
      </c>
      <c r="C307" s="492" t="str">
        <f>PLANILHA!D344</f>
        <v>EXECUÇÃO DE CANALETA DE CONCRETO MOLDADO IN LOCO, ESPESSURA DE 0,07 M, GEOMETRIA TRAPEZOIDAL (DIMENSÕES INTERNAS: B=0,9 M; B=0,246 M; H=0,3 M). AF_08/2021</v>
      </c>
      <c r="D307" s="842" t="str">
        <f>PLANILHA!E344</f>
        <v>M</v>
      </c>
      <c r="E307" s="1036"/>
      <c r="F307" s="1037">
        <v>132</v>
      </c>
    </row>
    <row r="308" spans="1:6" s="716" customFormat="1" ht="42.75" outlineLevel="1">
      <c r="A308" s="1035" t="str">
        <f>PLANILHA!A345</f>
        <v>7.3.8</v>
      </c>
      <c r="B308" s="842">
        <f>PLANILHA!C345</f>
        <v>93011</v>
      </c>
      <c r="C308" s="492" t="str">
        <f>PLANILHA!D345</f>
        <v>ELETRODUTO RÍGIDO ROSCÁVEL, PVC, DN 85 MM (3"), PARA REDE ENTERRADA DE DISTRIBUIÇÃO DE ENERGIA ELÉTRICA - FORNECIMENTO E INSTALAÇÃO. AF_12/2021</v>
      </c>
      <c r="D308" s="842" t="str">
        <f>PLANILHA!E345</f>
        <v>M</v>
      </c>
      <c r="E308" s="1036"/>
      <c r="F308" s="1037">
        <v>29</v>
      </c>
    </row>
    <row r="309" spans="1:6" s="716" customFormat="1" ht="42.75" outlineLevel="1">
      <c r="A309" s="1035" t="str">
        <f>PLANILHA!A346</f>
        <v>7.3.9</v>
      </c>
      <c r="B309" s="842">
        <f>PLANILHA!C346</f>
        <v>91865</v>
      </c>
      <c r="C309" s="492" t="str">
        <f>PLANILHA!D346</f>
        <v>ELETRODUTO RÍGIDO ROSCÁVEL, PVC, DN 40 MM (1 1/4"), PARA CIRCUITOS TERMINAIS, INSTALADO EM FORRO - FORNECIMENTO E INSTALAÇÃO. AF_12/2015</v>
      </c>
      <c r="D309" s="842" t="str">
        <f>PLANILHA!E346</f>
        <v>M</v>
      </c>
      <c r="E309" s="1036"/>
      <c r="F309" s="1037">
        <v>19.3</v>
      </c>
    </row>
    <row r="310" spans="1:6" s="716" customFormat="1" ht="42.75" outlineLevel="1">
      <c r="A310" s="1035" t="str">
        <f>PLANILHA!A347</f>
        <v>7.3.10</v>
      </c>
      <c r="B310" s="842">
        <f>PLANILHA!C347</f>
        <v>91868</v>
      </c>
      <c r="C310" s="492" t="str">
        <f>PLANILHA!D347</f>
        <v>ELETRODUTO RÍGIDO ROSCÁVEL, PVC, DN 32 MM (1"), PARA CIRCUITOS TERMINAIS, INSTALADO EM LAJE - FORNECIMENTO E INSTALAÇÃO. AF_12/2015</v>
      </c>
      <c r="D310" s="842" t="str">
        <f>PLANILHA!E347</f>
        <v>M</v>
      </c>
      <c r="E310" s="1036"/>
      <c r="F310" s="1037">
        <v>59.1</v>
      </c>
    </row>
    <row r="311" spans="1:6" s="716" customFormat="1" ht="42.75" outlineLevel="1">
      <c r="A311" s="1035" t="str">
        <f>PLANILHA!A348</f>
        <v>7.3.11</v>
      </c>
      <c r="B311" s="842">
        <f>PLANILHA!C348</f>
        <v>91867</v>
      </c>
      <c r="C311" s="492" t="str">
        <f>PLANILHA!D348</f>
        <v>ELETRODUTO RÍGIDO ROSCÁVEL, PVC, DN 25 MM (3/4"), PARA CIRCUITOS TERMINAIS, INSTALADO EM LAJE - FORNECIMENTO E INSTALAÇÃO. AF_12/2015</v>
      </c>
      <c r="D311" s="842" t="str">
        <f>PLANILHA!E348</f>
        <v>M</v>
      </c>
      <c r="E311" s="1036"/>
      <c r="F311" s="1037">
        <v>218</v>
      </c>
    </row>
    <row r="312" spans="1:6" s="716" customFormat="1" ht="28.5" outlineLevel="1">
      <c r="A312" s="1035" t="str">
        <f>PLANILHA!A349</f>
        <v>7.3.12</v>
      </c>
      <c r="B312" s="842">
        <f>PLANILHA!C349</f>
        <v>97599</v>
      </c>
      <c r="C312" s="492" t="str">
        <f>PLANILHA!D349</f>
        <v>LUMINÁRIA DE EMERGÊNCIA, COM 30 LÂMPADAS LED DE 2 W, SEM REATOR - FORNECIMENTO E INSTALAÇÃO. AF_02/2020</v>
      </c>
      <c r="D312" s="842" t="str">
        <f>PLANILHA!E349</f>
        <v>UN</v>
      </c>
      <c r="E312" s="1036"/>
      <c r="F312" s="1037">
        <v>9</v>
      </c>
    </row>
    <row r="313" spans="1:6" s="716" customFormat="1" ht="28.5" outlineLevel="1">
      <c r="A313" s="1035" t="str">
        <f>PLANILHA!A350</f>
        <v>7.3.13</v>
      </c>
      <c r="B313" s="842" t="str">
        <f>PLANILHA!C350</f>
        <v>SEPLAG ELE 89</v>
      </c>
      <c r="C313" s="492" t="str">
        <f>PLANILHA!D350</f>
        <v>Luminária LED SLIM de Sobrepor, MARCA AVANT OU SIMILAR. FORNECIMENTO E INSTALAÇÃO.</v>
      </c>
      <c r="D313" s="842" t="str">
        <f>PLANILHA!E350</f>
        <v>UND</v>
      </c>
      <c r="E313" s="1036"/>
      <c r="F313" s="1037">
        <v>42</v>
      </c>
    </row>
    <row r="314" spans="1:6" s="308" customFormat="1" ht="28.5" outlineLevel="1">
      <c r="A314" s="1035" t="str">
        <f>PLANILHA!A351</f>
        <v>7.3.14</v>
      </c>
      <c r="B314" s="842" t="str">
        <f>PLANILHA!C351</f>
        <v>SEPLAG ELE 90</v>
      </c>
      <c r="C314" s="492" t="str">
        <f>PLANILHA!D351</f>
        <v>Luminária LED externa,Refletor LED 100W. FORNECIMENTO E INSTALAÇÃO.</v>
      </c>
      <c r="D314" s="842" t="str">
        <f>PLANILHA!E351</f>
        <v>UND</v>
      </c>
      <c r="E314" s="1036"/>
      <c r="F314" s="1032">
        <v>7</v>
      </c>
    </row>
    <row r="315" spans="1:6" s="308" customFormat="1" ht="28.5" outlineLevel="1">
      <c r="A315" s="1035" t="str">
        <f>PLANILHA!A352</f>
        <v>7.3.15</v>
      </c>
      <c r="B315" s="842" t="str">
        <f>PLANILHA!C352</f>
        <v>SEPLAG ELE 91</v>
      </c>
      <c r="C315" s="492" t="str">
        <f>PLANILHA!D352</f>
        <v>Luminária LED externa,Refletor LED 150W. FORNECIMENTO E INSTALAÇÃO.</v>
      </c>
      <c r="D315" s="842" t="str">
        <f>PLANILHA!E352</f>
        <v>UND</v>
      </c>
      <c r="E315" s="1036"/>
      <c r="F315" s="1032">
        <v>11</v>
      </c>
    </row>
    <row r="316" spans="1:6" s="308" customFormat="1" ht="28.5" outlineLevel="1">
      <c r="A316" s="1035" t="str">
        <f>PLANILHA!A353</f>
        <v>7.3.16</v>
      </c>
      <c r="B316" s="842" t="str">
        <f>PLANILHA!C353</f>
        <v>SEPLAG ELE 94</v>
      </c>
      <c r="C316" s="492" t="str">
        <f>PLANILHA!D353</f>
        <v>FONTE 12V METALICA COLMEIA 25A 300W. FORNECIMENTO E INSTALAÇÃO.</v>
      </c>
      <c r="D316" s="842" t="str">
        <f>PLANILHA!E353</f>
        <v>UND</v>
      </c>
      <c r="E316" s="1036"/>
      <c r="F316" s="1032">
        <v>41</v>
      </c>
    </row>
    <row r="317" spans="1:6" s="308" customFormat="1" ht="42.75" outlineLevel="1">
      <c r="A317" s="1035" t="str">
        <f>PLANILHA!A354</f>
        <v>7.3.17</v>
      </c>
      <c r="B317" s="842">
        <f>PLANILHA!C354</f>
        <v>97891</v>
      </c>
      <c r="C317" s="492" t="str">
        <f>PLANILHA!D354</f>
        <v>CAIXA ENTERRADA ELÉTRICA RETANGULAR, EM ALVENARIA COM BLOCOS DE CONCRETO, FUNDO COM BRITA, DIMENSÕES INTERNAS: 0,4X0,4X0,4 M. AF_12/2020</v>
      </c>
      <c r="D317" s="842" t="str">
        <f>PLANILHA!E354</f>
        <v>UN</v>
      </c>
      <c r="E317" s="1036"/>
      <c r="F317" s="1032">
        <v>16</v>
      </c>
    </row>
    <row r="318" spans="1:6" s="308" customFormat="1" ht="42.75" outlineLevel="1">
      <c r="A318" s="1035" t="str">
        <f>PLANILHA!A355</f>
        <v>7.3.18</v>
      </c>
      <c r="B318" s="842">
        <f>PLANILHA!C355</f>
        <v>93008</v>
      </c>
      <c r="C318" s="492" t="str">
        <f>PLANILHA!D355</f>
        <v>ELETRODUTO RÍGIDO ROSCÁVEL, PVC, DN 50 MM (1 1/2"), PARA REDE ENTERRADA DE DISTRIBUIÇÃO DE ENERGIA ELÉTRICA - FORNECIMENTO E INSTALAÇÃO. AF_12/2021</v>
      </c>
      <c r="D318" s="842" t="str">
        <f>PLANILHA!E355</f>
        <v>M</v>
      </c>
      <c r="E318" s="1036"/>
      <c r="F318" s="900">
        <v>25</v>
      </c>
    </row>
    <row r="319" spans="1:6" s="308" customFormat="1" ht="42.75" outlineLevel="1">
      <c r="A319" s="1035" t="str">
        <f>PLANILHA!A356</f>
        <v>7.3.19</v>
      </c>
      <c r="B319" s="842">
        <f>PLANILHA!C356</f>
        <v>93010</v>
      </c>
      <c r="C319" s="492" t="str">
        <f>PLANILHA!D356</f>
        <v>ELETRODUTO RÍGIDO ROSCÁVEL, PVC, DN 75 MM (2 1/2"), PARA REDE ENTERRADA DE DISTRIBUIÇÃO DE ENERGIA ELÉTRICA - FORNECIMENTO E INSTALAÇÃO. AF_12/2021</v>
      </c>
      <c r="D319" s="842" t="str">
        <f>PLANILHA!E356</f>
        <v>M</v>
      </c>
      <c r="E319" s="1036"/>
      <c r="F319" s="900">
        <v>6</v>
      </c>
    </row>
    <row r="320" spans="1:6" s="308" customFormat="1" ht="42.75" outlineLevel="1">
      <c r="A320" s="1035" t="str">
        <f>PLANILHA!A357</f>
        <v>7.3.20</v>
      </c>
      <c r="B320" s="842">
        <f>PLANILHA!C357</f>
        <v>97892</v>
      </c>
      <c r="C320" s="492" t="str">
        <f>PLANILHA!D357</f>
        <v>CAIXA ENTERRADA ELÉTRICA RETANGULAR, EM ALVENARIA COM BLOCOS DE CONCRETO, FUNDO COM BRITA, DIMENSÕES INTERNAS: 0,6X0,6X0,6 M. AF_12/2020</v>
      </c>
      <c r="D320" s="842" t="str">
        <f>PLANILHA!E357</f>
        <v>UN</v>
      </c>
      <c r="E320" s="1036"/>
      <c r="F320" s="900">
        <f>2</f>
        <v>2</v>
      </c>
    </row>
    <row r="321" spans="1:6" s="308" customFormat="1" ht="28.5" outlineLevel="1">
      <c r="A321" s="1035" t="str">
        <f>PLANILHA!A358</f>
        <v>7.3.21</v>
      </c>
      <c r="B321" s="842" t="str">
        <f>PLANILHA!C358</f>
        <v>SEPLAG ELE 49</v>
      </c>
      <c r="C321" s="492" t="str">
        <f>PLANILHA!D358</f>
        <v>CONVERSOR BALUM RJ45/P4, FORNECIMENTO E INSTALAÇÃO.</v>
      </c>
      <c r="D321" s="842" t="str">
        <f>PLANILHA!E358</f>
        <v>UND</v>
      </c>
      <c r="E321" s="1036"/>
      <c r="F321" s="900">
        <v>6</v>
      </c>
    </row>
    <row r="322" spans="1:6" s="308" customFormat="1" ht="28.5" outlineLevel="1">
      <c r="A322" s="1035" t="str">
        <f>PLANILHA!A359</f>
        <v>7.3.22</v>
      </c>
      <c r="B322" s="842" t="str">
        <f>PLANILHA!C359</f>
        <v>SEPLAG ELE 59</v>
      </c>
      <c r="C322" s="492" t="str">
        <f>PLANILHA!D359</f>
        <v>PATCH CORD 5,0M CAT 6, FORNECIMENTO E INSTALAÇÃO.</v>
      </c>
      <c r="D322" s="842" t="str">
        <f>PLANILHA!E359</f>
        <v>UND</v>
      </c>
      <c r="E322" s="1036"/>
      <c r="F322" s="900">
        <v>16</v>
      </c>
    </row>
    <row r="323" spans="1:6" s="308" customFormat="1" ht="28.5" outlineLevel="1">
      <c r="A323" s="1035" t="str">
        <f>PLANILHA!A360</f>
        <v>7.3.23</v>
      </c>
      <c r="B323" s="842" t="str">
        <f>PLANILHA!C360</f>
        <v>SEPLAG ELE 34</v>
      </c>
      <c r="C323" s="492" t="str">
        <f>PLANILHA!D360</f>
        <v xml:space="preserve"> PATCH PANEL 24 PORTAS, CATEGORIA "6" FURUKAWA, FORNECIMENTO E INSTALAÇÃO</v>
      </c>
      <c r="D323" s="842" t="str">
        <f>PLANILHA!E360</f>
        <v>UND</v>
      </c>
      <c r="E323" s="1036"/>
      <c r="F323" s="900">
        <v>1</v>
      </c>
    </row>
    <row r="324" spans="1:6" s="308" customFormat="1" ht="28.5" outlineLevel="1">
      <c r="A324" s="1035" t="str">
        <f>PLANILHA!A361</f>
        <v>7.3.24</v>
      </c>
      <c r="B324" s="842" t="str">
        <f>PLANILHA!C361</f>
        <v>SEPLAG ELE 69</v>
      </c>
      <c r="C324" s="492" t="str">
        <f>PLANILHA!D361</f>
        <v>CABO UTP 4 PARES CAT 6, FORNECIMENTO E INSTALAÇÃO.</v>
      </c>
      <c r="D324" s="842" t="str">
        <f>PLANILHA!E361</f>
        <v>M</v>
      </c>
      <c r="E324" s="1036"/>
      <c r="F324" s="900">
        <v>161</v>
      </c>
    </row>
    <row r="325" spans="1:6" s="308" customFormat="1" ht="42.75" outlineLevel="1">
      <c r="A325" s="1035" t="str">
        <f>PLANILHA!A362</f>
        <v>7.3.25</v>
      </c>
      <c r="B325" s="842">
        <f>PLANILHA!C362</f>
        <v>101882</v>
      </c>
      <c r="C325" s="492" t="str">
        <f>PLANILHA!D362</f>
        <v>QUADRO DE DISTRIBUIÇÃO DE ENERGIA EM CHAPA DE AÇO GALVANIZADO, DE EMBUTIR, COM BARRAMENTO TRIFÁSICO, PARA 30 DISJUNTORES DIN 225A - FORNECIMENTO E INSTALAÇÃO. AF_10/2020</v>
      </c>
      <c r="D325" s="842" t="str">
        <f>PLANILHA!E362</f>
        <v>UN</v>
      </c>
      <c r="E325" s="1036"/>
      <c r="F325" s="900">
        <v>10</v>
      </c>
    </row>
    <row r="326" spans="1:6" s="308" customFormat="1" outlineLevel="1">
      <c r="A326" s="962"/>
      <c r="B326" s="963"/>
      <c r="C326" s="963"/>
      <c r="D326" s="963"/>
      <c r="E326" s="963"/>
      <c r="F326" s="964"/>
    </row>
    <row r="327" spans="1:6" s="308" customFormat="1">
      <c r="A327" s="1009" t="str">
        <f>PLANILHA!A367</f>
        <v>8.0</v>
      </c>
      <c r="B327" s="1012"/>
      <c r="C327" s="1011" t="str">
        <f>PLANILHA!D367</f>
        <v>INSTALAÇÕES HIDRÁULICAS</v>
      </c>
      <c r="D327" s="1012"/>
      <c r="E327" s="1012"/>
      <c r="F327" s="1013"/>
    </row>
    <row r="328" spans="1:6" outlineLevel="1">
      <c r="A328" s="1038" t="str">
        <f>PLANILHA!A368</f>
        <v>8.1</v>
      </c>
      <c r="B328" s="845"/>
      <c r="C328" s="975" t="str">
        <f>PLANILHA!D368</f>
        <v>TUBULAÇÃO DE ALIMENTAÇÃO DO RESERVATÓRIO DE INCÊNDIO</v>
      </c>
      <c r="D328" s="847"/>
      <c r="E328" s="976"/>
      <c r="F328" s="1015"/>
    </row>
    <row r="329" spans="1:6" ht="28.5" outlineLevel="1">
      <c r="A329" s="998" t="str">
        <f>PLANILHA!A369</f>
        <v>8.1.1</v>
      </c>
      <c r="B329" s="78">
        <f>PLANILHA!C369</f>
        <v>90443</v>
      </c>
      <c r="C329" s="979" t="str">
        <f>PLANILHA!D369</f>
        <v>RASGO EM ALVENARIA PARA RAMAIS/ DISTRIBUIÇÃO COM DIAMETROS MENORES OU IGUAIS A 40 MM. AF_05/2015</v>
      </c>
      <c r="D329" s="75" t="str">
        <f>PLANILHA!E369</f>
        <v>M</v>
      </c>
      <c r="E329" s="1039" t="s">
        <v>7316</v>
      </c>
      <c r="F329" s="130">
        <v>9.3000000000000007</v>
      </c>
    </row>
    <row r="330" spans="1:6" ht="28.5" outlineLevel="1">
      <c r="A330" s="998" t="str">
        <f>PLANILHA!A370</f>
        <v>8.1.2</v>
      </c>
      <c r="B330" s="78">
        <f>PLANILHA!C370</f>
        <v>90445</v>
      </c>
      <c r="C330" s="979" t="str">
        <f>PLANILHA!D370</f>
        <v>RASGO EM CONTRAPISO PARA RAMAIS/ DISTRIBUIÇÃO COM DIÂMETROS MAIORES QUE 40 MM E MENORES OU IGUAIS A 75 MM. AF_05/2015</v>
      </c>
      <c r="D330" s="75" t="str">
        <f>PLANILHA!E370</f>
        <v>M</v>
      </c>
      <c r="E330" s="1039" t="s">
        <v>7316</v>
      </c>
      <c r="F330" s="130">
        <v>1.86</v>
      </c>
    </row>
    <row r="331" spans="1:6" ht="28.5" outlineLevel="1">
      <c r="A331" s="998" t="str">
        <f>PLANILHA!A371</f>
        <v>8.1.3</v>
      </c>
      <c r="B331" s="78">
        <f>PLANILHA!C371</f>
        <v>90446</v>
      </c>
      <c r="C331" s="979" t="str">
        <f>PLANILHA!D371</f>
        <v>RASGO EM CONTRAPISO PARA RAMAIS/ DISTRIBUIÇÃO COM DIÂMETROS MAIORES QUE 75 MM. AF_05/2015</v>
      </c>
      <c r="D331" s="75" t="str">
        <f>PLANILHA!E371</f>
        <v>M</v>
      </c>
      <c r="E331" s="1039" t="s">
        <v>7316</v>
      </c>
      <c r="F331" s="130">
        <v>14.12</v>
      </c>
    </row>
    <row r="332" spans="1:6" ht="28.5" outlineLevel="1">
      <c r="A332" s="998" t="str">
        <f>PLANILHA!A372</f>
        <v>8.1.4</v>
      </c>
      <c r="B332" s="78">
        <f>PLANILHA!C372</f>
        <v>90468</v>
      </c>
      <c r="C332" s="979" t="str">
        <f>PLANILHA!D372</f>
        <v>CHUMBAMENTO LINEAR EM CONTRAPISO PARA RAMAIS/DISTRIBUIÇÃO COM DIÂMETROS MENORES OU IGUAIS A 40 MM. AF_05/2015</v>
      </c>
      <c r="D332" s="75" t="str">
        <f>PLANILHA!E372</f>
        <v>M</v>
      </c>
      <c r="E332" s="1039" t="s">
        <v>7316</v>
      </c>
      <c r="F332" s="130">
        <v>9.3000000000000007</v>
      </c>
    </row>
    <row r="333" spans="1:6" ht="42.75" outlineLevel="1">
      <c r="A333" s="998" t="str">
        <f>PLANILHA!A373</f>
        <v>8.1.5</v>
      </c>
      <c r="B333" s="78">
        <f>PLANILHA!C373</f>
        <v>90469</v>
      </c>
      <c r="C333" s="979" t="str">
        <f>PLANILHA!D373</f>
        <v>CHUMBAMENTO LINEAR EM CONTRAPISO PARA RAMAIS/DISTRIBUIÇÃO COM DIÂMETROS MAIORES QUE 40 MM E MENORES OU IGUAIS A 75 MM. AF_05/2015</v>
      </c>
      <c r="D333" s="75" t="str">
        <f>PLANILHA!E373</f>
        <v>M</v>
      </c>
      <c r="E333" s="1039" t="s">
        <v>7316</v>
      </c>
      <c r="F333" s="130">
        <v>1.86</v>
      </c>
    </row>
    <row r="334" spans="1:6" ht="28.5" outlineLevel="1">
      <c r="A334" s="998" t="str">
        <f>PLANILHA!A374</f>
        <v>8.1.6</v>
      </c>
      <c r="B334" s="78">
        <f>PLANILHA!C374</f>
        <v>90470</v>
      </c>
      <c r="C334" s="979" t="str">
        <f>PLANILHA!D374</f>
        <v>CHUMBAMENTO LINEAR EM CONTRAPISO PARA RAMAIS/DISTRIBUIÇÃO COM DIÂMETROS MAIORES QUE 75 MM. AF_05/2015</v>
      </c>
      <c r="D334" s="75" t="str">
        <f>PLANILHA!E374</f>
        <v>M</v>
      </c>
      <c r="E334" s="1039" t="s">
        <v>7316</v>
      </c>
      <c r="F334" s="130">
        <v>14.12</v>
      </c>
    </row>
    <row r="335" spans="1:6" ht="28.5" outlineLevel="1">
      <c r="A335" s="998" t="str">
        <f>PLANILHA!A375</f>
        <v>8.1.7</v>
      </c>
      <c r="B335" s="78">
        <f>PLANILHA!C375</f>
        <v>89367</v>
      </c>
      <c r="C335" s="979" t="str">
        <f>PLANILHA!D375</f>
        <v>JOELHO 90 GRAUS, PVC, SOLDÁVEL, DN 32MM, INSTALADO EM RAMAL OU SUB-RAMAL DE ÁGUA - FORNECIMENTO E INSTALAÇÃO. AF_12/2014</v>
      </c>
      <c r="D335" s="75" t="str">
        <f>PLANILHA!E375</f>
        <v>UN</v>
      </c>
      <c r="E335" s="1039" t="s">
        <v>7316</v>
      </c>
      <c r="F335" s="130">
        <v>5</v>
      </c>
    </row>
    <row r="336" spans="1:6" ht="28.5" outlineLevel="1">
      <c r="A336" s="998" t="str">
        <f>PLANILHA!A376</f>
        <v>8.1.8</v>
      </c>
      <c r="B336" s="78">
        <f>PLANILHA!C376</f>
        <v>89368</v>
      </c>
      <c r="C336" s="979" t="str">
        <f>PLANILHA!D376</f>
        <v>JOELHO 45 GRAUS, PVC, SOLDÁVEL, DN 32MM, INSTALADO EM RAMAL OU SUB-RAMAL DE ÁGUA - FORNECIMENTO E INSTALAÇÃO. AF_12/2014</v>
      </c>
      <c r="D336" s="75" t="str">
        <f>PLANILHA!E376</f>
        <v>UN</v>
      </c>
      <c r="E336" s="1039" t="s">
        <v>7316</v>
      </c>
      <c r="F336" s="130">
        <v>4</v>
      </c>
    </row>
    <row r="337" spans="1:6" s="642" customFormat="1" ht="42.75" outlineLevel="1">
      <c r="A337" s="998" t="str">
        <f>PLANILHA!A377</f>
        <v>8.1.9</v>
      </c>
      <c r="B337" s="78">
        <f>PLANILHA!C377</f>
        <v>89391</v>
      </c>
      <c r="C337" s="979" t="str">
        <f>PLANILHA!D377</f>
        <v>ADAPTADOR CURTO COM BOLSA E ROSCA PARA REGISTRO, PVC, SOLDÁVEL, DN 32MM X 1, INSTALADO EM RAMAL OU SUB-RAMAL DE ÁGUA - FORNECIMENTO E INSTALAÇÃO. AF_12/2014</v>
      </c>
      <c r="D337" s="75" t="str">
        <f>PLANILHA!E377</f>
        <v>UN</v>
      </c>
      <c r="E337" s="1039" t="s">
        <v>7316</v>
      </c>
      <c r="F337" s="130">
        <v>2</v>
      </c>
    </row>
    <row r="338" spans="1:6" s="642" customFormat="1" ht="57" outlineLevel="1">
      <c r="A338" s="998" t="str">
        <f>PLANILHA!A378</f>
        <v>8.1.10</v>
      </c>
      <c r="B338" s="78">
        <f>PLANILHA!C378</f>
        <v>94704</v>
      </c>
      <c r="C338" s="979" t="str">
        <f>PLANILHA!D378</f>
        <v>ADAPTADOR COM FLANGE E ANEL DE VEDAÇÃO, PVC, SOLDÁVEL, DN 32 MM X 1 , INSTALADO EM RESERVAÇÃO DE ÁGUA DE EDIFICAÇÃO QUE POSSUA RESERVATÓRIO DE FIBRA/FIBROCIMENTO   FORNECIMENTO E INSTALAÇÃO. AF_06/2016</v>
      </c>
      <c r="D338" s="75" t="str">
        <f>PLANILHA!E378</f>
        <v>UN</v>
      </c>
      <c r="E338" s="1039" t="s">
        <v>7316</v>
      </c>
      <c r="F338" s="130">
        <v>2</v>
      </c>
    </row>
    <row r="339" spans="1:6" s="642" customFormat="1" ht="28.5" outlineLevel="1">
      <c r="A339" s="998" t="str">
        <f>PLANILHA!A379</f>
        <v>8.1.11</v>
      </c>
      <c r="B339" s="78">
        <f>PLANILHA!C379</f>
        <v>94797</v>
      </c>
      <c r="C339" s="979" t="str">
        <f>PLANILHA!D379</f>
        <v>TORNEIRA DE BOIA PARA CAIXA D'ÁGUA, ROSCÁVEL, 1" - FORNECIMENTO E INSTALAÇÃO. AF_08/2021</v>
      </c>
      <c r="D339" s="75" t="str">
        <f>PLANILHA!E379</f>
        <v>UN</v>
      </c>
      <c r="E339" s="1039" t="s">
        <v>7316</v>
      </c>
      <c r="F339" s="130">
        <v>1</v>
      </c>
    </row>
    <row r="340" spans="1:6" s="642" customFormat="1" ht="28.5" outlineLevel="1">
      <c r="A340" s="998" t="str">
        <f>PLANILHA!A380</f>
        <v>8.1.12</v>
      </c>
      <c r="B340" s="78">
        <f>PLANILHA!C380</f>
        <v>89447</v>
      </c>
      <c r="C340" s="979" t="str">
        <f>PLANILHA!D380</f>
        <v>TUBO, PVC, SOLDÁVEL, DN 32MM, INSTALADO EM PRUMADA DE ÁGUA - FORNECIMENTO E INSTALAÇÃO. AF_12/2014</v>
      </c>
      <c r="D340" s="75" t="str">
        <f>PLANILHA!E380</f>
        <v>M</v>
      </c>
      <c r="E340" s="1039" t="s">
        <v>7316</v>
      </c>
      <c r="F340" s="130">
        <v>29</v>
      </c>
    </row>
    <row r="341" spans="1:6" s="642" customFormat="1" ht="28.5" outlineLevel="1">
      <c r="A341" s="998" t="str">
        <f>PLANILHA!A381</f>
        <v>8.1.13</v>
      </c>
      <c r="B341" s="78">
        <f>PLANILHA!C381</f>
        <v>94495</v>
      </c>
      <c r="C341" s="979" t="str">
        <f>PLANILHA!D381</f>
        <v>REGISTRO DE GAVETA BRUTO, LATÃO, ROSCÁVEL, 1" - FORNECIMENTO E INSTALAÇÃO. AF_08/2021</v>
      </c>
      <c r="D341" s="75" t="str">
        <f>PLANILHA!E381</f>
        <v>UN</v>
      </c>
      <c r="E341" s="1039" t="s">
        <v>7316</v>
      </c>
      <c r="F341" s="130">
        <v>1</v>
      </c>
    </row>
    <row r="342" spans="1:6" s="642" customFormat="1" ht="28.5" outlineLevel="1">
      <c r="A342" s="998" t="str">
        <f>PLANILHA!A382</f>
        <v>8.1.14</v>
      </c>
      <c r="B342" s="78">
        <f>PLANILHA!C382</f>
        <v>90436</v>
      </c>
      <c r="C342" s="979" t="str">
        <f>PLANILHA!D382</f>
        <v>FURO EM ALVENARIA PARA DIÂMETROS MENORES OU IGUAIS A 40 MM. AF_05/2015</v>
      </c>
      <c r="D342" s="75" t="str">
        <f>PLANILHA!E382</f>
        <v>UN</v>
      </c>
      <c r="E342" s="1039" t="s">
        <v>7316</v>
      </c>
      <c r="F342" s="130">
        <v>2</v>
      </c>
    </row>
    <row r="343" spans="1:6" s="642" customFormat="1" ht="28.5" outlineLevel="1">
      <c r="A343" s="998" t="str">
        <f>PLANILHA!A383</f>
        <v>8.1.15</v>
      </c>
      <c r="B343" s="78">
        <f>PLANILHA!C383</f>
        <v>90439</v>
      </c>
      <c r="C343" s="979" t="str">
        <f>PLANILHA!D383</f>
        <v>FURO EM CONCRETO PARA DIÂMETROS MENORES OU IGUAIS A 40 MM. AF_05/2015</v>
      </c>
      <c r="D343" s="75" t="str">
        <f>PLANILHA!E383</f>
        <v>UN</v>
      </c>
      <c r="E343" s="1039" t="s">
        <v>7316</v>
      </c>
      <c r="F343" s="130">
        <v>1</v>
      </c>
    </row>
    <row r="344" spans="1:6" s="642" customFormat="1" ht="15" customHeight="1" outlineLevel="1">
      <c r="A344" s="998" t="str">
        <f>PLANILHA!A384</f>
        <v>8.1.16</v>
      </c>
      <c r="B344" s="78">
        <f>PLANILHA!C384</f>
        <v>90438</v>
      </c>
      <c r="C344" s="979" t="str">
        <f>PLANILHA!D384</f>
        <v>FURO EM ALVENARIA PARA DIÂMETROS MAIORES QUE 75 MM. AF_05/2015</v>
      </c>
      <c r="D344" s="75" t="str">
        <f>PLANILHA!E384</f>
        <v>UN</v>
      </c>
      <c r="E344" s="1039" t="s">
        <v>7316</v>
      </c>
      <c r="F344" s="130">
        <v>4</v>
      </c>
    </row>
    <row r="345" spans="1:6" s="642" customFormat="1" ht="29.25" outlineLevel="1">
      <c r="A345" s="998" t="str">
        <f>PLANILHA!A385</f>
        <v>8.1.17</v>
      </c>
      <c r="B345" s="78" t="str">
        <f>PLANILHA!C385</f>
        <v>SEPLAG HIDR 65</v>
      </c>
      <c r="C345" s="979" t="str">
        <f>PLANILHA!D385</f>
        <v>LUVA DE REDUÇÃO EM PEAD 90X63mm, FORNECIMENTO E INSTALAÇÃO</v>
      </c>
      <c r="D345" s="75" t="str">
        <f>PLANILHA!E385</f>
        <v>UND</v>
      </c>
      <c r="E345" s="1039" t="s">
        <v>7316</v>
      </c>
      <c r="F345" s="130">
        <v>25.3</v>
      </c>
    </row>
    <row r="346" spans="1:6" s="654" customFormat="1" ht="14.25" outlineLevel="1">
      <c r="A346" s="1040"/>
      <c r="F346" s="1041"/>
    </row>
    <row r="347" spans="1:6" s="642" customFormat="1">
      <c r="A347" s="1009" t="str">
        <f>PLANILHA!A389</f>
        <v>9.0</v>
      </c>
      <c r="B347" s="1010"/>
      <c r="C347" s="1011" t="str">
        <f>PLANILHA!D389</f>
        <v>DRENAGEM DE AGUAS PLUVIAIS</v>
      </c>
      <c r="D347" s="1010"/>
      <c r="E347" s="1010"/>
      <c r="F347" s="1042"/>
    </row>
    <row r="348" spans="1:6" s="642" customFormat="1" outlineLevel="1">
      <c r="A348" s="1014" t="str">
        <f>PLANILHA!A390</f>
        <v>9.1</v>
      </c>
      <c r="B348" s="847"/>
      <c r="C348" s="670" t="str">
        <f>PLANILHA!D390</f>
        <v>DESCIDAS DE CALHA</v>
      </c>
      <c r="D348" s="847"/>
      <c r="E348" s="847"/>
      <c r="F348" s="1015"/>
    </row>
    <row r="349" spans="1:6" s="642" customFormat="1" ht="29.25" outlineLevel="1">
      <c r="A349" s="1043" t="str">
        <f>PLANILHA!A391</f>
        <v>9.1.1</v>
      </c>
      <c r="B349" s="75">
        <f>PLANILHA!C391</f>
        <v>89511</v>
      </c>
      <c r="C349" s="1022" t="str">
        <f>PLANILHA!D391</f>
        <v>TUBO PVC, SÉRIE R, ÁGUA PLUVIAL, DN 75 MM, FORNECIDO E INSTALADO EM RAMAL DE ENCAMINHAMENTO. AF_12/2014</v>
      </c>
      <c r="D349" s="76" t="str">
        <f>PLANILHA!E391</f>
        <v>M</v>
      </c>
      <c r="E349" s="904" t="s">
        <v>13832</v>
      </c>
      <c r="F349" s="883">
        <v>9</v>
      </c>
    </row>
    <row r="350" spans="1:6" s="642" customFormat="1" ht="29.25" outlineLevel="1">
      <c r="A350" s="1043" t="str">
        <f>PLANILHA!A392</f>
        <v>9.1.2</v>
      </c>
      <c r="B350" s="75">
        <f>PLANILHA!C392</f>
        <v>89512</v>
      </c>
      <c r="C350" s="1022" t="str">
        <f>PLANILHA!D392</f>
        <v>TUBO PVC, SÉRIE R, ÁGUA PLUVIAL, DN 100 MM, FORNECIDO E INSTALADO EM RAMAL DE ENCAMINHAMENTO. AF_12/2014</v>
      </c>
      <c r="D350" s="76" t="str">
        <f>PLANILHA!E392</f>
        <v>M</v>
      </c>
      <c r="E350" s="904" t="s">
        <v>13832</v>
      </c>
      <c r="F350" s="883">
        <v>98</v>
      </c>
    </row>
    <row r="351" spans="1:6" s="642" customFormat="1" ht="43.5" outlineLevel="1">
      <c r="A351" s="1043" t="str">
        <f>PLANILHA!A393</f>
        <v>9.1.3</v>
      </c>
      <c r="B351" s="78" t="str">
        <f>PLANILHA!C393</f>
        <v>SEPLAG HIDR 50</v>
      </c>
      <c r="C351" s="1022" t="str">
        <f>PLANILHA!D393</f>
        <v>REDUÇÃO EXCÊNTRICA, PVC, SERIE R, ÁGUA PLUVIAL, DN 100 X 50 MM, JUNTA PLÁSTICA, FORNECIDO E INSTALADO EM RAMAL DE ENCAMINHAMENTO. AF_12/2014. FORNECIMENTO E INSTALAÇÃO.</v>
      </c>
      <c r="D351" s="76" t="str">
        <f>PLANILHA!E393</f>
        <v>UND</v>
      </c>
      <c r="E351" s="904" t="s">
        <v>13832</v>
      </c>
      <c r="F351" s="883">
        <v>10</v>
      </c>
    </row>
    <row r="352" spans="1:6" s="642" customFormat="1" ht="43.5" outlineLevel="1">
      <c r="A352" s="1043" t="str">
        <f>PLANILHA!A394</f>
        <v>9.1.4</v>
      </c>
      <c r="B352" s="78">
        <f>PLANILHA!C394</f>
        <v>89850</v>
      </c>
      <c r="C352" s="1022" t="str">
        <f>PLANILHA!D394</f>
        <v>JOELHO 90 GRAUS, PVC, SERIE NORMAL, ESGOTO PREDIAL, DN 100 MM, JUNTA ELÁSTICA, FORNECIDO E INSTALADO EM SUBCOLETOR AÉREO DE ESGOTO SANITÁRIO. AF_12/2014</v>
      </c>
      <c r="D352" s="76" t="str">
        <f>PLANILHA!E394</f>
        <v>UN</v>
      </c>
      <c r="E352" s="904" t="s">
        <v>13832</v>
      </c>
      <c r="F352" s="883">
        <v>29</v>
      </c>
    </row>
    <row r="353" spans="1:6" s="642" customFormat="1" ht="43.5" outlineLevel="1">
      <c r="A353" s="1043" t="str">
        <f>PLANILHA!A395</f>
        <v>9.1.5</v>
      </c>
      <c r="B353" s="78">
        <f>PLANILHA!C395</f>
        <v>89805</v>
      </c>
      <c r="C353" s="1022" t="str">
        <f>PLANILHA!D395</f>
        <v>JOELHO 90 GRAUS, PVC, SERIE NORMAL, ESGOTO PREDIAL, DN 75 MM, JUNTA ELÁSTICA, FORNECIDO E INSTALADO EM PRUMADA DE ESGOTO SANITÁRIO OU VENTILAÇÃO. AF_12/2014</v>
      </c>
      <c r="D353" s="76" t="str">
        <f>PLANILHA!E395</f>
        <v>UN</v>
      </c>
      <c r="E353" s="904" t="s">
        <v>13832</v>
      </c>
      <c r="F353" s="883">
        <v>3</v>
      </c>
    </row>
    <row r="354" spans="1:6" s="642" customFormat="1" ht="43.5" outlineLevel="1">
      <c r="A354" s="1043" t="str">
        <f>PLANILHA!A396</f>
        <v>9.1.6</v>
      </c>
      <c r="B354" s="78">
        <f>PLANILHA!C396</f>
        <v>89851</v>
      </c>
      <c r="C354" s="1022" t="str">
        <f>PLANILHA!D396</f>
        <v>JOELHO 45 GRAUS, PVC, SERIE NORMAL, ESGOTO PREDIAL, DN 100 MM, JUNTA ELÁSTICA, FORNECIDO E INSTALADO EM SUBCOLETOR AÉREO DE ESGOTO SANITÁRIO. AF_12/2014</v>
      </c>
      <c r="D354" s="76" t="str">
        <f>PLANILHA!E396</f>
        <v>UN</v>
      </c>
      <c r="E354" s="904" t="s">
        <v>13832</v>
      </c>
      <c r="F354" s="883">
        <v>1</v>
      </c>
    </row>
    <row r="355" spans="1:6" s="642" customFormat="1" ht="43.5" outlineLevel="1">
      <c r="A355" s="1043" t="str">
        <f>PLANILHA!A397</f>
        <v>9.1.7</v>
      </c>
      <c r="B355" s="78">
        <f>PLANILHA!C397</f>
        <v>89806</v>
      </c>
      <c r="C355" s="1022" t="str">
        <f>PLANILHA!D397</f>
        <v>JOELHO 45 GRAUS, PVC, SERIE NORMAL, ESGOTO PREDIAL, DN 75 MM, JUNTA ELÁSTICA, FORNECIDO E INSTALADO EM PRUMADA DE ESGOTO SANITÁRIO OU VENTILAÇÃO. AF_12/2014</v>
      </c>
      <c r="D355" s="76" t="str">
        <f>PLANILHA!E397</f>
        <v>UN</v>
      </c>
      <c r="E355" s="904" t="s">
        <v>13832</v>
      </c>
      <c r="F355" s="883">
        <v>1</v>
      </c>
    </row>
    <row r="356" spans="1:6" s="654" customFormat="1" ht="14.25" outlineLevel="1">
      <c r="A356" s="1040"/>
      <c r="F356" s="1041"/>
    </row>
    <row r="357" spans="1:6" s="642" customFormat="1">
      <c r="A357" s="1009" t="str">
        <f>PLANILHA!A401</f>
        <v>10.0</v>
      </c>
      <c r="B357" s="1044"/>
      <c r="C357" s="1045" t="str">
        <f>PLANILHA!D401</f>
        <v>SPDA - SISTEMA DE PROTEÇÃO CONTRA DESARGA ATMOSFERICA</v>
      </c>
      <c r="D357" s="1010"/>
      <c r="E357" s="1046"/>
      <c r="F357" s="1042"/>
    </row>
    <row r="358" spans="1:6" s="642" customFormat="1" ht="28.5" outlineLevel="1">
      <c r="A358" s="998" t="str">
        <f>PLANILHA!A402</f>
        <v>10.1</v>
      </c>
      <c r="B358" s="78">
        <f>PLANILHA!C402</f>
        <v>93358</v>
      </c>
      <c r="C358" s="979" t="str">
        <f>PLANILHA!D402</f>
        <v>ESCAVAÇÃO MANUAL DE VALA COM PROFUNDIDADE MENOR OU IGUAL A 1,30 M. AF_02/2021</v>
      </c>
      <c r="D358" s="75" t="str">
        <f>PLANILHA!E402</f>
        <v>M3</v>
      </c>
      <c r="E358" s="1003" t="s">
        <v>13921</v>
      </c>
      <c r="F358" s="982">
        <f>20.6</f>
        <v>20.6</v>
      </c>
    </row>
    <row r="359" spans="1:6" s="642" customFormat="1" ht="28.5" outlineLevel="1">
      <c r="A359" s="998" t="str">
        <f>PLANILHA!A403</f>
        <v>10.2</v>
      </c>
      <c r="B359" s="78">
        <f>PLANILHA!C403</f>
        <v>93382</v>
      </c>
      <c r="C359" s="979" t="str">
        <f>PLANILHA!D403</f>
        <v>REATERRO MANUAL DE VALAS COM COMPACTAÇÃO MECANIZADA. AF_04/2016</v>
      </c>
      <c r="D359" s="75" t="str">
        <f>PLANILHA!E403</f>
        <v>M3</v>
      </c>
      <c r="E359" s="1003" t="s">
        <v>13922</v>
      </c>
      <c r="F359" s="982">
        <f>20.6</f>
        <v>20.6</v>
      </c>
    </row>
    <row r="360" spans="1:6" s="642" customFormat="1" ht="28.5" outlineLevel="1">
      <c r="A360" s="998" t="str">
        <f>PLANILHA!A404</f>
        <v>10.3</v>
      </c>
      <c r="B360" s="78">
        <f>PLANILHA!C404</f>
        <v>96985</v>
      </c>
      <c r="C360" s="979" t="str">
        <f>PLANILHA!D404</f>
        <v>HASTE DE ATERRAMENTO 5/8  PARA SPDA - FORNECIMENTO E INSTALAÇÃO. AF_12/2017</v>
      </c>
      <c r="D360" s="75" t="str">
        <f>PLANILHA!E404</f>
        <v>UN</v>
      </c>
      <c r="E360" s="1003" t="s">
        <v>13920</v>
      </c>
      <c r="F360" s="981">
        <f>41</f>
        <v>41</v>
      </c>
    </row>
    <row r="361" spans="1:6" ht="42.75" outlineLevel="1">
      <c r="A361" s="998" t="str">
        <f>PLANILHA!A405</f>
        <v>10.4</v>
      </c>
      <c r="B361" s="78">
        <f>PLANILHA!C405</f>
        <v>91872</v>
      </c>
      <c r="C361" s="979" t="str">
        <f>PLANILHA!D405</f>
        <v>ELETRODUTO RÍGIDO ROSCÁVEL, PVC, DN 32 MM (1"), PARA CIRCUITOS TERMINAIS, INSTALADO EM PAREDE - FORNECIMENTO E INSTALAÇÃO. AF_12/2015</v>
      </c>
      <c r="D361" s="75" t="str">
        <f>PLANILHA!E405</f>
        <v>M</v>
      </c>
      <c r="E361" s="1003" t="s">
        <v>14164</v>
      </c>
      <c r="F361" s="981">
        <f>15</f>
        <v>15</v>
      </c>
    </row>
    <row r="362" spans="1:6" s="858" customFormat="1" ht="28.5" outlineLevel="1">
      <c r="A362" s="998" t="str">
        <f>PLANILHA!A406</f>
        <v>10.5</v>
      </c>
      <c r="B362" s="78" t="str">
        <f>PLANILHA!C406</f>
        <v>SEPLAG SPDA 15</v>
      </c>
      <c r="C362" s="979" t="str">
        <f>PLANILHA!D406</f>
        <v>CABO DE COBRE NU 50 MM² - FORNECIMENTO E INSTALAÇÃO. AF_12/2017</v>
      </c>
      <c r="D362" s="75" t="str">
        <f>PLANILHA!E406</f>
        <v>M</v>
      </c>
      <c r="E362" s="1003" t="s">
        <v>14165</v>
      </c>
      <c r="F362" s="981">
        <f>132</f>
        <v>132</v>
      </c>
    </row>
    <row r="363" spans="1:6" ht="42.75" outlineLevel="1">
      <c r="A363" s="998" t="str">
        <f>PLANILHA!A407</f>
        <v>10.6</v>
      </c>
      <c r="B363" s="78" t="str">
        <f>PLANILHA!C407</f>
        <v>SEPLAG SPDA 01</v>
      </c>
      <c r="C363" s="979" t="str">
        <f>PLANILHA!D407</f>
        <v>TERMINAL A COMPRESSAO EM COBRE ESTANHADO PARA CABO 50 MM2, 1 FURO E 1 COMPRESSAO, PARA PARAFUSO DE FIXACAO M8, FORNECIMENTO E INSTALAÇÃO</v>
      </c>
      <c r="D363" s="75" t="str">
        <f>PLANILHA!E407</f>
        <v>UND</v>
      </c>
      <c r="E363" s="1003" t="s">
        <v>13918</v>
      </c>
      <c r="F363" s="981">
        <f>18</f>
        <v>18</v>
      </c>
    </row>
    <row r="364" spans="1:6" ht="29.25" outlineLevel="1">
      <c r="A364" s="998" t="str">
        <f>PLANILHA!A408</f>
        <v>10.7</v>
      </c>
      <c r="B364" s="78" t="str">
        <f>PLANILHA!C408</f>
        <v>SEPLAG SPDA 05</v>
      </c>
      <c r="C364" s="979" t="str">
        <f>PLANILHA!D408</f>
        <v>CARTUCHO PARA SOLDA EXOTÊRMICA Nº 90, FORNECIMENTO E INSTALAÇÃO</v>
      </c>
      <c r="D364" s="75" t="str">
        <f>PLANILHA!E408</f>
        <v>UND</v>
      </c>
      <c r="E364" s="1003" t="s">
        <v>13923</v>
      </c>
      <c r="F364" s="982">
        <f>62</f>
        <v>62</v>
      </c>
    </row>
    <row r="365" spans="1:6" s="642" customFormat="1" ht="29.25" outlineLevel="1">
      <c r="A365" s="998" t="str">
        <f>PLANILHA!A409</f>
        <v>10.8</v>
      </c>
      <c r="B365" s="78" t="str">
        <f>PLANILHA!C409</f>
        <v>SEPLAG SPDA 12</v>
      </c>
      <c r="C365" s="979" t="str">
        <f>PLANILHA!D409</f>
        <v>TERMINAL AEREO BASE PLANA GALVANIZADO A QUENTE - BARRA CHATA, FORNECIMENTO E INSTALAÇÃO</v>
      </c>
      <c r="D365" s="1047" t="str">
        <f>PLANILHA!E409</f>
        <v>UND</v>
      </c>
      <c r="E365" s="1003" t="s">
        <v>13928</v>
      </c>
      <c r="F365" s="982">
        <f>58</f>
        <v>58</v>
      </c>
    </row>
    <row r="366" spans="1:6" ht="28.5" outlineLevel="1">
      <c r="A366" s="998" t="str">
        <f>PLANILHA!A410</f>
        <v>10.9</v>
      </c>
      <c r="B366" s="78">
        <f>PLANILHA!C410</f>
        <v>101749</v>
      </c>
      <c r="C366" s="979" t="str">
        <f>PLANILHA!D410</f>
        <v>PISO CIMENTADO, TRAÇO 1:3 (CIMENTO E AREIA), ACABAMENTO LISO, ESPESSURA 4,0 CM, PREPARO MECÂNICO DA ARGAMASSA. AF_09/2020</v>
      </c>
      <c r="D366" s="1047" t="str">
        <f>PLANILHA!E410</f>
        <v>M2</v>
      </c>
      <c r="E366" s="1003" t="s">
        <v>13927</v>
      </c>
      <c r="F366" s="982">
        <f>34.4</f>
        <v>34.4</v>
      </c>
    </row>
    <row r="367" spans="1:6" ht="28.5" outlineLevel="1">
      <c r="A367" s="998" t="str">
        <f>PLANILHA!A411</f>
        <v>10.10</v>
      </c>
      <c r="B367" s="78">
        <f>PLANILHA!C411</f>
        <v>98463</v>
      </c>
      <c r="C367" s="979" t="str">
        <f>PLANILHA!D411</f>
        <v>SUPORTE ISOLADOR PARA CORDOALHA DE COBRE - FORNECIMENTO E INSTALAÇÃO. AF_12/2017</v>
      </c>
      <c r="D367" s="1047" t="str">
        <f>PLANILHA!E411</f>
        <v>UN</v>
      </c>
      <c r="E367" s="1003" t="s">
        <v>14161</v>
      </c>
      <c r="F367" s="982">
        <f>161</f>
        <v>161</v>
      </c>
    </row>
    <row r="368" spans="1:6" ht="42.75" outlineLevel="1">
      <c r="A368" s="998" t="str">
        <f>PLANILHA!A412</f>
        <v>10.11</v>
      </c>
      <c r="B368" s="78" t="str">
        <f>PLANILHA!C412</f>
        <v>SEPLAG SPDA 16</v>
      </c>
      <c r="C368" s="979" t="str">
        <f>PLANILHA!D412</f>
        <v>TERMINAL A COMPRESSAO EM COBRE ESTANHADO PARA CABO 35 MM2, 1 FURO E 1 COMPRESSAO, PARA PARAFUSO DE FIXACAO M8, FORNECIMENTO E INSTALAÇÃO</v>
      </c>
      <c r="D368" s="1047" t="str">
        <f>PLANILHA!E412</f>
        <v>UND</v>
      </c>
      <c r="E368" s="1003" t="s">
        <v>13918</v>
      </c>
      <c r="F368" s="982">
        <f>18</f>
        <v>18</v>
      </c>
    </row>
    <row r="369" spans="1:6" ht="42.75" outlineLevel="1">
      <c r="A369" s="998" t="str">
        <f>PLANILHA!A413</f>
        <v>10.12</v>
      </c>
      <c r="B369" s="78">
        <f>PLANILHA!C413</f>
        <v>91885</v>
      </c>
      <c r="C369" s="979" t="str">
        <f>PLANILHA!D413</f>
        <v>LUVA PARA ELETRODUTO, PVC, ROSCÁVEL, DN 32 MM (1"), PARA CIRCUITOS TERMINAIS, INSTALADA EM PAREDE - FORNECIMENTO E INSTALAÇÃO. AF_12/2015</v>
      </c>
      <c r="D369" s="1047" t="str">
        <f>PLANILHA!E413</f>
        <v>UN</v>
      </c>
      <c r="E369" s="1003" t="s">
        <v>13918</v>
      </c>
      <c r="F369" s="982">
        <f>18</f>
        <v>18</v>
      </c>
    </row>
    <row r="370" spans="1:6" ht="42.75" outlineLevel="1">
      <c r="A370" s="998" t="str">
        <f>PLANILHA!A414</f>
        <v>10.13</v>
      </c>
      <c r="B370" s="78">
        <f>PLANILHA!C414</f>
        <v>91917</v>
      </c>
      <c r="C370" s="979" t="str">
        <f>PLANILHA!D414</f>
        <v>CURVA 90 GRAUS PARA ELETRODUTO, PVC, ROSCÁVEL, DN 32 MM (1"), PARA CIRCUITOS TERMINAIS, INSTALADA EM PAREDE - FORNECIMENTO E INSTALAÇÃO. AF_12/2015</v>
      </c>
      <c r="D370" s="1047" t="str">
        <f>PLANILHA!E414</f>
        <v>UN</v>
      </c>
      <c r="E370" s="1003" t="s">
        <v>13870</v>
      </c>
      <c r="F370" s="982">
        <f>9</f>
        <v>9</v>
      </c>
    </row>
    <row r="371" spans="1:6" ht="42.75" outlineLevel="1">
      <c r="A371" s="998" t="str">
        <f>PLANILHA!A415</f>
        <v>10.14</v>
      </c>
      <c r="B371" s="78">
        <f>PLANILHA!C415</f>
        <v>91168</v>
      </c>
      <c r="C371" s="979" t="str">
        <f>PLANILHA!D415</f>
        <v>FIXAÇÃO DE TUBOS HORIZONTAIS DE PPR DIÂMETROS MAIORES QUE 40 MM E MENORES OU IGUAIS A 75 MM COM ABRAÇADEIRA METÁLICA RÍGIDA TIPO D 1 1/2", FIXADA EM PERFILADO EM LAJE. AF_05/2015</v>
      </c>
      <c r="D371" s="1047" t="str">
        <f>PLANILHA!E415</f>
        <v>M</v>
      </c>
      <c r="E371" s="1003" t="s">
        <v>14164</v>
      </c>
      <c r="F371" s="982">
        <f>15</f>
        <v>15</v>
      </c>
    </row>
    <row r="372" spans="1:6" ht="28.5" outlineLevel="1">
      <c r="A372" s="913" t="str">
        <f>PLANILHA!A416</f>
        <v>10.15</v>
      </c>
      <c r="B372" s="74">
        <f>PLANILHA!C416</f>
        <v>95809</v>
      </c>
      <c r="C372" s="711" t="str">
        <f>PLANILHA!D416</f>
        <v>CONDULETE DE PVC, TIPO LL, PARA ELETRODUTO DE PVC SOLDÁVEL DN 32 MM (1''), APARENTE - FORNECIMENTO E INSTALAÇÃO. AF_11/2016</v>
      </c>
      <c r="D372" s="76" t="str">
        <f>PLANILHA!E416</f>
        <v>UN</v>
      </c>
      <c r="E372" s="1003" t="s">
        <v>13870</v>
      </c>
      <c r="F372" s="982">
        <f>9</f>
        <v>9</v>
      </c>
    </row>
    <row r="373" spans="1:6" ht="28.5" outlineLevel="1">
      <c r="A373" s="913" t="str">
        <f>PLANILHA!A417</f>
        <v>10.16</v>
      </c>
      <c r="B373" s="74">
        <f>PLANILHA!C417</f>
        <v>98561</v>
      </c>
      <c r="C373" s="711" t="str">
        <f>PLANILHA!D417</f>
        <v>IMPERMEABILIZAÇÃO DE PAREDES COM ARGAMASSA DE CIMENTO E AREIA, COM ADITIVO IMPERMEABILIZANTE, E = 2CM. AF_06/2018</v>
      </c>
      <c r="D373" s="76" t="str">
        <f>PLANILHA!E417</f>
        <v>M2</v>
      </c>
      <c r="E373" s="1003" t="s">
        <v>13929</v>
      </c>
      <c r="F373" s="982">
        <f>19</f>
        <v>19</v>
      </c>
    </row>
    <row r="374" spans="1:6" ht="28.5" outlineLevel="1">
      <c r="A374" s="913" t="str">
        <f>PLANILHA!A418</f>
        <v>10.17</v>
      </c>
      <c r="B374" s="74" t="str">
        <f>PLANILHA!C418</f>
        <v>SEPLAG SPDA 17</v>
      </c>
      <c r="C374" s="711" t="str">
        <f>PLANILHA!D418</f>
        <v>CABO DE COBRE NU 35 MM² - FORNECIMENTO E INSTALAÇÃO. AF_12/2017</v>
      </c>
      <c r="D374" s="76" t="str">
        <f>PLANILHA!E418</f>
        <v>M</v>
      </c>
      <c r="E374" s="1003" t="s">
        <v>14168</v>
      </c>
      <c r="F374" s="982">
        <f>236</f>
        <v>236</v>
      </c>
    </row>
    <row r="375" spans="1:6" s="654" customFormat="1" ht="14.25" outlineLevel="1">
      <c r="A375" s="1040"/>
      <c r="F375" s="1041"/>
    </row>
    <row r="376" spans="1:6">
      <c r="A376" s="1009" t="str">
        <f>PLANILHA!A421</f>
        <v>11.0</v>
      </c>
      <c r="B376" s="1048"/>
      <c r="C376" s="1045" t="str">
        <f>PLANILHA!D421</f>
        <v xml:space="preserve">ESCADA ACESSO </v>
      </c>
      <c r="D376" s="1012"/>
      <c r="E376" s="1049"/>
      <c r="F376" s="1013"/>
    </row>
    <row r="377" spans="1:6" outlineLevel="1">
      <c r="A377" s="1014" t="str">
        <f>PLANILHA!A422</f>
        <v>11.1</v>
      </c>
      <c r="B377" s="1050"/>
      <c r="C377" s="975" t="str">
        <f>PLANILHA!D422</f>
        <v>SERVIÇOS PRELIMINARES</v>
      </c>
      <c r="D377" s="1050"/>
      <c r="E377" s="1050"/>
      <c r="F377" s="1051"/>
    </row>
    <row r="378" spans="1:6" ht="28.5" outlineLevel="1">
      <c r="A378" s="1043" t="str">
        <f>PLANILHA!A423</f>
        <v>11.1.1</v>
      </c>
      <c r="B378" s="1052" t="str">
        <f>PLANILHA!C423</f>
        <v>SEPLAG ARQ 07</v>
      </c>
      <c r="C378" s="979" t="str">
        <f>PLANILHA!D423</f>
        <v>DEMOLIÇÃO DE CONCRETO SIMPLES - COM EQUIPAMENTO ELÉTRICO, INCLUSIVE AFASTAMENTO.</v>
      </c>
      <c r="D378" s="1053" t="str">
        <f>PLANILHA!E423</f>
        <v>m³</v>
      </c>
      <c r="E378" s="1039"/>
      <c r="F378" s="981">
        <v>10.67</v>
      </c>
    </row>
    <row r="379" spans="1:6" ht="28.5" outlineLevel="1">
      <c r="A379" s="1043" t="str">
        <f>PLANILHA!A424</f>
        <v>11.1.2</v>
      </c>
      <c r="B379" s="1052">
        <f>PLANILHA!C424</f>
        <v>100206</v>
      </c>
      <c r="C379" s="979" t="str">
        <f>PLANILHA!D424</f>
        <v>TRANSPORTE HORIZONTAL COM JERICA DE 90 L, DE MASSA/ GRANEL (UNIDADE: M3XKM). AF_07/2019</v>
      </c>
      <c r="D379" s="1053" t="str">
        <f>PLANILHA!E424</f>
        <v>M3XKM</v>
      </c>
      <c r="E379" s="1039"/>
      <c r="F379" s="981">
        <f>F378*0.3</f>
        <v>3.2010000000000001</v>
      </c>
    </row>
    <row r="380" spans="1:6" ht="28.5" outlineLevel="1">
      <c r="A380" s="1043" t="str">
        <f>PLANILHA!A425</f>
        <v>11.1.3</v>
      </c>
      <c r="B380" s="1052">
        <f>PLANILHA!C425</f>
        <v>96526</v>
      </c>
      <c r="C380" s="979" t="str">
        <f>PLANILHA!D425</f>
        <v>ESCAVAÇÃO MANUAL DE VALA PARA VIGA BALDRAME (SEM ESCAVAÇÃO PARA COLOCAÇÃO DE FÔRMAS). AF_06/2017</v>
      </c>
      <c r="D380" s="1053" t="str">
        <f>PLANILHA!E425</f>
        <v>M3</v>
      </c>
      <c r="E380" s="1039" t="s">
        <v>13884</v>
      </c>
      <c r="F380" s="981">
        <v>3.38</v>
      </c>
    </row>
    <row r="381" spans="1:6" ht="28.5" outlineLevel="1">
      <c r="A381" s="1054" t="str">
        <f>PLANILHA!A426</f>
        <v>11.1.4</v>
      </c>
      <c r="B381" s="1055">
        <f>PLANILHA!C426</f>
        <v>101616</v>
      </c>
      <c r="C381" s="985" t="str">
        <f>PLANILHA!D426</f>
        <v>PREPARO DE FUNDO DE VALA COM LARGURA MENOR QUE 1,5 M (ACERTO DO SOLO NATURAL). AF_08/2020</v>
      </c>
      <c r="D381" s="1056" t="str">
        <f>PLANILHA!E426</f>
        <v>M2</v>
      </c>
      <c r="E381" s="1057" t="s">
        <v>13884</v>
      </c>
      <c r="F381" s="1058">
        <v>2.16</v>
      </c>
    </row>
    <row r="382" spans="1:6" outlineLevel="1">
      <c r="A382" s="1059"/>
      <c r="B382" s="1060"/>
      <c r="C382" s="1060"/>
      <c r="D382" s="1060"/>
      <c r="E382" s="1060"/>
      <c r="F382" s="1061"/>
    </row>
    <row r="383" spans="1:6" outlineLevel="1">
      <c r="A383" s="942" t="str">
        <f>PLANILHA!A429</f>
        <v>11.2</v>
      </c>
      <c r="B383" s="1062"/>
      <c r="C383" s="1063" t="str">
        <f>PLANILHA!D429</f>
        <v>FUNDAÇÃO</v>
      </c>
      <c r="D383" s="1062"/>
      <c r="E383" s="1062"/>
      <c r="F383" s="1064"/>
    </row>
    <row r="384" spans="1:6" s="858" customFormat="1" ht="42.75" outlineLevel="1">
      <c r="A384" s="913" t="str">
        <f>PLANILHA!A430</f>
        <v>11.2.1</v>
      </c>
      <c r="B384" s="1052">
        <f>PLANILHA!C430</f>
        <v>102473</v>
      </c>
      <c r="C384" s="711" t="str">
        <f>PLANILHA!D430</f>
        <v>CONCRETO MAGRO PARA LASTRO, TRAÇO 1:4,5:4,5 (EM MASSA SECA DE CIMENTO/ AREIA MÉDIA/ SEIXO ROLADO) - PREPARO MECÂNICO COM BETONEIRA 400 L. AF_05/2021</v>
      </c>
      <c r="D384" s="1053" t="str">
        <f>PLANILHA!E430</f>
        <v>M3</v>
      </c>
      <c r="E384" s="904" t="s">
        <v>13885</v>
      </c>
      <c r="F384" s="900">
        <f>11.5*3.65*0.03</f>
        <v>1.25925</v>
      </c>
    </row>
    <row r="385" spans="1:6" ht="42.75" outlineLevel="1">
      <c r="A385" s="913" t="str">
        <f>PLANILHA!A431</f>
        <v>11.2.2</v>
      </c>
      <c r="B385" s="1052">
        <f>PLANILHA!C431</f>
        <v>96555</v>
      </c>
      <c r="C385" s="711" t="str">
        <f>PLANILHA!D431</f>
        <v>CONCRETAGEM DE BLOCOS DE COROAMENTO E VIGAS BALDRAME, FCK 30 MPA, COM USO DE JERICA  LANÇAMENTO, ADENSAMENTO E ACABAMENTO. AF_06/2017</v>
      </c>
      <c r="D385" s="1053" t="str">
        <f>PLANILHA!E431</f>
        <v>M3</v>
      </c>
      <c r="E385" s="1065" t="s">
        <v>13886</v>
      </c>
      <c r="F385" s="883">
        <v>8.92</v>
      </c>
    </row>
    <row r="386" spans="1:6" ht="28.5" outlineLevel="1">
      <c r="A386" s="913" t="str">
        <f>PLANILHA!A432</f>
        <v>11.2.3</v>
      </c>
      <c r="B386" s="1052">
        <f>PLANILHA!C432</f>
        <v>96543</v>
      </c>
      <c r="C386" s="711" t="str">
        <f>PLANILHA!D432</f>
        <v>ARMAÇÃO DE BLOCO, VIGA BALDRAME E SAPATA UTILIZANDO AÇO CA-60 DE 5 MM - MONTAGEM. AF_06/2017</v>
      </c>
      <c r="D386" s="1053" t="str">
        <f>PLANILHA!E432</f>
        <v>KG</v>
      </c>
      <c r="E386" s="1065" t="s">
        <v>13887</v>
      </c>
      <c r="F386" s="883">
        <v>87.5</v>
      </c>
    </row>
    <row r="387" spans="1:6" ht="28.5" outlineLevel="1">
      <c r="A387" s="913" t="str">
        <f>PLANILHA!A433</f>
        <v>11.2.4</v>
      </c>
      <c r="B387" s="1052">
        <f>PLANILHA!C433</f>
        <v>96544</v>
      </c>
      <c r="C387" s="711" t="str">
        <f>PLANILHA!D433</f>
        <v>ARMAÇÃO DE BLOCO, VIGA BALDRAME OU SAPATA UTILIZANDO AÇO CA-50 DE 6,3 MM - MONTAGEM. AF_06/2017</v>
      </c>
      <c r="D387" s="1053" t="str">
        <f>PLANILHA!E433</f>
        <v>KG</v>
      </c>
      <c r="E387" s="1065" t="s">
        <v>13888</v>
      </c>
      <c r="F387" s="883">
        <v>51.8</v>
      </c>
    </row>
    <row r="388" spans="1:6" ht="28.5" outlineLevel="1">
      <c r="A388" s="913" t="str">
        <f>PLANILHA!A434</f>
        <v>11.2.5</v>
      </c>
      <c r="B388" s="1052">
        <f>PLANILHA!C434</f>
        <v>96545</v>
      </c>
      <c r="C388" s="711" t="str">
        <f>PLANILHA!D434</f>
        <v>ARMAÇÃO DE BLOCO, VIGA BALDRAME OU SAPATA UTILIZANDO AÇO CA-50 DE 8 MM - MONTAGEM. AF_06/2017</v>
      </c>
      <c r="D388" s="1053" t="str">
        <f>PLANILHA!E434</f>
        <v>KG</v>
      </c>
      <c r="E388" s="1065" t="s">
        <v>13889</v>
      </c>
      <c r="F388" s="883">
        <v>36.799999999999997</v>
      </c>
    </row>
    <row r="389" spans="1:6" ht="28.5" outlineLevel="1">
      <c r="A389" s="913" t="str">
        <f>PLANILHA!A435</f>
        <v>11.2.6</v>
      </c>
      <c r="B389" s="1052">
        <f>PLANILHA!C435</f>
        <v>96546</v>
      </c>
      <c r="C389" s="711" t="str">
        <f>PLANILHA!D435</f>
        <v>ARMAÇÃO DE BLOCO, VIGA BALDRAME OU SAPATA UTILIZANDO AÇO CA-50 DE 10 MM - MONTAGEM. AF_06/2017</v>
      </c>
      <c r="D389" s="1053" t="str">
        <f>PLANILHA!E435</f>
        <v>KG</v>
      </c>
      <c r="E389" s="1065" t="s">
        <v>13890</v>
      </c>
      <c r="F389" s="883">
        <v>324</v>
      </c>
    </row>
    <row r="390" spans="1:6" ht="28.5" outlineLevel="1">
      <c r="A390" s="913" t="str">
        <f>PLANILHA!A436</f>
        <v>11.2.7</v>
      </c>
      <c r="B390" s="1052">
        <f>PLANILHA!C436</f>
        <v>92263</v>
      </c>
      <c r="C390" s="711" t="str">
        <f>PLANILHA!D436</f>
        <v>FABRICAÇÃO DE FÔRMA PARA PILARES E ESTRUTURAS SIMILARES, EM CHAPA DE MADEIRA COMPENSADA RESINADA, E = 17 MM. AF_09/2020</v>
      </c>
      <c r="D390" s="1053" t="str">
        <f>PLANILHA!E436</f>
        <v>M2</v>
      </c>
      <c r="E390" s="1065" t="s">
        <v>13891</v>
      </c>
      <c r="F390" s="883">
        <v>82</v>
      </c>
    </row>
    <row r="391" spans="1:6" ht="28.5" outlineLevel="1">
      <c r="A391" s="913" t="str">
        <f>PLANILHA!A437</f>
        <v>11.2.8</v>
      </c>
      <c r="B391" s="1052">
        <f>PLANILHA!C437</f>
        <v>98557</v>
      </c>
      <c r="C391" s="711" t="str">
        <f>PLANILHA!D437</f>
        <v>IMPERMEABILIZAÇÃO DE SUPERFÍCIE COM EMULSÃO ASFÁLTICA, 2 DEMÃOS AF_06/2018</v>
      </c>
      <c r="D391" s="1053" t="str">
        <f>PLANILHA!E437</f>
        <v>M2</v>
      </c>
      <c r="E391" s="1039" t="str">
        <f>E390</f>
        <v>=82,00</v>
      </c>
      <c r="F391" s="883">
        <v>82</v>
      </c>
    </row>
    <row r="392" spans="1:6" s="858" customFormat="1" outlineLevel="1">
      <c r="A392" s="915" t="str">
        <f>PLANILHA!A438</f>
        <v>11.2.9</v>
      </c>
      <c r="B392" s="1055">
        <f>PLANILHA!C438</f>
        <v>96995</v>
      </c>
      <c r="C392" s="1000" t="str">
        <f>PLANILHA!D438</f>
        <v>REATERRO MANUAL APILOADO COM SOQUETE. AF_10/2017</v>
      </c>
      <c r="D392" s="1056" t="str">
        <f>PLANILHA!E438</f>
        <v>M3</v>
      </c>
      <c r="E392" s="1066" t="s">
        <v>13892</v>
      </c>
      <c r="F392" s="918">
        <v>3.38</v>
      </c>
    </row>
    <row r="393" spans="1:6" outlineLevel="1">
      <c r="A393" s="1059"/>
      <c r="B393" s="1060"/>
      <c r="C393" s="1060"/>
      <c r="D393" s="1060"/>
      <c r="E393" s="1060"/>
      <c r="F393" s="1061"/>
    </row>
    <row r="394" spans="1:6" outlineLevel="1">
      <c r="A394" s="1067" t="str">
        <f>PLANILHA!A441</f>
        <v>11.3</v>
      </c>
      <c r="B394" s="1068"/>
      <c r="C394" s="995" t="str">
        <f>PLANILHA!D441</f>
        <v>PISO E REVESTIMENTO</v>
      </c>
      <c r="D394" s="945"/>
      <c r="E394" s="946"/>
      <c r="F394" s="947"/>
    </row>
    <row r="395" spans="1:6" ht="57" outlineLevel="1">
      <c r="A395" s="998" t="str">
        <f>PLANILHA!A442</f>
        <v>11.3.1</v>
      </c>
      <c r="B395" s="1052">
        <f>PLANILHA!C442</f>
        <v>87620</v>
      </c>
      <c r="C395" s="979" t="str">
        <f>PLANILHA!D442</f>
        <v>CONTRAPISO EM ARGAMASSA TRAÇO 1:4 (CIMENTO E AREIA), PREPARO MECÂNICO COM BETONEIRA 400 L, APLICADO EM ÁREAS SECAS SOBRE LAJE, ADERIDO, ACABAMENTO NÃO REFORÇADO, ESPESSURA 2CM. AF_07/2021</v>
      </c>
      <c r="D395" s="76" t="str">
        <f>PLANILHA!E442</f>
        <v>M2</v>
      </c>
      <c r="E395" s="904" t="s">
        <v>13879</v>
      </c>
      <c r="F395" s="900">
        <f>11.5*3.65</f>
        <v>41.975000000000001</v>
      </c>
    </row>
    <row r="396" spans="1:6" s="642" customFormat="1" ht="28.5" outlineLevel="1">
      <c r="A396" s="999" t="str">
        <f>PLANILHA!A443</f>
        <v>11.3.2</v>
      </c>
      <c r="B396" s="1055">
        <f>PLANILHA!C443</f>
        <v>101092</v>
      </c>
      <c r="C396" s="985" t="str">
        <f>PLANILHA!D443</f>
        <v>PISO EM GRANITO APLICADO EM CALÇADAS OU PISOS EXTERNOS. AF_05/2020</v>
      </c>
      <c r="D396" s="811" t="str">
        <f>PLANILHA!E443</f>
        <v>M2</v>
      </c>
      <c r="E396" s="1069" t="s">
        <v>13879</v>
      </c>
      <c r="F396" s="1028">
        <f>11.5*3.65</f>
        <v>41.975000000000001</v>
      </c>
    </row>
    <row r="397" spans="1:6" outlineLevel="1">
      <c r="A397" s="868"/>
      <c r="B397" s="786"/>
      <c r="C397" s="786"/>
      <c r="D397" s="786"/>
      <c r="E397" s="786"/>
      <c r="F397" s="869"/>
    </row>
    <row r="398" spans="1:6" outlineLevel="1">
      <c r="A398" s="1067" t="str">
        <f>PLANILHA!A446</f>
        <v>11.4</v>
      </c>
      <c r="B398" s="1068"/>
      <c r="C398" s="995" t="str">
        <f>PLANILHA!D446</f>
        <v>SERVIÇOS COMPLEMENTARES</v>
      </c>
      <c r="D398" s="945"/>
      <c r="E398" s="946"/>
      <c r="F398" s="947"/>
    </row>
    <row r="399" spans="1:6" ht="29.25" outlineLevel="1">
      <c r="A399" s="998" t="str">
        <f>PLANILHA!A447</f>
        <v>11.4.1</v>
      </c>
      <c r="B399" s="78" t="str">
        <f>PLANILHA!C447</f>
        <v>SEPLAG ARQ 115</v>
      </c>
      <c r="C399" s="979" t="str">
        <f>PLANILHA!D447</f>
        <v>GUARDA CORPO COM CORRIMÃO DUPLO  EM TUBO DE AÇO INOXIDAVEL 1 1/2", COM CHUMBADORES PARA FIXAÇÃO NO PISO</v>
      </c>
      <c r="D399" s="76" t="str">
        <f>PLANILHA!E447</f>
        <v>m</v>
      </c>
      <c r="E399" s="923" t="s">
        <v>13878</v>
      </c>
      <c r="F399" s="900">
        <f>(1.31+3.26+3.52+0.96)*2</f>
        <v>18.100000000000001</v>
      </c>
    </row>
    <row r="400" spans="1:6" ht="42.75" outlineLevel="1">
      <c r="A400" s="999" t="str">
        <f>PLANILHA!A448</f>
        <v>11.4.2</v>
      </c>
      <c r="B400" s="984" t="str">
        <f>PLANILHA!C448</f>
        <v>SEPLAG ARQ 136</v>
      </c>
      <c r="C400" s="985" t="str">
        <f>PLANILHA!D448</f>
        <v>PORTA DE ALUMÍNIO DE ABRIR COM LAMBRI, 2 FOLHAS, 2,00x2,10 COM GUARNIÇÃO, FIXAÇÃO COM PARAFUSOS - FORNECIMENTO E INSTALAÇÃO. AF_12/2019</v>
      </c>
      <c r="D400" s="811" t="str">
        <f>COMPOSIÇÕES!E2204</f>
        <v>m</v>
      </c>
      <c r="E400" s="927" t="s">
        <v>14175</v>
      </c>
      <c r="F400" s="1028">
        <f>3.26+0.94+3.52</f>
        <v>7.7199999999999989</v>
      </c>
    </row>
    <row r="401" spans="1:6" outlineLevel="1">
      <c r="A401" s="868"/>
      <c r="B401" s="786"/>
      <c r="C401" s="786"/>
      <c r="D401" s="786"/>
      <c r="E401" s="786"/>
      <c r="F401" s="869"/>
    </row>
    <row r="402" spans="1:6">
      <c r="A402" s="1070" t="str">
        <f>PLANILHA!A452</f>
        <v>12.0</v>
      </c>
      <c r="B402" s="970"/>
      <c r="C402" s="971" t="str">
        <f>PLANILHA!D452</f>
        <v>COBERTURA</v>
      </c>
      <c r="D402" s="1071"/>
      <c r="E402" s="972"/>
      <c r="F402" s="1072"/>
    </row>
    <row r="403" spans="1:6" outlineLevel="1">
      <c r="A403" s="1038" t="str">
        <f>PLANILHA!A453</f>
        <v>12.1</v>
      </c>
      <c r="B403" s="845"/>
      <c r="C403" s="975" t="str">
        <f>PLANILHA!D453</f>
        <v>DEMOLIÇÃO</v>
      </c>
      <c r="D403" s="735"/>
      <c r="E403" s="976"/>
      <c r="F403" s="1015"/>
    </row>
    <row r="404" spans="1:6" ht="42.75" outlineLevel="1">
      <c r="A404" s="998" t="str">
        <f>PLANILHA!A454</f>
        <v>12.1.1</v>
      </c>
      <c r="B404" s="78">
        <f>PLANILHA!C454</f>
        <v>97649</v>
      </c>
      <c r="C404" s="979" t="str">
        <f>PLANILHA!D454</f>
        <v>REMOÇÃO DE TELHAS DE FIBROCIMENTO, METÁLICA E CERÂMICA, DE FORMA MECANIZADA, COM USO DE GUINDASTE, SEM REAPROVEITAMENTO. AF_12/2017</v>
      </c>
      <c r="D404" s="76" t="str">
        <f>PLANILHA!E454</f>
        <v>M2</v>
      </c>
      <c r="E404" s="1003" t="s">
        <v>13849</v>
      </c>
      <c r="F404" s="981">
        <f>279.75+27.46</f>
        <v>307.20999999999998</v>
      </c>
    </row>
    <row r="405" spans="1:6" ht="28.5" outlineLevel="1">
      <c r="A405" s="998" t="str">
        <f>PLANILHA!A455</f>
        <v>12.1.2</v>
      </c>
      <c r="B405" s="78">
        <f>PLANILHA!C455</f>
        <v>97655</v>
      </c>
      <c r="C405" s="979" t="str">
        <f>PLANILHA!D455</f>
        <v>REMOÇÃO DE TRAMA METÁLICA PARA COBERTURA, DE FORMA MANUAL, SEM REAPROVEITAMENTO. AF_12/2017</v>
      </c>
      <c r="D405" s="76" t="str">
        <f>PLANILHA!E455</f>
        <v>M2</v>
      </c>
      <c r="E405" s="1073" t="str">
        <f>E404</f>
        <v>=279,75+27,46</v>
      </c>
      <c r="F405" s="981">
        <f>F404</f>
        <v>307.20999999999998</v>
      </c>
    </row>
    <row r="406" spans="1:6" ht="28.5" outlineLevel="1">
      <c r="A406" s="998" t="str">
        <f>PLANILHA!A456</f>
        <v>12.1.3</v>
      </c>
      <c r="B406" s="78">
        <f>PLANILHA!C456</f>
        <v>97657</v>
      </c>
      <c r="C406" s="979" t="str">
        <f>PLANILHA!D456</f>
        <v>REMOÇÃO DE TESOURAS METÁLICAS, COM VÃO MAIOR OU IGUAL A 8M, DE FORMA MANUAL, SEM REAPROVEITAMENTO. AF_12/2017</v>
      </c>
      <c r="D406" s="76" t="str">
        <f>PLANILHA!E456</f>
        <v>UN</v>
      </c>
      <c r="E406" s="1003" t="s">
        <v>13850</v>
      </c>
      <c r="F406" s="982">
        <v>8</v>
      </c>
    </row>
    <row r="407" spans="1:6" outlineLevel="1">
      <c r="A407" s="868"/>
      <c r="B407" s="786"/>
      <c r="C407" s="786"/>
      <c r="D407" s="786"/>
      <c r="E407" s="786"/>
      <c r="F407" s="869"/>
    </row>
    <row r="408" spans="1:6" outlineLevel="1">
      <c r="A408" s="1038" t="str">
        <f>PLANILHA!A459</f>
        <v>12.2</v>
      </c>
      <c r="B408" s="845"/>
      <c r="C408" s="975" t="str">
        <f>PLANILHA!D459</f>
        <v>COBERTURA METALICA</v>
      </c>
      <c r="D408" s="76"/>
      <c r="E408" s="1003"/>
      <c r="F408" s="1074"/>
    </row>
    <row r="409" spans="1:6" s="642" customFormat="1" ht="42.75" outlineLevel="1">
      <c r="A409" s="998" t="str">
        <f>PLANILHA!A460</f>
        <v>12.2.1</v>
      </c>
      <c r="B409" s="78">
        <f>PLANILHA!C460</f>
        <v>98546</v>
      </c>
      <c r="C409" s="979" t="str">
        <f>PLANILHA!D460</f>
        <v>IMPERMEABILIZAÇÃO DE SUPERFÍCIE COM MANTA ASFÁLTICA, UMA CAMADA, INCLUSIVE APLICAÇÃO DE PRIMER ASFÁLTICO, E=3MM. AF_06/2018</v>
      </c>
      <c r="D409" s="76" t="str">
        <f>PLANILHA!E460</f>
        <v>M2</v>
      </c>
      <c r="E409" s="1003" t="s">
        <v>13848</v>
      </c>
      <c r="F409" s="981">
        <f>26.45+27.59</f>
        <v>54.04</v>
      </c>
    </row>
    <row r="410" spans="1:6" s="642" customFormat="1" ht="42.75" outlineLevel="1">
      <c r="A410" s="998" t="str">
        <f>PLANILHA!A461</f>
        <v>12.2.2</v>
      </c>
      <c r="B410" s="78">
        <f>PLANILHA!C461</f>
        <v>92620</v>
      </c>
      <c r="C410" s="979" t="str">
        <f>PLANILHA!D461</f>
        <v>FABRICAÇÃO E INSTALAÇÃO DE TESOURA INTEIRA EM AÇO, VÃO DE 12 M, PARA TELHA ONDULADA DE FIBROCIMENTO, METÁLICA, PLÁSTICA OU TERMOACÚSTICA, INCLUSO IÇAMENTO. AF_12/2015</v>
      </c>
      <c r="D410" s="76" t="str">
        <f>PLANILHA!E461</f>
        <v>UN</v>
      </c>
      <c r="E410" s="1003" t="s">
        <v>14507</v>
      </c>
      <c r="F410" s="981">
        <v>5</v>
      </c>
    </row>
    <row r="411" spans="1:6" s="642" customFormat="1" ht="42.75" outlineLevel="1">
      <c r="A411" s="998" t="str">
        <f>PLANILHA!A462</f>
        <v>12.2.3</v>
      </c>
      <c r="B411" s="78">
        <f>PLANILHA!C462</f>
        <v>92604</v>
      </c>
      <c r="C411" s="979" t="str">
        <f>PLANILHA!D462</f>
        <v>FABRICAÇÃO E INSTALAÇÃO DE TESOURA INTEIRA EM AÇO, VÃO DE 4 M, PARA TELHA ONDULADA DE FIBROCIMENTO, METÁLICA, PLÁSTICA OU TERMOACÚSTICA, INCLUSO IÇAMENTO. AF_12/2015</v>
      </c>
      <c r="D411" s="76" t="str">
        <f>PLANILHA!E462</f>
        <v>UN</v>
      </c>
      <c r="E411" s="1003" t="s">
        <v>13844</v>
      </c>
      <c r="F411" s="981">
        <v>4</v>
      </c>
    </row>
    <row r="412" spans="1:6" s="642" customFormat="1" ht="42.75" outlineLevel="1">
      <c r="A412" s="998" t="str">
        <f>PLANILHA!A463</f>
        <v>12.2.4</v>
      </c>
      <c r="B412" s="78">
        <f>PLANILHA!C463</f>
        <v>92608</v>
      </c>
      <c r="C412" s="979" t="str">
        <f>PLANILHA!D463</f>
        <v>FABRICAÇÃO E INSTALAÇÃO DE TESOURA INTEIRA EM AÇO, VÃO DE 6 M, PARA TELHA ONDULADA DE FIBROCIMENTO, METÁLICA, PLÁSTICA OU TERMOACÚSTICA, INCLUSO IÇAMENTO. AF_12/2015</v>
      </c>
      <c r="D412" s="76" t="str">
        <f>PLANILHA!E463</f>
        <v>UN</v>
      </c>
      <c r="E412" s="1003" t="s">
        <v>14507</v>
      </c>
      <c r="F412" s="981">
        <v>5</v>
      </c>
    </row>
    <row r="413" spans="1:6" s="642" customFormat="1" ht="42.75" outlineLevel="1">
      <c r="A413" s="998" t="str">
        <f>PLANILHA!A464</f>
        <v>12.2.5</v>
      </c>
      <c r="B413" s="78">
        <f>PLANILHA!C464</f>
        <v>92580</v>
      </c>
      <c r="C413" s="979" t="str">
        <f>PLANILHA!D464</f>
        <v>TRAMA DE AÇO COMPOSTA POR TERÇAS PARA TELHADOS DE ATÉ 2 ÁGUAS PARA TELHA ONDULADA DE FIBROCIMENTO, METÁLICA, PLÁSTICA OU TERMOACÚSTICA, INCLUSO TRANSPORTE VERTICAL. AF_07/2019</v>
      </c>
      <c r="D413" s="76" t="str">
        <f>PLANILHA!E464</f>
        <v>M2</v>
      </c>
      <c r="E413" s="1003" t="s">
        <v>14678</v>
      </c>
      <c r="F413" s="1075">
        <f>10.45+27.38+10.8+28.78+264.73</f>
        <v>342.14</v>
      </c>
    </row>
    <row r="414" spans="1:6" s="642" customFormat="1" ht="28.5" outlineLevel="1">
      <c r="A414" s="998" t="str">
        <f>PLANILHA!A465</f>
        <v>12.2.6</v>
      </c>
      <c r="B414" s="78">
        <f>PLANILHA!C465</f>
        <v>94213</v>
      </c>
      <c r="C414" s="979" t="str">
        <f>PLANILHA!D465</f>
        <v>TELHAMENTO COM TELHA DE AÇO/ALUMÍNIO E = 0,5 MM, COM ATÉ 2 ÁGUAS, INCLUSO IÇAMENTO. AF_07/2019</v>
      </c>
      <c r="D414" s="76" t="str">
        <f>PLANILHA!E465</f>
        <v>M2</v>
      </c>
      <c r="E414" s="1003" t="s">
        <v>14678</v>
      </c>
      <c r="F414" s="1075">
        <f>10.45+27.38+10.8+28.78+264.73</f>
        <v>342.14</v>
      </c>
    </row>
    <row r="415" spans="1:6" ht="42.75" outlineLevel="1">
      <c r="A415" s="998" t="str">
        <f>PLANILHA!A466</f>
        <v>12.2.7</v>
      </c>
      <c r="B415" s="78">
        <f>PLANILHA!C466</f>
        <v>94229</v>
      </c>
      <c r="C415" s="979" t="str">
        <f>PLANILHA!D466</f>
        <v>CALHA EM CHAPA DE AÇO GALVANIZADO NÚMERO 24, DESENVOLVIMENTO DE 100 CM, INCLUSO TRANSPORTE VERTICAL. AF_07/2019</v>
      </c>
      <c r="D415" s="76" t="str">
        <f>PLANILHA!E466</f>
        <v>M</v>
      </c>
      <c r="E415" s="1003" t="s">
        <v>14679</v>
      </c>
      <c r="F415" s="1075">
        <f>24.32+17.78+5.65+12.59+4.8+3.8</f>
        <v>68.94</v>
      </c>
    </row>
    <row r="416" spans="1:6" ht="28.5" outlineLevel="1">
      <c r="A416" s="998" t="str">
        <f>PLANILHA!A467</f>
        <v>12.2.8</v>
      </c>
      <c r="B416" s="78">
        <f>PLANILHA!C467</f>
        <v>94231</v>
      </c>
      <c r="C416" s="979" t="str">
        <f>PLANILHA!D467</f>
        <v>RUFO EM CHAPA DE AÇO GALVANIZADO NÚMERO 24, CORTE DE 25 CM, INCLUSO TRANSPORTE VERTICAL. AF_07/2019</v>
      </c>
      <c r="D416" s="76" t="str">
        <f>PLANILHA!E467</f>
        <v>M</v>
      </c>
      <c r="E416" s="1003" t="s">
        <v>14680</v>
      </c>
      <c r="F416" s="1075">
        <f>12.59+6.37+6.38+6.22+12.59+2.18+2.18+1.85+1.85+5.65+6.01+6.01+5.01+4+4+1.6+2.2</f>
        <v>86.69</v>
      </c>
    </row>
    <row r="417" spans="1:6" ht="29.25" outlineLevel="1">
      <c r="A417" s="998" t="str">
        <f>PLANILHA!A468</f>
        <v>12.2.9</v>
      </c>
      <c r="B417" s="78" t="str">
        <f>PLANILHA!C468</f>
        <v>SEPLAG  ARQ 163</v>
      </c>
      <c r="C417" s="979" t="str">
        <f>PLANILHA!D468</f>
        <v>COLOCAÇÃO DE CUMEEIRA GALVANIZADA TRAPEZOIDAL E = 0,50 MM, SIMPLES</v>
      </c>
      <c r="D417" s="76" t="str">
        <f>PLANILHA!E468</f>
        <v>und</v>
      </c>
      <c r="E417" s="1003" t="s">
        <v>14684</v>
      </c>
      <c r="F417" s="1075">
        <v>17.28</v>
      </c>
    </row>
    <row r="418" spans="1:6" ht="29.25" outlineLevel="1">
      <c r="A418" s="998" t="str">
        <f>PLANILHA!A469</f>
        <v>12.2.10</v>
      </c>
      <c r="B418" s="78" t="str">
        <f>PLANILHA!C469</f>
        <v>SEPLAG  ARQ 164</v>
      </c>
      <c r="C418" s="979" t="str">
        <f>PLANILHA!D469</f>
        <v>CHAPIM METÁLICO, COM PINGADEIRA, CHAPA GALVANIZADA Nº 24, DESENVOLVIMENTO = 35 CM</v>
      </c>
      <c r="D418" s="76" t="str">
        <f>PLANILHA!E469</f>
        <v xml:space="preserve">m </v>
      </c>
      <c r="E418" s="1003" t="s">
        <v>14689</v>
      </c>
      <c r="F418" s="1075">
        <f>103.83+16.8+15.6</f>
        <v>136.22999999999999</v>
      </c>
    </row>
    <row r="419" spans="1:6" ht="29.25" outlineLevel="1">
      <c r="A419" s="998" t="str">
        <f>PLANILHA!A470</f>
        <v>12.2.11</v>
      </c>
      <c r="B419" s="78" t="str">
        <f>PLANILHA!C470</f>
        <v>SEPLAG ARQ 130</v>
      </c>
      <c r="C419" s="979" t="str">
        <f>PLANILHA!D470</f>
        <v>PASSARELA METALICA TIPO 02, FORNECIMENTO E INSTALAÇÃO</v>
      </c>
      <c r="D419" s="76" t="str">
        <f>PLANILHA!E470</f>
        <v>m</v>
      </c>
      <c r="E419" s="1003" t="s">
        <v>13916</v>
      </c>
      <c r="F419" s="900">
        <f>24.32+10.39+17.78</f>
        <v>52.49</v>
      </c>
    </row>
    <row r="420" spans="1:6" s="654" customFormat="1" ht="14.25" outlineLevel="1">
      <c r="A420" s="868"/>
      <c r="B420" s="786"/>
      <c r="C420" s="786"/>
      <c r="D420" s="786"/>
      <c r="E420" s="786"/>
      <c r="F420" s="869"/>
    </row>
    <row r="421" spans="1:6" outlineLevel="1">
      <c r="A421" s="1038" t="str">
        <f>PLANILHA!A473</f>
        <v>12.3</v>
      </c>
      <c r="B421" s="845"/>
      <c r="C421" s="975" t="str">
        <f>PLANILHA!D473</f>
        <v>ESTRUTURA DE CONCRETO</v>
      </c>
      <c r="D421" s="735"/>
      <c r="E421" s="976"/>
      <c r="F421" s="1015"/>
    </row>
    <row r="422" spans="1:6" ht="28.5" outlineLevel="1">
      <c r="A422" s="998" t="str">
        <f>PLANILHA!A474</f>
        <v>12.3.1</v>
      </c>
      <c r="B422" s="78">
        <f>PLANILHA!C474</f>
        <v>92265</v>
      </c>
      <c r="C422" s="979" t="str">
        <f>PLANILHA!D474</f>
        <v>FABRICAÇÃO DE FÔRMA PARA VIGAS, EM CHAPA DE MADEIRA COMPENSADA RESINADA, E = 17 MM. AF_09/2020</v>
      </c>
      <c r="D422" s="76" t="str">
        <f>PLANILHA!E474</f>
        <v>M2</v>
      </c>
      <c r="E422" s="1073" t="s">
        <v>13832</v>
      </c>
      <c r="F422" s="981">
        <v>123.17</v>
      </c>
    </row>
    <row r="423" spans="1:6" ht="42.75" outlineLevel="1">
      <c r="A423" s="998" t="str">
        <f>PLANILHA!A475</f>
        <v>12.3.2</v>
      </c>
      <c r="B423" s="78">
        <f>PLANILHA!C475</f>
        <v>96555</v>
      </c>
      <c r="C423" s="979" t="str">
        <f>PLANILHA!D475</f>
        <v>CONCRETAGEM DE BLOCOS DE COROAMENTO E VIGAS BALDRAME, FCK 30 MPA, COM USO DE JERICA  LANÇAMENTO, ADENSAMENTO E ACABAMENTO. AF_06/2017</v>
      </c>
      <c r="D423" s="76" t="str">
        <f>PLANILHA!E475</f>
        <v>M3</v>
      </c>
      <c r="E423" s="1073" t="s">
        <v>13832</v>
      </c>
      <c r="F423" s="981">
        <v>6.29</v>
      </c>
    </row>
    <row r="424" spans="1:6" ht="42.75" outlineLevel="1">
      <c r="A424" s="998" t="str">
        <f>PLANILHA!A476</f>
        <v>12.3.3</v>
      </c>
      <c r="B424" s="78">
        <f>PLANILHA!C476</f>
        <v>92775</v>
      </c>
      <c r="C424" s="979" t="str">
        <f>PLANILHA!D476</f>
        <v>ARMAÇÃO DE PILAR OU VIGA DE UMA ESTRUTURA CONVENCIONAL DE CONCRETO ARMADO EM UMA EDIFICAÇÃO TÉRREA OU SOBRADO UTILIZANDO AÇO CA-60 DE 5,0 MM - MONTAGEM. AF_12/2015</v>
      </c>
      <c r="D424" s="76" t="str">
        <f>PLANILHA!E476</f>
        <v>KG</v>
      </c>
      <c r="E424" s="1073" t="s">
        <v>13832</v>
      </c>
      <c r="F424" s="981">
        <v>196</v>
      </c>
    </row>
    <row r="425" spans="1:6" ht="42.75" outlineLevel="1">
      <c r="A425" s="998" t="str">
        <f>PLANILHA!A477</f>
        <v>12.3.4</v>
      </c>
      <c r="B425" s="78">
        <f>PLANILHA!C477</f>
        <v>92777</v>
      </c>
      <c r="C425" s="979" t="str">
        <f>PLANILHA!D477</f>
        <v>ARMAÇÃO DE PILAR OU VIGA DE UMA ESTRUTURA CONVENCIONAL DE CONCRETO ARMADO EM UMA EDIFICAÇÃO TÉRREA OU SOBRADO UTILIZANDO AÇO CA-50 DE 8,0 MM - MONTAGEM. AF_12/2015</v>
      </c>
      <c r="D425" s="76" t="str">
        <f>PLANILHA!E477</f>
        <v>KG</v>
      </c>
      <c r="E425" s="1073" t="s">
        <v>13832</v>
      </c>
      <c r="F425" s="981">
        <v>206.9</v>
      </c>
    </row>
    <row r="426" spans="1:6" s="642" customFormat="1" ht="42.75" outlineLevel="1">
      <c r="A426" s="998" t="str">
        <f>PLANILHA!A478</f>
        <v>12.3.5</v>
      </c>
      <c r="B426" s="78">
        <f>PLANILHA!C478</f>
        <v>92778</v>
      </c>
      <c r="C426" s="979" t="str">
        <f>PLANILHA!D478</f>
        <v>ARMAÇÃO DE PILAR OU VIGA DE UMA ESTRUTURA CONVENCIONAL DE CONCRETO ARMADO EM UMA EDIFICAÇÃO TÉRREA OU SOBRADO UTILIZANDO AÇO CA-50 DE 10,0 MM - MONTAGEM. AF_12/2015</v>
      </c>
      <c r="D426" s="76" t="str">
        <f>PLANILHA!E478</f>
        <v>KG</v>
      </c>
      <c r="E426" s="1073" t="s">
        <v>13832</v>
      </c>
      <c r="F426" s="981">
        <v>196.8</v>
      </c>
    </row>
    <row r="427" spans="1:6" s="654" customFormat="1" ht="14.25" outlineLevel="1">
      <c r="A427" s="1040"/>
      <c r="F427" s="1041"/>
    </row>
    <row r="428" spans="1:6" outlineLevel="1">
      <c r="A428" s="1038" t="str">
        <f>PLANILHA!A481</f>
        <v>12.4</v>
      </c>
      <c r="B428" s="845"/>
      <c r="C428" s="975" t="str">
        <f>PLANILHA!D481</f>
        <v>ALVENARIA E REVESTIMENTO</v>
      </c>
      <c r="D428" s="735"/>
      <c r="E428" s="976"/>
      <c r="F428" s="1015"/>
    </row>
    <row r="429" spans="1:6" ht="42.75" outlineLevel="1">
      <c r="A429" s="998" t="str">
        <f>PLANILHA!A482</f>
        <v>12.4.1</v>
      </c>
      <c r="B429" s="78">
        <f>PLANILHA!C482</f>
        <v>103328</v>
      </c>
      <c r="C429" s="979" t="str">
        <f>PLANILHA!D482</f>
        <v>ALVENARIA DE VEDAÇÃO DE BLOCOS CERÂMICOS FURADOS NA HORIZONTAL DE 9X19X19 CM (ESPESSURA 9 CM) E ARGAMASSA DE ASSENTAMENTO COM PREPARO EM BETONEIRA. AF_12/2021</v>
      </c>
      <c r="D429" s="76" t="str">
        <f>PLANILHA!E482</f>
        <v>M2</v>
      </c>
      <c r="E429" s="1073" t="s">
        <v>14520</v>
      </c>
      <c r="F429" s="981">
        <f>65.4*1.4+12.63*2.9+6.61*1.4+6.5*1.4</f>
        <v>146.541</v>
      </c>
    </row>
    <row r="430" spans="1:6" ht="42.75" outlineLevel="1">
      <c r="A430" s="998" t="str">
        <f>PLANILHA!A483</f>
        <v>12.4.2</v>
      </c>
      <c r="B430" s="78">
        <f>PLANILHA!C483</f>
        <v>87893</v>
      </c>
      <c r="C430" s="979" t="str">
        <f>PLANILHA!D483</f>
        <v>CHAPISCO APLICADO EM ALVENARIA (SEM PRESENÇA DE VÃOS) E ESTRUTURAS DE CONCRETO DE FACHADA, COM COLHER DE PEDREIRO.  ARGAMASSA TRAÇO 1:3 COM PREPARO MANUAL. AF_06/2014</v>
      </c>
      <c r="D430" s="76" t="str">
        <f>PLANILHA!E483</f>
        <v>M2</v>
      </c>
      <c r="E430" s="1073" t="s">
        <v>14521</v>
      </c>
      <c r="F430" s="981">
        <f>(65.4*1.4+12.63*2.9+6.61*1.4+6.5*1.4)*2</f>
        <v>293.08199999999999</v>
      </c>
    </row>
    <row r="431" spans="1:6" ht="71.25" outlineLevel="1">
      <c r="A431" s="998" t="str">
        <f>PLANILHA!A484</f>
        <v>12.4.3</v>
      </c>
      <c r="B431" s="78">
        <f>PLANILHA!C484</f>
        <v>87543</v>
      </c>
      <c r="C431" s="979" t="str">
        <f>PLANILHA!D484</f>
        <v>MASSA ÚNICA, PARA RECEBIMENTO DE PINTURA OU CERÂMICA, ARGAMASSA INDUSTRIALIZADA, PREPARO MECÂNICO, APLICADO COM EQUIPAMENTO DE MISTURA E PROJEÇÃO DE 1,5 M3/H EM FACES INTERNAS DE PAREDES, ESPESSURA DE 5MM, SEM EXECUÇÃO DE TALISCAS. AF_06/2014</v>
      </c>
      <c r="D431" s="76" t="str">
        <f>PLANILHA!E484</f>
        <v>M2</v>
      </c>
      <c r="E431" s="1073" t="str">
        <f>E430</f>
        <v>=(65,4*1,40+12,63*2,9+6,61*1,4+6,5*1,4)*2</v>
      </c>
      <c r="F431" s="981">
        <f>F430</f>
        <v>293.08199999999999</v>
      </c>
    </row>
    <row r="432" spans="1:6" s="858" customFormat="1" ht="14.25" outlineLevel="1">
      <c r="A432" s="884"/>
      <c r="F432" s="885"/>
    </row>
    <row r="433" spans="1:6" s="642" customFormat="1">
      <c r="A433" s="1076" t="str">
        <f>PLANILHA!A488</f>
        <v>13.0</v>
      </c>
      <c r="B433" s="1044"/>
      <c r="C433" s="1045" t="str">
        <f>PLANILHA!D488</f>
        <v>FACHADA</v>
      </c>
      <c r="D433" s="878"/>
      <c r="E433" s="1046"/>
      <c r="F433" s="1042"/>
    </row>
    <row r="434" spans="1:6" s="642" customFormat="1" outlineLevel="1">
      <c r="A434" s="1038" t="str">
        <f>PLANILHA!A490</f>
        <v>13.1</v>
      </c>
      <c r="B434" s="845"/>
      <c r="C434" s="975" t="str">
        <f>PLANILHA!D490</f>
        <v>MARQUISE E PILARES ENTRADA PRINCIPAL</v>
      </c>
      <c r="D434" s="735"/>
      <c r="E434" s="976"/>
      <c r="F434" s="1015"/>
    </row>
    <row r="435" spans="1:6" s="642" customFormat="1" outlineLevel="1">
      <c r="A435" s="1038" t="str">
        <f>PLANILHA!A491</f>
        <v>13.1.1</v>
      </c>
      <c r="B435" s="845"/>
      <c r="C435" s="975" t="str">
        <f>PLANILHA!D491</f>
        <v>SERVIÇOS PRELIMINARES</v>
      </c>
      <c r="D435" s="735"/>
      <c r="E435" s="976"/>
      <c r="F435" s="1015"/>
    </row>
    <row r="436" spans="1:6" s="642" customFormat="1" ht="28.5" outlineLevel="1">
      <c r="A436" s="998" t="str">
        <f>PLANILHA!A492</f>
        <v>13.1.1.1</v>
      </c>
      <c r="B436" s="78">
        <f>PLANILHA!C492</f>
        <v>96526</v>
      </c>
      <c r="C436" s="979" t="str">
        <f>PLANILHA!D492</f>
        <v>ESCAVAÇÃO MANUAL DE VALA PARA VIGA BALDRAME (SEM ESCAVAÇÃO PARA COLOCAÇÃO DE FÔRMAS). AF_06/2017</v>
      </c>
      <c r="D436" s="76" t="str">
        <f>PLANILHA!E492</f>
        <v>M3</v>
      </c>
      <c r="E436" s="1003" t="s">
        <v>14283</v>
      </c>
      <c r="F436" s="981">
        <f>4.13</f>
        <v>4.13</v>
      </c>
    </row>
    <row r="437" spans="1:6" s="642" customFormat="1" ht="28.5" outlineLevel="1">
      <c r="A437" s="998" t="str">
        <f>PLANILHA!A493</f>
        <v>13.1.1.2</v>
      </c>
      <c r="B437" s="78">
        <f>PLANILHA!C493</f>
        <v>101616</v>
      </c>
      <c r="C437" s="979" t="str">
        <f>PLANILHA!D493</f>
        <v>PREPARO DE FUNDO DE VALA COM LARGURA MENOR QUE 1,5 M (ACERTO DO SOLO NATURAL). AF_08/2020</v>
      </c>
      <c r="D437" s="76" t="str">
        <f>PLANILHA!E493</f>
        <v>M2</v>
      </c>
      <c r="E437" s="1003" t="s">
        <v>14284</v>
      </c>
      <c r="F437" s="981">
        <f>1.36</f>
        <v>1.36</v>
      </c>
    </row>
    <row r="438" spans="1:6" s="642" customFormat="1" outlineLevel="1">
      <c r="A438" s="1077"/>
      <c r="B438" s="829"/>
      <c r="C438" s="829"/>
      <c r="D438" s="829"/>
      <c r="E438" s="829"/>
      <c r="F438" s="1078"/>
    </row>
    <row r="439" spans="1:6" s="642" customFormat="1" outlineLevel="1">
      <c r="A439" s="1038" t="str">
        <f>PLANILHA!A496</f>
        <v>13.1.2</v>
      </c>
      <c r="B439" s="845"/>
      <c r="C439" s="975" t="str">
        <f>PLANILHA!D496</f>
        <v>FUNDAÇÃO MARQUISE E PILARES METALICOS</v>
      </c>
      <c r="D439" s="735"/>
      <c r="E439" s="976"/>
      <c r="F439" s="1015"/>
    </row>
    <row r="440" spans="1:6" s="642" customFormat="1" ht="42.75" outlineLevel="1">
      <c r="A440" s="998" t="str">
        <f>PLANILHA!A497</f>
        <v>13.1.2.1</v>
      </c>
      <c r="B440" s="78">
        <f>PLANILHA!C497</f>
        <v>102473</v>
      </c>
      <c r="C440" s="979" t="str">
        <f>PLANILHA!D497</f>
        <v>CONCRETO MAGRO PARA LASTRO, TRAÇO 1:4,5:4,5 (EM MASSA SECA DE CIMENTO/ AREIA MÉDIA/ SEIXO ROLADO) - PREPARO MECÂNICO COM BETONEIRA 400 L. AF_05/2021</v>
      </c>
      <c r="D440" s="76" t="str">
        <f>PLANILHA!E497</f>
        <v>M3</v>
      </c>
      <c r="E440" s="1003" t="s">
        <v>14701</v>
      </c>
      <c r="F440" s="1079">
        <f>0.5*0.5*0.03*4+0.6*0.6*0.03+0.7*0.7*4*0.03</f>
        <v>9.9599999999999994E-2</v>
      </c>
    </row>
    <row r="441" spans="1:6" s="642" customFormat="1" ht="28.5" outlineLevel="1">
      <c r="A441" s="998" t="str">
        <f>PLANILHA!A498</f>
        <v>13.1.2.2</v>
      </c>
      <c r="B441" s="78">
        <f>PLANILHA!C498</f>
        <v>96558</v>
      </c>
      <c r="C441" s="979" t="str">
        <f>PLANILHA!D498</f>
        <v>CONCRETAGEM DE SAPATAS, FCK 30 MPA, COM USO DE BOMBA  LANÇAMENTO, ADENSAMENTO E ACABAMENTO. AF_11/2016</v>
      </c>
      <c r="D441" s="76" t="str">
        <f>PLANILHA!E498</f>
        <v>M3</v>
      </c>
      <c r="E441" s="1003" t="s">
        <v>14700</v>
      </c>
      <c r="F441" s="981">
        <f>3.52+1.96</f>
        <v>5.48</v>
      </c>
    </row>
    <row r="442" spans="1:6" s="642" customFormat="1" ht="28.5" outlineLevel="1">
      <c r="A442" s="998" t="str">
        <f>PLANILHA!A499</f>
        <v>13.1.2.3</v>
      </c>
      <c r="B442" s="78">
        <f>PLANILHA!C499</f>
        <v>96543</v>
      </c>
      <c r="C442" s="979" t="str">
        <f>PLANILHA!D499</f>
        <v>ARMAÇÃO DE BLOCO, VIGA BALDRAME E SAPATA UTILIZANDO AÇO CA-60 DE 5 MM - MONTAGEM. AF_06/2017</v>
      </c>
      <c r="D442" s="76" t="str">
        <f>PLANILHA!E499</f>
        <v>KG</v>
      </c>
      <c r="E442" s="1003" t="s">
        <v>14703</v>
      </c>
      <c r="F442" s="981">
        <f>110.6+13.2</f>
        <v>123.8</v>
      </c>
    </row>
    <row r="443" spans="1:6" s="642" customFormat="1" ht="28.5" outlineLevel="1">
      <c r="A443" s="998" t="str">
        <f>PLANILHA!A500</f>
        <v>13.1.2.4</v>
      </c>
      <c r="B443" s="78">
        <f>PLANILHA!C500</f>
        <v>96545</v>
      </c>
      <c r="C443" s="979" t="str">
        <f>PLANILHA!D500</f>
        <v>ARMAÇÃO DE BLOCO, VIGA BALDRAME OU SAPATA UTILIZANDO AÇO CA-50 DE 8 MM - MONTAGEM. AF_06/2017</v>
      </c>
      <c r="D443" s="76" t="str">
        <f>PLANILHA!E500</f>
        <v>KG</v>
      </c>
      <c r="E443" s="1003" t="s">
        <v>14705</v>
      </c>
      <c r="F443" s="981">
        <f>24.1+18.3</f>
        <v>42.400000000000006</v>
      </c>
    </row>
    <row r="444" spans="1:6" s="642" customFormat="1" ht="28.5" outlineLevel="1">
      <c r="A444" s="998" t="str">
        <f>PLANILHA!A501</f>
        <v>13.1.2.5</v>
      </c>
      <c r="B444" s="78">
        <f>PLANILHA!C501</f>
        <v>96546</v>
      </c>
      <c r="C444" s="979" t="str">
        <f>PLANILHA!D501</f>
        <v>ARMAÇÃO DE BLOCO, VIGA BALDRAME OU SAPATA UTILIZANDO AÇO CA-50 DE 10 MM - MONTAGEM. AF_06/2017</v>
      </c>
      <c r="D444" s="76" t="str">
        <f>PLANILHA!E501</f>
        <v>KG</v>
      </c>
      <c r="E444" s="1003" t="s">
        <v>14704</v>
      </c>
      <c r="F444" s="981">
        <f>86.5+51.3</f>
        <v>137.80000000000001</v>
      </c>
    </row>
    <row r="445" spans="1:6" s="642" customFormat="1" ht="28.5" outlineLevel="1">
      <c r="A445" s="998" t="str">
        <f>PLANILHA!A502</f>
        <v>13.1.2.6</v>
      </c>
      <c r="B445" s="78">
        <f>PLANILHA!C502</f>
        <v>92263</v>
      </c>
      <c r="C445" s="979" t="str">
        <f>PLANILHA!D502</f>
        <v>FABRICAÇÃO DE FÔRMA PARA PILARES E ESTRUTURAS SIMILARES, EM CHAPA DE MADEIRA COMPENSADA RESINADA, E = 17 MM. AF_09/2020</v>
      </c>
      <c r="D445" s="76" t="str">
        <f>PLANILHA!E502</f>
        <v>M2</v>
      </c>
      <c r="E445" s="1003" t="s">
        <v>14285</v>
      </c>
      <c r="F445" s="981">
        <f>22.02</f>
        <v>22.02</v>
      </c>
    </row>
    <row r="446" spans="1:6" s="642" customFormat="1" ht="28.5" outlineLevel="1">
      <c r="A446" s="998" t="str">
        <f>PLANILHA!A503</f>
        <v>13.1.2.7</v>
      </c>
      <c r="B446" s="78">
        <f>PLANILHA!C503</f>
        <v>98557</v>
      </c>
      <c r="C446" s="979" t="str">
        <f>PLANILHA!D503</f>
        <v>IMPERMEABILIZAÇÃO DE SUPERFÍCIE COM EMULSÃO ASFÁLTICA, 2 DEMÃOS AF_06/2018</v>
      </c>
      <c r="D446" s="76" t="str">
        <f>PLANILHA!E503</f>
        <v>M2</v>
      </c>
      <c r="E446" s="1003" t="s">
        <v>14285</v>
      </c>
      <c r="F446" s="981">
        <f>22.02</f>
        <v>22.02</v>
      </c>
    </row>
    <row r="447" spans="1:6" s="642" customFormat="1" ht="42.75" outlineLevel="1">
      <c r="A447" s="998" t="str">
        <f>PLANILHA!A504</f>
        <v>13.1.2.8</v>
      </c>
      <c r="B447" s="78">
        <f>PLANILHA!C504</f>
        <v>100651</v>
      </c>
      <c r="C447" s="979" t="str">
        <f>PLANILHA!D504</f>
        <v>ESTACA HÉLICE CONTÍNUA, DIÂMETRO DE 30 CM, INCLUSO CONCRETO FCK=30MPA E ARMADURA MÍNIMA (EXCLUSIVE MOBILIZAÇÃO, DESMOBILIZAÇÃO E BOMBEAMENTO). AF_12/2019</v>
      </c>
      <c r="D447" s="76" t="str">
        <f>PLANILHA!E504</f>
        <v>M</v>
      </c>
      <c r="E447" s="1003" t="s">
        <v>14702</v>
      </c>
      <c r="F447" s="981">
        <f>25+12</f>
        <v>37</v>
      </c>
    </row>
    <row r="448" spans="1:6" s="642" customFormat="1" outlineLevel="1">
      <c r="A448" s="1077"/>
      <c r="B448" s="829"/>
      <c r="C448" s="829"/>
      <c r="D448" s="829"/>
      <c r="E448" s="829"/>
      <c r="F448" s="1078"/>
    </row>
    <row r="449" spans="1:6" s="642" customFormat="1" outlineLevel="1">
      <c r="A449" s="1038" t="str">
        <f>PLANILHA!A507</f>
        <v>13.1.3</v>
      </c>
      <c r="B449" s="845"/>
      <c r="C449" s="975" t="str">
        <f>PLANILHA!D507</f>
        <v>ESTRUTURA METALICA</v>
      </c>
      <c r="D449" s="735"/>
      <c r="E449" s="976"/>
      <c r="F449" s="1015"/>
    </row>
    <row r="450" spans="1:6" s="642" customFormat="1" ht="29.25" outlineLevel="1">
      <c r="A450" s="998" t="str">
        <f>PLANILHA!A508</f>
        <v>13.1.3.1</v>
      </c>
      <c r="B450" s="78" t="str">
        <f>PLANILHA!C508</f>
        <v>SEPLAG ARQ 144</v>
      </c>
      <c r="C450" s="979" t="str">
        <f>PLANILHA!D508</f>
        <v>MARQUISE ENTRADA PRINCIPAL, FORNECIMENTO E INSTALAÇÃO.</v>
      </c>
      <c r="D450" s="76" t="str">
        <f>PLANILHA!E508</f>
        <v>UND</v>
      </c>
      <c r="E450" s="917" t="s">
        <v>7316</v>
      </c>
      <c r="F450" s="918">
        <v>1</v>
      </c>
    </row>
    <row r="451" spans="1:6" s="642" customFormat="1" ht="29.25" outlineLevel="1">
      <c r="A451" s="998" t="str">
        <f>PLANILHA!A509</f>
        <v>13.1.3.2</v>
      </c>
      <c r="B451" s="78" t="str">
        <f>PLANILHA!C509</f>
        <v>SEPLAG ARQ 119</v>
      </c>
      <c r="C451" s="979" t="str">
        <f>PLANILHA!D509</f>
        <v>REVESTIMENTO EM ACM (ALUMINIO COMPOSTO) FIXADO EM ESTRUTURA METALICA. FORNCECIMENTO E INSTALAÇÃO.</v>
      </c>
      <c r="D451" s="76" t="str">
        <f>PLANILHA!E509</f>
        <v>M²</v>
      </c>
      <c r="E451" s="917" t="s">
        <v>14212</v>
      </c>
      <c r="F451" s="951">
        <f>21.11+((2.25+5.34)*2)+(2.5*0.5)+((1.1+2.2)*0.5)+(6.4*2)+((3.14+2.25)*2)</f>
        <v>62.769999999999996</v>
      </c>
    </row>
    <row r="452" spans="1:6" ht="29.25" outlineLevel="1">
      <c r="A452" s="998" t="str">
        <f>PLANILHA!A510</f>
        <v>13.1.3.3</v>
      </c>
      <c r="B452" s="78" t="str">
        <f>PLANILHA!C510</f>
        <v>SEPLAG ARQ 145</v>
      </c>
      <c r="C452" s="979" t="str">
        <f>PLANILHA!D510</f>
        <v>PILARES ENTRADA PRINCIPAL , H=12,23 M - TIPO 01, FORNECIMENTO E INSTALAÇÃO.</v>
      </c>
      <c r="D452" s="76" t="str">
        <f>PLANILHA!E510</f>
        <v>UND</v>
      </c>
      <c r="E452" s="1003" t="s">
        <v>13844</v>
      </c>
      <c r="F452" s="1007">
        <v>4</v>
      </c>
    </row>
    <row r="453" spans="1:6" ht="29.25" outlineLevel="1">
      <c r="A453" s="998" t="str">
        <f>PLANILHA!A511</f>
        <v>13.1.3.4</v>
      </c>
      <c r="B453" s="78" t="str">
        <f>PLANILHA!C511</f>
        <v>SEPLAG ARQ 147</v>
      </c>
      <c r="C453" s="979" t="str">
        <f>PLANILHA!D511</f>
        <v>PILARES ENTRADA PRINCIPAL,  H=8,155 M  - TIPO 03, FORNECIMENTO E INSTALAÇÃO.</v>
      </c>
      <c r="D453" s="76" t="str">
        <f>PLANILHA!E511</f>
        <v>UND</v>
      </c>
      <c r="E453" s="1003" t="s">
        <v>107</v>
      </c>
      <c r="F453" s="981">
        <v>1</v>
      </c>
    </row>
    <row r="454" spans="1:6" ht="29.25" outlineLevel="1">
      <c r="A454" s="998" t="str">
        <f>PLANILHA!A512</f>
        <v>13.1.3.5</v>
      </c>
      <c r="B454" s="78" t="str">
        <f>PLANILHA!C512</f>
        <v>SEPLAG ARQ 146</v>
      </c>
      <c r="C454" s="979" t="str">
        <f>PLANILHA!D512</f>
        <v>PILARES ENTRADA PRINCIPAL, H=7,348 M - TIPO 02, FORNECIMENTO E INSTALAÇÃO.</v>
      </c>
      <c r="D454" s="76" t="str">
        <f>PLANILHA!E512</f>
        <v>UND</v>
      </c>
      <c r="E454" s="1003" t="s">
        <v>107</v>
      </c>
      <c r="F454" s="981">
        <v>1</v>
      </c>
    </row>
    <row r="455" spans="1:6" ht="29.25" outlineLevel="1">
      <c r="A455" s="998" t="str">
        <f>PLANILHA!A513</f>
        <v>13.1.3.6</v>
      </c>
      <c r="B455" s="78" t="str">
        <f>PLANILHA!C513</f>
        <v>SEPLAG ARQ 119</v>
      </c>
      <c r="C455" s="979" t="str">
        <f>PLANILHA!D513</f>
        <v>REVESTIMENTO EM ACM (ALUMINIO COMPOSTO) FIXADO EM ESTRUTURA METALICA. FORNCECIMENTO E INSTALAÇÃO.</v>
      </c>
      <c r="D455" s="76" t="str">
        <f>PLANILHA!E513</f>
        <v>M²</v>
      </c>
      <c r="E455" s="1073" t="s">
        <v>14230</v>
      </c>
      <c r="F455" s="981">
        <f>(12.23*(0.57+0.57+0.05)*4)+(7.34*(0.57+0.57+0.05))+(8.15*(0.57+0.57+0.05))</f>
        <v>76.647899999999993</v>
      </c>
    </row>
    <row r="456" spans="1:6" ht="29.25" outlineLevel="1">
      <c r="A456" s="998" t="str">
        <f>PLANILHA!A514</f>
        <v>13.1.3.7</v>
      </c>
      <c r="B456" s="78" t="str">
        <f>PLANILHA!C514</f>
        <v>SEPLAG ARQ 151</v>
      </c>
      <c r="C456" s="979" t="str">
        <f>PLANILHA!D514</f>
        <v>SUPORTE METALICO FACHADA MTI, FORNECIMENTO E INSTALAÇÃO.</v>
      </c>
      <c r="D456" s="76" t="str">
        <f>PLANILHA!E514</f>
        <v>UND</v>
      </c>
      <c r="E456" s="1003" t="s">
        <v>107</v>
      </c>
      <c r="F456" s="1080">
        <v>1</v>
      </c>
    </row>
    <row r="457" spans="1:6" ht="29.25" outlineLevel="1">
      <c r="A457" s="998" t="str">
        <f>PLANILHA!A515</f>
        <v>13.1.3.8</v>
      </c>
      <c r="B457" s="78" t="str">
        <f>PLANILHA!C515</f>
        <v>SEPLAG ARQ 119</v>
      </c>
      <c r="C457" s="979" t="str">
        <f>PLANILHA!D515</f>
        <v>REVESTIMENTO EM ACM (ALUMINIO COMPOSTO) FIXADO EM ESTRUTURA METALICA. FORNCECIMENTO E INSTALAÇÃO.</v>
      </c>
      <c r="D457" s="76" t="str">
        <f>PLANILHA!E515</f>
        <v>M²</v>
      </c>
      <c r="E457" s="1003" t="s">
        <v>14694</v>
      </c>
      <c r="F457" s="1080">
        <v>119.31</v>
      </c>
    </row>
    <row r="458" spans="1:6" ht="29.25" outlineLevel="1">
      <c r="A458" s="998" t="str">
        <f>PLANILHA!A516</f>
        <v>13.1.3.9</v>
      </c>
      <c r="B458" s="78" t="str">
        <f>PLANILHA!C516</f>
        <v>SEPLAG ARQ 152</v>
      </c>
      <c r="C458" s="979" t="str">
        <f>PLANILHA!D516</f>
        <v>SUPORTE METALICO FACHADA (PRINCIPAL/LATERAL), FORNECIMENTO E INSTALAÇÃO.</v>
      </c>
      <c r="D458" s="76" t="str">
        <f>PLANILHA!E516</f>
        <v>UND</v>
      </c>
      <c r="E458" s="1003" t="s">
        <v>107</v>
      </c>
      <c r="F458" s="1080">
        <v>1</v>
      </c>
    </row>
    <row r="459" spans="1:6" ht="29.25" outlineLevel="1">
      <c r="A459" s="998" t="str">
        <f>PLANILHA!A517</f>
        <v>13.1.3.10</v>
      </c>
      <c r="B459" s="78" t="str">
        <f>PLANILHA!C517</f>
        <v>SEPLAG ARQ 119</v>
      </c>
      <c r="C459" s="979" t="str">
        <f>PLANILHA!D517</f>
        <v>REVESTIMENTO EM ACM (ALUMINIO COMPOSTO) FIXADO EM ESTRUTURA METALICA. FORNCECIMENTO E INSTALAÇÃO.</v>
      </c>
      <c r="D459" s="76" t="str">
        <f>PLANILHA!E517</f>
        <v>M²</v>
      </c>
      <c r="E459" s="1003" t="s">
        <v>14695</v>
      </c>
      <c r="F459" s="1080">
        <f>48.41+48.88</f>
        <v>97.289999999999992</v>
      </c>
    </row>
    <row r="460" spans="1:6" ht="29.25" outlineLevel="1">
      <c r="A460" s="998" t="str">
        <f>PLANILHA!A518</f>
        <v>13.1.3.11</v>
      </c>
      <c r="B460" s="78" t="str">
        <f>PLANILHA!C518</f>
        <v>SEPLAG ARQ 47</v>
      </c>
      <c r="C460" s="979" t="str">
        <f>PLANILHA!D518</f>
        <v>FACHADA DE VIDRO TEMPERADO DE 10mm FIXADO EM ESTRUTURA METALICA. FORNECIMENTO E INSTALAÇÃO.</v>
      </c>
      <c r="D460" s="76" t="str">
        <f>PLANILHA!E518</f>
        <v>M²</v>
      </c>
      <c r="E460" s="1003"/>
      <c r="F460" s="1080">
        <v>174.12</v>
      </c>
    </row>
    <row r="461" spans="1:6" ht="29.25" outlineLevel="1">
      <c r="A461" s="998" t="str">
        <f>PLANILHA!A519</f>
        <v>13.1.3.12</v>
      </c>
      <c r="B461" s="78" t="str">
        <f>PLANILHA!C519</f>
        <v>SEPLAG  ARQ 165</v>
      </c>
      <c r="C461" s="979" t="str">
        <f>PLANILHA!D519</f>
        <v>FACHADA PELE DE VIDRO (BASCULANTE). FORNECIMENTO E INSTALAÇÃO.</v>
      </c>
      <c r="D461" s="76" t="str">
        <f>PLANILHA!E519</f>
        <v>m²</v>
      </c>
      <c r="E461" s="1003"/>
      <c r="F461" s="1080">
        <v>87.06</v>
      </c>
    </row>
    <row r="462" spans="1:6" s="858" customFormat="1" ht="14.25" outlineLevel="1">
      <c r="A462" s="868"/>
      <c r="B462" s="786"/>
      <c r="C462" s="786"/>
      <c r="D462" s="786"/>
      <c r="E462" s="786"/>
      <c r="F462" s="869"/>
    </row>
    <row r="463" spans="1:6" s="642" customFormat="1" outlineLevel="1">
      <c r="A463" s="1038" t="str">
        <f>PLANILHA!A522</f>
        <v>13.2</v>
      </c>
      <c r="B463" s="845"/>
      <c r="C463" s="975" t="str">
        <f>PLANILHA!D522</f>
        <v>BRISE FACHADA</v>
      </c>
      <c r="D463" s="735"/>
      <c r="E463" s="976"/>
      <c r="F463" s="1015"/>
    </row>
    <row r="464" spans="1:6" s="642" customFormat="1" outlineLevel="1">
      <c r="A464" s="1038" t="str">
        <f>PLANILHA!A524</f>
        <v>13.2.1</v>
      </c>
      <c r="B464" s="845"/>
      <c r="C464" s="975" t="str">
        <f>PLANILHA!D524</f>
        <v>ESTRUTURA METÁLICA</v>
      </c>
      <c r="D464" s="735"/>
      <c r="E464" s="976"/>
      <c r="F464" s="1015"/>
    </row>
    <row r="465" spans="1:6" s="858" customFormat="1" ht="28.5" outlineLevel="1">
      <c r="A465" s="998" t="str">
        <f>PLANILHA!A525</f>
        <v>13.2.1.1</v>
      </c>
      <c r="B465" s="78" t="str">
        <f>PLANILHA!C525</f>
        <v>SEPLAG ARQ 140</v>
      </c>
      <c r="C465" s="979" t="str">
        <f>PLANILHA!D525</f>
        <v>ESTRUTURA PARA SUPORTE DAS BRISES, FORNECIMENTO E INSTALAÇÃO.</v>
      </c>
      <c r="D465" s="76" t="str">
        <f>PLANILHA!E525</f>
        <v>UND</v>
      </c>
      <c r="E465" s="1003" t="s">
        <v>108</v>
      </c>
      <c r="F465" s="981">
        <v>2</v>
      </c>
    </row>
    <row r="466" spans="1:6" s="858" customFormat="1" ht="28.5" outlineLevel="1">
      <c r="A466" s="998" t="str">
        <f>PLANILHA!A526</f>
        <v>13.2.1.2</v>
      </c>
      <c r="B466" s="78" t="str">
        <f>PLANILHA!C526</f>
        <v>SEPLAG ARQ 148</v>
      </c>
      <c r="C466" s="979" t="str">
        <f>PLANILHA!D526</f>
        <v>REVESTIMENTO METALICO HUNTER DOUGLAS - BRISE SCREENPANELL J #805 OU SIMILAR, FORNECIMENTO E INSTALAÇÃO.</v>
      </c>
      <c r="D466" s="76" t="str">
        <f>PLANILHA!E526</f>
        <v>M²</v>
      </c>
      <c r="E466" s="1003" t="s">
        <v>14242</v>
      </c>
      <c r="F466" s="981">
        <f>22.91*2</f>
        <v>45.82</v>
      </c>
    </row>
    <row r="467" spans="1:6" s="858" customFormat="1" ht="14.25" outlineLevel="1">
      <c r="A467" s="868"/>
      <c r="B467" s="786"/>
      <c r="C467" s="786"/>
      <c r="D467" s="786"/>
      <c r="E467" s="786"/>
      <c r="F467" s="869"/>
    </row>
    <row r="468" spans="1:6" s="642" customFormat="1" outlineLevel="1">
      <c r="A468" s="1038" t="str">
        <f>PLANILHA!A529</f>
        <v>13.3</v>
      </c>
      <c r="B468" s="845"/>
      <c r="C468" s="975" t="str">
        <f>PLANILHA!D529</f>
        <v>PINTURA</v>
      </c>
      <c r="D468" s="735"/>
      <c r="E468" s="976"/>
      <c r="F468" s="1015"/>
    </row>
    <row r="469" spans="1:6" ht="42.75" outlineLevel="1">
      <c r="A469" s="998" t="str">
        <f>PLANILHA!A530</f>
        <v>13.3.1</v>
      </c>
      <c r="B469" s="78">
        <f>PLANILHA!C530</f>
        <v>88412</v>
      </c>
      <c r="C469" s="979" t="str">
        <f>PLANILHA!D530</f>
        <v>APLICAÇÃO MANUAL DE FUNDO SELADOR ACRÍLICO EM PANOS CEGOS DE FACHADA (SEM PRESENÇA DE VÃOS) DE EDIFÍCIOS DE MÚLTIPLOS PAVIMENTOS. AF_06/2014</v>
      </c>
      <c r="D469" s="76" t="str">
        <f>PLANILHA!E530</f>
        <v>M2</v>
      </c>
      <c r="E469" s="1073" t="s">
        <v>14243</v>
      </c>
      <c r="F469" s="981">
        <v>1183.8800000000001</v>
      </c>
    </row>
    <row r="470" spans="1:6" ht="42.75" outlineLevel="1">
      <c r="A470" s="998" t="str">
        <f>PLANILHA!A531</f>
        <v>13.3.2</v>
      </c>
      <c r="B470" s="78">
        <f>PLANILHA!C531</f>
        <v>96131</v>
      </c>
      <c r="C470" s="979" t="str">
        <f>PLANILHA!D531</f>
        <v>APLICAÇÃO MANUAL DE MASSA ACRÍLICA EM PANOS DE FACHADA COM PRESENÇA DE VÃOS, DE EDIFÍCIOS DE MÚLTIPLOS PAVIMENTOS, DUAS DEMÃOS. AF_05/2017</v>
      </c>
      <c r="D470" s="76" t="str">
        <f>PLANILHA!E531</f>
        <v>M2</v>
      </c>
      <c r="E470" s="1073" t="str">
        <f>E469</f>
        <v>ver planilha de calculo</v>
      </c>
      <c r="F470" s="981">
        <f>F469</f>
        <v>1183.8800000000001</v>
      </c>
    </row>
    <row r="471" spans="1:6" ht="42.75" outlineLevel="1">
      <c r="A471" s="998" t="str">
        <f>PLANILHA!A532</f>
        <v>13.3.3</v>
      </c>
      <c r="B471" s="78">
        <f>PLANILHA!C532</f>
        <v>95623</v>
      </c>
      <c r="C471" s="979" t="str">
        <f>PLANILHA!D532</f>
        <v>APLICAÇÃO MANUAL DE TINTA LÁTEX ACRÍLICA EM PANOS SEM PRESENÇA DE VÃOS DE EDIFÍCIOS DE MÚLTIPLOS PAVIMENTOS, DUAS DEMÃOS. AF_11/2016</v>
      </c>
      <c r="D471" s="76" t="str">
        <f>PLANILHA!E532</f>
        <v>M2</v>
      </c>
      <c r="E471" s="1073" t="str">
        <f>E469</f>
        <v>ver planilha de calculo</v>
      </c>
      <c r="F471" s="981">
        <f>F469</f>
        <v>1183.8800000000001</v>
      </c>
    </row>
    <row r="472" spans="1:6" s="858" customFormat="1" ht="14.25" outlineLevel="1">
      <c r="A472" s="884"/>
      <c r="F472" s="885"/>
    </row>
    <row r="473" spans="1:6" outlineLevel="1">
      <c r="A473" s="1038" t="str">
        <f>PLANILHA!A535</f>
        <v>13.4</v>
      </c>
      <c r="B473" s="845"/>
      <c r="C473" s="975" t="str">
        <f>PLANILHA!D535</f>
        <v>FACHADA POSTERIOR - ENVOLTÓRIA DA ESCADA</v>
      </c>
      <c r="D473" s="735"/>
      <c r="E473" s="1081"/>
      <c r="F473" s="1015"/>
    </row>
    <row r="474" spans="1:6" outlineLevel="1">
      <c r="A474" s="1038" t="str">
        <f>PLANILHA!A536</f>
        <v>13.4.1</v>
      </c>
      <c r="B474" s="845"/>
      <c r="C474" s="975" t="str">
        <f>PLANILHA!D536</f>
        <v>SERVIÇOS PRELIMINARES</v>
      </c>
      <c r="D474" s="735"/>
      <c r="E474" s="1081"/>
      <c r="F474" s="1015"/>
    </row>
    <row r="475" spans="1:6" s="654" customFormat="1" ht="28.5" outlineLevel="1">
      <c r="A475" s="998" t="str">
        <f>PLANILHA!A537</f>
        <v>13.4.1.1</v>
      </c>
      <c r="B475" s="78">
        <f>PLANILHA!C537</f>
        <v>96526</v>
      </c>
      <c r="C475" s="979" t="str">
        <f>PLANILHA!D537</f>
        <v>ESCAVAÇÃO MANUAL DE VALA PARA VIGA BALDRAME (SEM ESCAVAÇÃO PARA COLOCAÇÃO DE FÔRMAS). AF_06/2017</v>
      </c>
      <c r="D475" s="76" t="str">
        <f>PLANILHA!E537</f>
        <v>M3</v>
      </c>
      <c r="E475" s="1082" t="s">
        <v>14546</v>
      </c>
      <c r="F475" s="1083">
        <f>0.5*0.5*0.55*4</f>
        <v>0.55000000000000004</v>
      </c>
    </row>
    <row r="476" spans="1:6" s="654" customFormat="1" ht="28.5" outlineLevel="1">
      <c r="A476" s="999" t="str">
        <f>PLANILHA!A538</f>
        <v>13.4.1.2</v>
      </c>
      <c r="B476" s="984">
        <f>PLANILHA!C538</f>
        <v>101616</v>
      </c>
      <c r="C476" s="985" t="str">
        <f>PLANILHA!D538</f>
        <v>PREPARO DE FUNDO DE VALA COM LARGURA MENOR QUE 1,5 M (ACERTO DO SOLO NATURAL). AF_08/2020</v>
      </c>
      <c r="D476" s="811" t="str">
        <f>PLANILHA!E538</f>
        <v>M2</v>
      </c>
      <c r="E476" s="1084" t="s">
        <v>14547</v>
      </c>
      <c r="F476" s="1085">
        <f>0.5*0.5*4</f>
        <v>1</v>
      </c>
    </row>
    <row r="477" spans="1:6" s="654" customFormat="1" ht="14.25" outlineLevel="1">
      <c r="A477" s="1086"/>
      <c r="B477" s="1087"/>
      <c r="C477" s="1088"/>
      <c r="D477" s="779"/>
      <c r="E477" s="1089"/>
      <c r="F477" s="1090"/>
    </row>
    <row r="478" spans="1:6" outlineLevel="1">
      <c r="A478" s="1067" t="str">
        <f>PLANILHA!A541</f>
        <v>13.4.2</v>
      </c>
      <c r="B478" s="994"/>
      <c r="C478" s="995" t="str">
        <f>PLANILHA!D541</f>
        <v>FUNDAÇÃO</v>
      </c>
      <c r="D478" s="932"/>
      <c r="E478" s="1091"/>
      <c r="F478" s="1092"/>
    </row>
    <row r="479" spans="1:6" s="654" customFormat="1" ht="28.5" outlineLevel="1">
      <c r="A479" s="998" t="str">
        <f>PLANILHA!A542</f>
        <v>13.4.2.1</v>
      </c>
      <c r="B479" s="78">
        <f>PLANILHA!C542</f>
        <v>96558</v>
      </c>
      <c r="C479" s="979" t="str">
        <f>PLANILHA!D542</f>
        <v>CONCRETAGEM DE SAPATAS, FCK 30 MPA, COM USO DE BOMBA  LANÇAMENTO, ADENSAMENTO E ACABAMENTO. AF_11/2016</v>
      </c>
      <c r="D479" s="76" t="str">
        <f>PLANILHA!E542</f>
        <v>M3</v>
      </c>
      <c r="E479" s="1093" t="s">
        <v>14544</v>
      </c>
      <c r="F479" s="1094">
        <f>1.14+1.31+0.55</f>
        <v>3</v>
      </c>
    </row>
    <row r="480" spans="1:6" s="654" customFormat="1" ht="28.5" outlineLevel="1">
      <c r="A480" s="998" t="str">
        <f>PLANILHA!A543</f>
        <v>13.4.2.2</v>
      </c>
      <c r="B480" s="78">
        <f>PLANILHA!C543</f>
        <v>96543</v>
      </c>
      <c r="C480" s="979" t="str">
        <f>PLANILHA!D543</f>
        <v>ARMAÇÃO DE BLOCO, VIGA BALDRAME E SAPATA UTILIZANDO AÇO CA-60 DE 5 MM - MONTAGEM. AF_06/2017</v>
      </c>
      <c r="D480" s="76" t="str">
        <f>PLANILHA!E543</f>
        <v>KG</v>
      </c>
      <c r="E480" s="1095" t="s">
        <v>13832</v>
      </c>
      <c r="F480" s="1096">
        <v>66.599999999999994</v>
      </c>
    </row>
    <row r="481" spans="1:6" s="654" customFormat="1" ht="28.5" outlineLevel="1">
      <c r="A481" s="998" t="str">
        <f>PLANILHA!A544</f>
        <v>13.4.2.3</v>
      </c>
      <c r="B481" s="78">
        <f>PLANILHA!C544</f>
        <v>96546</v>
      </c>
      <c r="C481" s="979" t="str">
        <f>PLANILHA!D544</f>
        <v>ARMAÇÃO DE BLOCO, VIGA BALDRAME OU SAPATA UTILIZANDO AÇO CA-50 DE 10 MM - MONTAGEM. AF_06/2017</v>
      </c>
      <c r="D481" s="76" t="str">
        <f>PLANILHA!E544</f>
        <v>KG</v>
      </c>
      <c r="E481" s="1095" t="s">
        <v>13832</v>
      </c>
      <c r="F481" s="1096">
        <v>146.1</v>
      </c>
    </row>
    <row r="482" spans="1:6" s="654" customFormat="1" ht="28.5" outlineLevel="1">
      <c r="A482" s="998" t="str">
        <f>PLANILHA!A545</f>
        <v>13.4.2.4</v>
      </c>
      <c r="B482" s="78">
        <f>PLANILHA!C545</f>
        <v>92263</v>
      </c>
      <c r="C482" s="979" t="str">
        <f>PLANILHA!D545</f>
        <v>FABRICAÇÃO DE FÔRMA PARA PILARES E ESTRUTURAS SIMILARES, EM CHAPA DE MADEIRA COMPENSADA RESINADA, E = 17 MM. AF_09/2020</v>
      </c>
      <c r="D482" s="76" t="str">
        <f>PLANILHA!E545</f>
        <v>M2</v>
      </c>
      <c r="E482" s="1095" t="s">
        <v>13832</v>
      </c>
      <c r="F482" s="1096">
        <v>38.340000000000003</v>
      </c>
    </row>
    <row r="483" spans="1:6" s="654" customFormat="1" ht="28.5" outlineLevel="1">
      <c r="A483" s="998" t="str">
        <f>PLANILHA!A546</f>
        <v>13.4.2.5</v>
      </c>
      <c r="B483" s="78">
        <f>PLANILHA!C546</f>
        <v>98557</v>
      </c>
      <c r="C483" s="979" t="str">
        <f>PLANILHA!D546</f>
        <v>IMPERMEABILIZAÇÃO DE SUPERFÍCIE COM EMULSÃO ASFÁLTICA, 2 DEMÃOS AF_06/2018</v>
      </c>
      <c r="D483" s="76" t="str">
        <f>PLANILHA!E546</f>
        <v>M2</v>
      </c>
      <c r="E483" s="1095" t="str">
        <f>E482</f>
        <v>ver projeto</v>
      </c>
      <c r="F483" s="1096">
        <f>F482</f>
        <v>38.340000000000003</v>
      </c>
    </row>
    <row r="484" spans="1:6" s="654" customFormat="1" ht="42.75" outlineLevel="1">
      <c r="A484" s="999" t="str">
        <f>PLANILHA!A547</f>
        <v>13.4.2.6</v>
      </c>
      <c r="B484" s="984">
        <f>PLANILHA!C547</f>
        <v>100651</v>
      </c>
      <c r="C484" s="985" t="str">
        <f>PLANILHA!D547</f>
        <v>ESTACA HÉLICE CONTÍNUA, DIÂMETRO DE 30 CM, INCLUSO CONCRETO FCK=30MPA E ARMADURA MÍNIMA (EXCLUSIVE MOBILIZAÇÃO, DESMOBILIZAÇÃO E BOMBEAMENTO). AF_12/2019</v>
      </c>
      <c r="D484" s="811" t="str">
        <f>PLANILHA!E547</f>
        <v>M</v>
      </c>
      <c r="E484" s="1097" t="s">
        <v>14545</v>
      </c>
      <c r="F484" s="1098">
        <f>2*4</f>
        <v>8</v>
      </c>
    </row>
    <row r="485" spans="1:6" s="654" customFormat="1" ht="14.25" outlineLevel="1">
      <c r="A485" s="1086"/>
      <c r="B485" s="1087"/>
      <c r="C485" s="1088"/>
      <c r="D485" s="779"/>
      <c r="E485" s="1089"/>
      <c r="F485" s="1090"/>
    </row>
    <row r="486" spans="1:6" outlineLevel="1">
      <c r="A486" s="1067" t="str">
        <f>PLANILHA!A550</f>
        <v>13.4.3</v>
      </c>
      <c r="B486" s="994"/>
      <c r="C486" s="995" t="str">
        <f>PLANILHA!D550</f>
        <v>ESTRUTURA METÁLICA</v>
      </c>
      <c r="D486" s="932"/>
      <c r="E486" s="1091"/>
      <c r="F486" s="1092"/>
    </row>
    <row r="487" spans="1:6" s="654" customFormat="1" ht="28.5" outlineLevel="1">
      <c r="A487" s="998" t="str">
        <f>PLANILHA!A551</f>
        <v>13.4.3.1</v>
      </c>
      <c r="B487" s="78" t="str">
        <f>PLANILHA!C551</f>
        <v>SEPLAG ARQ 150</v>
      </c>
      <c r="C487" s="979" t="str">
        <f>PLANILHA!D551</f>
        <v>ESTRUTURA METALICA FACHADA POSTERIOR ESCOLA , FORNECIMENTO E INSTALAÇÃO</v>
      </c>
      <c r="D487" s="76" t="str">
        <f>PLANILHA!E551</f>
        <v>UND</v>
      </c>
      <c r="E487" s="1095" t="s">
        <v>13832</v>
      </c>
      <c r="F487" s="1096">
        <v>1</v>
      </c>
    </row>
    <row r="488" spans="1:6" s="654" customFormat="1" ht="28.5" outlineLevel="1">
      <c r="A488" s="998" t="str">
        <f>PLANILHA!A552</f>
        <v>13.4.3.2</v>
      </c>
      <c r="B488" s="78" t="str">
        <f>PLANILHA!C552</f>
        <v>SEPLAG ARQ 119</v>
      </c>
      <c r="C488" s="979" t="str">
        <f>PLANILHA!D552</f>
        <v>REVESTIMENTO EM ACM (ALUMINIO COMPOSTO) FIXADO EM ESTRUTURA METALICA. FORNCECIMENTO E INSTALAÇÃO.</v>
      </c>
      <c r="D488" s="76" t="str">
        <f>PLANILHA!E552</f>
        <v>M²</v>
      </c>
      <c r="E488" s="1095" t="s">
        <v>13832</v>
      </c>
      <c r="F488" s="1096">
        <v>58.01</v>
      </c>
    </row>
    <row r="489" spans="1:6" s="654" customFormat="1" ht="28.5" outlineLevel="1">
      <c r="A489" s="998" t="str">
        <f>PLANILHA!A553</f>
        <v>13.4.3.3</v>
      </c>
      <c r="B489" s="78" t="str">
        <f>PLANILHA!C553</f>
        <v>SEPLAG ARQ 47</v>
      </c>
      <c r="C489" s="979" t="str">
        <f>PLANILHA!D553</f>
        <v>FACHADA DE VIDRO TEMPERADO DE 10mm FIXADO EM ESTRUTURA METALICA. FORNECIMENTO E INSTALAÇÃO.</v>
      </c>
      <c r="D489" s="76" t="str">
        <f>PLANILHA!E553</f>
        <v>M²</v>
      </c>
      <c r="E489" s="1095" t="s">
        <v>13832</v>
      </c>
      <c r="F489" s="1096">
        <v>35.340000000000003</v>
      </c>
    </row>
    <row r="490" spans="1:6" s="654" customFormat="1" ht="28.5" outlineLevel="1">
      <c r="A490" s="998" t="str">
        <f>PLANILHA!A554</f>
        <v>13.4.3.4</v>
      </c>
      <c r="B490" s="78" t="str">
        <f>PLANILHA!C554</f>
        <v>SEPLAG  ARQ 165</v>
      </c>
      <c r="C490" s="979" t="str">
        <f>PLANILHA!D554</f>
        <v>FACHADA PELE DE VIDRO (BASCULANTE). FORNECIMENTO E INSTALAÇÃO.</v>
      </c>
      <c r="D490" s="76" t="str">
        <f>PLANILHA!E554</f>
        <v>m²</v>
      </c>
      <c r="E490" s="1095" t="s">
        <v>13832</v>
      </c>
      <c r="F490" s="1096">
        <v>25.25</v>
      </c>
    </row>
    <row r="491" spans="1:6" s="654" customFormat="1" ht="14.25" outlineLevel="1">
      <c r="A491" s="1040"/>
      <c r="F491" s="1041"/>
    </row>
    <row r="492" spans="1:6">
      <c r="A492" s="1076" t="str">
        <f>PLANILHA!A559</f>
        <v>14.0</v>
      </c>
      <c r="B492" s="1048"/>
      <c r="C492" s="1045" t="str">
        <f>PLANILHA!D559</f>
        <v>ACESSIBILIDADE</v>
      </c>
      <c r="D492" s="1012"/>
      <c r="E492" s="1049"/>
      <c r="F492" s="1013"/>
    </row>
    <row r="493" spans="1:6" ht="43.5" outlineLevel="1">
      <c r="A493" s="998" t="str">
        <f>PLANILHA!A560</f>
        <v>14.1</v>
      </c>
      <c r="B493" s="78" t="str">
        <f>PLANILHA!C560</f>
        <v>SEPLAG ACESS 01</v>
      </c>
      <c r="C493" s="979" t="str">
        <f>PLANILHA!D560</f>
        <v>MAPA TÁTIL C/ PEDESTAL EM AÇO(40X60). FORNECIMENTO E INSTALAÇÃO.</v>
      </c>
      <c r="D493" s="75" t="str">
        <f>PLANILHA!E560</f>
        <v>UND</v>
      </c>
      <c r="E493" s="1095" t="s">
        <v>13832</v>
      </c>
      <c r="F493" s="981">
        <v>3</v>
      </c>
    </row>
    <row r="494" spans="1:6" ht="43.5" outlineLevel="1">
      <c r="A494" s="998" t="str">
        <f>PLANILHA!A561</f>
        <v>14.2</v>
      </c>
      <c r="B494" s="78" t="str">
        <f>PLANILHA!C561</f>
        <v>SEPLAG ACESS 02</v>
      </c>
      <c r="C494" s="979" t="str">
        <f>PLANILHA!D561</f>
        <v>PLACA DE PORTA EM BRAILE 20X8CM (AMBIENTES EM GERAL). FORNECIMENTO E INSTALAÇÃO.</v>
      </c>
      <c r="D494" s="75" t="str">
        <f>PLANILHA!E561</f>
        <v>UND</v>
      </c>
      <c r="E494" s="1095" t="s">
        <v>13832</v>
      </c>
      <c r="F494" s="981">
        <v>24</v>
      </c>
    </row>
    <row r="495" spans="1:6" ht="43.5" outlineLevel="1">
      <c r="A495" s="998" t="str">
        <f>PLANILHA!A562</f>
        <v>14.3</v>
      </c>
      <c r="B495" s="78" t="str">
        <f>PLANILHA!C562</f>
        <v>SEPLAG ACESS 03</v>
      </c>
      <c r="C495" s="979" t="str">
        <f>PLANILHA!D562</f>
        <v>PLACA DE PORTA EM BRAILE (SANITARIOS)                               (5X15CM). FORNECIMENTO E INSTALAÇÃO.</v>
      </c>
      <c r="D495" s="75" t="str">
        <f>PLANILHA!E562</f>
        <v>UND</v>
      </c>
      <c r="E495" s="1095" t="s">
        <v>13832</v>
      </c>
      <c r="F495" s="981">
        <v>7</v>
      </c>
    </row>
    <row r="496" spans="1:6" ht="43.5" outlineLevel="1">
      <c r="A496" s="998" t="str">
        <f>PLANILHA!A563</f>
        <v>14.4</v>
      </c>
      <c r="B496" s="78" t="str">
        <f>PLANILHA!C563</f>
        <v>SEPLAG ACESS 04</v>
      </c>
      <c r="C496" s="979" t="s">
        <v>7538</v>
      </c>
      <c r="D496" s="75" t="str">
        <f>PLANILHA!E563</f>
        <v>UND</v>
      </c>
      <c r="E496" s="1095" t="s">
        <v>13832</v>
      </c>
      <c r="F496" s="981">
        <v>352</v>
      </c>
    </row>
    <row r="497" spans="1:6" ht="43.5" outlineLevel="1">
      <c r="A497" s="998" t="str">
        <f>PLANILHA!A564</f>
        <v>14.5</v>
      </c>
      <c r="B497" s="78" t="str">
        <f>PLANILHA!C564</f>
        <v>SEPLAG ACESS 05</v>
      </c>
      <c r="C497" s="979" t="str">
        <f>PLANILHA!D564</f>
        <v>SINALIZAÇÃO TATIL DE PAVIMENTO- PARA CORRIMÃO E RAMPA. FORNECIMENTO E INSTALAÇÃO.</v>
      </c>
      <c r="D497" s="75" t="str">
        <f>PLANILHA!E564</f>
        <v>UND</v>
      </c>
      <c r="E497" s="1095" t="s">
        <v>13832</v>
      </c>
      <c r="F497" s="981">
        <v>35</v>
      </c>
    </row>
    <row r="498" spans="1:6" ht="43.5" outlineLevel="1">
      <c r="A498" s="998" t="str">
        <f>PLANILHA!A565</f>
        <v>14.6</v>
      </c>
      <c r="B498" s="78" t="str">
        <f>PLANILHA!C565</f>
        <v>SEPLAG ACESS 07</v>
      </c>
      <c r="C498" s="979" t="str">
        <f>PLANILHA!D565</f>
        <v>PISO TATIL ALERTA INTERNO CINZA (EM PORCELANATO) 25X25. FORNECIMENTO E INSTALAÇÃO.</v>
      </c>
      <c r="D498" s="75" t="str">
        <f>PLANILHA!E565</f>
        <v>UND</v>
      </c>
      <c r="E498" s="1095" t="s">
        <v>13832</v>
      </c>
      <c r="F498" s="981">
        <v>44</v>
      </c>
    </row>
    <row r="499" spans="1:6" s="654" customFormat="1" ht="14.25" outlineLevel="1">
      <c r="A499" s="1040"/>
      <c r="F499" s="1041"/>
    </row>
    <row r="500" spans="1:6" s="642" customFormat="1">
      <c r="A500" s="1076" t="str">
        <f>PLANILHA!A568</f>
        <v>15.0</v>
      </c>
      <c r="B500" s="1044"/>
      <c r="C500" s="1045" t="str">
        <f>PLANILHA!D568</f>
        <v>RAMPA DE ACESSO</v>
      </c>
      <c r="D500" s="1010"/>
      <c r="E500" s="1099"/>
      <c r="F500" s="1042"/>
    </row>
    <row r="501" spans="1:6" s="642" customFormat="1" outlineLevel="1">
      <c r="A501" s="1038" t="str">
        <f>PLANILHA!A569</f>
        <v>15.1</v>
      </c>
      <c r="B501" s="845"/>
      <c r="C501" s="975" t="str">
        <f>PLANILHA!D569</f>
        <v>SERVIÇOS PRELIMINARES</v>
      </c>
      <c r="D501" s="847"/>
      <c r="E501" s="1100"/>
      <c r="F501" s="1015"/>
    </row>
    <row r="502" spans="1:6" ht="29.25" outlineLevel="1">
      <c r="A502" s="998" t="str">
        <f>PLANILHA!A570</f>
        <v>15.1.1</v>
      </c>
      <c r="B502" s="78" t="str">
        <f>PLANILHA!C570</f>
        <v>SEPLAG ARQ 07</v>
      </c>
      <c r="C502" s="979" t="str">
        <f>PLANILHA!D570</f>
        <v>DEMOLIÇÃO DE CONCRETO SIMPLES - COM EQUIPAMENTO ELÉTRICO, INCLUSIVE AFASTAMENTO.</v>
      </c>
      <c r="D502" s="75" t="str">
        <f>PLANILHA!E570</f>
        <v>m³</v>
      </c>
      <c r="E502" s="1003" t="s">
        <v>13882</v>
      </c>
      <c r="F502" s="981">
        <f>21.07*2*0.15</f>
        <v>6.3209999999999997</v>
      </c>
    </row>
    <row r="503" spans="1:6" ht="28.5" outlineLevel="1">
      <c r="A503" s="998" t="str">
        <f>PLANILHA!A571</f>
        <v>15.1.2</v>
      </c>
      <c r="B503" s="78">
        <f>PLANILHA!C571</f>
        <v>100206</v>
      </c>
      <c r="C503" s="979" t="str">
        <f>PLANILHA!D571</f>
        <v>TRANSPORTE HORIZONTAL COM JERICA DE 90 L, DE MASSA/ GRANEL (UNIDADE: M3XKM). AF_07/2019</v>
      </c>
      <c r="D503" s="75" t="str">
        <f>PLANILHA!E571</f>
        <v>M3XKM</v>
      </c>
      <c r="E503" s="1003" t="s">
        <v>13883</v>
      </c>
      <c r="F503" s="981">
        <f>21.07*2*0.15*0.2</f>
        <v>1.2642</v>
      </c>
    </row>
    <row r="504" spans="1:6" ht="28.5" outlineLevel="1">
      <c r="A504" s="998" t="str">
        <f>PLANILHA!A572</f>
        <v>15.1.3</v>
      </c>
      <c r="B504" s="78">
        <f>PLANILHA!C572</f>
        <v>96526</v>
      </c>
      <c r="C504" s="979" t="str">
        <f>PLANILHA!D572</f>
        <v>ESCAVAÇÃO MANUAL DE VALA PARA VIGA BALDRAME (SEM ESCAVAÇÃO PARA COLOCAÇÃO DE FÔRMAS). AF_06/2017</v>
      </c>
      <c r="D504" s="75" t="str">
        <f>PLANILHA!E572</f>
        <v>M3</v>
      </c>
      <c r="E504" s="1003" t="s">
        <v>13881</v>
      </c>
      <c r="F504" s="981">
        <v>3.67</v>
      </c>
    </row>
    <row r="505" spans="1:6" ht="28.5" outlineLevel="1">
      <c r="A505" s="998" t="str">
        <f>PLANILHA!A573</f>
        <v>15.1.4</v>
      </c>
      <c r="B505" s="78">
        <f>PLANILHA!C573</f>
        <v>101616</v>
      </c>
      <c r="C505" s="979" t="str">
        <f>PLANILHA!D573</f>
        <v>PREPARO DE FUNDO DE VALA COM LARGURA MENOR QUE 1,5 M (ACERTO DO SOLO NATURAL). AF_08/2020</v>
      </c>
      <c r="D505" s="75" t="str">
        <f>PLANILHA!E573</f>
        <v>M2</v>
      </c>
      <c r="E505" s="1003" t="s">
        <v>13881</v>
      </c>
      <c r="F505" s="981">
        <v>55.37</v>
      </c>
    </row>
    <row r="506" spans="1:6" s="858" customFormat="1" ht="14.25" outlineLevel="1">
      <c r="A506" s="884"/>
      <c r="F506" s="885"/>
    </row>
    <row r="507" spans="1:6" s="642" customFormat="1" outlineLevel="1">
      <c r="A507" s="1038" t="str">
        <f>PLANILHA!A576</f>
        <v>15.2</v>
      </c>
      <c r="B507" s="845"/>
      <c r="C507" s="975" t="str">
        <f>PLANILHA!D576</f>
        <v>FUNDAÇÃO</v>
      </c>
      <c r="D507" s="847"/>
      <c r="E507" s="1100"/>
      <c r="F507" s="1015"/>
    </row>
    <row r="508" spans="1:6" ht="42.75" outlineLevel="1">
      <c r="A508" s="998" t="str">
        <f>PLANILHA!A577</f>
        <v>15.2.1</v>
      </c>
      <c r="B508" s="78">
        <f>PLANILHA!C577</f>
        <v>102473</v>
      </c>
      <c r="C508" s="979" t="str">
        <f>PLANILHA!D577</f>
        <v>CONCRETO MAGRO PARA LASTRO, TRAÇO 1:4,5:4,5 (EM MASSA SECA DE CIMENTO/ AREIA MÉDIA/ SEIXO ROLADO) - PREPARO MECÂNICO COM BETONEIRA 400 L. AF_05/2021</v>
      </c>
      <c r="D508" s="75" t="str">
        <f>PLANILHA!E577</f>
        <v>M3</v>
      </c>
      <c r="E508" s="1003" t="s">
        <v>13880</v>
      </c>
      <c r="F508" s="981">
        <f>21.07*2*0.05</f>
        <v>2.1070000000000002</v>
      </c>
    </row>
    <row r="509" spans="1:6" ht="42.75" outlineLevel="1">
      <c r="A509" s="998" t="str">
        <f>PLANILHA!A578</f>
        <v>15.2.2</v>
      </c>
      <c r="B509" s="78">
        <f>PLANILHA!C578</f>
        <v>96555</v>
      </c>
      <c r="C509" s="979" t="str">
        <f>PLANILHA!D578</f>
        <v>CONCRETAGEM DE BLOCOS DE COROAMENTO E VIGAS BALDRAME, FCK 30 MPA, COM USO DE JERICA  LANÇAMENTO, ADENSAMENTO E ACABAMENTO. AF_06/2017</v>
      </c>
      <c r="D509" s="75" t="str">
        <f>PLANILHA!E578</f>
        <v>M3</v>
      </c>
      <c r="E509" s="1003" t="s">
        <v>13893</v>
      </c>
      <c r="F509" s="981">
        <v>6</v>
      </c>
    </row>
    <row r="510" spans="1:6" ht="28.5" outlineLevel="1">
      <c r="A510" s="998" t="str">
        <f>PLANILHA!A579</f>
        <v>15.2.3</v>
      </c>
      <c r="B510" s="78">
        <f>PLANILHA!C579</f>
        <v>96543</v>
      </c>
      <c r="C510" s="979" t="str">
        <f>PLANILHA!D579</f>
        <v>ARMAÇÃO DE BLOCO, VIGA BALDRAME E SAPATA UTILIZANDO AÇO CA-60 DE 5 MM - MONTAGEM. AF_06/2017</v>
      </c>
      <c r="D510" s="75" t="str">
        <f>PLANILHA!E579</f>
        <v>KG</v>
      </c>
      <c r="E510" s="1003" t="s">
        <v>13894</v>
      </c>
      <c r="F510" s="981">
        <v>132.69999999999999</v>
      </c>
    </row>
    <row r="511" spans="1:6" ht="28.5" outlineLevel="1">
      <c r="A511" s="998" t="str">
        <f>PLANILHA!A580</f>
        <v>15.2.4</v>
      </c>
      <c r="B511" s="78">
        <f>PLANILHA!C580</f>
        <v>96544</v>
      </c>
      <c r="C511" s="979" t="str">
        <f>PLANILHA!D580</f>
        <v>ARMAÇÃO DE BLOCO, VIGA BALDRAME OU SAPATA UTILIZANDO AÇO CA-50 DE 6,3 MM - MONTAGEM. AF_06/2017</v>
      </c>
      <c r="D511" s="75" t="str">
        <f>PLANILHA!E580</f>
        <v>KG</v>
      </c>
      <c r="E511" s="1003" t="s">
        <v>13895</v>
      </c>
      <c r="F511" s="981">
        <v>200.9</v>
      </c>
    </row>
    <row r="512" spans="1:6" ht="28.5" outlineLevel="1">
      <c r="A512" s="998" t="str">
        <f>PLANILHA!A581</f>
        <v>15.2.5</v>
      </c>
      <c r="B512" s="78">
        <f>PLANILHA!C581</f>
        <v>96545</v>
      </c>
      <c r="C512" s="979" t="str">
        <f>PLANILHA!D581</f>
        <v>ARMAÇÃO DE BLOCO, VIGA BALDRAME OU SAPATA UTILIZANDO AÇO CA-50 DE 8 MM - MONTAGEM. AF_06/2017</v>
      </c>
      <c r="D512" s="75" t="str">
        <f>PLANILHA!E581</f>
        <v>KG</v>
      </c>
      <c r="E512" s="1003" t="s">
        <v>13896</v>
      </c>
      <c r="F512" s="981">
        <v>112.9</v>
      </c>
    </row>
    <row r="513" spans="1:6" ht="28.5" outlineLevel="1">
      <c r="A513" s="998" t="str">
        <f>PLANILHA!A582</f>
        <v>15.2.6</v>
      </c>
      <c r="B513" s="78">
        <f>PLANILHA!C582</f>
        <v>96546</v>
      </c>
      <c r="C513" s="979" t="str">
        <f>PLANILHA!D582</f>
        <v>ARMAÇÃO DE BLOCO, VIGA BALDRAME OU SAPATA UTILIZANDO AÇO CA-50 DE 10 MM - MONTAGEM. AF_06/2017</v>
      </c>
      <c r="D513" s="75" t="str">
        <f>PLANILHA!E582</f>
        <v>KG</v>
      </c>
      <c r="E513" s="1003" t="s">
        <v>13897</v>
      </c>
      <c r="F513" s="981">
        <v>149.69999999999999</v>
      </c>
    </row>
    <row r="514" spans="1:6" ht="28.5" outlineLevel="1">
      <c r="A514" s="998" t="str">
        <f>PLANILHA!A583</f>
        <v>15.2.7</v>
      </c>
      <c r="B514" s="78">
        <f>PLANILHA!C583</f>
        <v>92263</v>
      </c>
      <c r="C514" s="979" t="str">
        <f>PLANILHA!D583</f>
        <v>FABRICAÇÃO DE FÔRMA PARA PILARES E ESTRUTURAS SIMILARES, EM CHAPA DE MADEIRA COMPENSADA RESINADA, E = 17 MM. AF_09/2020</v>
      </c>
      <c r="D514" s="75" t="str">
        <f>PLANILHA!E583</f>
        <v>M2</v>
      </c>
      <c r="E514" s="1003" t="s">
        <v>13898</v>
      </c>
      <c r="F514" s="981">
        <v>74.2</v>
      </c>
    </row>
    <row r="515" spans="1:6" ht="28.5" outlineLevel="1">
      <c r="A515" s="998" t="str">
        <f>PLANILHA!A584</f>
        <v>15.2.8</v>
      </c>
      <c r="B515" s="78">
        <f>PLANILHA!C584</f>
        <v>98557</v>
      </c>
      <c r="C515" s="979" t="str">
        <f>PLANILHA!D584</f>
        <v>IMPERMEABILIZAÇÃO DE SUPERFÍCIE COM EMULSÃO ASFÁLTICA, 2 DEMÃOS AF_06/2018</v>
      </c>
      <c r="D515" s="75" t="str">
        <f>PLANILHA!E584</f>
        <v>M2</v>
      </c>
      <c r="E515" s="1003" t="str">
        <f>E514</f>
        <v>=74,20</v>
      </c>
      <c r="F515" s="981">
        <v>74.2</v>
      </c>
    </row>
    <row r="516" spans="1:6" ht="42.75" outlineLevel="1">
      <c r="A516" s="998" t="str">
        <f>PLANILHA!A585</f>
        <v>15.2.9</v>
      </c>
      <c r="B516" s="78">
        <f>PLANILHA!C585</f>
        <v>100651</v>
      </c>
      <c r="C516" s="979" t="str">
        <f>PLANILHA!D585</f>
        <v>ESTACA HÉLICE CONTÍNUA, DIÂMETRO DE 30 CM, INCLUSO CONCRETO FCK=30MPA E ARMADURA MÍNIMA (EXCLUSIVE MOBILIZAÇÃO, DESMOBILIZAÇÃO E BOMBEAMENTO). AF_12/2019</v>
      </c>
      <c r="D516" s="75" t="str">
        <f>PLANILHA!E585</f>
        <v>M</v>
      </c>
      <c r="E516" s="1003" t="s">
        <v>7316</v>
      </c>
      <c r="F516" s="981">
        <v>32</v>
      </c>
    </row>
    <row r="517" spans="1:6" s="858" customFormat="1" ht="14.25" outlineLevel="1">
      <c r="A517" s="884"/>
      <c r="F517" s="885"/>
    </row>
    <row r="518" spans="1:6" s="642" customFormat="1" outlineLevel="1">
      <c r="A518" s="1038" t="str">
        <f>PLANILHA!A588</f>
        <v>15.3</v>
      </c>
      <c r="B518" s="845"/>
      <c r="C518" s="975" t="str">
        <f>PLANILHA!D588</f>
        <v>SERVIÇOS COMPLEMENTARES</v>
      </c>
      <c r="D518" s="847"/>
      <c r="E518" s="1100"/>
      <c r="F518" s="1015"/>
    </row>
    <row r="519" spans="1:6" ht="29.25" outlineLevel="1">
      <c r="A519" s="998" t="str">
        <f>PLANILHA!A589</f>
        <v>15.3.1</v>
      </c>
      <c r="B519" s="78" t="str">
        <f>PLANILHA!C589</f>
        <v>SEPLAG ARQ 115</v>
      </c>
      <c r="C519" s="979" t="str">
        <f>PLANILHA!D589</f>
        <v>GUARDA CORPO COM CORRIMÃO DUPLO  EM TUBO DE AÇO INOXIDAVEL 1 1/2", COM CHUMBADORES PARA FIXAÇÃO NO PISO</v>
      </c>
      <c r="D519" s="75" t="str">
        <f>PLANILHA!E589</f>
        <v>m</v>
      </c>
      <c r="E519" s="1003" t="s">
        <v>7316</v>
      </c>
      <c r="F519" s="981">
        <v>44.65</v>
      </c>
    </row>
    <row r="520" spans="1:6" s="1101" customFormat="1" ht="14.25" outlineLevel="1">
      <c r="A520" s="962"/>
      <c r="B520" s="963"/>
      <c r="C520" s="963"/>
      <c r="D520" s="963"/>
      <c r="E520" s="963"/>
      <c r="F520" s="964"/>
    </row>
    <row r="521" spans="1:6" s="642" customFormat="1">
      <c r="A521" s="875" t="str">
        <f>PLANILHA!A593</f>
        <v>16.0</v>
      </c>
      <c r="B521" s="1102"/>
      <c r="C521" s="877" t="str">
        <f>PLANILHA!D593</f>
        <v>ELEVADOR</v>
      </c>
      <c r="D521" s="878"/>
      <c r="E521" s="1103"/>
      <c r="F521" s="880"/>
    </row>
    <row r="522" spans="1:6" s="642" customFormat="1" outlineLevel="1">
      <c r="A522" s="870" t="str">
        <f>PLANILHA!A594</f>
        <v>16.1</v>
      </c>
      <c r="B522" s="871"/>
      <c r="C522" s="872" t="str">
        <f>PLANILHA!D594</f>
        <v>MOVIMENTO DE SOLO</v>
      </c>
      <c r="D522" s="735"/>
      <c r="E522" s="1104"/>
      <c r="F522" s="874"/>
    </row>
    <row r="523" spans="1:6" ht="28.5" outlineLevel="1">
      <c r="A523" s="913" t="str">
        <f>PLANILHA!A595</f>
        <v>16.1.1</v>
      </c>
      <c r="B523" s="74">
        <f>PLANILHA!C595</f>
        <v>96523</v>
      </c>
      <c r="C523" s="711" t="str">
        <f>PLANILHA!D595</f>
        <v>ESCAVAÇÃO MANUAL PARA BLOCO DE COROAMENTO OU SAPATA (INCLUINDO ESCAVAÇÃO PARA COLOCAÇÃO DE FÔRMAS). AF_06/2017</v>
      </c>
      <c r="D523" s="76" t="str">
        <f>PLANILHA!E595</f>
        <v>M3</v>
      </c>
      <c r="E523" s="882" t="s">
        <v>13899</v>
      </c>
      <c r="F523" s="898">
        <v>10.8</v>
      </c>
    </row>
    <row r="524" spans="1:6" ht="28.5" outlineLevel="1">
      <c r="A524" s="913" t="str">
        <f>PLANILHA!A596</f>
        <v>16.1.2</v>
      </c>
      <c r="B524" s="74">
        <f>PLANILHA!C596</f>
        <v>101616</v>
      </c>
      <c r="C524" s="711" t="str">
        <f>PLANILHA!D596</f>
        <v>PREPARO DE FUNDO DE VALA COM LARGURA MENOR QUE 1,5 M (ACERTO DO SOLO NATURAL). AF_08/2020</v>
      </c>
      <c r="D524" s="76" t="str">
        <f>PLANILHA!E596</f>
        <v>M2</v>
      </c>
      <c r="E524" s="882" t="s">
        <v>13900</v>
      </c>
      <c r="F524" s="883">
        <v>11.4</v>
      </c>
    </row>
    <row r="525" spans="1:6" ht="28.5" outlineLevel="1">
      <c r="A525" s="913" t="str">
        <f>PLANILHA!A597</f>
        <v>16.1.3</v>
      </c>
      <c r="B525" s="74">
        <f>PLANILHA!C597</f>
        <v>96616</v>
      </c>
      <c r="C525" s="711" t="str">
        <f>PLANILHA!D597</f>
        <v>LASTRO DE CONCRETO MAGRO, APLICADO EM BLOCOS DE COROAMENTO OU SAPATAS. AF_08/2017</v>
      </c>
      <c r="D525" s="76" t="str">
        <f>PLANILHA!E597</f>
        <v>M3</v>
      </c>
      <c r="E525" s="882" t="s">
        <v>13901</v>
      </c>
      <c r="F525" s="898">
        <f>F524*0.03</f>
        <v>0.34199999999999997</v>
      </c>
    </row>
    <row r="526" spans="1:6" ht="28.5" outlineLevel="1">
      <c r="A526" s="913" t="str">
        <f>PLANILHA!A598</f>
        <v>16.1.4</v>
      </c>
      <c r="B526" s="74">
        <f>PLANILHA!C598</f>
        <v>93382</v>
      </c>
      <c r="C526" s="711" t="str">
        <f>PLANILHA!D598</f>
        <v>REATERRO MANUAL DE VALAS COM COMPACTAÇÃO MECANIZADA. AF_04/2016</v>
      </c>
      <c r="D526" s="76" t="str">
        <f>PLANILHA!E598</f>
        <v>M3</v>
      </c>
      <c r="E526" s="882" t="s">
        <v>13902</v>
      </c>
      <c r="F526" s="883">
        <v>6.26</v>
      </c>
    </row>
    <row r="527" spans="1:6" outlineLevel="1">
      <c r="A527" s="886"/>
      <c r="B527" s="779"/>
      <c r="C527" s="779"/>
      <c r="D527" s="779"/>
      <c r="E527" s="779"/>
      <c r="F527" s="887"/>
    </row>
    <row r="528" spans="1:6" s="642" customFormat="1" outlineLevel="1">
      <c r="A528" s="870" t="str">
        <f>PLANILHA!A601</f>
        <v>16.2</v>
      </c>
      <c r="B528" s="871"/>
      <c r="C528" s="872" t="str">
        <f>PLANILHA!D601</f>
        <v>ESTRUTURA DE CONCRETO - INFRAESTRUTURA</v>
      </c>
      <c r="D528" s="735"/>
      <c r="E528" s="1104"/>
      <c r="F528" s="874"/>
    </row>
    <row r="529" spans="1:6" ht="28.5" outlineLevel="1">
      <c r="A529" s="913" t="str">
        <f>PLANILHA!A602</f>
        <v>16.2.1</v>
      </c>
      <c r="B529" s="74">
        <f>PLANILHA!C602</f>
        <v>96543</v>
      </c>
      <c r="C529" s="711" t="str">
        <f>PLANILHA!D602</f>
        <v>ARMAÇÃO DE BLOCO, VIGA BALDRAME E SAPATA UTILIZANDO AÇO CA-60 DE 5 MM - MONTAGEM. AF_06/2017</v>
      </c>
      <c r="D529" s="76" t="str">
        <f>PLANILHA!E602</f>
        <v>KG</v>
      </c>
      <c r="E529" s="882" t="s">
        <v>13903</v>
      </c>
      <c r="F529" s="883">
        <v>14.8</v>
      </c>
    </row>
    <row r="530" spans="1:6" ht="28.5" outlineLevel="1">
      <c r="A530" s="913" t="str">
        <f>PLANILHA!A603</f>
        <v>16.2.2</v>
      </c>
      <c r="B530" s="74">
        <f>PLANILHA!C603</f>
        <v>96545</v>
      </c>
      <c r="C530" s="711" t="str">
        <f>PLANILHA!D603</f>
        <v>ARMAÇÃO DE BLOCO, VIGA BALDRAME OU SAPATA UTILIZANDO AÇO CA-50 DE 8 MM - MONTAGEM. AF_06/2017</v>
      </c>
      <c r="D530" s="76" t="str">
        <f>PLANILHA!E603</f>
        <v>KG</v>
      </c>
      <c r="E530" s="882" t="s">
        <v>13904</v>
      </c>
      <c r="F530" s="883">
        <v>321.10000000000002</v>
      </c>
    </row>
    <row r="531" spans="1:6" ht="28.5" outlineLevel="1">
      <c r="A531" s="913" t="str">
        <f>PLANILHA!A604</f>
        <v>16.2.3</v>
      </c>
      <c r="B531" s="74">
        <f>PLANILHA!C604</f>
        <v>96546</v>
      </c>
      <c r="C531" s="711" t="str">
        <f>PLANILHA!D604</f>
        <v>ARMAÇÃO DE BLOCO, VIGA BALDRAME OU SAPATA UTILIZANDO AÇO CA-50 DE 10 MM - MONTAGEM. AF_06/2017</v>
      </c>
      <c r="D531" s="76" t="str">
        <f>PLANILHA!E604</f>
        <v>KG</v>
      </c>
      <c r="E531" s="882" t="s">
        <v>13905</v>
      </c>
      <c r="F531" s="883">
        <v>20.8</v>
      </c>
    </row>
    <row r="532" spans="1:6" ht="28.5" outlineLevel="1">
      <c r="A532" s="913" t="str">
        <f>PLANILHA!A605</f>
        <v>16.2.4</v>
      </c>
      <c r="B532" s="74">
        <f>PLANILHA!C605</f>
        <v>96536</v>
      </c>
      <c r="C532" s="711" t="str">
        <f>PLANILHA!D605</f>
        <v>FABRICAÇÃO, MONTAGEM E DESMONTAGEM DE FÔRMA PARA VIGA BALDRAME, EM MADEIRA SERRADA, E=25 MM, 4 UTILIZAÇÕES. AF_06/2017</v>
      </c>
      <c r="D532" s="76" t="str">
        <f>PLANILHA!E605</f>
        <v>M2</v>
      </c>
      <c r="E532" s="882" t="s">
        <v>13906</v>
      </c>
      <c r="F532" s="883">
        <v>6.3</v>
      </c>
    </row>
    <row r="533" spans="1:6" ht="42.75" outlineLevel="1">
      <c r="A533" s="913" t="str">
        <f>PLANILHA!A606</f>
        <v>16.2.5</v>
      </c>
      <c r="B533" s="74">
        <f>PLANILHA!C606</f>
        <v>102481</v>
      </c>
      <c r="C533" s="711" t="str">
        <f>PLANILHA!D606</f>
        <v>CONCRETO FCK = 20MPA, TRAÇO 1:2,6:2,9 (EM MASSA SECA DE CIMENTO/ AREIA MÉDIA/ SEIXO ROLADO) - PREPARO MECÂNICO COM BETONEIRA 600 L. AF_05/2021</v>
      </c>
      <c r="D533" s="76" t="str">
        <f>PLANILHA!E606</f>
        <v>M3</v>
      </c>
      <c r="E533" s="882" t="s">
        <v>13907</v>
      </c>
      <c r="F533" s="883">
        <v>4.54</v>
      </c>
    </row>
    <row r="534" spans="1:6" ht="28.5" outlineLevel="1">
      <c r="A534" s="913" t="str">
        <f>PLANILHA!A607</f>
        <v>16.2.6</v>
      </c>
      <c r="B534" s="74">
        <f>PLANILHA!C607</f>
        <v>103670</v>
      </c>
      <c r="C534" s="711" t="str">
        <f>PLANILHA!D607</f>
        <v>LANÇAMENTO COM USO DE BALDES, ADENSAMENTO E ACABAMENTO DE CONCRETO EM ESTRUTURAS. AF_02/2022</v>
      </c>
      <c r="D534" s="76" t="str">
        <f>PLANILHA!E607</f>
        <v>M3</v>
      </c>
      <c r="E534" s="882" t="str">
        <f>E533</f>
        <v>=4,54</v>
      </c>
      <c r="F534" s="883">
        <v>4.54</v>
      </c>
    </row>
    <row r="535" spans="1:6" ht="28.5" outlineLevel="1">
      <c r="A535" s="913" t="str">
        <f>PLANILHA!A608</f>
        <v>16.2.7</v>
      </c>
      <c r="B535" s="74">
        <f>PLANILHA!C608</f>
        <v>98557</v>
      </c>
      <c r="C535" s="711" t="str">
        <f>PLANILHA!D608</f>
        <v>IMPERMEABILIZAÇÃO DE SUPERFÍCIE COM EMULSÃO ASFÁLTICA, 2 DEMÃOS AF_06/2018</v>
      </c>
      <c r="D535" s="76" t="str">
        <f>PLANILHA!E608</f>
        <v>M2</v>
      </c>
      <c r="E535" s="882" t="str">
        <f>E532</f>
        <v>=6,30</v>
      </c>
      <c r="F535" s="898">
        <v>6.3</v>
      </c>
    </row>
    <row r="536" spans="1:6" outlineLevel="1">
      <c r="A536" s="886"/>
      <c r="B536" s="779"/>
      <c r="C536" s="779"/>
      <c r="D536" s="779"/>
      <c r="E536" s="779"/>
      <c r="F536" s="887"/>
    </row>
    <row r="537" spans="1:6" s="642" customFormat="1" outlineLevel="1">
      <c r="A537" s="870" t="str">
        <f>PLANILHA!A611</f>
        <v>16.3</v>
      </c>
      <c r="B537" s="871"/>
      <c r="C537" s="872" t="str">
        <f>PLANILHA!D611</f>
        <v>ESTRUTURA - SUPERESTRUTURA</v>
      </c>
      <c r="D537" s="735"/>
      <c r="E537" s="1104"/>
      <c r="F537" s="874"/>
    </row>
    <row r="538" spans="1:6" ht="42.75" outlineLevel="1">
      <c r="A538" s="913" t="str">
        <f>PLANILHA!A612</f>
        <v>16.3.1</v>
      </c>
      <c r="B538" s="74">
        <f>PLANILHA!C612</f>
        <v>92759</v>
      </c>
      <c r="C538" s="711" t="str">
        <f>PLANILHA!D612</f>
        <v>ARMAÇÃO DE PILAR OU VIGA DE UMA ESTRUTURA CONVENCIONAL DE CONCRETO ARMADO EM UM EDIFÍCIO DE MÚLTIPLOS PAVIMENTOS UTILIZANDO AÇO CA-60 DE 5,0 MM - MONTAGEM. AF_12/2015</v>
      </c>
      <c r="D538" s="76" t="str">
        <f>PLANILHA!E612</f>
        <v>KG</v>
      </c>
      <c r="E538" s="882" t="s">
        <v>13908</v>
      </c>
      <c r="F538" s="883">
        <v>305.89999999999998</v>
      </c>
    </row>
    <row r="539" spans="1:6" ht="42.75" outlineLevel="1">
      <c r="A539" s="913" t="str">
        <f>PLANILHA!A613</f>
        <v>16.3.2</v>
      </c>
      <c r="B539" s="74">
        <f>PLANILHA!C613</f>
        <v>92760</v>
      </c>
      <c r="C539" s="711" t="str">
        <f>PLANILHA!D613</f>
        <v>ARMAÇÃO DE PILAR OU VIGA DE UMA ESTRUTURA CONVENCIONAL DE CONCRETO ARMADO EM UM EDIFÍCIO DE MÚLTIPLOS PAVIMENTOS UTILIZANDO AÇO CA-50 DE 6,3 MM - MONTAGEM. AF_12/2015</v>
      </c>
      <c r="D539" s="76" t="str">
        <f>PLANILHA!E613</f>
        <v>KG</v>
      </c>
      <c r="E539" s="882" t="s">
        <v>13909</v>
      </c>
      <c r="F539" s="883">
        <v>2.4</v>
      </c>
    </row>
    <row r="540" spans="1:6" ht="42.75" outlineLevel="1">
      <c r="A540" s="913" t="str">
        <f>PLANILHA!A614</f>
        <v>16.3.3</v>
      </c>
      <c r="B540" s="74">
        <f>PLANILHA!C614</f>
        <v>92761</v>
      </c>
      <c r="C540" s="711" t="str">
        <f>PLANILHA!D614</f>
        <v>ARMAÇÃO DE PILAR OU VIGA DE UMA ESTRUTURA CONVENCIONAL DE CONCRETO ARMADO EM UM EDIFÍCIO DE MÚLTIPLOS PAVIMENTOS UTILIZANDO AÇO CA-50 DE 8,0 MM - MONTAGEM. AF_12/2015</v>
      </c>
      <c r="D540" s="76" t="str">
        <f>PLANILHA!E614</f>
        <v>KG</v>
      </c>
      <c r="E540" s="882" t="s">
        <v>13910</v>
      </c>
      <c r="F540" s="883">
        <v>188.9</v>
      </c>
    </row>
    <row r="541" spans="1:6" ht="42.75" outlineLevel="1">
      <c r="A541" s="913" t="str">
        <f>PLANILHA!A615</f>
        <v>16.3.4</v>
      </c>
      <c r="B541" s="74">
        <f>PLANILHA!C615</f>
        <v>92762</v>
      </c>
      <c r="C541" s="711" t="str">
        <f>PLANILHA!D615</f>
        <v>ARMAÇÃO DE PILAR OU VIGA DE UMA ESTRUTURA CONVENCIONAL DE CONCRETO ARMADO EM UM EDIFÍCIO DE MÚLTIPLOS PAVIMENTOS UTILIZANDO AÇO CA-50 DE 10,0 MM - MONTAGEM. AF_12/2015</v>
      </c>
      <c r="D541" s="76" t="str">
        <f>PLANILHA!E615</f>
        <v>KG</v>
      </c>
      <c r="E541" s="882" t="s">
        <v>13911</v>
      </c>
      <c r="F541" s="883">
        <v>438.7</v>
      </c>
    </row>
    <row r="542" spans="1:6" ht="28.5" outlineLevel="1">
      <c r="A542" s="913" t="str">
        <f>PLANILHA!A616</f>
        <v>16.3.5</v>
      </c>
      <c r="B542" s="74">
        <f>PLANILHA!C616</f>
        <v>92265</v>
      </c>
      <c r="C542" s="711" t="str">
        <f>PLANILHA!D616</f>
        <v>FABRICAÇÃO DE FÔRMA PARA VIGAS, EM CHAPA DE MADEIRA COMPENSADA RESINADA, E = 17 MM. AF_09/2020</v>
      </c>
      <c r="D542" s="76" t="str">
        <f>PLANILHA!E616</f>
        <v>M2</v>
      </c>
      <c r="E542" s="882" t="s">
        <v>13912</v>
      </c>
      <c r="F542" s="883">
        <v>147</v>
      </c>
    </row>
    <row r="543" spans="1:6" ht="57" outlineLevel="1">
      <c r="A543" s="913" t="str">
        <f>PLANILHA!A617</f>
        <v>16.3.6</v>
      </c>
      <c r="B543" s="74">
        <f>PLANILHA!C617</f>
        <v>99431</v>
      </c>
      <c r="C543" s="711" t="str">
        <f>PLANILHA!D617</f>
        <v>CONCRETAGEM DE LAJES EM EDIFICAÇÕES UNIFAMILIARES FEITAS COM SISTEMA DE FÔRMAS MANUSEÁVEIS, COM CONCRETO USINADO BOMBEÁVEL FCK 25 MPA - LANÇAMENTO, ADENSAMENTO E ACABAMENTO (EXCLUSIVE BOMBA LANÇA). AF_10/2021</v>
      </c>
      <c r="D543" s="76" t="str">
        <f>PLANILHA!E617</f>
        <v>M3</v>
      </c>
      <c r="E543" s="882" t="s">
        <v>13913</v>
      </c>
      <c r="F543" s="883">
        <v>15.4</v>
      </c>
    </row>
    <row r="544" spans="1:6" ht="42.75" outlineLevel="1">
      <c r="A544" s="913" t="str">
        <f>PLANILHA!A618</f>
        <v>16.3.7</v>
      </c>
      <c r="B544" s="74">
        <f>PLANILHA!C618</f>
        <v>101963</v>
      </c>
      <c r="C544" s="711" t="str">
        <f>PLANILHA!D618</f>
        <v>LAJE PRÉ-MOLDADA UNIDIRECIONAL, BIAPOIADA, PARA PISO, ENCHIMENTO EM CERÂMICA, VIGOTA CONVENCIONAL, ALTURA TOTAL DA LAJE (ENCHIMENTO+CAPA) = (8+4). AF_11/2020</v>
      </c>
      <c r="D544" s="76" t="str">
        <f>PLANILHA!E618</f>
        <v>M2</v>
      </c>
      <c r="E544" s="882" t="s">
        <v>13914</v>
      </c>
      <c r="F544" s="883">
        <v>25.16</v>
      </c>
    </row>
    <row r="545" spans="1:6" ht="28.5" outlineLevel="1">
      <c r="A545" s="913" t="str">
        <f>PLANILHA!A619</f>
        <v>16.3.8</v>
      </c>
      <c r="B545" s="74" t="str">
        <f>PLANILHA!C619</f>
        <v>SEPLAG ARQ 167</v>
      </c>
      <c r="C545" s="711" t="str">
        <f>PLANILHA!D619</f>
        <v xml:space="preserve"> VIGA SUPORTE METALICO PARA LAJE, FORNECIMENTO E INSTALAÇÃO.</v>
      </c>
      <c r="D545" s="76" t="str">
        <f>PLANILHA!E619</f>
        <v>UND</v>
      </c>
      <c r="E545" s="882" t="s">
        <v>107</v>
      </c>
      <c r="F545" s="883">
        <v>1</v>
      </c>
    </row>
    <row r="546" spans="1:6" ht="28.5" outlineLevel="1">
      <c r="A546" s="913" t="str">
        <f>PLANILHA!A620</f>
        <v>16.3.9</v>
      </c>
      <c r="B546" s="74" t="str">
        <f>PLANILHA!C620</f>
        <v>SEPLAG ARQ 168</v>
      </c>
      <c r="C546" s="711" t="str">
        <f>PLANILHA!D620</f>
        <v xml:space="preserve"> VIGA SUPORTE METALICO PARA ELEVADOR, FORNECIMENTO E INSTALAÇÃO.</v>
      </c>
      <c r="D546" s="76" t="str">
        <f>PLANILHA!E620</f>
        <v>UND</v>
      </c>
      <c r="E546" s="882" t="s">
        <v>107</v>
      </c>
      <c r="F546" s="883">
        <v>1</v>
      </c>
    </row>
    <row r="547" spans="1:6" outlineLevel="1">
      <c r="A547" s="886"/>
      <c r="B547" s="779"/>
      <c r="C547" s="779"/>
      <c r="D547" s="779"/>
      <c r="E547" s="779"/>
      <c r="F547" s="887"/>
    </row>
    <row r="548" spans="1:6" s="642" customFormat="1" outlineLevel="1">
      <c r="A548" s="870" t="str">
        <f>PLANILHA!A623</f>
        <v>16.4</v>
      </c>
      <c r="B548" s="871"/>
      <c r="C548" s="872" t="str">
        <f>PLANILHA!D623</f>
        <v>ALVENARIA E FECHAMENTO</v>
      </c>
      <c r="D548" s="735"/>
      <c r="E548" s="1104"/>
      <c r="F548" s="874"/>
    </row>
    <row r="549" spans="1:6" ht="42.75" outlineLevel="1">
      <c r="A549" s="913" t="str">
        <f>PLANILHA!A624</f>
        <v>16.4.1</v>
      </c>
      <c r="B549" s="74">
        <f>PLANILHA!C624</f>
        <v>103328</v>
      </c>
      <c r="C549" s="711" t="str">
        <f>PLANILHA!D624</f>
        <v>ALVENARIA DE VEDAÇÃO DE BLOCOS CERÂMICOS FURADOS NA HORIZONTAL DE 9X19X19 CM (ESPESSURA 9 CM) E ARGAMASSA DE ASSENTAMENTO COM PREPARO EM BETONEIRA. AF_12/2021</v>
      </c>
      <c r="D549" s="76" t="str">
        <f>PLANILHA!E624</f>
        <v>M2</v>
      </c>
      <c r="E549" s="882" t="s">
        <v>14273</v>
      </c>
      <c r="F549" s="898">
        <v>22.95</v>
      </c>
    </row>
    <row r="550" spans="1:6" ht="42.75" customHeight="1" outlineLevel="1">
      <c r="A550" s="913" t="str">
        <f>PLANILHA!A625</f>
        <v>16.4.2</v>
      </c>
      <c r="B550" s="74">
        <f>PLANILHA!C625</f>
        <v>87893</v>
      </c>
      <c r="C550" s="711" t="str">
        <f>PLANILHA!D625</f>
        <v>CHAPISCO APLICADO EM ALVENARIA (SEM PRESENÇA DE VÃOS) E ESTRUTURAS DE CONCRETO DE FACHADA, COM COLHER DE PEDREIRO.  ARGAMASSA TRAÇO 1:3 COM PREPARO MANUAL. AF_06/2014</v>
      </c>
      <c r="D550" s="76" t="str">
        <f>PLANILHA!E625</f>
        <v>M2</v>
      </c>
      <c r="E550" s="882" t="s">
        <v>13915</v>
      </c>
      <c r="F550" s="898">
        <v>144</v>
      </c>
    </row>
    <row r="551" spans="1:6" ht="72" outlineLevel="1" thickBot="1">
      <c r="A551" s="1105" t="str">
        <f>PLANILHA!A626</f>
        <v>16.4.3</v>
      </c>
      <c r="B551" s="1106">
        <f>PLANILHA!C626</f>
        <v>87543</v>
      </c>
      <c r="C551" s="1107" t="str">
        <f>PLANILHA!D626</f>
        <v>MASSA ÚNICA, PARA RECEBIMENTO DE PINTURA OU CERÂMICA, ARGAMASSA INDUSTRIALIZADA, PREPARO MECÂNICO, APLICADO COM EQUIPAMENTO DE MISTURA E PROJEÇÃO DE 1,5 M3/H EM FACES INTERNAS DE PAREDES, ESPESSURA DE 5MM, SEM EXECUÇÃO DE TALISCAS. AF_06/2014</v>
      </c>
      <c r="D551" s="1108" t="str">
        <f>PLANILHA!E626</f>
        <v>M2</v>
      </c>
      <c r="E551" s="1109" t="str">
        <f>E550</f>
        <v>=144,00</v>
      </c>
      <c r="F551" s="1110">
        <v>144</v>
      </c>
    </row>
    <row r="1094" spans="1:6" s="109" customFormat="1">
      <c r="A1094" s="679"/>
      <c r="B1094" s="854"/>
      <c r="C1094" s="1111"/>
      <c r="D1094" s="674"/>
      <c r="E1094" s="399"/>
      <c r="F1094" s="675"/>
    </row>
    <row r="1636" spans="1:6" s="109" customFormat="1">
      <c r="A1636" s="679"/>
      <c r="B1636" s="854"/>
      <c r="C1636" s="1111"/>
      <c r="D1636" s="674"/>
      <c r="E1636" s="399"/>
      <c r="F1636" s="675"/>
    </row>
    <row r="1637" spans="1:6" s="109" customFormat="1">
      <c r="A1637" s="679"/>
      <c r="B1637" s="854"/>
      <c r="C1637" s="1111"/>
      <c r="D1637" s="674"/>
      <c r="E1637" s="399"/>
      <c r="F1637" s="675"/>
    </row>
  </sheetData>
  <sheetProtection password="CA35" sheet="1" formatCells="0" formatColumns="0" formatRows="0" insertColumns="0" insertRows="0" insertHyperlinks="0" deleteColumns="0" deleteRows="0" sort="0" autoFilter="0" pivotTables="0"/>
  <mergeCells count="4">
    <mergeCell ref="A1:F1"/>
    <mergeCell ref="A2:F2"/>
    <mergeCell ref="A3:F3"/>
    <mergeCell ref="A9:F9"/>
  </mergeCells>
  <printOptions horizontalCentered="1"/>
  <pageMargins left="0.23622047244094491" right="0.43307086614173229" top="1.0236220472440944" bottom="1.5748031496062993" header="0.31496062992125984" footer="0.31496062992125984"/>
  <pageSetup paperSize="9" scale="52"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3" manualBreakCount="3">
    <brk id="47" max="5" man="1"/>
    <brk id="82" max="5" man="1"/>
    <brk id="123" max="5"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3"/>
  <sheetViews>
    <sheetView view="pageBreakPreview" topLeftCell="A7" zoomScale="80" zoomScaleNormal="100" zoomScaleSheetLayoutView="80" workbookViewId="0">
      <selection activeCell="M17" sqref="M17"/>
    </sheetView>
  </sheetViews>
  <sheetFormatPr defaultRowHeight="15"/>
  <cols>
    <col min="1" max="1" width="14.7109375" style="7" customWidth="1"/>
    <col min="2" max="2" width="11" style="7" customWidth="1"/>
    <col min="3" max="3" width="46" style="7" customWidth="1"/>
    <col min="4" max="4" width="9.140625" style="7"/>
    <col min="5" max="5" width="13.140625" style="7" customWidth="1"/>
    <col min="6" max="6" width="12.28515625" style="7" customWidth="1"/>
    <col min="7" max="7" width="13.5703125" style="7" customWidth="1"/>
    <col min="8" max="8" width="15.28515625" style="7" bestFit="1" customWidth="1"/>
    <col min="9" max="9" width="14.85546875" style="7" customWidth="1"/>
    <col min="16" max="16" width="10.5703125" bestFit="1" customWidth="1"/>
    <col min="17" max="18" width="9.5703125" bestFit="1" customWidth="1"/>
  </cols>
  <sheetData>
    <row r="1" spans="1:18">
      <c r="A1" s="1490" t="str">
        <f>'MEM CAL'!A1:F1</f>
        <v>GOVERNO DO ESTADO DE MATO GROSSO</v>
      </c>
      <c r="B1" s="1491"/>
      <c r="C1" s="1491"/>
      <c r="D1" s="1491"/>
      <c r="E1" s="1491"/>
      <c r="F1" s="1491"/>
      <c r="G1" s="1491"/>
      <c r="H1" s="1491"/>
      <c r="I1" s="1492"/>
    </row>
    <row r="2" spans="1:18">
      <c r="A2" s="1493" t="str">
        <f>'MEM CAL'!A2:F2</f>
        <v>SEPLAG - SECRETARIA DE ESTADO DE PLANEJAMENTO E GESTÃO/MT</v>
      </c>
      <c r="B2" s="1494"/>
      <c r="C2" s="1494"/>
      <c r="D2" s="1494"/>
      <c r="E2" s="1494"/>
      <c r="F2" s="1494"/>
      <c r="G2" s="1494"/>
      <c r="H2" s="1494"/>
      <c r="I2" s="1495"/>
    </row>
    <row r="3" spans="1:18">
      <c r="A3" s="1493"/>
      <c r="B3" s="1494"/>
      <c r="C3" s="1494"/>
      <c r="D3" s="1494"/>
      <c r="E3" s="1494"/>
      <c r="F3" s="1494"/>
      <c r="G3" s="1494"/>
      <c r="H3" s="1494"/>
      <c r="I3" s="1495"/>
    </row>
    <row r="4" spans="1:18">
      <c r="A4" s="32" t="str">
        <f>'MEM CAL'!A4:F4</f>
        <v>OBRA:</v>
      </c>
      <c r="B4" s="1499" t="str">
        <f>'MEM CAL'!B4:F4</f>
        <v>REFORMA DO PREDIO ESCOLA DO GOVERNO</v>
      </c>
      <c r="C4" s="1499"/>
      <c r="D4" s="1499"/>
      <c r="E4" s="1494" t="str">
        <f>'MEM CAL'!E4</f>
        <v>FONTE:</v>
      </c>
      <c r="F4" s="1494"/>
      <c r="G4" s="1494"/>
      <c r="H4" s="6" t="str">
        <f>'MEM CAL'!F4</f>
        <v>BDI NÃO DESON</v>
      </c>
      <c r="I4" s="31" t="str">
        <f>'MEM CAL'!F6</f>
        <v>BDI DESON</v>
      </c>
    </row>
    <row r="5" spans="1:18">
      <c r="A5" s="32" t="str">
        <f>'MEM CAL'!A5:F5</f>
        <v>LOCAL:</v>
      </c>
      <c r="B5" s="1499" t="str">
        <f>'MEM CAL'!B5:F5</f>
        <v>CENTRO POLITICO ADMINISTRATIVO</v>
      </c>
      <c r="C5" s="1499"/>
      <c r="D5" s="1499"/>
      <c r="E5" s="1498" t="str">
        <f>'MEM CAL'!E5</f>
        <v>TABELA SINAPI 02/2022, SETOP 04/2021</v>
      </c>
      <c r="F5" s="1498"/>
      <c r="G5" s="1498"/>
      <c r="H5" s="1496">
        <f>'MEM CAL'!F5</f>
        <v>0.22226164190779008</v>
      </c>
      <c r="I5" s="1497">
        <f>'MEM CAL'!F7</f>
        <v>0.28347674918197008</v>
      </c>
    </row>
    <row r="6" spans="1:18">
      <c r="A6" s="32" t="str">
        <f>'MEM CAL'!A6:F6</f>
        <v>PROP:</v>
      </c>
      <c r="B6" s="1499" t="str">
        <f>'MEM CAL'!B6:F6</f>
        <v>GOVERNO DO ESTADO DE MATO GROSSO</v>
      </c>
      <c r="C6" s="1499"/>
      <c r="D6" s="1499"/>
      <c r="E6" s="1498"/>
      <c r="F6" s="1498"/>
      <c r="G6" s="1498"/>
      <c r="H6" s="1496"/>
      <c r="I6" s="1497"/>
    </row>
    <row r="7" spans="1:18">
      <c r="A7" s="32" t="str">
        <f>'MEM CAL'!A7:F7</f>
        <v>END:</v>
      </c>
      <c r="B7" s="1499" t="str">
        <f>'MEM CAL'!B7:F7</f>
        <v>RUA C, CENTRO POLÍTICO ADMINISTRATIVO, CUIABÁ – MT</v>
      </c>
      <c r="C7" s="1499"/>
      <c r="D7" s="1499"/>
      <c r="E7" s="1498"/>
      <c r="F7" s="1498"/>
      <c r="G7" s="1498"/>
      <c r="H7" s="1496"/>
      <c r="I7" s="1497"/>
    </row>
    <row r="8" spans="1:18" ht="15.75" thickBot="1">
      <c r="A8" s="1503"/>
      <c r="B8" s="1504"/>
      <c r="C8" s="1504"/>
      <c r="D8" s="1504"/>
      <c r="E8" s="1504"/>
      <c r="F8" s="1504"/>
      <c r="G8" s="1504"/>
      <c r="H8" s="1504"/>
      <c r="I8" s="1505"/>
    </row>
    <row r="9" spans="1:18" ht="15.75" thickBot="1">
      <c r="A9" s="1500" t="s">
        <v>7397</v>
      </c>
      <c r="B9" s="1501"/>
      <c r="C9" s="1501"/>
      <c r="D9" s="1501"/>
      <c r="E9" s="1501"/>
      <c r="F9" s="1501"/>
      <c r="G9" s="1501"/>
      <c r="H9" s="1501"/>
      <c r="I9" s="1502"/>
    </row>
    <row r="10" spans="1:18" ht="15.75" thickBot="1"/>
    <row r="11" spans="1:18" ht="21.75" customHeight="1">
      <c r="A11" s="1484"/>
      <c r="B11" s="1486" t="s">
        <v>7400</v>
      </c>
      <c r="C11" s="1488" t="s">
        <v>7404</v>
      </c>
      <c r="D11" s="1486" t="s">
        <v>24</v>
      </c>
      <c r="E11" s="1486" t="s">
        <v>18</v>
      </c>
      <c r="F11" s="1480" t="s">
        <v>7015</v>
      </c>
      <c r="G11" s="1480"/>
      <c r="H11" s="1480" t="s">
        <v>7016</v>
      </c>
      <c r="I11" s="1481"/>
    </row>
    <row r="12" spans="1:18" ht="22.5" customHeight="1">
      <c r="A12" s="1485"/>
      <c r="B12" s="1487"/>
      <c r="C12" s="1489"/>
      <c r="D12" s="1487"/>
      <c r="E12" s="1487"/>
      <c r="F12" s="97" t="s">
        <v>19</v>
      </c>
      <c r="G12" s="97" t="s">
        <v>20</v>
      </c>
      <c r="H12" s="97" t="s">
        <v>19</v>
      </c>
      <c r="I12" s="68" t="s">
        <v>20</v>
      </c>
    </row>
    <row r="13" spans="1:18">
      <c r="A13" s="69"/>
      <c r="B13" s="70"/>
      <c r="C13" s="71"/>
      <c r="D13" s="70"/>
      <c r="E13" s="70"/>
      <c r="F13" s="70"/>
      <c r="G13" s="70"/>
      <c r="H13" s="61"/>
      <c r="I13" s="79"/>
    </row>
    <row r="14" spans="1:18" s="15" customFormat="1">
      <c r="A14" s="55" t="s">
        <v>39</v>
      </c>
      <c r="B14" s="56" t="s">
        <v>188</v>
      </c>
      <c r="C14" s="50" t="s">
        <v>7403</v>
      </c>
      <c r="D14" s="56" t="s">
        <v>32</v>
      </c>
      <c r="E14" s="54">
        <v>1</v>
      </c>
      <c r="F14" s="57">
        <f>'MAPA COMPARATIVO'!E1181</f>
        <v>8000</v>
      </c>
      <c r="G14" s="57">
        <f>TRUNC(E14*F14,2)</f>
        <v>8000</v>
      </c>
      <c r="H14" s="57">
        <f>F14</f>
        <v>8000</v>
      </c>
      <c r="I14" s="67">
        <f>TRUNC(E14*H14,2)</f>
        <v>8000</v>
      </c>
    </row>
    <row r="15" spans="1:18" ht="25.5">
      <c r="A15" s="51" t="s">
        <v>245</v>
      </c>
      <c r="B15" s="13">
        <v>88316</v>
      </c>
      <c r="C15" s="50" t="str">
        <f>VLOOKUP($B15,'NAO DESO'!$A:$D,2,)</f>
        <v>SERVENTE COM ENCARGOS COMPLEMENTARES</v>
      </c>
      <c r="D15" s="52" t="str">
        <f>VLOOKUP($B15,'NAO DESO'!$A:$D,3,)</f>
        <v>H</v>
      </c>
      <c r="E15" s="54">
        <v>4.3600000000000003</v>
      </c>
      <c r="F15" s="72" t="str">
        <f>VLOOKUP($B15,'NAO DESO'!$A:$D,4,)</f>
        <v>16,83</v>
      </c>
      <c r="G15" s="57">
        <f>TRUNC(E15*F15,2)</f>
        <v>73.37</v>
      </c>
      <c r="H15" s="58" t="str">
        <f>VLOOKUP($B15,DESON!$A:$D,4,)</f>
        <v>15,16</v>
      </c>
      <c r="I15" s="62">
        <f>TRUNC(E15*H15,2)</f>
        <v>66.09</v>
      </c>
      <c r="P15" s="1"/>
      <c r="Q15" s="1"/>
      <c r="R15" s="1"/>
    </row>
    <row r="16" spans="1:18" ht="25.5">
      <c r="A16" s="51" t="s">
        <v>245</v>
      </c>
      <c r="B16" s="13">
        <v>88441</v>
      </c>
      <c r="C16" s="50" t="str">
        <f>VLOOKUP($B16,'NAO DESO'!$A:$D,2,)</f>
        <v>JARDINEIRO COM ENCARGOS COMPLEMENTARES</v>
      </c>
      <c r="D16" s="52" t="str">
        <f>VLOOKUP($B16,'NAO DESO'!$A:$D,3,)</f>
        <v>H</v>
      </c>
      <c r="E16" s="54">
        <v>1.0900000000000001</v>
      </c>
      <c r="F16" s="72" t="str">
        <f>VLOOKUP($B16,'NAO DESO'!$A:$D,4,)</f>
        <v>18,26</v>
      </c>
      <c r="G16" s="57">
        <f>TRUNC(E16*F16,2)</f>
        <v>19.899999999999999</v>
      </c>
      <c r="H16" s="58" t="str">
        <f>VLOOKUP($B16,DESON!$A:$D,4,)</f>
        <v>16,41</v>
      </c>
      <c r="I16" s="62">
        <f>TRUNC(E16*H16,2)</f>
        <v>17.88</v>
      </c>
      <c r="P16" s="1"/>
      <c r="Q16" s="1"/>
      <c r="R16" s="1"/>
    </row>
    <row r="17" spans="1:18" ht="76.5">
      <c r="A17" s="51" t="s">
        <v>245</v>
      </c>
      <c r="B17" s="13">
        <v>91634</v>
      </c>
      <c r="C17" s="50" t="str">
        <f>VLOOKUP($B17,'NAO DESO'!$A:$D,2,)</f>
        <v>GUINDAUTO HIDRÁULICO, CAPACIDADE MÁXIMA DE CARGA 6500 KG, MOMENTO MÁXIMO DE CARGA 5,8 TM, ALCANCE MÁXIMO HORIZONTAL 7,60 M, INCLUSIVE CAMINHÃO TOCO PBT 9.700 KG, POTÊNCIA DE 160 CV - CHP DIURNO. AF_08/2015</v>
      </c>
      <c r="D17" s="52" t="str">
        <f>VLOOKUP($B17,'NAO DESO'!$A:$D,3,)</f>
        <v>CHP</v>
      </c>
      <c r="E17" s="54">
        <v>0.28999999999999998</v>
      </c>
      <c r="F17" s="72" t="str">
        <f>VLOOKUP($B17,'NAO DESO'!$A:$D,4,)</f>
        <v>202,95</v>
      </c>
      <c r="G17" s="57">
        <f>TRUNC(E17*F17,2)</f>
        <v>58.85</v>
      </c>
      <c r="H17" s="58" t="str">
        <f>VLOOKUP($B17,DESON!$A:$D,4,)</f>
        <v>200,80</v>
      </c>
      <c r="I17" s="62">
        <f>TRUNC(E17*H17,2)</f>
        <v>58.23</v>
      </c>
      <c r="P17" s="1"/>
      <c r="Q17" s="1"/>
      <c r="R17" s="1"/>
    </row>
    <row r="18" spans="1:18" ht="76.5">
      <c r="A18" s="51" t="s">
        <v>245</v>
      </c>
      <c r="B18" s="13">
        <v>91635</v>
      </c>
      <c r="C18" s="50" t="str">
        <f>VLOOKUP($B18,'NAO DESO'!$A:$D,2,)</f>
        <v>GUINDAUTO HIDRÁULICO, CAPACIDADE MÁXIMA DE CARGA 6500 KG, MOMENTO MÁXIMO DE CARGA 5,8 TM, ALCANCE MÁXIMO HORIZONTAL 7,60 M, INCLUSIVE CAMINHÃO TOCO PBT 9.700 KG, POTÊNCIA DE 160 CV - CHI DIURNO. AF_08/2015</v>
      </c>
      <c r="D18" s="52" t="str">
        <f>VLOOKUP($B18,'NAO DESO'!$A:$D,3,)</f>
        <v>CHI</v>
      </c>
      <c r="E18" s="54">
        <v>1.22</v>
      </c>
      <c r="F18" s="72" t="str">
        <f>VLOOKUP($B18,'NAO DESO'!$A:$D,4,)</f>
        <v>42,02</v>
      </c>
      <c r="G18" s="57">
        <f>TRUNC(E18*F18,2)</f>
        <v>51.26</v>
      </c>
      <c r="H18" s="58" t="str">
        <f>VLOOKUP($B18,DESON!$A:$D,4,)</f>
        <v>39,87</v>
      </c>
      <c r="I18" s="62">
        <f>TRUNC(E18*H18,2)</f>
        <v>48.64</v>
      </c>
    </row>
    <row r="19" spans="1:18" ht="15.75" thickBot="1">
      <c r="A19" s="1482" t="s">
        <v>244</v>
      </c>
      <c r="B19" s="1483"/>
      <c r="C19" s="1483"/>
      <c r="D19" s="1483"/>
      <c r="E19" s="1483"/>
      <c r="F19" s="1483"/>
      <c r="G19" s="73">
        <f>SUM(G14:G18)</f>
        <v>8203.3799999999992</v>
      </c>
      <c r="H19" s="81"/>
      <c r="I19" s="82">
        <f>SUM(I14:I18)</f>
        <v>8190.84</v>
      </c>
    </row>
    <row r="20" spans="1:18" ht="15.75" thickBot="1"/>
    <row r="21" spans="1:18" ht="21.75" customHeight="1">
      <c r="A21" s="1484"/>
      <c r="B21" s="1486" t="s">
        <v>7401</v>
      </c>
      <c r="C21" s="1488" t="s">
        <v>7399</v>
      </c>
      <c r="D21" s="1486" t="s">
        <v>24</v>
      </c>
      <c r="E21" s="1486" t="s">
        <v>18</v>
      </c>
      <c r="F21" s="1480" t="s">
        <v>7015</v>
      </c>
      <c r="G21" s="1480"/>
      <c r="H21" s="1480" t="s">
        <v>7016</v>
      </c>
      <c r="I21" s="1481"/>
    </row>
    <row r="22" spans="1:18" ht="22.5" customHeight="1">
      <c r="A22" s="1485"/>
      <c r="B22" s="1487"/>
      <c r="C22" s="1489"/>
      <c r="D22" s="1487"/>
      <c r="E22" s="1487"/>
      <c r="F22" s="97" t="s">
        <v>19</v>
      </c>
      <c r="G22" s="97" t="s">
        <v>20</v>
      </c>
      <c r="H22" s="97" t="s">
        <v>19</v>
      </c>
      <c r="I22" s="68" t="s">
        <v>20</v>
      </c>
    </row>
    <row r="23" spans="1:18">
      <c r="A23" s="69"/>
      <c r="B23" s="70"/>
      <c r="C23" s="71"/>
      <c r="D23" s="70"/>
      <c r="E23" s="70"/>
      <c r="F23" s="70"/>
      <c r="G23" s="70"/>
      <c r="H23" s="61"/>
      <c r="I23" s="79"/>
    </row>
    <row r="24" spans="1:18" s="15" customFormat="1">
      <c r="A24" s="55" t="s">
        <v>39</v>
      </c>
      <c r="B24" s="56" t="s">
        <v>188</v>
      </c>
      <c r="C24" s="99" t="s">
        <v>7398</v>
      </c>
      <c r="D24" s="56" t="s">
        <v>32</v>
      </c>
      <c r="E24" s="54">
        <v>1</v>
      </c>
      <c r="F24" s="57">
        <f>'MAPA COMPARATIVO'!E1188</f>
        <v>150</v>
      </c>
      <c r="G24" s="57">
        <f>TRUNC(E24*F24,2)</f>
        <v>150</v>
      </c>
      <c r="H24" s="57">
        <f>F24</f>
        <v>150</v>
      </c>
      <c r="I24" s="67">
        <f>TRUNC(E24*H24,2)</f>
        <v>150</v>
      </c>
    </row>
    <row r="25" spans="1:18" ht="25.5">
      <c r="A25" s="51" t="s">
        <v>245</v>
      </c>
      <c r="B25" s="13">
        <v>88316</v>
      </c>
      <c r="C25" s="50" t="str">
        <f>VLOOKUP($B25,'NAO DESO'!$A:$D,2,)</f>
        <v>SERVENTE COM ENCARGOS COMPLEMENTARES</v>
      </c>
      <c r="D25" s="52" t="str">
        <f>VLOOKUP($B25,'NAO DESO'!$A:$D,3,)</f>
        <v>H</v>
      </c>
      <c r="E25" s="53">
        <v>0.18</v>
      </c>
      <c r="F25" s="72" t="str">
        <f>VLOOKUP($B25,'NAO DESO'!$A:$D,4,)</f>
        <v>16,83</v>
      </c>
      <c r="G25" s="57">
        <f>TRUNC(E25*F25,2)</f>
        <v>3.02</v>
      </c>
      <c r="H25" s="58" t="str">
        <f>VLOOKUP($B25,DESON!$A:$D,4,)</f>
        <v>15,16</v>
      </c>
      <c r="I25" s="62">
        <f>TRUNC(E25*H25,2)</f>
        <v>2.72</v>
      </c>
      <c r="P25" s="1"/>
      <c r="Q25" s="1"/>
      <c r="R25" s="1"/>
    </row>
    <row r="26" spans="1:18" ht="25.5">
      <c r="A26" s="51" t="s">
        <v>245</v>
      </c>
      <c r="B26" s="13">
        <v>88441</v>
      </c>
      <c r="C26" s="50" t="str">
        <f>VLOOKUP($B26,'NAO DESO'!$A:$D,2,)</f>
        <v>JARDINEIRO COM ENCARGOS COMPLEMENTARES</v>
      </c>
      <c r="D26" s="52" t="str">
        <f>VLOOKUP($B26,'NAO DESO'!$A:$D,3,)</f>
        <v>H</v>
      </c>
      <c r="E26" s="53">
        <v>0.18</v>
      </c>
      <c r="F26" s="72" t="str">
        <f>VLOOKUP($B26,'NAO DESO'!$A:$D,4,)</f>
        <v>18,26</v>
      </c>
      <c r="G26" s="57">
        <f>TRUNC(E26*F26,2)</f>
        <v>3.28</v>
      </c>
      <c r="H26" s="58" t="str">
        <f>VLOOKUP($B26,DESON!$A:$D,4,)</f>
        <v>16,41</v>
      </c>
      <c r="I26" s="62">
        <f>TRUNC(E26*H26,2)</f>
        <v>2.95</v>
      </c>
    </row>
    <row r="27" spans="1:18" ht="15.75" thickBot="1">
      <c r="A27" s="1482" t="s">
        <v>244</v>
      </c>
      <c r="B27" s="1483"/>
      <c r="C27" s="1483"/>
      <c r="D27" s="1483"/>
      <c r="E27" s="1483"/>
      <c r="F27" s="1483"/>
      <c r="G27" s="73">
        <f>SUM(G24:G26)</f>
        <v>156.30000000000001</v>
      </c>
      <c r="H27" s="81"/>
      <c r="I27" s="82">
        <f>SUM(I24:I26)</f>
        <v>155.66999999999999</v>
      </c>
    </row>
    <row r="28" spans="1:18" ht="15.75" thickBot="1"/>
    <row r="29" spans="1:18" ht="21.75" customHeight="1">
      <c r="A29" s="1484"/>
      <c r="B29" s="1486" t="s">
        <v>7402</v>
      </c>
      <c r="C29" s="1488" t="s">
        <v>7405</v>
      </c>
      <c r="D29" s="1486" t="s">
        <v>24</v>
      </c>
      <c r="E29" s="1486" t="s">
        <v>18</v>
      </c>
      <c r="F29" s="1480" t="s">
        <v>7015</v>
      </c>
      <c r="G29" s="1480"/>
      <c r="H29" s="1480" t="s">
        <v>7016</v>
      </c>
      <c r="I29" s="1481"/>
    </row>
    <row r="30" spans="1:18" ht="22.5" customHeight="1">
      <c r="A30" s="1485"/>
      <c r="B30" s="1487"/>
      <c r="C30" s="1489"/>
      <c r="D30" s="1487"/>
      <c r="E30" s="1487"/>
      <c r="F30" s="97" t="s">
        <v>19</v>
      </c>
      <c r="G30" s="97" t="s">
        <v>20</v>
      </c>
      <c r="H30" s="97" t="s">
        <v>19</v>
      </c>
      <c r="I30" s="68" t="s">
        <v>20</v>
      </c>
    </row>
    <row r="31" spans="1:18">
      <c r="A31" s="69"/>
      <c r="B31" s="70"/>
      <c r="C31" s="71"/>
      <c r="D31" s="70"/>
      <c r="E31" s="70"/>
      <c r="F31" s="70"/>
      <c r="G31" s="70"/>
      <c r="H31" s="61"/>
      <c r="I31" s="79"/>
    </row>
    <row r="32" spans="1:18" s="15" customFormat="1">
      <c r="A32" s="55" t="s">
        <v>39</v>
      </c>
      <c r="B32" s="56" t="s">
        <v>188</v>
      </c>
      <c r="C32" s="80" t="s">
        <v>7406</v>
      </c>
      <c r="D32" s="56" t="s">
        <v>32</v>
      </c>
      <c r="E32" s="54">
        <v>1</v>
      </c>
      <c r="F32" s="57">
        <f>'MAPA COMPARATIVO'!E1195</f>
        <v>15</v>
      </c>
      <c r="G32" s="57">
        <f>TRUNC(E32*F32,2)</f>
        <v>15</v>
      </c>
      <c r="H32" s="57">
        <f>'MAPA COMPARATIVO'!E1195</f>
        <v>15</v>
      </c>
      <c r="I32" s="67">
        <f>TRUNC(E32*H32,2)</f>
        <v>15</v>
      </c>
    </row>
    <row r="33" spans="1:18" ht="25.5">
      <c r="A33" s="51" t="s">
        <v>245</v>
      </c>
      <c r="B33" s="13">
        <v>88316</v>
      </c>
      <c r="C33" s="50" t="str">
        <f>VLOOKUP($B33,'NAO DESO'!$A:$D,2,)</f>
        <v>SERVENTE COM ENCARGOS COMPLEMENTARES</v>
      </c>
      <c r="D33" s="52" t="str">
        <f>VLOOKUP($B33,'NAO DESO'!$A:$D,3,)</f>
        <v>H</v>
      </c>
      <c r="E33" s="53">
        <v>0.18</v>
      </c>
      <c r="F33" s="72" t="str">
        <f>VLOOKUP($B33,'NAO DESO'!$A:$D,4,)</f>
        <v>16,83</v>
      </c>
      <c r="G33" s="57">
        <f>TRUNC(E33*F33,2)</f>
        <v>3.02</v>
      </c>
      <c r="H33" s="58" t="str">
        <f>VLOOKUP($B33,DESON!$A:$D,4,)</f>
        <v>15,16</v>
      </c>
      <c r="I33" s="62">
        <f>TRUNC(E33*H33,2)</f>
        <v>2.72</v>
      </c>
      <c r="P33" s="1"/>
      <c r="Q33" s="1"/>
      <c r="R33" s="1"/>
    </row>
    <row r="34" spans="1:18" ht="25.5">
      <c r="A34" s="51" t="s">
        <v>245</v>
      </c>
      <c r="B34" s="13">
        <v>88441</v>
      </c>
      <c r="C34" s="50" t="str">
        <f>VLOOKUP($B34,'NAO DESO'!$A:$D,2,)</f>
        <v>JARDINEIRO COM ENCARGOS COMPLEMENTARES</v>
      </c>
      <c r="D34" s="52" t="str">
        <f>VLOOKUP($B34,'NAO DESO'!$A:$D,3,)</f>
        <v>H</v>
      </c>
      <c r="E34" s="53">
        <v>0.18</v>
      </c>
      <c r="F34" s="72" t="str">
        <f>VLOOKUP($B34,'NAO DESO'!$A:$D,4,)</f>
        <v>18,26</v>
      </c>
      <c r="G34" s="57">
        <f>TRUNC(E34*F34,2)</f>
        <v>3.28</v>
      </c>
      <c r="H34" s="58" t="str">
        <f>VLOOKUP($B34,DESON!$A:$D,4,)</f>
        <v>16,41</v>
      </c>
      <c r="I34" s="62">
        <f>TRUNC(E34*H34,2)</f>
        <v>2.95</v>
      </c>
    </row>
    <row r="35" spans="1:18" ht="15.75" thickBot="1">
      <c r="A35" s="1482" t="s">
        <v>244</v>
      </c>
      <c r="B35" s="1483"/>
      <c r="C35" s="1483"/>
      <c r="D35" s="1483"/>
      <c r="E35" s="1483"/>
      <c r="F35" s="1483"/>
      <c r="G35" s="73">
        <f>SUM(G32:G34)</f>
        <v>21.3</v>
      </c>
      <c r="H35" s="81"/>
      <c r="I35" s="82">
        <f>SUM(I32:I34)</f>
        <v>20.669999999999998</v>
      </c>
    </row>
    <row r="36" spans="1:18" ht="15.75" thickBot="1"/>
    <row r="37" spans="1:18">
      <c r="A37" s="1484"/>
      <c r="B37" s="1486" t="s">
        <v>7407</v>
      </c>
      <c r="C37" s="1488" t="s">
        <v>7409</v>
      </c>
      <c r="D37" s="1486" t="s">
        <v>24</v>
      </c>
      <c r="E37" s="1486" t="s">
        <v>18</v>
      </c>
      <c r="F37" s="1480" t="s">
        <v>7015</v>
      </c>
      <c r="G37" s="1480"/>
      <c r="H37" s="1480" t="s">
        <v>7016</v>
      </c>
      <c r="I37" s="1481"/>
    </row>
    <row r="38" spans="1:18">
      <c r="A38" s="1485"/>
      <c r="B38" s="1487"/>
      <c r="C38" s="1489"/>
      <c r="D38" s="1487"/>
      <c r="E38" s="1487"/>
      <c r="F38" s="97" t="s">
        <v>19</v>
      </c>
      <c r="G38" s="97" t="s">
        <v>20</v>
      </c>
      <c r="H38" s="97" t="s">
        <v>19</v>
      </c>
      <c r="I38" s="68" t="s">
        <v>20</v>
      </c>
    </row>
    <row r="39" spans="1:18">
      <c r="A39" s="69"/>
      <c r="B39" s="70"/>
      <c r="C39" s="71"/>
      <c r="D39" s="70"/>
      <c r="E39" s="70"/>
      <c r="F39" s="70"/>
      <c r="G39" s="70"/>
      <c r="H39" s="61"/>
      <c r="I39" s="79"/>
    </row>
    <row r="40" spans="1:18">
      <c r="A40" s="55" t="s">
        <v>39</v>
      </c>
      <c r="B40" s="56" t="s">
        <v>188</v>
      </c>
      <c r="C40" s="80" t="s">
        <v>7408</v>
      </c>
      <c r="D40" s="56" t="s">
        <v>32</v>
      </c>
      <c r="E40" s="54">
        <v>1</v>
      </c>
      <c r="F40" s="57">
        <f>'MAPA COMPARATIVO'!E1202</f>
        <v>4</v>
      </c>
      <c r="G40" s="57">
        <f>TRUNC(E40*F40,2)</f>
        <v>4</v>
      </c>
      <c r="H40" s="57">
        <f>F40</f>
        <v>4</v>
      </c>
      <c r="I40" s="67">
        <f>TRUNC(E40*H40,2)</f>
        <v>4</v>
      </c>
    </row>
    <row r="41" spans="1:18" ht="25.5">
      <c r="A41" s="51" t="s">
        <v>245</v>
      </c>
      <c r="B41" s="13">
        <v>88316</v>
      </c>
      <c r="C41" s="50" t="str">
        <f>VLOOKUP($B41,'NAO DESO'!$A:$D,2,)</f>
        <v>SERVENTE COM ENCARGOS COMPLEMENTARES</v>
      </c>
      <c r="D41" s="52" t="str">
        <f>VLOOKUP($B41,'NAO DESO'!$A:$D,3,)</f>
        <v>H</v>
      </c>
      <c r="E41" s="53">
        <v>0.18</v>
      </c>
      <c r="F41" s="72" t="str">
        <f>VLOOKUP($B41,'NAO DESO'!$A:$D,4,)</f>
        <v>16,83</v>
      </c>
      <c r="G41" s="57">
        <f>TRUNC(E41*F41,2)</f>
        <v>3.02</v>
      </c>
      <c r="H41" s="58" t="str">
        <f>VLOOKUP($B41,DESON!$A:$D,4,)</f>
        <v>15,16</v>
      </c>
      <c r="I41" s="62">
        <f>TRUNC(E41*H41,2)</f>
        <v>2.72</v>
      </c>
    </row>
    <row r="42" spans="1:18" ht="25.5">
      <c r="A42" s="51" t="s">
        <v>245</v>
      </c>
      <c r="B42" s="13">
        <v>88441</v>
      </c>
      <c r="C42" s="50" t="str">
        <f>VLOOKUP($B42,'NAO DESO'!$A:$D,2,)</f>
        <v>JARDINEIRO COM ENCARGOS COMPLEMENTARES</v>
      </c>
      <c r="D42" s="52" t="str">
        <f>VLOOKUP($B42,'NAO DESO'!$A:$D,3,)</f>
        <v>H</v>
      </c>
      <c r="E42" s="53">
        <v>0.18</v>
      </c>
      <c r="F42" s="72" t="str">
        <f>VLOOKUP($B42,'NAO DESO'!$A:$D,4,)</f>
        <v>18,26</v>
      </c>
      <c r="G42" s="57">
        <f>TRUNC(E42*F42,2)</f>
        <v>3.28</v>
      </c>
      <c r="H42" s="58" t="str">
        <f>VLOOKUP($B42,DESON!$A:$D,4,)</f>
        <v>16,41</v>
      </c>
      <c r="I42" s="62">
        <f>TRUNC(E42*H42,2)</f>
        <v>2.95</v>
      </c>
    </row>
    <row r="43" spans="1:18" ht="15.75" thickBot="1">
      <c r="A43" s="1482" t="s">
        <v>244</v>
      </c>
      <c r="B43" s="1483"/>
      <c r="C43" s="1483"/>
      <c r="D43" s="1483"/>
      <c r="E43" s="1483"/>
      <c r="F43" s="1483"/>
      <c r="G43" s="73">
        <f>SUM(G40:G42)</f>
        <v>10.299999999999999</v>
      </c>
      <c r="H43" s="81"/>
      <c r="I43" s="82">
        <f>SUM(I40:I42)</f>
        <v>9.6700000000000017</v>
      </c>
    </row>
    <row r="44" spans="1:18" ht="15.75" thickBot="1"/>
    <row r="45" spans="1:18">
      <c r="A45" s="1484"/>
      <c r="B45" s="1486" t="s">
        <v>7410</v>
      </c>
      <c r="C45" s="1488" t="s">
        <v>7412</v>
      </c>
      <c r="D45" s="1486" t="s">
        <v>24</v>
      </c>
      <c r="E45" s="1486" t="s">
        <v>18</v>
      </c>
      <c r="F45" s="1480" t="s">
        <v>7015</v>
      </c>
      <c r="G45" s="1480"/>
      <c r="H45" s="1480" t="s">
        <v>7016</v>
      </c>
      <c r="I45" s="1481"/>
    </row>
    <row r="46" spans="1:18">
      <c r="A46" s="1485"/>
      <c r="B46" s="1487"/>
      <c r="C46" s="1489"/>
      <c r="D46" s="1487"/>
      <c r="E46" s="1487"/>
      <c r="F46" s="97" t="s">
        <v>19</v>
      </c>
      <c r="G46" s="97" t="s">
        <v>20</v>
      </c>
      <c r="H46" s="97" t="s">
        <v>19</v>
      </c>
      <c r="I46" s="68" t="s">
        <v>20</v>
      </c>
    </row>
    <row r="47" spans="1:18">
      <c r="A47" s="69"/>
      <c r="B47" s="70"/>
      <c r="C47" s="71"/>
      <c r="D47" s="70"/>
      <c r="E47" s="70"/>
      <c r="F47" s="70"/>
      <c r="G47" s="70"/>
      <c r="H47" s="61"/>
      <c r="I47" s="79"/>
    </row>
    <row r="48" spans="1:18">
      <c r="A48" s="55" t="s">
        <v>39</v>
      </c>
      <c r="B48" s="56" t="s">
        <v>188</v>
      </c>
      <c r="C48" s="80" t="s">
        <v>7411</v>
      </c>
      <c r="D48" s="56" t="s">
        <v>32</v>
      </c>
      <c r="E48" s="54">
        <v>1</v>
      </c>
      <c r="F48" s="57">
        <f>'MAPA COMPARATIVO'!E1209</f>
        <v>20</v>
      </c>
      <c r="G48" s="57">
        <f>TRUNC(E48*F48,2)</f>
        <v>20</v>
      </c>
      <c r="H48" s="57">
        <f>F48</f>
        <v>20</v>
      </c>
      <c r="I48" s="67">
        <f>TRUNC(E48*H48,2)</f>
        <v>20</v>
      </c>
    </row>
    <row r="49" spans="1:9" ht="25.5">
      <c r="A49" s="51" t="s">
        <v>245</v>
      </c>
      <c r="B49" s="13">
        <v>88316</v>
      </c>
      <c r="C49" s="50" t="str">
        <f>VLOOKUP($B49,'NAO DESO'!$A:$D,2,)</f>
        <v>SERVENTE COM ENCARGOS COMPLEMENTARES</v>
      </c>
      <c r="D49" s="52" t="str">
        <f>VLOOKUP($B49,'NAO DESO'!$A:$D,3,)</f>
        <v>H</v>
      </c>
      <c r="E49" s="53">
        <v>0.18</v>
      </c>
      <c r="F49" s="72" t="str">
        <f>VLOOKUP($B49,'NAO DESO'!$A:$D,4,)</f>
        <v>16,83</v>
      </c>
      <c r="G49" s="57">
        <f>TRUNC(E49*F49,2)</f>
        <v>3.02</v>
      </c>
      <c r="H49" s="58" t="str">
        <f>VLOOKUP($B49,DESON!$A:$D,4,)</f>
        <v>15,16</v>
      </c>
      <c r="I49" s="62">
        <f>TRUNC(E49*H49,2)</f>
        <v>2.72</v>
      </c>
    </row>
    <row r="50" spans="1:9" ht="25.5">
      <c r="A50" s="51" t="s">
        <v>245</v>
      </c>
      <c r="B50" s="13">
        <v>88441</v>
      </c>
      <c r="C50" s="50" t="str">
        <f>VLOOKUP($B50,'NAO DESO'!$A:$D,2,)</f>
        <v>JARDINEIRO COM ENCARGOS COMPLEMENTARES</v>
      </c>
      <c r="D50" s="52" t="str">
        <f>VLOOKUP($B50,'NAO DESO'!$A:$D,3,)</f>
        <v>H</v>
      </c>
      <c r="E50" s="53">
        <v>0.18</v>
      </c>
      <c r="F50" s="72" t="str">
        <f>VLOOKUP($B50,'NAO DESO'!$A:$D,4,)</f>
        <v>18,26</v>
      </c>
      <c r="G50" s="57">
        <f>TRUNC(E50*F50,2)</f>
        <v>3.28</v>
      </c>
      <c r="H50" s="58" t="str">
        <f>VLOOKUP($B50,DESON!$A:$D,4,)</f>
        <v>16,41</v>
      </c>
      <c r="I50" s="62">
        <f>TRUNC(E50*H50,2)</f>
        <v>2.95</v>
      </c>
    </row>
    <row r="51" spans="1:9" ht="15.75" thickBot="1">
      <c r="A51" s="1482" t="s">
        <v>244</v>
      </c>
      <c r="B51" s="1483"/>
      <c r="C51" s="1483"/>
      <c r="D51" s="1483"/>
      <c r="E51" s="1483"/>
      <c r="F51" s="1483"/>
      <c r="G51" s="73">
        <f>SUM(G48:G50)</f>
        <v>26.3</v>
      </c>
      <c r="H51" s="81"/>
      <c r="I51" s="82">
        <f>SUM(I48:I50)</f>
        <v>25.669999999999998</v>
      </c>
    </row>
    <row r="52" spans="1:9" ht="15.75" thickBot="1"/>
    <row r="53" spans="1:9">
      <c r="A53" s="1484"/>
      <c r="B53" s="1486" t="s">
        <v>7413</v>
      </c>
      <c r="C53" s="1488" t="s">
        <v>7415</v>
      </c>
      <c r="D53" s="1486" t="s">
        <v>8</v>
      </c>
      <c r="E53" s="1486" t="s">
        <v>18</v>
      </c>
      <c r="F53" s="1480" t="s">
        <v>7015</v>
      </c>
      <c r="G53" s="1480"/>
      <c r="H53" s="1480" t="s">
        <v>7016</v>
      </c>
      <c r="I53" s="1481"/>
    </row>
    <row r="54" spans="1:9">
      <c r="A54" s="1485"/>
      <c r="B54" s="1487"/>
      <c r="C54" s="1489"/>
      <c r="D54" s="1487"/>
      <c r="E54" s="1487"/>
      <c r="F54" s="97" t="s">
        <v>19</v>
      </c>
      <c r="G54" s="97" t="s">
        <v>20</v>
      </c>
      <c r="H54" s="97" t="s">
        <v>19</v>
      </c>
      <c r="I54" s="68" t="s">
        <v>20</v>
      </c>
    </row>
    <row r="55" spans="1:9">
      <c r="A55" s="69"/>
      <c r="B55" s="70"/>
      <c r="C55" s="71"/>
      <c r="D55" s="70"/>
      <c r="E55" s="70"/>
      <c r="F55" s="70"/>
      <c r="G55" s="70"/>
      <c r="H55" s="61"/>
      <c r="I55" s="79"/>
    </row>
    <row r="56" spans="1:9">
      <c r="A56" s="55" t="s">
        <v>39</v>
      </c>
      <c r="B56" s="56" t="s">
        <v>188</v>
      </c>
      <c r="C56" s="80" t="s">
        <v>7414</v>
      </c>
      <c r="D56" s="56" t="s">
        <v>32</v>
      </c>
      <c r="E56" s="54">
        <v>1</v>
      </c>
      <c r="F56" s="57">
        <f>'MAPA COMPARATIVO'!E1216</f>
        <v>4</v>
      </c>
      <c r="G56" s="57">
        <f>TRUNC(E56*F56,2)</f>
        <v>4</v>
      </c>
      <c r="H56" s="57">
        <f>F56</f>
        <v>4</v>
      </c>
      <c r="I56" s="67">
        <f>TRUNC(E56*H56,2)</f>
        <v>4</v>
      </c>
    </row>
    <row r="57" spans="1:9" ht="25.5">
      <c r="A57" s="51" t="s">
        <v>245</v>
      </c>
      <c r="B57" s="13">
        <v>88316</v>
      </c>
      <c r="C57" s="50" t="str">
        <f>VLOOKUP($B57,'NAO DESO'!$A:$D,2,)</f>
        <v>SERVENTE COM ENCARGOS COMPLEMENTARES</v>
      </c>
      <c r="D57" s="52" t="str">
        <f>VLOOKUP($B57,'NAO DESO'!$A:$D,3,)</f>
        <v>H</v>
      </c>
      <c r="E57" s="53">
        <v>0.15</v>
      </c>
      <c r="F57" s="72" t="str">
        <f>VLOOKUP($B57,'NAO DESO'!$A:$D,4,)</f>
        <v>16,83</v>
      </c>
      <c r="G57" s="57">
        <f>TRUNC(E57*F57,2)</f>
        <v>2.52</v>
      </c>
      <c r="H57" s="58" t="str">
        <f>VLOOKUP($B57,DESON!$A:$D,4,)</f>
        <v>15,16</v>
      </c>
      <c r="I57" s="62">
        <f>TRUNC(E57*H57,2)</f>
        <v>2.27</v>
      </c>
    </row>
    <row r="58" spans="1:9" ht="25.5">
      <c r="A58" s="51" t="s">
        <v>245</v>
      </c>
      <c r="B58" s="13">
        <v>88441</v>
      </c>
      <c r="C58" s="50" t="str">
        <f>VLOOKUP($B58,'NAO DESO'!$A:$D,2,)</f>
        <v>JARDINEIRO COM ENCARGOS COMPLEMENTARES</v>
      </c>
      <c r="D58" s="52" t="str">
        <f>VLOOKUP($B58,'NAO DESO'!$A:$D,3,)</f>
        <v>H</v>
      </c>
      <c r="E58" s="53">
        <v>0.03</v>
      </c>
      <c r="F58" s="72" t="str">
        <f>VLOOKUP($B58,'NAO DESO'!$A:$D,4,)</f>
        <v>18,26</v>
      </c>
      <c r="G58" s="57">
        <f>TRUNC(E58*F58,2)</f>
        <v>0.54</v>
      </c>
      <c r="H58" s="58" t="str">
        <f>VLOOKUP($B58,DESON!$A:$D,4,)</f>
        <v>16,41</v>
      </c>
      <c r="I58" s="62">
        <f>TRUNC(E58*H58,2)</f>
        <v>0.49</v>
      </c>
    </row>
    <row r="59" spans="1:9" ht="15.75" thickBot="1">
      <c r="A59" s="1482" t="s">
        <v>244</v>
      </c>
      <c r="B59" s="1483"/>
      <c r="C59" s="1483"/>
      <c r="D59" s="1483"/>
      <c r="E59" s="1483"/>
      <c r="F59" s="1483"/>
      <c r="G59" s="73">
        <f>SUM(G56:G58)</f>
        <v>7.06</v>
      </c>
      <c r="H59" s="81"/>
      <c r="I59" s="82">
        <f>SUM(I56:I58)</f>
        <v>6.76</v>
      </c>
    </row>
    <row r="60" spans="1:9" ht="15.75" thickBot="1"/>
    <row r="61" spans="1:9">
      <c r="A61" s="1484"/>
      <c r="B61" s="1486" t="s">
        <v>7416</v>
      </c>
      <c r="C61" s="1488" t="s">
        <v>7418</v>
      </c>
      <c r="D61" s="1486" t="s">
        <v>24</v>
      </c>
      <c r="E61" s="1486" t="s">
        <v>18</v>
      </c>
      <c r="F61" s="1480" t="s">
        <v>7015</v>
      </c>
      <c r="G61" s="1480"/>
      <c r="H61" s="1480" t="s">
        <v>7016</v>
      </c>
      <c r="I61" s="1481"/>
    </row>
    <row r="62" spans="1:9">
      <c r="A62" s="1485"/>
      <c r="B62" s="1487"/>
      <c r="C62" s="1489"/>
      <c r="D62" s="1487"/>
      <c r="E62" s="1487"/>
      <c r="F62" s="97" t="s">
        <v>19</v>
      </c>
      <c r="G62" s="97" t="s">
        <v>20</v>
      </c>
      <c r="H62" s="97" t="s">
        <v>19</v>
      </c>
      <c r="I62" s="68" t="s">
        <v>20</v>
      </c>
    </row>
    <row r="63" spans="1:9">
      <c r="A63" s="69"/>
      <c r="B63" s="70"/>
      <c r="C63" s="71"/>
      <c r="D63" s="70"/>
      <c r="E63" s="70"/>
      <c r="F63" s="70"/>
      <c r="G63" s="70"/>
      <c r="H63" s="61"/>
      <c r="I63" s="79"/>
    </row>
    <row r="64" spans="1:9">
      <c r="A64" s="55" t="s">
        <v>39</v>
      </c>
      <c r="B64" s="56" t="s">
        <v>188</v>
      </c>
      <c r="C64" s="80" t="s">
        <v>7417</v>
      </c>
      <c r="D64" s="56" t="s">
        <v>32</v>
      </c>
      <c r="E64" s="54">
        <v>1</v>
      </c>
      <c r="F64" s="57">
        <f>'MAPA COMPARATIVO'!E1223</f>
        <v>4</v>
      </c>
      <c r="G64" s="57">
        <f>TRUNC(E64*F64,2)</f>
        <v>4</v>
      </c>
      <c r="H64" s="57">
        <f>F64</f>
        <v>4</v>
      </c>
      <c r="I64" s="67">
        <f>TRUNC(E64*H64,2)</f>
        <v>4</v>
      </c>
    </row>
    <row r="65" spans="1:9" ht="25.5">
      <c r="A65" s="51" t="s">
        <v>245</v>
      </c>
      <c r="B65" s="13">
        <v>88316</v>
      </c>
      <c r="C65" s="50" t="str">
        <f>VLOOKUP($B65,'NAO DESO'!$A:$D,2,)</f>
        <v>SERVENTE COM ENCARGOS COMPLEMENTARES</v>
      </c>
      <c r="D65" s="52" t="str">
        <f>VLOOKUP($B65,'NAO DESO'!$A:$D,3,)</f>
        <v>H</v>
      </c>
      <c r="E65" s="53">
        <v>0.15</v>
      </c>
      <c r="F65" s="72" t="str">
        <f>VLOOKUP($B65,'NAO DESO'!$A:$D,4,)</f>
        <v>16,83</v>
      </c>
      <c r="G65" s="57">
        <f>TRUNC(E65*F65,2)</f>
        <v>2.52</v>
      </c>
      <c r="H65" s="58" t="str">
        <f>VLOOKUP($B65,DESON!$A:$D,4,)</f>
        <v>15,16</v>
      </c>
      <c r="I65" s="62">
        <f>TRUNC(E65*H65,2)</f>
        <v>2.27</v>
      </c>
    </row>
    <row r="66" spans="1:9" ht="25.5">
      <c r="A66" s="51" t="s">
        <v>245</v>
      </c>
      <c r="B66" s="13">
        <v>88441</v>
      </c>
      <c r="C66" s="50" t="str">
        <f>VLOOKUP($B66,'NAO DESO'!$A:$D,2,)</f>
        <v>JARDINEIRO COM ENCARGOS COMPLEMENTARES</v>
      </c>
      <c r="D66" s="52" t="str">
        <f>VLOOKUP($B66,'NAO DESO'!$A:$D,3,)</f>
        <v>H</v>
      </c>
      <c r="E66" s="53">
        <v>0.03</v>
      </c>
      <c r="F66" s="72" t="str">
        <f>VLOOKUP($B66,'NAO DESO'!$A:$D,4,)</f>
        <v>18,26</v>
      </c>
      <c r="G66" s="57">
        <f>TRUNC(E66*F66,2)</f>
        <v>0.54</v>
      </c>
      <c r="H66" s="58" t="str">
        <f>VLOOKUP($B66,DESON!$A:$D,4,)</f>
        <v>16,41</v>
      </c>
      <c r="I66" s="62">
        <f>TRUNC(E66*H66,2)</f>
        <v>0.49</v>
      </c>
    </row>
    <row r="67" spans="1:9" ht="15.75" thickBot="1">
      <c r="A67" s="1482" t="s">
        <v>244</v>
      </c>
      <c r="B67" s="1483"/>
      <c r="C67" s="1483"/>
      <c r="D67" s="1483"/>
      <c r="E67" s="1483"/>
      <c r="F67" s="1483"/>
      <c r="G67" s="73">
        <f>SUM(G64:G66)</f>
        <v>7.06</v>
      </c>
      <c r="H67" s="81"/>
      <c r="I67" s="82">
        <f>SUM(I64:I66)</f>
        <v>6.76</v>
      </c>
    </row>
    <row r="68" spans="1:9" ht="15.75" thickBot="1"/>
    <row r="69" spans="1:9">
      <c r="A69" s="1484"/>
      <c r="B69" s="1486" t="s">
        <v>7419</v>
      </c>
      <c r="C69" s="1488" t="s">
        <v>7421</v>
      </c>
      <c r="D69" s="1486" t="s">
        <v>24</v>
      </c>
      <c r="E69" s="1486" t="s">
        <v>18</v>
      </c>
      <c r="F69" s="1480" t="s">
        <v>7015</v>
      </c>
      <c r="G69" s="1480"/>
      <c r="H69" s="1480" t="s">
        <v>7016</v>
      </c>
      <c r="I69" s="1481"/>
    </row>
    <row r="70" spans="1:9">
      <c r="A70" s="1485"/>
      <c r="B70" s="1487"/>
      <c r="C70" s="1489"/>
      <c r="D70" s="1487"/>
      <c r="E70" s="1487"/>
      <c r="F70" s="97" t="s">
        <v>19</v>
      </c>
      <c r="G70" s="97" t="s">
        <v>20</v>
      </c>
      <c r="H70" s="97" t="s">
        <v>19</v>
      </c>
      <c r="I70" s="68" t="s">
        <v>20</v>
      </c>
    </row>
    <row r="71" spans="1:9">
      <c r="A71" s="69"/>
      <c r="B71" s="70"/>
      <c r="C71" s="71"/>
      <c r="D71" s="70"/>
      <c r="E71" s="70"/>
      <c r="F71" s="70"/>
      <c r="G71" s="70"/>
      <c r="H71" s="61"/>
      <c r="I71" s="79"/>
    </row>
    <row r="72" spans="1:9">
      <c r="A72" s="55" t="s">
        <v>39</v>
      </c>
      <c r="B72" s="56" t="s">
        <v>188</v>
      </c>
      <c r="C72" s="80" t="s">
        <v>7420</v>
      </c>
      <c r="D72" s="56" t="s">
        <v>32</v>
      </c>
      <c r="E72" s="54">
        <v>1</v>
      </c>
      <c r="F72" s="57">
        <f>'MAPA COMPARATIVO'!E1230</f>
        <v>150</v>
      </c>
      <c r="G72" s="57">
        <f>TRUNC(E72*F72,2)</f>
        <v>150</v>
      </c>
      <c r="H72" s="57">
        <f>F72</f>
        <v>150</v>
      </c>
      <c r="I72" s="67">
        <f>TRUNC(E72*H72,2)</f>
        <v>150</v>
      </c>
    </row>
    <row r="73" spans="1:9" ht="25.5">
      <c r="A73" s="51" t="s">
        <v>245</v>
      </c>
      <c r="B73" s="13">
        <v>88316</v>
      </c>
      <c r="C73" s="50" t="str">
        <f>VLOOKUP($B73,'NAO DESO'!$A:$D,2,)</f>
        <v>SERVENTE COM ENCARGOS COMPLEMENTARES</v>
      </c>
      <c r="D73" s="52" t="str">
        <f>VLOOKUP($B73,'NAO DESO'!$A:$D,3,)</f>
        <v>H</v>
      </c>
      <c r="E73" s="53">
        <v>0.15</v>
      </c>
      <c r="F73" s="72" t="str">
        <f>VLOOKUP($B73,'NAO DESO'!$A:$D,4,)</f>
        <v>16,83</v>
      </c>
      <c r="G73" s="57">
        <f>TRUNC(E73*F73,2)</f>
        <v>2.52</v>
      </c>
      <c r="H73" s="58" t="str">
        <f>VLOOKUP($B73,DESON!$A:$D,4,)</f>
        <v>15,16</v>
      </c>
      <c r="I73" s="62">
        <f>TRUNC(E73*H73,2)</f>
        <v>2.27</v>
      </c>
    </row>
    <row r="74" spans="1:9" ht="25.5">
      <c r="A74" s="51" t="s">
        <v>245</v>
      </c>
      <c r="B74" s="13">
        <v>88441</v>
      </c>
      <c r="C74" s="50" t="str">
        <f>VLOOKUP($B74,'NAO DESO'!$A:$D,2,)</f>
        <v>JARDINEIRO COM ENCARGOS COMPLEMENTARES</v>
      </c>
      <c r="D74" s="52" t="str">
        <f>VLOOKUP($B74,'NAO DESO'!$A:$D,3,)</f>
        <v>H</v>
      </c>
      <c r="E74" s="53">
        <v>0.15</v>
      </c>
      <c r="F74" s="72" t="str">
        <f>VLOOKUP($B74,'NAO DESO'!$A:$D,4,)</f>
        <v>18,26</v>
      </c>
      <c r="G74" s="57">
        <f>TRUNC(E74*F74,2)</f>
        <v>2.73</v>
      </c>
      <c r="H74" s="58" t="str">
        <f>VLOOKUP($B74,DESON!$A:$D,4,)</f>
        <v>16,41</v>
      </c>
      <c r="I74" s="62">
        <f>TRUNC(E74*H74,2)</f>
        <v>2.46</v>
      </c>
    </row>
    <row r="75" spans="1:9" ht="15.75" thickBot="1">
      <c r="A75" s="1482" t="s">
        <v>244</v>
      </c>
      <c r="B75" s="1483"/>
      <c r="C75" s="1483"/>
      <c r="D75" s="1483"/>
      <c r="E75" s="1483"/>
      <c r="F75" s="1483"/>
      <c r="G75" s="73">
        <f>SUM(G72:G74)</f>
        <v>155.25</v>
      </c>
      <c r="H75" s="81"/>
      <c r="I75" s="82">
        <f>SUM(I72:I74)</f>
        <v>154.73000000000002</v>
      </c>
    </row>
    <row r="76" spans="1:9" ht="15.75" thickBot="1"/>
    <row r="77" spans="1:9">
      <c r="A77" s="1484"/>
      <c r="B77" s="1486" t="s">
        <v>7422</v>
      </c>
      <c r="C77" s="1488" t="s">
        <v>7424</v>
      </c>
      <c r="D77" s="1486" t="s">
        <v>24</v>
      </c>
      <c r="E77" s="1486" t="s">
        <v>18</v>
      </c>
      <c r="F77" s="1480" t="s">
        <v>7015</v>
      </c>
      <c r="G77" s="1480"/>
      <c r="H77" s="1480" t="s">
        <v>7016</v>
      </c>
      <c r="I77" s="1481"/>
    </row>
    <row r="78" spans="1:9">
      <c r="A78" s="1485"/>
      <c r="B78" s="1487"/>
      <c r="C78" s="1489"/>
      <c r="D78" s="1487"/>
      <c r="E78" s="1487"/>
      <c r="F78" s="97" t="s">
        <v>19</v>
      </c>
      <c r="G78" s="97" t="s">
        <v>20</v>
      </c>
      <c r="H78" s="97" t="s">
        <v>19</v>
      </c>
      <c r="I78" s="68" t="s">
        <v>20</v>
      </c>
    </row>
    <row r="79" spans="1:9">
      <c r="A79" s="69"/>
      <c r="B79" s="70"/>
      <c r="C79" s="71"/>
      <c r="D79" s="70"/>
      <c r="E79" s="70"/>
      <c r="F79" s="70"/>
      <c r="G79" s="70"/>
      <c r="H79" s="61"/>
      <c r="I79" s="79"/>
    </row>
    <row r="80" spans="1:9">
      <c r="A80" s="55" t="s">
        <v>39</v>
      </c>
      <c r="B80" s="56" t="s">
        <v>188</v>
      </c>
      <c r="C80" s="80" t="s">
        <v>7423</v>
      </c>
      <c r="D80" s="56" t="s">
        <v>32</v>
      </c>
      <c r="E80" s="54">
        <v>1</v>
      </c>
      <c r="F80" s="57">
        <f>'MAPA COMPARATIVO'!E1237</f>
        <v>150</v>
      </c>
      <c r="G80" s="57">
        <f>TRUNC(E80*F80,2)</f>
        <v>150</v>
      </c>
      <c r="H80" s="57">
        <f>F80</f>
        <v>150</v>
      </c>
      <c r="I80" s="67">
        <f>TRUNC(E80*H80,2)</f>
        <v>150</v>
      </c>
    </row>
    <row r="81" spans="1:9" ht="25.5">
      <c r="A81" s="51" t="s">
        <v>245</v>
      </c>
      <c r="B81" s="13">
        <v>88316</v>
      </c>
      <c r="C81" s="50" t="str">
        <f>VLOOKUP($B81,'NAO DESO'!$A:$D,2,)</f>
        <v>SERVENTE COM ENCARGOS COMPLEMENTARES</v>
      </c>
      <c r="D81" s="52" t="str">
        <f>VLOOKUP($B81,'NAO DESO'!$A:$D,3,)</f>
        <v>H</v>
      </c>
      <c r="E81" s="53">
        <v>0.15</v>
      </c>
      <c r="F81" s="72" t="str">
        <f>VLOOKUP($B81,'NAO DESO'!$A:$D,4,)</f>
        <v>16,83</v>
      </c>
      <c r="G81" s="57">
        <f>TRUNC(E81*F81,2)</f>
        <v>2.52</v>
      </c>
      <c r="H81" s="58" t="str">
        <f>VLOOKUP($B81,DESON!$A:$D,4,)</f>
        <v>15,16</v>
      </c>
      <c r="I81" s="62">
        <f>TRUNC(E81*H81,2)</f>
        <v>2.27</v>
      </c>
    </row>
    <row r="82" spans="1:9" ht="25.5">
      <c r="A82" s="51" t="s">
        <v>245</v>
      </c>
      <c r="B82" s="13">
        <v>88441</v>
      </c>
      <c r="C82" s="50" t="str">
        <f>VLOOKUP($B82,'NAO DESO'!$A:$D,2,)</f>
        <v>JARDINEIRO COM ENCARGOS COMPLEMENTARES</v>
      </c>
      <c r="D82" s="52" t="str">
        <f>VLOOKUP($B82,'NAO DESO'!$A:$D,3,)</f>
        <v>H</v>
      </c>
      <c r="E82" s="53">
        <v>0.15</v>
      </c>
      <c r="F82" s="72" t="str">
        <f>VLOOKUP($B82,'NAO DESO'!$A:$D,4,)</f>
        <v>18,26</v>
      </c>
      <c r="G82" s="57">
        <f>TRUNC(E82*F82,2)</f>
        <v>2.73</v>
      </c>
      <c r="H82" s="58" t="str">
        <f>VLOOKUP($B82,DESON!$A:$D,4,)</f>
        <v>16,41</v>
      </c>
      <c r="I82" s="62">
        <f>TRUNC(E82*H82,2)</f>
        <v>2.46</v>
      </c>
    </row>
    <row r="83" spans="1:9" ht="15.75" thickBot="1">
      <c r="A83" s="1482" t="s">
        <v>244</v>
      </c>
      <c r="B83" s="1483"/>
      <c r="C83" s="1483"/>
      <c r="D83" s="1483"/>
      <c r="E83" s="1483"/>
      <c r="F83" s="1483"/>
      <c r="G83" s="73">
        <f>SUM(G80:G82)</f>
        <v>155.25</v>
      </c>
      <c r="H83" s="81"/>
      <c r="I83" s="82">
        <f>SUM(I80:I82)</f>
        <v>154.73000000000002</v>
      </c>
    </row>
    <row r="84" spans="1:9" ht="15.75" thickBot="1"/>
    <row r="85" spans="1:9">
      <c r="A85" s="1484"/>
      <c r="B85" s="1486" t="s">
        <v>7425</v>
      </c>
      <c r="C85" s="1488" t="s">
        <v>7427</v>
      </c>
      <c r="D85" s="1486" t="s">
        <v>24</v>
      </c>
      <c r="E85" s="1486" t="s">
        <v>18</v>
      </c>
      <c r="F85" s="1480" t="s">
        <v>7015</v>
      </c>
      <c r="G85" s="1480"/>
      <c r="H85" s="1480" t="s">
        <v>7016</v>
      </c>
      <c r="I85" s="1481"/>
    </row>
    <row r="86" spans="1:9">
      <c r="A86" s="1485"/>
      <c r="B86" s="1487"/>
      <c r="C86" s="1489"/>
      <c r="D86" s="1487"/>
      <c r="E86" s="1487"/>
      <c r="F86" s="97" t="s">
        <v>19</v>
      </c>
      <c r="G86" s="97" t="s">
        <v>20</v>
      </c>
      <c r="H86" s="97" t="s">
        <v>19</v>
      </c>
      <c r="I86" s="68" t="s">
        <v>20</v>
      </c>
    </row>
    <row r="87" spans="1:9">
      <c r="A87" s="69"/>
      <c r="B87" s="70"/>
      <c r="C87" s="71"/>
      <c r="D87" s="70"/>
      <c r="E87" s="70"/>
      <c r="F87" s="70"/>
      <c r="G87" s="70"/>
      <c r="H87" s="61"/>
      <c r="I87" s="79"/>
    </row>
    <row r="88" spans="1:9">
      <c r="A88" s="55" t="s">
        <v>39</v>
      </c>
      <c r="B88" s="56" t="s">
        <v>188</v>
      </c>
      <c r="C88" s="80" t="s">
        <v>7426</v>
      </c>
      <c r="D88" s="56" t="s">
        <v>32</v>
      </c>
      <c r="E88" s="54">
        <v>1</v>
      </c>
      <c r="F88" s="57">
        <f>'MAPA COMPARATIVO'!E1244</f>
        <v>80</v>
      </c>
      <c r="G88" s="57">
        <f>TRUNC(E88*F88,2)</f>
        <v>80</v>
      </c>
      <c r="H88" s="57">
        <f>F88</f>
        <v>80</v>
      </c>
      <c r="I88" s="67">
        <f>TRUNC(E88*H88,2)</f>
        <v>80</v>
      </c>
    </row>
    <row r="89" spans="1:9" ht="25.5">
      <c r="A89" s="51" t="s">
        <v>245</v>
      </c>
      <c r="B89" s="13">
        <v>88316</v>
      </c>
      <c r="C89" s="50" t="str">
        <f>VLOOKUP($B89,'NAO DESO'!$A:$D,2,)</f>
        <v>SERVENTE COM ENCARGOS COMPLEMENTARES</v>
      </c>
      <c r="D89" s="52" t="str">
        <f>VLOOKUP($B89,'NAO DESO'!$A:$D,3,)</f>
        <v>H</v>
      </c>
      <c r="E89" s="53">
        <v>0.15</v>
      </c>
      <c r="F89" s="72" t="str">
        <f>VLOOKUP($B89,'NAO DESO'!$A:$D,4,)</f>
        <v>16,83</v>
      </c>
      <c r="G89" s="57">
        <f>TRUNC(E89*F89,2)</f>
        <v>2.52</v>
      </c>
      <c r="H89" s="58" t="str">
        <f>VLOOKUP($B89,DESON!$A:$D,4,)</f>
        <v>15,16</v>
      </c>
      <c r="I89" s="62">
        <f>TRUNC(E89*H89,2)</f>
        <v>2.27</v>
      </c>
    </row>
    <row r="90" spans="1:9" ht="25.5">
      <c r="A90" s="51" t="s">
        <v>245</v>
      </c>
      <c r="B90" s="13">
        <v>88441</v>
      </c>
      <c r="C90" s="50" t="str">
        <f>VLOOKUP($B90,'NAO DESO'!$A:$D,2,)</f>
        <v>JARDINEIRO COM ENCARGOS COMPLEMENTARES</v>
      </c>
      <c r="D90" s="52" t="str">
        <f>VLOOKUP($B90,'NAO DESO'!$A:$D,3,)</f>
        <v>H</v>
      </c>
      <c r="E90" s="53">
        <v>0.15</v>
      </c>
      <c r="F90" s="72" t="str">
        <f>VLOOKUP($B90,'NAO DESO'!$A:$D,4,)</f>
        <v>18,26</v>
      </c>
      <c r="G90" s="57">
        <f>TRUNC(E90*F90,2)</f>
        <v>2.73</v>
      </c>
      <c r="H90" s="58" t="str">
        <f>VLOOKUP($B90,DESON!$A:$D,4,)</f>
        <v>16,41</v>
      </c>
      <c r="I90" s="62">
        <f>TRUNC(E90*H90,2)</f>
        <v>2.46</v>
      </c>
    </row>
    <row r="91" spans="1:9" ht="15.75" thickBot="1">
      <c r="A91" s="1482" t="s">
        <v>244</v>
      </c>
      <c r="B91" s="1483"/>
      <c r="C91" s="1483"/>
      <c r="D91" s="1483"/>
      <c r="E91" s="1483"/>
      <c r="F91" s="1483"/>
      <c r="G91" s="73">
        <f>SUM(G88:G90)</f>
        <v>85.25</v>
      </c>
      <c r="H91" s="81"/>
      <c r="I91" s="82">
        <f>SUM(I88:I90)</f>
        <v>84.72999999999999</v>
      </c>
    </row>
    <row r="92" spans="1:9" ht="15.75" thickBot="1"/>
    <row r="93" spans="1:9">
      <c r="A93" s="1484"/>
      <c r="B93" s="1486" t="s">
        <v>7428</v>
      </c>
      <c r="C93" s="1488" t="s">
        <v>7430</v>
      </c>
      <c r="D93" s="1486" t="s">
        <v>24</v>
      </c>
      <c r="E93" s="1486" t="s">
        <v>18</v>
      </c>
      <c r="F93" s="1480" t="s">
        <v>7015</v>
      </c>
      <c r="G93" s="1480"/>
      <c r="H93" s="1480" t="s">
        <v>7016</v>
      </c>
      <c r="I93" s="1481"/>
    </row>
    <row r="94" spans="1:9">
      <c r="A94" s="1485"/>
      <c r="B94" s="1487"/>
      <c r="C94" s="1489"/>
      <c r="D94" s="1487"/>
      <c r="E94" s="1487"/>
      <c r="F94" s="97" t="s">
        <v>19</v>
      </c>
      <c r="G94" s="97" t="s">
        <v>20</v>
      </c>
      <c r="H94" s="97" t="s">
        <v>19</v>
      </c>
      <c r="I94" s="68" t="s">
        <v>20</v>
      </c>
    </row>
    <row r="95" spans="1:9">
      <c r="A95" s="69"/>
      <c r="B95" s="70"/>
      <c r="C95" s="71"/>
      <c r="D95" s="70"/>
      <c r="E95" s="70"/>
      <c r="F95" s="70"/>
      <c r="G95" s="70"/>
      <c r="H95" s="61"/>
      <c r="I95" s="79"/>
    </row>
    <row r="96" spans="1:9">
      <c r="A96" s="55" t="s">
        <v>39</v>
      </c>
      <c r="B96" s="56" t="s">
        <v>188</v>
      </c>
      <c r="C96" s="80" t="s">
        <v>7429</v>
      </c>
      <c r="D96" s="56" t="s">
        <v>32</v>
      </c>
      <c r="E96" s="54">
        <v>1</v>
      </c>
      <c r="F96" s="57">
        <f>'MAPA COMPARATIVO'!E1251</f>
        <v>4</v>
      </c>
      <c r="G96" s="57">
        <f>TRUNC(E96*F96,2)</f>
        <v>4</v>
      </c>
      <c r="H96" s="57">
        <f>F96</f>
        <v>4</v>
      </c>
      <c r="I96" s="67">
        <f>TRUNC(E96*H96,2)</f>
        <v>4</v>
      </c>
    </row>
    <row r="97" spans="1:9" ht="25.5">
      <c r="A97" s="51" t="s">
        <v>245</v>
      </c>
      <c r="B97" s="13">
        <v>88316</v>
      </c>
      <c r="C97" s="50" t="str">
        <f>VLOOKUP($B97,'NAO DESO'!$A:$D,2,)</f>
        <v>SERVENTE COM ENCARGOS COMPLEMENTARES</v>
      </c>
      <c r="D97" s="52" t="str">
        <f>VLOOKUP($B97,'NAO DESO'!$A:$D,3,)</f>
        <v>H</v>
      </c>
      <c r="E97" s="53">
        <v>0.15</v>
      </c>
      <c r="F97" s="72" t="str">
        <f>VLOOKUP($B97,'NAO DESO'!$A:$D,4,)</f>
        <v>16,83</v>
      </c>
      <c r="G97" s="57">
        <f>TRUNC(E97*F97,2)</f>
        <v>2.52</v>
      </c>
      <c r="H97" s="58" t="str">
        <f>VLOOKUP($B97,DESON!$A:$D,4,)</f>
        <v>15,16</v>
      </c>
      <c r="I97" s="62">
        <f>TRUNC(E97*H97,2)</f>
        <v>2.27</v>
      </c>
    </row>
    <row r="98" spans="1:9" ht="25.5">
      <c r="A98" s="51" t="s">
        <v>245</v>
      </c>
      <c r="B98" s="13">
        <v>88441</v>
      </c>
      <c r="C98" s="50" t="str">
        <f>VLOOKUP($B98,'NAO DESO'!$A:$D,2,)</f>
        <v>JARDINEIRO COM ENCARGOS COMPLEMENTARES</v>
      </c>
      <c r="D98" s="52" t="str">
        <f>VLOOKUP($B98,'NAO DESO'!$A:$D,3,)</f>
        <v>H</v>
      </c>
      <c r="E98" s="53">
        <v>0.15</v>
      </c>
      <c r="F98" s="72" t="str">
        <f>VLOOKUP($B98,'NAO DESO'!$A:$D,4,)</f>
        <v>18,26</v>
      </c>
      <c r="G98" s="57">
        <f>TRUNC(E98*F98,2)</f>
        <v>2.73</v>
      </c>
      <c r="H98" s="58" t="str">
        <f>VLOOKUP($B98,DESON!$A:$D,4,)</f>
        <v>16,41</v>
      </c>
      <c r="I98" s="62">
        <f>TRUNC(E98*H98,2)</f>
        <v>2.46</v>
      </c>
    </row>
    <row r="99" spans="1:9" ht="15.75" thickBot="1">
      <c r="A99" s="1482" t="s">
        <v>244</v>
      </c>
      <c r="B99" s="1483"/>
      <c r="C99" s="1483"/>
      <c r="D99" s="1483"/>
      <c r="E99" s="1483"/>
      <c r="F99" s="1483"/>
      <c r="G99" s="73">
        <f>SUM(G96:G98)</f>
        <v>9.25</v>
      </c>
      <c r="H99" s="81"/>
      <c r="I99" s="82">
        <f>SUM(I96:I98)</f>
        <v>8.73</v>
      </c>
    </row>
    <row r="100" spans="1:9" ht="15.75" thickBot="1"/>
    <row r="101" spans="1:9">
      <c r="A101" s="1484"/>
      <c r="B101" s="1486" t="s">
        <v>7431</v>
      </c>
      <c r="C101" s="1488" t="s">
        <v>7433</v>
      </c>
      <c r="D101" s="1486" t="s">
        <v>24</v>
      </c>
      <c r="E101" s="1486" t="s">
        <v>18</v>
      </c>
      <c r="F101" s="1480" t="s">
        <v>7015</v>
      </c>
      <c r="G101" s="1480"/>
      <c r="H101" s="1480" t="s">
        <v>7016</v>
      </c>
      <c r="I101" s="1481"/>
    </row>
    <row r="102" spans="1:9">
      <c r="A102" s="1485"/>
      <c r="B102" s="1487"/>
      <c r="C102" s="1489"/>
      <c r="D102" s="1487"/>
      <c r="E102" s="1487"/>
      <c r="F102" s="97" t="s">
        <v>19</v>
      </c>
      <c r="G102" s="97" t="s">
        <v>20</v>
      </c>
      <c r="H102" s="97" t="s">
        <v>19</v>
      </c>
      <c r="I102" s="68" t="s">
        <v>20</v>
      </c>
    </row>
    <row r="103" spans="1:9">
      <c r="A103" s="69"/>
      <c r="B103" s="70"/>
      <c r="C103" s="71"/>
      <c r="D103" s="70"/>
      <c r="E103" s="70"/>
      <c r="F103" s="70"/>
      <c r="G103" s="70"/>
      <c r="H103" s="61"/>
      <c r="I103" s="79"/>
    </row>
    <row r="104" spans="1:9">
      <c r="A104" s="55" t="s">
        <v>39</v>
      </c>
      <c r="B104" s="56" t="s">
        <v>188</v>
      </c>
      <c r="C104" s="80" t="s">
        <v>7432</v>
      </c>
      <c r="D104" s="56" t="s">
        <v>32</v>
      </c>
      <c r="E104" s="54">
        <v>1</v>
      </c>
      <c r="F104" s="57">
        <f>'MAPA COMPARATIVO'!E1258</f>
        <v>4</v>
      </c>
      <c r="G104" s="57">
        <f>TRUNC(E104*F104,2)</f>
        <v>4</v>
      </c>
      <c r="H104" s="57">
        <f>F104</f>
        <v>4</v>
      </c>
      <c r="I104" s="67">
        <f>TRUNC(E104*H104,2)</f>
        <v>4</v>
      </c>
    </row>
    <row r="105" spans="1:9" ht="25.5">
      <c r="A105" s="51" t="s">
        <v>245</v>
      </c>
      <c r="B105" s="13">
        <v>88316</v>
      </c>
      <c r="C105" s="50" t="str">
        <f>VLOOKUP($B105,'NAO DESO'!$A:$D,2,)</f>
        <v>SERVENTE COM ENCARGOS COMPLEMENTARES</v>
      </c>
      <c r="D105" s="52" t="str">
        <f>VLOOKUP($B105,'NAO DESO'!$A:$D,3,)</f>
        <v>H</v>
      </c>
      <c r="E105" s="53">
        <v>0.15</v>
      </c>
      <c r="F105" s="72" t="str">
        <f>VLOOKUP($B105,'NAO DESO'!$A:$D,4,)</f>
        <v>16,83</v>
      </c>
      <c r="G105" s="57">
        <f>TRUNC(E105*F105,2)</f>
        <v>2.52</v>
      </c>
      <c r="H105" s="58" t="str">
        <f>VLOOKUP($B105,DESON!$A:$D,4,)</f>
        <v>15,16</v>
      </c>
      <c r="I105" s="62">
        <f>TRUNC(E105*H105,2)</f>
        <v>2.27</v>
      </c>
    </row>
    <row r="106" spans="1:9" ht="25.5">
      <c r="A106" s="51" t="s">
        <v>245</v>
      </c>
      <c r="B106" s="13">
        <v>88441</v>
      </c>
      <c r="C106" s="50" t="str">
        <f>VLOOKUP($B106,'NAO DESO'!$A:$D,2,)</f>
        <v>JARDINEIRO COM ENCARGOS COMPLEMENTARES</v>
      </c>
      <c r="D106" s="52" t="str">
        <f>VLOOKUP($B106,'NAO DESO'!$A:$D,3,)</f>
        <v>H</v>
      </c>
      <c r="E106" s="53">
        <v>0.15</v>
      </c>
      <c r="F106" s="72" t="str">
        <f>VLOOKUP($B106,'NAO DESO'!$A:$D,4,)</f>
        <v>18,26</v>
      </c>
      <c r="G106" s="57">
        <f>TRUNC(E106*F106,2)</f>
        <v>2.73</v>
      </c>
      <c r="H106" s="58" t="str">
        <f>VLOOKUP($B106,DESON!$A:$D,4,)</f>
        <v>16,41</v>
      </c>
      <c r="I106" s="62">
        <f>TRUNC(E106*H106,2)</f>
        <v>2.46</v>
      </c>
    </row>
    <row r="107" spans="1:9" ht="15.75" thickBot="1">
      <c r="A107" s="1482" t="s">
        <v>244</v>
      </c>
      <c r="B107" s="1483"/>
      <c r="C107" s="1483"/>
      <c r="D107" s="1483"/>
      <c r="E107" s="1483"/>
      <c r="F107" s="1483"/>
      <c r="G107" s="73">
        <f>SUM(G104:G106)</f>
        <v>9.25</v>
      </c>
      <c r="H107" s="81"/>
      <c r="I107" s="82">
        <f>SUM(I104:I106)</f>
        <v>8.73</v>
      </c>
    </row>
    <row r="108" spans="1:9" ht="15.75" thickBot="1"/>
    <row r="109" spans="1:9">
      <c r="A109" s="1484"/>
      <c r="B109" s="1486" t="s">
        <v>7434</v>
      </c>
      <c r="C109" s="1488" t="s">
        <v>7436</v>
      </c>
      <c r="D109" s="1486" t="s">
        <v>24</v>
      </c>
      <c r="E109" s="1486" t="s">
        <v>18</v>
      </c>
      <c r="F109" s="1480" t="s">
        <v>7015</v>
      </c>
      <c r="G109" s="1480"/>
      <c r="H109" s="1480" t="s">
        <v>7016</v>
      </c>
      <c r="I109" s="1481"/>
    </row>
    <row r="110" spans="1:9">
      <c r="A110" s="1485"/>
      <c r="B110" s="1487"/>
      <c r="C110" s="1489"/>
      <c r="D110" s="1487"/>
      <c r="E110" s="1487"/>
      <c r="F110" s="97" t="s">
        <v>19</v>
      </c>
      <c r="G110" s="97" t="s">
        <v>20</v>
      </c>
      <c r="H110" s="97" t="s">
        <v>19</v>
      </c>
      <c r="I110" s="68" t="s">
        <v>20</v>
      </c>
    </row>
    <row r="111" spans="1:9">
      <c r="A111" s="69"/>
      <c r="B111" s="70"/>
      <c r="C111" s="71"/>
      <c r="D111" s="70"/>
      <c r="E111" s="70"/>
      <c r="F111" s="70"/>
      <c r="G111" s="70"/>
      <c r="H111" s="61"/>
      <c r="I111" s="79"/>
    </row>
    <row r="112" spans="1:9">
      <c r="A112" s="55" t="s">
        <v>39</v>
      </c>
      <c r="B112" s="56" t="s">
        <v>188</v>
      </c>
      <c r="C112" s="80" t="s">
        <v>7435</v>
      </c>
      <c r="D112" s="56" t="s">
        <v>32</v>
      </c>
      <c r="E112" s="54">
        <v>1</v>
      </c>
      <c r="F112" s="57">
        <f>'MAPA COMPARATIVO'!E1265</f>
        <v>600</v>
      </c>
      <c r="G112" s="57">
        <f>TRUNC(E112*F112,2)</f>
        <v>600</v>
      </c>
      <c r="H112" s="57">
        <f>F112</f>
        <v>600</v>
      </c>
      <c r="I112" s="67">
        <f>TRUNC(E112*H112,2)</f>
        <v>600</v>
      </c>
    </row>
    <row r="113" spans="1:9" ht="25.5">
      <c r="A113" s="51" t="s">
        <v>245</v>
      </c>
      <c r="B113" s="13">
        <v>88316</v>
      </c>
      <c r="C113" s="50" t="str">
        <f>VLOOKUP($B113,'NAO DESO'!$A:$D,2,)</f>
        <v>SERVENTE COM ENCARGOS COMPLEMENTARES</v>
      </c>
      <c r="D113" s="52" t="str">
        <f>VLOOKUP($B113,'NAO DESO'!$A:$D,3,)</f>
        <v>H</v>
      </c>
      <c r="E113" s="54">
        <v>4.3600000000000003</v>
      </c>
      <c r="F113" s="72" t="str">
        <f>VLOOKUP($B113,'NAO DESO'!$A:$D,4,)</f>
        <v>16,83</v>
      </c>
      <c r="G113" s="57">
        <f>TRUNC(E113*F113,2)</f>
        <v>73.37</v>
      </c>
      <c r="H113" s="58" t="str">
        <f>VLOOKUP($B113,DESON!$A:$D,4,)</f>
        <v>15,16</v>
      </c>
      <c r="I113" s="62">
        <f>TRUNC(E113*H113,2)</f>
        <v>66.09</v>
      </c>
    </row>
    <row r="114" spans="1:9" ht="25.5">
      <c r="A114" s="51" t="s">
        <v>245</v>
      </c>
      <c r="B114" s="13">
        <v>88441</v>
      </c>
      <c r="C114" s="50" t="str">
        <f>VLOOKUP($B114,'NAO DESO'!$A:$D,2,)</f>
        <v>JARDINEIRO COM ENCARGOS COMPLEMENTARES</v>
      </c>
      <c r="D114" s="52" t="str">
        <f>VLOOKUP($B114,'NAO DESO'!$A:$D,3,)</f>
        <v>H</v>
      </c>
      <c r="E114" s="54">
        <v>1.0900000000000001</v>
      </c>
      <c r="F114" s="72" t="str">
        <f>VLOOKUP($B114,'NAO DESO'!$A:$D,4,)</f>
        <v>18,26</v>
      </c>
      <c r="G114" s="57">
        <f>TRUNC(E114*F114,2)</f>
        <v>19.899999999999999</v>
      </c>
      <c r="H114" s="58" t="str">
        <f>VLOOKUP($B114,DESON!$A:$D,4,)</f>
        <v>16,41</v>
      </c>
      <c r="I114" s="62">
        <f>TRUNC(E114*H114,2)</f>
        <v>17.88</v>
      </c>
    </row>
    <row r="115" spans="1:9" ht="76.5">
      <c r="A115" s="51" t="s">
        <v>245</v>
      </c>
      <c r="B115" s="13">
        <v>91634</v>
      </c>
      <c r="C115" s="50" t="str">
        <f>VLOOKUP($B115,'NAO DESO'!$A:$D,2,)</f>
        <v>GUINDAUTO HIDRÁULICO, CAPACIDADE MÁXIMA DE CARGA 6500 KG, MOMENTO MÁXIMO DE CARGA 5,8 TM, ALCANCE MÁXIMO HORIZONTAL 7,60 M, INCLUSIVE CAMINHÃO TOCO PBT 9.700 KG, POTÊNCIA DE 160 CV - CHP DIURNO. AF_08/2015</v>
      </c>
      <c r="D115" s="52" t="str">
        <f>VLOOKUP($B115,'NAO DESO'!$A:$D,3,)</f>
        <v>CHP</v>
      </c>
      <c r="E115" s="54">
        <v>0.28999999999999998</v>
      </c>
      <c r="F115" s="72" t="str">
        <f>VLOOKUP($B115,'NAO DESO'!$A:$D,4,)</f>
        <v>202,95</v>
      </c>
      <c r="G115" s="57">
        <f>TRUNC(E115*F115,2)</f>
        <v>58.85</v>
      </c>
      <c r="H115" s="58" t="str">
        <f>VLOOKUP($B115,DESON!$A:$D,4,)</f>
        <v>200,80</v>
      </c>
      <c r="I115" s="62">
        <f>TRUNC(E115*H115,2)</f>
        <v>58.23</v>
      </c>
    </row>
    <row r="116" spans="1:9" ht="76.5">
      <c r="A116" s="51" t="s">
        <v>245</v>
      </c>
      <c r="B116" s="13">
        <v>91635</v>
      </c>
      <c r="C116" s="50" t="str">
        <f>VLOOKUP($B116,'NAO DESO'!$A:$D,2,)</f>
        <v>GUINDAUTO HIDRÁULICO, CAPACIDADE MÁXIMA DE CARGA 6500 KG, MOMENTO MÁXIMO DE CARGA 5,8 TM, ALCANCE MÁXIMO HORIZONTAL 7,60 M, INCLUSIVE CAMINHÃO TOCO PBT 9.700 KG, POTÊNCIA DE 160 CV - CHI DIURNO. AF_08/2015</v>
      </c>
      <c r="D116" s="52" t="str">
        <f>VLOOKUP($B116,'NAO DESO'!$A:$D,3,)</f>
        <v>CHI</v>
      </c>
      <c r="E116" s="54">
        <v>1.22</v>
      </c>
      <c r="F116" s="72" t="str">
        <f>VLOOKUP($B116,'NAO DESO'!$A:$D,4,)</f>
        <v>42,02</v>
      </c>
      <c r="G116" s="57">
        <f>TRUNC(E116*F116,2)</f>
        <v>51.26</v>
      </c>
      <c r="H116" s="58" t="str">
        <f>VLOOKUP($B116,DESON!$A:$D,4,)</f>
        <v>39,87</v>
      </c>
      <c r="I116" s="62">
        <f>TRUNC(E116*H116,2)</f>
        <v>48.64</v>
      </c>
    </row>
    <row r="117" spans="1:9" ht="15.75" thickBot="1">
      <c r="A117" s="1482" t="s">
        <v>244</v>
      </c>
      <c r="B117" s="1483"/>
      <c r="C117" s="1483"/>
      <c r="D117" s="1483"/>
      <c r="E117" s="1483"/>
      <c r="F117" s="1483"/>
      <c r="G117" s="73">
        <f>SUM(G112:G116)</f>
        <v>803.38</v>
      </c>
      <c r="H117" s="81"/>
      <c r="I117" s="82">
        <f>SUM(I112:I116)</f>
        <v>790.84</v>
      </c>
    </row>
    <row r="118" spans="1:9" ht="15.75" thickBot="1"/>
    <row r="119" spans="1:9">
      <c r="A119" s="1484"/>
      <c r="B119" s="1486" t="s">
        <v>7437</v>
      </c>
      <c r="C119" s="1488" t="s">
        <v>7439</v>
      </c>
      <c r="D119" s="1486" t="s">
        <v>24</v>
      </c>
      <c r="E119" s="1486" t="s">
        <v>18</v>
      </c>
      <c r="F119" s="1480" t="s">
        <v>7015</v>
      </c>
      <c r="G119" s="1480"/>
      <c r="H119" s="1480" t="s">
        <v>7016</v>
      </c>
      <c r="I119" s="1481"/>
    </row>
    <row r="120" spans="1:9">
      <c r="A120" s="1485"/>
      <c r="B120" s="1487"/>
      <c r="C120" s="1489"/>
      <c r="D120" s="1487"/>
      <c r="E120" s="1487"/>
      <c r="F120" s="97" t="s">
        <v>19</v>
      </c>
      <c r="G120" s="97" t="s">
        <v>20</v>
      </c>
      <c r="H120" s="97" t="s">
        <v>19</v>
      </c>
      <c r="I120" s="68" t="s">
        <v>20</v>
      </c>
    </row>
    <row r="121" spans="1:9">
      <c r="A121" s="69"/>
      <c r="B121" s="70"/>
      <c r="C121" s="71"/>
      <c r="D121" s="70"/>
      <c r="E121" s="70"/>
      <c r="F121" s="70"/>
      <c r="G121" s="70"/>
      <c r="H121" s="61"/>
      <c r="I121" s="79"/>
    </row>
    <row r="122" spans="1:9">
      <c r="A122" s="55" t="s">
        <v>39</v>
      </c>
      <c r="B122" s="56" t="s">
        <v>188</v>
      </c>
      <c r="C122" s="80" t="s">
        <v>7438</v>
      </c>
      <c r="D122" s="56" t="s">
        <v>32</v>
      </c>
      <c r="E122" s="54">
        <v>1</v>
      </c>
      <c r="F122" s="57">
        <f>'MAPA COMPARATIVO'!E1272</f>
        <v>15</v>
      </c>
      <c r="G122" s="57">
        <f>TRUNC(E122*F122,2)</f>
        <v>15</v>
      </c>
      <c r="H122" s="57">
        <f>F122</f>
        <v>15</v>
      </c>
      <c r="I122" s="67">
        <f>TRUNC(E122*H122,2)</f>
        <v>15</v>
      </c>
    </row>
    <row r="123" spans="1:9" ht="25.5">
      <c r="A123" s="51" t="s">
        <v>245</v>
      </c>
      <c r="B123" s="13">
        <v>88316</v>
      </c>
      <c r="C123" s="50" t="str">
        <f>VLOOKUP($B123,'NAO DESO'!$A:$D,2,)</f>
        <v>SERVENTE COM ENCARGOS COMPLEMENTARES</v>
      </c>
      <c r="D123" s="52" t="str">
        <f>VLOOKUP($B123,'NAO DESO'!$A:$D,3,)</f>
        <v>H</v>
      </c>
      <c r="E123" s="53">
        <v>0.15</v>
      </c>
      <c r="F123" s="72" t="str">
        <f>VLOOKUP($B123,'NAO DESO'!$A:$D,4,)</f>
        <v>16,83</v>
      </c>
      <c r="G123" s="57">
        <f>TRUNC(E123*F123,2)</f>
        <v>2.52</v>
      </c>
      <c r="H123" s="58" t="str">
        <f>VLOOKUP($B123,DESON!$A:$D,4,)</f>
        <v>15,16</v>
      </c>
      <c r="I123" s="62">
        <f>TRUNC(E123*H123,2)</f>
        <v>2.27</v>
      </c>
    </row>
    <row r="124" spans="1:9" ht="25.5">
      <c r="A124" s="51" t="s">
        <v>245</v>
      </c>
      <c r="B124" s="13">
        <v>88441</v>
      </c>
      <c r="C124" s="50" t="str">
        <f>VLOOKUP($B124,'NAO DESO'!$A:$D,2,)</f>
        <v>JARDINEIRO COM ENCARGOS COMPLEMENTARES</v>
      </c>
      <c r="D124" s="52" t="str">
        <f>VLOOKUP($B124,'NAO DESO'!$A:$D,3,)</f>
        <v>H</v>
      </c>
      <c r="E124" s="53">
        <v>0.15</v>
      </c>
      <c r="F124" s="72" t="str">
        <f>VLOOKUP($B124,'NAO DESO'!$A:$D,4,)</f>
        <v>18,26</v>
      </c>
      <c r="G124" s="57">
        <f>TRUNC(E124*F124,2)</f>
        <v>2.73</v>
      </c>
      <c r="H124" s="58" t="str">
        <f>VLOOKUP($B124,DESON!$A:$D,4,)</f>
        <v>16,41</v>
      </c>
      <c r="I124" s="62">
        <f>TRUNC(E124*H124,2)</f>
        <v>2.46</v>
      </c>
    </row>
    <row r="125" spans="1:9" ht="15.75" thickBot="1">
      <c r="A125" s="1482" t="s">
        <v>244</v>
      </c>
      <c r="B125" s="1483"/>
      <c r="C125" s="1483"/>
      <c r="D125" s="1483"/>
      <c r="E125" s="1483"/>
      <c r="F125" s="1483"/>
      <c r="G125" s="73">
        <f>SUM(G122:G124)</f>
        <v>20.25</v>
      </c>
      <c r="H125" s="81"/>
      <c r="I125" s="82">
        <f>SUM(I122:I124)</f>
        <v>19.73</v>
      </c>
    </row>
    <row r="126" spans="1:9" ht="15.75" thickBot="1"/>
    <row r="127" spans="1:9">
      <c r="A127" s="1484"/>
      <c r="B127" s="1486" t="s">
        <v>7440</v>
      </c>
      <c r="C127" s="1488" t="s">
        <v>7442</v>
      </c>
      <c r="D127" s="1486" t="s">
        <v>24</v>
      </c>
      <c r="E127" s="1486" t="s">
        <v>18</v>
      </c>
      <c r="F127" s="1480" t="s">
        <v>7015</v>
      </c>
      <c r="G127" s="1480"/>
      <c r="H127" s="1480" t="s">
        <v>7016</v>
      </c>
      <c r="I127" s="1481"/>
    </row>
    <row r="128" spans="1:9">
      <c r="A128" s="1485"/>
      <c r="B128" s="1487"/>
      <c r="C128" s="1489"/>
      <c r="D128" s="1487"/>
      <c r="E128" s="1487"/>
      <c r="F128" s="97" t="s">
        <v>19</v>
      </c>
      <c r="G128" s="97" t="s">
        <v>20</v>
      </c>
      <c r="H128" s="97" t="s">
        <v>19</v>
      </c>
      <c r="I128" s="68" t="s">
        <v>20</v>
      </c>
    </row>
    <row r="129" spans="1:9">
      <c r="A129" s="69"/>
      <c r="B129" s="70"/>
      <c r="C129" s="71"/>
      <c r="D129" s="70"/>
      <c r="E129" s="70"/>
      <c r="F129" s="70"/>
      <c r="G129" s="70"/>
      <c r="H129" s="61"/>
      <c r="I129" s="79"/>
    </row>
    <row r="130" spans="1:9">
      <c r="A130" s="55" t="s">
        <v>39</v>
      </c>
      <c r="B130" s="56" t="s">
        <v>188</v>
      </c>
      <c r="C130" s="80" t="s">
        <v>7441</v>
      </c>
      <c r="D130" s="56" t="s">
        <v>32</v>
      </c>
      <c r="E130" s="54">
        <v>1</v>
      </c>
      <c r="F130" s="57">
        <f>'MAPA COMPARATIVO'!E1279</f>
        <v>3900</v>
      </c>
      <c r="G130" s="57">
        <f>TRUNC(E130*F130,2)</f>
        <v>3900</v>
      </c>
      <c r="H130" s="57">
        <f>F130</f>
        <v>3900</v>
      </c>
      <c r="I130" s="67">
        <f>TRUNC(E130*H130,2)</f>
        <v>3900</v>
      </c>
    </row>
    <row r="131" spans="1:9" ht="25.5">
      <c r="A131" s="51" t="s">
        <v>245</v>
      </c>
      <c r="B131" s="13">
        <v>88316</v>
      </c>
      <c r="C131" s="50" t="str">
        <f>VLOOKUP($B131,'NAO DESO'!$A:$D,2,)</f>
        <v>SERVENTE COM ENCARGOS COMPLEMENTARES</v>
      </c>
      <c r="D131" s="52" t="str">
        <f>VLOOKUP($B131,'NAO DESO'!$A:$D,3,)</f>
        <v>H</v>
      </c>
      <c r="E131" s="54">
        <v>4.3600000000000003</v>
      </c>
      <c r="F131" s="72" t="str">
        <f>VLOOKUP($B131,'NAO DESO'!$A:$D,4,)</f>
        <v>16,83</v>
      </c>
      <c r="G131" s="57">
        <f>TRUNC(E131*F131,2)</f>
        <v>73.37</v>
      </c>
      <c r="H131" s="58" t="str">
        <f>VLOOKUP($B131,DESON!$A:$D,4,)</f>
        <v>15,16</v>
      </c>
      <c r="I131" s="62">
        <f>TRUNC(E131*H131,2)</f>
        <v>66.09</v>
      </c>
    </row>
    <row r="132" spans="1:9" ht="25.5">
      <c r="A132" s="51" t="s">
        <v>245</v>
      </c>
      <c r="B132" s="13">
        <v>88441</v>
      </c>
      <c r="C132" s="50" t="str">
        <f>VLOOKUP($B132,'NAO DESO'!$A:$D,2,)</f>
        <v>JARDINEIRO COM ENCARGOS COMPLEMENTARES</v>
      </c>
      <c r="D132" s="52" t="str">
        <f>VLOOKUP($B132,'NAO DESO'!$A:$D,3,)</f>
        <v>H</v>
      </c>
      <c r="E132" s="54">
        <v>1.0900000000000001</v>
      </c>
      <c r="F132" s="72" t="str">
        <f>VLOOKUP($B132,'NAO DESO'!$A:$D,4,)</f>
        <v>18,26</v>
      </c>
      <c r="G132" s="57">
        <f>TRUNC(E132*F132,2)</f>
        <v>19.899999999999999</v>
      </c>
      <c r="H132" s="58" t="str">
        <f>VLOOKUP($B132,DESON!$A:$D,4,)</f>
        <v>16,41</v>
      </c>
      <c r="I132" s="62">
        <f>TRUNC(E132*H132,2)</f>
        <v>17.88</v>
      </c>
    </row>
    <row r="133" spans="1:9" ht="76.5">
      <c r="A133" s="51" t="s">
        <v>245</v>
      </c>
      <c r="B133" s="13">
        <v>91634</v>
      </c>
      <c r="C133" s="50" t="str">
        <f>VLOOKUP($B133,'NAO DESO'!$A:$D,2,)</f>
        <v>GUINDAUTO HIDRÁULICO, CAPACIDADE MÁXIMA DE CARGA 6500 KG, MOMENTO MÁXIMO DE CARGA 5,8 TM, ALCANCE MÁXIMO HORIZONTAL 7,60 M, INCLUSIVE CAMINHÃO TOCO PBT 9.700 KG, POTÊNCIA DE 160 CV - CHP DIURNO. AF_08/2015</v>
      </c>
      <c r="D133" s="52" t="str">
        <f>VLOOKUP($B133,'NAO DESO'!$A:$D,3,)</f>
        <v>CHP</v>
      </c>
      <c r="E133" s="54">
        <v>0.28999999999999998</v>
      </c>
      <c r="F133" s="72" t="str">
        <f>VLOOKUP($B133,'NAO DESO'!$A:$D,4,)</f>
        <v>202,95</v>
      </c>
      <c r="G133" s="57">
        <f>TRUNC(E133*F133,2)</f>
        <v>58.85</v>
      </c>
      <c r="H133" s="58" t="str">
        <f>VLOOKUP($B133,DESON!$A:$D,4,)</f>
        <v>200,80</v>
      </c>
      <c r="I133" s="62">
        <f>TRUNC(E133*H133,2)</f>
        <v>58.23</v>
      </c>
    </row>
    <row r="134" spans="1:9" ht="76.5">
      <c r="A134" s="51" t="s">
        <v>245</v>
      </c>
      <c r="B134" s="13">
        <v>91635</v>
      </c>
      <c r="C134" s="50" t="str">
        <f>VLOOKUP($B134,'NAO DESO'!$A:$D,2,)</f>
        <v>GUINDAUTO HIDRÁULICO, CAPACIDADE MÁXIMA DE CARGA 6500 KG, MOMENTO MÁXIMO DE CARGA 5,8 TM, ALCANCE MÁXIMO HORIZONTAL 7,60 M, INCLUSIVE CAMINHÃO TOCO PBT 9.700 KG, POTÊNCIA DE 160 CV - CHI DIURNO. AF_08/2015</v>
      </c>
      <c r="D134" s="52" t="str">
        <f>VLOOKUP($B134,'NAO DESO'!$A:$D,3,)</f>
        <v>CHI</v>
      </c>
      <c r="E134" s="54">
        <v>1.22</v>
      </c>
      <c r="F134" s="72" t="str">
        <f>VLOOKUP($B134,'NAO DESO'!$A:$D,4,)</f>
        <v>42,02</v>
      </c>
      <c r="G134" s="57">
        <f>TRUNC(E134*F134,2)</f>
        <v>51.26</v>
      </c>
      <c r="H134" s="58" t="str">
        <f>VLOOKUP($B134,DESON!$A:$D,4,)</f>
        <v>39,87</v>
      </c>
      <c r="I134" s="62">
        <f>TRUNC(E134*H134,2)</f>
        <v>48.64</v>
      </c>
    </row>
    <row r="135" spans="1:9" ht="15.75" thickBot="1">
      <c r="A135" s="1482" t="s">
        <v>244</v>
      </c>
      <c r="B135" s="1483"/>
      <c r="C135" s="1483"/>
      <c r="D135" s="1483"/>
      <c r="E135" s="1483"/>
      <c r="F135" s="1483"/>
      <c r="G135" s="73">
        <f>SUM(G130:G134)</f>
        <v>4103.38</v>
      </c>
      <c r="H135" s="81"/>
      <c r="I135" s="82">
        <f>SUM(I130:I134)</f>
        <v>4090.84</v>
      </c>
    </row>
    <row r="136" spans="1:9" ht="15.75" thickBot="1"/>
    <row r="137" spans="1:9">
      <c r="A137" s="1484"/>
      <c r="B137" s="1486" t="s">
        <v>7443</v>
      </c>
      <c r="C137" s="1488" t="s">
        <v>7445</v>
      </c>
      <c r="D137" s="1486" t="s">
        <v>24</v>
      </c>
      <c r="E137" s="1486" t="s">
        <v>18</v>
      </c>
      <c r="F137" s="1480" t="s">
        <v>7015</v>
      </c>
      <c r="G137" s="1480"/>
      <c r="H137" s="1480" t="s">
        <v>7016</v>
      </c>
      <c r="I137" s="1481"/>
    </row>
    <row r="138" spans="1:9">
      <c r="A138" s="1485"/>
      <c r="B138" s="1487"/>
      <c r="C138" s="1489"/>
      <c r="D138" s="1487"/>
      <c r="E138" s="1487"/>
      <c r="F138" s="97" t="s">
        <v>19</v>
      </c>
      <c r="G138" s="97" t="s">
        <v>20</v>
      </c>
      <c r="H138" s="97" t="s">
        <v>19</v>
      </c>
      <c r="I138" s="68" t="s">
        <v>20</v>
      </c>
    </row>
    <row r="139" spans="1:9">
      <c r="A139" s="69"/>
      <c r="B139" s="70"/>
      <c r="C139" s="71"/>
      <c r="D139" s="70"/>
      <c r="E139" s="70"/>
      <c r="F139" s="70"/>
      <c r="G139" s="70"/>
      <c r="H139" s="61"/>
      <c r="I139" s="79"/>
    </row>
    <row r="140" spans="1:9">
      <c r="A140" s="55" t="s">
        <v>39</v>
      </c>
      <c r="B140" s="56" t="s">
        <v>188</v>
      </c>
      <c r="C140" s="100" t="s">
        <v>7444</v>
      </c>
      <c r="D140" s="56" t="s">
        <v>32</v>
      </c>
      <c r="E140" s="54">
        <v>1</v>
      </c>
      <c r="F140" s="57">
        <f>'MAPA COMPARATIVO'!E1286</f>
        <v>10</v>
      </c>
      <c r="G140" s="57">
        <f>TRUNC(E140*F140,2)</f>
        <v>10</v>
      </c>
      <c r="H140" s="57">
        <f>F140</f>
        <v>10</v>
      </c>
      <c r="I140" s="67">
        <f>TRUNC(E140*H140,2)</f>
        <v>10</v>
      </c>
    </row>
    <row r="141" spans="1:9" ht="25.5">
      <c r="A141" s="51" t="s">
        <v>245</v>
      </c>
      <c r="B141" s="13">
        <v>88316</v>
      </c>
      <c r="C141" s="50" t="str">
        <f>VLOOKUP($B141,'NAO DESO'!$A:$D,2,)</f>
        <v>SERVENTE COM ENCARGOS COMPLEMENTARES</v>
      </c>
      <c r="D141" s="52" t="str">
        <f>VLOOKUP($B141,'NAO DESO'!$A:$D,3,)</f>
        <v>H</v>
      </c>
      <c r="E141" s="53">
        <v>0.15</v>
      </c>
      <c r="F141" s="72" t="str">
        <f>VLOOKUP($B141,'NAO DESO'!$A:$D,4,)</f>
        <v>16,83</v>
      </c>
      <c r="G141" s="57">
        <f>TRUNC(E141*F141,2)</f>
        <v>2.52</v>
      </c>
      <c r="H141" s="58" t="str">
        <f>VLOOKUP($B141,DESON!$A:$D,4,)</f>
        <v>15,16</v>
      </c>
      <c r="I141" s="62">
        <f>TRUNC(E141*H141,2)</f>
        <v>2.27</v>
      </c>
    </row>
    <row r="142" spans="1:9" ht="25.5">
      <c r="A142" s="51" t="s">
        <v>245</v>
      </c>
      <c r="B142" s="13">
        <v>88441</v>
      </c>
      <c r="C142" s="50" t="str">
        <f>VLOOKUP($B142,'NAO DESO'!$A:$D,2,)</f>
        <v>JARDINEIRO COM ENCARGOS COMPLEMENTARES</v>
      </c>
      <c r="D142" s="52" t="str">
        <f>VLOOKUP($B142,'NAO DESO'!$A:$D,3,)</f>
        <v>H</v>
      </c>
      <c r="E142" s="53">
        <v>0.15</v>
      </c>
      <c r="F142" s="72" t="str">
        <f>VLOOKUP($B142,'NAO DESO'!$A:$D,4,)</f>
        <v>18,26</v>
      </c>
      <c r="G142" s="57">
        <f>TRUNC(E142*F142,2)</f>
        <v>2.73</v>
      </c>
      <c r="H142" s="58" t="str">
        <f>VLOOKUP($B142,DESON!$A:$D,4,)</f>
        <v>16,41</v>
      </c>
      <c r="I142" s="62">
        <f>TRUNC(E142*H142,2)</f>
        <v>2.46</v>
      </c>
    </row>
    <row r="143" spans="1:9" ht="15.75" thickBot="1">
      <c r="A143" s="1482" t="s">
        <v>244</v>
      </c>
      <c r="B143" s="1483"/>
      <c r="C143" s="1483"/>
      <c r="D143" s="1483"/>
      <c r="E143" s="1483"/>
      <c r="F143" s="1483"/>
      <c r="G143" s="73">
        <f>SUM(G140:G142)</f>
        <v>15.25</v>
      </c>
      <c r="H143" s="81"/>
      <c r="I143" s="82">
        <f>SUM(I140:I142)</f>
        <v>14.73</v>
      </c>
    </row>
    <row r="144" spans="1:9" ht="15.75" thickBot="1"/>
    <row r="145" spans="1:9">
      <c r="A145" s="1484"/>
      <c r="B145" s="1486" t="s">
        <v>7446</v>
      </c>
      <c r="C145" s="1488" t="s">
        <v>7484</v>
      </c>
      <c r="D145" s="1486" t="s">
        <v>24</v>
      </c>
      <c r="E145" s="1486" t="s">
        <v>18</v>
      </c>
      <c r="F145" s="1480" t="s">
        <v>7015</v>
      </c>
      <c r="G145" s="1480"/>
      <c r="H145" s="1480" t="s">
        <v>7016</v>
      </c>
      <c r="I145" s="1481"/>
    </row>
    <row r="146" spans="1:9">
      <c r="A146" s="1485"/>
      <c r="B146" s="1487"/>
      <c r="C146" s="1489"/>
      <c r="D146" s="1487"/>
      <c r="E146" s="1487"/>
      <c r="F146" s="97" t="s">
        <v>19</v>
      </c>
      <c r="G146" s="97" t="s">
        <v>20</v>
      </c>
      <c r="H146" s="97" t="s">
        <v>19</v>
      </c>
      <c r="I146" s="68" t="s">
        <v>20</v>
      </c>
    </row>
    <row r="147" spans="1:9">
      <c r="A147" s="69"/>
      <c r="B147" s="70"/>
      <c r="C147" s="71"/>
      <c r="D147" s="70"/>
      <c r="E147" s="70"/>
      <c r="F147" s="70"/>
      <c r="G147" s="70"/>
      <c r="H147" s="61"/>
      <c r="I147" s="79"/>
    </row>
    <row r="148" spans="1:9">
      <c r="A148" s="55" t="s">
        <v>39</v>
      </c>
      <c r="B148" s="56" t="s">
        <v>188</v>
      </c>
      <c r="C148" s="101" t="s">
        <v>7447</v>
      </c>
      <c r="D148" s="56" t="s">
        <v>32</v>
      </c>
      <c r="E148" s="54">
        <v>1</v>
      </c>
      <c r="F148" s="57">
        <f>'MAPA COMPARATIVO'!E1293</f>
        <v>150</v>
      </c>
      <c r="G148" s="57">
        <f>TRUNC(E148*F148,2)</f>
        <v>150</v>
      </c>
      <c r="H148" s="57">
        <f>F148</f>
        <v>150</v>
      </c>
      <c r="I148" s="67">
        <f>TRUNC(E148*H148,2)</f>
        <v>150</v>
      </c>
    </row>
    <row r="149" spans="1:9" ht="25.5">
      <c r="A149" s="51" t="s">
        <v>245</v>
      </c>
      <c r="B149" s="13">
        <v>88316</v>
      </c>
      <c r="C149" s="50" t="str">
        <f>VLOOKUP($B149,'NAO DESO'!$A:$D,2,)</f>
        <v>SERVENTE COM ENCARGOS COMPLEMENTARES</v>
      </c>
      <c r="D149" s="52" t="str">
        <f>VLOOKUP($B149,'NAO DESO'!$A:$D,3,)</f>
        <v>H</v>
      </c>
      <c r="E149" s="53">
        <v>0.15</v>
      </c>
      <c r="F149" s="72" t="str">
        <f>VLOOKUP($B149,'NAO DESO'!$A:$D,4,)</f>
        <v>16,83</v>
      </c>
      <c r="G149" s="57">
        <f>TRUNC(E149*F149,2)</f>
        <v>2.52</v>
      </c>
      <c r="H149" s="58" t="str">
        <f>VLOOKUP($B149,DESON!$A:$D,4,)</f>
        <v>15,16</v>
      </c>
      <c r="I149" s="62">
        <f>TRUNC(E149*H149,2)</f>
        <v>2.27</v>
      </c>
    </row>
    <row r="150" spans="1:9" ht="25.5">
      <c r="A150" s="51" t="s">
        <v>245</v>
      </c>
      <c r="B150" s="13">
        <v>88441</v>
      </c>
      <c r="C150" s="50" t="str">
        <f>VLOOKUP($B150,'NAO DESO'!$A:$D,2,)</f>
        <v>JARDINEIRO COM ENCARGOS COMPLEMENTARES</v>
      </c>
      <c r="D150" s="52" t="str">
        <f>VLOOKUP($B150,'NAO DESO'!$A:$D,3,)</f>
        <v>H</v>
      </c>
      <c r="E150" s="53">
        <v>0.15</v>
      </c>
      <c r="F150" s="72" t="str">
        <f>VLOOKUP($B150,'NAO DESO'!$A:$D,4,)</f>
        <v>18,26</v>
      </c>
      <c r="G150" s="57">
        <f>TRUNC(E150*F150,2)</f>
        <v>2.73</v>
      </c>
      <c r="H150" s="58" t="str">
        <f>VLOOKUP($B150,DESON!$A:$D,4,)</f>
        <v>16,41</v>
      </c>
      <c r="I150" s="62">
        <f>TRUNC(E150*H150,2)</f>
        <v>2.46</v>
      </c>
    </row>
    <row r="151" spans="1:9" ht="15.75" thickBot="1">
      <c r="A151" s="1482" t="s">
        <v>244</v>
      </c>
      <c r="B151" s="1483"/>
      <c r="C151" s="1483"/>
      <c r="D151" s="1483"/>
      <c r="E151" s="1483"/>
      <c r="F151" s="1483"/>
      <c r="G151" s="73">
        <f>SUM(G148:G150)</f>
        <v>155.25</v>
      </c>
      <c r="H151" s="81"/>
      <c r="I151" s="82">
        <f>SUM(I148:I150)</f>
        <v>154.73000000000002</v>
      </c>
    </row>
    <row r="152" spans="1:9" ht="15.75" thickBot="1"/>
    <row r="153" spans="1:9">
      <c r="A153" s="1484"/>
      <c r="B153" s="1486" t="s">
        <v>7448</v>
      </c>
      <c r="C153" s="1488" t="s">
        <v>7450</v>
      </c>
      <c r="D153" s="1486" t="s">
        <v>24</v>
      </c>
      <c r="E153" s="1486" t="s">
        <v>18</v>
      </c>
      <c r="F153" s="1480" t="s">
        <v>7015</v>
      </c>
      <c r="G153" s="1480"/>
      <c r="H153" s="1480" t="s">
        <v>7016</v>
      </c>
      <c r="I153" s="1481"/>
    </row>
    <row r="154" spans="1:9">
      <c r="A154" s="1485"/>
      <c r="B154" s="1487"/>
      <c r="C154" s="1489"/>
      <c r="D154" s="1487"/>
      <c r="E154" s="1487"/>
      <c r="F154" s="97" t="s">
        <v>19</v>
      </c>
      <c r="G154" s="97" t="s">
        <v>20</v>
      </c>
      <c r="H154" s="97" t="s">
        <v>19</v>
      </c>
      <c r="I154" s="68" t="s">
        <v>20</v>
      </c>
    </row>
    <row r="155" spans="1:9">
      <c r="A155" s="69"/>
      <c r="B155" s="70"/>
      <c r="C155" s="71"/>
      <c r="D155" s="70"/>
      <c r="E155" s="70"/>
      <c r="F155" s="70"/>
      <c r="G155" s="70"/>
      <c r="H155" s="61"/>
      <c r="I155" s="79"/>
    </row>
    <row r="156" spans="1:9">
      <c r="A156" s="55" t="s">
        <v>39</v>
      </c>
      <c r="B156" s="56" t="s">
        <v>188</v>
      </c>
      <c r="C156" s="102" t="s">
        <v>7449</v>
      </c>
      <c r="D156" s="56" t="s">
        <v>32</v>
      </c>
      <c r="E156" s="54">
        <v>1</v>
      </c>
      <c r="F156" s="57">
        <f>'MAPA COMPARATIVO'!E1300</f>
        <v>140</v>
      </c>
      <c r="G156" s="57">
        <f>TRUNC(E156*F156,2)</f>
        <v>140</v>
      </c>
      <c r="H156" s="57">
        <f>F156</f>
        <v>140</v>
      </c>
      <c r="I156" s="67">
        <f>TRUNC(E156*H156,2)</f>
        <v>140</v>
      </c>
    </row>
    <row r="157" spans="1:9" ht="25.5">
      <c r="A157" s="51" t="s">
        <v>245</v>
      </c>
      <c r="B157" s="13">
        <v>88316</v>
      </c>
      <c r="C157" s="50" t="str">
        <f>VLOOKUP($B157,'NAO DESO'!$A:$D,2,)</f>
        <v>SERVENTE COM ENCARGOS COMPLEMENTARES</v>
      </c>
      <c r="D157" s="52" t="str">
        <f>VLOOKUP($B157,'NAO DESO'!$A:$D,3,)</f>
        <v>H</v>
      </c>
      <c r="E157" s="53">
        <v>0.15</v>
      </c>
      <c r="F157" s="72" t="str">
        <f>VLOOKUP($B157,'NAO DESO'!$A:$D,4,)</f>
        <v>16,83</v>
      </c>
      <c r="G157" s="57">
        <f>TRUNC(E157*F157,2)</f>
        <v>2.52</v>
      </c>
      <c r="H157" s="58" t="str">
        <f>VLOOKUP($B157,DESON!$A:$D,4,)</f>
        <v>15,16</v>
      </c>
      <c r="I157" s="62">
        <f>TRUNC(E157*H157,2)</f>
        <v>2.27</v>
      </c>
    </row>
    <row r="158" spans="1:9" ht="25.5">
      <c r="A158" s="51" t="s">
        <v>245</v>
      </c>
      <c r="B158" s="13">
        <v>88441</v>
      </c>
      <c r="C158" s="50" t="str">
        <f>VLOOKUP($B158,'NAO DESO'!$A:$D,2,)</f>
        <v>JARDINEIRO COM ENCARGOS COMPLEMENTARES</v>
      </c>
      <c r="D158" s="52" t="str">
        <f>VLOOKUP($B158,'NAO DESO'!$A:$D,3,)</f>
        <v>H</v>
      </c>
      <c r="E158" s="53">
        <v>0.15</v>
      </c>
      <c r="F158" s="72" t="str">
        <f>VLOOKUP($B158,'NAO DESO'!$A:$D,4,)</f>
        <v>18,26</v>
      </c>
      <c r="G158" s="57">
        <f>TRUNC(E158*F158,2)</f>
        <v>2.73</v>
      </c>
      <c r="H158" s="58" t="str">
        <f>VLOOKUP($B158,DESON!$A:$D,4,)</f>
        <v>16,41</v>
      </c>
      <c r="I158" s="62">
        <f>TRUNC(E158*H158,2)</f>
        <v>2.46</v>
      </c>
    </row>
    <row r="159" spans="1:9" ht="15.75" thickBot="1">
      <c r="A159" s="1482" t="s">
        <v>244</v>
      </c>
      <c r="B159" s="1483"/>
      <c r="C159" s="1483"/>
      <c r="D159" s="1483"/>
      <c r="E159" s="1483"/>
      <c r="F159" s="1483"/>
      <c r="G159" s="73">
        <f>SUM(G156:G158)</f>
        <v>145.25</v>
      </c>
      <c r="H159" s="81"/>
      <c r="I159" s="82">
        <f>SUM(I156:I158)</f>
        <v>144.73000000000002</v>
      </c>
    </row>
    <row r="160" spans="1:9" ht="15.75" thickBot="1"/>
    <row r="161" spans="1:9">
      <c r="A161" s="1484"/>
      <c r="B161" s="1486" t="s">
        <v>7451</v>
      </c>
      <c r="C161" s="1488" t="s">
        <v>7453</v>
      </c>
      <c r="D161" s="1486" t="s">
        <v>24</v>
      </c>
      <c r="E161" s="1486" t="s">
        <v>18</v>
      </c>
      <c r="F161" s="1480" t="s">
        <v>7015</v>
      </c>
      <c r="G161" s="1480"/>
      <c r="H161" s="1480" t="s">
        <v>7016</v>
      </c>
      <c r="I161" s="1481"/>
    </row>
    <row r="162" spans="1:9">
      <c r="A162" s="1485"/>
      <c r="B162" s="1487"/>
      <c r="C162" s="1489"/>
      <c r="D162" s="1487"/>
      <c r="E162" s="1487"/>
      <c r="F162" s="97" t="s">
        <v>19</v>
      </c>
      <c r="G162" s="97" t="s">
        <v>20</v>
      </c>
      <c r="H162" s="97" t="s">
        <v>19</v>
      </c>
      <c r="I162" s="68" t="s">
        <v>20</v>
      </c>
    </row>
    <row r="163" spans="1:9">
      <c r="A163" s="69"/>
      <c r="B163" s="70"/>
      <c r="C163" s="71"/>
      <c r="D163" s="70"/>
      <c r="E163" s="70"/>
      <c r="F163" s="70"/>
      <c r="G163" s="70"/>
      <c r="H163" s="61"/>
      <c r="I163" s="79"/>
    </row>
    <row r="164" spans="1:9">
      <c r="A164" s="55" t="s">
        <v>39</v>
      </c>
      <c r="B164" s="56" t="s">
        <v>188</v>
      </c>
      <c r="C164" s="101" t="s">
        <v>7452</v>
      </c>
      <c r="D164" s="56" t="s">
        <v>32</v>
      </c>
      <c r="E164" s="54">
        <v>1</v>
      </c>
      <c r="F164" s="57">
        <f>'MAPA COMPARATIVO'!E1307</f>
        <v>160</v>
      </c>
      <c r="G164" s="57">
        <f>TRUNC(E164*F164,2)</f>
        <v>160</v>
      </c>
      <c r="H164" s="57">
        <f>F164</f>
        <v>160</v>
      </c>
      <c r="I164" s="67">
        <f>TRUNC(E164*H164,2)</f>
        <v>160</v>
      </c>
    </row>
    <row r="165" spans="1:9" ht="25.5">
      <c r="A165" s="51" t="s">
        <v>245</v>
      </c>
      <c r="B165" s="13">
        <v>88316</v>
      </c>
      <c r="C165" s="50" t="str">
        <f>VLOOKUP($B165,'NAO DESO'!$A:$D,2,)</f>
        <v>SERVENTE COM ENCARGOS COMPLEMENTARES</v>
      </c>
      <c r="D165" s="52" t="str">
        <f>VLOOKUP($B165,'NAO DESO'!$A:$D,3,)</f>
        <v>H</v>
      </c>
      <c r="E165" s="53">
        <v>0.15</v>
      </c>
      <c r="F165" s="72" t="str">
        <f>VLOOKUP($B165,'NAO DESO'!$A:$D,4,)</f>
        <v>16,83</v>
      </c>
      <c r="G165" s="57">
        <f>TRUNC(E165*F165,2)</f>
        <v>2.52</v>
      </c>
      <c r="H165" s="58" t="str">
        <f>VLOOKUP($B165,DESON!$A:$D,4,)</f>
        <v>15,16</v>
      </c>
      <c r="I165" s="62">
        <f>TRUNC(E165*H165,2)</f>
        <v>2.27</v>
      </c>
    </row>
    <row r="166" spans="1:9" ht="25.5">
      <c r="A166" s="51" t="s">
        <v>245</v>
      </c>
      <c r="B166" s="13">
        <v>88441</v>
      </c>
      <c r="C166" s="50" t="str">
        <f>VLOOKUP($B166,'NAO DESO'!$A:$D,2,)</f>
        <v>JARDINEIRO COM ENCARGOS COMPLEMENTARES</v>
      </c>
      <c r="D166" s="52" t="str">
        <f>VLOOKUP($B166,'NAO DESO'!$A:$D,3,)</f>
        <v>H</v>
      </c>
      <c r="E166" s="53">
        <v>0.15</v>
      </c>
      <c r="F166" s="72" t="str">
        <f>VLOOKUP($B166,'NAO DESO'!$A:$D,4,)</f>
        <v>18,26</v>
      </c>
      <c r="G166" s="57">
        <f>TRUNC(E166*F166,2)</f>
        <v>2.73</v>
      </c>
      <c r="H166" s="58" t="str">
        <f>VLOOKUP($B166,DESON!$A:$D,4,)</f>
        <v>16,41</v>
      </c>
      <c r="I166" s="62">
        <f>TRUNC(E166*H166,2)</f>
        <v>2.46</v>
      </c>
    </row>
    <row r="167" spans="1:9" ht="15.75" thickBot="1">
      <c r="A167" s="1482" t="s">
        <v>244</v>
      </c>
      <c r="B167" s="1483"/>
      <c r="C167" s="1483"/>
      <c r="D167" s="1483"/>
      <c r="E167" s="1483"/>
      <c r="F167" s="1483"/>
      <c r="G167" s="73">
        <f>SUM(G164:G166)</f>
        <v>165.25</v>
      </c>
      <c r="H167" s="81"/>
      <c r="I167" s="82">
        <f>SUM(I164:I166)</f>
        <v>164.73000000000002</v>
      </c>
    </row>
    <row r="168" spans="1:9" ht="15.75" thickBot="1"/>
    <row r="169" spans="1:9">
      <c r="A169" s="1484"/>
      <c r="B169" s="1486" t="s">
        <v>7454</v>
      </c>
      <c r="C169" s="1488" t="s">
        <v>7456</v>
      </c>
      <c r="D169" s="1486" t="s">
        <v>24</v>
      </c>
      <c r="E169" s="1486" t="s">
        <v>18</v>
      </c>
      <c r="F169" s="1480" t="s">
        <v>7015</v>
      </c>
      <c r="G169" s="1480"/>
      <c r="H169" s="1480" t="s">
        <v>7016</v>
      </c>
      <c r="I169" s="1481"/>
    </row>
    <row r="170" spans="1:9">
      <c r="A170" s="1485"/>
      <c r="B170" s="1487"/>
      <c r="C170" s="1489"/>
      <c r="D170" s="1487"/>
      <c r="E170" s="1487"/>
      <c r="F170" s="97" t="s">
        <v>19</v>
      </c>
      <c r="G170" s="97" t="s">
        <v>20</v>
      </c>
      <c r="H170" s="97" t="s">
        <v>19</v>
      </c>
      <c r="I170" s="68" t="s">
        <v>20</v>
      </c>
    </row>
    <row r="171" spans="1:9">
      <c r="A171" s="69"/>
      <c r="B171" s="70"/>
      <c r="C171" s="71"/>
      <c r="D171" s="70"/>
      <c r="E171" s="70"/>
      <c r="F171" s="70"/>
      <c r="G171" s="70"/>
      <c r="H171" s="61"/>
      <c r="I171" s="79"/>
    </row>
    <row r="172" spans="1:9">
      <c r="A172" s="55" t="s">
        <v>39</v>
      </c>
      <c r="B172" s="56" t="s">
        <v>188</v>
      </c>
      <c r="C172" s="101" t="s">
        <v>7455</v>
      </c>
      <c r="D172" s="56" t="s">
        <v>32</v>
      </c>
      <c r="E172" s="54">
        <v>1</v>
      </c>
      <c r="F172" s="57">
        <f>'MAPA COMPARATIVO'!E1314</f>
        <v>35</v>
      </c>
      <c r="G172" s="57">
        <f>TRUNC(E172*F172,2)</f>
        <v>35</v>
      </c>
      <c r="H172" s="57">
        <f>F172</f>
        <v>35</v>
      </c>
      <c r="I172" s="67">
        <f>TRUNC(E172*H172,2)</f>
        <v>35</v>
      </c>
    </row>
    <row r="173" spans="1:9" ht="25.5">
      <c r="A173" s="51" t="s">
        <v>245</v>
      </c>
      <c r="B173" s="13">
        <v>88316</v>
      </c>
      <c r="C173" s="50" t="str">
        <f>VLOOKUP($B173,'NAO DESO'!$A:$D,2,)</f>
        <v>SERVENTE COM ENCARGOS COMPLEMENTARES</v>
      </c>
      <c r="D173" s="52" t="str">
        <f>VLOOKUP($B173,'NAO DESO'!$A:$D,3,)</f>
        <v>H</v>
      </c>
      <c r="E173" s="53">
        <v>0.15</v>
      </c>
      <c r="F173" s="72" t="str">
        <f>VLOOKUP($B173,'NAO DESO'!$A:$D,4,)</f>
        <v>16,83</v>
      </c>
      <c r="G173" s="57">
        <f>TRUNC(E173*F173,2)</f>
        <v>2.52</v>
      </c>
      <c r="H173" s="58" t="str">
        <f>VLOOKUP($B173,DESON!$A:$D,4,)</f>
        <v>15,16</v>
      </c>
      <c r="I173" s="62">
        <f>TRUNC(E173*H173,2)</f>
        <v>2.27</v>
      </c>
    </row>
    <row r="174" spans="1:9" ht="25.5">
      <c r="A174" s="51" t="s">
        <v>245</v>
      </c>
      <c r="B174" s="13">
        <v>88441</v>
      </c>
      <c r="C174" s="50" t="str">
        <f>VLOOKUP($B174,'NAO DESO'!$A:$D,2,)</f>
        <v>JARDINEIRO COM ENCARGOS COMPLEMENTARES</v>
      </c>
      <c r="D174" s="52" t="str">
        <f>VLOOKUP($B174,'NAO DESO'!$A:$D,3,)</f>
        <v>H</v>
      </c>
      <c r="E174" s="53">
        <v>0.15</v>
      </c>
      <c r="F174" s="72" t="str">
        <f>VLOOKUP($B174,'NAO DESO'!$A:$D,4,)</f>
        <v>18,26</v>
      </c>
      <c r="G174" s="57">
        <f>TRUNC(E174*F174,2)</f>
        <v>2.73</v>
      </c>
      <c r="H174" s="58" t="str">
        <f>VLOOKUP($B174,DESON!$A:$D,4,)</f>
        <v>16,41</v>
      </c>
      <c r="I174" s="62">
        <f>TRUNC(E174*H174,2)</f>
        <v>2.46</v>
      </c>
    </row>
    <row r="175" spans="1:9" ht="15.75" thickBot="1">
      <c r="A175" s="1482" t="s">
        <v>244</v>
      </c>
      <c r="B175" s="1483"/>
      <c r="C175" s="1483"/>
      <c r="D175" s="1483"/>
      <c r="E175" s="1483"/>
      <c r="F175" s="1483"/>
      <c r="G175" s="73">
        <f>SUM(G172:G174)</f>
        <v>40.25</v>
      </c>
      <c r="H175" s="81"/>
      <c r="I175" s="82">
        <f>SUM(I172:I174)</f>
        <v>39.730000000000004</v>
      </c>
    </row>
    <row r="176" spans="1:9" ht="15.75" thickBot="1"/>
    <row r="177" spans="1:9">
      <c r="A177" s="1484"/>
      <c r="B177" s="1486" t="s">
        <v>7457</v>
      </c>
      <c r="C177" s="1488" t="s">
        <v>7459</v>
      </c>
      <c r="D177" s="1486" t="s">
        <v>24</v>
      </c>
      <c r="E177" s="1486" t="s">
        <v>18</v>
      </c>
      <c r="F177" s="1480" t="s">
        <v>7015</v>
      </c>
      <c r="G177" s="1480"/>
      <c r="H177" s="1480" t="s">
        <v>7016</v>
      </c>
      <c r="I177" s="1481"/>
    </row>
    <row r="178" spans="1:9">
      <c r="A178" s="1485"/>
      <c r="B178" s="1487"/>
      <c r="C178" s="1489"/>
      <c r="D178" s="1487"/>
      <c r="E178" s="1487"/>
      <c r="F178" s="97" t="s">
        <v>19</v>
      </c>
      <c r="G178" s="97" t="s">
        <v>20</v>
      </c>
      <c r="H178" s="97" t="s">
        <v>19</v>
      </c>
      <c r="I178" s="68" t="s">
        <v>20</v>
      </c>
    </row>
    <row r="179" spans="1:9">
      <c r="A179" s="69"/>
      <c r="B179" s="70"/>
      <c r="C179" s="71"/>
      <c r="D179" s="70"/>
      <c r="E179" s="70"/>
      <c r="F179" s="70"/>
      <c r="G179" s="70"/>
      <c r="H179" s="61"/>
      <c r="I179" s="79"/>
    </row>
    <row r="180" spans="1:9">
      <c r="A180" s="55" t="s">
        <v>39</v>
      </c>
      <c r="B180" s="56" t="s">
        <v>188</v>
      </c>
      <c r="C180" s="101" t="s">
        <v>7458</v>
      </c>
      <c r="D180" s="56" t="s">
        <v>32</v>
      </c>
      <c r="E180" s="54">
        <v>1</v>
      </c>
      <c r="F180" s="57">
        <f>'MAPA COMPARATIVO'!E1321</f>
        <v>45</v>
      </c>
      <c r="G180" s="57">
        <f>TRUNC(E180*F180,2)</f>
        <v>45</v>
      </c>
      <c r="H180" s="57">
        <f>F180</f>
        <v>45</v>
      </c>
      <c r="I180" s="67">
        <f>TRUNC(E180*H180,2)</f>
        <v>45</v>
      </c>
    </row>
    <row r="181" spans="1:9" ht="25.5">
      <c r="A181" s="51" t="s">
        <v>245</v>
      </c>
      <c r="B181" s="13">
        <v>88316</v>
      </c>
      <c r="C181" s="50" t="str">
        <f>VLOOKUP($B181,'NAO DESO'!$A:$D,2,)</f>
        <v>SERVENTE COM ENCARGOS COMPLEMENTARES</v>
      </c>
      <c r="D181" s="52" t="str">
        <f>VLOOKUP($B181,'NAO DESO'!$A:$D,3,)</f>
        <v>H</v>
      </c>
      <c r="E181" s="53">
        <v>0.15</v>
      </c>
      <c r="F181" s="72" t="str">
        <f>VLOOKUP($B181,'NAO DESO'!$A:$D,4,)</f>
        <v>16,83</v>
      </c>
      <c r="G181" s="57">
        <f>TRUNC(E181*F181,2)</f>
        <v>2.52</v>
      </c>
      <c r="H181" s="58" t="str">
        <f>VLOOKUP($B181,DESON!$A:$D,4,)</f>
        <v>15,16</v>
      </c>
      <c r="I181" s="62">
        <f>TRUNC(E181*H181,2)</f>
        <v>2.27</v>
      </c>
    </row>
    <row r="182" spans="1:9" ht="25.5">
      <c r="A182" s="51" t="s">
        <v>245</v>
      </c>
      <c r="B182" s="13">
        <v>88441</v>
      </c>
      <c r="C182" s="50" t="str">
        <f>VLOOKUP($B182,'NAO DESO'!$A:$D,2,)</f>
        <v>JARDINEIRO COM ENCARGOS COMPLEMENTARES</v>
      </c>
      <c r="D182" s="52" t="str">
        <f>VLOOKUP($B182,'NAO DESO'!$A:$D,3,)</f>
        <v>H</v>
      </c>
      <c r="E182" s="53">
        <v>0.15</v>
      </c>
      <c r="F182" s="72" t="str">
        <f>VLOOKUP($B182,'NAO DESO'!$A:$D,4,)</f>
        <v>18,26</v>
      </c>
      <c r="G182" s="57">
        <f>TRUNC(E182*F182,2)</f>
        <v>2.73</v>
      </c>
      <c r="H182" s="58" t="str">
        <f>VLOOKUP($B182,DESON!$A:$D,4,)</f>
        <v>16,41</v>
      </c>
      <c r="I182" s="62">
        <f>TRUNC(E182*H182,2)</f>
        <v>2.46</v>
      </c>
    </row>
    <row r="183" spans="1:9" ht="15.75" thickBot="1">
      <c r="A183" s="1482" t="s">
        <v>244</v>
      </c>
      <c r="B183" s="1483"/>
      <c r="C183" s="1483"/>
      <c r="D183" s="1483"/>
      <c r="E183" s="1483"/>
      <c r="F183" s="1483"/>
      <c r="G183" s="73">
        <f>SUM(G180:G182)</f>
        <v>50.25</v>
      </c>
      <c r="H183" s="81"/>
      <c r="I183" s="82">
        <f>SUM(I180:I182)</f>
        <v>49.730000000000004</v>
      </c>
    </row>
    <row r="184" spans="1:9" ht="15.75" thickBot="1"/>
    <row r="185" spans="1:9">
      <c r="A185" s="1484"/>
      <c r="B185" s="1486" t="s">
        <v>7460</v>
      </c>
      <c r="C185" s="1488" t="s">
        <v>7462</v>
      </c>
      <c r="D185" s="1486" t="s">
        <v>24</v>
      </c>
      <c r="E185" s="1486" t="s">
        <v>18</v>
      </c>
      <c r="F185" s="1480" t="s">
        <v>7015</v>
      </c>
      <c r="G185" s="1480"/>
      <c r="H185" s="1480" t="s">
        <v>7016</v>
      </c>
      <c r="I185" s="1481"/>
    </row>
    <row r="186" spans="1:9">
      <c r="A186" s="1485"/>
      <c r="B186" s="1487"/>
      <c r="C186" s="1489"/>
      <c r="D186" s="1487"/>
      <c r="E186" s="1487"/>
      <c r="F186" s="97" t="s">
        <v>19</v>
      </c>
      <c r="G186" s="97" t="s">
        <v>20</v>
      </c>
      <c r="H186" s="97" t="s">
        <v>19</v>
      </c>
      <c r="I186" s="68" t="s">
        <v>20</v>
      </c>
    </row>
    <row r="187" spans="1:9">
      <c r="A187" s="69"/>
      <c r="B187" s="70"/>
      <c r="C187" s="71"/>
      <c r="D187" s="70"/>
      <c r="E187" s="70"/>
      <c r="F187" s="70"/>
      <c r="G187" s="70"/>
      <c r="H187" s="61"/>
      <c r="I187" s="79"/>
    </row>
    <row r="188" spans="1:9">
      <c r="A188" s="55" t="s">
        <v>39</v>
      </c>
      <c r="B188" s="56" t="s">
        <v>188</v>
      </c>
      <c r="C188" s="101" t="s">
        <v>7461</v>
      </c>
      <c r="D188" s="56" t="s">
        <v>32</v>
      </c>
      <c r="E188" s="54">
        <v>1</v>
      </c>
      <c r="F188" s="57">
        <f>'MAPA COMPARATIVO'!E1328</f>
        <v>55</v>
      </c>
      <c r="G188" s="57">
        <f>TRUNC(E188*F188,2)</f>
        <v>55</v>
      </c>
      <c r="H188" s="57">
        <f>F188</f>
        <v>55</v>
      </c>
      <c r="I188" s="67">
        <f>TRUNC(E188*H188,2)</f>
        <v>55</v>
      </c>
    </row>
    <row r="189" spans="1:9" ht="25.5">
      <c r="A189" s="51" t="s">
        <v>245</v>
      </c>
      <c r="B189" s="13">
        <v>88316</v>
      </c>
      <c r="C189" s="50" t="str">
        <f>VLOOKUP($B189,'NAO DESO'!$A:$D,2,)</f>
        <v>SERVENTE COM ENCARGOS COMPLEMENTARES</v>
      </c>
      <c r="D189" s="52" t="str">
        <f>VLOOKUP($B189,'NAO DESO'!$A:$D,3,)</f>
        <v>H</v>
      </c>
      <c r="E189" s="53">
        <v>0.15</v>
      </c>
      <c r="F189" s="72" t="str">
        <f>VLOOKUP($B189,'NAO DESO'!$A:$D,4,)</f>
        <v>16,83</v>
      </c>
      <c r="G189" s="57">
        <f>TRUNC(E189*F189,2)</f>
        <v>2.52</v>
      </c>
      <c r="H189" s="58" t="str">
        <f>VLOOKUP($B189,DESON!$A:$D,4,)</f>
        <v>15,16</v>
      </c>
      <c r="I189" s="62">
        <f>TRUNC(E189*H189,2)</f>
        <v>2.27</v>
      </c>
    </row>
    <row r="190" spans="1:9" ht="25.5">
      <c r="A190" s="51" t="s">
        <v>245</v>
      </c>
      <c r="B190" s="13">
        <v>88441</v>
      </c>
      <c r="C190" s="50" t="str">
        <f>VLOOKUP($B190,'NAO DESO'!$A:$D,2,)</f>
        <v>JARDINEIRO COM ENCARGOS COMPLEMENTARES</v>
      </c>
      <c r="D190" s="52" t="str">
        <f>VLOOKUP($B190,'NAO DESO'!$A:$D,3,)</f>
        <v>H</v>
      </c>
      <c r="E190" s="53">
        <v>0.15</v>
      </c>
      <c r="F190" s="72" t="str">
        <f>VLOOKUP($B190,'NAO DESO'!$A:$D,4,)</f>
        <v>18,26</v>
      </c>
      <c r="G190" s="57">
        <f>TRUNC(E190*F190,2)</f>
        <v>2.73</v>
      </c>
      <c r="H190" s="58" t="str">
        <f>VLOOKUP($B190,DESON!$A:$D,4,)</f>
        <v>16,41</v>
      </c>
      <c r="I190" s="62">
        <f>TRUNC(E190*H190,2)</f>
        <v>2.46</v>
      </c>
    </row>
    <row r="191" spans="1:9" ht="15.75" thickBot="1">
      <c r="A191" s="1482" t="s">
        <v>244</v>
      </c>
      <c r="B191" s="1483"/>
      <c r="C191" s="1483"/>
      <c r="D191" s="1483"/>
      <c r="E191" s="1483"/>
      <c r="F191" s="1483"/>
      <c r="G191" s="73">
        <f>SUM(G188:G190)</f>
        <v>60.25</v>
      </c>
      <c r="H191" s="81"/>
      <c r="I191" s="82">
        <f>SUM(I188:I190)</f>
        <v>59.730000000000004</v>
      </c>
    </row>
    <row r="192" spans="1:9" ht="15.75" thickBot="1"/>
    <row r="193" spans="1:9">
      <c r="A193" s="1484"/>
      <c r="B193" s="1486" t="s">
        <v>7463</v>
      </c>
      <c r="C193" s="1488" t="s">
        <v>7465</v>
      </c>
      <c r="D193" s="1486" t="s">
        <v>24</v>
      </c>
      <c r="E193" s="1486" t="s">
        <v>18</v>
      </c>
      <c r="F193" s="1480" t="s">
        <v>7015</v>
      </c>
      <c r="G193" s="1480"/>
      <c r="H193" s="1480" t="s">
        <v>7016</v>
      </c>
      <c r="I193" s="1481"/>
    </row>
    <row r="194" spans="1:9">
      <c r="A194" s="1485"/>
      <c r="B194" s="1487"/>
      <c r="C194" s="1489"/>
      <c r="D194" s="1487"/>
      <c r="E194" s="1487"/>
      <c r="F194" s="97" t="s">
        <v>19</v>
      </c>
      <c r="G194" s="97" t="s">
        <v>20</v>
      </c>
      <c r="H194" s="97" t="s">
        <v>19</v>
      </c>
      <c r="I194" s="68" t="s">
        <v>20</v>
      </c>
    </row>
    <row r="195" spans="1:9">
      <c r="A195" s="69"/>
      <c r="B195" s="70"/>
      <c r="C195" s="71"/>
      <c r="D195" s="70"/>
      <c r="E195" s="70"/>
      <c r="F195" s="70"/>
      <c r="G195" s="70"/>
      <c r="H195" s="61"/>
      <c r="I195" s="79"/>
    </row>
    <row r="196" spans="1:9">
      <c r="A196" s="55" t="s">
        <v>39</v>
      </c>
      <c r="B196" s="56" t="s">
        <v>188</v>
      </c>
      <c r="C196" s="101" t="s">
        <v>7464</v>
      </c>
      <c r="D196" s="56" t="s">
        <v>32</v>
      </c>
      <c r="E196" s="54">
        <v>1</v>
      </c>
      <c r="F196" s="57">
        <f>'MAPA COMPARATIVO'!E1335</f>
        <v>30</v>
      </c>
      <c r="G196" s="57">
        <f>TRUNC(E196*F196,2)</f>
        <v>30</v>
      </c>
      <c r="H196" s="57">
        <f>F196</f>
        <v>30</v>
      </c>
      <c r="I196" s="67">
        <f>TRUNC(E196*H196,2)</f>
        <v>30</v>
      </c>
    </row>
    <row r="197" spans="1:9" ht="25.5">
      <c r="A197" s="51" t="s">
        <v>245</v>
      </c>
      <c r="B197" s="13">
        <v>88316</v>
      </c>
      <c r="C197" s="50" t="str">
        <f>VLOOKUP($B197,'NAO DESO'!$A:$D,2,)</f>
        <v>SERVENTE COM ENCARGOS COMPLEMENTARES</v>
      </c>
      <c r="D197" s="52" t="str">
        <f>VLOOKUP($B197,'NAO DESO'!$A:$D,3,)</f>
        <v>H</v>
      </c>
      <c r="E197" s="53">
        <v>0.15</v>
      </c>
      <c r="F197" s="72" t="str">
        <f>VLOOKUP($B197,'NAO DESO'!$A:$D,4,)</f>
        <v>16,83</v>
      </c>
      <c r="G197" s="57">
        <f>TRUNC(E197*F197,2)</f>
        <v>2.52</v>
      </c>
      <c r="H197" s="58" t="str">
        <f>VLOOKUP($B197,DESON!$A:$D,4,)</f>
        <v>15,16</v>
      </c>
      <c r="I197" s="62">
        <f>TRUNC(E197*H197,2)</f>
        <v>2.27</v>
      </c>
    </row>
    <row r="198" spans="1:9" ht="25.5">
      <c r="A198" s="51" t="s">
        <v>245</v>
      </c>
      <c r="B198" s="13">
        <v>88441</v>
      </c>
      <c r="C198" s="50" t="str">
        <f>VLOOKUP($B198,'NAO DESO'!$A:$D,2,)</f>
        <v>JARDINEIRO COM ENCARGOS COMPLEMENTARES</v>
      </c>
      <c r="D198" s="52" t="str">
        <f>VLOOKUP($B198,'NAO DESO'!$A:$D,3,)</f>
        <v>H</v>
      </c>
      <c r="E198" s="53">
        <v>0.15</v>
      </c>
      <c r="F198" s="72" t="str">
        <f>VLOOKUP($B198,'NAO DESO'!$A:$D,4,)</f>
        <v>18,26</v>
      </c>
      <c r="G198" s="57">
        <f>TRUNC(E198*F198,2)</f>
        <v>2.73</v>
      </c>
      <c r="H198" s="58" t="str">
        <f>VLOOKUP($B198,DESON!$A:$D,4,)</f>
        <v>16,41</v>
      </c>
      <c r="I198" s="62">
        <f>TRUNC(E198*H198,2)</f>
        <v>2.46</v>
      </c>
    </row>
    <row r="199" spans="1:9" ht="15.75" thickBot="1">
      <c r="A199" s="1482" t="s">
        <v>244</v>
      </c>
      <c r="B199" s="1483"/>
      <c r="C199" s="1483"/>
      <c r="D199" s="1483"/>
      <c r="E199" s="1483"/>
      <c r="F199" s="1483"/>
      <c r="G199" s="73">
        <f>SUM(G196:G198)</f>
        <v>35.25</v>
      </c>
      <c r="H199" s="81"/>
      <c r="I199" s="82">
        <f>SUM(I196:I198)</f>
        <v>34.730000000000004</v>
      </c>
    </row>
    <row r="200" spans="1:9" ht="15.75" thickBot="1"/>
    <row r="201" spans="1:9">
      <c r="A201" s="1484"/>
      <c r="B201" s="1486" t="s">
        <v>7466</v>
      </c>
      <c r="C201" s="1488" t="s">
        <v>7468</v>
      </c>
      <c r="D201" s="1486" t="s">
        <v>24</v>
      </c>
      <c r="E201" s="1486" t="s">
        <v>18</v>
      </c>
      <c r="F201" s="1480" t="s">
        <v>7015</v>
      </c>
      <c r="G201" s="1480"/>
      <c r="H201" s="1480" t="s">
        <v>7016</v>
      </c>
      <c r="I201" s="1481"/>
    </row>
    <row r="202" spans="1:9">
      <c r="A202" s="1485"/>
      <c r="B202" s="1487"/>
      <c r="C202" s="1489"/>
      <c r="D202" s="1487"/>
      <c r="E202" s="1487"/>
      <c r="F202" s="97" t="s">
        <v>19</v>
      </c>
      <c r="G202" s="97" t="s">
        <v>20</v>
      </c>
      <c r="H202" s="97" t="s">
        <v>19</v>
      </c>
      <c r="I202" s="68" t="s">
        <v>20</v>
      </c>
    </row>
    <row r="203" spans="1:9">
      <c r="A203" s="69"/>
      <c r="B203" s="70"/>
      <c r="C203" s="71"/>
      <c r="D203" s="70"/>
      <c r="E203" s="70"/>
      <c r="F203" s="70"/>
      <c r="G203" s="70"/>
      <c r="H203" s="61"/>
      <c r="I203" s="79"/>
    </row>
    <row r="204" spans="1:9">
      <c r="A204" s="55" t="s">
        <v>39</v>
      </c>
      <c r="B204" s="56" t="s">
        <v>188</v>
      </c>
      <c r="C204" s="101" t="s">
        <v>7467</v>
      </c>
      <c r="D204" s="56" t="s">
        <v>32</v>
      </c>
      <c r="E204" s="54">
        <v>1</v>
      </c>
      <c r="F204" s="57">
        <f>'MAPA COMPARATIVO'!E1342</f>
        <v>90</v>
      </c>
      <c r="G204" s="57">
        <f>TRUNC(E204*F204,2)</f>
        <v>90</v>
      </c>
      <c r="H204" s="57">
        <f>F204</f>
        <v>90</v>
      </c>
      <c r="I204" s="67">
        <f>TRUNC(E204*H204,2)</f>
        <v>90</v>
      </c>
    </row>
    <row r="205" spans="1:9" ht="25.5">
      <c r="A205" s="51" t="s">
        <v>245</v>
      </c>
      <c r="B205" s="13">
        <v>88316</v>
      </c>
      <c r="C205" s="50" t="str">
        <f>VLOOKUP($B205,'NAO DESO'!$A:$D,2,)</f>
        <v>SERVENTE COM ENCARGOS COMPLEMENTARES</v>
      </c>
      <c r="D205" s="52" t="str">
        <f>VLOOKUP($B205,'NAO DESO'!$A:$D,3,)</f>
        <v>H</v>
      </c>
      <c r="E205" s="53">
        <v>0.15</v>
      </c>
      <c r="F205" s="72" t="str">
        <f>VLOOKUP($B205,'NAO DESO'!$A:$D,4,)</f>
        <v>16,83</v>
      </c>
      <c r="G205" s="57">
        <f>TRUNC(E205*F205,2)</f>
        <v>2.52</v>
      </c>
      <c r="H205" s="58" t="str">
        <f>VLOOKUP($B205,DESON!$A:$D,4,)</f>
        <v>15,16</v>
      </c>
      <c r="I205" s="62">
        <f>TRUNC(E205*H205,2)</f>
        <v>2.27</v>
      </c>
    </row>
    <row r="206" spans="1:9" ht="25.5">
      <c r="A206" s="51" t="s">
        <v>245</v>
      </c>
      <c r="B206" s="13">
        <v>88441</v>
      </c>
      <c r="C206" s="50" t="str">
        <f>VLOOKUP($B206,'NAO DESO'!$A:$D,2,)</f>
        <v>JARDINEIRO COM ENCARGOS COMPLEMENTARES</v>
      </c>
      <c r="D206" s="52" t="str">
        <f>VLOOKUP($B206,'NAO DESO'!$A:$D,3,)</f>
        <v>H</v>
      </c>
      <c r="E206" s="53">
        <v>0.15</v>
      </c>
      <c r="F206" s="72" t="str">
        <f>VLOOKUP($B206,'NAO DESO'!$A:$D,4,)</f>
        <v>18,26</v>
      </c>
      <c r="G206" s="57">
        <f>TRUNC(E206*F206,2)</f>
        <v>2.73</v>
      </c>
      <c r="H206" s="58" t="str">
        <f>VLOOKUP($B206,DESON!$A:$D,4,)</f>
        <v>16,41</v>
      </c>
      <c r="I206" s="62">
        <f>TRUNC(E206*H206,2)</f>
        <v>2.46</v>
      </c>
    </row>
    <row r="207" spans="1:9" ht="15.75" thickBot="1">
      <c r="A207" s="1482" t="s">
        <v>244</v>
      </c>
      <c r="B207" s="1483"/>
      <c r="C207" s="1483"/>
      <c r="D207" s="1483"/>
      <c r="E207" s="1483"/>
      <c r="F207" s="1483"/>
      <c r="G207" s="73">
        <f>SUM(G204:G206)</f>
        <v>95.25</v>
      </c>
      <c r="H207" s="81"/>
      <c r="I207" s="82">
        <f>SUM(I204:I206)</f>
        <v>94.72999999999999</v>
      </c>
    </row>
    <row r="208" spans="1:9" ht="15.75" thickBot="1"/>
    <row r="209" spans="1:9">
      <c r="A209" s="1484"/>
      <c r="B209" s="1486" t="s">
        <v>7469</v>
      </c>
      <c r="C209" s="1488" t="s">
        <v>7471</v>
      </c>
      <c r="D209" s="1486" t="s">
        <v>24</v>
      </c>
      <c r="E209" s="1486" t="s">
        <v>18</v>
      </c>
      <c r="F209" s="1480" t="s">
        <v>7015</v>
      </c>
      <c r="G209" s="1480"/>
      <c r="H209" s="1480" t="s">
        <v>7016</v>
      </c>
      <c r="I209" s="1481"/>
    </row>
    <row r="210" spans="1:9">
      <c r="A210" s="1485"/>
      <c r="B210" s="1487"/>
      <c r="C210" s="1489"/>
      <c r="D210" s="1487"/>
      <c r="E210" s="1487"/>
      <c r="F210" s="97" t="s">
        <v>19</v>
      </c>
      <c r="G210" s="97" t="s">
        <v>20</v>
      </c>
      <c r="H210" s="97" t="s">
        <v>19</v>
      </c>
      <c r="I210" s="68" t="s">
        <v>20</v>
      </c>
    </row>
    <row r="211" spans="1:9">
      <c r="A211" s="69"/>
      <c r="B211" s="70"/>
      <c r="C211" s="71"/>
      <c r="D211" s="70"/>
      <c r="E211" s="70"/>
      <c r="F211" s="70"/>
      <c r="G211" s="70"/>
      <c r="H211" s="61"/>
      <c r="I211" s="79"/>
    </row>
    <row r="212" spans="1:9">
      <c r="A212" s="55" t="s">
        <v>39</v>
      </c>
      <c r="B212" s="56" t="s">
        <v>188</v>
      </c>
      <c r="C212" s="103" t="s">
        <v>7470</v>
      </c>
      <c r="D212" s="56" t="s">
        <v>32</v>
      </c>
      <c r="E212" s="54">
        <v>1</v>
      </c>
      <c r="F212" s="57">
        <f>'MAPA COMPARATIVO'!E1349</f>
        <v>350</v>
      </c>
      <c r="G212" s="57">
        <f>TRUNC(E212*F212,2)</f>
        <v>350</v>
      </c>
      <c r="H212" s="57">
        <f>F212</f>
        <v>350</v>
      </c>
      <c r="I212" s="67">
        <f>TRUNC(E212*H212,2)</f>
        <v>350</v>
      </c>
    </row>
    <row r="213" spans="1:9" ht="25.5">
      <c r="A213" s="51" t="s">
        <v>245</v>
      </c>
      <c r="B213" s="13">
        <v>88316</v>
      </c>
      <c r="C213" s="50" t="str">
        <f>VLOOKUP($B213,'NAO DESO'!$A:$D,2,)</f>
        <v>SERVENTE COM ENCARGOS COMPLEMENTARES</v>
      </c>
      <c r="D213" s="52" t="str">
        <f>VLOOKUP($B213,'NAO DESO'!$A:$D,3,)</f>
        <v>H</v>
      </c>
      <c r="E213" s="53">
        <v>0.15</v>
      </c>
      <c r="F213" s="72" t="str">
        <f>VLOOKUP($B213,'NAO DESO'!$A:$D,4,)</f>
        <v>16,83</v>
      </c>
      <c r="G213" s="57">
        <f>TRUNC(E213*F213,2)</f>
        <v>2.52</v>
      </c>
      <c r="H213" s="58" t="str">
        <f>VLOOKUP($B213,DESON!$A:$D,4,)</f>
        <v>15,16</v>
      </c>
      <c r="I213" s="62">
        <f>TRUNC(E213*H213,2)</f>
        <v>2.27</v>
      </c>
    </row>
    <row r="214" spans="1:9" ht="25.5">
      <c r="A214" s="51" t="s">
        <v>245</v>
      </c>
      <c r="B214" s="13">
        <v>88441</v>
      </c>
      <c r="C214" s="50" t="str">
        <f>VLOOKUP($B214,'NAO DESO'!$A:$D,2,)</f>
        <v>JARDINEIRO COM ENCARGOS COMPLEMENTARES</v>
      </c>
      <c r="D214" s="52" t="str">
        <f>VLOOKUP($B214,'NAO DESO'!$A:$D,3,)</f>
        <v>H</v>
      </c>
      <c r="E214" s="53">
        <v>0.15</v>
      </c>
      <c r="F214" s="72" t="str">
        <f>VLOOKUP($B214,'NAO DESO'!$A:$D,4,)</f>
        <v>18,26</v>
      </c>
      <c r="G214" s="57">
        <f>TRUNC(E214*F214,2)</f>
        <v>2.73</v>
      </c>
      <c r="H214" s="58" t="str">
        <f>VLOOKUP($B214,DESON!$A:$D,4,)</f>
        <v>16,41</v>
      </c>
      <c r="I214" s="62">
        <f>TRUNC(E214*H214,2)</f>
        <v>2.46</v>
      </c>
    </row>
    <row r="215" spans="1:9" ht="15.75" thickBot="1">
      <c r="A215" s="1482" t="s">
        <v>244</v>
      </c>
      <c r="B215" s="1483"/>
      <c r="C215" s="1483"/>
      <c r="D215" s="1483"/>
      <c r="E215" s="1483"/>
      <c r="F215" s="1483"/>
      <c r="G215" s="73">
        <f>SUM(G212:G214)</f>
        <v>355.25</v>
      </c>
      <c r="H215" s="81"/>
      <c r="I215" s="82">
        <f>SUM(I212:I214)</f>
        <v>354.72999999999996</v>
      </c>
    </row>
    <row r="216" spans="1:9" ht="15.75" thickBot="1"/>
    <row r="217" spans="1:9">
      <c r="A217" s="1484"/>
      <c r="B217" s="1486" t="s">
        <v>7474</v>
      </c>
      <c r="C217" s="1488" t="s">
        <v>7473</v>
      </c>
      <c r="D217" s="1486" t="s">
        <v>24</v>
      </c>
      <c r="E217" s="1486" t="s">
        <v>18</v>
      </c>
      <c r="F217" s="1480" t="s">
        <v>7015</v>
      </c>
      <c r="G217" s="1480"/>
      <c r="H217" s="1480" t="s">
        <v>7016</v>
      </c>
      <c r="I217" s="1481"/>
    </row>
    <row r="218" spans="1:9">
      <c r="A218" s="1485"/>
      <c r="B218" s="1487"/>
      <c r="C218" s="1489"/>
      <c r="D218" s="1487"/>
      <c r="E218" s="1487"/>
      <c r="F218" s="97" t="s">
        <v>19</v>
      </c>
      <c r="G218" s="97" t="s">
        <v>20</v>
      </c>
      <c r="H218" s="97" t="s">
        <v>19</v>
      </c>
      <c r="I218" s="68" t="s">
        <v>20</v>
      </c>
    </row>
    <row r="219" spans="1:9">
      <c r="A219" s="69"/>
      <c r="B219" s="70"/>
      <c r="C219" s="71"/>
      <c r="D219" s="70"/>
      <c r="E219" s="70"/>
      <c r="F219" s="70"/>
      <c r="G219" s="70"/>
      <c r="H219" s="61"/>
      <c r="I219" s="79"/>
    </row>
    <row r="220" spans="1:9">
      <c r="A220" s="55" t="s">
        <v>39</v>
      </c>
      <c r="B220" s="56" t="s">
        <v>188</v>
      </c>
      <c r="C220" s="99" t="s">
        <v>7472</v>
      </c>
      <c r="D220" s="56" t="s">
        <v>32</v>
      </c>
      <c r="E220" s="54">
        <v>1</v>
      </c>
      <c r="F220" s="57">
        <f>'MAPA COMPARATIVO'!E1356</f>
        <v>220</v>
      </c>
      <c r="G220" s="57">
        <f>TRUNC(E220*F220,2)</f>
        <v>220</v>
      </c>
      <c r="H220" s="57">
        <f>F220</f>
        <v>220</v>
      </c>
      <c r="I220" s="67">
        <f>TRUNC(E220*H220,2)</f>
        <v>220</v>
      </c>
    </row>
    <row r="221" spans="1:9" ht="25.5">
      <c r="A221" s="51" t="s">
        <v>245</v>
      </c>
      <c r="B221" s="13">
        <v>88316</v>
      </c>
      <c r="C221" s="50" t="str">
        <f>VLOOKUP($B221,'NAO DESO'!$A:$D,2,)</f>
        <v>SERVENTE COM ENCARGOS COMPLEMENTARES</v>
      </c>
      <c r="D221" s="52" t="str">
        <f>VLOOKUP($B221,'NAO DESO'!$A:$D,3,)</f>
        <v>H</v>
      </c>
      <c r="E221" s="53">
        <v>0.15</v>
      </c>
      <c r="F221" s="72" t="str">
        <f>VLOOKUP($B221,'NAO DESO'!$A:$D,4,)</f>
        <v>16,83</v>
      </c>
      <c r="G221" s="57">
        <f>TRUNC(E221*F221,2)</f>
        <v>2.52</v>
      </c>
      <c r="H221" s="58" t="str">
        <f>VLOOKUP($B221,DESON!$A:$D,4,)</f>
        <v>15,16</v>
      </c>
      <c r="I221" s="62">
        <f>TRUNC(E221*H221,2)</f>
        <v>2.27</v>
      </c>
    </row>
    <row r="222" spans="1:9" ht="25.5">
      <c r="A222" s="51" t="s">
        <v>245</v>
      </c>
      <c r="B222" s="13">
        <v>88441</v>
      </c>
      <c r="C222" s="50" t="str">
        <f>VLOOKUP($B222,'NAO DESO'!$A:$D,2,)</f>
        <v>JARDINEIRO COM ENCARGOS COMPLEMENTARES</v>
      </c>
      <c r="D222" s="52" t="str">
        <f>VLOOKUP($B222,'NAO DESO'!$A:$D,3,)</f>
        <v>H</v>
      </c>
      <c r="E222" s="53">
        <v>0.15</v>
      </c>
      <c r="F222" s="72" t="str">
        <f>VLOOKUP($B222,'NAO DESO'!$A:$D,4,)</f>
        <v>18,26</v>
      </c>
      <c r="G222" s="57">
        <f>TRUNC(E222*F222,2)</f>
        <v>2.73</v>
      </c>
      <c r="H222" s="58" t="str">
        <f>VLOOKUP($B222,DESON!$A:$D,4,)</f>
        <v>16,41</v>
      </c>
      <c r="I222" s="62">
        <f>TRUNC(E222*H222,2)</f>
        <v>2.46</v>
      </c>
    </row>
    <row r="223" spans="1:9" ht="15.75" thickBot="1">
      <c r="A223" s="1482" t="s">
        <v>244</v>
      </c>
      <c r="B223" s="1483"/>
      <c r="C223" s="1483"/>
      <c r="D223" s="1483"/>
      <c r="E223" s="1483"/>
      <c r="F223" s="1483"/>
      <c r="G223" s="73">
        <f>SUM(G220:G222)</f>
        <v>225.25</v>
      </c>
      <c r="H223" s="81"/>
      <c r="I223" s="82">
        <f>SUM(I220:I222)</f>
        <v>224.73000000000002</v>
      </c>
    </row>
    <row r="224" spans="1:9" ht="15.75" thickBot="1"/>
    <row r="225" spans="1:9">
      <c r="A225" s="1484"/>
      <c r="B225" s="1486" t="s">
        <v>7475</v>
      </c>
      <c r="C225" s="1488" t="s">
        <v>7477</v>
      </c>
      <c r="D225" s="1486" t="s">
        <v>24</v>
      </c>
      <c r="E225" s="1486" t="s">
        <v>18</v>
      </c>
      <c r="F225" s="1480" t="s">
        <v>7015</v>
      </c>
      <c r="G225" s="1480"/>
      <c r="H225" s="1480" t="s">
        <v>7016</v>
      </c>
      <c r="I225" s="1481"/>
    </row>
    <row r="226" spans="1:9">
      <c r="A226" s="1485"/>
      <c r="B226" s="1487"/>
      <c r="C226" s="1489"/>
      <c r="D226" s="1487"/>
      <c r="E226" s="1487"/>
      <c r="F226" s="97" t="s">
        <v>19</v>
      </c>
      <c r="G226" s="97" t="s">
        <v>20</v>
      </c>
      <c r="H226" s="97" t="s">
        <v>19</v>
      </c>
      <c r="I226" s="68" t="s">
        <v>20</v>
      </c>
    </row>
    <row r="227" spans="1:9">
      <c r="A227" s="69"/>
      <c r="B227" s="70"/>
      <c r="C227" s="71"/>
      <c r="D227" s="70"/>
      <c r="E227" s="70"/>
      <c r="F227" s="70"/>
      <c r="G227" s="70"/>
      <c r="H227" s="61"/>
      <c r="I227" s="79"/>
    </row>
    <row r="228" spans="1:9">
      <c r="A228" s="55" t="s">
        <v>39</v>
      </c>
      <c r="B228" s="56" t="s">
        <v>188</v>
      </c>
      <c r="C228" s="99" t="s">
        <v>7476</v>
      </c>
      <c r="D228" s="56" t="s">
        <v>32</v>
      </c>
      <c r="E228" s="54">
        <v>1</v>
      </c>
      <c r="F228" s="57">
        <f>'MAPA COMPARATIVO'!E1363</f>
        <v>85</v>
      </c>
      <c r="G228" s="57">
        <f>TRUNC(E228*F228,2)</f>
        <v>85</v>
      </c>
      <c r="H228" s="57">
        <f>F228</f>
        <v>85</v>
      </c>
      <c r="I228" s="67">
        <f>TRUNC(E228*H228,2)</f>
        <v>85</v>
      </c>
    </row>
    <row r="229" spans="1:9" ht="25.5">
      <c r="A229" s="51" t="s">
        <v>245</v>
      </c>
      <c r="B229" s="13">
        <v>88316</v>
      </c>
      <c r="C229" s="50" t="str">
        <f>VLOOKUP($B229,'NAO DESO'!$A:$D,2,)</f>
        <v>SERVENTE COM ENCARGOS COMPLEMENTARES</v>
      </c>
      <c r="D229" s="52" t="str">
        <f>VLOOKUP($B229,'NAO DESO'!$A:$D,3,)</f>
        <v>H</v>
      </c>
      <c r="E229" s="53">
        <v>0.15</v>
      </c>
      <c r="F229" s="72" t="str">
        <f>VLOOKUP($B229,'NAO DESO'!$A:$D,4,)</f>
        <v>16,83</v>
      </c>
      <c r="G229" s="57">
        <f>TRUNC(E229*F229,2)</f>
        <v>2.52</v>
      </c>
      <c r="H229" s="58" t="str">
        <f>VLOOKUP($B229,DESON!$A:$D,4,)</f>
        <v>15,16</v>
      </c>
      <c r="I229" s="62">
        <f>TRUNC(E229*H229,2)</f>
        <v>2.27</v>
      </c>
    </row>
    <row r="230" spans="1:9" ht="25.5">
      <c r="A230" s="51" t="s">
        <v>245</v>
      </c>
      <c r="B230" s="13">
        <v>88441</v>
      </c>
      <c r="C230" s="50" t="str">
        <f>VLOOKUP($B230,'NAO DESO'!$A:$D,2,)</f>
        <v>JARDINEIRO COM ENCARGOS COMPLEMENTARES</v>
      </c>
      <c r="D230" s="52" t="str">
        <f>VLOOKUP($B230,'NAO DESO'!$A:$D,3,)</f>
        <v>H</v>
      </c>
      <c r="E230" s="53">
        <v>0.15</v>
      </c>
      <c r="F230" s="72" t="str">
        <f>VLOOKUP($B230,'NAO DESO'!$A:$D,4,)</f>
        <v>18,26</v>
      </c>
      <c r="G230" s="57">
        <f>TRUNC(E230*F230,2)</f>
        <v>2.73</v>
      </c>
      <c r="H230" s="58" t="str">
        <f>VLOOKUP($B230,DESON!$A:$D,4,)</f>
        <v>16,41</v>
      </c>
      <c r="I230" s="62">
        <f>TRUNC(E230*H230,2)</f>
        <v>2.46</v>
      </c>
    </row>
    <row r="231" spans="1:9" ht="15.75" thickBot="1">
      <c r="A231" s="1482" t="s">
        <v>244</v>
      </c>
      <c r="B231" s="1483"/>
      <c r="C231" s="1483"/>
      <c r="D231" s="1483"/>
      <c r="E231" s="1483"/>
      <c r="F231" s="1483"/>
      <c r="G231" s="73">
        <f>SUM(G228:G230)</f>
        <v>90.25</v>
      </c>
      <c r="H231" s="81"/>
      <c r="I231" s="82">
        <f>SUM(I228:I230)</f>
        <v>89.72999999999999</v>
      </c>
    </row>
    <row r="232" spans="1:9" ht="15.75" thickBot="1"/>
    <row r="233" spans="1:9">
      <c r="A233" s="1484"/>
      <c r="B233" s="1486" t="s">
        <v>7478</v>
      </c>
      <c r="C233" s="1488" t="s">
        <v>7480</v>
      </c>
      <c r="D233" s="1486" t="s">
        <v>24</v>
      </c>
      <c r="E233" s="1486" t="s">
        <v>18</v>
      </c>
      <c r="F233" s="1480" t="s">
        <v>7015</v>
      </c>
      <c r="G233" s="1480"/>
      <c r="H233" s="1480" t="s">
        <v>7016</v>
      </c>
      <c r="I233" s="1481"/>
    </row>
    <row r="234" spans="1:9">
      <c r="A234" s="1485"/>
      <c r="B234" s="1487"/>
      <c r="C234" s="1489"/>
      <c r="D234" s="1487"/>
      <c r="E234" s="1487"/>
      <c r="F234" s="97" t="s">
        <v>19</v>
      </c>
      <c r="G234" s="97" t="s">
        <v>20</v>
      </c>
      <c r="H234" s="97" t="s">
        <v>19</v>
      </c>
      <c r="I234" s="68" t="s">
        <v>20</v>
      </c>
    </row>
    <row r="235" spans="1:9">
      <c r="A235" s="69"/>
      <c r="B235" s="70"/>
      <c r="C235" s="71"/>
      <c r="D235" s="70"/>
      <c r="E235" s="70"/>
      <c r="F235" s="70"/>
      <c r="G235" s="70"/>
      <c r="H235" s="61"/>
      <c r="I235" s="79"/>
    </row>
    <row r="236" spans="1:9">
      <c r="A236" s="55" t="s">
        <v>39</v>
      </c>
      <c r="B236" s="56" t="s">
        <v>188</v>
      </c>
      <c r="C236" s="99" t="s">
        <v>7479</v>
      </c>
      <c r="D236" s="56" t="s">
        <v>32</v>
      </c>
      <c r="E236" s="54">
        <v>1</v>
      </c>
      <c r="F236" s="57">
        <f>'MAPA COMPARATIVO'!E1370</f>
        <v>45</v>
      </c>
      <c r="G236" s="57">
        <f>TRUNC(E236*F236,2)</f>
        <v>45</v>
      </c>
      <c r="H236" s="57">
        <f>F236</f>
        <v>45</v>
      </c>
      <c r="I236" s="67">
        <f>TRUNC(E236*H236,2)</f>
        <v>45</v>
      </c>
    </row>
    <row r="237" spans="1:9" ht="25.5">
      <c r="A237" s="51" t="s">
        <v>245</v>
      </c>
      <c r="B237" s="13">
        <v>88316</v>
      </c>
      <c r="C237" s="50" t="str">
        <f>VLOOKUP($B237,'NAO DESO'!$A:$D,2,)</f>
        <v>SERVENTE COM ENCARGOS COMPLEMENTARES</v>
      </c>
      <c r="D237" s="52" t="str">
        <f>VLOOKUP($B237,'NAO DESO'!$A:$D,3,)</f>
        <v>H</v>
      </c>
      <c r="E237" s="53">
        <v>0.15</v>
      </c>
      <c r="F237" s="72" t="str">
        <f>VLOOKUP($B237,'NAO DESO'!$A:$D,4,)</f>
        <v>16,83</v>
      </c>
      <c r="G237" s="57">
        <f>TRUNC(E237*F237,2)</f>
        <v>2.52</v>
      </c>
      <c r="H237" s="58" t="str">
        <f>VLOOKUP($B237,DESON!$A:$D,4,)</f>
        <v>15,16</v>
      </c>
      <c r="I237" s="62">
        <f>TRUNC(E237*H237,2)</f>
        <v>2.27</v>
      </c>
    </row>
    <row r="238" spans="1:9" ht="25.5">
      <c r="A238" s="51" t="s">
        <v>245</v>
      </c>
      <c r="B238" s="13">
        <v>88441</v>
      </c>
      <c r="C238" s="50" t="str">
        <f>VLOOKUP($B238,'NAO DESO'!$A:$D,2,)</f>
        <v>JARDINEIRO COM ENCARGOS COMPLEMENTARES</v>
      </c>
      <c r="D238" s="52" t="str">
        <f>VLOOKUP($B238,'NAO DESO'!$A:$D,3,)</f>
        <v>H</v>
      </c>
      <c r="E238" s="53">
        <v>0.15</v>
      </c>
      <c r="F238" s="72" t="str">
        <f>VLOOKUP($B238,'NAO DESO'!$A:$D,4,)</f>
        <v>18,26</v>
      </c>
      <c r="G238" s="57">
        <f>TRUNC(E238*F238,2)</f>
        <v>2.73</v>
      </c>
      <c r="H238" s="58" t="str">
        <f>VLOOKUP($B238,DESON!$A:$D,4,)</f>
        <v>16,41</v>
      </c>
      <c r="I238" s="62">
        <f>TRUNC(E238*H238,2)</f>
        <v>2.46</v>
      </c>
    </row>
    <row r="239" spans="1:9" ht="15.75" thickBot="1">
      <c r="A239" s="1482" t="s">
        <v>244</v>
      </c>
      <c r="B239" s="1483"/>
      <c r="C239" s="1483"/>
      <c r="D239" s="1483"/>
      <c r="E239" s="1483"/>
      <c r="F239" s="1483"/>
      <c r="G239" s="73">
        <f>SUM(G236:G238)</f>
        <v>50.25</v>
      </c>
      <c r="H239" s="81"/>
      <c r="I239" s="82">
        <f>SUM(I236:I238)</f>
        <v>49.730000000000004</v>
      </c>
    </row>
    <row r="240" spans="1:9" ht="15.75" thickBot="1"/>
    <row r="241" spans="1:9">
      <c r="A241" s="1484"/>
      <c r="B241" s="1486" t="s">
        <v>7481</v>
      </c>
      <c r="C241" s="1488" t="s">
        <v>7482</v>
      </c>
      <c r="D241" s="1486" t="s">
        <v>106</v>
      </c>
      <c r="E241" s="1486" t="s">
        <v>18</v>
      </c>
      <c r="F241" s="1480" t="s">
        <v>7015</v>
      </c>
      <c r="G241" s="1480"/>
      <c r="H241" s="1480" t="s">
        <v>7016</v>
      </c>
      <c r="I241" s="1481"/>
    </row>
    <row r="242" spans="1:9">
      <c r="A242" s="1485"/>
      <c r="B242" s="1487"/>
      <c r="C242" s="1489"/>
      <c r="D242" s="1487"/>
      <c r="E242" s="1487"/>
      <c r="F242" s="97" t="s">
        <v>19</v>
      </c>
      <c r="G242" s="97" t="s">
        <v>20</v>
      </c>
      <c r="H242" s="97" t="s">
        <v>19</v>
      </c>
      <c r="I242" s="68" t="s">
        <v>20</v>
      </c>
    </row>
    <row r="243" spans="1:9">
      <c r="A243" s="69"/>
      <c r="B243" s="70"/>
      <c r="C243" s="71"/>
      <c r="D243" s="70"/>
      <c r="E243" s="70"/>
      <c r="F243" s="70"/>
      <c r="G243" s="70"/>
      <c r="H243" s="61"/>
      <c r="I243" s="79"/>
    </row>
    <row r="244" spans="1:9">
      <c r="A244" s="55" t="s">
        <v>39</v>
      </c>
      <c r="B244" s="56" t="s">
        <v>188</v>
      </c>
      <c r="C244" s="101" t="s">
        <v>7483</v>
      </c>
      <c r="D244" s="56" t="s">
        <v>32</v>
      </c>
      <c r="E244" s="54">
        <v>1</v>
      </c>
      <c r="F244" s="57">
        <f>'MAPA COMPARATIVO'!E1377</f>
        <v>225</v>
      </c>
      <c r="G244" s="57">
        <f>TRUNC(E244*F244,2)</f>
        <v>225</v>
      </c>
      <c r="H244" s="57">
        <f>F244</f>
        <v>225</v>
      </c>
      <c r="I244" s="67">
        <f>TRUNC(E244*H244,2)</f>
        <v>225</v>
      </c>
    </row>
    <row r="245" spans="1:9" ht="25.5">
      <c r="A245" s="51" t="s">
        <v>245</v>
      </c>
      <c r="B245" s="13">
        <v>88316</v>
      </c>
      <c r="C245" s="50" t="str">
        <f>VLOOKUP($B245,'NAO DESO'!$A:$D,2,)</f>
        <v>SERVENTE COM ENCARGOS COMPLEMENTARES</v>
      </c>
      <c r="D245" s="52" t="str">
        <f>VLOOKUP($B245,'NAO DESO'!$A:$D,3,)</f>
        <v>H</v>
      </c>
      <c r="E245" s="53">
        <v>1</v>
      </c>
      <c r="F245" s="72" t="str">
        <f>VLOOKUP($B245,'NAO DESO'!$A:$D,4,)</f>
        <v>16,83</v>
      </c>
      <c r="G245" s="57">
        <f>TRUNC(E245*F245,2)</f>
        <v>16.829999999999998</v>
      </c>
      <c r="H245" s="58" t="str">
        <f>VLOOKUP($B245,DESON!$A:$D,4,)</f>
        <v>15,16</v>
      </c>
      <c r="I245" s="62">
        <f>TRUNC(E245*H245,2)</f>
        <v>15.16</v>
      </c>
    </row>
    <row r="246" spans="1:9" ht="25.5">
      <c r="A246" s="51" t="s">
        <v>245</v>
      </c>
      <c r="B246" s="13">
        <v>88441</v>
      </c>
      <c r="C246" s="50" t="str">
        <f>VLOOKUP($B246,'NAO DESO'!$A:$D,2,)</f>
        <v>JARDINEIRO COM ENCARGOS COMPLEMENTARES</v>
      </c>
      <c r="D246" s="52" t="str">
        <f>VLOOKUP($B246,'NAO DESO'!$A:$D,3,)</f>
        <v>H</v>
      </c>
      <c r="E246" s="53">
        <v>1</v>
      </c>
      <c r="F246" s="72" t="str">
        <f>VLOOKUP($B246,'NAO DESO'!$A:$D,4,)</f>
        <v>18,26</v>
      </c>
      <c r="G246" s="57">
        <f>TRUNC(E246*F246,2)</f>
        <v>18.260000000000002</v>
      </c>
      <c r="H246" s="58" t="str">
        <f>VLOOKUP($B246,DESON!$A:$D,4,)</f>
        <v>16,41</v>
      </c>
      <c r="I246" s="62">
        <f>TRUNC(E246*H246,2)</f>
        <v>16.41</v>
      </c>
    </row>
    <row r="247" spans="1:9" ht="15.75" thickBot="1">
      <c r="A247" s="1482" t="s">
        <v>244</v>
      </c>
      <c r="B247" s="1483"/>
      <c r="C247" s="1483"/>
      <c r="D247" s="1483"/>
      <c r="E247" s="1483"/>
      <c r="F247" s="1483"/>
      <c r="G247" s="73">
        <f>SUM(G244:G246)</f>
        <v>260.08999999999997</v>
      </c>
      <c r="H247" s="81"/>
      <c r="I247" s="82">
        <f>SUM(I244:I246)</f>
        <v>256.57</v>
      </c>
    </row>
    <row r="248" spans="1:9" ht="15.75" thickBot="1"/>
    <row r="249" spans="1:9">
      <c r="A249" s="1484"/>
      <c r="B249" s="1486" t="s">
        <v>7485</v>
      </c>
      <c r="C249" s="1488" t="s">
        <v>7487</v>
      </c>
      <c r="D249" s="1486" t="s">
        <v>250</v>
      </c>
      <c r="E249" s="1486" t="s">
        <v>18</v>
      </c>
      <c r="F249" s="1480" t="s">
        <v>7015</v>
      </c>
      <c r="G249" s="1480"/>
      <c r="H249" s="1480" t="s">
        <v>7016</v>
      </c>
      <c r="I249" s="1481"/>
    </row>
    <row r="250" spans="1:9">
      <c r="A250" s="1485"/>
      <c r="B250" s="1487"/>
      <c r="C250" s="1489"/>
      <c r="D250" s="1487"/>
      <c r="E250" s="1487"/>
      <c r="F250" s="97" t="s">
        <v>19</v>
      </c>
      <c r="G250" s="97" t="s">
        <v>20</v>
      </c>
      <c r="H250" s="97" t="s">
        <v>19</v>
      </c>
      <c r="I250" s="68" t="s">
        <v>20</v>
      </c>
    </row>
    <row r="251" spans="1:9">
      <c r="A251" s="69"/>
      <c r="B251" s="70"/>
      <c r="C251" s="71"/>
      <c r="D251" s="70"/>
      <c r="E251" s="70"/>
      <c r="F251" s="70"/>
      <c r="G251" s="70"/>
      <c r="H251" s="61"/>
      <c r="I251" s="79"/>
    </row>
    <row r="252" spans="1:9">
      <c r="A252" s="55" t="s">
        <v>39</v>
      </c>
      <c r="B252" s="56" t="s">
        <v>188</v>
      </c>
      <c r="C252" s="101" t="s">
        <v>7486</v>
      </c>
      <c r="D252" s="56" t="s">
        <v>32</v>
      </c>
      <c r="E252" s="54">
        <v>1</v>
      </c>
      <c r="F252" s="57">
        <f>'MAPA COMPARATIVO'!E1384</f>
        <v>7</v>
      </c>
      <c r="G252" s="57">
        <f>TRUNC(E252*F252,2)</f>
        <v>7</v>
      </c>
      <c r="H252" s="57">
        <f>F252</f>
        <v>7</v>
      </c>
      <c r="I252" s="67">
        <f>TRUNC(E252*H252,2)</f>
        <v>7</v>
      </c>
    </row>
    <row r="253" spans="1:9" ht="25.5">
      <c r="A253" s="51" t="s">
        <v>245</v>
      </c>
      <c r="B253" s="13">
        <v>88316</v>
      </c>
      <c r="C253" s="50" t="str">
        <f>VLOOKUP($B253,'NAO DESO'!$A:$D,2,)</f>
        <v>SERVENTE COM ENCARGOS COMPLEMENTARES</v>
      </c>
      <c r="D253" s="52" t="str">
        <f>VLOOKUP($B253,'NAO DESO'!$A:$D,3,)</f>
        <v>H</v>
      </c>
      <c r="E253" s="53">
        <v>0.1</v>
      </c>
      <c r="F253" s="72" t="str">
        <f>VLOOKUP($B253,'NAO DESO'!$A:$D,4,)</f>
        <v>16,83</v>
      </c>
      <c r="G253" s="57">
        <f>TRUNC(E253*F253,2)</f>
        <v>1.68</v>
      </c>
      <c r="H253" s="58" t="str">
        <f>VLOOKUP($B253,DESON!$A:$D,4,)</f>
        <v>15,16</v>
      </c>
      <c r="I253" s="62">
        <f>TRUNC(E253*H253,2)</f>
        <v>1.51</v>
      </c>
    </row>
    <row r="254" spans="1:9" ht="25.5">
      <c r="A254" s="51" t="s">
        <v>245</v>
      </c>
      <c r="B254" s="13">
        <v>88441</v>
      </c>
      <c r="C254" s="50" t="str">
        <f>VLOOKUP($B254,'NAO DESO'!$A:$D,2,)</f>
        <v>JARDINEIRO COM ENCARGOS COMPLEMENTARES</v>
      </c>
      <c r="D254" s="52" t="str">
        <f>VLOOKUP($B254,'NAO DESO'!$A:$D,3,)</f>
        <v>H</v>
      </c>
      <c r="E254" s="53">
        <v>0.1</v>
      </c>
      <c r="F254" s="72" t="str">
        <f>VLOOKUP($B254,'NAO DESO'!$A:$D,4,)</f>
        <v>18,26</v>
      </c>
      <c r="G254" s="57">
        <f>TRUNC(E254*F254,2)</f>
        <v>1.82</v>
      </c>
      <c r="H254" s="58" t="str">
        <f>VLOOKUP($B254,DESON!$A:$D,4,)</f>
        <v>16,41</v>
      </c>
      <c r="I254" s="62">
        <f>TRUNC(E254*H254,2)</f>
        <v>1.64</v>
      </c>
    </row>
    <row r="255" spans="1:9" ht="15.75" thickBot="1">
      <c r="A255" s="1482" t="s">
        <v>244</v>
      </c>
      <c r="B255" s="1483"/>
      <c r="C255" s="1483"/>
      <c r="D255" s="1483"/>
      <c r="E255" s="1483"/>
      <c r="F255" s="1483"/>
      <c r="G255" s="73">
        <f>SUM(G252:G254)</f>
        <v>10.5</v>
      </c>
      <c r="H255" s="81"/>
      <c r="I255" s="82">
        <f>SUM(I252:I254)</f>
        <v>10.15</v>
      </c>
    </row>
    <row r="256" spans="1:9" ht="15.75" thickBot="1"/>
    <row r="257" spans="1:9">
      <c r="A257" s="1484"/>
      <c r="B257" s="1486" t="s">
        <v>7519</v>
      </c>
      <c r="C257" s="1488" t="s">
        <v>7518</v>
      </c>
      <c r="D257" s="1486" t="s">
        <v>106</v>
      </c>
      <c r="E257" s="1486" t="s">
        <v>18</v>
      </c>
      <c r="F257" s="1480" t="s">
        <v>7015</v>
      </c>
      <c r="G257" s="1480"/>
      <c r="H257" s="1480" t="s">
        <v>7016</v>
      </c>
      <c r="I257" s="1481"/>
    </row>
    <row r="258" spans="1:9">
      <c r="A258" s="1485"/>
      <c r="B258" s="1487"/>
      <c r="C258" s="1489"/>
      <c r="D258" s="1487"/>
      <c r="E258" s="1487"/>
      <c r="F258" s="97" t="s">
        <v>19</v>
      </c>
      <c r="G258" s="97" t="s">
        <v>20</v>
      </c>
      <c r="H258" s="97" t="s">
        <v>19</v>
      </c>
      <c r="I258" s="68" t="s">
        <v>20</v>
      </c>
    </row>
    <row r="259" spans="1:9">
      <c r="A259" s="69"/>
      <c r="B259" s="70"/>
      <c r="C259" s="71"/>
      <c r="D259" s="70"/>
      <c r="E259" s="70"/>
      <c r="F259" s="70"/>
      <c r="G259" s="70"/>
      <c r="H259" s="61"/>
      <c r="I259" s="79"/>
    </row>
    <row r="260" spans="1:9">
      <c r="A260" s="51" t="s">
        <v>245</v>
      </c>
      <c r="B260" s="13">
        <v>7253</v>
      </c>
      <c r="C260" s="50" t="str">
        <f>VLOOKUP($B260,'NAO DESO'!$A:$D,2,)</f>
        <v>TERRA VEGETAL (GRANEL)</v>
      </c>
      <c r="D260" s="52" t="str">
        <f>VLOOKUP($B260,'NAO DESO'!$A:$D,3,)</f>
        <v xml:space="preserve">M3    </v>
      </c>
      <c r="E260" s="53">
        <v>1</v>
      </c>
      <c r="F260" s="72">
        <f>VLOOKUP($B260,'NAO DESO'!$A:$D,4,)</f>
        <v>143.57</v>
      </c>
      <c r="G260" s="57">
        <f>TRUNC(E260*F260,2)</f>
        <v>143.57</v>
      </c>
      <c r="H260" s="58" t="str">
        <f>VLOOKUP($B260,DESON!$A:$D,4,)</f>
        <v>143,57</v>
      </c>
      <c r="I260" s="62">
        <f>TRUNC(E260*H260,2)</f>
        <v>143.57</v>
      </c>
    </row>
    <row r="261" spans="1:9" ht="25.5">
      <c r="A261" s="51" t="s">
        <v>245</v>
      </c>
      <c r="B261" s="13">
        <v>88316</v>
      </c>
      <c r="C261" s="50" t="str">
        <f>VLOOKUP($B261,'NAO DESO'!$A:$D,2,)</f>
        <v>SERVENTE COM ENCARGOS COMPLEMENTARES</v>
      </c>
      <c r="D261" s="52" t="str">
        <f>VLOOKUP($B261,'NAO DESO'!$A:$D,3,)</f>
        <v>H</v>
      </c>
      <c r="E261" s="53">
        <v>1.03</v>
      </c>
      <c r="F261" s="72" t="str">
        <f>VLOOKUP($B261,'NAO DESO'!$A:$D,4,)</f>
        <v>16,83</v>
      </c>
      <c r="G261" s="57">
        <f>TRUNC(E261*F261,2)</f>
        <v>17.329999999999998</v>
      </c>
      <c r="H261" s="58" t="str">
        <f>VLOOKUP($B261,DESON!$A:$D,4,)</f>
        <v>15,16</v>
      </c>
      <c r="I261" s="62">
        <f>TRUNC(E261*H261,2)</f>
        <v>15.61</v>
      </c>
    </row>
    <row r="262" spans="1:9" ht="25.5">
      <c r="A262" s="51" t="s">
        <v>245</v>
      </c>
      <c r="B262" s="13">
        <v>88441</v>
      </c>
      <c r="C262" s="50" t="str">
        <f>VLOOKUP($B262,'NAO DESO'!$A:$D,2,)</f>
        <v>JARDINEIRO COM ENCARGOS COMPLEMENTARES</v>
      </c>
      <c r="D262" s="52" t="str">
        <f>VLOOKUP($B262,'NAO DESO'!$A:$D,3,)</f>
        <v>H</v>
      </c>
      <c r="E262" s="53">
        <v>0.34</v>
      </c>
      <c r="F262" s="72" t="str">
        <f>VLOOKUP($B262,'NAO DESO'!$A:$D,4,)</f>
        <v>18,26</v>
      </c>
      <c r="G262" s="57">
        <f>TRUNC(E262*F262,2)</f>
        <v>6.2</v>
      </c>
      <c r="H262" s="58" t="str">
        <f>VLOOKUP($B262,DESON!$A:$D,4,)</f>
        <v>16,41</v>
      </c>
      <c r="I262" s="62">
        <f>TRUNC(E262*H262,2)</f>
        <v>5.57</v>
      </c>
    </row>
    <row r="263" spans="1:9" ht="15.75" thickBot="1">
      <c r="A263" s="1482" t="s">
        <v>244</v>
      </c>
      <c r="B263" s="1483"/>
      <c r="C263" s="1483"/>
      <c r="D263" s="1483"/>
      <c r="E263" s="1483"/>
      <c r="F263" s="1483"/>
      <c r="G263" s="73">
        <f>SUM(G260:G262)</f>
        <v>167.09999999999997</v>
      </c>
      <c r="H263" s="81"/>
      <c r="I263" s="82">
        <f>SUM(I260:I262)</f>
        <v>164.75</v>
      </c>
    </row>
    <row r="264" spans="1:9" ht="15.75" thickBot="1"/>
    <row r="265" spans="1:9">
      <c r="A265" s="1484"/>
      <c r="B265" s="1486" t="s">
        <v>7520</v>
      </c>
      <c r="C265" s="1488" t="s">
        <v>7521</v>
      </c>
      <c r="D265" s="1486" t="s">
        <v>8</v>
      </c>
      <c r="E265" s="1486" t="s">
        <v>18</v>
      </c>
      <c r="F265" s="1480" t="s">
        <v>7015</v>
      </c>
      <c r="G265" s="1480"/>
      <c r="H265" s="1480" t="s">
        <v>7016</v>
      </c>
      <c r="I265" s="1481"/>
    </row>
    <row r="266" spans="1:9">
      <c r="A266" s="1485"/>
      <c r="B266" s="1487"/>
      <c r="C266" s="1489"/>
      <c r="D266" s="1487"/>
      <c r="E266" s="1487"/>
      <c r="F266" s="97" t="s">
        <v>19</v>
      </c>
      <c r="G266" s="97" t="s">
        <v>20</v>
      </c>
      <c r="H266" s="97" t="s">
        <v>19</v>
      </c>
      <c r="I266" s="68" t="s">
        <v>20</v>
      </c>
    </row>
    <row r="267" spans="1:9">
      <c r="A267" s="69"/>
      <c r="B267" s="70"/>
      <c r="C267" s="71"/>
      <c r="D267" s="70"/>
      <c r="E267" s="70"/>
      <c r="F267" s="70"/>
      <c r="G267" s="70"/>
      <c r="H267" s="61"/>
      <c r="I267" s="79"/>
    </row>
    <row r="268" spans="1:9" ht="25.5">
      <c r="A268" s="51" t="s">
        <v>245</v>
      </c>
      <c r="B268" s="13">
        <v>88316</v>
      </c>
      <c r="C268" s="50" t="str">
        <f>VLOOKUP($B268,'NAO DESO'!$A:$D,2,)</f>
        <v>SERVENTE COM ENCARGOS COMPLEMENTARES</v>
      </c>
      <c r="D268" s="52" t="str">
        <f>VLOOKUP($B268,'NAO DESO'!$A:$D,3,)</f>
        <v>H</v>
      </c>
      <c r="E268" s="53">
        <v>0.15</v>
      </c>
      <c r="F268" s="72" t="str">
        <f>VLOOKUP($B268,'NAO DESO'!$A:$D,4,)</f>
        <v>16,83</v>
      </c>
      <c r="G268" s="57">
        <f>TRUNC(E268*F268,2)</f>
        <v>2.52</v>
      </c>
      <c r="H268" s="58" t="str">
        <f>VLOOKUP($B268,DESON!$A:$D,4,)</f>
        <v>15,16</v>
      </c>
      <c r="I268" s="62">
        <f>TRUNC(E268*H268,2)</f>
        <v>2.27</v>
      </c>
    </row>
    <row r="269" spans="1:9" ht="25.5">
      <c r="A269" s="51" t="s">
        <v>245</v>
      </c>
      <c r="B269" s="13">
        <v>88441</v>
      </c>
      <c r="C269" s="50" t="str">
        <f>VLOOKUP($B269,'NAO DESO'!$A:$D,2,)</f>
        <v>JARDINEIRO COM ENCARGOS COMPLEMENTARES</v>
      </c>
      <c r="D269" s="52" t="str">
        <f>VLOOKUP($B269,'NAO DESO'!$A:$D,3,)</f>
        <v>H</v>
      </c>
      <c r="E269" s="53">
        <v>0.1</v>
      </c>
      <c r="F269" s="72" t="str">
        <f>VLOOKUP($B269,'NAO DESO'!$A:$D,4,)</f>
        <v>18,26</v>
      </c>
      <c r="G269" s="57">
        <f>TRUNC(E269*F269,2)</f>
        <v>1.82</v>
      </c>
      <c r="H269" s="58" t="str">
        <f>VLOOKUP($B269,DESON!$A:$D,4,)</f>
        <v>16,41</v>
      </c>
      <c r="I269" s="62">
        <f>TRUNC(E269*H269,2)</f>
        <v>1.64</v>
      </c>
    </row>
    <row r="270" spans="1:9" ht="15.75" thickBot="1">
      <c r="A270" s="1482" t="s">
        <v>244</v>
      </c>
      <c r="B270" s="1483"/>
      <c r="C270" s="1483"/>
      <c r="D270" s="1483"/>
      <c r="E270" s="1483"/>
      <c r="F270" s="1483"/>
      <c r="G270" s="73">
        <f>SUM(G268:G269)</f>
        <v>4.34</v>
      </c>
      <c r="H270" s="81"/>
      <c r="I270" s="82">
        <f>SUM(I268:I269)</f>
        <v>3.91</v>
      </c>
    </row>
    <row r="271" spans="1:9" ht="15.75" thickBot="1"/>
    <row r="272" spans="1:9">
      <c r="A272" s="1484"/>
      <c r="B272" s="1486" t="s">
        <v>7531</v>
      </c>
      <c r="C272" s="1488" t="s">
        <v>7532</v>
      </c>
      <c r="D272" s="1486" t="s">
        <v>24</v>
      </c>
      <c r="E272" s="1486" t="s">
        <v>18</v>
      </c>
      <c r="F272" s="1480" t="s">
        <v>7015</v>
      </c>
      <c r="G272" s="1480"/>
      <c r="H272" s="1480" t="s">
        <v>7016</v>
      </c>
      <c r="I272" s="1481"/>
    </row>
    <row r="273" spans="1:9">
      <c r="A273" s="1485"/>
      <c r="B273" s="1487"/>
      <c r="C273" s="1489"/>
      <c r="D273" s="1487"/>
      <c r="E273" s="1487"/>
      <c r="F273" s="97" t="s">
        <v>19</v>
      </c>
      <c r="G273" s="97" t="s">
        <v>20</v>
      </c>
      <c r="H273" s="97" t="s">
        <v>19</v>
      </c>
      <c r="I273" s="68" t="s">
        <v>20</v>
      </c>
    </row>
    <row r="274" spans="1:9">
      <c r="A274" s="69"/>
      <c r="B274" s="70"/>
      <c r="C274" s="71"/>
      <c r="D274" s="70"/>
      <c r="E274" s="70"/>
      <c r="F274" s="70"/>
      <c r="G274" s="70"/>
      <c r="H274" s="61"/>
      <c r="I274" s="79"/>
    </row>
    <row r="275" spans="1:9" ht="25.5">
      <c r="A275" s="51" t="s">
        <v>245</v>
      </c>
      <c r="B275" s="13">
        <v>88316</v>
      </c>
      <c r="C275" s="50" t="str">
        <f>VLOOKUP($B275,'NAO DESO'!$A:$D,2,)</f>
        <v>SERVENTE COM ENCARGOS COMPLEMENTARES</v>
      </c>
      <c r="D275" s="52" t="str">
        <f>VLOOKUP($B275,'NAO DESO'!$A:$D,3,)</f>
        <v>H</v>
      </c>
      <c r="E275" s="53">
        <v>2</v>
      </c>
      <c r="F275" s="72" t="str">
        <f>VLOOKUP($B275,'NAO DESO'!$A:$D,4,)</f>
        <v>16,83</v>
      </c>
      <c r="G275" s="57">
        <f>TRUNC(E275*F275,2)</f>
        <v>33.659999999999997</v>
      </c>
      <c r="H275" s="58" t="str">
        <f>VLOOKUP($B275,DESON!$A:$D,4,)</f>
        <v>15,16</v>
      </c>
      <c r="I275" s="62">
        <f>TRUNC(E275*H275,2)</f>
        <v>30.32</v>
      </c>
    </row>
    <row r="276" spans="1:9" ht="25.5">
      <c r="A276" s="51" t="s">
        <v>245</v>
      </c>
      <c r="B276" s="13">
        <v>88441</v>
      </c>
      <c r="C276" s="50" t="str">
        <f>VLOOKUP($B276,'NAO DESO'!$A:$D,2,)</f>
        <v>JARDINEIRO COM ENCARGOS COMPLEMENTARES</v>
      </c>
      <c r="D276" s="52" t="str">
        <f>VLOOKUP($B276,'NAO DESO'!$A:$D,3,)</f>
        <v>H</v>
      </c>
      <c r="E276" s="53">
        <v>2</v>
      </c>
      <c r="F276" s="72" t="str">
        <f>VLOOKUP($B276,'NAO DESO'!$A:$D,4,)</f>
        <v>18,26</v>
      </c>
      <c r="G276" s="57">
        <f>TRUNC(E276*F276,2)</f>
        <v>36.520000000000003</v>
      </c>
      <c r="H276" s="58" t="str">
        <f>VLOOKUP($B276,DESON!$A:$D,4,)</f>
        <v>16,41</v>
      </c>
      <c r="I276" s="62">
        <f>TRUNC(E276*H276,2)</f>
        <v>32.82</v>
      </c>
    </row>
    <row r="277" spans="1:9" ht="15.75" thickBot="1">
      <c r="A277" s="1482" t="s">
        <v>244</v>
      </c>
      <c r="B277" s="1483"/>
      <c r="C277" s="1483"/>
      <c r="D277" s="1483"/>
      <c r="E277" s="1483"/>
      <c r="F277" s="1483"/>
      <c r="G277" s="73">
        <f>SUM(G275:G276)</f>
        <v>70.180000000000007</v>
      </c>
      <c r="H277" s="81"/>
      <c r="I277" s="82">
        <f>SUM(I275:I276)</f>
        <v>63.14</v>
      </c>
    </row>
    <row r="278" spans="1:9" ht="15.75" thickBot="1"/>
    <row r="279" spans="1:9">
      <c r="A279" s="1484"/>
      <c r="B279" s="1486" t="s">
        <v>13081</v>
      </c>
      <c r="C279" s="1488" t="s">
        <v>13082</v>
      </c>
      <c r="D279" s="1486" t="s">
        <v>8</v>
      </c>
      <c r="E279" s="1486" t="s">
        <v>18</v>
      </c>
      <c r="F279" s="1480" t="s">
        <v>7015</v>
      </c>
      <c r="G279" s="1480"/>
      <c r="H279" s="1480" t="s">
        <v>7016</v>
      </c>
      <c r="I279" s="1481"/>
    </row>
    <row r="280" spans="1:9">
      <c r="A280" s="1485"/>
      <c r="B280" s="1487"/>
      <c r="C280" s="1489"/>
      <c r="D280" s="1487"/>
      <c r="E280" s="1487"/>
      <c r="F280" s="97" t="s">
        <v>19</v>
      </c>
      <c r="G280" s="97" t="s">
        <v>20</v>
      </c>
      <c r="H280" s="97" t="s">
        <v>19</v>
      </c>
      <c r="I280" s="68" t="s">
        <v>20</v>
      </c>
    </row>
    <row r="281" spans="1:9">
      <c r="A281" s="69"/>
      <c r="B281" s="70"/>
      <c r="C281" s="71"/>
      <c r="D281" s="70"/>
      <c r="E281" s="70"/>
      <c r="F281" s="70"/>
      <c r="G281" s="70"/>
      <c r="H281" s="61"/>
      <c r="I281" s="79"/>
    </row>
    <row r="282" spans="1:9">
      <c r="A282" s="55" t="s">
        <v>39</v>
      </c>
      <c r="B282" s="56" t="s">
        <v>188</v>
      </c>
      <c r="C282" s="80" t="s">
        <v>7414</v>
      </c>
      <c r="D282" s="56" t="s">
        <v>32</v>
      </c>
      <c r="E282" s="54">
        <v>1</v>
      </c>
      <c r="F282" s="57">
        <f>'MAPA COMPARATIVO'!E1391</f>
        <v>14.9</v>
      </c>
      <c r="G282" s="57">
        <f>TRUNC(E282*F282,2)</f>
        <v>14.9</v>
      </c>
      <c r="H282" s="57">
        <f>F282</f>
        <v>14.9</v>
      </c>
      <c r="I282" s="67">
        <f>TRUNC(E282*H282,2)</f>
        <v>14.9</v>
      </c>
    </row>
    <row r="283" spans="1:9" ht="25.5">
      <c r="A283" s="51" t="s">
        <v>245</v>
      </c>
      <c r="B283" s="13">
        <v>88316</v>
      </c>
      <c r="C283" s="50" t="str">
        <f>VLOOKUP($B283,'NAO DESO'!$A:$D,2,)</f>
        <v>SERVENTE COM ENCARGOS COMPLEMENTARES</v>
      </c>
      <c r="D283" s="52" t="str">
        <f>VLOOKUP($B283,'NAO DESO'!$A:$D,3,)</f>
        <v>H</v>
      </c>
      <c r="E283" s="53">
        <v>0.15</v>
      </c>
      <c r="F283" s="72" t="str">
        <f>VLOOKUP($B283,'NAO DESO'!$A:$D,4,)</f>
        <v>16,83</v>
      </c>
      <c r="G283" s="57">
        <f>TRUNC(E283*F283,2)</f>
        <v>2.52</v>
      </c>
      <c r="H283" s="58" t="str">
        <f>VLOOKUP($B283,DESON!$A:$D,4,)</f>
        <v>15,16</v>
      </c>
      <c r="I283" s="62">
        <f>TRUNC(E283*H283,2)</f>
        <v>2.27</v>
      </c>
    </row>
    <row r="284" spans="1:9" ht="25.5">
      <c r="A284" s="51" t="s">
        <v>245</v>
      </c>
      <c r="B284" s="13">
        <v>88441</v>
      </c>
      <c r="C284" s="50" t="str">
        <f>VLOOKUP($B284,'NAO DESO'!$A:$D,2,)</f>
        <v>JARDINEIRO COM ENCARGOS COMPLEMENTARES</v>
      </c>
      <c r="D284" s="52" t="str">
        <f>VLOOKUP($B284,'NAO DESO'!$A:$D,3,)</f>
        <v>H</v>
      </c>
      <c r="E284" s="53">
        <v>0.03</v>
      </c>
      <c r="F284" s="72" t="str">
        <f>VLOOKUP($B284,'NAO DESO'!$A:$D,4,)</f>
        <v>18,26</v>
      </c>
      <c r="G284" s="57">
        <f>TRUNC(E284*F284,2)</f>
        <v>0.54</v>
      </c>
      <c r="H284" s="58" t="str">
        <f>VLOOKUP($B284,DESON!$A:$D,4,)</f>
        <v>16,41</v>
      </c>
      <c r="I284" s="62">
        <f>TRUNC(E284*H284,2)</f>
        <v>0.49</v>
      </c>
    </row>
    <row r="285" spans="1:9" ht="15.75" thickBot="1">
      <c r="A285" s="1482" t="s">
        <v>244</v>
      </c>
      <c r="B285" s="1483"/>
      <c r="C285" s="1483"/>
      <c r="D285" s="1483"/>
      <c r="E285" s="1483"/>
      <c r="F285" s="1483"/>
      <c r="G285" s="73">
        <f>SUM(G282:G284)</f>
        <v>17.96</v>
      </c>
      <c r="H285" s="81"/>
      <c r="I285" s="82">
        <f>SUM(I282:I284)</f>
        <v>17.66</v>
      </c>
    </row>
    <row r="286" spans="1:9" ht="15.75" thickBot="1"/>
    <row r="287" spans="1:9">
      <c r="A287" s="1484"/>
      <c r="B287" s="1486" t="s">
        <v>13086</v>
      </c>
      <c r="C287" s="1488" t="s">
        <v>13237</v>
      </c>
      <c r="D287" s="1486" t="s">
        <v>106</v>
      </c>
      <c r="E287" s="1486" t="s">
        <v>18</v>
      </c>
      <c r="F287" s="1480" t="s">
        <v>7015</v>
      </c>
      <c r="G287" s="1480"/>
      <c r="H287" s="1480" t="s">
        <v>7016</v>
      </c>
      <c r="I287" s="1481"/>
    </row>
    <row r="288" spans="1:9" ht="33" customHeight="1">
      <c r="A288" s="1485"/>
      <c r="B288" s="1487"/>
      <c r="C288" s="1489"/>
      <c r="D288" s="1487"/>
      <c r="E288" s="1487"/>
      <c r="F288" s="97" t="s">
        <v>19</v>
      </c>
      <c r="G288" s="97" t="s">
        <v>20</v>
      </c>
      <c r="H288" s="97" t="s">
        <v>19</v>
      </c>
      <c r="I288" s="68" t="s">
        <v>20</v>
      </c>
    </row>
    <row r="289" spans="1:9">
      <c r="A289" s="69"/>
      <c r="B289" s="70"/>
      <c r="C289" s="71"/>
      <c r="D289" s="70"/>
      <c r="E289" s="70"/>
      <c r="F289" s="70"/>
      <c r="G289" s="70"/>
      <c r="H289" s="61"/>
      <c r="I289" s="79"/>
    </row>
    <row r="290" spans="1:9">
      <c r="A290" s="55" t="s">
        <v>39</v>
      </c>
      <c r="B290" s="56" t="s">
        <v>188</v>
      </c>
      <c r="C290" s="101" t="e">
        <f>'MAPA COMPARATIVO'!#REF!</f>
        <v>#REF!</v>
      </c>
      <c r="D290" s="56" t="s">
        <v>32</v>
      </c>
      <c r="E290" s="54">
        <v>1</v>
      </c>
      <c r="F290" s="57" t="e">
        <f>'MAPA COMPARATIVO'!#REF!</f>
        <v>#REF!</v>
      </c>
      <c r="G290" s="57" t="e">
        <f>TRUNC(E290*F290,2)</f>
        <v>#REF!</v>
      </c>
      <c r="H290" s="57" t="e">
        <f>F290</f>
        <v>#REF!</v>
      </c>
      <c r="I290" s="67" t="e">
        <f>TRUNC(E290*H290,2)</f>
        <v>#REF!</v>
      </c>
    </row>
    <row r="291" spans="1:9" ht="25.5">
      <c r="A291" s="51" t="s">
        <v>245</v>
      </c>
      <c r="B291" s="13">
        <v>88316</v>
      </c>
      <c r="C291" s="50" t="str">
        <f>VLOOKUP($B291,'NAO DESO'!$A:$D,2,)</f>
        <v>SERVENTE COM ENCARGOS COMPLEMENTARES</v>
      </c>
      <c r="D291" s="52" t="str">
        <f>VLOOKUP($B291,'NAO DESO'!$A:$D,3,)</f>
        <v>H</v>
      </c>
      <c r="E291" s="53">
        <v>1</v>
      </c>
      <c r="F291" s="72" t="str">
        <f>VLOOKUP($B291,'NAO DESO'!$A:$D,4,)</f>
        <v>16,83</v>
      </c>
      <c r="G291" s="57">
        <f>TRUNC(E291*F291,2)</f>
        <v>16.829999999999998</v>
      </c>
      <c r="H291" s="58" t="str">
        <f>VLOOKUP($B291,DESON!$A:$D,4,)</f>
        <v>15,16</v>
      </c>
      <c r="I291" s="62">
        <f>TRUNC(E291*H291,2)</f>
        <v>15.16</v>
      </c>
    </row>
    <row r="292" spans="1:9" ht="25.5">
      <c r="A292" s="51" t="s">
        <v>245</v>
      </c>
      <c r="B292" s="13">
        <v>88441</v>
      </c>
      <c r="C292" s="50" t="str">
        <f>VLOOKUP($B292,'NAO DESO'!$A:$D,2,)</f>
        <v>JARDINEIRO COM ENCARGOS COMPLEMENTARES</v>
      </c>
      <c r="D292" s="52" t="str">
        <f>VLOOKUP($B292,'NAO DESO'!$A:$D,3,)</f>
        <v>H</v>
      </c>
      <c r="E292" s="53">
        <v>1</v>
      </c>
      <c r="F292" s="72" t="str">
        <f>VLOOKUP($B292,'NAO DESO'!$A:$D,4,)</f>
        <v>18,26</v>
      </c>
      <c r="G292" s="57">
        <f>TRUNC(E292*F292,2)</f>
        <v>18.260000000000002</v>
      </c>
      <c r="H292" s="58" t="str">
        <f>VLOOKUP($B292,DESON!$A:$D,4,)</f>
        <v>16,41</v>
      </c>
      <c r="I292" s="62">
        <f>TRUNC(E292*H292,2)</f>
        <v>16.41</v>
      </c>
    </row>
    <row r="293" spans="1:9" ht="15.75" thickBot="1">
      <c r="A293" s="1482" t="s">
        <v>244</v>
      </c>
      <c r="B293" s="1483"/>
      <c r="C293" s="1483"/>
      <c r="D293" s="1483"/>
      <c r="E293" s="1483"/>
      <c r="F293" s="1483"/>
      <c r="G293" s="73" t="e">
        <f>SUM(G290:G292)</f>
        <v>#REF!</v>
      </c>
      <c r="H293" s="81"/>
      <c r="I293" s="82" t="e">
        <f>SUM(I290:I292)</f>
        <v>#REF!</v>
      </c>
    </row>
    <row r="294" spans="1:9" ht="15.75" thickBot="1"/>
    <row r="295" spans="1:9">
      <c r="A295" s="1484"/>
      <c r="B295" s="1486" t="s">
        <v>13100</v>
      </c>
      <c r="C295" s="1488" t="s">
        <v>13256</v>
      </c>
      <c r="D295" s="1486" t="s">
        <v>207</v>
      </c>
      <c r="E295" s="1486" t="s">
        <v>18</v>
      </c>
      <c r="F295" s="1480" t="s">
        <v>7015</v>
      </c>
      <c r="G295" s="1480"/>
      <c r="H295" s="1480" t="s">
        <v>7016</v>
      </c>
      <c r="I295" s="1481"/>
    </row>
    <row r="296" spans="1:9">
      <c r="A296" s="1485"/>
      <c r="B296" s="1487"/>
      <c r="C296" s="1489"/>
      <c r="D296" s="1487"/>
      <c r="E296" s="1487"/>
      <c r="F296" s="97" t="s">
        <v>19</v>
      </c>
      <c r="G296" s="97" t="s">
        <v>20</v>
      </c>
      <c r="H296" s="97" t="s">
        <v>19</v>
      </c>
      <c r="I296" s="68" t="s">
        <v>20</v>
      </c>
    </row>
    <row r="297" spans="1:9">
      <c r="A297" s="69"/>
      <c r="B297" s="70"/>
      <c r="C297" s="71"/>
      <c r="D297" s="70"/>
      <c r="E297" s="70"/>
      <c r="F297" s="70"/>
      <c r="G297" s="70"/>
      <c r="H297" s="61"/>
      <c r="I297" s="79"/>
    </row>
    <row r="298" spans="1:9" ht="30" customHeight="1">
      <c r="A298" s="55" t="s">
        <v>39</v>
      </c>
      <c r="B298" s="56" t="s">
        <v>188</v>
      </c>
      <c r="C298" s="101" t="s">
        <v>13257</v>
      </c>
      <c r="D298" s="56" t="s">
        <v>207</v>
      </c>
      <c r="E298" s="54">
        <v>1.05</v>
      </c>
      <c r="F298" s="57" t="e">
        <f>'MAPA COMPARATIVO'!#REF!</f>
        <v>#REF!</v>
      </c>
      <c r="G298" s="57" t="e">
        <f>TRUNC(E298*F298,2)</f>
        <v>#REF!</v>
      </c>
      <c r="H298" s="57" t="e">
        <f>F298</f>
        <v>#REF!</v>
      </c>
      <c r="I298" s="67" t="e">
        <f>TRUNC(E298*H298,2)</f>
        <v>#REF!</v>
      </c>
    </row>
    <row r="299" spans="1:9">
      <c r="A299" s="51" t="s">
        <v>245</v>
      </c>
      <c r="B299" s="13">
        <v>34357</v>
      </c>
      <c r="C299" s="50" t="str">
        <f>VLOOKUP($B299,'NAO DESO'!$A:$D,2,)</f>
        <v>REJUNTE CIMENTICIO, QUALQUER COR</v>
      </c>
      <c r="D299" s="52" t="str">
        <f>VLOOKUP($B299,'NAO DESO'!$A:$D,3,)</f>
        <v xml:space="preserve">KG    </v>
      </c>
      <c r="E299" s="53">
        <v>0.42</v>
      </c>
      <c r="F299" s="72">
        <f>VLOOKUP($B299,'NAO DESO'!$A:$D,4,)</f>
        <v>4.8099999999999996</v>
      </c>
      <c r="G299" s="57">
        <f>TRUNC(E299*F299,2)</f>
        <v>2.02</v>
      </c>
      <c r="H299" s="58" t="str">
        <f>VLOOKUP($B299,DESON!$A:$D,4,)</f>
        <v>4,81</v>
      </c>
      <c r="I299" s="62">
        <f>TRUNC(E299*H299,2)</f>
        <v>2.02</v>
      </c>
    </row>
    <row r="300" spans="1:9">
      <c r="A300" s="51" t="s">
        <v>245</v>
      </c>
      <c r="B300" s="13">
        <v>37595</v>
      </c>
      <c r="C300" s="50" t="str">
        <f>VLOOKUP($B300,'NAO DESO'!$A:$D,2,)</f>
        <v>ARGAMASSA COLANTE TIPO AC III</v>
      </c>
      <c r="D300" s="52" t="str">
        <f>VLOOKUP($B300,'NAO DESO'!$A:$D,3,)</f>
        <v xml:space="preserve">KG    </v>
      </c>
      <c r="E300" s="53">
        <v>4.8600000000000003</v>
      </c>
      <c r="F300" s="72">
        <f>VLOOKUP($B300,'NAO DESO'!$A:$D,4,)</f>
        <v>2.52</v>
      </c>
      <c r="G300" s="57">
        <f>TRUNC(E300*F300,2)</f>
        <v>12.24</v>
      </c>
      <c r="H300" s="58" t="str">
        <f>VLOOKUP($B300,DESON!$A:$D,4,)</f>
        <v>2,52</v>
      </c>
      <c r="I300" s="62">
        <f>TRUNC(E300*H300,2)</f>
        <v>12.24</v>
      </c>
    </row>
    <row r="301" spans="1:9">
      <c r="A301" s="51" t="s">
        <v>245</v>
      </c>
      <c r="B301" s="13">
        <v>88256</v>
      </c>
      <c r="C301" s="93" t="str">
        <f>VLOOKUP($B301,'NAO DESO'!$A:$D,2,)</f>
        <v>AZULEJISTA OU LADRILHISTA COM ENCARGOS COMPLEMENTARES</v>
      </c>
      <c r="D301" s="52" t="str">
        <f>VLOOKUP($B301,'NAO DESO'!$A:$D,3,)</f>
        <v>H</v>
      </c>
      <c r="E301" s="53">
        <v>0.49</v>
      </c>
      <c r="F301" s="72" t="str">
        <f>VLOOKUP($B301,'NAO DESO'!$A:$D,4,)</f>
        <v>21,02</v>
      </c>
      <c r="G301" s="57">
        <f>TRUNC(E301*F301,2)</f>
        <v>10.29</v>
      </c>
      <c r="H301" s="58" t="str">
        <f>VLOOKUP($B301,DESON!$A:$D,4,)</f>
        <v>18,79</v>
      </c>
      <c r="I301" s="62">
        <f>TRUNC(E301*H301,2)</f>
        <v>9.1999999999999993</v>
      </c>
    </row>
    <row r="302" spans="1:9" ht="25.5">
      <c r="A302" s="51" t="s">
        <v>245</v>
      </c>
      <c r="B302" s="13">
        <v>88316</v>
      </c>
      <c r="C302" s="50" t="str">
        <f>VLOOKUP($B302,'NAO DESO'!$A:$D,2,)</f>
        <v>SERVENTE COM ENCARGOS COMPLEMENTARES</v>
      </c>
      <c r="D302" s="52" t="str">
        <f>VLOOKUP($B302,'NAO DESO'!$A:$D,3,)</f>
        <v>H</v>
      </c>
      <c r="E302" s="53">
        <v>0.28999999999999998</v>
      </c>
      <c r="F302" s="72" t="str">
        <f>VLOOKUP($B302,'NAO DESO'!$A:$D,4,)</f>
        <v>16,83</v>
      </c>
      <c r="G302" s="57">
        <f>TRUNC(E302*F302,2)</f>
        <v>4.88</v>
      </c>
      <c r="H302" s="58" t="str">
        <f>VLOOKUP($B302,DESON!$A:$D,4,)</f>
        <v>15,16</v>
      </c>
      <c r="I302" s="62">
        <f>TRUNC(E302*H302,2)</f>
        <v>4.3899999999999997</v>
      </c>
    </row>
    <row r="303" spans="1:9" ht="15.75" thickBot="1">
      <c r="A303" s="1482" t="s">
        <v>244</v>
      </c>
      <c r="B303" s="1483"/>
      <c r="C303" s="1483"/>
      <c r="D303" s="1483"/>
      <c r="E303" s="1483"/>
      <c r="F303" s="1483"/>
      <c r="G303" s="73" t="e">
        <f>SUM(G298:G302)</f>
        <v>#REF!</v>
      </c>
      <c r="H303" s="81"/>
      <c r="I303" s="82" t="e">
        <f>SUM(I298:I302)</f>
        <v>#REF!</v>
      </c>
    </row>
  </sheetData>
  <mergeCells count="301">
    <mergeCell ref="H279:I279"/>
    <mergeCell ref="A285:F285"/>
    <mergeCell ref="A277:F277"/>
    <mergeCell ref="F257:G257"/>
    <mergeCell ref="A263:F263"/>
    <mergeCell ref="A265:A266"/>
    <mergeCell ref="B265:B266"/>
    <mergeCell ref="C265:C266"/>
    <mergeCell ref="D265:D266"/>
    <mergeCell ref="E265:E266"/>
    <mergeCell ref="F265:G265"/>
    <mergeCell ref="A279:A280"/>
    <mergeCell ref="B279:B280"/>
    <mergeCell ref="C279:C280"/>
    <mergeCell ref="D279:D280"/>
    <mergeCell ref="E279:E280"/>
    <mergeCell ref="F279:G279"/>
    <mergeCell ref="A247:F247"/>
    <mergeCell ref="A249:A250"/>
    <mergeCell ref="B249:B250"/>
    <mergeCell ref="C249:C250"/>
    <mergeCell ref="D249:D250"/>
    <mergeCell ref="E249:E250"/>
    <mergeCell ref="F249:G249"/>
    <mergeCell ref="H249:I249"/>
    <mergeCell ref="A272:A273"/>
    <mergeCell ref="B272:B273"/>
    <mergeCell ref="C272:C273"/>
    <mergeCell ref="D272:D273"/>
    <mergeCell ref="E272:E273"/>
    <mergeCell ref="F272:G272"/>
    <mergeCell ref="H272:I272"/>
    <mergeCell ref="H257:I257"/>
    <mergeCell ref="H265:I265"/>
    <mergeCell ref="A255:F255"/>
    <mergeCell ref="A270:F270"/>
    <mergeCell ref="A257:A258"/>
    <mergeCell ref="B257:B258"/>
    <mergeCell ref="C257:C258"/>
    <mergeCell ref="D257:D258"/>
    <mergeCell ref="E257:E258"/>
    <mergeCell ref="A239:F239"/>
    <mergeCell ref="A241:A242"/>
    <mergeCell ref="B241:B242"/>
    <mergeCell ref="C241:C242"/>
    <mergeCell ref="D241:D242"/>
    <mergeCell ref="E241:E242"/>
    <mergeCell ref="F241:G241"/>
    <mergeCell ref="H225:I225"/>
    <mergeCell ref="A231:F231"/>
    <mergeCell ref="A233:A234"/>
    <mergeCell ref="B233:B234"/>
    <mergeCell ref="C233:C234"/>
    <mergeCell ref="D233:D234"/>
    <mergeCell ref="E233:E234"/>
    <mergeCell ref="F233:G233"/>
    <mergeCell ref="H233:I233"/>
    <mergeCell ref="H241:I241"/>
    <mergeCell ref="A223:F223"/>
    <mergeCell ref="A225:A226"/>
    <mergeCell ref="B225:B226"/>
    <mergeCell ref="C225:C226"/>
    <mergeCell ref="D225:D226"/>
    <mergeCell ref="E225:E226"/>
    <mergeCell ref="F225:G225"/>
    <mergeCell ref="H209:I209"/>
    <mergeCell ref="A215:F215"/>
    <mergeCell ref="A217:A218"/>
    <mergeCell ref="B217:B218"/>
    <mergeCell ref="C217:C218"/>
    <mergeCell ref="D217:D218"/>
    <mergeCell ref="E217:E218"/>
    <mergeCell ref="F217:G217"/>
    <mergeCell ref="H217:I217"/>
    <mergeCell ref="A207:F207"/>
    <mergeCell ref="A209:A210"/>
    <mergeCell ref="B209:B210"/>
    <mergeCell ref="C209:C210"/>
    <mergeCell ref="D209:D210"/>
    <mergeCell ref="E209:E210"/>
    <mergeCell ref="F209:G209"/>
    <mergeCell ref="H193:I193"/>
    <mergeCell ref="A199:F199"/>
    <mergeCell ref="A201:A202"/>
    <mergeCell ref="B201:B202"/>
    <mergeCell ref="C201:C202"/>
    <mergeCell ref="D201:D202"/>
    <mergeCell ref="E201:E202"/>
    <mergeCell ref="F201:G201"/>
    <mergeCell ref="H201:I201"/>
    <mergeCell ref="A191:F191"/>
    <mergeCell ref="A193:A194"/>
    <mergeCell ref="B193:B194"/>
    <mergeCell ref="C193:C194"/>
    <mergeCell ref="D193:D194"/>
    <mergeCell ref="E193:E194"/>
    <mergeCell ref="F193:G193"/>
    <mergeCell ref="H177:I177"/>
    <mergeCell ref="A183:F183"/>
    <mergeCell ref="A185:A186"/>
    <mergeCell ref="B185:B186"/>
    <mergeCell ref="C185:C186"/>
    <mergeCell ref="D185:D186"/>
    <mergeCell ref="E185:E186"/>
    <mergeCell ref="F185:G185"/>
    <mergeCell ref="H185:I185"/>
    <mergeCell ref="A175:F175"/>
    <mergeCell ref="A177:A178"/>
    <mergeCell ref="B177:B178"/>
    <mergeCell ref="C177:C178"/>
    <mergeCell ref="D177:D178"/>
    <mergeCell ref="E177:E178"/>
    <mergeCell ref="F177:G177"/>
    <mergeCell ref="H161:I161"/>
    <mergeCell ref="A167:F167"/>
    <mergeCell ref="A169:A170"/>
    <mergeCell ref="B169:B170"/>
    <mergeCell ref="C169:C170"/>
    <mergeCell ref="D169:D170"/>
    <mergeCell ref="E169:E170"/>
    <mergeCell ref="F169:G169"/>
    <mergeCell ref="H169:I169"/>
    <mergeCell ref="A159:F159"/>
    <mergeCell ref="A161:A162"/>
    <mergeCell ref="B161:B162"/>
    <mergeCell ref="C161:C162"/>
    <mergeCell ref="D161:D162"/>
    <mergeCell ref="E161:E162"/>
    <mergeCell ref="F161:G161"/>
    <mergeCell ref="H145:I145"/>
    <mergeCell ref="A151:F151"/>
    <mergeCell ref="A153:A154"/>
    <mergeCell ref="B153:B154"/>
    <mergeCell ref="C153:C154"/>
    <mergeCell ref="D153:D154"/>
    <mergeCell ref="E153:E154"/>
    <mergeCell ref="F153:G153"/>
    <mergeCell ref="H153:I153"/>
    <mergeCell ref="A143:F143"/>
    <mergeCell ref="A145:A146"/>
    <mergeCell ref="B145:B146"/>
    <mergeCell ref="C145:C146"/>
    <mergeCell ref="D145:D146"/>
    <mergeCell ref="E145:E146"/>
    <mergeCell ref="F145:G145"/>
    <mergeCell ref="H127:I127"/>
    <mergeCell ref="A135:F135"/>
    <mergeCell ref="A137:A138"/>
    <mergeCell ref="B137:B138"/>
    <mergeCell ref="C137:C138"/>
    <mergeCell ref="D137:D138"/>
    <mergeCell ref="E137:E138"/>
    <mergeCell ref="F137:G137"/>
    <mergeCell ref="H137:I137"/>
    <mergeCell ref="A125:F125"/>
    <mergeCell ref="A127:A128"/>
    <mergeCell ref="B127:B128"/>
    <mergeCell ref="C127:C128"/>
    <mergeCell ref="D127:D128"/>
    <mergeCell ref="E127:E128"/>
    <mergeCell ref="F127:G127"/>
    <mergeCell ref="H109:I109"/>
    <mergeCell ref="A117:F117"/>
    <mergeCell ref="A119:A120"/>
    <mergeCell ref="B119:B120"/>
    <mergeCell ref="C119:C120"/>
    <mergeCell ref="D119:D120"/>
    <mergeCell ref="E119:E120"/>
    <mergeCell ref="F119:G119"/>
    <mergeCell ref="H119:I119"/>
    <mergeCell ref="A107:F107"/>
    <mergeCell ref="A109:A110"/>
    <mergeCell ref="B109:B110"/>
    <mergeCell ref="C109:C110"/>
    <mergeCell ref="D109:D110"/>
    <mergeCell ref="E109:E110"/>
    <mergeCell ref="F109:G109"/>
    <mergeCell ref="H93:I93"/>
    <mergeCell ref="A99:F99"/>
    <mergeCell ref="A101:A102"/>
    <mergeCell ref="B101:B102"/>
    <mergeCell ref="C101:C102"/>
    <mergeCell ref="D101:D102"/>
    <mergeCell ref="E101:E102"/>
    <mergeCell ref="F101:G101"/>
    <mergeCell ref="H101:I101"/>
    <mergeCell ref="A91:F91"/>
    <mergeCell ref="A93:A94"/>
    <mergeCell ref="B93:B94"/>
    <mergeCell ref="C93:C94"/>
    <mergeCell ref="D93:D94"/>
    <mergeCell ref="E93:E94"/>
    <mergeCell ref="F93:G93"/>
    <mergeCell ref="H77:I77"/>
    <mergeCell ref="A83:F83"/>
    <mergeCell ref="A85:A86"/>
    <mergeCell ref="B85:B86"/>
    <mergeCell ref="C85:C86"/>
    <mergeCell ref="D85:D86"/>
    <mergeCell ref="E85:E86"/>
    <mergeCell ref="F85:G85"/>
    <mergeCell ref="H85:I85"/>
    <mergeCell ref="D77:D78"/>
    <mergeCell ref="E77:E78"/>
    <mergeCell ref="F77:G77"/>
    <mergeCell ref="H61:I61"/>
    <mergeCell ref="A67:F67"/>
    <mergeCell ref="A69:A70"/>
    <mergeCell ref="B69:B70"/>
    <mergeCell ref="C69:C70"/>
    <mergeCell ref="D69:D70"/>
    <mergeCell ref="E69:E70"/>
    <mergeCell ref="F69:G69"/>
    <mergeCell ref="H69:I69"/>
    <mergeCell ref="H45:I45"/>
    <mergeCell ref="A51:F51"/>
    <mergeCell ref="A53:A54"/>
    <mergeCell ref="B53:B54"/>
    <mergeCell ref="C53:C54"/>
    <mergeCell ref="D53:D54"/>
    <mergeCell ref="E53:E54"/>
    <mergeCell ref="F53:G53"/>
    <mergeCell ref="H53:I53"/>
    <mergeCell ref="A1:I1"/>
    <mergeCell ref="A2:I2"/>
    <mergeCell ref="A3:I3"/>
    <mergeCell ref="H5:H7"/>
    <mergeCell ref="I5:I7"/>
    <mergeCell ref="E4:G4"/>
    <mergeCell ref="E5:G7"/>
    <mergeCell ref="A11:A12"/>
    <mergeCell ref="B11:B12"/>
    <mergeCell ref="C11:C12"/>
    <mergeCell ref="D11:D12"/>
    <mergeCell ref="E11:E12"/>
    <mergeCell ref="F11:G11"/>
    <mergeCell ref="B4:D4"/>
    <mergeCell ref="B5:D5"/>
    <mergeCell ref="B6:D6"/>
    <mergeCell ref="B7:D7"/>
    <mergeCell ref="H11:I11"/>
    <mergeCell ref="A9:I9"/>
    <mergeCell ref="A8:I8"/>
    <mergeCell ref="H29:I29"/>
    <mergeCell ref="A35:F35"/>
    <mergeCell ref="A37:A38"/>
    <mergeCell ref="B37:B38"/>
    <mergeCell ref="C37:C38"/>
    <mergeCell ref="A19:F19"/>
    <mergeCell ref="E21:E22"/>
    <mergeCell ref="F21:G21"/>
    <mergeCell ref="H21:I21"/>
    <mergeCell ref="A27:F27"/>
    <mergeCell ref="D37:D38"/>
    <mergeCell ref="E37:E38"/>
    <mergeCell ref="F37:G37"/>
    <mergeCell ref="H37:I37"/>
    <mergeCell ref="A29:A30"/>
    <mergeCell ref="B29:B30"/>
    <mergeCell ref="C29:C30"/>
    <mergeCell ref="D29:D30"/>
    <mergeCell ref="E29:E30"/>
    <mergeCell ref="F29:G29"/>
    <mergeCell ref="A21:A22"/>
    <mergeCell ref="B21:B22"/>
    <mergeCell ref="C21:C22"/>
    <mergeCell ref="D21:D22"/>
    <mergeCell ref="A43:F43"/>
    <mergeCell ref="A45:A46"/>
    <mergeCell ref="B45:B46"/>
    <mergeCell ref="C45:C46"/>
    <mergeCell ref="D45:D46"/>
    <mergeCell ref="E45:E46"/>
    <mergeCell ref="F45:G45"/>
    <mergeCell ref="A295:A296"/>
    <mergeCell ref="B295:B296"/>
    <mergeCell ref="C295:C296"/>
    <mergeCell ref="D295:D296"/>
    <mergeCell ref="E295:E296"/>
    <mergeCell ref="F295:G295"/>
    <mergeCell ref="A59:F59"/>
    <mergeCell ref="A61:A62"/>
    <mergeCell ref="B61:B62"/>
    <mergeCell ref="C61:C62"/>
    <mergeCell ref="D61:D62"/>
    <mergeCell ref="E61:E62"/>
    <mergeCell ref="F61:G61"/>
    <mergeCell ref="A75:F75"/>
    <mergeCell ref="A77:A78"/>
    <mergeCell ref="B77:B78"/>
    <mergeCell ref="C77:C78"/>
    <mergeCell ref="H295:I295"/>
    <mergeCell ref="A303:F303"/>
    <mergeCell ref="A287:A288"/>
    <mergeCell ref="B287:B288"/>
    <mergeCell ref="C287:C288"/>
    <mergeCell ref="D287:D288"/>
    <mergeCell ref="E287:E288"/>
    <mergeCell ref="F287:G287"/>
    <mergeCell ref="H287:I287"/>
    <mergeCell ref="A293:F293"/>
  </mergeCells>
  <pageMargins left="0.511811024" right="0.511811024" top="0.78740157499999996" bottom="0.78740157499999996" header="0.31496062000000002" footer="0.31496062000000002"/>
  <pageSetup scale="59" orientation="portrait" r:id="rId1"/>
  <rowBreaks count="2" manualBreakCount="2">
    <brk id="240" max="16383" man="1"/>
    <brk id="26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72"/>
  <sheetViews>
    <sheetView showGridLines="0" tabSelected="1" view="pageBreakPreview" topLeftCell="A285" zoomScale="55" zoomScaleNormal="100" zoomScaleSheetLayoutView="55" zoomScalePageLayoutView="55" workbookViewId="0">
      <selection activeCell="G318" sqref="G318"/>
    </sheetView>
  </sheetViews>
  <sheetFormatPr defaultRowHeight="15.75" customHeight="1"/>
  <cols>
    <col min="1" max="1" width="19.7109375" style="273" customWidth="1"/>
    <col min="2" max="2" width="21.42578125" style="386" customWidth="1"/>
    <col min="3" max="3" width="51.140625" style="386" customWidth="1"/>
    <col min="4" max="4" width="13.28515625" style="386" bestFit="1" customWidth="1"/>
    <col min="5" max="5" width="14" style="387" customWidth="1"/>
    <col min="6" max="6" width="16.28515625" style="386" bestFit="1" customWidth="1"/>
    <col min="7" max="7" width="39.42578125" style="386" customWidth="1"/>
    <col min="8" max="8" width="113.7109375" style="399" customWidth="1"/>
    <col min="9" max="16384" width="9.140625" style="265"/>
  </cols>
  <sheetData>
    <row r="1" spans="1:8" ht="15.75" customHeight="1">
      <c r="A1" s="1506" t="str">
        <f>'MEM CAL'!A1</f>
        <v>GOVERNO DO ESTADO DE MATO GROSSO</v>
      </c>
      <c r="B1" s="1507"/>
      <c r="C1" s="1507"/>
      <c r="D1" s="1507"/>
      <c r="E1" s="1507"/>
      <c r="F1" s="1507"/>
      <c r="G1" s="1507"/>
      <c r="H1" s="1508"/>
    </row>
    <row r="2" spans="1:8" ht="15.75" customHeight="1">
      <c r="A2" s="1509" t="str">
        <f>'MEM CAL'!A2</f>
        <v>SEPLAG - SECRETARIA DE ESTADO DE PLANEJAMENTO E GESTÃO/MT</v>
      </c>
      <c r="B2" s="1510"/>
      <c r="C2" s="1510"/>
      <c r="D2" s="1510"/>
      <c r="E2" s="1510"/>
      <c r="F2" s="1510"/>
      <c r="G2" s="1510"/>
      <c r="H2" s="1511"/>
    </row>
    <row r="3" spans="1:8" ht="15.75" customHeight="1" thickBot="1">
      <c r="A3" s="266"/>
      <c r="B3" s="267"/>
      <c r="C3" s="267"/>
      <c r="D3" s="267"/>
      <c r="E3" s="267"/>
      <c r="F3" s="267"/>
      <c r="G3" s="267"/>
      <c r="H3" s="268"/>
    </row>
    <row r="4" spans="1:8" ht="15.75" customHeight="1">
      <c r="A4" s="269" t="str">
        <f>'MEM CAL'!A4</f>
        <v>OBRA:</v>
      </c>
      <c r="B4" s="270" t="s">
        <v>14732</v>
      </c>
      <c r="C4" s="270"/>
      <c r="D4" s="270"/>
      <c r="E4" s="116" t="str">
        <f>'MEM CAL'!E4</f>
        <v>FONTE:</v>
      </c>
      <c r="F4" s="116"/>
      <c r="G4" s="116" t="str">
        <f>PLANILHA!K4</f>
        <v>BDI NÃO DESON</v>
      </c>
      <c r="H4" s="271" t="str">
        <f>PLANILHA!L4</f>
        <v>BDI DESON</v>
      </c>
    </row>
    <row r="5" spans="1:8" ht="15.75" customHeight="1">
      <c r="A5" s="272" t="str">
        <f>'MEM CAL'!A5</f>
        <v>LOCAL:</v>
      </c>
      <c r="B5" s="273" t="s">
        <v>96</v>
      </c>
      <c r="C5" s="273"/>
      <c r="D5" s="273"/>
      <c r="E5" s="274" t="str">
        <f>'MEM CAL'!E5</f>
        <v>TABELA SINAPI 02/2022, SETOP 04/2021</v>
      </c>
      <c r="F5" s="274"/>
      <c r="G5" s="275">
        <f>PLANILHA!K6</f>
        <v>0.22226164190779008</v>
      </c>
      <c r="H5" s="276">
        <f>PLANILHA!L6</f>
        <v>0.28347674918197008</v>
      </c>
    </row>
    <row r="6" spans="1:8" ht="15.75" customHeight="1">
      <c r="A6" s="272" t="str">
        <f>'MEM CAL'!A6</f>
        <v>PROP:</v>
      </c>
      <c r="B6" s="273" t="s">
        <v>0</v>
      </c>
      <c r="C6" s="273"/>
      <c r="D6" s="273"/>
      <c r="E6" s="274"/>
      <c r="F6" s="274"/>
      <c r="G6" s="275"/>
      <c r="H6" s="276"/>
    </row>
    <row r="7" spans="1:8" ht="15.75" customHeight="1" thickBot="1">
      <c r="A7" s="277" t="str">
        <f>'MEM CAL'!A7</f>
        <v>END:</v>
      </c>
      <c r="B7" s="278" t="s">
        <v>161</v>
      </c>
      <c r="C7" s="278"/>
      <c r="D7" s="278"/>
      <c r="E7" s="279"/>
      <c r="F7" s="279"/>
      <c r="G7" s="280"/>
      <c r="H7" s="281"/>
    </row>
    <row r="8" spans="1:8" ht="15.75" customHeight="1" thickBot="1">
      <c r="A8" s="282"/>
      <c r="B8" s="283"/>
      <c r="C8" s="283"/>
      <c r="D8" s="283"/>
      <c r="E8" s="283"/>
      <c r="F8" s="283"/>
      <c r="G8" s="283"/>
      <c r="H8" s="284"/>
    </row>
    <row r="9" spans="1:8" ht="15.75" customHeight="1" thickBot="1">
      <c r="A9" s="285" t="s">
        <v>14713</v>
      </c>
      <c r="B9" s="286"/>
      <c r="C9" s="286"/>
      <c r="D9" s="286"/>
      <c r="E9" s="286"/>
      <c r="F9" s="286"/>
      <c r="G9" s="286"/>
      <c r="H9" s="287"/>
    </row>
    <row r="10" spans="1:8" ht="15.75" customHeight="1" thickBot="1">
      <c r="A10" s="272"/>
      <c r="B10" s="114"/>
      <c r="C10" s="114"/>
      <c r="D10" s="114"/>
      <c r="E10" s="114"/>
      <c r="F10" s="114"/>
      <c r="G10" s="114"/>
      <c r="H10" s="288"/>
    </row>
    <row r="11" spans="1:8" ht="15.75" customHeight="1">
      <c r="A11" s="289" t="s">
        <v>14286</v>
      </c>
      <c r="B11" s="290" t="s">
        <v>7055</v>
      </c>
      <c r="C11" s="290"/>
      <c r="D11" s="290"/>
      <c r="E11" s="290"/>
      <c r="F11" s="290"/>
      <c r="G11" s="290"/>
      <c r="H11" s="291"/>
    </row>
    <row r="12" spans="1:8" ht="15.75" customHeight="1">
      <c r="A12" s="292" t="s">
        <v>6</v>
      </c>
      <c r="B12" s="293" t="s">
        <v>7050</v>
      </c>
      <c r="C12" s="294" t="s">
        <v>7049</v>
      </c>
      <c r="D12" s="295" t="s">
        <v>24</v>
      </c>
      <c r="E12" s="296" t="s">
        <v>7046</v>
      </c>
      <c r="F12" s="293" t="s">
        <v>254</v>
      </c>
      <c r="G12" s="293" t="s">
        <v>7047</v>
      </c>
      <c r="H12" s="297" t="s">
        <v>7048</v>
      </c>
    </row>
    <row r="13" spans="1:8" ht="15.75" customHeight="1">
      <c r="A13" s="120" t="s">
        <v>7</v>
      </c>
      <c r="B13" s="298">
        <v>44722</v>
      </c>
      <c r="C13" s="165" t="s">
        <v>27797</v>
      </c>
      <c r="D13" s="113" t="s">
        <v>32</v>
      </c>
      <c r="E13" s="59">
        <v>2293.65</v>
      </c>
      <c r="F13" s="165" t="s">
        <v>13254</v>
      </c>
      <c r="G13" s="165" t="s">
        <v>13255</v>
      </c>
      <c r="H13" s="167" t="s">
        <v>27798</v>
      </c>
    </row>
    <row r="14" spans="1:8" ht="15.75" customHeight="1">
      <c r="A14" s="120" t="s">
        <v>50</v>
      </c>
      <c r="B14" s="298">
        <v>44721</v>
      </c>
      <c r="C14" s="165" t="s">
        <v>27799</v>
      </c>
      <c r="D14" s="113" t="s">
        <v>32</v>
      </c>
      <c r="E14" s="59">
        <v>2775</v>
      </c>
      <c r="F14" s="165" t="s">
        <v>27800</v>
      </c>
      <c r="G14" s="165" t="s">
        <v>27801</v>
      </c>
      <c r="H14" s="299" t="s">
        <v>27947</v>
      </c>
    </row>
    <row r="15" spans="1:8" ht="15.75" customHeight="1">
      <c r="A15" s="120" t="s">
        <v>52</v>
      </c>
      <c r="B15" s="298">
        <v>44721</v>
      </c>
      <c r="C15" s="165" t="s">
        <v>27802</v>
      </c>
      <c r="D15" s="113" t="s">
        <v>32</v>
      </c>
      <c r="E15" s="59">
        <v>1750</v>
      </c>
      <c r="F15" s="165" t="s">
        <v>27803</v>
      </c>
      <c r="G15" s="165" t="s">
        <v>27804</v>
      </c>
      <c r="H15" s="160" t="s">
        <v>27805</v>
      </c>
    </row>
    <row r="16" spans="1:8" ht="15.75" customHeight="1" thickBot="1">
      <c r="A16" s="300" t="str">
        <f>CONCATENATE("MEDIANA - ",A11)</f>
        <v>MEDIANA - COT02</v>
      </c>
      <c r="B16" s="115"/>
      <c r="C16" s="115"/>
      <c r="D16" s="301"/>
      <c r="E16" s="150">
        <f>MEDIAN(E13:E14)</f>
        <v>2534.3249999999998</v>
      </c>
      <c r="F16" s="301"/>
      <c r="G16" s="301"/>
      <c r="H16" s="302"/>
    </row>
    <row r="17" spans="1:8" ht="15.75" customHeight="1" thickBot="1">
      <c r="A17" s="272"/>
      <c r="B17" s="114"/>
      <c r="C17" s="114"/>
      <c r="D17" s="114"/>
      <c r="E17" s="114"/>
      <c r="F17" s="114"/>
      <c r="G17" s="114"/>
      <c r="H17" s="288"/>
    </row>
    <row r="18" spans="1:8" ht="15.75" customHeight="1">
      <c r="A18" s="289" t="s">
        <v>14287</v>
      </c>
      <c r="B18" s="290" t="s">
        <v>7051</v>
      </c>
      <c r="C18" s="290"/>
      <c r="D18" s="290"/>
      <c r="E18" s="290"/>
      <c r="F18" s="290"/>
      <c r="G18" s="290"/>
      <c r="H18" s="291"/>
    </row>
    <row r="19" spans="1:8" ht="15.75" customHeight="1">
      <c r="A19" s="292" t="s">
        <v>6</v>
      </c>
      <c r="B19" s="293" t="s">
        <v>7050</v>
      </c>
      <c r="C19" s="294" t="s">
        <v>7049</v>
      </c>
      <c r="D19" s="295" t="s">
        <v>24</v>
      </c>
      <c r="E19" s="296" t="s">
        <v>7046</v>
      </c>
      <c r="F19" s="293" t="s">
        <v>254</v>
      </c>
      <c r="G19" s="293" t="s">
        <v>7047</v>
      </c>
      <c r="H19" s="297" t="s">
        <v>7048</v>
      </c>
    </row>
    <row r="20" spans="1:8" ht="15.75" customHeight="1">
      <c r="A20" s="120" t="s">
        <v>7</v>
      </c>
      <c r="B20" s="298">
        <v>44714</v>
      </c>
      <c r="C20" s="165" t="s">
        <v>7239</v>
      </c>
      <c r="D20" s="113" t="s">
        <v>32</v>
      </c>
      <c r="E20" s="59">
        <v>113.83</v>
      </c>
      <c r="F20" s="165" t="s">
        <v>27467</v>
      </c>
      <c r="G20" s="165" t="s">
        <v>27468</v>
      </c>
      <c r="H20" s="299" t="s">
        <v>27469</v>
      </c>
    </row>
    <row r="21" spans="1:8" ht="15.75" customHeight="1">
      <c r="A21" s="120" t="s">
        <v>50</v>
      </c>
      <c r="B21" s="298">
        <v>44714</v>
      </c>
      <c r="C21" s="165" t="s">
        <v>7102</v>
      </c>
      <c r="D21" s="113" t="s">
        <v>32</v>
      </c>
      <c r="E21" s="59">
        <v>276.99</v>
      </c>
      <c r="F21" s="165" t="s">
        <v>27470</v>
      </c>
      <c r="G21" s="165" t="s">
        <v>27806</v>
      </c>
      <c r="H21" s="299" t="s">
        <v>27471</v>
      </c>
    </row>
    <row r="22" spans="1:8" ht="15.75" customHeight="1">
      <c r="A22" s="120" t="s">
        <v>52</v>
      </c>
      <c r="B22" s="298">
        <v>44714</v>
      </c>
      <c r="C22" s="165" t="s">
        <v>7235</v>
      </c>
      <c r="D22" s="113" t="s">
        <v>32</v>
      </c>
      <c r="E22" s="59">
        <v>119.9</v>
      </c>
      <c r="F22" s="165" t="s">
        <v>13221</v>
      </c>
      <c r="G22" s="165" t="s">
        <v>27529</v>
      </c>
      <c r="H22" s="299" t="s">
        <v>27816</v>
      </c>
    </row>
    <row r="23" spans="1:8" ht="15.75" customHeight="1" thickBot="1">
      <c r="A23" s="300" t="str">
        <f>CONCATENATE("MEDIANA - ",A18)</f>
        <v>MEDIANA - COT03</v>
      </c>
      <c r="B23" s="115"/>
      <c r="C23" s="115"/>
      <c r="D23" s="301"/>
      <c r="E23" s="150">
        <f>MEDIAN(E20:E22)</f>
        <v>119.9</v>
      </c>
      <c r="F23" s="301"/>
      <c r="G23" s="301"/>
      <c r="H23" s="302"/>
    </row>
    <row r="24" spans="1:8" ht="15.75" customHeight="1" thickBot="1">
      <c r="A24" s="282"/>
      <c r="B24" s="283"/>
      <c r="C24" s="283"/>
      <c r="D24" s="283"/>
      <c r="E24" s="283"/>
      <c r="F24" s="283"/>
      <c r="G24" s="283"/>
      <c r="H24" s="284"/>
    </row>
    <row r="25" spans="1:8" ht="15.75" customHeight="1">
      <c r="A25" s="289" t="s">
        <v>14288</v>
      </c>
      <c r="B25" s="290" t="s">
        <v>7052</v>
      </c>
      <c r="C25" s="290"/>
      <c r="D25" s="290"/>
      <c r="E25" s="290"/>
      <c r="F25" s="290"/>
      <c r="G25" s="290"/>
      <c r="H25" s="291"/>
    </row>
    <row r="26" spans="1:8" ht="15.75" customHeight="1">
      <c r="A26" s="292" t="s">
        <v>6</v>
      </c>
      <c r="B26" s="293" t="s">
        <v>7050</v>
      </c>
      <c r="C26" s="294" t="s">
        <v>7049</v>
      </c>
      <c r="D26" s="295" t="s">
        <v>24</v>
      </c>
      <c r="E26" s="296" t="s">
        <v>7046</v>
      </c>
      <c r="F26" s="293" t="s">
        <v>254</v>
      </c>
      <c r="G26" s="293" t="s">
        <v>7047</v>
      </c>
      <c r="H26" s="297" t="s">
        <v>7048</v>
      </c>
    </row>
    <row r="27" spans="1:8" ht="15.75" customHeight="1">
      <c r="A27" s="120" t="s">
        <v>7</v>
      </c>
      <c r="B27" s="298">
        <v>44714</v>
      </c>
      <c r="C27" s="165" t="s">
        <v>7102</v>
      </c>
      <c r="D27" s="113" t="s">
        <v>32</v>
      </c>
      <c r="E27" s="59">
        <v>289.49</v>
      </c>
      <c r="F27" s="165" t="s">
        <v>7103</v>
      </c>
      <c r="G27" s="165" t="s">
        <v>27806</v>
      </c>
      <c r="H27" s="299" t="s">
        <v>27471</v>
      </c>
    </row>
    <row r="28" spans="1:8" ht="15.75" customHeight="1">
      <c r="A28" s="120" t="s">
        <v>50</v>
      </c>
      <c r="B28" s="298">
        <v>44714</v>
      </c>
      <c r="C28" s="165" t="s">
        <v>13215</v>
      </c>
      <c r="D28" s="113" t="s">
        <v>32</v>
      </c>
      <c r="E28" s="59">
        <f>148.06+25.66</f>
        <v>173.72</v>
      </c>
      <c r="F28" s="165" t="s">
        <v>27263</v>
      </c>
      <c r="G28" s="165" t="s">
        <v>27264</v>
      </c>
      <c r="H28" s="303" t="s">
        <v>13214</v>
      </c>
    </row>
    <row r="29" spans="1:8" ht="15.75" customHeight="1">
      <c r="A29" s="120" t="s">
        <v>52</v>
      </c>
      <c r="B29" s="298">
        <v>44718</v>
      </c>
      <c r="C29" s="165" t="s">
        <v>27472</v>
      </c>
      <c r="D29" s="113" t="s">
        <v>32</v>
      </c>
      <c r="E29" s="59">
        <v>102.68</v>
      </c>
      <c r="F29" s="165" t="s">
        <v>27473</v>
      </c>
      <c r="G29" s="165" t="s">
        <v>27474</v>
      </c>
      <c r="H29" s="299" t="s">
        <v>27475</v>
      </c>
    </row>
    <row r="30" spans="1:8" ht="15.75" customHeight="1" thickBot="1">
      <c r="A30" s="300" t="str">
        <f>CONCATENATE("MEDIANA - ",A25)</f>
        <v>MEDIANA - COT04</v>
      </c>
      <c r="B30" s="115"/>
      <c r="C30" s="115"/>
      <c r="D30" s="301"/>
      <c r="E30" s="150">
        <f>MEDIAN(E27:E29)</f>
        <v>173.72</v>
      </c>
      <c r="F30" s="301"/>
      <c r="G30" s="301"/>
      <c r="H30" s="302"/>
    </row>
    <row r="31" spans="1:8" ht="15.75" customHeight="1" thickBot="1">
      <c r="A31" s="282"/>
      <c r="B31" s="283"/>
      <c r="C31" s="283"/>
      <c r="D31" s="283"/>
      <c r="E31" s="283"/>
      <c r="F31" s="283"/>
      <c r="G31" s="283"/>
      <c r="H31" s="284"/>
    </row>
    <row r="32" spans="1:8" ht="15.75" customHeight="1">
      <c r="A32" s="289" t="s">
        <v>14289</v>
      </c>
      <c r="B32" s="290" t="s">
        <v>7053</v>
      </c>
      <c r="C32" s="290"/>
      <c r="D32" s="290"/>
      <c r="E32" s="290"/>
      <c r="F32" s="290"/>
      <c r="G32" s="290"/>
      <c r="H32" s="291"/>
    </row>
    <row r="33" spans="1:8" ht="15.75" customHeight="1">
      <c r="A33" s="292" t="s">
        <v>6</v>
      </c>
      <c r="B33" s="293" t="s">
        <v>7050</v>
      </c>
      <c r="C33" s="294" t="s">
        <v>7049</v>
      </c>
      <c r="D33" s="295" t="s">
        <v>24</v>
      </c>
      <c r="E33" s="296" t="s">
        <v>7046</v>
      </c>
      <c r="F33" s="293" t="s">
        <v>254</v>
      </c>
      <c r="G33" s="293" t="s">
        <v>7047</v>
      </c>
      <c r="H33" s="297" t="s">
        <v>7048</v>
      </c>
    </row>
    <row r="34" spans="1:8" ht="15.75" customHeight="1">
      <c r="A34" s="120" t="s">
        <v>7</v>
      </c>
      <c r="B34" s="298">
        <v>44714</v>
      </c>
      <c r="C34" s="165" t="s">
        <v>7235</v>
      </c>
      <c r="D34" s="113" t="s">
        <v>32</v>
      </c>
      <c r="E34" s="59">
        <v>171.9</v>
      </c>
      <c r="F34" s="165" t="s">
        <v>13221</v>
      </c>
      <c r="G34" s="165" t="s">
        <v>27529</v>
      </c>
      <c r="H34" s="299" t="s">
        <v>27816</v>
      </c>
    </row>
    <row r="35" spans="1:8" ht="15.75" customHeight="1">
      <c r="A35" s="120" t="s">
        <v>50</v>
      </c>
      <c r="B35" s="298">
        <v>44718</v>
      </c>
      <c r="C35" s="165" t="s">
        <v>13282</v>
      </c>
      <c r="D35" s="113" t="s">
        <v>32</v>
      </c>
      <c r="E35" s="59">
        <v>200.64</v>
      </c>
      <c r="F35" s="165" t="s">
        <v>27269</v>
      </c>
      <c r="G35" s="165" t="s">
        <v>27270</v>
      </c>
      <c r="H35" s="299" t="s">
        <v>27476</v>
      </c>
    </row>
    <row r="36" spans="1:8" ht="15.75" customHeight="1">
      <c r="A36" s="120" t="s">
        <v>52</v>
      </c>
      <c r="B36" s="298">
        <v>44718</v>
      </c>
      <c r="C36" s="165" t="s">
        <v>7243</v>
      </c>
      <c r="D36" s="113" t="s">
        <v>32</v>
      </c>
      <c r="E36" s="59">
        <v>208.67</v>
      </c>
      <c r="F36" s="165" t="s">
        <v>13285</v>
      </c>
      <c r="G36" s="165" t="s">
        <v>13286</v>
      </c>
      <c r="H36" s="299" t="s">
        <v>27477</v>
      </c>
    </row>
    <row r="37" spans="1:8" ht="15.75" customHeight="1" thickBot="1">
      <c r="A37" s="300" t="str">
        <f>CONCATENATE("MEDIANA - ",A32)</f>
        <v>MEDIANA - COT05</v>
      </c>
      <c r="B37" s="115"/>
      <c r="C37" s="115"/>
      <c r="D37" s="301"/>
      <c r="E37" s="150">
        <f>MEDIAN(E34:E36)</f>
        <v>200.64</v>
      </c>
      <c r="F37" s="301"/>
      <c r="G37" s="301"/>
      <c r="H37" s="302"/>
    </row>
    <row r="38" spans="1:8" ht="15.75" customHeight="1" thickBot="1">
      <c r="A38" s="282"/>
      <c r="B38" s="283"/>
      <c r="C38" s="283"/>
      <c r="D38" s="283"/>
      <c r="E38" s="283"/>
      <c r="F38" s="283"/>
      <c r="G38" s="283"/>
      <c r="H38" s="284"/>
    </row>
    <row r="39" spans="1:8" ht="15.75" customHeight="1">
      <c r="A39" s="289" t="s">
        <v>14290</v>
      </c>
      <c r="B39" s="290" t="s">
        <v>14508</v>
      </c>
      <c r="C39" s="290"/>
      <c r="D39" s="290"/>
      <c r="E39" s="290"/>
      <c r="F39" s="290"/>
      <c r="G39" s="290"/>
      <c r="H39" s="291"/>
    </row>
    <row r="40" spans="1:8" ht="15.75" customHeight="1">
      <c r="A40" s="292" t="s">
        <v>6</v>
      </c>
      <c r="B40" s="293" t="s">
        <v>7050</v>
      </c>
      <c r="C40" s="294" t="s">
        <v>7049</v>
      </c>
      <c r="D40" s="295" t="s">
        <v>24</v>
      </c>
      <c r="E40" s="296" t="s">
        <v>7046</v>
      </c>
      <c r="F40" s="293" t="s">
        <v>254</v>
      </c>
      <c r="G40" s="293" t="s">
        <v>7047</v>
      </c>
      <c r="H40" s="297" t="s">
        <v>7048</v>
      </c>
    </row>
    <row r="41" spans="1:8" ht="15.75" customHeight="1">
      <c r="A41" s="120" t="s">
        <v>7</v>
      </c>
      <c r="B41" s="298">
        <v>44718</v>
      </c>
      <c r="C41" s="165" t="s">
        <v>13273</v>
      </c>
      <c r="D41" s="113" t="s">
        <v>24</v>
      </c>
      <c r="E41" s="59">
        <v>684.45</v>
      </c>
      <c r="F41" s="165" t="s">
        <v>13176</v>
      </c>
      <c r="G41" s="165" t="s">
        <v>13272</v>
      </c>
      <c r="H41" s="299" t="s">
        <v>27478</v>
      </c>
    </row>
    <row r="42" spans="1:8" ht="15.75" customHeight="1">
      <c r="A42" s="120" t="s">
        <v>50</v>
      </c>
      <c r="B42" s="298">
        <v>44714</v>
      </c>
      <c r="C42" s="165" t="s">
        <v>7102</v>
      </c>
      <c r="D42" s="113" t="s">
        <v>32</v>
      </c>
      <c r="E42" s="59">
        <v>878.49</v>
      </c>
      <c r="F42" s="165" t="s">
        <v>7103</v>
      </c>
      <c r="G42" s="165" t="s">
        <v>27806</v>
      </c>
      <c r="H42" s="299" t="s">
        <v>27471</v>
      </c>
    </row>
    <row r="43" spans="1:8" ht="15.75" customHeight="1">
      <c r="A43" s="120" t="s">
        <v>52</v>
      </c>
      <c r="B43" s="298">
        <v>44714</v>
      </c>
      <c r="C43" s="165" t="s">
        <v>7235</v>
      </c>
      <c r="D43" s="113" t="s">
        <v>32</v>
      </c>
      <c r="E43" s="59">
        <v>860.9</v>
      </c>
      <c r="F43" s="165" t="s">
        <v>13221</v>
      </c>
      <c r="G43" s="165" t="s">
        <v>27529</v>
      </c>
      <c r="H43" s="299" t="s">
        <v>27816</v>
      </c>
    </row>
    <row r="44" spans="1:8" ht="15.75" customHeight="1" thickBot="1">
      <c r="A44" s="300" t="str">
        <f>CONCATENATE("MEDIANA - ",A39)</f>
        <v>MEDIANA - COT06</v>
      </c>
      <c r="B44" s="115"/>
      <c r="C44" s="115"/>
      <c r="D44" s="301"/>
      <c r="E44" s="150">
        <f>MEDIAN(E41:E43)</f>
        <v>860.9</v>
      </c>
      <c r="F44" s="301"/>
      <c r="G44" s="301"/>
      <c r="H44" s="302"/>
    </row>
    <row r="45" spans="1:8" ht="15.75" customHeight="1" thickBot="1">
      <c r="A45" s="282"/>
      <c r="B45" s="283"/>
      <c r="C45" s="283"/>
      <c r="D45" s="283"/>
      <c r="E45" s="283"/>
      <c r="F45" s="283"/>
      <c r="G45" s="283"/>
      <c r="H45" s="284"/>
    </row>
    <row r="46" spans="1:8" ht="15.75" customHeight="1">
      <c r="A46" s="289" t="s">
        <v>14291</v>
      </c>
      <c r="B46" s="290" t="s">
        <v>27807</v>
      </c>
      <c r="C46" s="290"/>
      <c r="D46" s="290"/>
      <c r="E46" s="290"/>
      <c r="F46" s="290"/>
      <c r="G46" s="290"/>
      <c r="H46" s="291"/>
    </row>
    <row r="47" spans="1:8" ht="15.75" customHeight="1">
      <c r="A47" s="292" t="s">
        <v>6</v>
      </c>
      <c r="B47" s="293" t="s">
        <v>7050</v>
      </c>
      <c r="C47" s="294" t="s">
        <v>7049</v>
      </c>
      <c r="D47" s="295" t="s">
        <v>24</v>
      </c>
      <c r="E47" s="296" t="s">
        <v>7046</v>
      </c>
      <c r="F47" s="293" t="s">
        <v>254</v>
      </c>
      <c r="G47" s="293" t="s">
        <v>7047</v>
      </c>
      <c r="H47" s="297" t="s">
        <v>7048</v>
      </c>
    </row>
    <row r="48" spans="1:8" ht="15.75" customHeight="1">
      <c r="A48" s="120" t="s">
        <v>7</v>
      </c>
      <c r="B48" s="298">
        <v>44718</v>
      </c>
      <c r="C48" s="165" t="s">
        <v>13282</v>
      </c>
      <c r="D48" s="113" t="s">
        <v>32</v>
      </c>
      <c r="E48" s="59">
        <v>233.89</v>
      </c>
      <c r="F48" s="165" t="s">
        <v>27269</v>
      </c>
      <c r="G48" s="165" t="s">
        <v>27270</v>
      </c>
      <c r="H48" s="299" t="s">
        <v>27479</v>
      </c>
    </row>
    <row r="49" spans="1:8" ht="15.75" customHeight="1">
      <c r="A49" s="120" t="s">
        <v>50</v>
      </c>
      <c r="B49" s="298">
        <v>44718</v>
      </c>
      <c r="C49" s="165" t="s">
        <v>13292</v>
      </c>
      <c r="D49" s="113" t="s">
        <v>32</v>
      </c>
      <c r="E49" s="59">
        <v>204.61</v>
      </c>
      <c r="F49" s="166" t="s">
        <v>27271</v>
      </c>
      <c r="G49" s="165" t="s">
        <v>13293</v>
      </c>
      <c r="H49" s="299" t="s">
        <v>27480</v>
      </c>
    </row>
    <row r="50" spans="1:8" ht="15.75" customHeight="1">
      <c r="A50" s="120" t="s">
        <v>52</v>
      </c>
      <c r="B50" s="298">
        <v>44718</v>
      </c>
      <c r="C50" s="165" t="s">
        <v>13273</v>
      </c>
      <c r="D50" s="113" t="s">
        <v>24</v>
      </c>
      <c r="E50" s="59">
        <v>163.79</v>
      </c>
      <c r="F50" s="165" t="s">
        <v>13176</v>
      </c>
      <c r="G50" s="165" t="s">
        <v>13272</v>
      </c>
      <c r="H50" s="299" t="s">
        <v>27481</v>
      </c>
    </row>
    <row r="51" spans="1:8" ht="15.75" customHeight="1" thickBot="1">
      <c r="A51" s="300" t="str">
        <f>CONCATENATE("MEDIANA - ",A46)</f>
        <v>MEDIANA - COT07</v>
      </c>
      <c r="B51" s="115"/>
      <c r="C51" s="115"/>
      <c r="D51" s="301"/>
      <c r="E51" s="150">
        <f>MEDIAN(E48:E50)</f>
        <v>204.61</v>
      </c>
      <c r="F51" s="301"/>
      <c r="G51" s="301"/>
      <c r="H51" s="302"/>
    </row>
    <row r="52" spans="1:8" ht="15.75" customHeight="1" thickBot="1">
      <c r="A52" s="282"/>
      <c r="B52" s="283"/>
      <c r="C52" s="283"/>
      <c r="D52" s="283"/>
      <c r="E52" s="283"/>
      <c r="F52" s="283"/>
      <c r="G52" s="283"/>
      <c r="H52" s="284"/>
    </row>
    <row r="53" spans="1:8" ht="15.75" customHeight="1">
      <c r="A53" s="289" t="s">
        <v>14292</v>
      </c>
      <c r="B53" s="290" t="s">
        <v>7054</v>
      </c>
      <c r="C53" s="290"/>
      <c r="D53" s="290"/>
      <c r="E53" s="290"/>
      <c r="F53" s="290"/>
      <c r="G53" s="290"/>
      <c r="H53" s="291"/>
    </row>
    <row r="54" spans="1:8" ht="15.75" customHeight="1">
      <c r="A54" s="292" t="s">
        <v>6</v>
      </c>
      <c r="B54" s="293" t="s">
        <v>7050</v>
      </c>
      <c r="C54" s="294" t="s">
        <v>7049</v>
      </c>
      <c r="D54" s="295" t="s">
        <v>24</v>
      </c>
      <c r="E54" s="296" t="s">
        <v>7046</v>
      </c>
      <c r="F54" s="293" t="s">
        <v>254</v>
      </c>
      <c r="G54" s="293" t="s">
        <v>7047</v>
      </c>
      <c r="H54" s="297" t="s">
        <v>7048</v>
      </c>
    </row>
    <row r="55" spans="1:8" ht="15.75" customHeight="1">
      <c r="A55" s="120" t="s">
        <v>7</v>
      </c>
      <c r="B55" s="298">
        <v>44714</v>
      </c>
      <c r="C55" s="165" t="s">
        <v>7243</v>
      </c>
      <c r="D55" s="113" t="s">
        <v>32</v>
      </c>
      <c r="E55" s="59">
        <v>115.8</v>
      </c>
      <c r="F55" s="165" t="s">
        <v>13285</v>
      </c>
      <c r="G55" s="165" t="s">
        <v>13286</v>
      </c>
      <c r="H55" s="304" t="s">
        <v>13287</v>
      </c>
    </row>
    <row r="56" spans="1:8" ht="15.75" customHeight="1">
      <c r="A56" s="120" t="s">
        <v>50</v>
      </c>
      <c r="B56" s="298">
        <v>44714</v>
      </c>
      <c r="C56" s="165" t="s">
        <v>7102</v>
      </c>
      <c r="D56" s="113" t="s">
        <v>32</v>
      </c>
      <c r="E56" s="59">
        <v>89.9</v>
      </c>
      <c r="F56" s="165" t="s">
        <v>7103</v>
      </c>
      <c r="G56" s="165" t="s">
        <v>27806</v>
      </c>
      <c r="H56" s="299" t="s">
        <v>27471</v>
      </c>
    </row>
    <row r="57" spans="1:8" ht="15.75" customHeight="1">
      <c r="A57" s="305" t="s">
        <v>52</v>
      </c>
      <c r="B57" s="164">
        <v>44714</v>
      </c>
      <c r="C57" s="166" t="s">
        <v>7239</v>
      </c>
      <c r="D57" s="60" t="s">
        <v>32</v>
      </c>
      <c r="E57" s="57">
        <v>90.05</v>
      </c>
      <c r="F57" s="166" t="s">
        <v>27482</v>
      </c>
      <c r="G57" s="165" t="s">
        <v>27468</v>
      </c>
      <c r="H57" s="306" t="s">
        <v>27469</v>
      </c>
    </row>
    <row r="58" spans="1:8" ht="15.75" customHeight="1" thickBot="1">
      <c r="A58" s="300" t="str">
        <f>CONCATENATE("MEDIANA - ",A53)</f>
        <v>MEDIANA - COT08</v>
      </c>
      <c r="B58" s="115"/>
      <c r="C58" s="115"/>
      <c r="D58" s="301"/>
      <c r="E58" s="150">
        <f>MEDIAN(E55:E57)</f>
        <v>90.05</v>
      </c>
      <c r="F58" s="301"/>
      <c r="G58" s="301"/>
      <c r="H58" s="302"/>
    </row>
    <row r="59" spans="1:8" ht="15.75" customHeight="1" thickBot="1">
      <c r="A59" s="282"/>
      <c r="B59" s="283"/>
      <c r="C59" s="283"/>
      <c r="D59" s="283"/>
      <c r="E59" s="283"/>
      <c r="F59" s="283"/>
      <c r="G59" s="283"/>
      <c r="H59" s="284"/>
    </row>
    <row r="60" spans="1:8" ht="15.75" customHeight="1">
      <c r="A60" s="289" t="s">
        <v>14293</v>
      </c>
      <c r="B60" s="290" t="s">
        <v>7056</v>
      </c>
      <c r="C60" s="290"/>
      <c r="D60" s="290"/>
      <c r="E60" s="290"/>
      <c r="F60" s="290"/>
      <c r="G60" s="290"/>
      <c r="H60" s="291"/>
    </row>
    <row r="61" spans="1:8" ht="15.75" customHeight="1">
      <c r="A61" s="292" t="s">
        <v>6</v>
      </c>
      <c r="B61" s="293" t="s">
        <v>7050</v>
      </c>
      <c r="C61" s="294" t="s">
        <v>7049</v>
      </c>
      <c r="D61" s="295" t="s">
        <v>24</v>
      </c>
      <c r="E61" s="296" t="s">
        <v>7046</v>
      </c>
      <c r="F61" s="293" t="s">
        <v>254</v>
      </c>
      <c r="G61" s="293" t="s">
        <v>7047</v>
      </c>
      <c r="H61" s="297" t="s">
        <v>7048</v>
      </c>
    </row>
    <row r="62" spans="1:8" ht="15.75" customHeight="1">
      <c r="A62" s="305" t="s">
        <v>7</v>
      </c>
      <c r="B62" s="164">
        <v>44714</v>
      </c>
      <c r="C62" s="166" t="s">
        <v>7235</v>
      </c>
      <c r="D62" s="60" t="s">
        <v>32</v>
      </c>
      <c r="E62" s="57">
        <v>1172.9000000000001</v>
      </c>
      <c r="F62" s="166" t="s">
        <v>13221</v>
      </c>
      <c r="G62" s="165" t="s">
        <v>27529</v>
      </c>
      <c r="H62" s="299" t="s">
        <v>27816</v>
      </c>
    </row>
    <row r="63" spans="1:8" ht="15.75" customHeight="1">
      <c r="A63" s="120" t="s">
        <v>50</v>
      </c>
      <c r="B63" s="298">
        <v>44714</v>
      </c>
      <c r="C63" s="165" t="s">
        <v>13273</v>
      </c>
      <c r="D63" s="113" t="s">
        <v>24</v>
      </c>
      <c r="E63" s="59">
        <v>1033.9000000000001</v>
      </c>
      <c r="F63" s="165" t="s">
        <v>13176</v>
      </c>
      <c r="G63" s="165" t="s">
        <v>13272</v>
      </c>
      <c r="H63" s="299" t="s">
        <v>27483</v>
      </c>
    </row>
    <row r="64" spans="1:8" ht="15.75" customHeight="1">
      <c r="A64" s="120" t="s">
        <v>52</v>
      </c>
      <c r="B64" s="298">
        <v>44714</v>
      </c>
      <c r="C64" s="165" t="s">
        <v>7102</v>
      </c>
      <c r="D64" s="113" t="s">
        <v>32</v>
      </c>
      <c r="E64" s="59">
        <v>944.49</v>
      </c>
      <c r="F64" s="165" t="s">
        <v>7103</v>
      </c>
      <c r="G64" s="165" t="s">
        <v>27806</v>
      </c>
      <c r="H64" s="299" t="s">
        <v>27471</v>
      </c>
    </row>
    <row r="65" spans="1:8" ht="15.75" customHeight="1" thickBot="1">
      <c r="A65" s="300" t="str">
        <f>CONCATENATE("MEDIANA - ",A60)</f>
        <v>MEDIANA - COT09</v>
      </c>
      <c r="B65" s="115"/>
      <c r="C65" s="115"/>
      <c r="D65" s="301"/>
      <c r="E65" s="150">
        <f>MEDIAN(E62:E64)</f>
        <v>1033.9000000000001</v>
      </c>
      <c r="F65" s="301"/>
      <c r="G65" s="301"/>
      <c r="H65" s="302"/>
    </row>
    <row r="66" spans="1:8" ht="15.75" customHeight="1" thickBot="1">
      <c r="A66" s="282"/>
      <c r="B66" s="283"/>
      <c r="C66" s="283"/>
      <c r="D66" s="283"/>
      <c r="E66" s="283"/>
      <c r="F66" s="283"/>
      <c r="G66" s="283"/>
      <c r="H66" s="284"/>
    </row>
    <row r="67" spans="1:8" ht="15.75" customHeight="1">
      <c r="A67" s="289" t="s">
        <v>14294</v>
      </c>
      <c r="B67" s="290" t="s">
        <v>213</v>
      </c>
      <c r="C67" s="290"/>
      <c r="D67" s="290"/>
      <c r="E67" s="290"/>
      <c r="F67" s="290"/>
      <c r="G67" s="290"/>
      <c r="H67" s="291"/>
    </row>
    <row r="68" spans="1:8" ht="15.75" customHeight="1">
      <c r="A68" s="292" t="s">
        <v>6</v>
      </c>
      <c r="B68" s="293" t="s">
        <v>7050</v>
      </c>
      <c r="C68" s="294" t="s">
        <v>7049</v>
      </c>
      <c r="D68" s="295" t="s">
        <v>24</v>
      </c>
      <c r="E68" s="296" t="s">
        <v>7046</v>
      </c>
      <c r="F68" s="293" t="s">
        <v>254</v>
      </c>
      <c r="G68" s="293" t="s">
        <v>7047</v>
      </c>
      <c r="H68" s="297" t="s">
        <v>7048</v>
      </c>
    </row>
    <row r="69" spans="1:8" ht="15.75" customHeight="1">
      <c r="A69" s="120" t="s">
        <v>7</v>
      </c>
      <c r="B69" s="298">
        <v>44714</v>
      </c>
      <c r="C69" s="165" t="s">
        <v>7235</v>
      </c>
      <c r="D69" s="113" t="s">
        <v>32</v>
      </c>
      <c r="E69" s="59">
        <v>1518.9</v>
      </c>
      <c r="F69" s="165" t="s">
        <v>13221</v>
      </c>
      <c r="G69" s="165" t="s">
        <v>27529</v>
      </c>
      <c r="H69" s="299" t="s">
        <v>27816</v>
      </c>
    </row>
    <row r="70" spans="1:8" ht="15.75" customHeight="1">
      <c r="A70" s="120" t="s">
        <v>50</v>
      </c>
      <c r="B70" s="298">
        <v>44714</v>
      </c>
      <c r="C70" s="165" t="s">
        <v>7102</v>
      </c>
      <c r="D70" s="113" t="s">
        <v>32</v>
      </c>
      <c r="E70" s="59">
        <v>1182.99</v>
      </c>
      <c r="F70" s="165" t="s">
        <v>7103</v>
      </c>
      <c r="G70" s="165" t="s">
        <v>27806</v>
      </c>
      <c r="H70" s="299" t="s">
        <v>27471</v>
      </c>
    </row>
    <row r="71" spans="1:8" ht="15.75" customHeight="1">
      <c r="A71" s="120" t="s">
        <v>52</v>
      </c>
      <c r="B71" s="298">
        <v>44725</v>
      </c>
      <c r="C71" s="165" t="s">
        <v>7243</v>
      </c>
      <c r="D71" s="113" t="s">
        <v>32</v>
      </c>
      <c r="E71" s="59">
        <v>1044.8</v>
      </c>
      <c r="F71" s="165" t="s">
        <v>27484</v>
      </c>
      <c r="G71" s="165" t="s">
        <v>13286</v>
      </c>
      <c r="H71" s="299" t="s">
        <v>27485</v>
      </c>
    </row>
    <row r="72" spans="1:8" ht="15.75" customHeight="1" thickBot="1">
      <c r="A72" s="300" t="str">
        <f>CONCATENATE("MEDIANA - ",A67)</f>
        <v>MEDIANA - COT10</v>
      </c>
      <c r="B72" s="115"/>
      <c r="C72" s="115"/>
      <c r="D72" s="301"/>
      <c r="E72" s="150">
        <f>MEDIAN(E69:E71)</f>
        <v>1182.99</v>
      </c>
      <c r="F72" s="301"/>
      <c r="G72" s="301"/>
      <c r="H72" s="302"/>
    </row>
    <row r="73" spans="1:8" ht="15.75" customHeight="1" thickBot="1">
      <c r="A73" s="282"/>
      <c r="B73" s="283"/>
      <c r="C73" s="283"/>
      <c r="D73" s="283"/>
      <c r="E73" s="283"/>
      <c r="F73" s="283"/>
      <c r="G73" s="283"/>
      <c r="H73" s="284"/>
    </row>
    <row r="74" spans="1:8" ht="15.75" customHeight="1">
      <c r="A74" s="289" t="s">
        <v>14295</v>
      </c>
      <c r="B74" s="290" t="s">
        <v>27487</v>
      </c>
      <c r="C74" s="290"/>
      <c r="D74" s="290"/>
      <c r="E74" s="290"/>
      <c r="F74" s="290"/>
      <c r="G74" s="290"/>
      <c r="H74" s="291"/>
    </row>
    <row r="75" spans="1:8" ht="15.75" customHeight="1">
      <c r="A75" s="292" t="s">
        <v>6</v>
      </c>
      <c r="B75" s="293" t="s">
        <v>7050</v>
      </c>
      <c r="C75" s="294" t="s">
        <v>7049</v>
      </c>
      <c r="D75" s="295" t="s">
        <v>24</v>
      </c>
      <c r="E75" s="296" t="s">
        <v>7046</v>
      </c>
      <c r="F75" s="293" t="s">
        <v>254</v>
      </c>
      <c r="G75" s="293" t="s">
        <v>7047</v>
      </c>
      <c r="H75" s="297" t="s">
        <v>7048</v>
      </c>
    </row>
    <row r="76" spans="1:8" s="308" customFormat="1" ht="15.75" customHeight="1">
      <c r="A76" s="305" t="s">
        <v>7</v>
      </c>
      <c r="B76" s="164">
        <v>44714</v>
      </c>
      <c r="C76" s="166" t="s">
        <v>13264</v>
      </c>
      <c r="D76" s="60" t="s">
        <v>32</v>
      </c>
      <c r="E76" s="57">
        <v>429</v>
      </c>
      <c r="F76" s="166" t="s">
        <v>13267</v>
      </c>
      <c r="G76" s="166" t="s">
        <v>13265</v>
      </c>
      <c r="H76" s="307" t="s">
        <v>13266</v>
      </c>
    </row>
    <row r="77" spans="1:8" ht="15.75" customHeight="1">
      <c r="A77" s="120" t="s">
        <v>50</v>
      </c>
      <c r="B77" s="298">
        <v>44715</v>
      </c>
      <c r="C77" s="165" t="s">
        <v>13251</v>
      </c>
      <c r="D77" s="113" t="s">
        <v>32</v>
      </c>
      <c r="E77" s="59">
        <v>249.48</v>
      </c>
      <c r="F77" s="165" t="s">
        <v>13252</v>
      </c>
      <c r="G77" s="165" t="s">
        <v>13253</v>
      </c>
      <c r="H77" s="299" t="s">
        <v>27486</v>
      </c>
    </row>
    <row r="78" spans="1:8" ht="15.75" customHeight="1">
      <c r="A78" s="305" t="s">
        <v>52</v>
      </c>
      <c r="B78" s="164">
        <v>44714</v>
      </c>
      <c r="C78" s="166" t="s">
        <v>13268</v>
      </c>
      <c r="D78" s="60" t="s">
        <v>32</v>
      </c>
      <c r="E78" s="57">
        <v>529</v>
      </c>
      <c r="F78" s="166" t="s">
        <v>13270</v>
      </c>
      <c r="G78" s="166" t="s">
        <v>13271</v>
      </c>
      <c r="H78" s="303" t="s">
        <v>13269</v>
      </c>
    </row>
    <row r="79" spans="1:8" ht="15.75" customHeight="1" thickBot="1">
      <c r="A79" s="300" t="str">
        <f>CONCATENATE("MEDIANA - ",A74)</f>
        <v>MEDIANA - COT11</v>
      </c>
      <c r="B79" s="115"/>
      <c r="C79" s="115"/>
      <c r="D79" s="301"/>
      <c r="E79" s="150">
        <f>MEDIAN(E76:E78)</f>
        <v>429</v>
      </c>
      <c r="F79" s="301"/>
      <c r="G79" s="301"/>
      <c r="H79" s="302"/>
    </row>
    <row r="80" spans="1:8" ht="15.75" customHeight="1" thickBot="1">
      <c r="A80" s="282"/>
      <c r="B80" s="283"/>
      <c r="C80" s="283"/>
      <c r="D80" s="283"/>
      <c r="E80" s="283"/>
      <c r="F80" s="283"/>
      <c r="G80" s="283"/>
      <c r="H80" s="284"/>
    </row>
    <row r="81" spans="1:8" ht="15.75" customHeight="1">
      <c r="A81" s="289" t="s">
        <v>14296</v>
      </c>
      <c r="B81" s="290" t="s">
        <v>218</v>
      </c>
      <c r="C81" s="290"/>
      <c r="D81" s="290"/>
      <c r="E81" s="290"/>
      <c r="F81" s="290"/>
      <c r="G81" s="290"/>
      <c r="H81" s="291"/>
    </row>
    <row r="82" spans="1:8" ht="15.75" customHeight="1">
      <c r="A82" s="292" t="s">
        <v>6</v>
      </c>
      <c r="B82" s="293" t="s">
        <v>7050</v>
      </c>
      <c r="C82" s="294" t="s">
        <v>7049</v>
      </c>
      <c r="D82" s="295" t="s">
        <v>24</v>
      </c>
      <c r="E82" s="296" t="s">
        <v>7046</v>
      </c>
      <c r="F82" s="293" t="s">
        <v>254</v>
      </c>
      <c r="G82" s="293" t="s">
        <v>7047</v>
      </c>
      <c r="H82" s="297" t="s">
        <v>7048</v>
      </c>
    </row>
    <row r="83" spans="1:8" ht="15.75" customHeight="1">
      <c r="A83" s="120" t="s">
        <v>7</v>
      </c>
      <c r="B83" s="164">
        <v>44718</v>
      </c>
      <c r="C83" s="166" t="s">
        <v>13292</v>
      </c>
      <c r="D83" s="60" t="s">
        <v>32</v>
      </c>
      <c r="E83" s="309">
        <v>559.59</v>
      </c>
      <c r="F83" s="166" t="s">
        <v>27271</v>
      </c>
      <c r="G83" s="166" t="s">
        <v>13293</v>
      </c>
      <c r="H83" s="299" t="s">
        <v>27488</v>
      </c>
    </row>
    <row r="84" spans="1:8" ht="15.75" customHeight="1">
      <c r="A84" s="120" t="s">
        <v>50</v>
      </c>
      <c r="B84" s="298">
        <v>44714</v>
      </c>
      <c r="C84" s="165" t="s">
        <v>7102</v>
      </c>
      <c r="D84" s="113" t="s">
        <v>32</v>
      </c>
      <c r="E84" s="59">
        <v>894.99</v>
      </c>
      <c r="F84" s="165" t="s">
        <v>7103</v>
      </c>
      <c r="G84" s="165" t="s">
        <v>27806</v>
      </c>
      <c r="H84" s="299" t="s">
        <v>27471</v>
      </c>
    </row>
    <row r="85" spans="1:8" ht="15.75" customHeight="1">
      <c r="A85" s="120" t="s">
        <v>52</v>
      </c>
      <c r="B85" s="164">
        <v>44718</v>
      </c>
      <c r="C85" s="165" t="s">
        <v>13282</v>
      </c>
      <c r="D85" s="60" t="s">
        <v>32</v>
      </c>
      <c r="E85" s="57">
        <v>591.85</v>
      </c>
      <c r="F85" s="166" t="s">
        <v>27269</v>
      </c>
      <c r="G85" s="166" t="s">
        <v>27270</v>
      </c>
      <c r="H85" s="303" t="s">
        <v>27489</v>
      </c>
    </row>
    <row r="86" spans="1:8" ht="15.75" customHeight="1" thickBot="1">
      <c r="A86" s="300" t="str">
        <f>CONCATENATE("MEDIANA - ",A81)</f>
        <v>MEDIANA - COT12</v>
      </c>
      <c r="B86" s="115"/>
      <c r="C86" s="115"/>
      <c r="D86" s="301"/>
      <c r="E86" s="150">
        <f>MEDIAN(E83:E85)</f>
        <v>591.85</v>
      </c>
      <c r="F86" s="301"/>
      <c r="G86" s="301"/>
      <c r="H86" s="302"/>
    </row>
    <row r="87" spans="1:8" ht="15.75" customHeight="1" thickBot="1">
      <c r="A87" s="282"/>
      <c r="B87" s="283"/>
      <c r="C87" s="283"/>
      <c r="D87" s="283"/>
      <c r="E87" s="283"/>
      <c r="F87" s="283"/>
      <c r="G87" s="283"/>
      <c r="H87" s="284"/>
    </row>
    <row r="88" spans="1:8" ht="15.75" customHeight="1">
      <c r="A88" s="289" t="s">
        <v>14297</v>
      </c>
      <c r="B88" s="290" t="s">
        <v>220</v>
      </c>
      <c r="C88" s="290"/>
      <c r="D88" s="290"/>
      <c r="E88" s="290"/>
      <c r="F88" s="290"/>
      <c r="G88" s="290"/>
      <c r="H88" s="291"/>
    </row>
    <row r="89" spans="1:8" ht="15.75" customHeight="1">
      <c r="A89" s="292" t="s">
        <v>6</v>
      </c>
      <c r="B89" s="293" t="s">
        <v>7050</v>
      </c>
      <c r="C89" s="294" t="s">
        <v>7049</v>
      </c>
      <c r="D89" s="295" t="s">
        <v>24</v>
      </c>
      <c r="E89" s="296" t="s">
        <v>7046</v>
      </c>
      <c r="F89" s="293" t="s">
        <v>254</v>
      </c>
      <c r="G89" s="293" t="s">
        <v>7047</v>
      </c>
      <c r="H89" s="297" t="s">
        <v>7048</v>
      </c>
    </row>
    <row r="90" spans="1:8" ht="15.75" customHeight="1">
      <c r="A90" s="120" t="s">
        <v>7</v>
      </c>
      <c r="B90" s="298">
        <v>44714</v>
      </c>
      <c r="C90" s="165" t="s">
        <v>7102</v>
      </c>
      <c r="D90" s="113" t="s">
        <v>32</v>
      </c>
      <c r="E90" s="59">
        <v>732.99</v>
      </c>
      <c r="F90" s="165" t="s">
        <v>7103</v>
      </c>
      <c r="G90" s="165" t="s">
        <v>27806</v>
      </c>
      <c r="H90" s="299" t="s">
        <v>27471</v>
      </c>
    </row>
    <row r="91" spans="1:8" ht="15.75" customHeight="1">
      <c r="A91" s="305" t="s">
        <v>50</v>
      </c>
      <c r="B91" s="164">
        <v>44714</v>
      </c>
      <c r="C91" s="166" t="s">
        <v>13175</v>
      </c>
      <c r="D91" s="60" t="s">
        <v>32</v>
      </c>
      <c r="E91" s="57">
        <v>1249.8599999999999</v>
      </c>
      <c r="F91" s="166" t="s">
        <v>27265</v>
      </c>
      <c r="G91" s="166" t="s">
        <v>27266</v>
      </c>
      <c r="H91" s="303" t="s">
        <v>13279</v>
      </c>
    </row>
    <row r="92" spans="1:8" ht="15.75" customHeight="1">
      <c r="A92" s="120" t="s">
        <v>52</v>
      </c>
      <c r="B92" s="298">
        <v>44714</v>
      </c>
      <c r="C92" s="165" t="s">
        <v>13282</v>
      </c>
      <c r="D92" s="113" t="s">
        <v>32</v>
      </c>
      <c r="E92" s="59">
        <v>1302.1300000000001</v>
      </c>
      <c r="F92" s="165" t="s">
        <v>27269</v>
      </c>
      <c r="G92" s="165" t="s">
        <v>14203</v>
      </c>
      <c r="H92" s="303" t="s">
        <v>27460</v>
      </c>
    </row>
    <row r="93" spans="1:8" ht="15.75" customHeight="1" thickBot="1">
      <c r="A93" s="300" t="str">
        <f>CONCATENATE("MEDIANA - ",A88)</f>
        <v>MEDIANA - COT13</v>
      </c>
      <c r="B93" s="115"/>
      <c r="C93" s="115"/>
      <c r="D93" s="301"/>
      <c r="E93" s="150">
        <f>MEDIAN(E90:E92)</f>
        <v>1249.8599999999999</v>
      </c>
      <c r="F93" s="301"/>
      <c r="G93" s="301"/>
      <c r="H93" s="302"/>
    </row>
    <row r="94" spans="1:8" ht="15.75" customHeight="1" thickBot="1">
      <c r="A94" s="282"/>
      <c r="B94" s="283"/>
      <c r="C94" s="283"/>
      <c r="D94" s="283"/>
      <c r="E94" s="283"/>
      <c r="F94" s="283"/>
      <c r="G94" s="283"/>
      <c r="H94" s="284"/>
    </row>
    <row r="95" spans="1:8" ht="15.75" customHeight="1">
      <c r="A95" s="289" t="s">
        <v>14298</v>
      </c>
      <c r="B95" s="290" t="s">
        <v>222</v>
      </c>
      <c r="C95" s="290"/>
      <c r="D95" s="290"/>
      <c r="E95" s="290"/>
      <c r="F95" s="290"/>
      <c r="G95" s="290"/>
      <c r="H95" s="291"/>
    </row>
    <row r="96" spans="1:8" ht="15.75" customHeight="1">
      <c r="A96" s="292" t="s">
        <v>6</v>
      </c>
      <c r="B96" s="293" t="s">
        <v>7050</v>
      </c>
      <c r="C96" s="294" t="s">
        <v>7049</v>
      </c>
      <c r="D96" s="295" t="s">
        <v>24</v>
      </c>
      <c r="E96" s="296" t="s">
        <v>7046</v>
      </c>
      <c r="F96" s="293" t="s">
        <v>254</v>
      </c>
      <c r="G96" s="293" t="s">
        <v>7047</v>
      </c>
      <c r="H96" s="297" t="s">
        <v>7048</v>
      </c>
    </row>
    <row r="97" spans="1:8" ht="15.75" customHeight="1">
      <c r="A97" s="120" t="s">
        <v>7</v>
      </c>
      <c r="B97" s="298">
        <v>44714</v>
      </c>
      <c r="C97" s="165" t="s">
        <v>7102</v>
      </c>
      <c r="D97" s="113" t="s">
        <v>32</v>
      </c>
      <c r="E97" s="59">
        <v>793.99</v>
      </c>
      <c r="F97" s="165" t="s">
        <v>13222</v>
      </c>
      <c r="G97" s="165" t="s">
        <v>27806</v>
      </c>
      <c r="H97" s="299" t="s">
        <v>27471</v>
      </c>
    </row>
    <row r="98" spans="1:8" ht="15.75" customHeight="1">
      <c r="A98" s="120" t="s">
        <v>50</v>
      </c>
      <c r="B98" s="298">
        <v>44714</v>
      </c>
      <c r="C98" s="165" t="s">
        <v>13277</v>
      </c>
      <c r="D98" s="113" t="s">
        <v>32</v>
      </c>
      <c r="E98" s="59">
        <v>858.05</v>
      </c>
      <c r="F98" s="165" t="s">
        <v>13278</v>
      </c>
      <c r="G98" s="165" t="s">
        <v>27267</v>
      </c>
      <c r="H98" s="303" t="s">
        <v>13276</v>
      </c>
    </row>
    <row r="99" spans="1:8" ht="15.75" customHeight="1">
      <c r="A99" s="305" t="s">
        <v>52</v>
      </c>
      <c r="B99" s="164">
        <v>44714</v>
      </c>
      <c r="C99" s="166" t="s">
        <v>13288</v>
      </c>
      <c r="D99" s="60" t="s">
        <v>32</v>
      </c>
      <c r="E99" s="57">
        <v>777</v>
      </c>
      <c r="F99" s="166" t="s">
        <v>13289</v>
      </c>
      <c r="G99" s="166" t="s">
        <v>13290</v>
      </c>
      <c r="H99" s="310" t="s">
        <v>13291</v>
      </c>
    </row>
    <row r="100" spans="1:8" ht="15.75" customHeight="1" thickBot="1">
      <c r="A100" s="300" t="str">
        <f>CONCATENATE("MEDIANA - ",A95)</f>
        <v>MEDIANA - COT14</v>
      </c>
      <c r="B100" s="115"/>
      <c r="C100" s="115"/>
      <c r="D100" s="301"/>
      <c r="E100" s="150">
        <f>MEDIAN(E97:E99)</f>
        <v>793.99</v>
      </c>
      <c r="F100" s="301"/>
      <c r="G100" s="301"/>
      <c r="H100" s="302"/>
    </row>
    <row r="101" spans="1:8" ht="15.75" customHeight="1" thickBot="1">
      <c r="A101" s="282"/>
      <c r="B101" s="283"/>
      <c r="C101" s="283"/>
      <c r="D101" s="283"/>
      <c r="E101" s="283"/>
      <c r="F101" s="283"/>
      <c r="G101" s="283"/>
      <c r="H101" s="284"/>
    </row>
    <row r="102" spans="1:8" ht="15.75" customHeight="1">
      <c r="A102" s="289" t="s">
        <v>14299</v>
      </c>
      <c r="B102" s="290" t="s">
        <v>224</v>
      </c>
      <c r="C102" s="311"/>
      <c r="D102" s="290"/>
      <c r="E102" s="290"/>
      <c r="F102" s="290"/>
      <c r="G102" s="290"/>
      <c r="H102" s="291"/>
    </row>
    <row r="103" spans="1:8" ht="15.75" customHeight="1">
      <c r="A103" s="292" t="s">
        <v>6</v>
      </c>
      <c r="B103" s="293" t="s">
        <v>7050</v>
      </c>
      <c r="C103" s="294" t="s">
        <v>7049</v>
      </c>
      <c r="D103" s="295" t="s">
        <v>24</v>
      </c>
      <c r="E103" s="296" t="s">
        <v>7046</v>
      </c>
      <c r="F103" s="293" t="s">
        <v>254</v>
      </c>
      <c r="G103" s="293" t="s">
        <v>7047</v>
      </c>
      <c r="H103" s="297" t="s">
        <v>7048</v>
      </c>
    </row>
    <row r="104" spans="1:8" ht="15.75" customHeight="1">
      <c r="A104" s="120" t="s">
        <v>7</v>
      </c>
      <c r="B104" s="298">
        <v>44718</v>
      </c>
      <c r="C104" s="165" t="s">
        <v>13274</v>
      </c>
      <c r="D104" s="113" t="s">
        <v>32</v>
      </c>
      <c r="E104" s="59">
        <v>243.88</v>
      </c>
      <c r="F104" s="165" t="s">
        <v>27309</v>
      </c>
      <c r="G104" s="165" t="s">
        <v>13275</v>
      </c>
      <c r="H104" s="299" t="s">
        <v>27490</v>
      </c>
    </row>
    <row r="105" spans="1:8" ht="15.75" customHeight="1">
      <c r="A105" s="120" t="s">
        <v>50</v>
      </c>
      <c r="B105" s="298">
        <v>44718</v>
      </c>
      <c r="C105" s="165" t="s">
        <v>27491</v>
      </c>
      <c r="D105" s="113" t="s">
        <v>32</v>
      </c>
      <c r="E105" s="59">
        <v>258.76</v>
      </c>
      <c r="F105" s="165" t="s">
        <v>27492</v>
      </c>
      <c r="G105" s="165" t="s">
        <v>27493</v>
      </c>
      <c r="H105" s="299" t="s">
        <v>27494</v>
      </c>
    </row>
    <row r="106" spans="1:8" ht="15.75" customHeight="1">
      <c r="A106" s="120" t="s">
        <v>52</v>
      </c>
      <c r="B106" s="298">
        <v>44714</v>
      </c>
      <c r="C106" s="165" t="s">
        <v>7102</v>
      </c>
      <c r="D106" s="113" t="s">
        <v>32</v>
      </c>
      <c r="E106" s="59">
        <v>129.9</v>
      </c>
      <c r="F106" s="165" t="s">
        <v>7103</v>
      </c>
      <c r="G106" s="165" t="s">
        <v>27806</v>
      </c>
      <c r="H106" s="299" t="s">
        <v>27471</v>
      </c>
    </row>
    <row r="107" spans="1:8" ht="15.75" customHeight="1" thickBot="1">
      <c r="A107" s="300" t="str">
        <f>CONCATENATE("MEDIANA - ",A102)</f>
        <v>MEDIANA - COT15</v>
      </c>
      <c r="B107" s="115"/>
      <c r="C107" s="115"/>
      <c r="D107" s="301"/>
      <c r="E107" s="150">
        <f>MEDIAN(E104:E106)</f>
        <v>243.88</v>
      </c>
      <c r="F107" s="301"/>
      <c r="G107" s="301"/>
      <c r="H107" s="302"/>
    </row>
    <row r="108" spans="1:8" ht="15.75" customHeight="1" thickBot="1">
      <c r="A108" s="282"/>
      <c r="B108" s="283"/>
      <c r="C108" s="283"/>
      <c r="D108" s="283"/>
      <c r="E108" s="283"/>
      <c r="F108" s="283"/>
      <c r="G108" s="283"/>
      <c r="H108" s="284"/>
    </row>
    <row r="109" spans="1:8" ht="15.75" customHeight="1">
      <c r="A109" s="289" t="s">
        <v>14300</v>
      </c>
      <c r="B109" s="290" t="s">
        <v>226</v>
      </c>
      <c r="C109" s="290"/>
      <c r="D109" s="290"/>
      <c r="E109" s="290"/>
      <c r="F109" s="290"/>
      <c r="G109" s="290"/>
      <c r="H109" s="291"/>
    </row>
    <row r="110" spans="1:8" ht="15.75" customHeight="1">
      <c r="A110" s="292" t="s">
        <v>6</v>
      </c>
      <c r="B110" s="293" t="s">
        <v>7050</v>
      </c>
      <c r="C110" s="294" t="s">
        <v>7049</v>
      </c>
      <c r="D110" s="295" t="s">
        <v>24</v>
      </c>
      <c r="E110" s="296" t="s">
        <v>7046</v>
      </c>
      <c r="F110" s="293" t="s">
        <v>254</v>
      </c>
      <c r="G110" s="293" t="s">
        <v>7047</v>
      </c>
      <c r="H110" s="297" t="s">
        <v>7048</v>
      </c>
    </row>
    <row r="111" spans="1:8" ht="15.75" customHeight="1">
      <c r="A111" s="120" t="s">
        <v>7</v>
      </c>
      <c r="B111" s="298">
        <v>44718</v>
      </c>
      <c r="C111" s="165" t="s">
        <v>13282</v>
      </c>
      <c r="D111" s="113" t="s">
        <v>32</v>
      </c>
      <c r="E111" s="59">
        <v>127.37</v>
      </c>
      <c r="F111" s="165" t="s">
        <v>27269</v>
      </c>
      <c r="G111" s="165" t="s">
        <v>27270</v>
      </c>
      <c r="H111" s="299" t="s">
        <v>27495</v>
      </c>
    </row>
    <row r="112" spans="1:8" ht="15.75" customHeight="1">
      <c r="A112" s="120" t="s">
        <v>50</v>
      </c>
      <c r="B112" s="298">
        <v>44718</v>
      </c>
      <c r="C112" s="165" t="s">
        <v>7242</v>
      </c>
      <c r="D112" s="113" t="s">
        <v>32</v>
      </c>
      <c r="E112" s="59">
        <v>137.71</v>
      </c>
      <c r="F112" s="165" t="s">
        <v>27268</v>
      </c>
      <c r="G112" s="165" t="s">
        <v>13281</v>
      </c>
      <c r="H112" s="299" t="s">
        <v>27496</v>
      </c>
    </row>
    <row r="113" spans="1:8" ht="15.75" customHeight="1">
      <c r="A113" s="120" t="s">
        <v>52</v>
      </c>
      <c r="B113" s="298">
        <v>44718</v>
      </c>
      <c r="C113" s="165" t="s">
        <v>13274</v>
      </c>
      <c r="D113" s="113" t="s">
        <v>32</v>
      </c>
      <c r="E113" s="59">
        <v>129.81</v>
      </c>
      <c r="F113" s="165" t="s">
        <v>27309</v>
      </c>
      <c r="G113" s="165" t="s">
        <v>13275</v>
      </c>
      <c r="H113" s="299" t="s">
        <v>27497</v>
      </c>
    </row>
    <row r="114" spans="1:8" ht="15.75" customHeight="1" thickBot="1">
      <c r="A114" s="300" t="str">
        <f>CONCATENATE("MEDIANA - ",A109)</f>
        <v>MEDIANA - COT16</v>
      </c>
      <c r="B114" s="115"/>
      <c r="C114" s="115"/>
      <c r="D114" s="301"/>
      <c r="E114" s="150">
        <f>MEDIAN(E111:E113)</f>
        <v>129.81</v>
      </c>
      <c r="F114" s="301"/>
      <c r="G114" s="301"/>
      <c r="H114" s="302"/>
    </row>
    <row r="115" spans="1:8" ht="15.75" customHeight="1" thickBot="1">
      <c r="A115" s="282"/>
      <c r="B115" s="283"/>
      <c r="C115" s="283"/>
      <c r="D115" s="283"/>
      <c r="E115" s="283"/>
      <c r="F115" s="283"/>
      <c r="G115" s="283"/>
      <c r="H115" s="284"/>
    </row>
    <row r="116" spans="1:8" ht="15.75" customHeight="1">
      <c r="A116" s="289" t="s">
        <v>14301</v>
      </c>
      <c r="B116" s="290" t="s">
        <v>230</v>
      </c>
      <c r="C116" s="290"/>
      <c r="D116" s="290"/>
      <c r="E116" s="290"/>
      <c r="F116" s="290"/>
      <c r="G116" s="290"/>
      <c r="H116" s="291"/>
    </row>
    <row r="117" spans="1:8" ht="15.75" customHeight="1">
      <c r="A117" s="292" t="s">
        <v>6</v>
      </c>
      <c r="B117" s="293" t="s">
        <v>7050</v>
      </c>
      <c r="C117" s="294" t="s">
        <v>7049</v>
      </c>
      <c r="D117" s="295" t="s">
        <v>24</v>
      </c>
      <c r="E117" s="296" t="s">
        <v>7046</v>
      </c>
      <c r="F117" s="293" t="s">
        <v>254</v>
      </c>
      <c r="G117" s="293" t="s">
        <v>7047</v>
      </c>
      <c r="H117" s="297" t="s">
        <v>7048</v>
      </c>
    </row>
    <row r="118" spans="1:8" ht="15.75" customHeight="1">
      <c r="A118" s="305" t="s">
        <v>7</v>
      </c>
      <c r="B118" s="164">
        <v>44714</v>
      </c>
      <c r="C118" s="165" t="s">
        <v>7242</v>
      </c>
      <c r="D118" s="60" t="s">
        <v>32</v>
      </c>
      <c r="E118" s="57">
        <v>866.4</v>
      </c>
      <c r="F118" s="166" t="s">
        <v>27268</v>
      </c>
      <c r="G118" s="165" t="s">
        <v>13281</v>
      </c>
      <c r="H118" s="299" t="s">
        <v>13280</v>
      </c>
    </row>
    <row r="119" spans="1:8" ht="15.75" customHeight="1">
      <c r="A119" s="305" t="s">
        <v>50</v>
      </c>
      <c r="B119" s="164">
        <v>44721</v>
      </c>
      <c r="C119" s="165" t="s">
        <v>13274</v>
      </c>
      <c r="D119" s="60" t="s">
        <v>32</v>
      </c>
      <c r="E119" s="57">
        <v>1055.4000000000001</v>
      </c>
      <c r="F119" s="166" t="s">
        <v>27309</v>
      </c>
      <c r="G119" s="166" t="s">
        <v>13275</v>
      </c>
      <c r="H119" s="299" t="s">
        <v>27498</v>
      </c>
    </row>
    <row r="120" spans="1:8" ht="15.75" customHeight="1">
      <c r="A120" s="120" t="s">
        <v>52</v>
      </c>
      <c r="B120" s="298">
        <v>44718</v>
      </c>
      <c r="C120" s="165" t="s">
        <v>13282</v>
      </c>
      <c r="D120" s="113" t="s">
        <v>32</v>
      </c>
      <c r="E120" s="59">
        <v>504.49</v>
      </c>
      <c r="F120" s="165" t="s">
        <v>27269</v>
      </c>
      <c r="G120" s="165" t="s">
        <v>27270</v>
      </c>
      <c r="H120" s="299" t="s">
        <v>13250</v>
      </c>
    </row>
    <row r="121" spans="1:8" ht="15.75" customHeight="1" thickBot="1">
      <c r="A121" s="300" t="str">
        <f>CONCATENATE("MEDIANA - ",A116)</f>
        <v>MEDIANA - COT17</v>
      </c>
      <c r="B121" s="115"/>
      <c r="C121" s="115"/>
      <c r="D121" s="301"/>
      <c r="E121" s="150">
        <f>MEDIAN(E118:E120)</f>
        <v>866.4</v>
      </c>
      <c r="F121" s="301"/>
      <c r="G121" s="301"/>
      <c r="H121" s="302"/>
    </row>
    <row r="122" spans="1:8" ht="15.75" customHeight="1" thickBot="1">
      <c r="A122" s="282"/>
      <c r="B122" s="283"/>
      <c r="C122" s="283"/>
      <c r="D122" s="283"/>
      <c r="E122" s="283"/>
      <c r="F122" s="283"/>
      <c r="G122" s="283"/>
      <c r="H122" s="284"/>
    </row>
    <row r="123" spans="1:8" ht="15.75" customHeight="1">
      <c r="A123" s="289" t="s">
        <v>14302</v>
      </c>
      <c r="B123" s="290" t="s">
        <v>232</v>
      </c>
      <c r="C123" s="290"/>
      <c r="D123" s="290"/>
      <c r="E123" s="290"/>
      <c r="F123" s="290"/>
      <c r="G123" s="290"/>
      <c r="H123" s="291"/>
    </row>
    <row r="124" spans="1:8" ht="15.75" customHeight="1">
      <c r="A124" s="292" t="s">
        <v>6</v>
      </c>
      <c r="B124" s="293" t="s">
        <v>7050</v>
      </c>
      <c r="C124" s="294" t="s">
        <v>7049</v>
      </c>
      <c r="D124" s="295" t="s">
        <v>24</v>
      </c>
      <c r="E124" s="296" t="s">
        <v>7046</v>
      </c>
      <c r="F124" s="293" t="s">
        <v>254</v>
      </c>
      <c r="G124" s="293" t="s">
        <v>7047</v>
      </c>
      <c r="H124" s="297" t="s">
        <v>7048</v>
      </c>
    </row>
    <row r="125" spans="1:8" ht="15.75" customHeight="1">
      <c r="A125" s="120" t="s">
        <v>7</v>
      </c>
      <c r="B125" s="298">
        <v>44715</v>
      </c>
      <c r="C125" s="165" t="s">
        <v>13251</v>
      </c>
      <c r="D125" s="113" t="s">
        <v>32</v>
      </c>
      <c r="E125" s="59">
        <v>169.9</v>
      </c>
      <c r="F125" s="165" t="s">
        <v>13252</v>
      </c>
      <c r="G125" s="165" t="s">
        <v>13253</v>
      </c>
      <c r="H125" s="299" t="s">
        <v>27486</v>
      </c>
    </row>
    <row r="126" spans="1:8" ht="15.75" customHeight="1">
      <c r="A126" s="305" t="s">
        <v>50</v>
      </c>
      <c r="B126" s="164">
        <v>44714</v>
      </c>
      <c r="C126" s="166" t="s">
        <v>13292</v>
      </c>
      <c r="D126" s="60" t="s">
        <v>32</v>
      </c>
      <c r="E126" s="309">
        <v>290.02</v>
      </c>
      <c r="F126" s="166" t="s">
        <v>27271</v>
      </c>
      <c r="G126" s="166" t="s">
        <v>13293</v>
      </c>
      <c r="H126" s="304" t="s">
        <v>13294</v>
      </c>
    </row>
    <row r="127" spans="1:8" ht="15.75" customHeight="1">
      <c r="A127" s="120" t="s">
        <v>52</v>
      </c>
      <c r="B127" s="298">
        <v>44714</v>
      </c>
      <c r="C127" s="165" t="s">
        <v>13296</v>
      </c>
      <c r="D127" s="113" t="s">
        <v>32</v>
      </c>
      <c r="E127" s="312">
        <v>150.28</v>
      </c>
      <c r="F127" s="165" t="s">
        <v>13297</v>
      </c>
      <c r="G127" s="165" t="s">
        <v>13298</v>
      </c>
      <c r="H127" s="299" t="s">
        <v>13295</v>
      </c>
    </row>
    <row r="128" spans="1:8" ht="15.75" customHeight="1" thickBot="1">
      <c r="A128" s="300" t="str">
        <f>CONCATENATE("MEDIANA - ",A123)</f>
        <v>MEDIANA - COT18</v>
      </c>
      <c r="B128" s="115"/>
      <c r="C128" s="115"/>
      <c r="D128" s="301"/>
      <c r="E128" s="150">
        <f>MEDIAN(E125:E127)</f>
        <v>169.9</v>
      </c>
      <c r="F128" s="301"/>
      <c r="G128" s="301"/>
      <c r="H128" s="302"/>
    </row>
    <row r="129" spans="1:8" ht="15.75" customHeight="1" thickBot="1">
      <c r="A129" s="282"/>
      <c r="B129" s="283"/>
      <c r="C129" s="283"/>
      <c r="D129" s="283"/>
      <c r="E129" s="283"/>
      <c r="F129" s="283"/>
      <c r="G129" s="283"/>
      <c r="H129" s="284"/>
    </row>
    <row r="130" spans="1:8" ht="15.75" customHeight="1">
      <c r="A130" s="289" t="s">
        <v>14303</v>
      </c>
      <c r="B130" s="290" t="s">
        <v>7044</v>
      </c>
      <c r="C130" s="290"/>
      <c r="D130" s="290"/>
      <c r="E130" s="290"/>
      <c r="F130" s="290"/>
      <c r="G130" s="290"/>
      <c r="H130" s="291"/>
    </row>
    <row r="131" spans="1:8" ht="15.75" customHeight="1">
      <c r="A131" s="292" t="s">
        <v>6</v>
      </c>
      <c r="B131" s="293" t="s">
        <v>7050</v>
      </c>
      <c r="C131" s="294" t="s">
        <v>7049</v>
      </c>
      <c r="D131" s="295" t="s">
        <v>24</v>
      </c>
      <c r="E131" s="296" t="s">
        <v>7046</v>
      </c>
      <c r="F131" s="293" t="s">
        <v>254</v>
      </c>
      <c r="G131" s="293" t="s">
        <v>7047</v>
      </c>
      <c r="H131" s="297" t="s">
        <v>7048</v>
      </c>
    </row>
    <row r="132" spans="1:8" ht="15.75" customHeight="1">
      <c r="A132" s="120" t="s">
        <v>7</v>
      </c>
      <c r="B132" s="298">
        <v>44715</v>
      </c>
      <c r="C132" s="165" t="s">
        <v>13274</v>
      </c>
      <c r="D132" s="113" t="s">
        <v>32</v>
      </c>
      <c r="E132" s="59">
        <v>505</v>
      </c>
      <c r="F132" s="165" t="s">
        <v>27309</v>
      </c>
      <c r="G132" s="165" t="s">
        <v>13275</v>
      </c>
      <c r="H132" s="299" t="s">
        <v>27499</v>
      </c>
    </row>
    <row r="133" spans="1:8" ht="15.75" customHeight="1">
      <c r="A133" s="120" t="s">
        <v>50</v>
      </c>
      <c r="B133" s="298">
        <v>44715</v>
      </c>
      <c r="C133" s="165" t="s">
        <v>7242</v>
      </c>
      <c r="D133" s="113" t="s">
        <v>32</v>
      </c>
      <c r="E133" s="59">
        <v>339.85</v>
      </c>
      <c r="F133" s="165" t="s">
        <v>27268</v>
      </c>
      <c r="G133" s="165" t="s">
        <v>13281</v>
      </c>
      <c r="H133" s="299" t="s">
        <v>27500</v>
      </c>
    </row>
    <row r="134" spans="1:8" ht="15.75" customHeight="1">
      <c r="A134" s="120" t="s">
        <v>52</v>
      </c>
      <c r="B134" s="298">
        <v>44715</v>
      </c>
      <c r="C134" s="165" t="s">
        <v>27501</v>
      </c>
      <c r="D134" s="113" t="s">
        <v>24</v>
      </c>
      <c r="E134" s="59">
        <v>490.2</v>
      </c>
      <c r="F134" s="165" t="s">
        <v>27272</v>
      </c>
      <c r="G134" s="165" t="s">
        <v>27502</v>
      </c>
      <c r="H134" s="299" t="s">
        <v>27503</v>
      </c>
    </row>
    <row r="135" spans="1:8" ht="15.75" customHeight="1" thickBot="1">
      <c r="A135" s="300" t="str">
        <f>CONCATENATE("MEDIANA - ",A130)</f>
        <v>MEDIANA - COT19</v>
      </c>
      <c r="B135" s="115"/>
      <c r="C135" s="115"/>
      <c r="D135" s="301"/>
      <c r="E135" s="150">
        <f>MEDIAN(E132:E134)</f>
        <v>490.2</v>
      </c>
      <c r="F135" s="301"/>
      <c r="G135" s="301"/>
      <c r="H135" s="302"/>
    </row>
    <row r="136" spans="1:8" ht="15.75" customHeight="1" thickBot="1">
      <c r="A136" s="282"/>
      <c r="B136" s="283"/>
      <c r="C136" s="283"/>
      <c r="D136" s="283"/>
      <c r="E136" s="283"/>
      <c r="F136" s="283"/>
      <c r="G136" s="283"/>
      <c r="H136" s="284"/>
    </row>
    <row r="137" spans="1:8" ht="15.75" customHeight="1">
      <c r="A137" s="289" t="s">
        <v>14304</v>
      </c>
      <c r="B137" s="290" t="s">
        <v>27505</v>
      </c>
      <c r="C137" s="290"/>
      <c r="D137" s="290"/>
      <c r="E137" s="290"/>
      <c r="F137" s="290"/>
      <c r="G137" s="290"/>
      <c r="H137" s="291"/>
    </row>
    <row r="138" spans="1:8" ht="15.75" customHeight="1">
      <c r="A138" s="292" t="s">
        <v>6</v>
      </c>
      <c r="B138" s="293" t="s">
        <v>7050</v>
      </c>
      <c r="C138" s="294" t="s">
        <v>7049</v>
      </c>
      <c r="D138" s="295" t="s">
        <v>24</v>
      </c>
      <c r="E138" s="296" t="s">
        <v>7046</v>
      </c>
      <c r="F138" s="293" t="s">
        <v>254</v>
      </c>
      <c r="G138" s="293" t="s">
        <v>7047</v>
      </c>
      <c r="H138" s="297" t="s">
        <v>7048</v>
      </c>
    </row>
    <row r="139" spans="1:8" ht="15.75" customHeight="1">
      <c r="A139" s="120" t="s">
        <v>7</v>
      </c>
      <c r="B139" s="298">
        <v>44718</v>
      </c>
      <c r="C139" s="165" t="s">
        <v>13282</v>
      </c>
      <c r="D139" s="113" t="s">
        <v>32</v>
      </c>
      <c r="E139" s="59">
        <v>310.43</v>
      </c>
      <c r="F139" s="165" t="s">
        <v>27269</v>
      </c>
      <c r="G139" s="165" t="s">
        <v>27270</v>
      </c>
      <c r="H139" s="299" t="s">
        <v>27504</v>
      </c>
    </row>
    <row r="140" spans="1:8" ht="15.75" customHeight="1">
      <c r="A140" s="305" t="s">
        <v>50</v>
      </c>
      <c r="B140" s="164">
        <v>44722</v>
      </c>
      <c r="C140" s="166" t="s">
        <v>13299</v>
      </c>
      <c r="D140" s="60" t="s">
        <v>32</v>
      </c>
      <c r="E140" s="57">
        <v>669</v>
      </c>
      <c r="F140" s="166" t="s">
        <v>27273</v>
      </c>
      <c r="G140" s="166" t="s">
        <v>13300</v>
      </c>
      <c r="H140" s="303" t="s">
        <v>13302</v>
      </c>
    </row>
    <row r="141" spans="1:8" ht="15.75" customHeight="1">
      <c r="A141" s="305" t="s">
        <v>52</v>
      </c>
      <c r="B141" s="164">
        <v>44714</v>
      </c>
      <c r="C141" s="166" t="s">
        <v>13264</v>
      </c>
      <c r="D141" s="60" t="s">
        <v>32</v>
      </c>
      <c r="E141" s="313">
        <v>632.05999999999995</v>
      </c>
      <c r="F141" s="166" t="s">
        <v>13267</v>
      </c>
      <c r="G141" s="166" t="s">
        <v>13301</v>
      </c>
      <c r="H141" s="304" t="s">
        <v>13303</v>
      </c>
    </row>
    <row r="142" spans="1:8" ht="15.75" customHeight="1" thickBot="1">
      <c r="A142" s="300" t="str">
        <f>CONCATENATE("MEDIANA - ",A137)</f>
        <v>MEDIANA - COT20</v>
      </c>
      <c r="B142" s="115"/>
      <c r="C142" s="115"/>
      <c r="D142" s="301"/>
      <c r="E142" s="150">
        <f>MEDIAN(E139:E141)</f>
        <v>632.05999999999995</v>
      </c>
      <c r="F142" s="301"/>
      <c r="G142" s="301"/>
      <c r="H142" s="302"/>
    </row>
    <row r="143" spans="1:8" ht="15.75" customHeight="1" thickBot="1">
      <c r="A143" s="282"/>
      <c r="B143" s="283"/>
      <c r="C143" s="283"/>
      <c r="D143" s="283"/>
      <c r="E143" s="283"/>
      <c r="F143" s="283"/>
      <c r="G143" s="283"/>
      <c r="H143" s="284"/>
    </row>
    <row r="144" spans="1:8" ht="15.75" customHeight="1">
      <c r="A144" s="289" t="s">
        <v>14305</v>
      </c>
      <c r="B144" s="290" t="s">
        <v>7244</v>
      </c>
      <c r="C144" s="290"/>
      <c r="D144" s="290"/>
      <c r="E144" s="290"/>
      <c r="F144" s="290"/>
      <c r="G144" s="290"/>
      <c r="H144" s="291"/>
    </row>
    <row r="145" spans="1:8" ht="15.75" customHeight="1">
      <c r="A145" s="292" t="s">
        <v>6</v>
      </c>
      <c r="B145" s="293" t="s">
        <v>7050</v>
      </c>
      <c r="C145" s="294" t="s">
        <v>7049</v>
      </c>
      <c r="D145" s="295" t="s">
        <v>24</v>
      </c>
      <c r="E145" s="296" t="s">
        <v>7046</v>
      </c>
      <c r="F145" s="293" t="s">
        <v>254</v>
      </c>
      <c r="G145" s="293" t="s">
        <v>7047</v>
      </c>
      <c r="H145" s="297" t="s">
        <v>7048</v>
      </c>
    </row>
    <row r="146" spans="1:8" ht="15.75" customHeight="1">
      <c r="A146" s="120" t="s">
        <v>7</v>
      </c>
      <c r="B146" s="298">
        <v>44709</v>
      </c>
      <c r="C146" s="165" t="s">
        <v>7245</v>
      </c>
      <c r="D146" s="113" t="s">
        <v>8</v>
      </c>
      <c r="E146" s="59">
        <f>82.84/1.5</f>
        <v>55.226666666666667</v>
      </c>
      <c r="F146" s="165" t="s">
        <v>27274</v>
      </c>
      <c r="G146" s="165" t="s">
        <v>27275</v>
      </c>
      <c r="H146" s="314" t="s">
        <v>27808</v>
      </c>
    </row>
    <row r="147" spans="1:8" ht="15.75" customHeight="1">
      <c r="A147" s="120" t="s">
        <v>50</v>
      </c>
      <c r="B147" s="298">
        <v>44709</v>
      </c>
      <c r="C147" s="165" t="s">
        <v>7242</v>
      </c>
      <c r="D147" s="113" t="s">
        <v>8</v>
      </c>
      <c r="E147" s="59">
        <f>80.87/1.5</f>
        <v>53.913333333333334</v>
      </c>
      <c r="F147" s="165" t="s">
        <v>27268</v>
      </c>
      <c r="G147" s="165" t="s">
        <v>13281</v>
      </c>
      <c r="H147" s="303" t="s">
        <v>27276</v>
      </c>
    </row>
    <row r="148" spans="1:8" ht="15.75" customHeight="1">
      <c r="A148" s="120" t="s">
        <v>52</v>
      </c>
      <c r="B148" s="298">
        <v>44709</v>
      </c>
      <c r="C148" s="165" t="s">
        <v>27277</v>
      </c>
      <c r="D148" s="113" t="s">
        <v>8</v>
      </c>
      <c r="E148" s="59">
        <f>77.6/1.5</f>
        <v>51.733333333333327</v>
      </c>
      <c r="F148" s="165" t="s">
        <v>27278</v>
      </c>
      <c r="G148" s="165" t="s">
        <v>27279</v>
      </c>
      <c r="H148" s="303" t="s">
        <v>27280</v>
      </c>
    </row>
    <row r="149" spans="1:8" ht="15.75" customHeight="1" thickBot="1">
      <c r="A149" s="300" t="str">
        <f>CONCATENATE("MEDIANA - ",A144)</f>
        <v>MEDIANA - COT21</v>
      </c>
      <c r="B149" s="115"/>
      <c r="C149" s="115"/>
      <c r="D149" s="301"/>
      <c r="E149" s="150">
        <f>MEDIAN(E146:E148)</f>
        <v>53.913333333333334</v>
      </c>
      <c r="F149" s="301"/>
      <c r="G149" s="301"/>
      <c r="H149" s="302"/>
    </row>
    <row r="150" spans="1:8" ht="15.75" customHeight="1" thickBot="1">
      <c r="A150" s="282"/>
      <c r="B150" s="283"/>
      <c r="C150" s="283"/>
      <c r="D150" s="283"/>
      <c r="E150" s="283"/>
      <c r="F150" s="283"/>
      <c r="G150" s="283"/>
      <c r="H150" s="284"/>
    </row>
    <row r="151" spans="1:8" ht="15.75" customHeight="1">
      <c r="A151" s="289" t="s">
        <v>14306</v>
      </c>
      <c r="B151" s="290" t="s">
        <v>7322</v>
      </c>
      <c r="C151" s="290"/>
      <c r="D151" s="290"/>
      <c r="E151" s="290"/>
      <c r="F151" s="290"/>
      <c r="G151" s="290"/>
      <c r="H151" s="291"/>
    </row>
    <row r="152" spans="1:8" ht="15.75" customHeight="1">
      <c r="A152" s="292" t="s">
        <v>6</v>
      </c>
      <c r="B152" s="293" t="s">
        <v>7050</v>
      </c>
      <c r="C152" s="294" t="s">
        <v>7049</v>
      </c>
      <c r="D152" s="295" t="s">
        <v>24</v>
      </c>
      <c r="E152" s="296" t="s">
        <v>7046</v>
      </c>
      <c r="F152" s="293" t="s">
        <v>254</v>
      </c>
      <c r="G152" s="293" t="s">
        <v>7047</v>
      </c>
      <c r="H152" s="297" t="s">
        <v>7048</v>
      </c>
    </row>
    <row r="153" spans="1:8" ht="15.75" customHeight="1">
      <c r="A153" s="120" t="s">
        <v>7</v>
      </c>
      <c r="B153" s="298">
        <v>44714</v>
      </c>
      <c r="C153" s="165" t="s">
        <v>7240</v>
      </c>
      <c r="D153" s="113" t="s">
        <v>32</v>
      </c>
      <c r="E153" s="59">
        <v>249.9</v>
      </c>
      <c r="F153" s="165" t="s">
        <v>27281</v>
      </c>
      <c r="G153" s="165" t="s">
        <v>27817</v>
      </c>
      <c r="H153" s="299" t="s">
        <v>27506</v>
      </c>
    </row>
    <row r="154" spans="1:8" ht="15.75" customHeight="1">
      <c r="A154" s="120" t="s">
        <v>50</v>
      </c>
      <c r="B154" s="298">
        <v>44721</v>
      </c>
      <c r="C154" s="165" t="s">
        <v>13274</v>
      </c>
      <c r="D154" s="113" t="s">
        <v>32</v>
      </c>
      <c r="E154" s="59">
        <v>261.70999999999998</v>
      </c>
      <c r="F154" s="165" t="s">
        <v>27309</v>
      </c>
      <c r="G154" s="165" t="s">
        <v>13275</v>
      </c>
      <c r="H154" s="299" t="s">
        <v>27507</v>
      </c>
    </row>
    <row r="155" spans="1:8" ht="15.75" customHeight="1">
      <c r="A155" s="120" t="s">
        <v>52</v>
      </c>
      <c r="B155" s="298">
        <v>44714</v>
      </c>
      <c r="C155" s="165" t="s">
        <v>7102</v>
      </c>
      <c r="D155" s="113" t="s">
        <v>32</v>
      </c>
      <c r="E155" s="59">
        <v>322.49</v>
      </c>
      <c r="F155" s="165" t="s">
        <v>7103</v>
      </c>
      <c r="G155" s="165" t="s">
        <v>27806</v>
      </c>
      <c r="H155" s="299" t="s">
        <v>27471</v>
      </c>
    </row>
    <row r="156" spans="1:8" ht="15.75" customHeight="1" thickBot="1">
      <c r="A156" s="300" t="str">
        <f>CONCATENATE("MEDIANA - ",A151)</f>
        <v>MEDIANA - COT22</v>
      </c>
      <c r="B156" s="115"/>
      <c r="C156" s="115"/>
      <c r="D156" s="301"/>
      <c r="E156" s="150">
        <f>MEDIAN(E153:E155)</f>
        <v>261.70999999999998</v>
      </c>
      <c r="F156" s="301"/>
      <c r="G156" s="301"/>
      <c r="H156" s="302"/>
    </row>
    <row r="157" spans="1:8" s="315" customFormat="1" ht="15.75" customHeight="1" thickBot="1">
      <c r="A157" s="272"/>
      <c r="B157" s="114"/>
      <c r="C157" s="114"/>
      <c r="D157" s="114"/>
      <c r="E157" s="114"/>
      <c r="F157" s="114"/>
      <c r="G157" s="114"/>
      <c r="H157" s="288"/>
    </row>
    <row r="158" spans="1:8" s="315" customFormat="1" ht="15.75" customHeight="1">
      <c r="A158" s="289" t="s">
        <v>14307</v>
      </c>
      <c r="B158" s="290" t="s">
        <v>27512</v>
      </c>
      <c r="C158" s="290"/>
      <c r="D158" s="290"/>
      <c r="E158" s="290"/>
      <c r="F158" s="290"/>
      <c r="G158" s="290"/>
      <c r="H158" s="291"/>
    </row>
    <row r="159" spans="1:8" s="315" customFormat="1" ht="15.75" customHeight="1">
      <c r="A159" s="292" t="s">
        <v>6</v>
      </c>
      <c r="B159" s="293" t="s">
        <v>7050</v>
      </c>
      <c r="C159" s="294" t="s">
        <v>7049</v>
      </c>
      <c r="D159" s="295" t="s">
        <v>24</v>
      </c>
      <c r="E159" s="296" t="s">
        <v>7046</v>
      </c>
      <c r="F159" s="293" t="s">
        <v>254</v>
      </c>
      <c r="G159" s="293" t="s">
        <v>7047</v>
      </c>
      <c r="H159" s="297" t="s">
        <v>7048</v>
      </c>
    </row>
    <row r="160" spans="1:8" s="315" customFormat="1" ht="15.75" customHeight="1">
      <c r="A160" s="120" t="s">
        <v>7</v>
      </c>
      <c r="B160" s="164">
        <v>44725</v>
      </c>
      <c r="C160" s="166" t="s">
        <v>27291</v>
      </c>
      <c r="D160" s="60" t="s">
        <v>32</v>
      </c>
      <c r="E160" s="57">
        <f>194.9/2</f>
        <v>97.45</v>
      </c>
      <c r="F160" s="166" t="s">
        <v>27508</v>
      </c>
      <c r="G160" s="166" t="s">
        <v>27327</v>
      </c>
      <c r="H160" s="303" t="s">
        <v>27509</v>
      </c>
    </row>
    <row r="161" spans="1:8" s="315" customFormat="1" ht="15.75" customHeight="1">
      <c r="A161" s="120" t="s">
        <v>50</v>
      </c>
      <c r="B161" s="164">
        <v>44715</v>
      </c>
      <c r="C161" s="165" t="s">
        <v>13274</v>
      </c>
      <c r="D161" s="60" t="s">
        <v>32</v>
      </c>
      <c r="E161" s="57">
        <f>73.15/2</f>
        <v>36.575000000000003</v>
      </c>
      <c r="F161" s="166" t="s">
        <v>27309</v>
      </c>
      <c r="G161" s="166" t="s">
        <v>13275</v>
      </c>
      <c r="H161" s="303" t="s">
        <v>27510</v>
      </c>
    </row>
    <row r="162" spans="1:8" s="315" customFormat="1" ht="15.75" customHeight="1">
      <c r="A162" s="120" t="s">
        <v>52</v>
      </c>
      <c r="B162" s="298">
        <v>44719</v>
      </c>
      <c r="C162" s="165" t="s">
        <v>13282</v>
      </c>
      <c r="D162" s="113" t="s">
        <v>32</v>
      </c>
      <c r="E162" s="59">
        <f>34.3/2</f>
        <v>17.149999999999999</v>
      </c>
      <c r="F162" s="165" t="s">
        <v>27269</v>
      </c>
      <c r="G162" s="165" t="s">
        <v>27270</v>
      </c>
      <c r="H162" s="303" t="s">
        <v>27511</v>
      </c>
    </row>
    <row r="163" spans="1:8" s="315" customFormat="1" ht="15.75" customHeight="1" thickBot="1">
      <c r="A163" s="300" t="str">
        <f>CONCATENATE("MEDIANA - ",A158)</f>
        <v>MEDIANA - COT23</v>
      </c>
      <c r="B163" s="115"/>
      <c r="C163" s="115"/>
      <c r="D163" s="301"/>
      <c r="E163" s="150">
        <f>MEDIAN(E160:E162)</f>
        <v>36.575000000000003</v>
      </c>
      <c r="F163" s="301"/>
      <c r="G163" s="301"/>
      <c r="H163" s="302"/>
    </row>
    <row r="164" spans="1:8" s="315" customFormat="1" ht="15.75" customHeight="1" thickBot="1">
      <c r="A164" s="272"/>
      <c r="B164" s="114"/>
      <c r="C164" s="114"/>
      <c r="D164" s="114"/>
      <c r="E164" s="114"/>
      <c r="F164" s="114"/>
      <c r="G164" s="114"/>
      <c r="H164" s="288"/>
    </row>
    <row r="165" spans="1:8" s="315" customFormat="1" ht="15.75" customHeight="1">
      <c r="A165" s="289" t="s">
        <v>14308</v>
      </c>
      <c r="B165" s="290" t="s">
        <v>7334</v>
      </c>
      <c r="C165" s="290"/>
      <c r="D165" s="290"/>
      <c r="E165" s="290"/>
      <c r="F165" s="290"/>
      <c r="G165" s="290"/>
      <c r="H165" s="291"/>
    </row>
    <row r="166" spans="1:8" s="315" customFormat="1" ht="15.75" customHeight="1">
      <c r="A166" s="292" t="s">
        <v>6</v>
      </c>
      <c r="B166" s="293" t="s">
        <v>7050</v>
      </c>
      <c r="C166" s="294" t="s">
        <v>7049</v>
      </c>
      <c r="D166" s="295" t="s">
        <v>24</v>
      </c>
      <c r="E166" s="296" t="s">
        <v>7046</v>
      </c>
      <c r="F166" s="293" t="s">
        <v>254</v>
      </c>
      <c r="G166" s="293" t="s">
        <v>7047</v>
      </c>
      <c r="H166" s="297" t="s">
        <v>7048</v>
      </c>
    </row>
    <row r="167" spans="1:8" s="315" customFormat="1" ht="15.75" customHeight="1">
      <c r="A167" s="120" t="s">
        <v>7</v>
      </c>
      <c r="B167" s="164">
        <v>44715</v>
      </c>
      <c r="C167" s="166" t="s">
        <v>27291</v>
      </c>
      <c r="D167" s="60" t="s">
        <v>32</v>
      </c>
      <c r="E167" s="57">
        <v>44</v>
      </c>
      <c r="F167" s="166" t="s">
        <v>27508</v>
      </c>
      <c r="G167" s="166" t="s">
        <v>27327</v>
      </c>
      <c r="H167" s="303" t="s">
        <v>27513</v>
      </c>
    </row>
    <row r="168" spans="1:8" s="315" customFormat="1" ht="15.75" customHeight="1">
      <c r="A168" s="120" t="s">
        <v>50</v>
      </c>
      <c r="B168" s="164">
        <v>44715</v>
      </c>
      <c r="C168" s="165" t="s">
        <v>13274</v>
      </c>
      <c r="D168" s="60" t="s">
        <v>32</v>
      </c>
      <c r="E168" s="57">
        <v>47.36</v>
      </c>
      <c r="F168" s="166" t="s">
        <v>27309</v>
      </c>
      <c r="G168" s="166" t="s">
        <v>13275</v>
      </c>
      <c r="H168" s="303" t="s">
        <v>27514</v>
      </c>
    </row>
    <row r="169" spans="1:8" s="315" customFormat="1" ht="15.75" customHeight="1">
      <c r="A169" s="120" t="s">
        <v>52</v>
      </c>
      <c r="B169" s="164">
        <v>44715</v>
      </c>
      <c r="C169" s="165" t="s">
        <v>13282</v>
      </c>
      <c r="D169" s="60" t="s">
        <v>32</v>
      </c>
      <c r="E169" s="57">
        <v>59.89</v>
      </c>
      <c r="F169" s="166" t="s">
        <v>27269</v>
      </c>
      <c r="G169" s="166" t="s">
        <v>27270</v>
      </c>
      <c r="H169" s="303" t="s">
        <v>27515</v>
      </c>
    </row>
    <row r="170" spans="1:8" s="315" customFormat="1" ht="15.75" customHeight="1" thickBot="1">
      <c r="A170" s="300" t="str">
        <f>CONCATENATE("MEDIANA - ",A165)</f>
        <v>MEDIANA - COT24</v>
      </c>
      <c r="B170" s="115"/>
      <c r="C170" s="115"/>
      <c r="D170" s="301"/>
      <c r="E170" s="150">
        <f>MEDIAN(E167:E169)</f>
        <v>47.36</v>
      </c>
      <c r="F170" s="301"/>
      <c r="G170" s="301"/>
      <c r="H170" s="302"/>
    </row>
    <row r="171" spans="1:8" s="315" customFormat="1" ht="15.75" customHeight="1" thickBot="1">
      <c r="A171" s="272"/>
      <c r="B171" s="114"/>
      <c r="C171" s="114"/>
      <c r="D171" s="114"/>
      <c r="E171" s="114"/>
      <c r="F171" s="114"/>
      <c r="G171" s="114"/>
      <c r="H171" s="288"/>
    </row>
    <row r="172" spans="1:8" s="315" customFormat="1" ht="15.75" customHeight="1">
      <c r="A172" s="289" t="s">
        <v>14309</v>
      </c>
      <c r="B172" s="290" t="s">
        <v>7335</v>
      </c>
      <c r="C172" s="290"/>
      <c r="D172" s="290"/>
      <c r="E172" s="290"/>
      <c r="F172" s="290"/>
      <c r="G172" s="290"/>
      <c r="H172" s="291"/>
    </row>
    <row r="173" spans="1:8" s="315" customFormat="1" ht="15.75" customHeight="1">
      <c r="A173" s="292" t="s">
        <v>6</v>
      </c>
      <c r="B173" s="293" t="s">
        <v>7050</v>
      </c>
      <c r="C173" s="294" t="s">
        <v>7049</v>
      </c>
      <c r="D173" s="295" t="s">
        <v>24</v>
      </c>
      <c r="E173" s="296" t="s">
        <v>7046</v>
      </c>
      <c r="F173" s="293" t="s">
        <v>254</v>
      </c>
      <c r="G173" s="293" t="s">
        <v>7047</v>
      </c>
      <c r="H173" s="297" t="s">
        <v>7048</v>
      </c>
    </row>
    <row r="174" spans="1:8" s="315" customFormat="1" ht="15.75" customHeight="1">
      <c r="A174" s="120" t="s">
        <v>7</v>
      </c>
      <c r="B174" s="164">
        <v>44715</v>
      </c>
      <c r="C174" s="166" t="s">
        <v>27300</v>
      </c>
      <c r="D174" s="60" t="s">
        <v>40</v>
      </c>
      <c r="E174" s="57">
        <v>4.46</v>
      </c>
      <c r="F174" s="166" t="s">
        <v>27301</v>
      </c>
      <c r="G174" s="166" t="s">
        <v>27302</v>
      </c>
      <c r="H174" s="303" t="s">
        <v>27516</v>
      </c>
    </row>
    <row r="175" spans="1:8" s="315" customFormat="1" ht="15.75" customHeight="1">
      <c r="A175" s="120" t="s">
        <v>50</v>
      </c>
      <c r="B175" s="164">
        <v>44715</v>
      </c>
      <c r="C175" s="166" t="s">
        <v>27300</v>
      </c>
      <c r="D175" s="60" t="s">
        <v>40</v>
      </c>
      <c r="E175" s="57">
        <v>4.3849999999999998</v>
      </c>
      <c r="F175" s="166" t="s">
        <v>27301</v>
      </c>
      <c r="G175" s="166" t="s">
        <v>27302</v>
      </c>
      <c r="H175" s="303" t="s">
        <v>27517</v>
      </c>
    </row>
    <row r="176" spans="1:8" s="315" customFormat="1" ht="15.75" customHeight="1">
      <c r="A176" s="120" t="s">
        <v>52</v>
      </c>
      <c r="B176" s="298">
        <v>44726</v>
      </c>
      <c r="C176" s="166" t="s">
        <v>27291</v>
      </c>
      <c r="D176" s="60" t="s">
        <v>40</v>
      </c>
      <c r="E176" s="57">
        <v>3.0979999999999999</v>
      </c>
      <c r="F176" s="166" t="s">
        <v>27508</v>
      </c>
      <c r="G176" s="166" t="s">
        <v>27327</v>
      </c>
      <c r="H176" s="303" t="s">
        <v>27809</v>
      </c>
    </row>
    <row r="177" spans="1:8" s="315" customFormat="1" ht="15.75" customHeight="1" thickBot="1">
      <c r="A177" s="300" t="str">
        <f>CONCATENATE("MEDIANA - ",A172)</f>
        <v>MEDIANA - COT25</v>
      </c>
      <c r="B177" s="115"/>
      <c r="C177" s="115"/>
      <c r="D177" s="301"/>
      <c r="E177" s="150">
        <f>MEDIAN(E174:E176)</f>
        <v>4.3849999999999998</v>
      </c>
      <c r="F177" s="301"/>
      <c r="G177" s="301"/>
      <c r="H177" s="302"/>
    </row>
    <row r="178" spans="1:8" s="315" customFormat="1" ht="15.75" customHeight="1" thickBot="1">
      <c r="A178" s="272"/>
      <c r="B178" s="114"/>
      <c r="C178" s="114"/>
      <c r="D178" s="114"/>
      <c r="E178" s="114"/>
      <c r="F178" s="114"/>
      <c r="G178" s="114"/>
      <c r="H178" s="288"/>
    </row>
    <row r="179" spans="1:8" s="315" customFormat="1" ht="15.75" customHeight="1">
      <c r="A179" s="289" t="s">
        <v>14310</v>
      </c>
      <c r="B179" s="290" t="s">
        <v>7336</v>
      </c>
      <c r="C179" s="290"/>
      <c r="D179" s="290"/>
      <c r="E179" s="290"/>
      <c r="F179" s="290"/>
      <c r="G179" s="290"/>
      <c r="H179" s="291"/>
    </row>
    <row r="180" spans="1:8" s="315" customFormat="1" ht="15.75" customHeight="1">
      <c r="A180" s="292" t="s">
        <v>6</v>
      </c>
      <c r="B180" s="293" t="s">
        <v>7050</v>
      </c>
      <c r="C180" s="294" t="s">
        <v>7049</v>
      </c>
      <c r="D180" s="295" t="s">
        <v>24</v>
      </c>
      <c r="E180" s="296" t="s">
        <v>7046</v>
      </c>
      <c r="F180" s="293" t="s">
        <v>254</v>
      </c>
      <c r="G180" s="293" t="s">
        <v>7047</v>
      </c>
      <c r="H180" s="297" t="s">
        <v>7048</v>
      </c>
    </row>
    <row r="181" spans="1:8" s="315" customFormat="1" ht="15.75" customHeight="1">
      <c r="A181" s="120" t="s">
        <v>7</v>
      </c>
      <c r="B181" s="164">
        <v>44726</v>
      </c>
      <c r="C181" s="166" t="s">
        <v>27300</v>
      </c>
      <c r="D181" s="60" t="s">
        <v>40</v>
      </c>
      <c r="E181" s="57">
        <f>223.36/50</f>
        <v>4.4672000000000001</v>
      </c>
      <c r="F181" s="166" t="s">
        <v>27301</v>
      </c>
      <c r="G181" s="166" t="s">
        <v>27302</v>
      </c>
      <c r="H181" s="303" t="s">
        <v>27516</v>
      </c>
    </row>
    <row r="182" spans="1:8" s="315" customFormat="1" ht="15.75" customHeight="1">
      <c r="A182" s="120" t="s">
        <v>50</v>
      </c>
      <c r="B182" s="164">
        <v>44715</v>
      </c>
      <c r="C182" s="166" t="s">
        <v>27291</v>
      </c>
      <c r="D182" s="60" t="s">
        <v>40</v>
      </c>
      <c r="E182" s="57">
        <f>120.46/50</f>
        <v>2.4091999999999998</v>
      </c>
      <c r="F182" s="166" t="s">
        <v>27508</v>
      </c>
      <c r="G182" s="166" t="s">
        <v>27327</v>
      </c>
      <c r="H182" s="306" t="s">
        <v>27518</v>
      </c>
    </row>
    <row r="183" spans="1:8" s="315" customFormat="1" ht="15.75" customHeight="1">
      <c r="A183" s="120" t="s">
        <v>52</v>
      </c>
      <c r="B183" s="298">
        <v>44725</v>
      </c>
      <c r="C183" s="165" t="s">
        <v>27810</v>
      </c>
      <c r="D183" s="60" t="s">
        <v>40</v>
      </c>
      <c r="E183" s="59">
        <f>(11.42+23.82)/25</f>
        <v>1.4096000000000002</v>
      </c>
      <c r="F183" s="165" t="s">
        <v>27811</v>
      </c>
      <c r="G183" s="165" t="s">
        <v>27812</v>
      </c>
      <c r="H183" s="303" t="s">
        <v>27519</v>
      </c>
    </row>
    <row r="184" spans="1:8" s="315" customFormat="1" ht="15.75" customHeight="1" thickBot="1">
      <c r="A184" s="300" t="str">
        <f>CONCATENATE("MEDIANA - ",A179)</f>
        <v>MEDIANA - COT26</v>
      </c>
      <c r="B184" s="115"/>
      <c r="C184" s="115"/>
      <c r="D184" s="301"/>
      <c r="E184" s="150">
        <f>MEDIAN(E181:E183)</f>
        <v>2.4091999999999998</v>
      </c>
      <c r="F184" s="301"/>
      <c r="G184" s="301"/>
      <c r="H184" s="302"/>
    </row>
    <row r="185" spans="1:8" s="315" customFormat="1" ht="15.75" customHeight="1" thickBot="1">
      <c r="A185" s="272"/>
      <c r="B185" s="114"/>
      <c r="C185" s="114"/>
      <c r="D185" s="114"/>
      <c r="E185" s="114"/>
      <c r="F185" s="114"/>
      <c r="G185" s="114"/>
      <c r="H185" s="288"/>
    </row>
    <row r="186" spans="1:8" s="315" customFormat="1" ht="15.75" customHeight="1">
      <c r="A186" s="289" t="s">
        <v>14311</v>
      </c>
      <c r="B186" s="290" t="s">
        <v>7337</v>
      </c>
      <c r="C186" s="290"/>
      <c r="D186" s="290"/>
      <c r="E186" s="290"/>
      <c r="F186" s="290"/>
      <c r="G186" s="290"/>
      <c r="H186" s="291"/>
    </row>
    <row r="187" spans="1:8" s="315" customFormat="1" ht="15.75" customHeight="1">
      <c r="A187" s="292" t="s">
        <v>6</v>
      </c>
      <c r="B187" s="293" t="s">
        <v>7050</v>
      </c>
      <c r="C187" s="294" t="s">
        <v>7049</v>
      </c>
      <c r="D187" s="295" t="s">
        <v>24</v>
      </c>
      <c r="E187" s="296" t="s">
        <v>7046</v>
      </c>
      <c r="F187" s="293" t="s">
        <v>254</v>
      </c>
      <c r="G187" s="293" t="s">
        <v>7047</v>
      </c>
      <c r="H187" s="297" t="s">
        <v>7048</v>
      </c>
    </row>
    <row r="188" spans="1:8" s="315" customFormat="1" ht="15.75" customHeight="1">
      <c r="A188" s="120" t="s">
        <v>7</v>
      </c>
      <c r="B188" s="298">
        <v>44709</v>
      </c>
      <c r="C188" s="165" t="s">
        <v>27283</v>
      </c>
      <c r="D188" s="113" t="s">
        <v>250</v>
      </c>
      <c r="E188" s="59">
        <v>2.1800000000000002</v>
      </c>
      <c r="F188" s="165" t="s">
        <v>27284</v>
      </c>
      <c r="G188" s="165" t="s">
        <v>27285</v>
      </c>
      <c r="H188" s="303" t="s">
        <v>27286</v>
      </c>
    </row>
    <row r="189" spans="1:8" s="315" customFormat="1" ht="15.75" customHeight="1">
      <c r="A189" s="120" t="s">
        <v>50</v>
      </c>
      <c r="B189" s="298">
        <v>44709</v>
      </c>
      <c r="C189" s="165" t="s">
        <v>27287</v>
      </c>
      <c r="D189" s="113" t="s">
        <v>250</v>
      </c>
      <c r="E189" s="59">
        <v>3.19</v>
      </c>
      <c r="F189" s="165" t="s">
        <v>27288</v>
      </c>
      <c r="G189" s="165" t="s">
        <v>27289</v>
      </c>
      <c r="H189" s="303" t="s">
        <v>27290</v>
      </c>
    </row>
    <row r="190" spans="1:8" s="315" customFormat="1" ht="15.75" customHeight="1">
      <c r="A190" s="120" t="s">
        <v>52</v>
      </c>
      <c r="B190" s="298">
        <v>44709</v>
      </c>
      <c r="C190" s="166" t="s">
        <v>27291</v>
      </c>
      <c r="D190" s="113" t="s">
        <v>250</v>
      </c>
      <c r="E190" s="59">
        <v>1.98</v>
      </c>
      <c r="F190" s="165" t="s">
        <v>27292</v>
      </c>
      <c r="G190" s="165" t="s">
        <v>27293</v>
      </c>
      <c r="H190" s="303" t="s">
        <v>27294</v>
      </c>
    </row>
    <row r="191" spans="1:8" s="315" customFormat="1" ht="15.75" customHeight="1" thickBot="1">
      <c r="A191" s="300" t="str">
        <f>CONCATENATE("MEDIANA - ",A186)</f>
        <v>MEDIANA - COT27</v>
      </c>
      <c r="B191" s="115"/>
      <c r="C191" s="115"/>
      <c r="D191" s="301"/>
      <c r="E191" s="150">
        <f>MEDIAN(E188:E190)</f>
        <v>2.1800000000000002</v>
      </c>
      <c r="F191" s="301"/>
      <c r="G191" s="301"/>
      <c r="H191" s="302"/>
    </row>
    <row r="192" spans="1:8" s="315" customFormat="1" ht="15.75" customHeight="1" thickBot="1">
      <c r="A192" s="272"/>
      <c r="B192" s="114"/>
      <c r="C192" s="114"/>
      <c r="D192" s="114"/>
      <c r="E192" s="114"/>
      <c r="F192" s="114"/>
      <c r="G192" s="114"/>
      <c r="H192" s="288"/>
    </row>
    <row r="193" spans="1:8" s="315" customFormat="1" ht="15.75" customHeight="1">
      <c r="A193" s="289" t="s">
        <v>14312</v>
      </c>
      <c r="B193" s="290" t="s">
        <v>7338</v>
      </c>
      <c r="C193" s="290"/>
      <c r="D193" s="290"/>
      <c r="E193" s="290"/>
      <c r="F193" s="290"/>
      <c r="G193" s="290"/>
      <c r="H193" s="291"/>
    </row>
    <row r="194" spans="1:8" s="315" customFormat="1" ht="15.75" customHeight="1">
      <c r="A194" s="292" t="s">
        <v>6</v>
      </c>
      <c r="B194" s="293" t="s">
        <v>7050</v>
      </c>
      <c r="C194" s="294" t="s">
        <v>7049</v>
      </c>
      <c r="D194" s="295" t="s">
        <v>24</v>
      </c>
      <c r="E194" s="296" t="s">
        <v>7046</v>
      </c>
      <c r="F194" s="293" t="s">
        <v>254</v>
      </c>
      <c r="G194" s="293" t="s">
        <v>7047</v>
      </c>
      <c r="H194" s="297" t="s">
        <v>7048</v>
      </c>
    </row>
    <row r="195" spans="1:8" s="315" customFormat="1" ht="15.75" customHeight="1">
      <c r="A195" s="120" t="s">
        <v>7</v>
      </c>
      <c r="B195" s="298">
        <v>44715</v>
      </c>
      <c r="C195" s="165" t="s">
        <v>27520</v>
      </c>
      <c r="D195" s="113" t="s">
        <v>40</v>
      </c>
      <c r="E195" s="59">
        <f>138.94/50</f>
        <v>2.7787999999999999</v>
      </c>
      <c r="F195" s="165" t="s">
        <v>27521</v>
      </c>
      <c r="G195" s="165" t="s">
        <v>27522</v>
      </c>
      <c r="H195" s="167" t="s">
        <v>27523</v>
      </c>
    </row>
    <row r="196" spans="1:8" s="315" customFormat="1" ht="15.75" customHeight="1">
      <c r="A196" s="120" t="s">
        <v>50</v>
      </c>
      <c r="B196" s="164">
        <v>44715</v>
      </c>
      <c r="C196" s="165" t="s">
        <v>7242</v>
      </c>
      <c r="D196" s="113" t="s">
        <v>40</v>
      </c>
      <c r="E196" s="57">
        <f>381.39/100</f>
        <v>3.8138999999999998</v>
      </c>
      <c r="F196" s="166" t="s">
        <v>27268</v>
      </c>
      <c r="G196" s="165" t="s">
        <v>13281</v>
      </c>
      <c r="H196" s="299" t="s">
        <v>27524</v>
      </c>
    </row>
    <row r="197" spans="1:8" s="315" customFormat="1" ht="15.75" customHeight="1">
      <c r="A197" s="120" t="s">
        <v>52</v>
      </c>
      <c r="B197" s="298">
        <v>44726</v>
      </c>
      <c r="C197" s="165" t="s">
        <v>13274</v>
      </c>
      <c r="D197" s="113" t="s">
        <v>40</v>
      </c>
      <c r="E197" s="57">
        <v>7.89</v>
      </c>
      <c r="F197" s="166" t="s">
        <v>27309</v>
      </c>
      <c r="G197" s="165" t="s">
        <v>13275</v>
      </c>
      <c r="H197" s="303" t="s">
        <v>27813</v>
      </c>
    </row>
    <row r="198" spans="1:8" s="315" customFormat="1" ht="15.75" customHeight="1" thickBot="1">
      <c r="A198" s="300" t="str">
        <f>CONCATENATE("MEDIANA - ",A193)</f>
        <v>MEDIANA - COT28</v>
      </c>
      <c r="B198" s="115"/>
      <c r="C198" s="115"/>
      <c r="D198" s="301"/>
      <c r="E198" s="150">
        <f>MEDIAN(E195:E197)</f>
        <v>3.8138999999999998</v>
      </c>
      <c r="F198" s="301"/>
      <c r="G198" s="301"/>
      <c r="H198" s="302"/>
    </row>
    <row r="199" spans="1:8" s="315" customFormat="1" ht="15.75" customHeight="1" thickBot="1">
      <c r="A199" s="272"/>
      <c r="B199" s="114"/>
      <c r="C199" s="114"/>
      <c r="D199" s="114"/>
      <c r="E199" s="114"/>
      <c r="F199" s="114"/>
      <c r="G199" s="114"/>
      <c r="H199" s="288"/>
    </row>
    <row r="200" spans="1:8" s="315" customFormat="1" ht="15.75" customHeight="1">
      <c r="A200" s="289" t="s">
        <v>14313</v>
      </c>
      <c r="B200" s="290" t="s">
        <v>7339</v>
      </c>
      <c r="C200" s="290"/>
      <c r="D200" s="290"/>
      <c r="E200" s="290"/>
      <c r="F200" s="290"/>
      <c r="G200" s="290"/>
      <c r="H200" s="291"/>
    </row>
    <row r="201" spans="1:8" s="315" customFormat="1" ht="15.75" customHeight="1">
      <c r="A201" s="292" t="s">
        <v>6</v>
      </c>
      <c r="B201" s="293" t="s">
        <v>7050</v>
      </c>
      <c r="C201" s="294" t="s">
        <v>7049</v>
      </c>
      <c r="D201" s="295" t="s">
        <v>24</v>
      </c>
      <c r="E201" s="296" t="s">
        <v>7046</v>
      </c>
      <c r="F201" s="293" t="s">
        <v>254</v>
      </c>
      <c r="G201" s="293" t="s">
        <v>7047</v>
      </c>
      <c r="H201" s="297" t="s">
        <v>7048</v>
      </c>
    </row>
    <row r="202" spans="1:8" s="315" customFormat="1" ht="15.75" customHeight="1">
      <c r="A202" s="120" t="s">
        <v>7</v>
      </c>
      <c r="B202" s="298">
        <v>44709</v>
      </c>
      <c r="C202" s="165" t="s">
        <v>27295</v>
      </c>
      <c r="D202" s="113" t="s">
        <v>32</v>
      </c>
      <c r="E202" s="59">
        <v>0.34</v>
      </c>
      <c r="F202" s="316" t="s">
        <v>27296</v>
      </c>
      <c r="G202" s="165" t="s">
        <v>27297</v>
      </c>
      <c r="H202" s="303" t="s">
        <v>27298</v>
      </c>
    </row>
    <row r="203" spans="1:8" s="315" customFormat="1" ht="15.75" customHeight="1">
      <c r="A203" s="120" t="s">
        <v>50</v>
      </c>
      <c r="B203" s="298">
        <v>44709</v>
      </c>
      <c r="C203" s="166" t="s">
        <v>27291</v>
      </c>
      <c r="D203" s="113" t="s">
        <v>32</v>
      </c>
      <c r="E203" s="59">
        <v>0.25</v>
      </c>
      <c r="F203" s="165" t="s">
        <v>27292</v>
      </c>
      <c r="G203" s="165" t="s">
        <v>27293</v>
      </c>
      <c r="H203" s="303" t="s">
        <v>27299</v>
      </c>
    </row>
    <row r="204" spans="1:8" s="315" customFormat="1" ht="15.75" customHeight="1">
      <c r="A204" s="120" t="s">
        <v>52</v>
      </c>
      <c r="B204" s="298">
        <v>44709</v>
      </c>
      <c r="C204" s="165" t="s">
        <v>27300</v>
      </c>
      <c r="D204" s="113" t="s">
        <v>32</v>
      </c>
      <c r="E204" s="59">
        <v>0.6</v>
      </c>
      <c r="F204" s="165" t="s">
        <v>27301</v>
      </c>
      <c r="G204" s="165" t="s">
        <v>27302</v>
      </c>
      <c r="H204" s="303" t="s">
        <v>27303</v>
      </c>
    </row>
    <row r="205" spans="1:8" s="315" customFormat="1" ht="15.75" customHeight="1" thickBot="1">
      <c r="A205" s="300" t="str">
        <f>CONCATENATE("MEDIANA - ",A200)</f>
        <v>MEDIANA - COT29</v>
      </c>
      <c r="B205" s="115"/>
      <c r="C205" s="115"/>
      <c r="D205" s="301"/>
      <c r="E205" s="150">
        <f>MEDIAN(E202:E204)</f>
        <v>0.34</v>
      </c>
      <c r="F205" s="301"/>
      <c r="G205" s="301"/>
      <c r="H205" s="302"/>
    </row>
    <row r="206" spans="1:8" s="315" customFormat="1" ht="15.75" customHeight="1" thickBot="1">
      <c r="A206" s="272"/>
      <c r="B206" s="114"/>
      <c r="C206" s="114"/>
      <c r="D206" s="114"/>
      <c r="E206" s="114"/>
      <c r="F206" s="114"/>
      <c r="G206" s="114"/>
      <c r="H206" s="288"/>
    </row>
    <row r="207" spans="1:8" s="315" customFormat="1" ht="15.75" customHeight="1">
      <c r="A207" s="289" t="s">
        <v>14314</v>
      </c>
      <c r="B207" s="290" t="s">
        <v>7340</v>
      </c>
      <c r="C207" s="290"/>
      <c r="D207" s="290"/>
      <c r="E207" s="290"/>
      <c r="F207" s="290"/>
      <c r="G207" s="290"/>
      <c r="H207" s="291"/>
    </row>
    <row r="208" spans="1:8" s="315" customFormat="1" ht="15.75" customHeight="1">
      <c r="A208" s="292" t="s">
        <v>6</v>
      </c>
      <c r="B208" s="293" t="s">
        <v>7050</v>
      </c>
      <c r="C208" s="294" t="s">
        <v>7049</v>
      </c>
      <c r="D208" s="295" t="s">
        <v>24</v>
      </c>
      <c r="E208" s="296" t="s">
        <v>7046</v>
      </c>
      <c r="F208" s="293" t="s">
        <v>254</v>
      </c>
      <c r="G208" s="293" t="s">
        <v>7047</v>
      </c>
      <c r="H208" s="297" t="s">
        <v>7048</v>
      </c>
    </row>
    <row r="209" spans="1:8" s="315" customFormat="1" ht="15.75" customHeight="1">
      <c r="A209" s="120"/>
      <c r="B209" s="298">
        <v>44711</v>
      </c>
      <c r="C209" s="165" t="s">
        <v>27304</v>
      </c>
      <c r="D209" s="113" t="s">
        <v>32</v>
      </c>
      <c r="E209" s="59">
        <v>0.28000000000000003</v>
      </c>
      <c r="F209" s="165" t="s">
        <v>27305</v>
      </c>
      <c r="G209" s="165" t="s">
        <v>27306</v>
      </c>
      <c r="H209" s="303" t="s">
        <v>27307</v>
      </c>
    </row>
    <row r="210" spans="1:8" s="315" customFormat="1" ht="15.75" customHeight="1">
      <c r="A210" s="120" t="s">
        <v>50</v>
      </c>
      <c r="B210" s="298">
        <v>44711</v>
      </c>
      <c r="C210" s="166" t="s">
        <v>27291</v>
      </c>
      <c r="D210" s="113" t="s">
        <v>32</v>
      </c>
      <c r="E210" s="59">
        <v>0.46</v>
      </c>
      <c r="F210" s="165" t="s">
        <v>27292</v>
      </c>
      <c r="G210" s="165" t="s">
        <v>27293</v>
      </c>
      <c r="H210" s="303" t="s">
        <v>27308</v>
      </c>
    </row>
    <row r="211" spans="1:8" s="315" customFormat="1" ht="15.75" customHeight="1">
      <c r="A211" s="120" t="s">
        <v>52</v>
      </c>
      <c r="B211" s="164">
        <v>44711</v>
      </c>
      <c r="C211" s="165" t="s">
        <v>13274</v>
      </c>
      <c r="D211" s="60" t="s">
        <v>32</v>
      </c>
      <c r="E211" s="57">
        <v>0.27</v>
      </c>
      <c r="F211" s="166" t="s">
        <v>27309</v>
      </c>
      <c r="G211" s="165" t="s">
        <v>13275</v>
      </c>
      <c r="H211" s="303" t="s">
        <v>27310</v>
      </c>
    </row>
    <row r="212" spans="1:8" s="315" customFormat="1" ht="15.75" customHeight="1" thickBot="1">
      <c r="A212" s="300" t="str">
        <f>CONCATENATE("MEDIANA - ",A207)</f>
        <v>MEDIANA - COT30</v>
      </c>
      <c r="B212" s="115"/>
      <c r="C212" s="115"/>
      <c r="D212" s="301"/>
      <c r="E212" s="150">
        <f>MEDIAN(E209:E211)</f>
        <v>0.28000000000000003</v>
      </c>
      <c r="F212" s="301"/>
      <c r="G212" s="301"/>
      <c r="H212" s="302"/>
    </row>
    <row r="213" spans="1:8" s="315" customFormat="1" ht="15.75" customHeight="1" thickBot="1">
      <c r="A213" s="272"/>
      <c r="B213" s="114"/>
      <c r="C213" s="114"/>
      <c r="D213" s="114"/>
      <c r="E213" s="114"/>
      <c r="F213" s="114"/>
      <c r="G213" s="114"/>
      <c r="H213" s="288"/>
    </row>
    <row r="214" spans="1:8" s="315" customFormat="1" ht="15.75" customHeight="1">
      <c r="A214" s="289" t="s">
        <v>14315</v>
      </c>
      <c r="B214" s="290" t="s">
        <v>7341</v>
      </c>
      <c r="C214" s="290"/>
      <c r="D214" s="290"/>
      <c r="E214" s="290"/>
      <c r="F214" s="290"/>
      <c r="G214" s="290"/>
      <c r="H214" s="291"/>
    </row>
    <row r="215" spans="1:8" s="315" customFormat="1" ht="15.75" customHeight="1">
      <c r="A215" s="292" t="s">
        <v>6</v>
      </c>
      <c r="B215" s="293" t="s">
        <v>7050</v>
      </c>
      <c r="C215" s="294" t="s">
        <v>7049</v>
      </c>
      <c r="D215" s="295" t="s">
        <v>24</v>
      </c>
      <c r="E215" s="296" t="s">
        <v>7046</v>
      </c>
      <c r="F215" s="293" t="s">
        <v>254</v>
      </c>
      <c r="G215" s="293" t="s">
        <v>7047</v>
      </c>
      <c r="H215" s="297" t="s">
        <v>7048</v>
      </c>
    </row>
    <row r="216" spans="1:8" s="114" customFormat="1" ht="15.75" customHeight="1">
      <c r="A216" s="120" t="s">
        <v>7</v>
      </c>
      <c r="B216" s="298">
        <v>44709</v>
      </c>
      <c r="C216" s="165" t="s">
        <v>27311</v>
      </c>
      <c r="D216" s="113" t="s">
        <v>24</v>
      </c>
      <c r="E216" s="59">
        <v>0.95</v>
      </c>
      <c r="F216" s="165" t="s">
        <v>27312</v>
      </c>
      <c r="G216" s="264" t="s">
        <v>27313</v>
      </c>
      <c r="H216" s="303" t="s">
        <v>27314</v>
      </c>
    </row>
    <row r="217" spans="1:8" s="315" customFormat="1" ht="15.75" customHeight="1">
      <c r="A217" s="120" t="s">
        <v>50</v>
      </c>
      <c r="B217" s="298">
        <v>44709</v>
      </c>
      <c r="C217" s="165" t="s">
        <v>27315</v>
      </c>
      <c r="D217" s="113" t="s">
        <v>32</v>
      </c>
      <c r="E217" s="59">
        <v>1.03</v>
      </c>
      <c r="F217" s="165" t="s">
        <v>27316</v>
      </c>
      <c r="G217" s="165" t="s">
        <v>27317</v>
      </c>
      <c r="H217" s="303" t="s">
        <v>27318</v>
      </c>
    </row>
    <row r="218" spans="1:8" s="315" customFormat="1" ht="15.75" customHeight="1">
      <c r="A218" s="120" t="s">
        <v>52</v>
      </c>
      <c r="B218" s="298">
        <v>44709</v>
      </c>
      <c r="C218" s="165" t="s">
        <v>27319</v>
      </c>
      <c r="D218" s="113" t="s">
        <v>24</v>
      </c>
      <c r="E218" s="57">
        <v>0.47</v>
      </c>
      <c r="F218" s="264" t="s">
        <v>27320</v>
      </c>
      <c r="G218" s="165" t="s">
        <v>27321</v>
      </c>
      <c r="H218" s="317" t="s">
        <v>27322</v>
      </c>
    </row>
    <row r="219" spans="1:8" s="114" customFormat="1" ht="15.75" customHeight="1" thickBot="1">
      <c r="A219" s="300" t="str">
        <f>CONCATENATE("MEDIANA - ",A214)</f>
        <v>MEDIANA - COT31</v>
      </c>
      <c r="B219" s="115"/>
      <c r="C219" s="115"/>
      <c r="D219" s="301"/>
      <c r="E219" s="150">
        <f>MEDIAN(E216:E218)</f>
        <v>0.95</v>
      </c>
      <c r="F219" s="301"/>
      <c r="G219" s="301"/>
      <c r="H219" s="302"/>
    </row>
    <row r="220" spans="1:8" s="315" customFormat="1" ht="15.75" customHeight="1" thickBot="1">
      <c r="A220" s="272"/>
      <c r="B220" s="114"/>
      <c r="C220" s="114"/>
      <c r="D220" s="114"/>
      <c r="E220" s="114"/>
      <c r="F220" s="114"/>
      <c r="G220" s="114"/>
      <c r="H220" s="288"/>
    </row>
    <row r="221" spans="1:8" s="315" customFormat="1" ht="15.75" customHeight="1">
      <c r="A221" s="289" t="s">
        <v>14316</v>
      </c>
      <c r="B221" s="290" t="s">
        <v>7342</v>
      </c>
      <c r="C221" s="290"/>
      <c r="D221" s="290"/>
      <c r="E221" s="290"/>
      <c r="F221" s="290"/>
      <c r="G221" s="290"/>
      <c r="H221" s="291"/>
    </row>
    <row r="222" spans="1:8" s="315" customFormat="1" ht="15.75" customHeight="1">
      <c r="A222" s="292" t="s">
        <v>6</v>
      </c>
      <c r="B222" s="293" t="s">
        <v>7050</v>
      </c>
      <c r="C222" s="294" t="s">
        <v>7049</v>
      </c>
      <c r="D222" s="295" t="s">
        <v>24</v>
      </c>
      <c r="E222" s="296" t="s">
        <v>7046</v>
      </c>
      <c r="F222" s="293" t="s">
        <v>254</v>
      </c>
      <c r="G222" s="293" t="s">
        <v>7047</v>
      </c>
      <c r="H222" s="297" t="s">
        <v>7048</v>
      </c>
    </row>
    <row r="223" spans="1:8" s="315" customFormat="1" ht="15.75" customHeight="1">
      <c r="A223" s="120" t="s">
        <v>7</v>
      </c>
      <c r="B223" s="298">
        <v>44709</v>
      </c>
      <c r="C223" s="165" t="s">
        <v>27323</v>
      </c>
      <c r="D223" s="113" t="s">
        <v>32</v>
      </c>
      <c r="E223" s="59">
        <v>0.68</v>
      </c>
      <c r="F223" s="165" t="s">
        <v>27324</v>
      </c>
      <c r="G223" s="165" t="s">
        <v>27325</v>
      </c>
      <c r="H223" s="303" t="s">
        <v>27326</v>
      </c>
    </row>
    <row r="224" spans="1:8" s="315" customFormat="1" ht="15.75" customHeight="1">
      <c r="A224" s="120" t="s">
        <v>50</v>
      </c>
      <c r="B224" s="298">
        <v>44709</v>
      </c>
      <c r="C224" s="166" t="s">
        <v>27291</v>
      </c>
      <c r="D224" s="113" t="s">
        <v>24</v>
      </c>
      <c r="E224" s="318">
        <v>1.18</v>
      </c>
      <c r="F224" s="319">
        <v>8006377246</v>
      </c>
      <c r="G224" s="320" t="s">
        <v>27327</v>
      </c>
      <c r="H224" s="303" t="s">
        <v>27328</v>
      </c>
    </row>
    <row r="225" spans="1:8" s="315" customFormat="1" ht="15.75" customHeight="1">
      <c r="A225" s="120" t="s">
        <v>52</v>
      </c>
      <c r="B225" s="298">
        <v>44710</v>
      </c>
      <c r="C225" s="165" t="s">
        <v>13282</v>
      </c>
      <c r="D225" s="113" t="s">
        <v>32</v>
      </c>
      <c r="E225" s="59">
        <v>0.86</v>
      </c>
      <c r="F225" s="165" t="s">
        <v>27269</v>
      </c>
      <c r="G225" s="165" t="s">
        <v>14203</v>
      </c>
      <c r="H225" s="303" t="s">
        <v>27330</v>
      </c>
    </row>
    <row r="226" spans="1:8" s="315" customFormat="1" ht="15.75" customHeight="1" thickBot="1">
      <c r="A226" s="300" t="str">
        <f>CONCATENATE("MEDIANA - ",A221)</f>
        <v>MEDIANA - COT32</v>
      </c>
      <c r="B226" s="115"/>
      <c r="C226" s="115"/>
      <c r="D226" s="301"/>
      <c r="E226" s="150">
        <f>MEDIAN(E223:E225)</f>
        <v>0.86</v>
      </c>
      <c r="F226" s="301"/>
      <c r="G226" s="301"/>
      <c r="H226" s="302"/>
    </row>
    <row r="227" spans="1:8" s="315" customFormat="1" ht="15.75" customHeight="1" thickBot="1">
      <c r="A227" s="272"/>
      <c r="B227" s="114"/>
      <c r="C227" s="114"/>
      <c r="D227" s="114"/>
      <c r="E227" s="114"/>
      <c r="F227" s="114"/>
      <c r="G227" s="114"/>
      <c r="H227" s="288"/>
    </row>
    <row r="228" spans="1:8" s="315" customFormat="1" ht="15.75" customHeight="1">
      <c r="A228" s="289" t="s">
        <v>14317</v>
      </c>
      <c r="B228" s="290" t="s">
        <v>7391</v>
      </c>
      <c r="C228" s="290"/>
      <c r="D228" s="290"/>
      <c r="E228" s="290"/>
      <c r="F228" s="290"/>
      <c r="G228" s="290"/>
      <c r="H228" s="291"/>
    </row>
    <row r="229" spans="1:8" s="315" customFormat="1" ht="15.75" customHeight="1">
      <c r="A229" s="292" t="s">
        <v>6</v>
      </c>
      <c r="B229" s="293" t="s">
        <v>7050</v>
      </c>
      <c r="C229" s="294" t="s">
        <v>7049</v>
      </c>
      <c r="D229" s="295" t="s">
        <v>24</v>
      </c>
      <c r="E229" s="296" t="s">
        <v>7046</v>
      </c>
      <c r="F229" s="293" t="s">
        <v>254</v>
      </c>
      <c r="G229" s="293" t="s">
        <v>7047</v>
      </c>
      <c r="H229" s="297" t="s">
        <v>7048</v>
      </c>
    </row>
    <row r="230" spans="1:8" s="315" customFormat="1" ht="15.75" customHeight="1">
      <c r="A230" s="120" t="s">
        <v>7</v>
      </c>
      <c r="B230" s="298">
        <v>44719</v>
      </c>
      <c r="C230" s="165" t="s">
        <v>27283</v>
      </c>
      <c r="D230" s="113" t="s">
        <v>24</v>
      </c>
      <c r="E230" s="59">
        <v>43.9</v>
      </c>
      <c r="F230" s="165" t="s">
        <v>27284</v>
      </c>
      <c r="G230" s="165" t="s">
        <v>27285</v>
      </c>
      <c r="H230" s="299" t="s">
        <v>27525</v>
      </c>
    </row>
    <row r="231" spans="1:8" s="315" customFormat="1" ht="15.75" customHeight="1">
      <c r="A231" s="120" t="s">
        <v>50</v>
      </c>
      <c r="B231" s="298">
        <v>44714</v>
      </c>
      <c r="C231" s="165" t="s">
        <v>7102</v>
      </c>
      <c r="D231" s="113" t="s">
        <v>8</v>
      </c>
      <c r="E231" s="59">
        <v>52.99</v>
      </c>
      <c r="F231" s="165" t="s">
        <v>7546</v>
      </c>
      <c r="G231" s="165" t="s">
        <v>7545</v>
      </c>
      <c r="H231" s="299" t="s">
        <v>27471</v>
      </c>
    </row>
    <row r="232" spans="1:8" s="315" customFormat="1" ht="15.75" customHeight="1">
      <c r="A232" s="120" t="s">
        <v>52</v>
      </c>
      <c r="B232" s="298">
        <v>44714</v>
      </c>
      <c r="C232" s="165" t="s">
        <v>7239</v>
      </c>
      <c r="D232" s="113" t="s">
        <v>32</v>
      </c>
      <c r="E232" s="59">
        <v>31.88</v>
      </c>
      <c r="F232" s="165" t="s">
        <v>27467</v>
      </c>
      <c r="G232" s="165" t="s">
        <v>27468</v>
      </c>
      <c r="H232" s="299" t="s">
        <v>27469</v>
      </c>
    </row>
    <row r="233" spans="1:8" s="315" customFormat="1" ht="15.75" customHeight="1" thickBot="1">
      <c r="A233" s="300" t="str">
        <f>CONCATENATE("MEDIANA - ",A228)</f>
        <v>MEDIANA - COT33</v>
      </c>
      <c r="B233" s="115"/>
      <c r="C233" s="115"/>
      <c r="D233" s="301"/>
      <c r="E233" s="150">
        <f>MEDIAN(E230:E232)</f>
        <v>43.9</v>
      </c>
      <c r="F233" s="301"/>
      <c r="G233" s="301"/>
      <c r="H233" s="302"/>
    </row>
    <row r="234" spans="1:8" s="315" customFormat="1" ht="15.75" customHeight="1" thickBot="1">
      <c r="A234" s="272"/>
      <c r="B234" s="114"/>
      <c r="C234" s="114"/>
      <c r="D234" s="114"/>
      <c r="E234" s="114"/>
      <c r="F234" s="114"/>
      <c r="G234" s="114"/>
      <c r="H234" s="288"/>
    </row>
    <row r="235" spans="1:8" s="315" customFormat="1" ht="15.75" customHeight="1">
      <c r="A235" s="289" t="s">
        <v>14318</v>
      </c>
      <c r="B235" s="290" t="s">
        <v>7358</v>
      </c>
      <c r="C235" s="290"/>
      <c r="D235" s="290"/>
      <c r="E235" s="290"/>
      <c r="F235" s="290"/>
      <c r="G235" s="290"/>
      <c r="H235" s="291"/>
    </row>
    <row r="236" spans="1:8" s="315" customFormat="1" ht="15.75" customHeight="1">
      <c r="A236" s="292" t="s">
        <v>6</v>
      </c>
      <c r="B236" s="293" t="s">
        <v>7050</v>
      </c>
      <c r="C236" s="294" t="s">
        <v>7049</v>
      </c>
      <c r="D236" s="295" t="s">
        <v>24</v>
      </c>
      <c r="E236" s="296" t="s">
        <v>7046</v>
      </c>
      <c r="F236" s="293" t="s">
        <v>254</v>
      </c>
      <c r="G236" s="293" t="s">
        <v>7047</v>
      </c>
      <c r="H236" s="297" t="s">
        <v>7048</v>
      </c>
    </row>
    <row r="237" spans="1:8" s="315" customFormat="1" ht="15.75" customHeight="1">
      <c r="A237" s="120" t="s">
        <v>7</v>
      </c>
      <c r="B237" s="164">
        <v>44710</v>
      </c>
      <c r="C237" s="165" t="s">
        <v>13274</v>
      </c>
      <c r="D237" s="60" t="s">
        <v>32</v>
      </c>
      <c r="E237" s="57">
        <v>35.61</v>
      </c>
      <c r="F237" s="166" t="s">
        <v>27309</v>
      </c>
      <c r="G237" s="165" t="s">
        <v>13275</v>
      </c>
      <c r="H237" s="303" t="s">
        <v>27331</v>
      </c>
    </row>
    <row r="238" spans="1:8" s="315" customFormat="1" ht="15.75" customHeight="1">
      <c r="A238" s="120" t="s">
        <v>50</v>
      </c>
      <c r="B238" s="164">
        <v>44710</v>
      </c>
      <c r="C238" s="166" t="s">
        <v>27291</v>
      </c>
      <c r="D238" s="113" t="s">
        <v>24</v>
      </c>
      <c r="E238" s="318">
        <v>35</v>
      </c>
      <c r="F238" s="299">
        <v>8006377246</v>
      </c>
      <c r="G238" s="320" t="s">
        <v>27327</v>
      </c>
      <c r="H238" s="303" t="s">
        <v>27332</v>
      </c>
    </row>
    <row r="239" spans="1:8" s="315" customFormat="1" ht="15.75" customHeight="1">
      <c r="A239" s="120" t="s">
        <v>52</v>
      </c>
      <c r="B239" s="164">
        <v>44729</v>
      </c>
      <c r="C239" s="166" t="s">
        <v>27291</v>
      </c>
      <c r="D239" s="113" t="s">
        <v>24</v>
      </c>
      <c r="E239" s="318">
        <f>23.9+28.1</f>
        <v>52</v>
      </c>
      <c r="F239" s="299">
        <v>8006377246</v>
      </c>
      <c r="G239" s="320" t="s">
        <v>27327</v>
      </c>
      <c r="H239" s="303" t="s">
        <v>27333</v>
      </c>
    </row>
    <row r="240" spans="1:8" s="315" customFormat="1" ht="15.75" customHeight="1" thickBot="1">
      <c r="A240" s="300" t="str">
        <f>CONCATENATE("MEDIANA - ",A235)</f>
        <v>MEDIANA - COT34</v>
      </c>
      <c r="B240" s="115"/>
      <c r="C240" s="115"/>
      <c r="D240" s="301"/>
      <c r="E240" s="150">
        <f>MEDIAN(E237:E239)</f>
        <v>35.61</v>
      </c>
      <c r="F240" s="301"/>
      <c r="G240" s="301"/>
      <c r="H240" s="302"/>
    </row>
    <row r="241" spans="1:8" s="315" customFormat="1" ht="15.75" customHeight="1" thickBot="1">
      <c r="A241" s="272"/>
      <c r="B241" s="114"/>
      <c r="C241" s="114"/>
      <c r="D241" s="114"/>
      <c r="E241" s="114"/>
      <c r="F241" s="114"/>
      <c r="G241" s="114"/>
      <c r="H241" s="288"/>
    </row>
    <row r="242" spans="1:8" s="315" customFormat="1" ht="15.75" customHeight="1">
      <c r="A242" s="289" t="s">
        <v>14319</v>
      </c>
      <c r="B242" s="290" t="s">
        <v>7359</v>
      </c>
      <c r="C242" s="290"/>
      <c r="D242" s="290"/>
      <c r="E242" s="290"/>
      <c r="F242" s="290"/>
      <c r="G242" s="290"/>
      <c r="H242" s="291"/>
    </row>
    <row r="243" spans="1:8" s="315" customFormat="1" ht="15.75" customHeight="1">
      <c r="A243" s="292" t="s">
        <v>6</v>
      </c>
      <c r="B243" s="293" t="s">
        <v>7050</v>
      </c>
      <c r="C243" s="294" t="s">
        <v>7049</v>
      </c>
      <c r="D243" s="295" t="s">
        <v>24</v>
      </c>
      <c r="E243" s="296" t="s">
        <v>7046</v>
      </c>
      <c r="F243" s="293" t="s">
        <v>254</v>
      </c>
      <c r="G243" s="293" t="s">
        <v>7047</v>
      </c>
      <c r="H243" s="297" t="s">
        <v>7048</v>
      </c>
    </row>
    <row r="244" spans="1:8" s="315" customFormat="1" ht="15.75" customHeight="1">
      <c r="A244" s="120" t="s">
        <v>7</v>
      </c>
      <c r="B244" s="164">
        <v>44725</v>
      </c>
      <c r="C244" s="166" t="s">
        <v>27291</v>
      </c>
      <c r="D244" s="60" t="s">
        <v>24</v>
      </c>
      <c r="E244" s="321">
        <f>60.1/100</f>
        <v>0.60099999999999998</v>
      </c>
      <c r="F244" s="306">
        <v>8006377246</v>
      </c>
      <c r="G244" s="322" t="s">
        <v>27327</v>
      </c>
      <c r="H244" s="307" t="s">
        <v>27526</v>
      </c>
    </row>
    <row r="245" spans="1:8" s="315" customFormat="1" ht="15.75" customHeight="1">
      <c r="A245" s="120" t="s">
        <v>50</v>
      </c>
      <c r="B245" s="298">
        <v>44725</v>
      </c>
      <c r="C245" s="165" t="s">
        <v>27300</v>
      </c>
      <c r="D245" s="113" t="s">
        <v>32</v>
      </c>
      <c r="E245" s="59">
        <f>304.05/500</f>
        <v>0.60809999999999997</v>
      </c>
      <c r="F245" s="165" t="s">
        <v>27301</v>
      </c>
      <c r="G245" s="165" t="s">
        <v>27302</v>
      </c>
      <c r="H245" s="299" t="s">
        <v>27527</v>
      </c>
    </row>
    <row r="246" spans="1:8" s="315" customFormat="1" ht="15.75" customHeight="1">
      <c r="A246" s="120" t="s">
        <v>52</v>
      </c>
      <c r="B246" s="298">
        <v>44725</v>
      </c>
      <c r="C246" s="165" t="s">
        <v>13274</v>
      </c>
      <c r="D246" s="113" t="s">
        <v>32</v>
      </c>
      <c r="E246" s="59">
        <v>0.52</v>
      </c>
      <c r="F246" s="166" t="s">
        <v>27309</v>
      </c>
      <c r="G246" s="165" t="s">
        <v>13275</v>
      </c>
      <c r="H246" s="160" t="s">
        <v>27528</v>
      </c>
    </row>
    <row r="247" spans="1:8" s="315" customFormat="1" ht="15.75" customHeight="1" thickBot="1">
      <c r="A247" s="300" t="str">
        <f>CONCATENATE("MEDIANA - ",A242)</f>
        <v>MEDIANA - COT35</v>
      </c>
      <c r="B247" s="115"/>
      <c r="C247" s="115"/>
      <c r="D247" s="301"/>
      <c r="E247" s="150">
        <f>MEDIAN(E244:E246)</f>
        <v>0.60099999999999998</v>
      </c>
      <c r="F247" s="301"/>
      <c r="G247" s="301"/>
      <c r="H247" s="302"/>
    </row>
    <row r="248" spans="1:8" s="315" customFormat="1" ht="15.75" customHeight="1" thickBot="1">
      <c r="A248" s="272"/>
      <c r="B248" s="114"/>
      <c r="C248" s="114"/>
      <c r="D248" s="114"/>
      <c r="E248" s="114"/>
      <c r="F248" s="114"/>
      <c r="G248" s="114"/>
      <c r="H248" s="288"/>
    </row>
    <row r="249" spans="1:8" s="315" customFormat="1" ht="15.75" customHeight="1">
      <c r="A249" s="289" t="s">
        <v>14320</v>
      </c>
      <c r="B249" s="290" t="s">
        <v>27941</v>
      </c>
      <c r="C249" s="290"/>
      <c r="D249" s="290"/>
      <c r="E249" s="290"/>
      <c r="F249" s="290"/>
      <c r="G249" s="290"/>
      <c r="H249" s="291"/>
    </row>
    <row r="250" spans="1:8" s="315" customFormat="1" ht="15.75" customHeight="1">
      <c r="A250" s="292" t="s">
        <v>6</v>
      </c>
      <c r="B250" s="293" t="s">
        <v>7050</v>
      </c>
      <c r="C250" s="294" t="s">
        <v>7049</v>
      </c>
      <c r="D250" s="295" t="s">
        <v>24</v>
      </c>
      <c r="E250" s="296" t="s">
        <v>7046</v>
      </c>
      <c r="F250" s="293" t="s">
        <v>254</v>
      </c>
      <c r="G250" s="293" t="s">
        <v>7047</v>
      </c>
      <c r="H250" s="297" t="s">
        <v>7048</v>
      </c>
    </row>
    <row r="251" spans="1:8" s="315" customFormat="1" ht="15.75" customHeight="1">
      <c r="A251" s="120" t="s">
        <v>7</v>
      </c>
      <c r="B251" s="298">
        <v>44714</v>
      </c>
      <c r="C251" s="165" t="s">
        <v>7102</v>
      </c>
      <c r="D251" s="113" t="s">
        <v>8</v>
      </c>
      <c r="E251" s="59">
        <v>119.9</v>
      </c>
      <c r="F251" s="165" t="s">
        <v>7546</v>
      </c>
      <c r="G251" s="165" t="s">
        <v>7545</v>
      </c>
      <c r="H251" s="299" t="s">
        <v>27471</v>
      </c>
    </row>
    <row r="252" spans="1:8" s="315" customFormat="1" ht="15.75" customHeight="1">
      <c r="A252" s="120" t="s">
        <v>50</v>
      </c>
      <c r="B252" s="298">
        <v>44725</v>
      </c>
      <c r="C252" s="165" t="s">
        <v>27934</v>
      </c>
      <c r="D252" s="113" t="s">
        <v>8</v>
      </c>
      <c r="E252" s="59">
        <v>145.47999999999999</v>
      </c>
      <c r="F252" s="165" t="s">
        <v>27935</v>
      </c>
      <c r="G252" s="165" t="s">
        <v>27936</v>
      </c>
      <c r="H252" s="299" t="s">
        <v>27937</v>
      </c>
    </row>
    <row r="253" spans="1:8" s="315" customFormat="1" ht="15.75" customHeight="1">
      <c r="A253" s="120" t="s">
        <v>52</v>
      </c>
      <c r="B253" s="298">
        <v>44725</v>
      </c>
      <c r="C253" s="165" t="s">
        <v>7243</v>
      </c>
      <c r="D253" s="113" t="s">
        <v>8</v>
      </c>
      <c r="E253" s="59">
        <v>144.50800000000001</v>
      </c>
      <c r="F253" s="165" t="s">
        <v>27938</v>
      </c>
      <c r="G253" s="165" t="s">
        <v>27939</v>
      </c>
      <c r="H253" s="299" t="s">
        <v>27940</v>
      </c>
    </row>
    <row r="254" spans="1:8" s="315" customFormat="1" ht="15.75" customHeight="1" thickBot="1">
      <c r="A254" s="300" t="str">
        <f>CONCATENATE("MEDIANA - ",A249)</f>
        <v>MEDIANA - COT36</v>
      </c>
      <c r="B254" s="115"/>
      <c r="C254" s="115"/>
      <c r="D254" s="301"/>
      <c r="E254" s="150">
        <f>MEDIAN(E251:E253)</f>
        <v>144.50800000000001</v>
      </c>
      <c r="F254" s="301"/>
      <c r="G254" s="301"/>
      <c r="H254" s="302"/>
    </row>
    <row r="255" spans="1:8" s="315" customFormat="1" ht="15.75" customHeight="1" thickBot="1">
      <c r="A255" s="272"/>
      <c r="B255" s="114"/>
      <c r="C255" s="114"/>
      <c r="D255" s="114"/>
      <c r="E255" s="114"/>
      <c r="F255" s="114"/>
      <c r="G255" s="114"/>
      <c r="H255" s="288"/>
    </row>
    <row r="256" spans="1:8" s="315" customFormat="1" ht="15.75" customHeight="1">
      <c r="A256" s="323" t="s">
        <v>14321</v>
      </c>
      <c r="B256" s="290" t="s">
        <v>14281</v>
      </c>
      <c r="C256" s="290"/>
      <c r="D256" s="290"/>
      <c r="E256" s="290"/>
      <c r="F256" s="290"/>
      <c r="G256" s="290"/>
      <c r="H256" s="291"/>
    </row>
    <row r="257" spans="1:8" s="315" customFormat="1" ht="15.75" customHeight="1">
      <c r="A257" s="292" t="s">
        <v>6</v>
      </c>
      <c r="B257" s="293" t="s">
        <v>7050</v>
      </c>
      <c r="C257" s="294" t="s">
        <v>7049</v>
      </c>
      <c r="D257" s="295" t="s">
        <v>24</v>
      </c>
      <c r="E257" s="296" t="s">
        <v>7046</v>
      </c>
      <c r="F257" s="293" t="s">
        <v>254</v>
      </c>
      <c r="G257" s="293" t="s">
        <v>7047</v>
      </c>
      <c r="H257" s="297" t="s">
        <v>7048</v>
      </c>
    </row>
    <row r="258" spans="1:8" s="315" customFormat="1" ht="15.75" customHeight="1">
      <c r="A258" s="120" t="s">
        <v>7</v>
      </c>
      <c r="B258" s="298">
        <v>44720</v>
      </c>
      <c r="C258" s="165" t="s">
        <v>27754</v>
      </c>
      <c r="D258" s="113" t="s">
        <v>12</v>
      </c>
      <c r="E258" s="59">
        <f>779.07/(1.22*5)</f>
        <v>127.71639344262297</v>
      </c>
      <c r="F258" s="165" t="s">
        <v>13183</v>
      </c>
      <c r="G258" s="165" t="s">
        <v>13126</v>
      </c>
      <c r="H258" s="324" t="s">
        <v>13199</v>
      </c>
    </row>
    <row r="259" spans="1:8" s="315" customFormat="1" ht="15.75" customHeight="1">
      <c r="A259" s="120" t="s">
        <v>50</v>
      </c>
      <c r="B259" s="298">
        <v>44721</v>
      </c>
      <c r="C259" s="165" t="s">
        <v>27755</v>
      </c>
      <c r="D259" s="113" t="s">
        <v>12</v>
      </c>
      <c r="E259" s="325">
        <f>650/(1.22*5)</f>
        <v>106.55737704918033</v>
      </c>
      <c r="F259" s="299" t="s">
        <v>14282</v>
      </c>
      <c r="G259" s="320" t="s">
        <v>27756</v>
      </c>
      <c r="H259" s="324" t="s">
        <v>27818</v>
      </c>
    </row>
    <row r="260" spans="1:8" s="315" customFormat="1" ht="15.75" customHeight="1">
      <c r="A260" s="120" t="s">
        <v>52</v>
      </c>
      <c r="B260" s="298">
        <v>44722</v>
      </c>
      <c r="C260" s="165" t="s">
        <v>14177</v>
      </c>
      <c r="D260" s="113" t="s">
        <v>12</v>
      </c>
      <c r="E260" s="325">
        <f>615/(1.22*5)</f>
        <v>100.81967213114754</v>
      </c>
      <c r="F260" s="299" t="s">
        <v>27422</v>
      </c>
      <c r="G260" s="320" t="s">
        <v>27757</v>
      </c>
      <c r="H260" s="324" t="s">
        <v>27814</v>
      </c>
    </row>
    <row r="261" spans="1:8" s="315" customFormat="1" ht="15.75" customHeight="1" thickBot="1">
      <c r="A261" s="300" t="str">
        <f>CONCATENATE("MEDIANA - ",A256)</f>
        <v>MEDIANA - COT38</v>
      </c>
      <c r="B261" s="115"/>
      <c r="C261" s="115"/>
      <c r="D261" s="301"/>
      <c r="E261" s="150">
        <f>MEDIAN(E258:E260)</f>
        <v>106.55737704918033</v>
      </c>
      <c r="F261" s="301"/>
      <c r="G261" s="301"/>
      <c r="H261" s="302"/>
    </row>
    <row r="262" spans="1:8" s="315" customFormat="1" ht="15.75" customHeight="1" thickBot="1">
      <c r="A262" s="272"/>
      <c r="B262" s="114"/>
      <c r="C262" s="114"/>
      <c r="D262" s="114"/>
      <c r="E262" s="114"/>
      <c r="F262" s="114"/>
      <c r="G262" s="114"/>
      <c r="H262" s="288"/>
    </row>
    <row r="263" spans="1:8" s="315" customFormat="1" ht="15.75" customHeight="1">
      <c r="A263" s="289" t="s">
        <v>14322</v>
      </c>
      <c r="B263" s="290" t="s">
        <v>7547</v>
      </c>
      <c r="C263" s="290"/>
      <c r="D263" s="290"/>
      <c r="E263" s="290"/>
      <c r="F263" s="290"/>
      <c r="G263" s="290"/>
      <c r="H263" s="291"/>
    </row>
    <row r="264" spans="1:8" s="315" customFormat="1" ht="15.75" customHeight="1">
      <c r="A264" s="292" t="s">
        <v>6</v>
      </c>
      <c r="B264" s="293" t="s">
        <v>7050</v>
      </c>
      <c r="C264" s="294" t="s">
        <v>7049</v>
      </c>
      <c r="D264" s="295" t="s">
        <v>24</v>
      </c>
      <c r="E264" s="296" t="s">
        <v>7046</v>
      </c>
      <c r="F264" s="293" t="s">
        <v>254</v>
      </c>
      <c r="G264" s="293" t="s">
        <v>7047</v>
      </c>
      <c r="H264" s="297" t="s">
        <v>7048</v>
      </c>
    </row>
    <row r="265" spans="1:8" s="315" customFormat="1" ht="15.75" customHeight="1">
      <c r="A265" s="120" t="s">
        <v>7</v>
      </c>
      <c r="B265" s="298">
        <v>44714</v>
      </c>
      <c r="C265" s="165" t="s">
        <v>7102</v>
      </c>
      <c r="D265" s="113" t="s">
        <v>32</v>
      </c>
      <c r="E265" s="59">
        <v>1704.9</v>
      </c>
      <c r="F265" s="165" t="s">
        <v>7546</v>
      </c>
      <c r="G265" s="165" t="s">
        <v>7545</v>
      </c>
      <c r="H265" s="299" t="s">
        <v>27471</v>
      </c>
    </row>
    <row r="266" spans="1:8" s="315" customFormat="1" ht="15.75" customHeight="1">
      <c r="A266" s="120" t="s">
        <v>50</v>
      </c>
      <c r="B266" s="164">
        <v>44719</v>
      </c>
      <c r="C266" s="165" t="s">
        <v>7242</v>
      </c>
      <c r="D266" s="60" t="s">
        <v>32</v>
      </c>
      <c r="E266" s="57">
        <v>1602.38</v>
      </c>
      <c r="F266" s="166" t="s">
        <v>27268</v>
      </c>
      <c r="G266" s="165" t="s">
        <v>13281</v>
      </c>
      <c r="H266" s="299" t="s">
        <v>27530</v>
      </c>
    </row>
    <row r="267" spans="1:8" s="315" customFormat="1" ht="15.75" customHeight="1">
      <c r="A267" s="120" t="s">
        <v>52</v>
      </c>
      <c r="B267" s="298">
        <v>44719</v>
      </c>
      <c r="C267" s="165" t="s">
        <v>27531</v>
      </c>
      <c r="D267" s="113" t="s">
        <v>32</v>
      </c>
      <c r="E267" s="59">
        <v>1656.82</v>
      </c>
      <c r="F267" s="165" t="s">
        <v>27532</v>
      </c>
      <c r="G267" s="165" t="s">
        <v>27533</v>
      </c>
      <c r="H267" s="299" t="s">
        <v>27534</v>
      </c>
    </row>
    <row r="268" spans="1:8" s="315" customFormat="1" ht="15.75" customHeight="1" thickBot="1">
      <c r="A268" s="300" t="str">
        <f>CONCATENATE("MEDIANA - ",A263)</f>
        <v>MEDIANA - COT39</v>
      </c>
      <c r="B268" s="115"/>
      <c r="C268" s="115"/>
      <c r="D268" s="301"/>
      <c r="E268" s="150">
        <f>MEDIAN(E265:E267)</f>
        <v>1656.82</v>
      </c>
      <c r="F268" s="301"/>
      <c r="G268" s="301"/>
      <c r="H268" s="302"/>
    </row>
    <row r="269" spans="1:8" s="315" customFormat="1" ht="15.75" customHeight="1" thickBot="1">
      <c r="A269" s="272"/>
      <c r="B269" s="114"/>
      <c r="C269" s="114"/>
      <c r="D269" s="114"/>
      <c r="E269" s="114"/>
      <c r="F269" s="114"/>
      <c r="G269" s="114"/>
      <c r="H269" s="288"/>
    </row>
    <row r="270" spans="1:8" s="315" customFormat="1" ht="15.75" customHeight="1">
      <c r="A270" s="289" t="s">
        <v>14323</v>
      </c>
      <c r="B270" s="290" t="s">
        <v>7548</v>
      </c>
      <c r="C270" s="290"/>
      <c r="D270" s="290"/>
      <c r="E270" s="290"/>
      <c r="F270" s="290"/>
      <c r="G270" s="290"/>
      <c r="H270" s="291"/>
    </row>
    <row r="271" spans="1:8" s="315" customFormat="1" ht="15.75" customHeight="1">
      <c r="A271" s="292" t="s">
        <v>6</v>
      </c>
      <c r="B271" s="293" t="s">
        <v>7050</v>
      </c>
      <c r="C271" s="294" t="s">
        <v>7049</v>
      </c>
      <c r="D271" s="295" t="s">
        <v>24</v>
      </c>
      <c r="E271" s="296" t="s">
        <v>7046</v>
      </c>
      <c r="F271" s="293" t="s">
        <v>254</v>
      </c>
      <c r="G271" s="293" t="s">
        <v>7047</v>
      </c>
      <c r="H271" s="297" t="s">
        <v>7048</v>
      </c>
    </row>
    <row r="272" spans="1:8" s="315" customFormat="1" ht="15.75" customHeight="1">
      <c r="A272" s="120" t="s">
        <v>7</v>
      </c>
      <c r="B272" s="298">
        <v>44714</v>
      </c>
      <c r="C272" s="165" t="s">
        <v>7102</v>
      </c>
      <c r="D272" s="113" t="s">
        <v>32</v>
      </c>
      <c r="E272" s="59">
        <v>814.99</v>
      </c>
      <c r="F272" s="165" t="s">
        <v>7546</v>
      </c>
      <c r="G272" s="165" t="s">
        <v>7545</v>
      </c>
      <c r="H272" s="299" t="s">
        <v>27471</v>
      </c>
    </row>
    <row r="273" spans="1:8" s="315" customFormat="1" ht="15.75" customHeight="1">
      <c r="A273" s="120" t="s">
        <v>50</v>
      </c>
      <c r="B273" s="298">
        <v>44719</v>
      </c>
      <c r="C273" s="165" t="s">
        <v>7243</v>
      </c>
      <c r="D273" s="113" t="s">
        <v>32</v>
      </c>
      <c r="E273" s="59">
        <v>822.8</v>
      </c>
      <c r="F273" s="165" t="s">
        <v>27400</v>
      </c>
      <c r="G273" s="165" t="s">
        <v>13286</v>
      </c>
      <c r="H273" s="299" t="s">
        <v>27535</v>
      </c>
    </row>
    <row r="274" spans="1:8" s="315" customFormat="1" ht="15.75" customHeight="1">
      <c r="A274" s="120" t="s">
        <v>52</v>
      </c>
      <c r="B274" s="298">
        <v>44719</v>
      </c>
      <c r="C274" s="165" t="s">
        <v>13296</v>
      </c>
      <c r="D274" s="113" t="s">
        <v>32</v>
      </c>
      <c r="E274" s="59">
        <v>487.6</v>
      </c>
      <c r="F274" s="165" t="s">
        <v>27536</v>
      </c>
      <c r="G274" s="165" t="s">
        <v>27537</v>
      </c>
      <c r="H274" s="299" t="s">
        <v>27538</v>
      </c>
    </row>
    <row r="275" spans="1:8" s="315" customFormat="1" ht="15.75" customHeight="1" thickBot="1">
      <c r="A275" s="300" t="str">
        <f>CONCATENATE("MEDIANA - ",A270)</f>
        <v>MEDIANA - COT40</v>
      </c>
      <c r="B275" s="115"/>
      <c r="C275" s="115"/>
      <c r="D275" s="301"/>
      <c r="E275" s="150">
        <f>MEDIAN(E272:E274)</f>
        <v>814.99</v>
      </c>
      <c r="F275" s="301"/>
      <c r="G275" s="301"/>
      <c r="H275" s="302"/>
    </row>
    <row r="276" spans="1:8" s="315" customFormat="1" ht="15.75" customHeight="1" thickBot="1">
      <c r="A276" s="272"/>
      <c r="B276" s="114"/>
      <c r="C276" s="114"/>
      <c r="D276" s="114"/>
      <c r="E276" s="114"/>
      <c r="F276" s="114"/>
      <c r="G276" s="114"/>
      <c r="H276" s="288"/>
    </row>
    <row r="277" spans="1:8" s="315" customFormat="1" ht="15.75" customHeight="1">
      <c r="A277" s="289" t="s">
        <v>14324</v>
      </c>
      <c r="B277" s="290" t="s">
        <v>7549</v>
      </c>
      <c r="C277" s="290"/>
      <c r="D277" s="290"/>
      <c r="E277" s="290"/>
      <c r="F277" s="290"/>
      <c r="G277" s="290"/>
      <c r="H277" s="291"/>
    </row>
    <row r="278" spans="1:8" s="315" customFormat="1" ht="15.75" customHeight="1">
      <c r="A278" s="292" t="s">
        <v>6</v>
      </c>
      <c r="B278" s="293" t="s">
        <v>7050</v>
      </c>
      <c r="C278" s="294" t="s">
        <v>7049</v>
      </c>
      <c r="D278" s="295" t="s">
        <v>24</v>
      </c>
      <c r="E278" s="296" t="s">
        <v>7046</v>
      </c>
      <c r="F278" s="293" t="s">
        <v>254</v>
      </c>
      <c r="G278" s="293" t="s">
        <v>7047</v>
      </c>
      <c r="H278" s="297" t="s">
        <v>7048</v>
      </c>
    </row>
    <row r="279" spans="1:8" s="315" customFormat="1" ht="15.75" customHeight="1">
      <c r="A279" s="120" t="s">
        <v>7</v>
      </c>
      <c r="B279" s="298">
        <v>44714</v>
      </c>
      <c r="C279" s="165" t="s">
        <v>7102</v>
      </c>
      <c r="D279" s="113" t="s">
        <v>32</v>
      </c>
      <c r="E279" s="59">
        <v>629.9</v>
      </c>
      <c r="F279" s="165" t="s">
        <v>7546</v>
      </c>
      <c r="G279" s="165" t="s">
        <v>7545</v>
      </c>
      <c r="H279" s="299" t="s">
        <v>27471</v>
      </c>
    </row>
    <row r="280" spans="1:8" s="315" customFormat="1" ht="15.75" customHeight="1">
      <c r="A280" s="120" t="s">
        <v>50</v>
      </c>
      <c r="B280" s="298">
        <v>44714</v>
      </c>
      <c r="C280" s="165" t="s">
        <v>27539</v>
      </c>
      <c r="D280" s="113" t="s">
        <v>32</v>
      </c>
      <c r="E280" s="59">
        <v>993.21</v>
      </c>
      <c r="F280" s="165" t="s">
        <v>27540</v>
      </c>
      <c r="G280" s="165" t="s">
        <v>27819</v>
      </c>
      <c r="H280" s="299" t="s">
        <v>27541</v>
      </c>
    </row>
    <row r="281" spans="1:8" s="315" customFormat="1" ht="15.75" customHeight="1">
      <c r="A281" s="120" t="s">
        <v>52</v>
      </c>
      <c r="B281" s="298">
        <v>44715</v>
      </c>
      <c r="C281" s="165" t="s">
        <v>13251</v>
      </c>
      <c r="D281" s="113" t="s">
        <v>32</v>
      </c>
      <c r="E281" s="59">
        <v>864.07</v>
      </c>
      <c r="F281" s="165" t="s">
        <v>13252</v>
      </c>
      <c r="G281" s="165" t="s">
        <v>13253</v>
      </c>
      <c r="H281" s="299" t="s">
        <v>27486</v>
      </c>
    </row>
    <row r="282" spans="1:8" s="315" customFormat="1" ht="15.75" customHeight="1" thickBot="1">
      <c r="A282" s="300" t="str">
        <f>CONCATENATE("MEDIANA - ",A277)</f>
        <v>MEDIANA - COT41</v>
      </c>
      <c r="B282" s="115"/>
      <c r="C282" s="115"/>
      <c r="D282" s="301"/>
      <c r="E282" s="150">
        <f>MEDIAN(E279:E281)</f>
        <v>864.07</v>
      </c>
      <c r="F282" s="301"/>
      <c r="G282" s="301"/>
      <c r="H282" s="302"/>
    </row>
    <row r="283" spans="1:8" s="315" customFormat="1" ht="15.75" customHeight="1" thickBot="1">
      <c r="A283" s="272"/>
      <c r="B283" s="114"/>
      <c r="C283" s="114"/>
      <c r="D283" s="114"/>
      <c r="E283" s="114"/>
      <c r="F283" s="114"/>
      <c r="G283" s="114"/>
      <c r="H283" s="288"/>
    </row>
    <row r="284" spans="1:8" s="315" customFormat="1" ht="15.75" customHeight="1">
      <c r="A284" s="289" t="s">
        <v>14325</v>
      </c>
      <c r="B284" s="290" t="s">
        <v>7550</v>
      </c>
      <c r="C284" s="290"/>
      <c r="D284" s="290"/>
      <c r="E284" s="290"/>
      <c r="F284" s="290"/>
      <c r="G284" s="290"/>
      <c r="H284" s="291"/>
    </row>
    <row r="285" spans="1:8" s="315" customFormat="1" ht="15.75" customHeight="1">
      <c r="A285" s="292" t="s">
        <v>6</v>
      </c>
      <c r="B285" s="293" t="s">
        <v>7050</v>
      </c>
      <c r="C285" s="294" t="s">
        <v>7049</v>
      </c>
      <c r="D285" s="295" t="s">
        <v>24</v>
      </c>
      <c r="E285" s="296" t="s">
        <v>7046</v>
      </c>
      <c r="F285" s="293" t="s">
        <v>254</v>
      </c>
      <c r="G285" s="293" t="s">
        <v>7047</v>
      </c>
      <c r="H285" s="297" t="s">
        <v>7048</v>
      </c>
    </row>
    <row r="286" spans="1:8" s="315" customFormat="1" ht="15.75" customHeight="1">
      <c r="A286" s="120" t="s">
        <v>7</v>
      </c>
      <c r="B286" s="298">
        <v>44719</v>
      </c>
      <c r="C286" s="165" t="s">
        <v>27542</v>
      </c>
      <c r="D286" s="113" t="s">
        <v>32</v>
      </c>
      <c r="E286" s="59">
        <v>353.83</v>
      </c>
      <c r="F286" s="165" t="s">
        <v>27543</v>
      </c>
      <c r="G286" s="165" t="s">
        <v>27417</v>
      </c>
      <c r="H286" s="299" t="s">
        <v>27544</v>
      </c>
    </row>
    <row r="287" spans="1:8" s="315" customFormat="1" ht="15.75" customHeight="1">
      <c r="A287" s="120" t="s">
        <v>50</v>
      </c>
      <c r="B287" s="298">
        <v>44719</v>
      </c>
      <c r="C287" s="165" t="s">
        <v>13277</v>
      </c>
      <c r="D287" s="113" t="s">
        <v>32</v>
      </c>
      <c r="E287" s="59">
        <v>354.54</v>
      </c>
      <c r="F287" s="165" t="s">
        <v>13278</v>
      </c>
      <c r="G287" s="165" t="s">
        <v>27545</v>
      </c>
      <c r="H287" s="299" t="s">
        <v>27546</v>
      </c>
    </row>
    <row r="288" spans="1:8" s="315" customFormat="1" ht="15.75" customHeight="1">
      <c r="A288" s="120" t="s">
        <v>52</v>
      </c>
      <c r="B288" s="298">
        <v>44722</v>
      </c>
      <c r="C288" s="165" t="s">
        <v>13282</v>
      </c>
      <c r="D288" s="113" t="s">
        <v>32</v>
      </c>
      <c r="E288" s="59">
        <v>322.8</v>
      </c>
      <c r="F288" s="165" t="s">
        <v>27269</v>
      </c>
      <c r="G288" s="165" t="s">
        <v>14203</v>
      </c>
      <c r="H288" s="303" t="s">
        <v>27463</v>
      </c>
    </row>
    <row r="289" spans="1:8" s="315" customFormat="1" ht="15.75" customHeight="1" thickBot="1">
      <c r="A289" s="300" t="str">
        <f>CONCATENATE("MEDIANA - ",A284)</f>
        <v>MEDIANA - COT42</v>
      </c>
      <c r="B289" s="115"/>
      <c r="C289" s="115"/>
      <c r="D289" s="301"/>
      <c r="E289" s="150">
        <f>MEDIAN(E286:E288)</f>
        <v>353.83</v>
      </c>
      <c r="F289" s="301"/>
      <c r="G289" s="301"/>
      <c r="H289" s="302"/>
    </row>
    <row r="290" spans="1:8" s="315" customFormat="1" ht="15.75" customHeight="1" thickBot="1">
      <c r="A290" s="272"/>
      <c r="B290" s="114"/>
      <c r="C290" s="114"/>
      <c r="D290" s="114"/>
      <c r="E290" s="114"/>
      <c r="F290" s="114"/>
      <c r="G290" s="114"/>
      <c r="H290" s="288"/>
    </row>
    <row r="291" spans="1:8" s="315" customFormat="1" ht="15.75" customHeight="1">
      <c r="A291" s="289" t="s">
        <v>14326</v>
      </c>
      <c r="B291" s="290" t="s">
        <v>7551</v>
      </c>
      <c r="C291" s="290"/>
      <c r="D291" s="290"/>
      <c r="E291" s="290"/>
      <c r="F291" s="290"/>
      <c r="G291" s="290"/>
      <c r="H291" s="291"/>
    </row>
    <row r="292" spans="1:8" s="315" customFormat="1" ht="15.75" customHeight="1">
      <c r="A292" s="292" t="s">
        <v>6</v>
      </c>
      <c r="B292" s="293" t="s">
        <v>7050</v>
      </c>
      <c r="C292" s="294" t="s">
        <v>7049</v>
      </c>
      <c r="D292" s="295" t="s">
        <v>24</v>
      </c>
      <c r="E292" s="296" t="s">
        <v>7046</v>
      </c>
      <c r="F292" s="293" t="s">
        <v>254</v>
      </c>
      <c r="G292" s="293" t="s">
        <v>7047</v>
      </c>
      <c r="H292" s="297" t="s">
        <v>7048</v>
      </c>
    </row>
    <row r="293" spans="1:8" s="315" customFormat="1" ht="15.75" customHeight="1">
      <c r="A293" s="120" t="s">
        <v>7</v>
      </c>
      <c r="B293" s="298">
        <v>44714</v>
      </c>
      <c r="C293" s="165" t="s">
        <v>7239</v>
      </c>
      <c r="D293" s="113" t="s">
        <v>32</v>
      </c>
      <c r="E293" s="59">
        <v>19.07</v>
      </c>
      <c r="F293" s="165" t="s">
        <v>27467</v>
      </c>
      <c r="G293" s="165" t="s">
        <v>27468</v>
      </c>
      <c r="H293" s="299" t="s">
        <v>27469</v>
      </c>
    </row>
    <row r="294" spans="1:8" s="315" customFormat="1" ht="15.75" customHeight="1">
      <c r="A294" s="120" t="s">
        <v>50</v>
      </c>
      <c r="B294" s="298">
        <v>44714</v>
      </c>
      <c r="C294" s="165" t="s">
        <v>7102</v>
      </c>
      <c r="D294" s="113" t="s">
        <v>32</v>
      </c>
      <c r="E294" s="59">
        <v>18.489999999999998</v>
      </c>
      <c r="F294" s="165" t="s">
        <v>7546</v>
      </c>
      <c r="G294" s="165" t="s">
        <v>7545</v>
      </c>
      <c r="H294" s="299" t="s">
        <v>27471</v>
      </c>
    </row>
    <row r="295" spans="1:8" s="315" customFormat="1" ht="15.75" customHeight="1">
      <c r="A295" s="120" t="s">
        <v>52</v>
      </c>
      <c r="B295" s="298">
        <v>44719</v>
      </c>
      <c r="C295" s="165" t="s">
        <v>27547</v>
      </c>
      <c r="D295" s="113" t="s">
        <v>32</v>
      </c>
      <c r="E295" s="59">
        <v>9.69</v>
      </c>
      <c r="F295" s="165" t="s">
        <v>27548</v>
      </c>
      <c r="G295" s="165" t="s">
        <v>27549</v>
      </c>
      <c r="H295" s="299" t="s">
        <v>27550</v>
      </c>
    </row>
    <row r="296" spans="1:8" s="315" customFormat="1" ht="15.75" customHeight="1" thickBot="1">
      <c r="A296" s="300" t="str">
        <f>CONCATENATE("MEDIANA - ",A291)</f>
        <v>MEDIANA - COT43</v>
      </c>
      <c r="B296" s="115"/>
      <c r="C296" s="115"/>
      <c r="D296" s="301"/>
      <c r="E296" s="150">
        <f>MEDIAN(E293:E295)</f>
        <v>18.489999999999998</v>
      </c>
      <c r="F296" s="301"/>
      <c r="G296" s="301"/>
      <c r="H296" s="302"/>
    </row>
    <row r="297" spans="1:8" s="315" customFormat="1" ht="15.75" customHeight="1" thickBot="1">
      <c r="A297" s="272"/>
      <c r="B297" s="114"/>
      <c r="C297" s="114"/>
      <c r="D297" s="114"/>
      <c r="E297" s="114"/>
      <c r="F297" s="114"/>
      <c r="G297" s="114"/>
      <c r="H297" s="288"/>
    </row>
    <row r="298" spans="1:8" s="315" customFormat="1" ht="15.75" customHeight="1">
      <c r="A298" s="289" t="s">
        <v>14327</v>
      </c>
      <c r="B298" s="290" t="s">
        <v>7553</v>
      </c>
      <c r="C298" s="290"/>
      <c r="D298" s="290"/>
      <c r="E298" s="290"/>
      <c r="F298" s="290"/>
      <c r="G298" s="290"/>
      <c r="H298" s="291"/>
    </row>
    <row r="299" spans="1:8" s="315" customFormat="1" ht="15.75" customHeight="1">
      <c r="A299" s="292" t="s">
        <v>6</v>
      </c>
      <c r="B299" s="293" t="s">
        <v>7050</v>
      </c>
      <c r="C299" s="294" t="s">
        <v>7049</v>
      </c>
      <c r="D299" s="295" t="s">
        <v>24</v>
      </c>
      <c r="E299" s="296" t="s">
        <v>7046</v>
      </c>
      <c r="F299" s="293" t="s">
        <v>254</v>
      </c>
      <c r="G299" s="293" t="s">
        <v>7047</v>
      </c>
      <c r="H299" s="297" t="s">
        <v>7048</v>
      </c>
    </row>
    <row r="300" spans="1:8" s="315" customFormat="1" ht="15.75" customHeight="1">
      <c r="A300" s="120" t="s">
        <v>7</v>
      </c>
      <c r="B300" s="298">
        <v>44721</v>
      </c>
      <c r="C300" s="165" t="s">
        <v>27551</v>
      </c>
      <c r="D300" s="113" t="s">
        <v>32</v>
      </c>
      <c r="E300" s="59">
        <v>251.11</v>
      </c>
      <c r="F300" s="165" t="s">
        <v>27552</v>
      </c>
      <c r="G300" s="165" t="s">
        <v>27553</v>
      </c>
      <c r="H300" s="299" t="s">
        <v>27554</v>
      </c>
    </row>
    <row r="301" spans="1:8" s="315" customFormat="1" ht="15.75" customHeight="1">
      <c r="A301" s="120" t="s">
        <v>50</v>
      </c>
      <c r="B301" s="298">
        <v>44719</v>
      </c>
      <c r="C301" s="165" t="s">
        <v>27547</v>
      </c>
      <c r="D301" s="113" t="s">
        <v>32</v>
      </c>
      <c r="E301" s="59">
        <v>249.9</v>
      </c>
      <c r="F301" s="165" t="s">
        <v>27548</v>
      </c>
      <c r="G301" s="165" t="s">
        <v>27549</v>
      </c>
      <c r="H301" s="299" t="s">
        <v>27555</v>
      </c>
    </row>
    <row r="302" spans="1:8" s="315" customFormat="1" ht="15.75" customHeight="1">
      <c r="A302" s="120" t="s">
        <v>52</v>
      </c>
      <c r="B302" s="298">
        <v>44714</v>
      </c>
      <c r="C302" s="165" t="s">
        <v>7102</v>
      </c>
      <c r="D302" s="113" t="s">
        <v>32</v>
      </c>
      <c r="E302" s="59">
        <v>340.99</v>
      </c>
      <c r="F302" s="165" t="s">
        <v>7546</v>
      </c>
      <c r="G302" s="165" t="s">
        <v>7545</v>
      </c>
      <c r="H302" s="299" t="s">
        <v>27471</v>
      </c>
    </row>
    <row r="303" spans="1:8" s="315" customFormat="1" ht="15.75" customHeight="1" thickBot="1">
      <c r="A303" s="300" t="str">
        <f>CONCATENATE("MEDIANA - ",A298)</f>
        <v>MEDIANA - COT44</v>
      </c>
      <c r="B303" s="115"/>
      <c r="C303" s="115"/>
      <c r="D303" s="301"/>
      <c r="E303" s="150">
        <f>MEDIAN(E300:E302)</f>
        <v>251.11</v>
      </c>
      <c r="F303" s="301"/>
      <c r="G303" s="301"/>
      <c r="H303" s="302"/>
    </row>
    <row r="304" spans="1:8" s="315" customFormat="1" ht="15.75" customHeight="1" thickBot="1">
      <c r="A304" s="272"/>
      <c r="B304" s="114"/>
      <c r="C304" s="114"/>
      <c r="D304" s="114"/>
      <c r="E304" s="114"/>
      <c r="F304" s="114"/>
      <c r="G304" s="114"/>
      <c r="H304" s="288"/>
    </row>
    <row r="305" spans="1:8" s="315" customFormat="1" ht="15.75" customHeight="1">
      <c r="A305" s="289" t="s">
        <v>14328</v>
      </c>
      <c r="B305" s="290" t="s">
        <v>7554</v>
      </c>
      <c r="C305" s="290"/>
      <c r="D305" s="290"/>
      <c r="E305" s="290"/>
      <c r="F305" s="290"/>
      <c r="G305" s="290"/>
      <c r="H305" s="291"/>
    </row>
    <row r="306" spans="1:8" s="315" customFormat="1" ht="15.75" customHeight="1">
      <c r="A306" s="292" t="s">
        <v>6</v>
      </c>
      <c r="B306" s="293" t="s">
        <v>7050</v>
      </c>
      <c r="C306" s="294" t="s">
        <v>7049</v>
      </c>
      <c r="D306" s="295" t="s">
        <v>24</v>
      </c>
      <c r="E306" s="296" t="s">
        <v>7046</v>
      </c>
      <c r="F306" s="293" t="s">
        <v>254</v>
      </c>
      <c r="G306" s="293" t="s">
        <v>7047</v>
      </c>
      <c r="H306" s="297" t="s">
        <v>7048</v>
      </c>
    </row>
    <row r="307" spans="1:8" s="315" customFormat="1" ht="15.75" customHeight="1">
      <c r="A307" s="120" t="s">
        <v>7</v>
      </c>
      <c r="B307" s="298">
        <v>44719</v>
      </c>
      <c r="C307" s="165" t="s">
        <v>27556</v>
      </c>
      <c r="D307" s="113" t="s">
        <v>32</v>
      </c>
      <c r="E307" s="59">
        <v>54.82</v>
      </c>
      <c r="F307" s="165" t="s">
        <v>27557</v>
      </c>
      <c r="G307" s="165" t="s">
        <v>27558</v>
      </c>
      <c r="H307" s="299" t="s">
        <v>27559</v>
      </c>
    </row>
    <row r="308" spans="1:8" s="315" customFormat="1" ht="15.75" customHeight="1">
      <c r="A308" s="120" t="s">
        <v>50</v>
      </c>
      <c r="B308" s="298">
        <v>44719</v>
      </c>
      <c r="C308" s="165" t="s">
        <v>27547</v>
      </c>
      <c r="D308" s="113" t="s">
        <v>32</v>
      </c>
      <c r="E308" s="59">
        <v>39.9</v>
      </c>
      <c r="F308" s="165" t="s">
        <v>27548</v>
      </c>
      <c r="G308" s="165" t="s">
        <v>27549</v>
      </c>
      <c r="H308" s="299" t="s">
        <v>27560</v>
      </c>
    </row>
    <row r="309" spans="1:8" s="315" customFormat="1" ht="15.75" customHeight="1">
      <c r="A309" s="120" t="s">
        <v>52</v>
      </c>
      <c r="B309" s="298">
        <v>44714</v>
      </c>
      <c r="C309" s="165" t="s">
        <v>7102</v>
      </c>
      <c r="D309" s="113" t="s">
        <v>32</v>
      </c>
      <c r="E309" s="59">
        <v>50.99</v>
      </c>
      <c r="F309" s="165" t="s">
        <v>7546</v>
      </c>
      <c r="G309" s="165" t="s">
        <v>7545</v>
      </c>
      <c r="H309" s="299" t="s">
        <v>27471</v>
      </c>
    </row>
    <row r="310" spans="1:8" s="315" customFormat="1" ht="15.75" customHeight="1" thickBot="1">
      <c r="A310" s="300" t="str">
        <f>CONCATENATE("MEDIANA - ",A305)</f>
        <v>MEDIANA - COT45</v>
      </c>
      <c r="B310" s="115"/>
      <c r="C310" s="115"/>
      <c r="D310" s="301"/>
      <c r="E310" s="150">
        <f>MEDIAN(E307:E309)</f>
        <v>50.99</v>
      </c>
      <c r="F310" s="301"/>
      <c r="G310" s="301"/>
      <c r="H310" s="302"/>
    </row>
    <row r="311" spans="1:8" s="315" customFormat="1" ht="15.75" customHeight="1" thickBot="1">
      <c r="A311" s="272"/>
      <c r="B311" s="114"/>
      <c r="C311" s="114"/>
      <c r="D311" s="114"/>
      <c r="E311" s="114"/>
      <c r="F311" s="114"/>
      <c r="G311" s="114"/>
      <c r="H311" s="288"/>
    </row>
    <row r="312" spans="1:8" s="315" customFormat="1" ht="15.75" customHeight="1">
      <c r="A312" s="289" t="s">
        <v>14329</v>
      </c>
      <c r="B312" s="290" t="s">
        <v>7555</v>
      </c>
      <c r="C312" s="290"/>
      <c r="D312" s="290"/>
      <c r="E312" s="290"/>
      <c r="F312" s="290"/>
      <c r="G312" s="290"/>
      <c r="H312" s="291"/>
    </row>
    <row r="313" spans="1:8" s="315" customFormat="1" ht="15.75" customHeight="1">
      <c r="A313" s="292" t="s">
        <v>6</v>
      </c>
      <c r="B313" s="293" t="s">
        <v>7050</v>
      </c>
      <c r="C313" s="294" t="s">
        <v>7049</v>
      </c>
      <c r="D313" s="295" t="s">
        <v>24</v>
      </c>
      <c r="E313" s="296" t="s">
        <v>7046</v>
      </c>
      <c r="F313" s="293" t="s">
        <v>254</v>
      </c>
      <c r="G313" s="293" t="s">
        <v>7047</v>
      </c>
      <c r="H313" s="297" t="s">
        <v>7048</v>
      </c>
    </row>
    <row r="314" spans="1:8" s="315" customFormat="1" ht="15.75" customHeight="1">
      <c r="A314" s="120" t="s">
        <v>7</v>
      </c>
      <c r="B314" s="298">
        <v>44719</v>
      </c>
      <c r="C314" s="165" t="s">
        <v>27561</v>
      </c>
      <c r="D314" s="113" t="s">
        <v>32</v>
      </c>
      <c r="E314" s="59">
        <v>696.07</v>
      </c>
      <c r="F314" s="165" t="s">
        <v>27562</v>
      </c>
      <c r="G314" s="165" t="s">
        <v>27563</v>
      </c>
      <c r="H314" s="299" t="s">
        <v>27564</v>
      </c>
    </row>
    <row r="315" spans="1:8" s="315" customFormat="1" ht="15.75" customHeight="1">
      <c r="A315" s="120" t="s">
        <v>50</v>
      </c>
      <c r="B315" s="298">
        <v>44719</v>
      </c>
      <c r="C315" s="165" t="s">
        <v>27565</v>
      </c>
      <c r="D315" s="113" t="s">
        <v>32</v>
      </c>
      <c r="E315" s="59">
        <v>769.9</v>
      </c>
      <c r="F315" s="165" t="s">
        <v>27566</v>
      </c>
      <c r="G315" s="165" t="s">
        <v>27567</v>
      </c>
      <c r="H315" s="299" t="s">
        <v>27568</v>
      </c>
    </row>
    <row r="316" spans="1:8" s="315" customFormat="1" ht="15.75" customHeight="1">
      <c r="A316" s="120" t="s">
        <v>52</v>
      </c>
      <c r="B316" s="298">
        <v>44710</v>
      </c>
      <c r="C316" s="165" t="s">
        <v>27334</v>
      </c>
      <c r="D316" s="113" t="s">
        <v>32</v>
      </c>
      <c r="E316" s="59">
        <v>773.51</v>
      </c>
      <c r="F316" s="165" t="s">
        <v>27335</v>
      </c>
      <c r="G316" s="165" t="s">
        <v>27336</v>
      </c>
      <c r="H316" s="303" t="s">
        <v>27337</v>
      </c>
    </row>
    <row r="317" spans="1:8" s="315" customFormat="1" ht="15.75" customHeight="1" thickBot="1">
      <c r="A317" s="300" t="str">
        <f>CONCATENATE("MEDIANA - ",A312)</f>
        <v>MEDIANA - COT46</v>
      </c>
      <c r="B317" s="115"/>
      <c r="C317" s="115"/>
      <c r="D317" s="301"/>
      <c r="E317" s="150">
        <f>MEDIAN(E314:E316)</f>
        <v>769.9</v>
      </c>
      <c r="F317" s="301"/>
      <c r="G317" s="301"/>
      <c r="H317" s="302"/>
    </row>
    <row r="318" spans="1:8" s="315" customFormat="1" ht="15.75" customHeight="1" thickBot="1">
      <c r="A318" s="272"/>
      <c r="B318" s="114"/>
      <c r="C318" s="114"/>
      <c r="D318" s="114"/>
      <c r="E318" s="114"/>
      <c r="F318" s="114"/>
      <c r="G318" s="114"/>
      <c r="H318" s="288"/>
    </row>
    <row r="319" spans="1:8" s="315" customFormat="1" ht="15.75" customHeight="1">
      <c r="A319" s="289" t="s">
        <v>14330</v>
      </c>
      <c r="B319" s="290" t="s">
        <v>7557</v>
      </c>
      <c r="C319" s="290"/>
      <c r="D319" s="290"/>
      <c r="E319" s="290"/>
      <c r="F319" s="290"/>
      <c r="G319" s="290"/>
      <c r="H319" s="291"/>
    </row>
    <row r="320" spans="1:8" s="315" customFormat="1" ht="15.75" customHeight="1">
      <c r="A320" s="292" t="s">
        <v>6</v>
      </c>
      <c r="B320" s="293" t="s">
        <v>7050</v>
      </c>
      <c r="C320" s="294" t="s">
        <v>7049</v>
      </c>
      <c r="D320" s="295" t="s">
        <v>24</v>
      </c>
      <c r="E320" s="296" t="s">
        <v>7046</v>
      </c>
      <c r="F320" s="293" t="s">
        <v>254</v>
      </c>
      <c r="G320" s="293" t="s">
        <v>7047</v>
      </c>
      <c r="H320" s="297" t="s">
        <v>7048</v>
      </c>
    </row>
    <row r="321" spans="1:8" s="315" customFormat="1" ht="15.75" customHeight="1">
      <c r="A321" s="120" t="s">
        <v>7</v>
      </c>
      <c r="B321" s="298">
        <v>44719</v>
      </c>
      <c r="C321" s="165" t="s">
        <v>27547</v>
      </c>
      <c r="D321" s="113" t="s">
        <v>32</v>
      </c>
      <c r="E321" s="59">
        <v>169.9</v>
      </c>
      <c r="F321" s="165" t="s">
        <v>27548</v>
      </c>
      <c r="G321" s="165" t="s">
        <v>27549</v>
      </c>
      <c r="H321" s="303" t="s">
        <v>27569</v>
      </c>
    </row>
    <row r="322" spans="1:8" s="315" customFormat="1" ht="15.75" customHeight="1">
      <c r="A322" s="120" t="s">
        <v>50</v>
      </c>
      <c r="B322" s="298">
        <v>44713</v>
      </c>
      <c r="C322" s="165" t="s">
        <v>7242</v>
      </c>
      <c r="D322" s="113" t="s">
        <v>32</v>
      </c>
      <c r="E322" s="59">
        <v>347.44</v>
      </c>
      <c r="F322" s="165" t="s">
        <v>27268</v>
      </c>
      <c r="G322" s="165" t="s">
        <v>13281</v>
      </c>
      <c r="H322" s="299" t="s">
        <v>27570</v>
      </c>
    </row>
    <row r="323" spans="1:8" s="315" customFormat="1" ht="15.75" customHeight="1">
      <c r="A323" s="120" t="s">
        <v>52</v>
      </c>
      <c r="B323" s="298">
        <v>44722</v>
      </c>
      <c r="C323" s="165" t="s">
        <v>13274</v>
      </c>
      <c r="D323" s="113" t="s">
        <v>32</v>
      </c>
      <c r="E323" s="59">
        <v>116.33</v>
      </c>
      <c r="F323" s="165" t="s">
        <v>27282</v>
      </c>
      <c r="G323" s="165" t="s">
        <v>13275</v>
      </c>
      <c r="H323" s="299" t="s">
        <v>27571</v>
      </c>
    </row>
    <row r="324" spans="1:8" s="315" customFormat="1" ht="15.75" customHeight="1" thickBot="1">
      <c r="A324" s="300" t="str">
        <f>CONCATENATE("MEDIANA - ",A319)</f>
        <v>MEDIANA - COT47</v>
      </c>
      <c r="B324" s="115"/>
      <c r="C324" s="115"/>
      <c r="D324" s="301"/>
      <c r="E324" s="150">
        <f>MEDIAN(E321:E323)</f>
        <v>169.9</v>
      </c>
      <c r="F324" s="301"/>
      <c r="G324" s="301"/>
      <c r="H324" s="302"/>
    </row>
    <row r="325" spans="1:8" s="315" customFormat="1" ht="15.75" customHeight="1" thickBot="1">
      <c r="A325" s="272"/>
      <c r="B325" s="114"/>
      <c r="C325" s="114"/>
      <c r="D325" s="114"/>
      <c r="E325" s="114"/>
      <c r="F325" s="114"/>
      <c r="G325" s="114"/>
      <c r="H325" s="288"/>
    </row>
    <row r="326" spans="1:8" s="315" customFormat="1" ht="15.75" customHeight="1">
      <c r="A326" s="289" t="s">
        <v>14331</v>
      </c>
      <c r="B326" s="290" t="s">
        <v>7558</v>
      </c>
      <c r="C326" s="290"/>
      <c r="D326" s="290"/>
      <c r="E326" s="290"/>
      <c r="F326" s="290"/>
      <c r="G326" s="290"/>
      <c r="H326" s="291"/>
    </row>
    <row r="327" spans="1:8" s="315" customFormat="1" ht="15.75" customHeight="1">
      <c r="A327" s="292" t="s">
        <v>6</v>
      </c>
      <c r="B327" s="293" t="s">
        <v>7050</v>
      </c>
      <c r="C327" s="294" t="s">
        <v>7049</v>
      </c>
      <c r="D327" s="295" t="s">
        <v>24</v>
      </c>
      <c r="E327" s="296" t="s">
        <v>7046</v>
      </c>
      <c r="F327" s="293" t="s">
        <v>254</v>
      </c>
      <c r="G327" s="293" t="s">
        <v>7047</v>
      </c>
      <c r="H327" s="297" t="s">
        <v>7048</v>
      </c>
    </row>
    <row r="328" spans="1:8" s="315" customFormat="1" ht="15.75" customHeight="1">
      <c r="A328" s="120" t="s">
        <v>7</v>
      </c>
      <c r="B328" s="298">
        <v>44719</v>
      </c>
      <c r="C328" s="165" t="s">
        <v>27565</v>
      </c>
      <c r="D328" s="113" t="s">
        <v>32</v>
      </c>
      <c r="E328" s="59">
        <v>72.48</v>
      </c>
      <c r="F328" s="165" t="s">
        <v>27566</v>
      </c>
      <c r="G328" s="165" t="s">
        <v>27567</v>
      </c>
      <c r="H328" s="299" t="s">
        <v>27572</v>
      </c>
    </row>
    <row r="329" spans="1:8" s="315" customFormat="1" ht="15.75" customHeight="1">
      <c r="A329" s="120" t="s">
        <v>50</v>
      </c>
      <c r="B329" s="298">
        <v>44719</v>
      </c>
      <c r="C329" s="165" t="s">
        <v>27547</v>
      </c>
      <c r="D329" s="113" t="s">
        <v>32</v>
      </c>
      <c r="E329" s="59">
        <v>49.9</v>
      </c>
      <c r="F329" s="165" t="s">
        <v>27548</v>
      </c>
      <c r="G329" s="165" t="s">
        <v>27549</v>
      </c>
      <c r="H329" s="299" t="s">
        <v>27573</v>
      </c>
    </row>
    <row r="330" spans="1:8" s="315" customFormat="1" ht="15.75" customHeight="1">
      <c r="A330" s="120"/>
      <c r="B330" s="298">
        <v>44719</v>
      </c>
      <c r="C330" s="165" t="s">
        <v>13274</v>
      </c>
      <c r="D330" s="113" t="s">
        <v>32</v>
      </c>
      <c r="E330" s="59">
        <v>62.69</v>
      </c>
      <c r="F330" s="165" t="s">
        <v>27282</v>
      </c>
      <c r="G330" s="165" t="s">
        <v>13275</v>
      </c>
      <c r="H330" s="299" t="s">
        <v>27574</v>
      </c>
    </row>
    <row r="331" spans="1:8" s="315" customFormat="1" ht="15.75" customHeight="1" thickBot="1">
      <c r="A331" s="300" t="str">
        <f>CONCATENATE("MEDIANA - ",A326)</f>
        <v>MEDIANA - COT48</v>
      </c>
      <c r="B331" s="115"/>
      <c r="C331" s="115"/>
      <c r="D331" s="301"/>
      <c r="E331" s="150">
        <f>MEDIAN(E328:E330)</f>
        <v>62.69</v>
      </c>
      <c r="F331" s="301"/>
      <c r="G331" s="301"/>
      <c r="H331" s="302"/>
    </row>
    <row r="332" spans="1:8" s="315" customFormat="1" ht="15.75" customHeight="1" thickBot="1">
      <c r="A332" s="272"/>
      <c r="B332" s="114"/>
      <c r="C332" s="114"/>
      <c r="D332" s="114"/>
      <c r="E332" s="114"/>
      <c r="F332" s="114"/>
      <c r="G332" s="114"/>
      <c r="H332" s="288"/>
    </row>
    <row r="333" spans="1:8" s="315" customFormat="1" ht="15.75" customHeight="1">
      <c r="A333" s="289" t="s">
        <v>14332</v>
      </c>
      <c r="B333" s="290" t="s">
        <v>7559</v>
      </c>
      <c r="C333" s="290"/>
      <c r="D333" s="290"/>
      <c r="E333" s="290"/>
      <c r="F333" s="290"/>
      <c r="G333" s="290"/>
      <c r="H333" s="291"/>
    </row>
    <row r="334" spans="1:8" s="315" customFormat="1" ht="15.75" customHeight="1">
      <c r="A334" s="292" t="s">
        <v>6</v>
      </c>
      <c r="B334" s="293" t="s">
        <v>7050</v>
      </c>
      <c r="C334" s="294" t="s">
        <v>7049</v>
      </c>
      <c r="D334" s="295" t="s">
        <v>24</v>
      </c>
      <c r="E334" s="296" t="s">
        <v>7046</v>
      </c>
      <c r="F334" s="293" t="s">
        <v>254</v>
      </c>
      <c r="G334" s="293" t="s">
        <v>7047</v>
      </c>
      <c r="H334" s="297" t="s">
        <v>7048</v>
      </c>
    </row>
    <row r="335" spans="1:8" s="315" customFormat="1" ht="15.75" customHeight="1">
      <c r="A335" s="120" t="s">
        <v>7</v>
      </c>
      <c r="B335" s="298">
        <v>44714</v>
      </c>
      <c r="C335" s="165" t="s">
        <v>7102</v>
      </c>
      <c r="D335" s="113" t="s">
        <v>32</v>
      </c>
      <c r="E335" s="59">
        <v>149.49</v>
      </c>
      <c r="F335" s="165" t="s">
        <v>13220</v>
      </c>
      <c r="G335" s="165" t="s">
        <v>7545</v>
      </c>
      <c r="H335" s="299" t="s">
        <v>27471</v>
      </c>
    </row>
    <row r="336" spans="1:8" s="315" customFormat="1" ht="15.75" customHeight="1">
      <c r="A336" s="120" t="s">
        <v>50</v>
      </c>
      <c r="B336" s="298">
        <v>44719</v>
      </c>
      <c r="C336" s="165" t="s">
        <v>13282</v>
      </c>
      <c r="D336" s="113" t="s">
        <v>32</v>
      </c>
      <c r="E336" s="59">
        <v>46.77</v>
      </c>
      <c r="F336" s="165" t="s">
        <v>27269</v>
      </c>
      <c r="G336" s="165" t="s">
        <v>14203</v>
      </c>
      <c r="H336" s="299" t="s">
        <v>27575</v>
      </c>
    </row>
    <row r="337" spans="1:8" s="315" customFormat="1" ht="15.75" customHeight="1">
      <c r="A337" s="120" t="s">
        <v>52</v>
      </c>
      <c r="B337" s="298">
        <v>44710</v>
      </c>
      <c r="C337" s="165" t="s">
        <v>27338</v>
      </c>
      <c r="D337" s="113" t="s">
        <v>32</v>
      </c>
      <c r="E337" s="59">
        <v>157.97999999999999</v>
      </c>
      <c r="F337" s="165" t="s">
        <v>27339</v>
      </c>
      <c r="G337" s="165" t="s">
        <v>27340</v>
      </c>
      <c r="H337" s="303" t="s">
        <v>27341</v>
      </c>
    </row>
    <row r="338" spans="1:8" s="315" customFormat="1" ht="15.75" customHeight="1" thickBot="1">
      <c r="A338" s="300" t="str">
        <f>CONCATENATE("MEDIANA - ",A333)</f>
        <v>MEDIANA - COT49</v>
      </c>
      <c r="B338" s="115"/>
      <c r="C338" s="115"/>
      <c r="D338" s="301"/>
      <c r="E338" s="150">
        <f>MEDIAN(E335:E337)</f>
        <v>149.49</v>
      </c>
      <c r="F338" s="301"/>
      <c r="G338" s="301"/>
      <c r="H338" s="302"/>
    </row>
    <row r="339" spans="1:8" s="315" customFormat="1" ht="15.75" customHeight="1" thickBot="1">
      <c r="A339" s="272"/>
      <c r="B339" s="114"/>
      <c r="C339" s="114"/>
      <c r="D339" s="114"/>
      <c r="E339" s="114"/>
      <c r="F339" s="114"/>
      <c r="G339" s="114"/>
      <c r="H339" s="288"/>
    </row>
    <row r="340" spans="1:8" s="315" customFormat="1" ht="15.75" customHeight="1">
      <c r="A340" s="289" t="s">
        <v>14333</v>
      </c>
      <c r="B340" s="290" t="s">
        <v>7566</v>
      </c>
      <c r="C340" s="290"/>
      <c r="D340" s="290"/>
      <c r="E340" s="290"/>
      <c r="F340" s="290"/>
      <c r="G340" s="290"/>
      <c r="H340" s="291"/>
    </row>
    <row r="341" spans="1:8" s="315" customFormat="1" ht="15.75" customHeight="1">
      <c r="A341" s="292" t="s">
        <v>6</v>
      </c>
      <c r="B341" s="293" t="s">
        <v>7050</v>
      </c>
      <c r="C341" s="294" t="s">
        <v>7049</v>
      </c>
      <c r="D341" s="295" t="s">
        <v>24</v>
      </c>
      <c r="E341" s="296" t="s">
        <v>7046</v>
      </c>
      <c r="F341" s="293" t="s">
        <v>254</v>
      </c>
      <c r="G341" s="293" t="s">
        <v>7047</v>
      </c>
      <c r="H341" s="297" t="s">
        <v>7048</v>
      </c>
    </row>
    <row r="342" spans="1:8" s="315" customFormat="1" ht="15.75" customHeight="1">
      <c r="A342" s="120" t="s">
        <v>7</v>
      </c>
      <c r="B342" s="298">
        <v>44720</v>
      </c>
      <c r="C342" s="165" t="s">
        <v>27547</v>
      </c>
      <c r="D342" s="113" t="s">
        <v>32</v>
      </c>
      <c r="E342" s="59">
        <v>14.9</v>
      </c>
      <c r="F342" s="165" t="s">
        <v>27548</v>
      </c>
      <c r="G342" s="165" t="s">
        <v>27549</v>
      </c>
      <c r="H342" s="299" t="s">
        <v>27576</v>
      </c>
    </row>
    <row r="343" spans="1:8" s="315" customFormat="1" ht="15.75" customHeight="1">
      <c r="A343" s="120" t="s">
        <v>50</v>
      </c>
      <c r="B343" s="298">
        <v>44720</v>
      </c>
      <c r="C343" s="165" t="s">
        <v>7243</v>
      </c>
      <c r="D343" s="113" t="s">
        <v>32</v>
      </c>
      <c r="E343" s="59">
        <v>32.89</v>
      </c>
      <c r="F343" s="165" t="s">
        <v>27400</v>
      </c>
      <c r="G343" s="165" t="s">
        <v>13286</v>
      </c>
      <c r="H343" s="299" t="s">
        <v>27577</v>
      </c>
    </row>
    <row r="344" spans="1:8" s="315" customFormat="1" ht="15.75" customHeight="1">
      <c r="A344" s="120" t="s">
        <v>52</v>
      </c>
      <c r="B344" s="298">
        <v>44720</v>
      </c>
      <c r="C344" s="165" t="s">
        <v>27578</v>
      </c>
      <c r="D344" s="113" t="s">
        <v>32</v>
      </c>
      <c r="E344" s="59">
        <v>19.739999999999998</v>
      </c>
      <c r="F344" s="165" t="s">
        <v>27579</v>
      </c>
      <c r="G344" s="165" t="s">
        <v>27580</v>
      </c>
      <c r="H344" s="299" t="s">
        <v>27581</v>
      </c>
    </row>
    <row r="345" spans="1:8" s="315" customFormat="1" ht="15.75" customHeight="1" thickBot="1">
      <c r="A345" s="300" t="str">
        <f>CONCATENATE("MEDIANA - ",A340)</f>
        <v>MEDIANA - COT50</v>
      </c>
      <c r="B345" s="115"/>
      <c r="C345" s="115"/>
      <c r="D345" s="301"/>
      <c r="E345" s="150">
        <f>MEDIAN(E342:E344)</f>
        <v>19.739999999999998</v>
      </c>
      <c r="F345" s="301"/>
      <c r="G345" s="301"/>
      <c r="H345" s="302"/>
    </row>
    <row r="346" spans="1:8" s="315" customFormat="1" ht="15.75" customHeight="1" thickBot="1">
      <c r="A346" s="272"/>
      <c r="B346" s="114"/>
      <c r="C346" s="114"/>
      <c r="D346" s="114"/>
      <c r="E346" s="114"/>
      <c r="F346" s="114"/>
      <c r="G346" s="114"/>
      <c r="H346" s="288"/>
    </row>
    <row r="347" spans="1:8" s="315" customFormat="1" ht="15.75" customHeight="1">
      <c r="A347" s="289" t="s">
        <v>14334</v>
      </c>
      <c r="B347" s="290" t="s">
        <v>7567</v>
      </c>
      <c r="C347" s="290"/>
      <c r="D347" s="290"/>
      <c r="E347" s="290"/>
      <c r="F347" s="290"/>
      <c r="G347" s="290"/>
      <c r="H347" s="291"/>
    </row>
    <row r="348" spans="1:8" s="315" customFormat="1" ht="15.75" customHeight="1">
      <c r="A348" s="292" t="s">
        <v>6</v>
      </c>
      <c r="B348" s="293" t="s">
        <v>7050</v>
      </c>
      <c r="C348" s="294" t="s">
        <v>7049</v>
      </c>
      <c r="D348" s="295" t="s">
        <v>24</v>
      </c>
      <c r="E348" s="296" t="s">
        <v>7046</v>
      </c>
      <c r="F348" s="293" t="s">
        <v>254</v>
      </c>
      <c r="G348" s="293" t="s">
        <v>7047</v>
      </c>
      <c r="H348" s="297" t="s">
        <v>7048</v>
      </c>
    </row>
    <row r="349" spans="1:8" s="315" customFormat="1" ht="15.75" customHeight="1">
      <c r="A349" s="120" t="s">
        <v>7</v>
      </c>
      <c r="B349" s="298">
        <v>44720</v>
      </c>
      <c r="C349" s="165" t="s">
        <v>13282</v>
      </c>
      <c r="D349" s="113" t="s">
        <v>32</v>
      </c>
      <c r="E349" s="59">
        <v>949.62</v>
      </c>
      <c r="F349" s="165" t="s">
        <v>27269</v>
      </c>
      <c r="G349" s="165" t="s">
        <v>14203</v>
      </c>
      <c r="H349" s="299" t="s">
        <v>27582</v>
      </c>
    </row>
    <row r="350" spans="1:8" s="315" customFormat="1" ht="15.75" customHeight="1">
      <c r="A350" s="120" t="s">
        <v>50</v>
      </c>
      <c r="B350" s="298">
        <v>44720</v>
      </c>
      <c r="C350" s="165" t="s">
        <v>13274</v>
      </c>
      <c r="D350" s="113" t="s">
        <v>32</v>
      </c>
      <c r="E350" s="59">
        <v>588.70000000000005</v>
      </c>
      <c r="F350" s="165" t="s">
        <v>27282</v>
      </c>
      <c r="G350" s="165" t="s">
        <v>13275</v>
      </c>
      <c r="H350" s="299" t="s">
        <v>27583</v>
      </c>
    </row>
    <row r="351" spans="1:8" s="315" customFormat="1" ht="15.75" customHeight="1">
      <c r="A351" s="120" t="s">
        <v>52</v>
      </c>
      <c r="B351" s="298">
        <v>44726</v>
      </c>
      <c r="C351" s="165" t="s">
        <v>7242</v>
      </c>
      <c r="D351" s="113" t="s">
        <v>32</v>
      </c>
      <c r="E351" s="59">
        <v>688.1</v>
      </c>
      <c r="F351" s="165" t="s">
        <v>27268</v>
      </c>
      <c r="G351" s="165" t="s">
        <v>13281</v>
      </c>
      <c r="H351" s="303" t="s">
        <v>27464</v>
      </c>
    </row>
    <row r="352" spans="1:8" s="315" customFormat="1" ht="15.75" customHeight="1" thickBot="1">
      <c r="A352" s="300" t="str">
        <f>CONCATENATE("MEDIANA - ",A347)</f>
        <v>MEDIANA - COT51</v>
      </c>
      <c r="B352" s="115"/>
      <c r="C352" s="115"/>
      <c r="D352" s="301"/>
      <c r="E352" s="150">
        <f>MEDIAN(E349:E351)</f>
        <v>688.1</v>
      </c>
      <c r="F352" s="301"/>
      <c r="G352" s="301"/>
      <c r="H352" s="302"/>
    </row>
    <row r="353" spans="1:8" s="315" customFormat="1" ht="15.75" customHeight="1" thickBot="1">
      <c r="A353" s="272"/>
      <c r="B353" s="114"/>
      <c r="C353" s="114"/>
      <c r="D353" s="114"/>
      <c r="E353" s="114"/>
      <c r="F353" s="114"/>
      <c r="G353" s="114"/>
      <c r="H353" s="288"/>
    </row>
    <row r="354" spans="1:8" s="315" customFormat="1" ht="15.75" customHeight="1">
      <c r="A354" s="289" t="s">
        <v>14335</v>
      </c>
      <c r="B354" s="290" t="s">
        <v>7569</v>
      </c>
      <c r="C354" s="290"/>
      <c r="D354" s="290"/>
      <c r="E354" s="290"/>
      <c r="F354" s="290"/>
      <c r="G354" s="290"/>
      <c r="H354" s="291"/>
    </row>
    <row r="355" spans="1:8" s="315" customFormat="1" ht="15.75" customHeight="1">
      <c r="A355" s="292" t="s">
        <v>6</v>
      </c>
      <c r="B355" s="293" t="s">
        <v>7050</v>
      </c>
      <c r="C355" s="294" t="s">
        <v>7049</v>
      </c>
      <c r="D355" s="295" t="s">
        <v>24</v>
      </c>
      <c r="E355" s="296" t="s">
        <v>7046</v>
      </c>
      <c r="F355" s="293" t="s">
        <v>254</v>
      </c>
      <c r="G355" s="293" t="s">
        <v>7047</v>
      </c>
      <c r="H355" s="297" t="s">
        <v>7048</v>
      </c>
    </row>
    <row r="356" spans="1:8" s="315" customFormat="1" ht="15.75" customHeight="1">
      <c r="A356" s="120" t="s">
        <v>7</v>
      </c>
      <c r="B356" s="298">
        <v>44714</v>
      </c>
      <c r="C356" s="165" t="s">
        <v>7239</v>
      </c>
      <c r="D356" s="113" t="s">
        <v>32</v>
      </c>
      <c r="E356" s="59">
        <v>22.37</v>
      </c>
      <c r="F356" s="165" t="s">
        <v>27467</v>
      </c>
      <c r="G356" s="165" t="s">
        <v>27468</v>
      </c>
      <c r="H356" s="299" t="s">
        <v>27469</v>
      </c>
    </row>
    <row r="357" spans="1:8" s="315" customFormat="1" ht="15.75" customHeight="1">
      <c r="A357" s="120" t="s">
        <v>50</v>
      </c>
      <c r="B357" s="298">
        <v>44719</v>
      </c>
      <c r="C357" s="165" t="s">
        <v>27584</v>
      </c>
      <c r="D357" s="113" t="s">
        <v>32</v>
      </c>
      <c r="E357" s="59">
        <v>22</v>
      </c>
      <c r="F357" s="165" t="s">
        <v>13309</v>
      </c>
      <c r="G357" s="326" t="s">
        <v>13310</v>
      </c>
      <c r="H357" s="299" t="s">
        <v>27585</v>
      </c>
    </row>
    <row r="358" spans="1:8" s="315" customFormat="1" ht="15.75" customHeight="1">
      <c r="A358" s="120" t="s">
        <v>52</v>
      </c>
      <c r="B358" s="298">
        <v>44714</v>
      </c>
      <c r="C358" s="165" t="s">
        <v>7102</v>
      </c>
      <c r="D358" s="113" t="s">
        <v>32</v>
      </c>
      <c r="E358" s="59">
        <v>23.99</v>
      </c>
      <c r="F358" s="165" t="s">
        <v>13220</v>
      </c>
      <c r="G358" s="165" t="s">
        <v>7545</v>
      </c>
      <c r="H358" s="299" t="s">
        <v>27471</v>
      </c>
    </row>
    <row r="359" spans="1:8" s="315" customFormat="1" ht="15.75" customHeight="1" thickBot="1">
      <c r="A359" s="300" t="str">
        <f>CONCATENATE("MEDIANA - ",A354)</f>
        <v>MEDIANA - COT52</v>
      </c>
      <c r="B359" s="115"/>
      <c r="C359" s="115"/>
      <c r="D359" s="301"/>
      <c r="E359" s="150">
        <f>MEDIAN(E356:E358)</f>
        <v>22.37</v>
      </c>
      <c r="F359" s="301"/>
      <c r="G359" s="301"/>
      <c r="H359" s="302"/>
    </row>
    <row r="360" spans="1:8" s="315" customFormat="1" ht="15.75" customHeight="1" thickBot="1">
      <c r="A360" s="272"/>
      <c r="B360" s="114"/>
      <c r="C360" s="114"/>
      <c r="D360" s="114"/>
      <c r="E360" s="114"/>
      <c r="F360" s="114"/>
      <c r="G360" s="114"/>
      <c r="H360" s="288"/>
    </row>
    <row r="361" spans="1:8" s="315" customFormat="1" ht="15.75" customHeight="1">
      <c r="A361" s="289" t="s">
        <v>14336</v>
      </c>
      <c r="B361" s="290" t="s">
        <v>7568</v>
      </c>
      <c r="C361" s="290"/>
      <c r="D361" s="290"/>
      <c r="E361" s="290"/>
      <c r="F361" s="290"/>
      <c r="G361" s="290"/>
      <c r="H361" s="291"/>
    </row>
    <row r="362" spans="1:8" s="315" customFormat="1" ht="15.75" customHeight="1">
      <c r="A362" s="292" t="s">
        <v>6</v>
      </c>
      <c r="B362" s="293" t="s">
        <v>7050</v>
      </c>
      <c r="C362" s="294" t="s">
        <v>7049</v>
      </c>
      <c r="D362" s="295" t="s">
        <v>24</v>
      </c>
      <c r="E362" s="296" t="s">
        <v>7046</v>
      </c>
      <c r="F362" s="293" t="s">
        <v>254</v>
      </c>
      <c r="G362" s="293" t="s">
        <v>7047</v>
      </c>
      <c r="H362" s="297" t="s">
        <v>7048</v>
      </c>
    </row>
    <row r="363" spans="1:8" s="315" customFormat="1" ht="15.75" customHeight="1">
      <c r="A363" s="120" t="s">
        <v>7</v>
      </c>
      <c r="B363" s="298">
        <v>44720</v>
      </c>
      <c r="C363" s="165" t="s">
        <v>27586</v>
      </c>
      <c r="D363" s="113" t="s">
        <v>32</v>
      </c>
      <c r="E363" s="59">
        <v>311.68</v>
      </c>
      <c r="F363" s="165" t="s">
        <v>27587</v>
      </c>
      <c r="G363" s="165" t="s">
        <v>27588</v>
      </c>
      <c r="H363" s="299" t="s">
        <v>27589</v>
      </c>
    </row>
    <row r="364" spans="1:8" s="315" customFormat="1" ht="15.75" customHeight="1">
      <c r="A364" s="120" t="s">
        <v>50</v>
      </c>
      <c r="B364" s="298">
        <v>44722</v>
      </c>
      <c r="C364" s="165" t="s">
        <v>27590</v>
      </c>
      <c r="D364" s="113" t="s">
        <v>32</v>
      </c>
      <c r="E364" s="59">
        <v>308.10000000000002</v>
      </c>
      <c r="F364" s="165" t="s">
        <v>27591</v>
      </c>
      <c r="G364" s="165" t="s">
        <v>27592</v>
      </c>
      <c r="H364" s="299" t="s">
        <v>27593</v>
      </c>
    </row>
    <row r="365" spans="1:8" s="315" customFormat="1" ht="15.75" customHeight="1">
      <c r="A365" s="120" t="s">
        <v>52</v>
      </c>
      <c r="B365" s="298">
        <v>44722</v>
      </c>
      <c r="C365" s="165" t="s">
        <v>27594</v>
      </c>
      <c r="D365" s="113" t="s">
        <v>32</v>
      </c>
      <c r="E365" s="59">
        <v>250</v>
      </c>
      <c r="F365" s="165" t="s">
        <v>27595</v>
      </c>
      <c r="G365" s="165" t="s">
        <v>27596</v>
      </c>
      <c r="H365" s="299" t="s">
        <v>27597</v>
      </c>
    </row>
    <row r="366" spans="1:8" s="315" customFormat="1" ht="15.75" customHeight="1" thickBot="1">
      <c r="A366" s="300" t="str">
        <f>CONCATENATE("MEDIANA - ",A361)</f>
        <v>MEDIANA - COT53</v>
      </c>
      <c r="B366" s="115"/>
      <c r="C366" s="115"/>
      <c r="D366" s="301"/>
      <c r="E366" s="150">
        <f>MEDIAN(E363:E365)</f>
        <v>308.10000000000002</v>
      </c>
      <c r="F366" s="301"/>
      <c r="G366" s="301"/>
      <c r="H366" s="302"/>
    </row>
    <row r="367" spans="1:8" s="315" customFormat="1" ht="15.75" customHeight="1" thickBot="1">
      <c r="A367" s="272"/>
      <c r="B367" s="114"/>
      <c r="C367" s="114"/>
      <c r="D367" s="114"/>
      <c r="E367" s="114"/>
      <c r="F367" s="114"/>
      <c r="G367" s="114"/>
      <c r="H367" s="288"/>
    </row>
    <row r="368" spans="1:8" s="315" customFormat="1" ht="15.75" customHeight="1">
      <c r="A368" s="289" t="s">
        <v>14337</v>
      </c>
      <c r="B368" s="290" t="s">
        <v>7570</v>
      </c>
      <c r="C368" s="290"/>
      <c r="D368" s="290"/>
      <c r="E368" s="290"/>
      <c r="F368" s="290"/>
      <c r="G368" s="290"/>
      <c r="H368" s="291"/>
    </row>
    <row r="369" spans="1:8" s="315" customFormat="1" ht="15.75" customHeight="1">
      <c r="A369" s="292" t="s">
        <v>6</v>
      </c>
      <c r="B369" s="293" t="s">
        <v>7050</v>
      </c>
      <c r="C369" s="294" t="s">
        <v>7049</v>
      </c>
      <c r="D369" s="295" t="s">
        <v>24</v>
      </c>
      <c r="E369" s="296" t="s">
        <v>7046</v>
      </c>
      <c r="F369" s="293" t="s">
        <v>254</v>
      </c>
      <c r="G369" s="293" t="s">
        <v>7047</v>
      </c>
      <c r="H369" s="297" t="s">
        <v>7048</v>
      </c>
    </row>
    <row r="370" spans="1:8" s="315" customFormat="1" ht="15.75" customHeight="1">
      <c r="A370" s="120" t="s">
        <v>7</v>
      </c>
      <c r="B370" s="298">
        <v>44714</v>
      </c>
      <c r="C370" s="165" t="s">
        <v>7102</v>
      </c>
      <c r="D370" s="113" t="s">
        <v>32</v>
      </c>
      <c r="E370" s="59">
        <v>55.49</v>
      </c>
      <c r="F370" s="165" t="s">
        <v>13220</v>
      </c>
      <c r="G370" s="165" t="s">
        <v>7545</v>
      </c>
      <c r="H370" s="299" t="s">
        <v>27471</v>
      </c>
    </row>
    <row r="371" spans="1:8" s="315" customFormat="1" ht="15.75" customHeight="1">
      <c r="A371" s="120" t="s">
        <v>50</v>
      </c>
      <c r="B371" s="298">
        <v>44710</v>
      </c>
      <c r="C371" s="165" t="s">
        <v>27334</v>
      </c>
      <c r="D371" s="113" t="s">
        <v>32</v>
      </c>
      <c r="E371" s="59">
        <v>49.67</v>
      </c>
      <c r="F371" s="165" t="s">
        <v>27335</v>
      </c>
      <c r="G371" s="165" t="s">
        <v>27336</v>
      </c>
      <c r="H371" s="303" t="s">
        <v>27342</v>
      </c>
    </row>
    <row r="372" spans="1:8" s="315" customFormat="1" ht="15.75" customHeight="1">
      <c r="A372" s="120" t="s">
        <v>52</v>
      </c>
      <c r="B372" s="298">
        <v>44710</v>
      </c>
      <c r="C372" s="165" t="s">
        <v>27343</v>
      </c>
      <c r="D372" s="113" t="s">
        <v>32</v>
      </c>
      <c r="E372" s="59">
        <v>51.08</v>
      </c>
      <c r="F372" s="165" t="s">
        <v>27344</v>
      </c>
      <c r="G372" s="165" t="s">
        <v>27345</v>
      </c>
      <c r="H372" s="303" t="s">
        <v>27346</v>
      </c>
    </row>
    <row r="373" spans="1:8" s="315" customFormat="1" ht="15.75" customHeight="1" thickBot="1">
      <c r="A373" s="300" t="str">
        <f>CONCATENATE("MEDIANA - ",A368)</f>
        <v>MEDIANA - COT54</v>
      </c>
      <c r="B373" s="115"/>
      <c r="C373" s="115"/>
      <c r="D373" s="301"/>
      <c r="E373" s="150">
        <f>MEDIAN(E370:E372)</f>
        <v>51.08</v>
      </c>
      <c r="F373" s="301"/>
      <c r="G373" s="301"/>
      <c r="H373" s="302"/>
    </row>
    <row r="374" spans="1:8" s="315" customFormat="1" ht="15.75" customHeight="1" thickBot="1">
      <c r="A374" s="272"/>
      <c r="B374" s="114"/>
      <c r="C374" s="114"/>
      <c r="D374" s="114"/>
      <c r="E374" s="114"/>
      <c r="F374" s="114"/>
      <c r="G374" s="114"/>
      <c r="H374" s="288"/>
    </row>
    <row r="375" spans="1:8" s="315" customFormat="1" ht="15.75" customHeight="1">
      <c r="A375" s="289" t="s">
        <v>14338</v>
      </c>
      <c r="B375" s="290" t="s">
        <v>7571</v>
      </c>
      <c r="C375" s="290"/>
      <c r="D375" s="290"/>
      <c r="E375" s="290"/>
      <c r="F375" s="290"/>
      <c r="G375" s="290"/>
      <c r="H375" s="291"/>
    </row>
    <row r="376" spans="1:8" s="315" customFormat="1" ht="15.75" customHeight="1">
      <c r="A376" s="292" t="s">
        <v>6</v>
      </c>
      <c r="B376" s="293" t="s">
        <v>7050</v>
      </c>
      <c r="C376" s="294" t="s">
        <v>7049</v>
      </c>
      <c r="D376" s="295" t="s">
        <v>24</v>
      </c>
      <c r="E376" s="296" t="s">
        <v>7046</v>
      </c>
      <c r="F376" s="293" t="s">
        <v>254</v>
      </c>
      <c r="G376" s="293" t="s">
        <v>7047</v>
      </c>
      <c r="H376" s="297" t="s">
        <v>7048</v>
      </c>
    </row>
    <row r="377" spans="1:8" s="315" customFormat="1" ht="15.75" customHeight="1">
      <c r="A377" s="120" t="s">
        <v>7</v>
      </c>
      <c r="B377" s="298">
        <v>44720</v>
      </c>
      <c r="C377" s="165" t="s">
        <v>13282</v>
      </c>
      <c r="D377" s="113" t="s">
        <v>32</v>
      </c>
      <c r="E377" s="59">
        <v>704.04</v>
      </c>
      <c r="F377" s="165" t="s">
        <v>27269</v>
      </c>
      <c r="G377" s="165" t="s">
        <v>14203</v>
      </c>
      <c r="H377" s="299" t="s">
        <v>27598</v>
      </c>
    </row>
    <row r="378" spans="1:8" s="315" customFormat="1" ht="15.75" customHeight="1">
      <c r="A378" s="120" t="s">
        <v>50</v>
      </c>
      <c r="B378" s="298">
        <v>44720</v>
      </c>
      <c r="C378" s="165" t="s">
        <v>13274</v>
      </c>
      <c r="D378" s="113" t="s">
        <v>32</v>
      </c>
      <c r="E378" s="59">
        <v>722.2</v>
      </c>
      <c r="F378" s="165" t="s">
        <v>27282</v>
      </c>
      <c r="G378" s="165" t="s">
        <v>13275</v>
      </c>
      <c r="H378" s="299" t="s">
        <v>27599</v>
      </c>
    </row>
    <row r="379" spans="1:8" s="315" customFormat="1" ht="15.75" customHeight="1">
      <c r="A379" s="120" t="s">
        <v>52</v>
      </c>
      <c r="B379" s="298">
        <v>44710</v>
      </c>
      <c r="C379" s="165" t="s">
        <v>7242</v>
      </c>
      <c r="D379" s="113" t="s">
        <v>32</v>
      </c>
      <c r="E379" s="59">
        <v>751.94</v>
      </c>
      <c r="F379" s="165" t="s">
        <v>27268</v>
      </c>
      <c r="G379" s="165" t="s">
        <v>13281</v>
      </c>
      <c r="H379" s="303" t="s">
        <v>27347</v>
      </c>
    </row>
    <row r="380" spans="1:8" s="315" customFormat="1" ht="15.75" customHeight="1" thickBot="1">
      <c r="A380" s="300" t="str">
        <f>CONCATENATE("MEDIANA - ",A375)</f>
        <v>MEDIANA - COT55</v>
      </c>
      <c r="B380" s="115"/>
      <c r="C380" s="115"/>
      <c r="D380" s="301"/>
      <c r="E380" s="150">
        <f>MEDIAN(E377:E379)</f>
        <v>722.2</v>
      </c>
      <c r="F380" s="301"/>
      <c r="G380" s="301"/>
      <c r="H380" s="302"/>
    </row>
    <row r="381" spans="1:8" s="315" customFormat="1" ht="15.75" customHeight="1" thickBot="1">
      <c r="A381" s="272"/>
      <c r="B381" s="114"/>
      <c r="C381" s="114"/>
      <c r="D381" s="114"/>
      <c r="E381" s="114"/>
      <c r="F381" s="114"/>
      <c r="G381" s="114"/>
      <c r="H381" s="288"/>
    </row>
    <row r="382" spans="1:8" s="315" customFormat="1" ht="15.75" customHeight="1">
      <c r="A382" s="289" t="s">
        <v>14339</v>
      </c>
      <c r="B382" s="290" t="s">
        <v>7572</v>
      </c>
      <c r="C382" s="290"/>
      <c r="D382" s="290"/>
      <c r="E382" s="290"/>
      <c r="F382" s="290"/>
      <c r="G382" s="290"/>
      <c r="H382" s="291"/>
    </row>
    <row r="383" spans="1:8" s="315" customFormat="1" ht="15.75" customHeight="1">
      <c r="A383" s="292" t="s">
        <v>6</v>
      </c>
      <c r="B383" s="293" t="s">
        <v>7050</v>
      </c>
      <c r="C383" s="294" t="s">
        <v>7049</v>
      </c>
      <c r="D383" s="295" t="s">
        <v>24</v>
      </c>
      <c r="E383" s="296" t="s">
        <v>7046</v>
      </c>
      <c r="F383" s="293" t="s">
        <v>254</v>
      </c>
      <c r="G383" s="293" t="s">
        <v>7047</v>
      </c>
      <c r="H383" s="297" t="s">
        <v>7048</v>
      </c>
    </row>
    <row r="384" spans="1:8" s="315" customFormat="1" ht="15.75" customHeight="1">
      <c r="A384" s="120" t="s">
        <v>7</v>
      </c>
      <c r="B384" s="298">
        <v>44720</v>
      </c>
      <c r="C384" s="165" t="s">
        <v>27565</v>
      </c>
      <c r="D384" s="113" t="s">
        <v>32</v>
      </c>
      <c r="E384" s="59">
        <v>111.82</v>
      </c>
      <c r="F384" s="165" t="s">
        <v>27566</v>
      </c>
      <c r="G384" s="165" t="s">
        <v>27567</v>
      </c>
      <c r="H384" s="299" t="s">
        <v>27600</v>
      </c>
    </row>
    <row r="385" spans="1:8" s="315" customFormat="1" ht="15.75" customHeight="1">
      <c r="A385" s="120" t="s">
        <v>50</v>
      </c>
      <c r="B385" s="298">
        <v>44720</v>
      </c>
      <c r="C385" s="165" t="s">
        <v>13274</v>
      </c>
      <c r="D385" s="113" t="s">
        <v>32</v>
      </c>
      <c r="E385" s="59">
        <v>114.9</v>
      </c>
      <c r="F385" s="165" t="s">
        <v>27282</v>
      </c>
      <c r="G385" s="165" t="s">
        <v>13275</v>
      </c>
      <c r="H385" s="299" t="s">
        <v>27601</v>
      </c>
    </row>
    <row r="386" spans="1:8" s="315" customFormat="1" ht="15.75" customHeight="1">
      <c r="A386" s="120" t="s">
        <v>52</v>
      </c>
      <c r="B386" s="298">
        <v>44710</v>
      </c>
      <c r="C386" s="165" t="s">
        <v>27334</v>
      </c>
      <c r="D386" s="113" t="s">
        <v>32</v>
      </c>
      <c r="E386" s="59">
        <v>131.59</v>
      </c>
      <c r="F386" s="165" t="s">
        <v>27335</v>
      </c>
      <c r="G386" s="165" t="s">
        <v>27336</v>
      </c>
      <c r="H386" s="303" t="s">
        <v>27348</v>
      </c>
    </row>
    <row r="387" spans="1:8" s="315" customFormat="1" ht="15.75" customHeight="1" thickBot="1">
      <c r="A387" s="300" t="str">
        <f>CONCATENATE("MEDIANA - ",A382)</f>
        <v>MEDIANA - COT56</v>
      </c>
      <c r="B387" s="115"/>
      <c r="C387" s="115"/>
      <c r="D387" s="301"/>
      <c r="E387" s="150">
        <f>MEDIAN(E384:E386)</f>
        <v>114.9</v>
      </c>
      <c r="F387" s="301"/>
      <c r="G387" s="301"/>
      <c r="H387" s="302"/>
    </row>
    <row r="388" spans="1:8" s="315" customFormat="1" ht="15.75" customHeight="1" thickBot="1">
      <c r="A388" s="272"/>
      <c r="B388" s="114"/>
      <c r="C388" s="114"/>
      <c r="D388" s="114"/>
      <c r="E388" s="114"/>
      <c r="F388" s="114"/>
      <c r="G388" s="114"/>
      <c r="H388" s="288"/>
    </row>
    <row r="389" spans="1:8" s="315" customFormat="1" ht="15.75" customHeight="1">
      <c r="A389" s="289" t="s">
        <v>14340</v>
      </c>
      <c r="B389" s="290" t="s">
        <v>7751</v>
      </c>
      <c r="C389" s="290"/>
      <c r="D389" s="290"/>
      <c r="E389" s="290"/>
      <c r="F389" s="290"/>
      <c r="G389" s="290"/>
      <c r="H389" s="291"/>
    </row>
    <row r="390" spans="1:8" s="315" customFormat="1" ht="15.75" customHeight="1">
      <c r="A390" s="292" t="s">
        <v>6</v>
      </c>
      <c r="B390" s="293" t="s">
        <v>7050</v>
      </c>
      <c r="C390" s="294" t="s">
        <v>7049</v>
      </c>
      <c r="D390" s="295" t="s">
        <v>24</v>
      </c>
      <c r="E390" s="296" t="s">
        <v>7046</v>
      </c>
      <c r="F390" s="293" t="s">
        <v>254</v>
      </c>
      <c r="G390" s="293" t="s">
        <v>7047</v>
      </c>
      <c r="H390" s="297" t="s">
        <v>7048</v>
      </c>
    </row>
    <row r="391" spans="1:8" s="315" customFormat="1" ht="15.75" customHeight="1">
      <c r="A391" s="120" t="s">
        <v>7</v>
      </c>
      <c r="B391" s="298">
        <v>44720</v>
      </c>
      <c r="C391" s="165" t="s">
        <v>13125</v>
      </c>
      <c r="D391" s="113" t="s">
        <v>40</v>
      </c>
      <c r="E391" s="59">
        <v>36.083333333333336</v>
      </c>
      <c r="F391" s="165" t="s">
        <v>13183</v>
      </c>
      <c r="G391" s="165" t="s">
        <v>13126</v>
      </c>
      <c r="H391" s="299" t="s">
        <v>27602</v>
      </c>
    </row>
    <row r="392" spans="1:8" s="315" customFormat="1" ht="15.75" customHeight="1">
      <c r="A392" s="120" t="s">
        <v>50</v>
      </c>
      <c r="B392" s="298">
        <v>44721</v>
      </c>
      <c r="C392" s="165" t="s">
        <v>13127</v>
      </c>
      <c r="D392" s="113" t="s">
        <v>40</v>
      </c>
      <c r="E392" s="59">
        <v>47.5</v>
      </c>
      <c r="F392" s="165" t="s">
        <v>13184</v>
      </c>
      <c r="G392" s="165" t="s">
        <v>13128</v>
      </c>
      <c r="H392" s="299" t="s">
        <v>13129</v>
      </c>
    </row>
    <row r="393" spans="1:8" s="315" customFormat="1" ht="15.75" customHeight="1">
      <c r="A393" s="120" t="s">
        <v>52</v>
      </c>
      <c r="B393" s="298">
        <v>44721</v>
      </c>
      <c r="C393" s="165" t="s">
        <v>13185</v>
      </c>
      <c r="D393" s="113" t="s">
        <v>40</v>
      </c>
      <c r="E393" s="59">
        <v>60</v>
      </c>
      <c r="F393" s="165" t="s">
        <v>13186</v>
      </c>
      <c r="G393" s="165" t="s">
        <v>13187</v>
      </c>
      <c r="H393" s="299" t="s">
        <v>27349</v>
      </c>
    </row>
    <row r="394" spans="1:8" s="315" customFormat="1" ht="15.75" customHeight="1" thickBot="1">
      <c r="A394" s="300" t="str">
        <f>CONCATENATE("MEDIANA - ",A389)</f>
        <v>MEDIANA - COT57</v>
      </c>
      <c r="B394" s="115"/>
      <c r="C394" s="115"/>
      <c r="D394" s="301"/>
      <c r="E394" s="150">
        <f>MEDIAN(E391:E393)</f>
        <v>47.5</v>
      </c>
      <c r="F394" s="301"/>
      <c r="G394" s="301"/>
      <c r="H394" s="302"/>
    </row>
    <row r="395" spans="1:8" s="315" customFormat="1" ht="15.75" customHeight="1" thickBot="1">
      <c r="A395" s="272"/>
      <c r="B395" s="114"/>
      <c r="C395" s="114"/>
      <c r="D395" s="114"/>
      <c r="E395" s="114"/>
      <c r="F395" s="114"/>
      <c r="G395" s="114"/>
      <c r="H395" s="288"/>
    </row>
    <row r="396" spans="1:8" s="315" customFormat="1" ht="15.75" customHeight="1">
      <c r="A396" s="289" t="s">
        <v>14341</v>
      </c>
      <c r="B396" s="290" t="s">
        <v>7752</v>
      </c>
      <c r="C396" s="290"/>
      <c r="D396" s="290"/>
      <c r="E396" s="290"/>
      <c r="F396" s="290"/>
      <c r="G396" s="290"/>
      <c r="H396" s="291"/>
    </row>
    <row r="397" spans="1:8" s="315" customFormat="1" ht="15.75" customHeight="1">
      <c r="A397" s="292" t="s">
        <v>6</v>
      </c>
      <c r="B397" s="293" t="s">
        <v>7050</v>
      </c>
      <c r="C397" s="294" t="s">
        <v>7049</v>
      </c>
      <c r="D397" s="295" t="s">
        <v>24</v>
      </c>
      <c r="E397" s="296" t="s">
        <v>7046</v>
      </c>
      <c r="F397" s="293" t="s">
        <v>254</v>
      </c>
      <c r="G397" s="293" t="s">
        <v>7047</v>
      </c>
      <c r="H397" s="297" t="s">
        <v>7048</v>
      </c>
    </row>
    <row r="398" spans="1:8" s="315" customFormat="1" ht="15.75" customHeight="1">
      <c r="A398" s="120" t="s">
        <v>7</v>
      </c>
      <c r="B398" s="298">
        <v>44720</v>
      </c>
      <c r="C398" s="165" t="s">
        <v>13125</v>
      </c>
      <c r="D398" s="113" t="s">
        <v>40</v>
      </c>
      <c r="E398" s="59">
        <v>24.623333333333335</v>
      </c>
      <c r="F398" s="165" t="s">
        <v>13183</v>
      </c>
      <c r="G398" s="165" t="s">
        <v>13126</v>
      </c>
      <c r="H398" s="299" t="s">
        <v>27602</v>
      </c>
    </row>
    <row r="399" spans="1:8" s="315" customFormat="1" ht="15.75" customHeight="1">
      <c r="A399" s="120" t="s">
        <v>50</v>
      </c>
      <c r="B399" s="298">
        <v>44721</v>
      </c>
      <c r="C399" s="165" t="s">
        <v>13127</v>
      </c>
      <c r="D399" s="113" t="s">
        <v>40</v>
      </c>
      <c r="E399" s="59">
        <v>25.83</v>
      </c>
      <c r="F399" s="165" t="s">
        <v>13184</v>
      </c>
      <c r="G399" s="165" t="s">
        <v>13128</v>
      </c>
      <c r="H399" s="299" t="s">
        <v>13129</v>
      </c>
    </row>
    <row r="400" spans="1:8" s="315" customFormat="1" ht="15.75" customHeight="1">
      <c r="A400" s="120" t="s">
        <v>52</v>
      </c>
      <c r="B400" s="298">
        <v>44721</v>
      </c>
      <c r="C400" s="165" t="s">
        <v>13185</v>
      </c>
      <c r="D400" s="113" t="s">
        <v>40</v>
      </c>
      <c r="E400" s="59">
        <v>33.33</v>
      </c>
      <c r="F400" s="165" t="s">
        <v>13186</v>
      </c>
      <c r="G400" s="165" t="s">
        <v>13187</v>
      </c>
      <c r="H400" s="299" t="s">
        <v>13188</v>
      </c>
    </row>
    <row r="401" spans="1:8" s="315" customFormat="1" ht="15.75" customHeight="1" thickBot="1">
      <c r="A401" s="300" t="str">
        <f>CONCATENATE("MEDIANA - ",A396)</f>
        <v>MEDIANA - COT58</v>
      </c>
      <c r="B401" s="115"/>
      <c r="C401" s="115"/>
      <c r="D401" s="301"/>
      <c r="E401" s="150">
        <f>MEDIAN(E398:E400)</f>
        <v>25.83</v>
      </c>
      <c r="F401" s="301"/>
      <c r="G401" s="301"/>
      <c r="H401" s="302"/>
    </row>
    <row r="402" spans="1:8" s="315" customFormat="1" ht="15.75" customHeight="1" thickBot="1">
      <c r="A402" s="272"/>
      <c r="B402" s="114"/>
      <c r="C402" s="114"/>
      <c r="D402" s="114"/>
      <c r="E402" s="114"/>
      <c r="F402" s="114"/>
      <c r="G402" s="114"/>
      <c r="H402" s="288"/>
    </row>
    <row r="403" spans="1:8" s="315" customFormat="1" ht="15.75" customHeight="1">
      <c r="A403" s="289" t="s">
        <v>14342</v>
      </c>
      <c r="B403" s="294" t="s">
        <v>27820</v>
      </c>
      <c r="C403" s="290"/>
      <c r="D403" s="290"/>
      <c r="E403" s="290"/>
      <c r="F403" s="290"/>
      <c r="G403" s="290"/>
      <c r="H403" s="291"/>
    </row>
    <row r="404" spans="1:8" s="315" customFormat="1" ht="15.75" customHeight="1">
      <c r="A404" s="292" t="s">
        <v>6</v>
      </c>
      <c r="B404" s="293" t="s">
        <v>7050</v>
      </c>
      <c r="C404" s="294" t="s">
        <v>7049</v>
      </c>
      <c r="D404" s="295" t="s">
        <v>24</v>
      </c>
      <c r="E404" s="296" t="s">
        <v>7046</v>
      </c>
      <c r="F404" s="293" t="s">
        <v>254</v>
      </c>
      <c r="G404" s="293" t="s">
        <v>7047</v>
      </c>
      <c r="H404" s="297" t="s">
        <v>7048</v>
      </c>
    </row>
    <row r="405" spans="1:8" s="315" customFormat="1" ht="15.75" customHeight="1">
      <c r="A405" s="120" t="s">
        <v>7</v>
      </c>
      <c r="B405" s="164">
        <v>44726</v>
      </c>
      <c r="C405" s="166" t="s">
        <v>27291</v>
      </c>
      <c r="D405" s="60" t="s">
        <v>24</v>
      </c>
      <c r="E405" s="321">
        <v>61.74</v>
      </c>
      <c r="F405" s="306">
        <v>8006377246</v>
      </c>
      <c r="G405" s="322" t="s">
        <v>27327</v>
      </c>
      <c r="H405" s="303" t="s">
        <v>27821</v>
      </c>
    </row>
    <row r="406" spans="1:8" s="315" customFormat="1" ht="15.75" customHeight="1">
      <c r="A406" s="120" t="s">
        <v>50</v>
      </c>
      <c r="B406" s="298">
        <v>44721</v>
      </c>
      <c r="C406" s="165" t="s">
        <v>13127</v>
      </c>
      <c r="D406" s="113" t="s">
        <v>40</v>
      </c>
      <c r="E406" s="59">
        <v>23.166</v>
      </c>
      <c r="F406" s="165" t="s">
        <v>13184</v>
      </c>
      <c r="G406" s="165" t="s">
        <v>13128</v>
      </c>
      <c r="H406" s="299" t="s">
        <v>13129</v>
      </c>
    </row>
    <row r="407" spans="1:8" s="315" customFormat="1" ht="15.75" customHeight="1">
      <c r="A407" s="120" t="s">
        <v>52</v>
      </c>
      <c r="B407" s="298">
        <v>44721</v>
      </c>
      <c r="C407" s="165" t="s">
        <v>13185</v>
      </c>
      <c r="D407" s="113" t="s">
        <v>40</v>
      </c>
      <c r="E407" s="59">
        <v>36.659999999999997</v>
      </c>
      <c r="F407" s="165" t="s">
        <v>13186</v>
      </c>
      <c r="G407" s="165" t="s">
        <v>27822</v>
      </c>
      <c r="H407" s="299" t="s">
        <v>13189</v>
      </c>
    </row>
    <row r="408" spans="1:8" s="315" customFormat="1" ht="15.75" customHeight="1" thickBot="1">
      <c r="A408" s="300" t="str">
        <f>CONCATENATE("MEDIANA - ",A403)</f>
        <v>MEDIANA - COT59</v>
      </c>
      <c r="B408" s="115"/>
      <c r="C408" s="115"/>
      <c r="D408" s="301"/>
      <c r="E408" s="150">
        <f>MEDIAN(E405:E407)</f>
        <v>36.659999999999997</v>
      </c>
      <c r="F408" s="301"/>
      <c r="G408" s="301"/>
      <c r="H408" s="302"/>
    </row>
    <row r="409" spans="1:8" s="315" customFormat="1" ht="15.75" customHeight="1" thickBot="1">
      <c r="A409" s="272"/>
      <c r="B409" s="114"/>
      <c r="C409" s="114"/>
      <c r="D409" s="114"/>
      <c r="E409" s="114"/>
      <c r="F409" s="114"/>
      <c r="G409" s="114"/>
      <c r="H409" s="288"/>
    </row>
    <row r="410" spans="1:8" s="315" customFormat="1" ht="15.75" customHeight="1">
      <c r="A410" s="289" t="s">
        <v>14343</v>
      </c>
      <c r="B410" s="290" t="s">
        <v>13074</v>
      </c>
      <c r="C410" s="290"/>
      <c r="D410" s="290"/>
      <c r="E410" s="290"/>
      <c r="F410" s="290"/>
      <c r="G410" s="290"/>
      <c r="H410" s="291"/>
    </row>
    <row r="411" spans="1:8" s="315" customFormat="1" ht="15.75" customHeight="1">
      <c r="A411" s="292" t="s">
        <v>6</v>
      </c>
      <c r="B411" s="293" t="s">
        <v>7050</v>
      </c>
      <c r="C411" s="294" t="s">
        <v>7049</v>
      </c>
      <c r="D411" s="295" t="s">
        <v>24</v>
      </c>
      <c r="E411" s="296" t="s">
        <v>7046</v>
      </c>
      <c r="F411" s="293" t="s">
        <v>254</v>
      </c>
      <c r="G411" s="293" t="s">
        <v>7047</v>
      </c>
      <c r="H411" s="297" t="s">
        <v>7048</v>
      </c>
    </row>
    <row r="412" spans="1:8" s="315" customFormat="1" ht="15.75" customHeight="1">
      <c r="A412" s="120" t="s">
        <v>7</v>
      </c>
      <c r="B412" s="298">
        <v>44720</v>
      </c>
      <c r="C412" s="165" t="s">
        <v>13075</v>
      </c>
      <c r="D412" s="113" t="s">
        <v>13079</v>
      </c>
      <c r="E412" s="59">
        <v>550</v>
      </c>
      <c r="F412" s="165" t="s">
        <v>13076</v>
      </c>
      <c r="G412" s="165" t="s">
        <v>13077</v>
      </c>
      <c r="H412" s="299" t="s">
        <v>13078</v>
      </c>
    </row>
    <row r="413" spans="1:8" s="315" customFormat="1" ht="15.75" customHeight="1">
      <c r="A413" s="120" t="s">
        <v>50</v>
      </c>
      <c r="B413" s="298">
        <v>44721</v>
      </c>
      <c r="C413" s="165" t="s">
        <v>13190</v>
      </c>
      <c r="D413" s="113" t="s">
        <v>13079</v>
      </c>
      <c r="E413" s="59">
        <v>550</v>
      </c>
      <c r="F413" s="165" t="s">
        <v>13191</v>
      </c>
      <c r="G413" s="165" t="s">
        <v>13192</v>
      </c>
      <c r="H413" s="299" t="s">
        <v>13193</v>
      </c>
    </row>
    <row r="414" spans="1:8" s="315" customFormat="1" ht="15.75" customHeight="1">
      <c r="A414" s="120" t="s">
        <v>52</v>
      </c>
      <c r="B414" s="298">
        <v>44714</v>
      </c>
      <c r="C414" s="165" t="s">
        <v>27603</v>
      </c>
      <c r="D414" s="113" t="s">
        <v>13079</v>
      </c>
      <c r="E414" s="59">
        <v>700</v>
      </c>
      <c r="F414" s="165" t="s">
        <v>27604</v>
      </c>
      <c r="G414" s="165" t="s">
        <v>27605</v>
      </c>
      <c r="H414" s="299" t="s">
        <v>27606</v>
      </c>
    </row>
    <row r="415" spans="1:8" s="315" customFormat="1" ht="15.75" customHeight="1" thickBot="1">
      <c r="A415" s="300" t="str">
        <f>CONCATENATE("MEDIANA - ",A410)</f>
        <v>MEDIANA - COT60</v>
      </c>
      <c r="B415" s="115"/>
      <c r="C415" s="115"/>
      <c r="D415" s="301"/>
      <c r="E415" s="150">
        <f>MEDIAN(E412:E414)</f>
        <v>550</v>
      </c>
      <c r="F415" s="301"/>
      <c r="G415" s="301"/>
      <c r="H415" s="302"/>
    </row>
    <row r="416" spans="1:8" s="315" customFormat="1" ht="15.75" customHeight="1" thickBot="1">
      <c r="A416" s="272"/>
      <c r="B416" s="114"/>
      <c r="C416" s="114"/>
      <c r="D416" s="114"/>
      <c r="E416" s="114"/>
      <c r="F416" s="114"/>
      <c r="G416" s="114"/>
      <c r="H416" s="288"/>
    </row>
    <row r="417" spans="1:8" s="315" customFormat="1" ht="15.75" customHeight="1">
      <c r="A417" s="289" t="s">
        <v>14344</v>
      </c>
      <c r="B417" s="290" t="s">
        <v>13210</v>
      </c>
      <c r="C417" s="290"/>
      <c r="D417" s="290"/>
      <c r="E417" s="290"/>
      <c r="F417" s="290"/>
      <c r="G417" s="290"/>
      <c r="H417" s="291"/>
    </row>
    <row r="418" spans="1:8" s="315" customFormat="1" ht="15.75" customHeight="1">
      <c r="A418" s="292" t="s">
        <v>6</v>
      </c>
      <c r="B418" s="293" t="s">
        <v>7050</v>
      </c>
      <c r="C418" s="294" t="s">
        <v>7049</v>
      </c>
      <c r="D418" s="295" t="s">
        <v>24</v>
      </c>
      <c r="E418" s="296" t="s">
        <v>7046</v>
      </c>
      <c r="F418" s="293" t="s">
        <v>254</v>
      </c>
      <c r="G418" s="293" t="s">
        <v>7047</v>
      </c>
      <c r="H418" s="297" t="s">
        <v>7048</v>
      </c>
    </row>
    <row r="419" spans="1:8" s="315" customFormat="1" ht="15.75" customHeight="1">
      <c r="A419" s="120" t="s">
        <v>7</v>
      </c>
      <c r="B419" s="298">
        <v>44719</v>
      </c>
      <c r="C419" s="165" t="s">
        <v>13206</v>
      </c>
      <c r="D419" s="113" t="s">
        <v>40</v>
      </c>
      <c r="E419" s="59">
        <v>220</v>
      </c>
      <c r="F419" s="165" t="s">
        <v>13207</v>
      </c>
      <c r="G419" s="165" t="s">
        <v>13208</v>
      </c>
      <c r="H419" s="299" t="s">
        <v>13209</v>
      </c>
    </row>
    <row r="420" spans="1:8" s="315" customFormat="1" ht="15.75" customHeight="1">
      <c r="A420" s="120" t="s">
        <v>50</v>
      </c>
      <c r="B420" s="298">
        <v>44721</v>
      </c>
      <c r="C420" s="165" t="s">
        <v>13282</v>
      </c>
      <c r="D420" s="113" t="s">
        <v>32</v>
      </c>
      <c r="E420" s="59">
        <v>175.85</v>
      </c>
      <c r="F420" s="165" t="s">
        <v>27269</v>
      </c>
      <c r="G420" s="165" t="s">
        <v>14203</v>
      </c>
      <c r="H420" s="303" t="s">
        <v>27607</v>
      </c>
    </row>
    <row r="421" spans="1:8" s="315" customFormat="1" ht="15.75" customHeight="1">
      <c r="A421" s="120" t="s">
        <v>52</v>
      </c>
      <c r="B421" s="298">
        <v>44729</v>
      </c>
      <c r="C421" s="166" t="s">
        <v>27291</v>
      </c>
      <c r="D421" s="60" t="s">
        <v>24</v>
      </c>
      <c r="E421" s="321">
        <v>177.19</v>
      </c>
      <c r="F421" s="306">
        <v>8006377246</v>
      </c>
      <c r="G421" s="322" t="s">
        <v>27327</v>
      </c>
      <c r="H421" s="303" t="s">
        <v>27823</v>
      </c>
    </row>
    <row r="422" spans="1:8" s="315" customFormat="1" ht="15.75" customHeight="1" thickBot="1">
      <c r="A422" s="300" t="str">
        <f>CONCATENATE("MEDIANA - ",A417)</f>
        <v>MEDIANA - COT61</v>
      </c>
      <c r="B422" s="115"/>
      <c r="C422" s="115"/>
      <c r="D422" s="301"/>
      <c r="E422" s="150">
        <f>MEDIAN(E419:E421)</f>
        <v>177.19</v>
      </c>
      <c r="F422" s="301"/>
      <c r="G422" s="301"/>
      <c r="H422" s="302"/>
    </row>
    <row r="423" spans="1:8" s="315" customFormat="1" ht="15.75" customHeight="1" thickBot="1">
      <c r="A423" s="272"/>
      <c r="B423" s="114"/>
      <c r="C423" s="114"/>
      <c r="D423" s="114"/>
      <c r="E423" s="114"/>
      <c r="F423" s="114"/>
      <c r="G423" s="114"/>
      <c r="H423" s="288"/>
    </row>
    <row r="424" spans="1:8" s="315" customFormat="1" ht="15.75" customHeight="1">
      <c r="A424" s="289" t="s">
        <v>14345</v>
      </c>
      <c r="B424" s="290" t="s">
        <v>13283</v>
      </c>
      <c r="C424" s="290"/>
      <c r="D424" s="290"/>
      <c r="E424" s="290"/>
      <c r="F424" s="290"/>
      <c r="G424" s="290"/>
      <c r="H424" s="291"/>
    </row>
    <row r="425" spans="1:8" s="315" customFormat="1" ht="15.75" customHeight="1">
      <c r="A425" s="292" t="s">
        <v>6</v>
      </c>
      <c r="B425" s="293" t="s">
        <v>7050</v>
      </c>
      <c r="C425" s="294" t="s">
        <v>7049</v>
      </c>
      <c r="D425" s="295" t="s">
        <v>24</v>
      </c>
      <c r="E425" s="296" t="s">
        <v>7046</v>
      </c>
      <c r="F425" s="293" t="s">
        <v>254</v>
      </c>
      <c r="G425" s="293" t="s">
        <v>7047</v>
      </c>
      <c r="H425" s="297" t="s">
        <v>7048</v>
      </c>
    </row>
    <row r="426" spans="1:8" s="315" customFormat="1" ht="15.75" customHeight="1">
      <c r="A426" s="120" t="s">
        <v>7</v>
      </c>
      <c r="B426" s="298">
        <v>44720</v>
      </c>
      <c r="C426" s="165" t="s">
        <v>13125</v>
      </c>
      <c r="D426" s="113" t="s">
        <v>40</v>
      </c>
      <c r="E426" s="59">
        <v>24.623333333333335</v>
      </c>
      <c r="F426" s="165" t="s">
        <v>13183</v>
      </c>
      <c r="G426" s="165" t="s">
        <v>13126</v>
      </c>
      <c r="H426" s="299" t="s">
        <v>27602</v>
      </c>
    </row>
    <row r="427" spans="1:8" s="315" customFormat="1" ht="15.75" customHeight="1">
      <c r="A427" s="120" t="s">
        <v>50</v>
      </c>
      <c r="B427" s="298">
        <v>44721</v>
      </c>
      <c r="C427" s="165" t="s">
        <v>13127</v>
      </c>
      <c r="D427" s="113" t="s">
        <v>40</v>
      </c>
      <c r="E427" s="59">
        <v>25.83</v>
      </c>
      <c r="F427" s="165" t="s">
        <v>13184</v>
      </c>
      <c r="G427" s="165" t="s">
        <v>13128</v>
      </c>
      <c r="H427" s="299" t="s">
        <v>13129</v>
      </c>
    </row>
    <row r="428" spans="1:8" s="315" customFormat="1" ht="15.75" customHeight="1">
      <c r="A428" s="120" t="s">
        <v>52</v>
      </c>
      <c r="B428" s="298">
        <v>44721</v>
      </c>
      <c r="C428" s="165" t="s">
        <v>13185</v>
      </c>
      <c r="D428" s="113" t="s">
        <v>40</v>
      </c>
      <c r="E428" s="59">
        <v>33.33</v>
      </c>
      <c r="F428" s="165" t="s">
        <v>13186</v>
      </c>
      <c r="G428" s="165" t="s">
        <v>13187</v>
      </c>
      <c r="H428" s="299" t="s">
        <v>27349</v>
      </c>
    </row>
    <row r="429" spans="1:8" s="315" customFormat="1" ht="15.75" customHeight="1" thickBot="1">
      <c r="A429" s="300" t="str">
        <f>CONCATENATE("MEDIANA - ",A424)</f>
        <v>MEDIANA - COT62</v>
      </c>
      <c r="B429" s="115"/>
      <c r="C429" s="115"/>
      <c r="D429" s="301"/>
      <c r="E429" s="150">
        <f>MEDIAN(E426:E428)</f>
        <v>25.83</v>
      </c>
      <c r="F429" s="301"/>
      <c r="G429" s="301"/>
      <c r="H429" s="302"/>
    </row>
    <row r="430" spans="1:8" s="315" customFormat="1" ht="15.75" customHeight="1" thickBot="1">
      <c r="A430" s="272"/>
      <c r="B430" s="114"/>
      <c r="C430" s="114"/>
      <c r="D430" s="114"/>
      <c r="E430" s="114"/>
      <c r="F430" s="114"/>
      <c r="G430" s="114"/>
      <c r="H430" s="288"/>
    </row>
    <row r="431" spans="1:8" s="315" customFormat="1" ht="15.75" customHeight="1">
      <c r="A431" s="289" t="s">
        <v>14346</v>
      </c>
      <c r="B431" s="290" t="s">
        <v>13135</v>
      </c>
      <c r="C431" s="290"/>
      <c r="D431" s="290"/>
      <c r="E431" s="290"/>
      <c r="F431" s="290"/>
      <c r="G431" s="290"/>
      <c r="H431" s="291"/>
    </row>
    <row r="432" spans="1:8" s="315" customFormat="1" ht="15.75" customHeight="1">
      <c r="A432" s="292" t="s">
        <v>6</v>
      </c>
      <c r="B432" s="293" t="s">
        <v>7050</v>
      </c>
      <c r="C432" s="294" t="s">
        <v>7049</v>
      </c>
      <c r="D432" s="295" t="s">
        <v>24</v>
      </c>
      <c r="E432" s="296" t="s">
        <v>7046</v>
      </c>
      <c r="F432" s="293" t="s">
        <v>254</v>
      </c>
      <c r="G432" s="293" t="s">
        <v>7047</v>
      </c>
      <c r="H432" s="297" t="s">
        <v>7048</v>
      </c>
    </row>
    <row r="433" spans="1:8" s="315" customFormat="1" ht="15.75" customHeight="1">
      <c r="A433" s="120" t="s">
        <v>7</v>
      </c>
      <c r="B433" s="298">
        <v>44720</v>
      </c>
      <c r="C433" s="165" t="s">
        <v>13125</v>
      </c>
      <c r="D433" s="113" t="s">
        <v>40</v>
      </c>
      <c r="E433" s="59">
        <v>36.083333333333336</v>
      </c>
      <c r="F433" s="165" t="s">
        <v>13183</v>
      </c>
      <c r="G433" s="165" t="s">
        <v>13126</v>
      </c>
      <c r="H433" s="299" t="s">
        <v>27602</v>
      </c>
    </row>
    <row r="434" spans="1:8" s="315" customFormat="1" ht="15.75" customHeight="1">
      <c r="A434" s="120" t="s">
        <v>50</v>
      </c>
      <c r="B434" s="298">
        <v>44721</v>
      </c>
      <c r="C434" s="165" t="s">
        <v>13127</v>
      </c>
      <c r="D434" s="113" t="s">
        <v>40</v>
      </c>
      <c r="E434" s="59">
        <v>47.5</v>
      </c>
      <c r="F434" s="165" t="s">
        <v>13184</v>
      </c>
      <c r="G434" s="165" t="s">
        <v>13128</v>
      </c>
      <c r="H434" s="299" t="s">
        <v>13129</v>
      </c>
    </row>
    <row r="435" spans="1:8" s="315" customFormat="1" ht="15.75" customHeight="1">
      <c r="A435" s="120" t="s">
        <v>52</v>
      </c>
      <c r="B435" s="298">
        <v>44721</v>
      </c>
      <c r="C435" s="165" t="s">
        <v>13185</v>
      </c>
      <c r="D435" s="113" t="s">
        <v>40</v>
      </c>
      <c r="E435" s="59">
        <v>60</v>
      </c>
      <c r="F435" s="165" t="s">
        <v>13186</v>
      </c>
      <c r="G435" s="165" t="s">
        <v>13187</v>
      </c>
      <c r="H435" s="299" t="s">
        <v>27349</v>
      </c>
    </row>
    <row r="436" spans="1:8" s="315" customFormat="1" ht="15.75" customHeight="1" thickBot="1">
      <c r="A436" s="300" t="str">
        <f>CONCATENATE("MEDIANA - ",A431)</f>
        <v>MEDIANA - COT63</v>
      </c>
      <c r="B436" s="115"/>
      <c r="C436" s="115"/>
      <c r="D436" s="301"/>
      <c r="E436" s="150">
        <f>MEDIAN(E433:E435)</f>
        <v>47.5</v>
      </c>
      <c r="F436" s="301"/>
      <c r="G436" s="301"/>
      <c r="H436" s="302"/>
    </row>
    <row r="437" spans="1:8" s="315" customFormat="1" ht="15.75" customHeight="1" thickBot="1">
      <c r="A437" s="272"/>
      <c r="B437" s="114"/>
      <c r="C437" s="114"/>
      <c r="D437" s="114"/>
      <c r="E437" s="114"/>
      <c r="F437" s="114"/>
      <c r="G437" s="114"/>
      <c r="H437" s="288"/>
    </row>
    <row r="438" spans="1:8" s="315" customFormat="1" ht="15.75" customHeight="1">
      <c r="A438" s="289" t="s">
        <v>14347</v>
      </c>
      <c r="B438" s="290" t="s">
        <v>13136</v>
      </c>
      <c r="C438" s="290"/>
      <c r="D438" s="290"/>
      <c r="E438" s="290"/>
      <c r="F438" s="290"/>
      <c r="G438" s="290"/>
      <c r="H438" s="291"/>
    </row>
    <row r="439" spans="1:8" s="315" customFormat="1" ht="15.75" customHeight="1">
      <c r="A439" s="292" t="s">
        <v>6</v>
      </c>
      <c r="B439" s="293" t="s">
        <v>7050</v>
      </c>
      <c r="C439" s="294" t="s">
        <v>7049</v>
      </c>
      <c r="D439" s="295" t="s">
        <v>24</v>
      </c>
      <c r="E439" s="296" t="s">
        <v>7046</v>
      </c>
      <c r="F439" s="293" t="s">
        <v>254</v>
      </c>
      <c r="G439" s="293" t="s">
        <v>7047</v>
      </c>
      <c r="H439" s="297" t="s">
        <v>7048</v>
      </c>
    </row>
    <row r="440" spans="1:8" s="315" customFormat="1" ht="15.75" customHeight="1">
      <c r="A440" s="120" t="s">
        <v>7</v>
      </c>
      <c r="B440" s="164">
        <v>44726</v>
      </c>
      <c r="C440" s="166" t="s">
        <v>27291</v>
      </c>
      <c r="D440" s="60" t="s">
        <v>24</v>
      </c>
      <c r="E440" s="321">
        <v>61.74</v>
      </c>
      <c r="F440" s="306">
        <v>8006377246</v>
      </c>
      <c r="G440" s="322" t="s">
        <v>27327</v>
      </c>
      <c r="H440" s="303" t="s">
        <v>27821</v>
      </c>
    </row>
    <row r="441" spans="1:8" s="315" customFormat="1" ht="15.75" customHeight="1">
      <c r="A441" s="120" t="s">
        <v>50</v>
      </c>
      <c r="B441" s="298">
        <v>44721</v>
      </c>
      <c r="C441" s="165" t="s">
        <v>13127</v>
      </c>
      <c r="D441" s="113" t="s">
        <v>40</v>
      </c>
      <c r="E441" s="59">
        <v>23.166</v>
      </c>
      <c r="F441" s="165" t="s">
        <v>13184</v>
      </c>
      <c r="G441" s="165" t="s">
        <v>13128</v>
      </c>
      <c r="H441" s="299" t="s">
        <v>13129</v>
      </c>
    </row>
    <row r="442" spans="1:8" s="315" customFormat="1" ht="15.75" customHeight="1">
      <c r="A442" s="120" t="s">
        <v>52</v>
      </c>
      <c r="B442" s="298">
        <v>44721</v>
      </c>
      <c r="C442" s="165" t="s">
        <v>13185</v>
      </c>
      <c r="D442" s="113" t="s">
        <v>40</v>
      </c>
      <c r="E442" s="59">
        <v>36.659999999999997</v>
      </c>
      <c r="F442" s="165" t="s">
        <v>13186</v>
      </c>
      <c r="G442" s="165" t="s">
        <v>13187</v>
      </c>
      <c r="H442" s="299" t="s">
        <v>13189</v>
      </c>
    </row>
    <row r="443" spans="1:8" s="315" customFormat="1" ht="15.75" customHeight="1" thickBot="1">
      <c r="A443" s="300" t="str">
        <f>CONCATENATE("MEDIANA - ",A438)</f>
        <v>MEDIANA - COT64</v>
      </c>
      <c r="B443" s="115"/>
      <c r="C443" s="115"/>
      <c r="D443" s="301"/>
      <c r="E443" s="150">
        <f>MEDIAN(E440:E442)</f>
        <v>36.659999999999997</v>
      </c>
      <c r="F443" s="301"/>
      <c r="G443" s="301"/>
      <c r="H443" s="302"/>
    </row>
    <row r="444" spans="1:8" s="315" customFormat="1" ht="15.75" customHeight="1" thickBot="1">
      <c r="A444" s="272"/>
      <c r="B444" s="114"/>
      <c r="C444" s="114"/>
      <c r="D444" s="114"/>
      <c r="E444" s="114"/>
      <c r="F444" s="114"/>
      <c r="G444" s="114"/>
      <c r="H444" s="288"/>
    </row>
    <row r="445" spans="1:8" s="315" customFormat="1" ht="15.75" customHeight="1">
      <c r="A445" s="289" t="s">
        <v>14348</v>
      </c>
      <c r="B445" s="290" t="s">
        <v>13139</v>
      </c>
      <c r="C445" s="290"/>
      <c r="D445" s="290"/>
      <c r="E445" s="290"/>
      <c r="F445" s="290"/>
      <c r="G445" s="290"/>
      <c r="H445" s="291"/>
    </row>
    <row r="446" spans="1:8" s="315" customFormat="1" ht="15.75" customHeight="1">
      <c r="A446" s="292" t="s">
        <v>6</v>
      </c>
      <c r="B446" s="293" t="s">
        <v>7050</v>
      </c>
      <c r="C446" s="294" t="s">
        <v>7049</v>
      </c>
      <c r="D446" s="295" t="s">
        <v>24</v>
      </c>
      <c r="E446" s="296" t="s">
        <v>7046</v>
      </c>
      <c r="F446" s="293" t="s">
        <v>254</v>
      </c>
      <c r="G446" s="293" t="s">
        <v>7047</v>
      </c>
      <c r="H446" s="297" t="s">
        <v>7048</v>
      </c>
    </row>
    <row r="447" spans="1:8" s="315" customFormat="1" ht="15.75" customHeight="1">
      <c r="A447" s="120" t="s">
        <v>7</v>
      </c>
      <c r="B447" s="298">
        <v>44722</v>
      </c>
      <c r="C447" s="165" t="s">
        <v>13125</v>
      </c>
      <c r="D447" s="113" t="s">
        <v>40</v>
      </c>
      <c r="E447" s="59">
        <v>48.473333333333329</v>
      </c>
      <c r="F447" s="165" t="s">
        <v>13183</v>
      </c>
      <c r="G447" s="165" t="s">
        <v>13126</v>
      </c>
      <c r="H447" s="299" t="s">
        <v>27602</v>
      </c>
    </row>
    <row r="448" spans="1:8" s="315" customFormat="1" ht="15.75" customHeight="1">
      <c r="A448" s="120" t="s">
        <v>50</v>
      </c>
      <c r="B448" s="298">
        <v>44721</v>
      </c>
      <c r="C448" s="165" t="s">
        <v>13127</v>
      </c>
      <c r="D448" s="113" t="s">
        <v>40</v>
      </c>
      <c r="E448" s="59">
        <v>44.166666666666664</v>
      </c>
      <c r="F448" s="165" t="s">
        <v>13184</v>
      </c>
      <c r="G448" s="165" t="s">
        <v>13128</v>
      </c>
      <c r="H448" s="299" t="s">
        <v>13129</v>
      </c>
    </row>
    <row r="449" spans="1:8" s="315" customFormat="1" ht="15.75" customHeight="1">
      <c r="A449" s="120" t="s">
        <v>52</v>
      </c>
      <c r="B449" s="298">
        <v>44721</v>
      </c>
      <c r="C449" s="165" t="s">
        <v>13185</v>
      </c>
      <c r="D449" s="113" t="s">
        <v>40</v>
      </c>
      <c r="E449" s="59">
        <v>70</v>
      </c>
      <c r="F449" s="165" t="s">
        <v>13186</v>
      </c>
      <c r="G449" s="165" t="s">
        <v>13187</v>
      </c>
      <c r="H449" s="299" t="s">
        <v>27349</v>
      </c>
    </row>
    <row r="450" spans="1:8" s="315" customFormat="1" ht="15.75" customHeight="1" thickBot="1">
      <c r="A450" s="300" t="str">
        <f>CONCATENATE("MEDIANA - ",A445)</f>
        <v>MEDIANA - COT65</v>
      </c>
      <c r="B450" s="115"/>
      <c r="C450" s="115"/>
      <c r="D450" s="301"/>
      <c r="E450" s="150">
        <f>MEDIAN(E447:E449)</f>
        <v>48.473333333333329</v>
      </c>
      <c r="F450" s="301"/>
      <c r="G450" s="301"/>
      <c r="H450" s="302"/>
    </row>
    <row r="451" spans="1:8" s="315" customFormat="1" ht="15.75" customHeight="1" thickBot="1">
      <c r="A451" s="272"/>
      <c r="B451" s="114"/>
      <c r="C451" s="114"/>
      <c r="D451" s="114"/>
      <c r="E451" s="114"/>
      <c r="F451" s="114"/>
      <c r="G451" s="114"/>
      <c r="H451" s="288"/>
    </row>
    <row r="452" spans="1:8" s="315" customFormat="1" ht="15.75" customHeight="1">
      <c r="A452" s="323" t="s">
        <v>14349</v>
      </c>
      <c r="B452" s="290" t="s">
        <v>27824</v>
      </c>
      <c r="C452" s="290"/>
      <c r="D452" s="290"/>
      <c r="E452" s="290"/>
      <c r="F452" s="290"/>
      <c r="G452" s="290"/>
      <c r="H452" s="291"/>
    </row>
    <row r="453" spans="1:8" s="315" customFormat="1" ht="15.75" customHeight="1">
      <c r="A453" s="292" t="s">
        <v>6</v>
      </c>
      <c r="B453" s="293" t="s">
        <v>7050</v>
      </c>
      <c r="C453" s="294" t="s">
        <v>7049</v>
      </c>
      <c r="D453" s="295" t="s">
        <v>24</v>
      </c>
      <c r="E453" s="296" t="s">
        <v>7046</v>
      </c>
      <c r="F453" s="293" t="s">
        <v>254</v>
      </c>
      <c r="G453" s="293" t="s">
        <v>7047</v>
      </c>
      <c r="H453" s="297" t="s">
        <v>7048</v>
      </c>
    </row>
    <row r="454" spans="1:8" s="315" customFormat="1" ht="30" customHeight="1">
      <c r="A454" s="120" t="s">
        <v>7</v>
      </c>
      <c r="B454" s="327">
        <v>44725</v>
      </c>
      <c r="C454" s="165" t="s">
        <v>7242</v>
      </c>
      <c r="D454" s="113" t="s">
        <v>32</v>
      </c>
      <c r="E454" s="148">
        <v>826.88</v>
      </c>
      <c r="F454" s="328" t="s">
        <v>27268</v>
      </c>
      <c r="G454" s="165" t="s">
        <v>13281</v>
      </c>
      <c r="H454" s="329" t="s">
        <v>27758</v>
      </c>
    </row>
    <row r="455" spans="1:8" s="315" customFormat="1" ht="38.25" customHeight="1">
      <c r="A455" s="120" t="s">
        <v>50</v>
      </c>
      <c r="B455" s="327">
        <v>44725</v>
      </c>
      <c r="C455" s="165" t="s">
        <v>27329</v>
      </c>
      <c r="D455" s="113" t="s">
        <v>32</v>
      </c>
      <c r="E455" s="148">
        <v>940.35</v>
      </c>
      <c r="F455" s="328" t="s">
        <v>27269</v>
      </c>
      <c r="G455" s="165" t="s">
        <v>14203</v>
      </c>
      <c r="H455" s="330" t="s">
        <v>27759</v>
      </c>
    </row>
    <row r="456" spans="1:8" s="315" customFormat="1" ht="15.75" customHeight="1">
      <c r="A456" s="120" t="s">
        <v>52</v>
      </c>
      <c r="B456" s="327">
        <v>44725</v>
      </c>
      <c r="C456" s="165" t="s">
        <v>14202</v>
      </c>
      <c r="D456" s="113" t="s">
        <v>32</v>
      </c>
      <c r="E456" s="148">
        <v>975.14</v>
      </c>
      <c r="F456" s="117" t="s">
        <v>27453</v>
      </c>
      <c r="G456" s="165" t="s">
        <v>27761</v>
      </c>
      <c r="H456" s="329" t="s">
        <v>27760</v>
      </c>
    </row>
    <row r="457" spans="1:8" s="315" customFormat="1" ht="15.75" customHeight="1" thickBot="1">
      <c r="A457" s="300" t="str">
        <f>CONCATENATE("MEDIANA - ",A452)</f>
        <v>MEDIANA - COT66</v>
      </c>
      <c r="B457" s="115"/>
      <c r="C457" s="115"/>
      <c r="D457" s="301"/>
      <c r="E457" s="150">
        <f>MEDIAN(E454:E456)</f>
        <v>940.35</v>
      </c>
      <c r="F457" s="301"/>
      <c r="G457" s="301"/>
      <c r="H457" s="302"/>
    </row>
    <row r="458" spans="1:8" s="315" customFormat="1" ht="15.75" customHeight="1" thickBot="1">
      <c r="A458" s="272"/>
      <c r="B458" s="114"/>
      <c r="C458" s="114"/>
      <c r="D458" s="114"/>
      <c r="E458" s="114"/>
      <c r="F458" s="114"/>
      <c r="G458" s="114"/>
      <c r="H458" s="288"/>
    </row>
    <row r="459" spans="1:8" ht="15.75" customHeight="1" thickBot="1">
      <c r="A459" s="285" t="s">
        <v>7057</v>
      </c>
      <c r="B459" s="286"/>
      <c r="C459" s="286"/>
      <c r="D459" s="286"/>
      <c r="E459" s="286"/>
      <c r="F459" s="286"/>
      <c r="G459" s="286"/>
      <c r="H459" s="287"/>
    </row>
    <row r="460" spans="1:8" ht="15.75" customHeight="1" thickBot="1">
      <c r="A460" s="282"/>
      <c r="B460" s="283"/>
      <c r="C460" s="283"/>
      <c r="D460" s="283"/>
      <c r="E460" s="283"/>
      <c r="F460" s="283"/>
      <c r="G460" s="283"/>
      <c r="H460" s="284"/>
    </row>
    <row r="461" spans="1:8" ht="15.75" customHeight="1">
      <c r="A461" s="289" t="s">
        <v>14350</v>
      </c>
      <c r="B461" s="290" t="s">
        <v>125</v>
      </c>
      <c r="C461" s="290"/>
      <c r="D461" s="290"/>
      <c r="E461" s="290"/>
      <c r="F461" s="290"/>
      <c r="G461" s="290"/>
      <c r="H461" s="291"/>
    </row>
    <row r="462" spans="1:8" ht="15.75" customHeight="1">
      <c r="A462" s="292" t="s">
        <v>6</v>
      </c>
      <c r="B462" s="293" t="s">
        <v>7050</v>
      </c>
      <c r="C462" s="294" t="s">
        <v>7049</v>
      </c>
      <c r="D462" s="295" t="s">
        <v>24</v>
      </c>
      <c r="E462" s="296" t="s">
        <v>7046</v>
      </c>
      <c r="F462" s="293" t="s">
        <v>254</v>
      </c>
      <c r="G462" s="293" t="s">
        <v>7047</v>
      </c>
      <c r="H462" s="297" t="s">
        <v>7048</v>
      </c>
    </row>
    <row r="463" spans="1:8" ht="15.75" customHeight="1">
      <c r="A463" s="120" t="s">
        <v>7</v>
      </c>
      <c r="B463" s="298">
        <v>44710</v>
      </c>
      <c r="C463" s="165" t="s">
        <v>27350</v>
      </c>
      <c r="D463" s="113" t="s">
        <v>24</v>
      </c>
      <c r="E463" s="318">
        <v>986.3</v>
      </c>
      <c r="F463" s="299" t="s">
        <v>27351</v>
      </c>
      <c r="G463" s="320" t="s">
        <v>27352</v>
      </c>
      <c r="H463" s="303" t="s">
        <v>27353</v>
      </c>
    </row>
    <row r="464" spans="1:8" ht="15.75" customHeight="1">
      <c r="A464" s="120" t="s">
        <v>50</v>
      </c>
      <c r="B464" s="298">
        <v>44718</v>
      </c>
      <c r="C464" s="165" t="s">
        <v>13274</v>
      </c>
      <c r="D464" s="113" t="s">
        <v>24</v>
      </c>
      <c r="E464" s="59">
        <v>1109.8599999999999</v>
      </c>
      <c r="F464" s="299" t="s">
        <v>27608</v>
      </c>
      <c r="G464" s="165" t="s">
        <v>13275</v>
      </c>
      <c r="H464" s="299" t="s">
        <v>27609</v>
      </c>
    </row>
    <row r="465" spans="1:8" ht="15.75" customHeight="1">
      <c r="A465" s="120" t="s">
        <v>52</v>
      </c>
      <c r="B465" s="298">
        <v>44718</v>
      </c>
      <c r="C465" s="165" t="s">
        <v>13282</v>
      </c>
      <c r="D465" s="113" t="s">
        <v>24</v>
      </c>
      <c r="E465" s="59">
        <v>1171.52</v>
      </c>
      <c r="F465" s="165">
        <v>40034848</v>
      </c>
      <c r="G465" s="320" t="s">
        <v>14203</v>
      </c>
      <c r="H465" s="299" t="s">
        <v>27610</v>
      </c>
    </row>
    <row r="466" spans="1:8" ht="15.75" customHeight="1" thickBot="1">
      <c r="A466" s="300" t="str">
        <f>CONCATENATE("MEDIANA - ",A461)</f>
        <v>MEDIANA - COT68</v>
      </c>
      <c r="B466" s="115"/>
      <c r="C466" s="115"/>
      <c r="D466" s="301"/>
      <c r="E466" s="150">
        <f>MEDIAN(E463:E465)</f>
        <v>1109.8599999999999</v>
      </c>
      <c r="F466" s="301"/>
      <c r="G466" s="301"/>
      <c r="H466" s="302"/>
    </row>
    <row r="467" spans="1:8" ht="15.75" customHeight="1" thickBot="1">
      <c r="A467" s="282"/>
      <c r="B467" s="283"/>
      <c r="C467" s="283"/>
      <c r="D467" s="283"/>
      <c r="E467" s="283"/>
      <c r="F467" s="283"/>
      <c r="G467" s="283"/>
      <c r="H467" s="284"/>
    </row>
    <row r="468" spans="1:8" ht="15.75" customHeight="1">
      <c r="A468" s="289" t="s">
        <v>14351</v>
      </c>
      <c r="B468" s="290" t="s">
        <v>257</v>
      </c>
      <c r="C468" s="290"/>
      <c r="D468" s="290"/>
      <c r="E468" s="290"/>
      <c r="F468" s="290"/>
      <c r="G468" s="290"/>
      <c r="H468" s="291"/>
    </row>
    <row r="469" spans="1:8" ht="15.75" customHeight="1">
      <c r="A469" s="292" t="s">
        <v>6</v>
      </c>
      <c r="B469" s="293" t="s">
        <v>7050</v>
      </c>
      <c r="C469" s="294" t="s">
        <v>7049</v>
      </c>
      <c r="D469" s="295" t="s">
        <v>24</v>
      </c>
      <c r="E469" s="296" t="s">
        <v>7046</v>
      </c>
      <c r="F469" s="293" t="s">
        <v>254</v>
      </c>
      <c r="G469" s="293" t="s">
        <v>7047</v>
      </c>
      <c r="H469" s="297" t="s">
        <v>7048</v>
      </c>
    </row>
    <row r="470" spans="1:8" ht="15.75" customHeight="1">
      <c r="A470" s="120" t="s">
        <v>7</v>
      </c>
      <c r="B470" s="298">
        <v>44710</v>
      </c>
      <c r="C470" s="331" t="s">
        <v>27354</v>
      </c>
      <c r="D470" s="113" t="s">
        <v>24</v>
      </c>
      <c r="E470" s="59">
        <v>53.32</v>
      </c>
      <c r="F470" s="165" t="s">
        <v>27355</v>
      </c>
      <c r="G470" s="165" t="s">
        <v>27356</v>
      </c>
      <c r="H470" s="332" t="s">
        <v>27357</v>
      </c>
    </row>
    <row r="471" spans="1:8" ht="15.75" customHeight="1">
      <c r="A471" s="120" t="s">
        <v>50</v>
      </c>
      <c r="B471" s="298">
        <v>44718</v>
      </c>
      <c r="C471" s="331" t="s">
        <v>27611</v>
      </c>
      <c r="D471" s="113" t="s">
        <v>24</v>
      </c>
      <c r="E471" s="59">
        <v>87.7</v>
      </c>
      <c r="F471" s="165" t="s">
        <v>27612</v>
      </c>
      <c r="G471" s="165" t="s">
        <v>27613</v>
      </c>
      <c r="H471" s="333" t="s">
        <v>27614</v>
      </c>
    </row>
    <row r="472" spans="1:8" ht="15.75" customHeight="1">
      <c r="A472" s="120" t="s">
        <v>52</v>
      </c>
      <c r="B472" s="298">
        <v>44718</v>
      </c>
      <c r="C472" s="331" t="s">
        <v>27615</v>
      </c>
      <c r="D472" s="113" t="s">
        <v>24</v>
      </c>
      <c r="E472" s="59">
        <v>89.539999999999992</v>
      </c>
      <c r="F472" s="165" t="s">
        <v>27616</v>
      </c>
      <c r="G472" s="165" t="s">
        <v>27617</v>
      </c>
      <c r="H472" s="333" t="s">
        <v>27618</v>
      </c>
    </row>
    <row r="473" spans="1:8" ht="15.75" customHeight="1" thickBot="1">
      <c r="A473" s="300" t="str">
        <f>CONCATENATE("MEDIANA - ",A468)</f>
        <v>MEDIANA - COT69</v>
      </c>
      <c r="B473" s="115"/>
      <c r="C473" s="115"/>
      <c r="D473" s="301"/>
      <c r="E473" s="150">
        <f>MEDIAN(E470:E472)</f>
        <v>87.7</v>
      </c>
      <c r="F473" s="301"/>
      <c r="G473" s="301"/>
      <c r="H473" s="302"/>
    </row>
    <row r="474" spans="1:8" ht="15.75" customHeight="1" thickBot="1">
      <c r="A474" s="282"/>
      <c r="B474" s="283"/>
      <c r="C474" s="283"/>
      <c r="D474" s="283"/>
      <c r="E474" s="283"/>
      <c r="F474" s="283"/>
      <c r="G474" s="283"/>
      <c r="H474" s="284"/>
    </row>
    <row r="475" spans="1:8" ht="15.75" customHeight="1">
      <c r="A475" s="289" t="s">
        <v>14352</v>
      </c>
      <c r="B475" s="290" t="s">
        <v>258</v>
      </c>
      <c r="C475" s="290"/>
      <c r="D475" s="290"/>
      <c r="E475" s="290"/>
      <c r="F475" s="290"/>
      <c r="G475" s="290"/>
      <c r="H475" s="291"/>
    </row>
    <row r="476" spans="1:8" ht="15.75" customHeight="1">
      <c r="A476" s="292" t="s">
        <v>6</v>
      </c>
      <c r="B476" s="293" t="s">
        <v>7050</v>
      </c>
      <c r="C476" s="294" t="s">
        <v>7049</v>
      </c>
      <c r="D476" s="295" t="s">
        <v>24</v>
      </c>
      <c r="E476" s="296" t="s">
        <v>7046</v>
      </c>
      <c r="F476" s="293" t="s">
        <v>254</v>
      </c>
      <c r="G476" s="293" t="s">
        <v>7047</v>
      </c>
      <c r="H476" s="297" t="s">
        <v>7048</v>
      </c>
    </row>
    <row r="477" spans="1:8" ht="15.75" customHeight="1">
      <c r="A477" s="120" t="s">
        <v>7</v>
      </c>
      <c r="B477" s="298">
        <v>44710</v>
      </c>
      <c r="C477" s="165" t="s">
        <v>27354</v>
      </c>
      <c r="D477" s="113" t="s">
        <v>24</v>
      </c>
      <c r="E477" s="59">
        <v>53.32</v>
      </c>
      <c r="F477" s="165" t="s">
        <v>27355</v>
      </c>
      <c r="G477" s="165" t="s">
        <v>27356</v>
      </c>
      <c r="H477" s="303" t="s">
        <v>27357</v>
      </c>
    </row>
    <row r="478" spans="1:8" ht="15.75" customHeight="1">
      <c r="A478" s="120" t="s">
        <v>50</v>
      </c>
      <c r="B478" s="298">
        <v>44718</v>
      </c>
      <c r="C478" s="165" t="s">
        <v>27611</v>
      </c>
      <c r="D478" s="113" t="s">
        <v>24</v>
      </c>
      <c r="E478" s="59">
        <f>59.9+27.8</f>
        <v>87.7</v>
      </c>
      <c r="F478" s="165" t="s">
        <v>27612</v>
      </c>
      <c r="G478" s="165" t="s">
        <v>27613</v>
      </c>
      <c r="H478" s="299" t="s">
        <v>27614</v>
      </c>
    </row>
    <row r="479" spans="1:8" ht="15.75" customHeight="1">
      <c r="A479" s="120" t="s">
        <v>52</v>
      </c>
      <c r="B479" s="298">
        <v>44718</v>
      </c>
      <c r="C479" s="165" t="s">
        <v>27825</v>
      </c>
      <c r="D479" s="113" t="s">
        <v>24</v>
      </c>
      <c r="E479" s="59">
        <f>40.54+49</f>
        <v>89.539999999999992</v>
      </c>
      <c r="F479" s="165" t="s">
        <v>27616</v>
      </c>
      <c r="G479" s="334" t="s">
        <v>27617</v>
      </c>
      <c r="H479" s="299" t="s">
        <v>27618</v>
      </c>
    </row>
    <row r="480" spans="1:8" ht="15.75" customHeight="1" thickBot="1">
      <c r="A480" s="300" t="str">
        <f>CONCATENATE("MEDIANA - ",A475)</f>
        <v>MEDIANA - COT70</v>
      </c>
      <c r="B480" s="115"/>
      <c r="C480" s="115"/>
      <c r="D480" s="301"/>
      <c r="E480" s="150">
        <f>MEDIAN(E477:E479)</f>
        <v>87.7</v>
      </c>
      <c r="F480" s="301"/>
      <c r="G480" s="301"/>
      <c r="H480" s="302"/>
    </row>
    <row r="481" spans="1:8" ht="15.75" customHeight="1" thickBot="1">
      <c r="A481" s="282"/>
      <c r="B481" s="283"/>
      <c r="C481" s="283"/>
      <c r="D481" s="283"/>
      <c r="E481" s="283"/>
      <c r="F481" s="283"/>
      <c r="G481" s="283"/>
      <c r="H481" s="284"/>
    </row>
    <row r="482" spans="1:8" ht="15.75" customHeight="1">
      <c r="A482" s="289" t="s">
        <v>14353</v>
      </c>
      <c r="B482" s="290" t="s">
        <v>132</v>
      </c>
      <c r="C482" s="290"/>
      <c r="D482" s="290"/>
      <c r="E482" s="290"/>
      <c r="F482" s="290"/>
      <c r="G482" s="290"/>
      <c r="H482" s="291"/>
    </row>
    <row r="483" spans="1:8" ht="15.75" customHeight="1">
      <c r="A483" s="292" t="s">
        <v>6</v>
      </c>
      <c r="B483" s="293" t="s">
        <v>7050</v>
      </c>
      <c r="C483" s="294" t="s">
        <v>7049</v>
      </c>
      <c r="D483" s="295" t="s">
        <v>24</v>
      </c>
      <c r="E483" s="296" t="s">
        <v>7046</v>
      </c>
      <c r="F483" s="293" t="s">
        <v>254</v>
      </c>
      <c r="G483" s="293" t="s">
        <v>7047</v>
      </c>
      <c r="H483" s="297" t="s">
        <v>7048</v>
      </c>
    </row>
    <row r="484" spans="1:8" ht="15.75" customHeight="1">
      <c r="A484" s="120" t="s">
        <v>7</v>
      </c>
      <c r="B484" s="298">
        <v>44710</v>
      </c>
      <c r="C484" s="165" t="s">
        <v>13274</v>
      </c>
      <c r="D484" s="113" t="s">
        <v>24</v>
      </c>
      <c r="E484" s="57">
        <v>444.7</v>
      </c>
      <c r="F484" s="166" t="s">
        <v>27309</v>
      </c>
      <c r="G484" s="165" t="s">
        <v>13275</v>
      </c>
      <c r="H484" s="317" t="s">
        <v>27360</v>
      </c>
    </row>
    <row r="485" spans="1:8" ht="15.75" customHeight="1">
      <c r="A485" s="120" t="s">
        <v>50</v>
      </c>
      <c r="B485" s="298">
        <v>44710</v>
      </c>
      <c r="C485" s="166" t="s">
        <v>27291</v>
      </c>
      <c r="D485" s="113" t="s">
        <v>24</v>
      </c>
      <c r="E485" s="318">
        <v>388.63</v>
      </c>
      <c r="F485" s="299">
        <v>8006377246</v>
      </c>
      <c r="G485" s="320" t="s">
        <v>27327</v>
      </c>
      <c r="H485" s="317" t="s">
        <v>27361</v>
      </c>
    </row>
    <row r="486" spans="1:8" ht="15.75" customHeight="1">
      <c r="A486" s="120" t="s">
        <v>52</v>
      </c>
      <c r="B486" s="298">
        <v>44710</v>
      </c>
      <c r="C486" s="165" t="s">
        <v>13282</v>
      </c>
      <c r="D486" s="113" t="s">
        <v>24</v>
      </c>
      <c r="E486" s="59">
        <v>457.03</v>
      </c>
      <c r="F486" s="165" t="s">
        <v>27269</v>
      </c>
      <c r="G486" s="165" t="s">
        <v>27270</v>
      </c>
      <c r="H486" s="303" t="s">
        <v>27362</v>
      </c>
    </row>
    <row r="487" spans="1:8" ht="15.75" customHeight="1" thickBot="1">
      <c r="A487" s="300" t="str">
        <f>CONCATENATE("MEDIANA - ",A482)</f>
        <v>MEDIANA - COT71</v>
      </c>
      <c r="B487" s="115"/>
      <c r="C487" s="115"/>
      <c r="D487" s="301"/>
      <c r="E487" s="150">
        <f>MEDIAN(E484:E486)</f>
        <v>444.7</v>
      </c>
      <c r="F487" s="301"/>
      <c r="G487" s="301"/>
      <c r="H487" s="302"/>
    </row>
    <row r="488" spans="1:8" ht="15.75" customHeight="1" thickBot="1">
      <c r="A488" s="282"/>
      <c r="B488" s="283"/>
      <c r="C488" s="283"/>
      <c r="D488" s="283"/>
      <c r="E488" s="283"/>
      <c r="F488" s="283"/>
      <c r="G488" s="283"/>
      <c r="H488" s="284"/>
    </row>
    <row r="489" spans="1:8" ht="15.75" customHeight="1">
      <c r="A489" s="289" t="s">
        <v>14354</v>
      </c>
      <c r="B489" s="290" t="s">
        <v>337</v>
      </c>
      <c r="C489" s="290"/>
      <c r="D489" s="290"/>
      <c r="E489" s="290"/>
      <c r="F489" s="290"/>
      <c r="G489" s="290"/>
      <c r="H489" s="291"/>
    </row>
    <row r="490" spans="1:8" ht="15.75" customHeight="1">
      <c r="A490" s="292" t="s">
        <v>6</v>
      </c>
      <c r="B490" s="293" t="s">
        <v>7050</v>
      </c>
      <c r="C490" s="294" t="s">
        <v>7049</v>
      </c>
      <c r="D490" s="295" t="s">
        <v>24</v>
      </c>
      <c r="E490" s="296" t="s">
        <v>7046</v>
      </c>
      <c r="F490" s="293" t="s">
        <v>254</v>
      </c>
      <c r="G490" s="293" t="s">
        <v>7047</v>
      </c>
      <c r="H490" s="297" t="s">
        <v>7048</v>
      </c>
    </row>
    <row r="491" spans="1:8" ht="15.75" customHeight="1">
      <c r="A491" s="120" t="s">
        <v>7</v>
      </c>
      <c r="B491" s="298">
        <v>44710</v>
      </c>
      <c r="C491" s="165" t="s">
        <v>27363</v>
      </c>
      <c r="D491" s="113" t="s">
        <v>24</v>
      </c>
      <c r="E491" s="59">
        <v>242.24</v>
      </c>
      <c r="F491" s="165" t="s">
        <v>27364</v>
      </c>
      <c r="G491" s="165" t="s">
        <v>27365</v>
      </c>
      <c r="H491" s="299" t="s">
        <v>27366</v>
      </c>
    </row>
    <row r="492" spans="1:8" ht="15.75" customHeight="1">
      <c r="A492" s="120" t="s">
        <v>50</v>
      </c>
      <c r="B492" s="298">
        <v>44710</v>
      </c>
      <c r="C492" s="165" t="s">
        <v>13274</v>
      </c>
      <c r="D492" s="60" t="s">
        <v>32</v>
      </c>
      <c r="E492" s="59">
        <v>237.68</v>
      </c>
      <c r="F492" s="166" t="s">
        <v>27309</v>
      </c>
      <c r="G492" s="165" t="s">
        <v>13275</v>
      </c>
      <c r="H492" s="303" t="s">
        <v>27367</v>
      </c>
    </row>
    <row r="493" spans="1:8" ht="15.75" customHeight="1">
      <c r="A493" s="120" t="s">
        <v>52</v>
      </c>
      <c r="B493" s="298">
        <v>44710</v>
      </c>
      <c r="C493" s="165" t="s">
        <v>27368</v>
      </c>
      <c r="D493" s="113" t="s">
        <v>24</v>
      </c>
      <c r="E493" s="59">
        <v>290.82</v>
      </c>
      <c r="F493" s="165" t="s">
        <v>27369</v>
      </c>
      <c r="G493" s="165" t="s">
        <v>27370</v>
      </c>
      <c r="H493" s="303" t="s">
        <v>27371</v>
      </c>
    </row>
    <row r="494" spans="1:8" ht="15.75" customHeight="1" thickBot="1">
      <c r="A494" s="300" t="str">
        <f>CONCATENATE("MEDIANA - ",A489)</f>
        <v>MEDIANA - COT73</v>
      </c>
      <c r="B494" s="115"/>
      <c r="C494" s="115"/>
      <c r="D494" s="301"/>
      <c r="E494" s="150">
        <f>MEDIAN(E491:E493)</f>
        <v>242.24</v>
      </c>
      <c r="F494" s="301"/>
      <c r="G494" s="301"/>
      <c r="H494" s="302"/>
    </row>
    <row r="495" spans="1:8" ht="15.75" customHeight="1" thickBot="1">
      <c r="A495" s="282"/>
      <c r="B495" s="283"/>
      <c r="C495" s="283"/>
      <c r="D495" s="283"/>
      <c r="E495" s="283"/>
      <c r="F495" s="283"/>
      <c r="G495" s="283"/>
      <c r="H495" s="284"/>
    </row>
    <row r="496" spans="1:8" ht="15.75" customHeight="1">
      <c r="A496" s="289" t="s">
        <v>14355</v>
      </c>
      <c r="B496" s="294" t="s">
        <v>27826</v>
      </c>
      <c r="C496" s="290"/>
      <c r="D496" s="290"/>
      <c r="E496" s="290"/>
      <c r="F496" s="290"/>
      <c r="G496" s="290"/>
      <c r="H496" s="291"/>
    </row>
    <row r="497" spans="1:8" ht="15.75" customHeight="1">
      <c r="A497" s="292" t="s">
        <v>6</v>
      </c>
      <c r="B497" s="293" t="s">
        <v>7050</v>
      </c>
      <c r="C497" s="294" t="s">
        <v>7049</v>
      </c>
      <c r="D497" s="295" t="s">
        <v>24</v>
      </c>
      <c r="E497" s="296" t="s">
        <v>7046</v>
      </c>
      <c r="F497" s="293" t="s">
        <v>254</v>
      </c>
      <c r="G497" s="293" t="s">
        <v>7047</v>
      </c>
      <c r="H497" s="297" t="s">
        <v>7048</v>
      </c>
    </row>
    <row r="498" spans="1:8" ht="15.75" customHeight="1">
      <c r="A498" s="120" t="s">
        <v>7</v>
      </c>
      <c r="B498" s="298">
        <v>44710</v>
      </c>
      <c r="C498" s="165" t="s">
        <v>27354</v>
      </c>
      <c r="D498" s="113" t="s">
        <v>24</v>
      </c>
      <c r="E498" s="59">
        <v>302.25</v>
      </c>
      <c r="F498" s="165" t="s">
        <v>27355</v>
      </c>
      <c r="G498" s="165" t="s">
        <v>27356</v>
      </c>
      <c r="H498" s="303" t="s">
        <v>27372</v>
      </c>
    </row>
    <row r="499" spans="1:8" ht="15.75" customHeight="1">
      <c r="A499" s="120" t="s">
        <v>50</v>
      </c>
      <c r="B499" s="298">
        <v>44718</v>
      </c>
      <c r="C499" s="165" t="s">
        <v>27619</v>
      </c>
      <c r="D499" s="113" t="s">
        <v>24</v>
      </c>
      <c r="E499" s="59">
        <v>243.72</v>
      </c>
      <c r="F499" s="335" t="s">
        <v>27620</v>
      </c>
      <c r="G499" s="165" t="s">
        <v>27621</v>
      </c>
      <c r="H499" s="299" t="s">
        <v>27622</v>
      </c>
    </row>
    <row r="500" spans="1:8" ht="15.75" customHeight="1">
      <c r="A500" s="120" t="s">
        <v>52</v>
      </c>
      <c r="B500" s="298">
        <v>44710</v>
      </c>
      <c r="C500" s="166" t="s">
        <v>27291</v>
      </c>
      <c r="D500" s="113" t="s">
        <v>24</v>
      </c>
      <c r="E500" s="318">
        <v>320.60000000000002</v>
      </c>
      <c r="F500" s="299">
        <v>8006377246</v>
      </c>
      <c r="G500" s="320" t="s">
        <v>27327</v>
      </c>
      <c r="H500" s="303" t="s">
        <v>27373</v>
      </c>
    </row>
    <row r="501" spans="1:8" ht="15.75" customHeight="1" thickBot="1">
      <c r="A501" s="300" t="str">
        <f>CONCATENATE("MEDIANA - ",A496)</f>
        <v>MEDIANA - COT74</v>
      </c>
      <c r="B501" s="115"/>
      <c r="C501" s="115"/>
      <c r="D501" s="301"/>
      <c r="E501" s="150">
        <f>MEDIAN(E498:E500)</f>
        <v>302.25</v>
      </c>
      <c r="F501" s="301"/>
      <c r="G501" s="301"/>
      <c r="H501" s="302"/>
    </row>
    <row r="502" spans="1:8" ht="15.75" customHeight="1" thickBot="1">
      <c r="A502" s="282"/>
      <c r="B502" s="283"/>
      <c r="C502" s="283"/>
      <c r="D502" s="283"/>
      <c r="E502" s="283"/>
      <c r="F502" s="283"/>
      <c r="G502" s="283"/>
      <c r="H502" s="284"/>
    </row>
    <row r="503" spans="1:8" ht="15.75" customHeight="1">
      <c r="A503" s="289" t="s">
        <v>14356</v>
      </c>
      <c r="B503" s="290" t="s">
        <v>149</v>
      </c>
      <c r="C503" s="290"/>
      <c r="D503" s="290"/>
      <c r="E503" s="290"/>
      <c r="F503" s="290"/>
      <c r="G503" s="290"/>
      <c r="H503" s="291"/>
    </row>
    <row r="504" spans="1:8" ht="15.75" customHeight="1">
      <c r="A504" s="292" t="s">
        <v>6</v>
      </c>
      <c r="B504" s="293" t="s">
        <v>7050</v>
      </c>
      <c r="C504" s="294" t="s">
        <v>7049</v>
      </c>
      <c r="D504" s="295" t="s">
        <v>24</v>
      </c>
      <c r="E504" s="296" t="s">
        <v>7046</v>
      </c>
      <c r="F504" s="293" t="s">
        <v>254</v>
      </c>
      <c r="G504" s="293" t="s">
        <v>7047</v>
      </c>
      <c r="H504" s="297" t="s">
        <v>7048</v>
      </c>
    </row>
    <row r="505" spans="1:8" ht="15.75" customHeight="1">
      <c r="A505" s="120" t="s">
        <v>7</v>
      </c>
      <c r="B505" s="298">
        <v>44714</v>
      </c>
      <c r="C505" s="165" t="s">
        <v>7099</v>
      </c>
      <c r="D505" s="113" t="s">
        <v>24</v>
      </c>
      <c r="E505" s="59">
        <v>10.46</v>
      </c>
      <c r="F505" s="165" t="s">
        <v>7100</v>
      </c>
      <c r="G505" s="165" t="s">
        <v>7101</v>
      </c>
      <c r="H505" s="299" t="s">
        <v>27623</v>
      </c>
    </row>
    <row r="506" spans="1:8" ht="15.75" customHeight="1">
      <c r="A506" s="120" t="s">
        <v>50</v>
      </c>
      <c r="B506" s="298">
        <v>44718</v>
      </c>
      <c r="C506" s="166" t="s">
        <v>27291</v>
      </c>
      <c r="D506" s="113" t="s">
        <v>24</v>
      </c>
      <c r="E506" s="59">
        <f>25.9/5</f>
        <v>5.18</v>
      </c>
      <c r="F506" s="165"/>
      <c r="G506" s="165" t="s">
        <v>27624</v>
      </c>
      <c r="H506" s="299" t="s">
        <v>27625</v>
      </c>
    </row>
    <row r="507" spans="1:8" ht="15.75" customHeight="1">
      <c r="A507" s="120" t="s">
        <v>52</v>
      </c>
      <c r="B507" s="298">
        <v>44718</v>
      </c>
      <c r="C507" s="165" t="s">
        <v>13274</v>
      </c>
      <c r="D507" s="60" t="s">
        <v>32</v>
      </c>
      <c r="E507" s="57">
        <f>142/10</f>
        <v>14.2</v>
      </c>
      <c r="F507" s="166" t="s">
        <v>27309</v>
      </c>
      <c r="G507" s="165" t="s">
        <v>13275</v>
      </c>
      <c r="H507" s="299" t="s">
        <v>27626</v>
      </c>
    </row>
    <row r="508" spans="1:8" ht="15.75" customHeight="1" thickBot="1">
      <c r="A508" s="300" t="str">
        <f>CONCATENATE("MEDIANA - ",A503)</f>
        <v>MEDIANA - COT75</v>
      </c>
      <c r="B508" s="115"/>
      <c r="C508" s="115"/>
      <c r="D508" s="301"/>
      <c r="E508" s="150">
        <f>MEDIAN(E505:E507)</f>
        <v>10.46</v>
      </c>
      <c r="F508" s="301"/>
      <c r="G508" s="301"/>
      <c r="H508" s="302"/>
    </row>
    <row r="509" spans="1:8" ht="15.75" customHeight="1" thickBot="1">
      <c r="A509" s="282"/>
      <c r="B509" s="283"/>
      <c r="C509" s="283"/>
      <c r="D509" s="283"/>
      <c r="E509" s="283"/>
      <c r="F509" s="283"/>
      <c r="G509" s="283"/>
      <c r="H509" s="284"/>
    </row>
    <row r="510" spans="1:8" ht="15.75" customHeight="1">
      <c r="A510" s="289" t="s">
        <v>14357</v>
      </c>
      <c r="B510" s="290" t="s">
        <v>151</v>
      </c>
      <c r="C510" s="290"/>
      <c r="D510" s="290"/>
      <c r="E510" s="290"/>
      <c r="F510" s="290"/>
      <c r="G510" s="290"/>
      <c r="H510" s="291"/>
    </row>
    <row r="511" spans="1:8" ht="15.75" customHeight="1">
      <c r="A511" s="292" t="s">
        <v>6</v>
      </c>
      <c r="B511" s="293" t="s">
        <v>7050</v>
      </c>
      <c r="C511" s="294" t="s">
        <v>7049</v>
      </c>
      <c r="D511" s="295" t="s">
        <v>24</v>
      </c>
      <c r="E511" s="296" t="s">
        <v>7046</v>
      </c>
      <c r="F511" s="293" t="s">
        <v>254</v>
      </c>
      <c r="G511" s="293" t="s">
        <v>7047</v>
      </c>
      <c r="H511" s="297" t="s">
        <v>7048</v>
      </c>
    </row>
    <row r="512" spans="1:8" ht="15.75" customHeight="1">
      <c r="A512" s="120" t="s">
        <v>7</v>
      </c>
      <c r="B512" s="298">
        <v>44714</v>
      </c>
      <c r="C512" s="165" t="s">
        <v>7099</v>
      </c>
      <c r="D512" s="113" t="s">
        <v>24</v>
      </c>
      <c r="E512" s="59">
        <v>7.43</v>
      </c>
      <c r="F512" s="165" t="s">
        <v>7100</v>
      </c>
      <c r="G512" s="165" t="s">
        <v>7101</v>
      </c>
      <c r="H512" s="299" t="s">
        <v>27623</v>
      </c>
    </row>
    <row r="513" spans="1:8" ht="15.75" customHeight="1">
      <c r="A513" s="120" t="s">
        <v>50</v>
      </c>
      <c r="B513" s="298">
        <v>44718</v>
      </c>
      <c r="C513" s="165" t="s">
        <v>27825</v>
      </c>
      <c r="D513" s="113" t="s">
        <v>24</v>
      </c>
      <c r="E513" s="59">
        <v>10.8</v>
      </c>
      <c r="F513" s="165" t="s">
        <v>27448</v>
      </c>
      <c r="G513" s="165" t="s">
        <v>27617</v>
      </c>
      <c r="H513" s="303" t="s">
        <v>27827</v>
      </c>
    </row>
    <row r="514" spans="1:8" ht="15.75" customHeight="1">
      <c r="A514" s="120" t="s">
        <v>52</v>
      </c>
      <c r="B514" s="298">
        <v>44720</v>
      </c>
      <c r="C514" s="165" t="s">
        <v>7236</v>
      </c>
      <c r="D514" s="113" t="s">
        <v>24</v>
      </c>
      <c r="E514" s="59">
        <v>14.54</v>
      </c>
      <c r="F514" s="165" t="s">
        <v>27375</v>
      </c>
      <c r="G514" s="336" t="s">
        <v>27358</v>
      </c>
      <c r="H514" s="299" t="s">
        <v>27359</v>
      </c>
    </row>
    <row r="515" spans="1:8" ht="15.75" customHeight="1" thickBot="1">
      <c r="A515" s="300" t="str">
        <f>CONCATENATE("MEDIANA - ",A510)</f>
        <v>MEDIANA - COT76</v>
      </c>
      <c r="B515" s="115"/>
      <c r="C515" s="115"/>
      <c r="D515" s="301"/>
      <c r="E515" s="150">
        <f>MEDIAN(E512:E514)</f>
        <v>10.8</v>
      </c>
      <c r="F515" s="301"/>
      <c r="G515" s="301"/>
      <c r="H515" s="302"/>
    </row>
    <row r="516" spans="1:8" ht="15.75" customHeight="1" thickBot="1">
      <c r="A516" s="282"/>
      <c r="B516" s="283"/>
      <c r="C516" s="283"/>
      <c r="D516" s="283"/>
      <c r="E516" s="283"/>
      <c r="F516" s="283"/>
      <c r="G516" s="283"/>
      <c r="H516" s="284"/>
    </row>
    <row r="517" spans="1:8" ht="15.75" customHeight="1">
      <c r="A517" s="289" t="s">
        <v>14358</v>
      </c>
      <c r="B517" s="290" t="s">
        <v>150</v>
      </c>
      <c r="C517" s="290"/>
      <c r="D517" s="290"/>
      <c r="E517" s="290"/>
      <c r="F517" s="290"/>
      <c r="G517" s="290"/>
      <c r="H517" s="291"/>
    </row>
    <row r="518" spans="1:8" ht="15.75" customHeight="1">
      <c r="A518" s="292" t="s">
        <v>6</v>
      </c>
      <c r="B518" s="293" t="s">
        <v>7050</v>
      </c>
      <c r="C518" s="294" t="s">
        <v>7049</v>
      </c>
      <c r="D518" s="295" t="s">
        <v>24</v>
      </c>
      <c r="E518" s="296" t="s">
        <v>7046</v>
      </c>
      <c r="F518" s="293" t="s">
        <v>254</v>
      </c>
      <c r="G518" s="293" t="s">
        <v>7047</v>
      </c>
      <c r="H518" s="297" t="s">
        <v>7048</v>
      </c>
    </row>
    <row r="519" spans="1:8" ht="15.75" customHeight="1">
      <c r="A519" s="120" t="s">
        <v>7</v>
      </c>
      <c r="B519" s="298">
        <v>44714</v>
      </c>
      <c r="C519" s="165" t="s">
        <v>7099</v>
      </c>
      <c r="D519" s="113" t="s">
        <v>24</v>
      </c>
      <c r="E519" s="59">
        <v>7.43</v>
      </c>
      <c r="F519" s="165" t="s">
        <v>7100</v>
      </c>
      <c r="G519" s="165" t="s">
        <v>7101</v>
      </c>
      <c r="H519" s="299" t="s">
        <v>27623</v>
      </c>
    </row>
    <row r="520" spans="1:8" ht="15.75" customHeight="1">
      <c r="A520" s="120" t="s">
        <v>50</v>
      </c>
      <c r="B520" s="298">
        <v>44720</v>
      </c>
      <c r="C520" s="165" t="s">
        <v>27627</v>
      </c>
      <c r="D520" s="113" t="s">
        <v>24</v>
      </c>
      <c r="E520" s="59">
        <v>7.93</v>
      </c>
      <c r="F520" s="165" t="s">
        <v>27448</v>
      </c>
      <c r="G520" s="165" t="s">
        <v>27628</v>
      </c>
      <c r="H520" s="299" t="s">
        <v>27629</v>
      </c>
    </row>
    <row r="521" spans="1:8" ht="15.75" customHeight="1">
      <c r="A521" s="120" t="s">
        <v>52</v>
      </c>
      <c r="B521" s="298">
        <v>44720</v>
      </c>
      <c r="C521" s="165" t="s">
        <v>7236</v>
      </c>
      <c r="D521" s="113" t="s">
        <v>24</v>
      </c>
      <c r="E521" s="59">
        <v>13.59</v>
      </c>
      <c r="F521" s="165" t="s">
        <v>27375</v>
      </c>
      <c r="G521" s="165" t="s">
        <v>27358</v>
      </c>
      <c r="H521" s="299" t="s">
        <v>27359</v>
      </c>
    </row>
    <row r="522" spans="1:8" ht="15.75" customHeight="1" thickBot="1">
      <c r="A522" s="300" t="str">
        <f>CONCATENATE("MEDIANA - ",A517)</f>
        <v>MEDIANA - COT77</v>
      </c>
      <c r="B522" s="115"/>
      <c r="C522" s="115"/>
      <c r="D522" s="301"/>
      <c r="E522" s="150">
        <f>MEDIAN(E519:E521)</f>
        <v>7.93</v>
      </c>
      <c r="F522" s="301"/>
      <c r="G522" s="301"/>
      <c r="H522" s="302"/>
    </row>
    <row r="523" spans="1:8" ht="15.75" customHeight="1" thickBot="1">
      <c r="A523" s="282"/>
      <c r="B523" s="283"/>
      <c r="C523" s="283"/>
      <c r="D523" s="283"/>
      <c r="E523" s="283"/>
      <c r="F523" s="283"/>
      <c r="G523" s="283"/>
      <c r="H523" s="284"/>
    </row>
    <row r="524" spans="1:8" ht="15.75" customHeight="1">
      <c r="A524" s="289" t="s">
        <v>14359</v>
      </c>
      <c r="B524" s="290" t="s">
        <v>113</v>
      </c>
      <c r="C524" s="290"/>
      <c r="D524" s="290"/>
      <c r="E524" s="290"/>
      <c r="F524" s="290"/>
      <c r="G524" s="290"/>
      <c r="H524" s="291"/>
    </row>
    <row r="525" spans="1:8" ht="15.75" customHeight="1">
      <c r="A525" s="292" t="s">
        <v>6</v>
      </c>
      <c r="B525" s="293" t="s">
        <v>7050</v>
      </c>
      <c r="C525" s="294" t="s">
        <v>7049</v>
      </c>
      <c r="D525" s="295" t="s">
        <v>24</v>
      </c>
      <c r="E525" s="296" t="s">
        <v>7046</v>
      </c>
      <c r="F525" s="293" t="s">
        <v>254</v>
      </c>
      <c r="G525" s="293" t="s">
        <v>7047</v>
      </c>
      <c r="H525" s="297" t="s">
        <v>7048</v>
      </c>
    </row>
    <row r="526" spans="1:8" ht="15.75" customHeight="1">
      <c r="A526" s="120" t="s">
        <v>7</v>
      </c>
      <c r="B526" s="298">
        <v>44714</v>
      </c>
      <c r="C526" s="165" t="s">
        <v>7099</v>
      </c>
      <c r="D526" s="113" t="s">
        <v>24</v>
      </c>
      <c r="E526" s="59">
        <v>9.7100000000000009</v>
      </c>
      <c r="F526" s="165" t="s">
        <v>7100</v>
      </c>
      <c r="G526" s="165" t="s">
        <v>7101</v>
      </c>
      <c r="H526" s="299" t="s">
        <v>27623</v>
      </c>
    </row>
    <row r="527" spans="1:8" ht="15.75" customHeight="1">
      <c r="A527" s="120" t="s">
        <v>50</v>
      </c>
      <c r="B527" s="298">
        <v>44719</v>
      </c>
      <c r="C527" s="165" t="s">
        <v>27664</v>
      </c>
      <c r="D527" s="113" t="s">
        <v>24</v>
      </c>
      <c r="E527" s="59">
        <v>9.4</v>
      </c>
      <c r="F527" s="165" t="s">
        <v>13309</v>
      </c>
      <c r="G527" s="165" t="s">
        <v>13310</v>
      </c>
      <c r="H527" s="299" t="s">
        <v>27828</v>
      </c>
    </row>
    <row r="528" spans="1:8" ht="15.75" customHeight="1">
      <c r="A528" s="120" t="s">
        <v>52</v>
      </c>
      <c r="B528" s="298">
        <v>44720</v>
      </c>
      <c r="C528" s="165" t="s">
        <v>27632</v>
      </c>
      <c r="D528" s="113" t="s">
        <v>24</v>
      </c>
      <c r="E528" s="59">
        <v>13.59</v>
      </c>
      <c r="F528" s="165" t="s">
        <v>27375</v>
      </c>
      <c r="G528" s="165" t="s">
        <v>27358</v>
      </c>
      <c r="H528" s="299" t="s">
        <v>27359</v>
      </c>
    </row>
    <row r="529" spans="1:8" ht="15.75" customHeight="1" thickBot="1">
      <c r="A529" s="300" t="str">
        <f>CONCATENATE("MEDIANA - ",A524)</f>
        <v>MEDIANA - COT78</v>
      </c>
      <c r="B529" s="115"/>
      <c r="C529" s="115"/>
      <c r="D529" s="301"/>
      <c r="E529" s="150">
        <f>MEDIAN(E526:E528)</f>
        <v>9.7100000000000009</v>
      </c>
      <c r="F529" s="301"/>
      <c r="G529" s="301"/>
      <c r="H529" s="302"/>
    </row>
    <row r="530" spans="1:8" ht="15.75" customHeight="1" thickBot="1">
      <c r="A530" s="282"/>
      <c r="B530" s="283"/>
      <c r="C530" s="283"/>
      <c r="D530" s="283"/>
      <c r="E530" s="283"/>
      <c r="F530" s="283"/>
      <c r="G530" s="283"/>
      <c r="H530" s="284"/>
    </row>
    <row r="531" spans="1:8" ht="15.75" customHeight="1">
      <c r="A531" s="289" t="s">
        <v>14360</v>
      </c>
      <c r="B531" s="290" t="s">
        <v>7058</v>
      </c>
      <c r="C531" s="290"/>
      <c r="D531" s="290"/>
      <c r="E531" s="290"/>
      <c r="F531" s="290"/>
      <c r="G531" s="290"/>
      <c r="H531" s="291"/>
    </row>
    <row r="532" spans="1:8" ht="15.75" customHeight="1">
      <c r="A532" s="292" t="s">
        <v>6</v>
      </c>
      <c r="B532" s="293" t="s">
        <v>7050</v>
      </c>
      <c r="C532" s="294" t="s">
        <v>7049</v>
      </c>
      <c r="D532" s="295" t="s">
        <v>24</v>
      </c>
      <c r="E532" s="296" t="s">
        <v>7046</v>
      </c>
      <c r="F532" s="293" t="s">
        <v>254</v>
      </c>
      <c r="G532" s="293" t="s">
        <v>7047</v>
      </c>
      <c r="H532" s="297" t="s">
        <v>7048</v>
      </c>
    </row>
    <row r="533" spans="1:8" ht="15.75" customHeight="1">
      <c r="A533" s="120" t="s">
        <v>7</v>
      </c>
      <c r="B533" s="298">
        <v>44718</v>
      </c>
      <c r="C533" s="165" t="s">
        <v>7099</v>
      </c>
      <c r="D533" s="113" t="s">
        <v>24</v>
      </c>
      <c r="E533" s="59">
        <v>10.46</v>
      </c>
      <c r="F533" s="165" t="s">
        <v>7100</v>
      </c>
      <c r="G533" s="165" t="s">
        <v>7101</v>
      </c>
      <c r="H533" s="299" t="s">
        <v>27623</v>
      </c>
    </row>
    <row r="534" spans="1:8" ht="15.75" customHeight="1">
      <c r="A534" s="120" t="s">
        <v>50</v>
      </c>
      <c r="B534" s="298">
        <v>44720</v>
      </c>
      <c r="C534" s="165" t="s">
        <v>27627</v>
      </c>
      <c r="D534" s="113" t="s">
        <v>24</v>
      </c>
      <c r="E534" s="59">
        <v>7.87</v>
      </c>
      <c r="F534" s="165" t="s">
        <v>27448</v>
      </c>
      <c r="G534" s="165" t="s">
        <v>27628</v>
      </c>
      <c r="H534" s="299" t="s">
        <v>27630</v>
      </c>
    </row>
    <row r="535" spans="1:8" ht="15.75" customHeight="1">
      <c r="A535" s="120" t="s">
        <v>52</v>
      </c>
      <c r="B535" s="298">
        <v>44720</v>
      </c>
      <c r="C535" s="165" t="s">
        <v>7236</v>
      </c>
      <c r="D535" s="113" t="s">
        <v>24</v>
      </c>
      <c r="E535" s="59">
        <v>13.59</v>
      </c>
      <c r="F535" s="165" t="s">
        <v>27375</v>
      </c>
      <c r="G535" s="165" t="s">
        <v>27358</v>
      </c>
      <c r="H535" s="299" t="s">
        <v>27359</v>
      </c>
    </row>
    <row r="536" spans="1:8" ht="15.75" customHeight="1" thickBot="1">
      <c r="A536" s="300" t="str">
        <f>CONCATENATE("MEDIANA - ",A531)</f>
        <v>MEDIANA - COT79</v>
      </c>
      <c r="B536" s="115"/>
      <c r="C536" s="115"/>
      <c r="D536" s="301"/>
      <c r="E536" s="150">
        <f>MEDIAN(E533:E535)</f>
        <v>10.46</v>
      </c>
      <c r="F536" s="301"/>
      <c r="G536" s="301"/>
      <c r="H536" s="302"/>
    </row>
    <row r="537" spans="1:8" ht="15.75" customHeight="1" thickBot="1">
      <c r="A537" s="282"/>
      <c r="B537" s="283"/>
      <c r="C537" s="283"/>
      <c r="D537" s="283"/>
      <c r="E537" s="283"/>
      <c r="F537" s="283"/>
      <c r="G537" s="283"/>
      <c r="H537" s="284"/>
    </row>
    <row r="538" spans="1:8" ht="15.75" customHeight="1">
      <c r="A538" s="289" t="s">
        <v>14361</v>
      </c>
      <c r="B538" s="290" t="s">
        <v>152</v>
      </c>
      <c r="C538" s="290"/>
      <c r="D538" s="290"/>
      <c r="E538" s="290"/>
      <c r="F538" s="290"/>
      <c r="G538" s="290"/>
      <c r="H538" s="291"/>
    </row>
    <row r="539" spans="1:8" ht="15.75" customHeight="1">
      <c r="A539" s="292" t="s">
        <v>6</v>
      </c>
      <c r="B539" s="293" t="s">
        <v>7050</v>
      </c>
      <c r="C539" s="294" t="s">
        <v>7049</v>
      </c>
      <c r="D539" s="295" t="s">
        <v>24</v>
      </c>
      <c r="E539" s="296" t="s">
        <v>7046</v>
      </c>
      <c r="F539" s="293" t="s">
        <v>254</v>
      </c>
      <c r="G539" s="293" t="s">
        <v>7047</v>
      </c>
      <c r="H539" s="297" t="s">
        <v>7048</v>
      </c>
    </row>
    <row r="540" spans="1:8" ht="15.75" customHeight="1">
      <c r="A540" s="120" t="s">
        <v>7</v>
      </c>
      <c r="B540" s="298">
        <v>44714</v>
      </c>
      <c r="C540" s="165" t="s">
        <v>7099</v>
      </c>
      <c r="D540" s="113" t="s">
        <v>24</v>
      </c>
      <c r="E540" s="59">
        <v>10.46</v>
      </c>
      <c r="F540" s="165" t="s">
        <v>7100</v>
      </c>
      <c r="G540" s="165" t="s">
        <v>7101</v>
      </c>
      <c r="H540" s="299" t="s">
        <v>27623</v>
      </c>
    </row>
    <row r="541" spans="1:8" ht="15.75" customHeight="1">
      <c r="A541" s="120" t="s">
        <v>50</v>
      </c>
      <c r="B541" s="298">
        <v>44714</v>
      </c>
      <c r="C541" s="165" t="s">
        <v>13308</v>
      </c>
      <c r="D541" s="113" t="s">
        <v>24</v>
      </c>
      <c r="E541" s="59">
        <v>30.8</v>
      </c>
      <c r="F541" s="165" t="s">
        <v>13309</v>
      </c>
      <c r="G541" s="165" t="s">
        <v>13310</v>
      </c>
      <c r="H541" s="299" t="s">
        <v>27420</v>
      </c>
    </row>
    <row r="542" spans="1:8" ht="15.75" customHeight="1">
      <c r="A542" s="120" t="s">
        <v>52</v>
      </c>
      <c r="B542" s="298">
        <v>44720</v>
      </c>
      <c r="C542" s="165" t="s">
        <v>7236</v>
      </c>
      <c r="D542" s="113" t="s">
        <v>24</v>
      </c>
      <c r="E542" s="59">
        <v>14</v>
      </c>
      <c r="F542" s="165" t="s">
        <v>27375</v>
      </c>
      <c r="G542" s="165" t="s">
        <v>27358</v>
      </c>
      <c r="H542" s="299" t="s">
        <v>27359</v>
      </c>
    </row>
    <row r="543" spans="1:8" ht="15.75" customHeight="1" thickBot="1">
      <c r="A543" s="300" t="str">
        <f>CONCATENATE("MEDIANA - ",A538)</f>
        <v>MEDIANA - COT80</v>
      </c>
      <c r="B543" s="115"/>
      <c r="C543" s="115"/>
      <c r="D543" s="301"/>
      <c r="E543" s="150">
        <f>MEDIAN(E540:E542)</f>
        <v>14</v>
      </c>
      <c r="F543" s="301"/>
      <c r="G543" s="301"/>
      <c r="H543" s="302"/>
    </row>
    <row r="544" spans="1:8" ht="15.75" customHeight="1" thickBot="1">
      <c r="A544" s="282"/>
      <c r="B544" s="283"/>
      <c r="C544" s="283"/>
      <c r="D544" s="283"/>
      <c r="E544" s="283"/>
      <c r="F544" s="283"/>
      <c r="G544" s="283"/>
      <c r="H544" s="284"/>
    </row>
    <row r="545" spans="1:8" ht="15.75" customHeight="1">
      <c r="A545" s="289" t="s">
        <v>14362</v>
      </c>
      <c r="B545" s="290" t="s">
        <v>153</v>
      </c>
      <c r="C545" s="290"/>
      <c r="D545" s="290"/>
      <c r="E545" s="290"/>
      <c r="F545" s="290"/>
      <c r="G545" s="290"/>
      <c r="H545" s="291"/>
    </row>
    <row r="546" spans="1:8" ht="15.75" customHeight="1">
      <c r="A546" s="292" t="s">
        <v>6</v>
      </c>
      <c r="B546" s="293" t="s">
        <v>7050</v>
      </c>
      <c r="C546" s="294" t="s">
        <v>7049</v>
      </c>
      <c r="D546" s="295" t="s">
        <v>24</v>
      </c>
      <c r="E546" s="296" t="s">
        <v>7046</v>
      </c>
      <c r="F546" s="293" t="s">
        <v>254</v>
      </c>
      <c r="G546" s="293" t="s">
        <v>7047</v>
      </c>
      <c r="H546" s="297" t="s">
        <v>7048</v>
      </c>
    </row>
    <row r="547" spans="1:8" ht="15.75" customHeight="1">
      <c r="A547" s="120" t="s">
        <v>7</v>
      </c>
      <c r="B547" s="298">
        <v>44720</v>
      </c>
      <c r="C547" s="165" t="s">
        <v>27627</v>
      </c>
      <c r="D547" s="113" t="s">
        <v>24</v>
      </c>
      <c r="E547" s="59">
        <v>7.93</v>
      </c>
      <c r="F547" s="165" t="s">
        <v>27448</v>
      </c>
      <c r="G547" s="165" t="s">
        <v>27628</v>
      </c>
      <c r="H547" s="299" t="s">
        <v>27631</v>
      </c>
    </row>
    <row r="548" spans="1:8" ht="15.75" customHeight="1">
      <c r="A548" s="120" t="s">
        <v>50</v>
      </c>
      <c r="B548" s="298">
        <v>44714</v>
      </c>
      <c r="C548" s="165" t="s">
        <v>7099</v>
      </c>
      <c r="D548" s="113" t="s">
        <v>24</v>
      </c>
      <c r="E548" s="59">
        <v>10.46</v>
      </c>
      <c r="F548" s="165" t="s">
        <v>7100</v>
      </c>
      <c r="G548" s="165" t="s">
        <v>7101</v>
      </c>
      <c r="H548" s="299" t="s">
        <v>27623</v>
      </c>
    </row>
    <row r="549" spans="1:8" ht="15.75" customHeight="1">
      <c r="A549" s="120" t="s">
        <v>52</v>
      </c>
      <c r="B549" s="298">
        <v>44720</v>
      </c>
      <c r="C549" s="165" t="s">
        <v>7236</v>
      </c>
      <c r="D549" s="113" t="s">
        <v>24</v>
      </c>
      <c r="E549" s="59">
        <v>15</v>
      </c>
      <c r="F549" s="165" t="s">
        <v>27375</v>
      </c>
      <c r="G549" s="165" t="s">
        <v>27358</v>
      </c>
      <c r="H549" s="299" t="s">
        <v>27359</v>
      </c>
    </row>
    <row r="550" spans="1:8" ht="15.75" customHeight="1" thickBot="1">
      <c r="A550" s="300" t="str">
        <f>CONCATENATE("MEDIANA - ",A545)</f>
        <v>MEDIANA - COT81</v>
      </c>
      <c r="B550" s="115"/>
      <c r="C550" s="115"/>
      <c r="D550" s="301"/>
      <c r="E550" s="150">
        <f>MEDIAN(E547:E549)</f>
        <v>10.46</v>
      </c>
      <c r="F550" s="301"/>
      <c r="G550" s="301"/>
      <c r="H550" s="302"/>
    </row>
    <row r="551" spans="1:8" ht="15.75" customHeight="1" thickBot="1">
      <c r="A551" s="282"/>
      <c r="B551" s="283"/>
      <c r="C551" s="283"/>
      <c r="D551" s="283"/>
      <c r="E551" s="283"/>
      <c r="F551" s="283"/>
      <c r="G551" s="283"/>
      <c r="H551" s="284"/>
    </row>
    <row r="552" spans="1:8" ht="15.75" customHeight="1">
      <c r="A552" s="289" t="s">
        <v>14363</v>
      </c>
      <c r="B552" s="337" t="s">
        <v>155</v>
      </c>
      <c r="C552" s="337"/>
      <c r="D552" s="337"/>
      <c r="E552" s="337"/>
      <c r="F552" s="337"/>
      <c r="G552" s="337"/>
      <c r="H552" s="338"/>
    </row>
    <row r="553" spans="1:8" ht="15.75" customHeight="1">
      <c r="A553" s="292" t="s">
        <v>6</v>
      </c>
      <c r="B553" s="293" t="s">
        <v>7050</v>
      </c>
      <c r="C553" s="294" t="s">
        <v>7049</v>
      </c>
      <c r="D553" s="295" t="s">
        <v>24</v>
      </c>
      <c r="E553" s="296" t="s">
        <v>7046</v>
      </c>
      <c r="F553" s="293" t="s">
        <v>254</v>
      </c>
      <c r="G553" s="293" t="s">
        <v>7047</v>
      </c>
      <c r="H553" s="297" t="s">
        <v>7048</v>
      </c>
    </row>
    <row r="554" spans="1:8" ht="15.75" customHeight="1">
      <c r="A554" s="120" t="s">
        <v>7</v>
      </c>
      <c r="B554" s="298">
        <v>44714</v>
      </c>
      <c r="C554" s="165" t="s">
        <v>7099</v>
      </c>
      <c r="D554" s="113" t="s">
        <v>24</v>
      </c>
      <c r="E554" s="59">
        <v>10.46</v>
      </c>
      <c r="F554" s="165" t="s">
        <v>7100</v>
      </c>
      <c r="G554" s="165" t="s">
        <v>7101</v>
      </c>
      <c r="H554" s="299" t="s">
        <v>27623</v>
      </c>
    </row>
    <row r="555" spans="1:8" ht="15.75" customHeight="1">
      <c r="A555" s="120" t="s">
        <v>50</v>
      </c>
      <c r="B555" s="298">
        <v>44718</v>
      </c>
      <c r="C555" s="165" t="s">
        <v>27829</v>
      </c>
      <c r="D555" s="113" t="s">
        <v>24</v>
      </c>
      <c r="E555" s="59">
        <v>32.340000000000003</v>
      </c>
      <c r="F555" s="165" t="s">
        <v>13309</v>
      </c>
      <c r="G555" s="165" t="s">
        <v>13310</v>
      </c>
      <c r="H555" s="299" t="s">
        <v>27828</v>
      </c>
    </row>
    <row r="556" spans="1:8" ht="15.75" customHeight="1">
      <c r="A556" s="120" t="s">
        <v>52</v>
      </c>
      <c r="B556" s="298">
        <v>44720</v>
      </c>
      <c r="C556" s="165" t="s">
        <v>27632</v>
      </c>
      <c r="D556" s="113" t="s">
        <v>24</v>
      </c>
      <c r="E556" s="59">
        <v>14</v>
      </c>
      <c r="F556" s="165" t="s">
        <v>27375</v>
      </c>
      <c r="G556" s="165" t="s">
        <v>27358</v>
      </c>
      <c r="H556" s="299" t="s">
        <v>27359</v>
      </c>
    </row>
    <row r="557" spans="1:8" ht="15.75" customHeight="1" thickBot="1">
      <c r="A557" s="300" t="str">
        <f>CONCATENATE("MEDIANA - ",A552)</f>
        <v>MEDIANA - COT82</v>
      </c>
      <c r="B557" s="115"/>
      <c r="C557" s="115"/>
      <c r="D557" s="301"/>
      <c r="E557" s="150">
        <f>MEDIAN(E554:E556)</f>
        <v>14</v>
      </c>
      <c r="F557" s="301"/>
      <c r="G557" s="301"/>
      <c r="H557" s="302"/>
    </row>
    <row r="558" spans="1:8" ht="15.75" customHeight="1" thickBot="1">
      <c r="A558" s="282"/>
      <c r="B558" s="283"/>
      <c r="C558" s="283"/>
      <c r="D558" s="283"/>
      <c r="E558" s="283"/>
      <c r="F558" s="283"/>
      <c r="G558" s="283"/>
      <c r="H558" s="284"/>
    </row>
    <row r="559" spans="1:8" ht="15.75" customHeight="1">
      <c r="A559" s="289" t="s">
        <v>14364</v>
      </c>
      <c r="B559" s="290" t="s">
        <v>154</v>
      </c>
      <c r="C559" s="290"/>
      <c r="D559" s="290"/>
      <c r="E559" s="290"/>
      <c r="F559" s="290"/>
      <c r="G559" s="290"/>
      <c r="H559" s="291"/>
    </row>
    <row r="560" spans="1:8" ht="15.75" customHeight="1">
      <c r="A560" s="292" t="s">
        <v>6</v>
      </c>
      <c r="B560" s="293" t="s">
        <v>7050</v>
      </c>
      <c r="C560" s="294" t="s">
        <v>7049</v>
      </c>
      <c r="D560" s="295" t="s">
        <v>24</v>
      </c>
      <c r="E560" s="296" t="s">
        <v>7046</v>
      </c>
      <c r="F560" s="293" t="s">
        <v>254</v>
      </c>
      <c r="G560" s="293" t="s">
        <v>7047</v>
      </c>
      <c r="H560" s="297" t="s">
        <v>7048</v>
      </c>
    </row>
    <row r="561" spans="1:8" ht="15.75" customHeight="1">
      <c r="A561" s="120" t="s">
        <v>7</v>
      </c>
      <c r="B561" s="298">
        <v>44710</v>
      </c>
      <c r="C561" s="165" t="s">
        <v>27376</v>
      </c>
      <c r="D561" s="113" t="s">
        <v>24</v>
      </c>
      <c r="E561" s="59">
        <v>21.33</v>
      </c>
      <c r="F561" s="165" t="s">
        <v>27377</v>
      </c>
      <c r="G561" s="165" t="s">
        <v>27378</v>
      </c>
      <c r="H561" s="303" t="s">
        <v>27379</v>
      </c>
    </row>
    <row r="562" spans="1:8" ht="15.75" customHeight="1">
      <c r="A562" s="120" t="s">
        <v>50</v>
      </c>
      <c r="B562" s="298">
        <v>44721</v>
      </c>
      <c r="C562" s="165" t="s">
        <v>27627</v>
      </c>
      <c r="D562" s="113" t="s">
        <v>24</v>
      </c>
      <c r="E562" s="59">
        <v>7.93</v>
      </c>
      <c r="F562" s="165" t="s">
        <v>27448</v>
      </c>
      <c r="G562" s="165" t="s">
        <v>27628</v>
      </c>
      <c r="H562" s="299" t="s">
        <v>27633</v>
      </c>
    </row>
    <row r="563" spans="1:8" ht="15.75" customHeight="1">
      <c r="A563" s="120" t="s">
        <v>52</v>
      </c>
      <c r="B563" s="298">
        <v>44714</v>
      </c>
      <c r="C563" s="165" t="s">
        <v>7099</v>
      </c>
      <c r="D563" s="113" t="s">
        <v>24</v>
      </c>
      <c r="E563" s="59">
        <v>10.46</v>
      </c>
      <c r="F563" s="165" t="s">
        <v>7100</v>
      </c>
      <c r="G563" s="165" t="s">
        <v>7101</v>
      </c>
      <c r="H563" s="299" t="s">
        <v>27623</v>
      </c>
    </row>
    <row r="564" spans="1:8" ht="15.75" customHeight="1" thickBot="1">
      <c r="A564" s="300" t="str">
        <f>CONCATENATE("MEDIANA - ",A559)</f>
        <v>MEDIANA - COT83</v>
      </c>
      <c r="B564" s="115"/>
      <c r="C564" s="115"/>
      <c r="D564" s="301"/>
      <c r="E564" s="150">
        <f>MEDIAN(E561:E563)</f>
        <v>10.46</v>
      </c>
      <c r="F564" s="301"/>
      <c r="G564" s="301"/>
      <c r="H564" s="302"/>
    </row>
    <row r="565" spans="1:8" ht="15.75" customHeight="1" thickBot="1">
      <c r="A565" s="282"/>
      <c r="B565" s="283"/>
      <c r="C565" s="283"/>
      <c r="D565" s="283"/>
      <c r="E565" s="283"/>
      <c r="F565" s="283"/>
      <c r="G565" s="283"/>
      <c r="H565" s="284"/>
    </row>
    <row r="566" spans="1:8" ht="15.75" customHeight="1">
      <c r="A566" s="289" t="s">
        <v>14365</v>
      </c>
      <c r="B566" s="290" t="s">
        <v>116</v>
      </c>
      <c r="C566" s="290"/>
      <c r="D566" s="290"/>
      <c r="E566" s="290"/>
      <c r="F566" s="290"/>
      <c r="G566" s="290"/>
      <c r="H566" s="291"/>
    </row>
    <row r="567" spans="1:8" ht="15.75" customHeight="1">
      <c r="A567" s="292" t="s">
        <v>6</v>
      </c>
      <c r="B567" s="293" t="s">
        <v>7050</v>
      </c>
      <c r="C567" s="294" t="s">
        <v>7049</v>
      </c>
      <c r="D567" s="295" t="s">
        <v>24</v>
      </c>
      <c r="E567" s="296" t="s">
        <v>7046</v>
      </c>
      <c r="F567" s="293" t="s">
        <v>254</v>
      </c>
      <c r="G567" s="293" t="s">
        <v>7047</v>
      </c>
      <c r="H567" s="297" t="s">
        <v>7048</v>
      </c>
    </row>
    <row r="568" spans="1:8" ht="15.75" customHeight="1">
      <c r="A568" s="120" t="s">
        <v>7</v>
      </c>
      <c r="B568" s="298">
        <v>44714</v>
      </c>
      <c r="C568" s="165" t="s">
        <v>7099</v>
      </c>
      <c r="D568" s="113" t="s">
        <v>24</v>
      </c>
      <c r="E568" s="59">
        <v>9.9</v>
      </c>
      <c r="F568" s="165" t="s">
        <v>7100</v>
      </c>
      <c r="G568" s="165" t="s">
        <v>7101</v>
      </c>
      <c r="H568" s="299" t="s">
        <v>27623</v>
      </c>
    </row>
    <row r="569" spans="1:8" ht="15.75" customHeight="1">
      <c r="A569" s="120" t="s">
        <v>50</v>
      </c>
      <c r="B569" s="298">
        <v>44721</v>
      </c>
      <c r="C569" s="165" t="s">
        <v>27627</v>
      </c>
      <c r="D569" s="113" t="s">
        <v>24</v>
      </c>
      <c r="E569" s="59">
        <v>8.77</v>
      </c>
      <c r="F569" s="165" t="s">
        <v>27448</v>
      </c>
      <c r="G569" s="165" t="s">
        <v>27628</v>
      </c>
      <c r="H569" s="299" t="s">
        <v>27634</v>
      </c>
    </row>
    <row r="570" spans="1:8" ht="15.75" customHeight="1">
      <c r="A570" s="120" t="s">
        <v>52</v>
      </c>
      <c r="B570" s="298">
        <v>44720</v>
      </c>
      <c r="C570" s="165" t="s">
        <v>7236</v>
      </c>
      <c r="D570" s="113" t="s">
        <v>24</v>
      </c>
      <c r="E570" s="59">
        <v>13.49</v>
      </c>
      <c r="F570" s="165" t="s">
        <v>27375</v>
      </c>
      <c r="G570" s="165" t="s">
        <v>27358</v>
      </c>
      <c r="H570" s="299" t="s">
        <v>27359</v>
      </c>
    </row>
    <row r="571" spans="1:8" ht="15.75" customHeight="1" thickBot="1">
      <c r="A571" s="300" t="str">
        <f>CONCATENATE("MEDIANA - ",A566)</f>
        <v>MEDIANA - COT84</v>
      </c>
      <c r="B571" s="115"/>
      <c r="C571" s="115"/>
      <c r="D571" s="301"/>
      <c r="E571" s="150">
        <f>MEDIAN(E568:E570)</f>
        <v>9.9</v>
      </c>
      <c r="F571" s="301"/>
      <c r="G571" s="301"/>
      <c r="H571" s="302"/>
    </row>
    <row r="572" spans="1:8" ht="15.75" customHeight="1" thickBot="1">
      <c r="A572" s="282"/>
      <c r="B572" s="283"/>
      <c r="C572" s="283"/>
      <c r="D572" s="283"/>
      <c r="E572" s="283"/>
      <c r="F572" s="283"/>
      <c r="G572" s="283"/>
      <c r="H572" s="284"/>
    </row>
    <row r="573" spans="1:8" ht="15.75" customHeight="1">
      <c r="A573" s="289" t="s">
        <v>14366</v>
      </c>
      <c r="B573" s="290" t="s">
        <v>118</v>
      </c>
      <c r="C573" s="290"/>
      <c r="D573" s="290"/>
      <c r="E573" s="290"/>
      <c r="F573" s="290"/>
      <c r="G573" s="290"/>
      <c r="H573" s="291"/>
    </row>
    <row r="574" spans="1:8" ht="15.75" customHeight="1">
      <c r="A574" s="292" t="s">
        <v>6</v>
      </c>
      <c r="B574" s="293" t="s">
        <v>7050</v>
      </c>
      <c r="C574" s="294" t="s">
        <v>7049</v>
      </c>
      <c r="D574" s="295" t="s">
        <v>24</v>
      </c>
      <c r="E574" s="296" t="s">
        <v>7046</v>
      </c>
      <c r="F574" s="293" t="s">
        <v>254</v>
      </c>
      <c r="G574" s="293" t="s">
        <v>7047</v>
      </c>
      <c r="H574" s="297" t="s">
        <v>7048</v>
      </c>
    </row>
    <row r="575" spans="1:8" ht="15.75" customHeight="1">
      <c r="A575" s="120" t="s">
        <v>7</v>
      </c>
      <c r="B575" s="298">
        <v>44714</v>
      </c>
      <c r="C575" s="165" t="s">
        <v>7099</v>
      </c>
      <c r="D575" s="113" t="s">
        <v>24</v>
      </c>
      <c r="E575" s="59">
        <v>9.9</v>
      </c>
      <c r="F575" s="165" t="s">
        <v>7100</v>
      </c>
      <c r="G575" s="165" t="s">
        <v>7101</v>
      </c>
      <c r="H575" s="299" t="s">
        <v>27623</v>
      </c>
    </row>
    <row r="576" spans="1:8" ht="15.75" customHeight="1">
      <c r="A576" s="120" t="s">
        <v>50</v>
      </c>
      <c r="B576" s="298">
        <v>44721</v>
      </c>
      <c r="C576" s="165" t="s">
        <v>27627</v>
      </c>
      <c r="D576" s="113" t="s">
        <v>24</v>
      </c>
      <c r="E576" s="59">
        <v>7.93</v>
      </c>
      <c r="F576" s="165" t="s">
        <v>27448</v>
      </c>
      <c r="G576" s="165" t="s">
        <v>27628</v>
      </c>
      <c r="H576" s="299" t="s">
        <v>27635</v>
      </c>
    </row>
    <row r="577" spans="1:8" ht="15.75" customHeight="1">
      <c r="A577" s="120" t="s">
        <v>52</v>
      </c>
      <c r="B577" s="298">
        <v>44720</v>
      </c>
      <c r="C577" s="165" t="s">
        <v>7236</v>
      </c>
      <c r="D577" s="113" t="s">
        <v>24</v>
      </c>
      <c r="E577" s="59">
        <v>13.49</v>
      </c>
      <c r="F577" s="165" t="s">
        <v>27375</v>
      </c>
      <c r="G577" s="165" t="s">
        <v>27358</v>
      </c>
      <c r="H577" s="299" t="s">
        <v>27359</v>
      </c>
    </row>
    <row r="578" spans="1:8" ht="15.75" customHeight="1" thickBot="1">
      <c r="A578" s="300" t="str">
        <f>CONCATENATE("MEDIANA - ",A573)</f>
        <v>MEDIANA - COT85</v>
      </c>
      <c r="B578" s="115"/>
      <c r="C578" s="115"/>
      <c r="D578" s="301"/>
      <c r="E578" s="150">
        <f>MEDIAN(E575:E577)</f>
        <v>9.9</v>
      </c>
      <c r="F578" s="301"/>
      <c r="G578" s="301"/>
      <c r="H578" s="302"/>
    </row>
    <row r="579" spans="1:8" ht="15.75" customHeight="1" thickBot="1">
      <c r="A579" s="282"/>
      <c r="B579" s="283"/>
      <c r="C579" s="283"/>
      <c r="D579" s="283"/>
      <c r="E579" s="283"/>
      <c r="F579" s="283"/>
      <c r="G579" s="283"/>
      <c r="H579" s="284"/>
    </row>
    <row r="580" spans="1:8" ht="15.75" customHeight="1">
      <c r="A580" s="289" t="s">
        <v>14367</v>
      </c>
      <c r="B580" s="290" t="s">
        <v>144</v>
      </c>
      <c r="C580" s="290"/>
      <c r="D580" s="290"/>
      <c r="E580" s="290"/>
      <c r="F580" s="290"/>
      <c r="G580" s="290"/>
      <c r="H580" s="291"/>
    </row>
    <row r="581" spans="1:8" ht="15.75" customHeight="1">
      <c r="A581" s="292" t="s">
        <v>6</v>
      </c>
      <c r="B581" s="293" t="s">
        <v>7050</v>
      </c>
      <c r="C581" s="294" t="s">
        <v>7049</v>
      </c>
      <c r="D581" s="295" t="s">
        <v>24</v>
      </c>
      <c r="E581" s="296" t="s">
        <v>7046</v>
      </c>
      <c r="F581" s="293" t="s">
        <v>254</v>
      </c>
      <c r="G581" s="293" t="s">
        <v>7047</v>
      </c>
      <c r="H581" s="297" t="s">
        <v>7048</v>
      </c>
    </row>
    <row r="582" spans="1:8" ht="15.75" customHeight="1">
      <c r="A582" s="120" t="s">
        <v>7</v>
      </c>
      <c r="B582" s="298">
        <v>44714</v>
      </c>
      <c r="C582" s="165" t="s">
        <v>7099</v>
      </c>
      <c r="D582" s="113" t="s">
        <v>24</v>
      </c>
      <c r="E582" s="59">
        <v>9.9</v>
      </c>
      <c r="F582" s="165" t="s">
        <v>7100</v>
      </c>
      <c r="G582" s="165" t="s">
        <v>7101</v>
      </c>
      <c r="H582" s="299" t="s">
        <v>27623</v>
      </c>
    </row>
    <row r="583" spans="1:8" ht="15.75" customHeight="1">
      <c r="A583" s="120" t="s">
        <v>50</v>
      </c>
      <c r="B583" s="298">
        <v>44721</v>
      </c>
      <c r="C583" s="165" t="s">
        <v>27627</v>
      </c>
      <c r="D583" s="113" t="s">
        <v>24</v>
      </c>
      <c r="E583" s="59">
        <v>19.190000000000001</v>
      </c>
      <c r="F583" s="165" t="s">
        <v>27448</v>
      </c>
      <c r="G583" s="165" t="s">
        <v>27628</v>
      </c>
      <c r="H583" s="299" t="s">
        <v>27636</v>
      </c>
    </row>
    <row r="584" spans="1:8" ht="15.75" customHeight="1">
      <c r="A584" s="120" t="s">
        <v>52</v>
      </c>
      <c r="B584" s="298">
        <v>44720</v>
      </c>
      <c r="C584" s="165" t="s">
        <v>7236</v>
      </c>
      <c r="D584" s="113" t="s">
        <v>24</v>
      </c>
      <c r="E584" s="59">
        <v>13.49</v>
      </c>
      <c r="F584" s="165" t="s">
        <v>27375</v>
      </c>
      <c r="G584" s="165" t="s">
        <v>27358</v>
      </c>
      <c r="H584" s="299" t="s">
        <v>27359</v>
      </c>
    </row>
    <row r="585" spans="1:8" ht="15.75" customHeight="1" thickBot="1">
      <c r="A585" s="300" t="str">
        <f>CONCATENATE("MEDIANA - ",A580)</f>
        <v>MEDIANA - COT86</v>
      </c>
      <c r="B585" s="115"/>
      <c r="C585" s="115"/>
      <c r="D585" s="301"/>
      <c r="E585" s="150">
        <f>MEDIAN(E582:E584)</f>
        <v>13.49</v>
      </c>
      <c r="F585" s="301"/>
      <c r="G585" s="301"/>
      <c r="H585" s="302"/>
    </row>
    <row r="586" spans="1:8" ht="15.75" customHeight="1" thickBot="1">
      <c r="A586" s="282"/>
      <c r="B586" s="283"/>
      <c r="C586" s="283"/>
      <c r="D586" s="283"/>
      <c r="E586" s="283"/>
      <c r="F586" s="283"/>
      <c r="G586" s="283"/>
      <c r="H586" s="284"/>
    </row>
    <row r="587" spans="1:8" ht="15.75" customHeight="1">
      <c r="A587" s="289" t="s">
        <v>14368</v>
      </c>
      <c r="B587" s="290" t="s">
        <v>145</v>
      </c>
      <c r="C587" s="290"/>
      <c r="D587" s="290"/>
      <c r="E587" s="290"/>
      <c r="F587" s="290"/>
      <c r="G587" s="290"/>
      <c r="H587" s="291"/>
    </row>
    <row r="588" spans="1:8" ht="15.75" customHeight="1">
      <c r="A588" s="292" t="s">
        <v>6</v>
      </c>
      <c r="B588" s="293" t="s">
        <v>7050</v>
      </c>
      <c r="C588" s="294" t="s">
        <v>7049</v>
      </c>
      <c r="D588" s="295" t="s">
        <v>24</v>
      </c>
      <c r="E588" s="296" t="s">
        <v>7046</v>
      </c>
      <c r="F588" s="293" t="s">
        <v>254</v>
      </c>
      <c r="G588" s="293" t="s">
        <v>7047</v>
      </c>
      <c r="H588" s="297" t="s">
        <v>7048</v>
      </c>
    </row>
    <row r="589" spans="1:8" ht="15.75" customHeight="1">
      <c r="A589" s="120" t="s">
        <v>7</v>
      </c>
      <c r="B589" s="298">
        <v>44721</v>
      </c>
      <c r="C589" s="165" t="s">
        <v>27637</v>
      </c>
      <c r="D589" s="113" t="s">
        <v>24</v>
      </c>
      <c r="E589" s="59">
        <v>16.47</v>
      </c>
      <c r="F589" s="165" t="s">
        <v>27638</v>
      </c>
      <c r="G589" s="165" t="s">
        <v>27639</v>
      </c>
      <c r="H589" s="299" t="s">
        <v>27640</v>
      </c>
    </row>
    <row r="590" spans="1:8" ht="15.75" customHeight="1">
      <c r="A590" s="120" t="s">
        <v>50</v>
      </c>
      <c r="B590" s="298">
        <v>44714</v>
      </c>
      <c r="C590" s="165" t="s">
        <v>7099</v>
      </c>
      <c r="D590" s="113" t="s">
        <v>24</v>
      </c>
      <c r="E590" s="59">
        <v>9.9</v>
      </c>
      <c r="F590" s="165" t="s">
        <v>7100</v>
      </c>
      <c r="G590" s="165" t="s">
        <v>7101</v>
      </c>
      <c r="H590" s="299" t="s">
        <v>27623</v>
      </c>
    </row>
    <row r="591" spans="1:8" ht="15.75" customHeight="1">
      <c r="A591" s="120" t="s">
        <v>52</v>
      </c>
      <c r="B591" s="298">
        <v>44720</v>
      </c>
      <c r="C591" s="165" t="s">
        <v>7236</v>
      </c>
      <c r="D591" s="113" t="s">
        <v>24</v>
      </c>
      <c r="E591" s="59">
        <v>13.49</v>
      </c>
      <c r="F591" s="165" t="s">
        <v>27375</v>
      </c>
      <c r="G591" s="165" t="s">
        <v>27358</v>
      </c>
      <c r="H591" s="299" t="s">
        <v>27359</v>
      </c>
    </row>
    <row r="592" spans="1:8" ht="15.75" customHeight="1" thickBot="1">
      <c r="A592" s="300" t="str">
        <f>CONCATENATE("MEDIANA - ",A587)</f>
        <v>MEDIANA - COT87</v>
      </c>
      <c r="B592" s="115"/>
      <c r="C592" s="115"/>
      <c r="D592" s="301"/>
      <c r="E592" s="150">
        <f>MEDIAN(E589:E591)</f>
        <v>13.49</v>
      </c>
      <c r="F592" s="301"/>
      <c r="G592" s="301"/>
      <c r="H592" s="302"/>
    </row>
    <row r="593" spans="1:8" ht="15.75" customHeight="1" thickBot="1">
      <c r="A593" s="282"/>
      <c r="B593" s="283"/>
      <c r="C593" s="283"/>
      <c r="D593" s="283"/>
      <c r="E593" s="283"/>
      <c r="F593" s="283"/>
      <c r="G593" s="283"/>
      <c r="H593" s="284"/>
    </row>
    <row r="594" spans="1:8" ht="15.75" customHeight="1">
      <c r="A594" s="289" t="s">
        <v>14369</v>
      </c>
      <c r="B594" s="290" t="s">
        <v>146</v>
      </c>
      <c r="C594" s="290"/>
      <c r="D594" s="290"/>
      <c r="E594" s="290"/>
      <c r="F594" s="290"/>
      <c r="G594" s="290"/>
      <c r="H594" s="291"/>
    </row>
    <row r="595" spans="1:8" ht="15.75" customHeight="1">
      <c r="A595" s="292" t="s">
        <v>6</v>
      </c>
      <c r="B595" s="293" t="s">
        <v>7050</v>
      </c>
      <c r="C595" s="294" t="s">
        <v>7049</v>
      </c>
      <c r="D595" s="295" t="s">
        <v>24</v>
      </c>
      <c r="E595" s="296" t="s">
        <v>7046</v>
      </c>
      <c r="F595" s="293" t="s">
        <v>254</v>
      </c>
      <c r="G595" s="293" t="s">
        <v>7047</v>
      </c>
      <c r="H595" s="297" t="s">
        <v>7048</v>
      </c>
    </row>
    <row r="596" spans="1:8" ht="15.75" customHeight="1">
      <c r="A596" s="120" t="s">
        <v>7</v>
      </c>
      <c r="B596" s="298">
        <v>44714</v>
      </c>
      <c r="C596" s="165" t="s">
        <v>7099</v>
      </c>
      <c r="D596" s="113" t="s">
        <v>24</v>
      </c>
      <c r="E596" s="59">
        <v>9.9</v>
      </c>
      <c r="F596" s="165" t="s">
        <v>7100</v>
      </c>
      <c r="G596" s="165" t="s">
        <v>7101</v>
      </c>
      <c r="H596" s="299" t="s">
        <v>27623</v>
      </c>
    </row>
    <row r="597" spans="1:8" ht="15.75" customHeight="1">
      <c r="A597" s="120" t="s">
        <v>50</v>
      </c>
      <c r="B597" s="298">
        <v>44729</v>
      </c>
      <c r="C597" s="165" t="s">
        <v>27627</v>
      </c>
      <c r="D597" s="113" t="s">
        <v>24</v>
      </c>
      <c r="E597" s="59">
        <v>8.77</v>
      </c>
      <c r="F597" s="165" t="s">
        <v>27448</v>
      </c>
      <c r="G597" s="165" t="s">
        <v>27628</v>
      </c>
      <c r="H597" s="299" t="s">
        <v>27636</v>
      </c>
    </row>
    <row r="598" spans="1:8" ht="15.75" customHeight="1">
      <c r="A598" s="120" t="s">
        <v>52</v>
      </c>
      <c r="B598" s="298">
        <v>44720</v>
      </c>
      <c r="C598" s="165" t="s">
        <v>7236</v>
      </c>
      <c r="D598" s="113" t="s">
        <v>24</v>
      </c>
      <c r="E598" s="59">
        <v>13.49</v>
      </c>
      <c r="F598" s="165" t="s">
        <v>27375</v>
      </c>
      <c r="G598" s="165" t="s">
        <v>27358</v>
      </c>
      <c r="H598" s="299" t="s">
        <v>27359</v>
      </c>
    </row>
    <row r="599" spans="1:8" ht="15.75" customHeight="1" thickBot="1">
      <c r="A599" s="300" t="str">
        <f>CONCATENATE("MEDIANA - ",A594)</f>
        <v>MEDIANA - COT88</v>
      </c>
      <c r="B599" s="115"/>
      <c r="C599" s="115"/>
      <c r="D599" s="301"/>
      <c r="E599" s="150">
        <f>MEDIAN(E596:E598)</f>
        <v>9.9</v>
      </c>
      <c r="F599" s="301"/>
      <c r="G599" s="301"/>
      <c r="H599" s="302"/>
    </row>
    <row r="600" spans="1:8" ht="15.75" customHeight="1" thickBot="1">
      <c r="A600" s="282"/>
      <c r="B600" s="283"/>
      <c r="C600" s="283"/>
      <c r="D600" s="283"/>
      <c r="E600" s="283"/>
      <c r="F600" s="283"/>
      <c r="G600" s="283"/>
      <c r="H600" s="284"/>
    </row>
    <row r="601" spans="1:8" ht="15.75" customHeight="1">
      <c r="A601" s="289" t="s">
        <v>14370</v>
      </c>
      <c r="B601" s="290" t="s">
        <v>147</v>
      </c>
      <c r="C601" s="290"/>
      <c r="D601" s="290"/>
      <c r="E601" s="290"/>
      <c r="F601" s="290"/>
      <c r="G601" s="290"/>
      <c r="H601" s="291"/>
    </row>
    <row r="602" spans="1:8" ht="15.75" customHeight="1">
      <c r="A602" s="292" t="s">
        <v>6</v>
      </c>
      <c r="B602" s="293" t="s">
        <v>7050</v>
      </c>
      <c r="C602" s="294" t="s">
        <v>7049</v>
      </c>
      <c r="D602" s="295" t="s">
        <v>24</v>
      </c>
      <c r="E602" s="296" t="s">
        <v>7046</v>
      </c>
      <c r="F602" s="293" t="s">
        <v>254</v>
      </c>
      <c r="G602" s="293" t="s">
        <v>7047</v>
      </c>
      <c r="H602" s="297" t="s">
        <v>7048</v>
      </c>
    </row>
    <row r="603" spans="1:8" ht="15.75" customHeight="1">
      <c r="A603" s="120" t="s">
        <v>7</v>
      </c>
      <c r="B603" s="298">
        <v>44714</v>
      </c>
      <c r="C603" s="165" t="s">
        <v>7099</v>
      </c>
      <c r="D603" s="113" t="s">
        <v>24</v>
      </c>
      <c r="E603" s="59">
        <v>8.6999999999999993</v>
      </c>
      <c r="F603" s="165" t="s">
        <v>7100</v>
      </c>
      <c r="G603" s="165" t="s">
        <v>7101</v>
      </c>
      <c r="H603" s="299" t="s">
        <v>27623</v>
      </c>
    </row>
    <row r="604" spans="1:8" ht="15.75" customHeight="1">
      <c r="A604" s="120" t="s">
        <v>50</v>
      </c>
      <c r="B604" s="298">
        <v>44729</v>
      </c>
      <c r="C604" s="165" t="s">
        <v>27376</v>
      </c>
      <c r="D604" s="113" t="s">
        <v>24</v>
      </c>
      <c r="E604" s="59">
        <v>16.989999999999998</v>
      </c>
      <c r="F604" s="165" t="s">
        <v>27377</v>
      </c>
      <c r="G604" s="165" t="s">
        <v>27378</v>
      </c>
      <c r="H604" s="303" t="s">
        <v>27830</v>
      </c>
    </row>
    <row r="605" spans="1:8" ht="15.75" customHeight="1">
      <c r="A605" s="120" t="s">
        <v>52</v>
      </c>
      <c r="B605" s="298">
        <v>44720</v>
      </c>
      <c r="C605" s="165" t="s">
        <v>7236</v>
      </c>
      <c r="D605" s="113" t="s">
        <v>24</v>
      </c>
      <c r="E605" s="59">
        <v>12</v>
      </c>
      <c r="F605" s="165" t="s">
        <v>27375</v>
      </c>
      <c r="G605" s="165" t="s">
        <v>27358</v>
      </c>
      <c r="H605" s="299" t="s">
        <v>27359</v>
      </c>
    </row>
    <row r="606" spans="1:8" ht="15.75" customHeight="1" thickBot="1">
      <c r="A606" s="300" t="str">
        <f>CONCATENATE("MEDIANA - ",A601)</f>
        <v>MEDIANA - COT89</v>
      </c>
      <c r="B606" s="115"/>
      <c r="C606" s="115"/>
      <c r="D606" s="301"/>
      <c r="E606" s="150">
        <f>MEDIAN(E603:E605)</f>
        <v>12</v>
      </c>
      <c r="F606" s="301"/>
      <c r="G606" s="301"/>
      <c r="H606" s="302"/>
    </row>
    <row r="607" spans="1:8" ht="15.75" customHeight="1" thickBot="1">
      <c r="A607" s="282"/>
      <c r="B607" s="283"/>
      <c r="C607" s="283"/>
      <c r="D607" s="283"/>
      <c r="E607" s="283"/>
      <c r="F607" s="283"/>
      <c r="G607" s="283"/>
      <c r="H607" s="284"/>
    </row>
    <row r="608" spans="1:8" ht="15.75" customHeight="1">
      <c r="A608" s="289" t="s">
        <v>14371</v>
      </c>
      <c r="B608" s="290" t="s">
        <v>147</v>
      </c>
      <c r="C608" s="290"/>
      <c r="D608" s="290"/>
      <c r="E608" s="290"/>
      <c r="F608" s="290"/>
      <c r="G608" s="290"/>
      <c r="H608" s="291"/>
    </row>
    <row r="609" spans="1:8" ht="15.75" customHeight="1">
      <c r="A609" s="292" t="s">
        <v>6</v>
      </c>
      <c r="B609" s="293" t="s">
        <v>7050</v>
      </c>
      <c r="C609" s="294" t="s">
        <v>7049</v>
      </c>
      <c r="D609" s="295" t="s">
        <v>24</v>
      </c>
      <c r="E609" s="296" t="s">
        <v>7046</v>
      </c>
      <c r="F609" s="293" t="s">
        <v>254</v>
      </c>
      <c r="G609" s="293" t="s">
        <v>7047</v>
      </c>
      <c r="H609" s="297" t="s">
        <v>7048</v>
      </c>
    </row>
    <row r="610" spans="1:8" ht="15.75" customHeight="1">
      <c r="A610" s="120" t="s">
        <v>7</v>
      </c>
      <c r="B610" s="298">
        <v>44714</v>
      </c>
      <c r="C610" s="165" t="s">
        <v>7099</v>
      </c>
      <c r="D610" s="113" t="s">
        <v>24</v>
      </c>
      <c r="E610" s="59">
        <v>8.6999999999999993</v>
      </c>
      <c r="F610" s="165" t="s">
        <v>7100</v>
      </c>
      <c r="G610" s="165" t="s">
        <v>7101</v>
      </c>
      <c r="H610" s="299" t="s">
        <v>27623</v>
      </c>
    </row>
    <row r="611" spans="1:8" ht="15.75" customHeight="1">
      <c r="A611" s="120" t="s">
        <v>50</v>
      </c>
      <c r="B611" s="298">
        <v>44729</v>
      </c>
      <c r="C611" s="165" t="s">
        <v>27376</v>
      </c>
      <c r="D611" s="113" t="s">
        <v>24</v>
      </c>
      <c r="E611" s="59">
        <v>16.989999999999998</v>
      </c>
      <c r="F611" s="165" t="s">
        <v>27377</v>
      </c>
      <c r="G611" s="165" t="s">
        <v>27378</v>
      </c>
      <c r="H611" s="303" t="s">
        <v>27830</v>
      </c>
    </row>
    <row r="612" spans="1:8" ht="15.75" customHeight="1">
      <c r="A612" s="120" t="s">
        <v>52</v>
      </c>
      <c r="B612" s="298">
        <v>44720</v>
      </c>
      <c r="C612" s="165" t="s">
        <v>7236</v>
      </c>
      <c r="D612" s="113" t="s">
        <v>24</v>
      </c>
      <c r="E612" s="59">
        <v>12</v>
      </c>
      <c r="F612" s="165" t="s">
        <v>27375</v>
      </c>
      <c r="G612" s="165" t="s">
        <v>27358</v>
      </c>
      <c r="H612" s="299" t="s">
        <v>27359</v>
      </c>
    </row>
    <row r="613" spans="1:8" ht="15.75" customHeight="1" thickBot="1">
      <c r="A613" s="300" t="str">
        <f>CONCATENATE("MEDIANA - ",A608)</f>
        <v>MEDIANA - COT90</v>
      </c>
      <c r="B613" s="115"/>
      <c r="C613" s="115"/>
      <c r="D613" s="301"/>
      <c r="E613" s="150">
        <f>MEDIAN(E610:E612)</f>
        <v>12</v>
      </c>
      <c r="F613" s="301"/>
      <c r="G613" s="301"/>
      <c r="H613" s="302"/>
    </row>
    <row r="614" spans="1:8" ht="15.75" customHeight="1" thickBot="1">
      <c r="A614" s="282"/>
      <c r="B614" s="283"/>
      <c r="C614" s="283"/>
      <c r="D614" s="283"/>
      <c r="E614" s="283"/>
      <c r="F614" s="283"/>
      <c r="G614" s="283"/>
      <c r="H614" s="284"/>
    </row>
    <row r="615" spans="1:8" ht="15.75" customHeight="1">
      <c r="A615" s="289" t="s">
        <v>14372</v>
      </c>
      <c r="B615" s="290" t="s">
        <v>148</v>
      </c>
      <c r="C615" s="290"/>
      <c r="D615" s="290"/>
      <c r="E615" s="290"/>
      <c r="F615" s="290"/>
      <c r="G615" s="290"/>
      <c r="H615" s="291"/>
    </row>
    <row r="616" spans="1:8" ht="15.75" customHeight="1">
      <c r="A616" s="292" t="s">
        <v>6</v>
      </c>
      <c r="B616" s="293" t="s">
        <v>7050</v>
      </c>
      <c r="C616" s="294" t="s">
        <v>7049</v>
      </c>
      <c r="D616" s="295" t="s">
        <v>24</v>
      </c>
      <c r="E616" s="296" t="s">
        <v>7046</v>
      </c>
      <c r="F616" s="293" t="s">
        <v>254</v>
      </c>
      <c r="G616" s="293" t="s">
        <v>7047</v>
      </c>
      <c r="H616" s="297" t="s">
        <v>7048</v>
      </c>
    </row>
    <row r="617" spans="1:8" ht="15.75" customHeight="1">
      <c r="A617" s="120" t="s">
        <v>7</v>
      </c>
      <c r="B617" s="298">
        <v>44710</v>
      </c>
      <c r="C617" s="165" t="s">
        <v>27380</v>
      </c>
      <c r="D617" s="113" t="s">
        <v>24</v>
      </c>
      <c r="E617" s="59">
        <v>17.95</v>
      </c>
      <c r="F617" s="165" t="s">
        <v>27381</v>
      </c>
      <c r="G617" s="165" t="s">
        <v>27382</v>
      </c>
      <c r="H617" s="303" t="s">
        <v>27383</v>
      </c>
    </row>
    <row r="618" spans="1:8" ht="15.75" customHeight="1">
      <c r="A618" s="120" t="s">
        <v>50</v>
      </c>
      <c r="B618" s="298">
        <v>44721</v>
      </c>
      <c r="C618" s="165" t="s">
        <v>27627</v>
      </c>
      <c r="D618" s="113" t="s">
        <v>24</v>
      </c>
      <c r="E618" s="59">
        <v>8.77</v>
      </c>
      <c r="F618" s="165" t="s">
        <v>27448</v>
      </c>
      <c r="G618" s="165" t="s">
        <v>27628</v>
      </c>
      <c r="H618" s="299" t="s">
        <v>27641</v>
      </c>
    </row>
    <row r="619" spans="1:8" ht="15.75" customHeight="1">
      <c r="A619" s="120" t="s">
        <v>52</v>
      </c>
      <c r="B619" s="298">
        <v>44714</v>
      </c>
      <c r="C619" s="165" t="s">
        <v>7099</v>
      </c>
      <c r="D619" s="113" t="s">
        <v>24</v>
      </c>
      <c r="E619" s="59">
        <v>9.9</v>
      </c>
      <c r="F619" s="165" t="s">
        <v>7100</v>
      </c>
      <c r="G619" s="165" t="s">
        <v>7101</v>
      </c>
      <c r="H619" s="299" t="s">
        <v>27623</v>
      </c>
    </row>
    <row r="620" spans="1:8" ht="15.75" customHeight="1" thickBot="1">
      <c r="A620" s="300" t="str">
        <f>CONCATENATE("MEDIANA - ",A615)</f>
        <v>MEDIANA - COT91</v>
      </c>
      <c r="B620" s="115"/>
      <c r="C620" s="115"/>
      <c r="D620" s="301"/>
      <c r="E620" s="150">
        <f>MEDIAN(E617:E619)</f>
        <v>9.9</v>
      </c>
      <c r="F620" s="301"/>
      <c r="G620" s="301"/>
      <c r="H620" s="302"/>
    </row>
    <row r="621" spans="1:8" ht="15.75" customHeight="1" thickBot="1">
      <c r="A621" s="282"/>
      <c r="B621" s="283"/>
      <c r="C621" s="283"/>
      <c r="D621" s="283"/>
      <c r="E621" s="283"/>
      <c r="F621" s="283"/>
      <c r="G621" s="283"/>
      <c r="H621" s="284"/>
    </row>
    <row r="622" spans="1:8" ht="15.75" customHeight="1">
      <c r="A622" s="289" t="s">
        <v>14373</v>
      </c>
      <c r="B622" s="290" t="s">
        <v>307</v>
      </c>
      <c r="C622" s="290"/>
      <c r="D622" s="290"/>
      <c r="E622" s="290"/>
      <c r="F622" s="290"/>
      <c r="G622" s="290"/>
      <c r="H622" s="291"/>
    </row>
    <row r="623" spans="1:8" ht="15.75" customHeight="1">
      <c r="A623" s="292" t="s">
        <v>6</v>
      </c>
      <c r="B623" s="293" t="s">
        <v>7050</v>
      </c>
      <c r="C623" s="294" t="s">
        <v>7049</v>
      </c>
      <c r="D623" s="295" t="s">
        <v>24</v>
      </c>
      <c r="E623" s="296" t="s">
        <v>7046</v>
      </c>
      <c r="F623" s="293" t="s">
        <v>254</v>
      </c>
      <c r="G623" s="293" t="s">
        <v>7047</v>
      </c>
      <c r="H623" s="297" t="s">
        <v>7048</v>
      </c>
    </row>
    <row r="624" spans="1:8" ht="15.75" customHeight="1">
      <c r="A624" s="120" t="s">
        <v>7</v>
      </c>
      <c r="B624" s="298">
        <v>44721</v>
      </c>
      <c r="C624" s="165" t="s">
        <v>27637</v>
      </c>
      <c r="D624" s="113" t="s">
        <v>24</v>
      </c>
      <c r="E624" s="59">
        <v>24.64</v>
      </c>
      <c r="F624" s="165" t="s">
        <v>27638</v>
      </c>
      <c r="G624" s="165" t="s">
        <v>27639</v>
      </c>
      <c r="H624" s="299" t="s">
        <v>27642</v>
      </c>
    </row>
    <row r="625" spans="1:8" ht="15.75" customHeight="1">
      <c r="A625" s="120" t="s">
        <v>50</v>
      </c>
      <c r="B625" s="298">
        <v>44714</v>
      </c>
      <c r="C625" s="165" t="s">
        <v>7102</v>
      </c>
      <c r="D625" s="113" t="s">
        <v>32</v>
      </c>
      <c r="E625" s="59">
        <v>41.49</v>
      </c>
      <c r="F625" s="165" t="s">
        <v>13220</v>
      </c>
      <c r="G625" s="165" t="s">
        <v>7545</v>
      </c>
      <c r="H625" s="299" t="s">
        <v>27471</v>
      </c>
    </row>
    <row r="626" spans="1:8" ht="15.75" customHeight="1">
      <c r="A626" s="120" t="s">
        <v>52</v>
      </c>
      <c r="B626" s="298">
        <v>44714</v>
      </c>
      <c r="C626" s="165" t="s">
        <v>7099</v>
      </c>
      <c r="D626" s="113" t="s">
        <v>24</v>
      </c>
      <c r="E626" s="59">
        <v>49.9</v>
      </c>
      <c r="F626" s="165" t="s">
        <v>7100</v>
      </c>
      <c r="G626" s="165" t="s">
        <v>7101</v>
      </c>
      <c r="H626" s="299" t="s">
        <v>27623</v>
      </c>
    </row>
    <row r="627" spans="1:8" ht="15.75" customHeight="1" thickBot="1">
      <c r="A627" s="300" t="str">
        <f>CONCATENATE("MEDIANA - ",A622)</f>
        <v>MEDIANA - COT92</v>
      </c>
      <c r="B627" s="115"/>
      <c r="C627" s="115"/>
      <c r="D627" s="301"/>
      <c r="E627" s="150">
        <f>MEDIAN(E624:E626)</f>
        <v>41.49</v>
      </c>
      <c r="F627" s="301"/>
      <c r="G627" s="301"/>
      <c r="H627" s="302"/>
    </row>
    <row r="628" spans="1:8" ht="15.75" customHeight="1" thickBot="1">
      <c r="A628" s="282"/>
      <c r="B628" s="283"/>
      <c r="C628" s="283"/>
      <c r="D628" s="283"/>
      <c r="E628" s="283"/>
      <c r="F628" s="283"/>
      <c r="G628" s="283"/>
      <c r="H628" s="284"/>
    </row>
    <row r="629" spans="1:8" ht="15.75" customHeight="1">
      <c r="A629" s="289" t="s">
        <v>14374</v>
      </c>
      <c r="B629" s="290" t="s">
        <v>135</v>
      </c>
      <c r="C629" s="290"/>
      <c r="D629" s="290"/>
      <c r="E629" s="290"/>
      <c r="F629" s="290"/>
      <c r="G629" s="290"/>
      <c r="H629" s="291"/>
    </row>
    <row r="630" spans="1:8" ht="15.75" customHeight="1">
      <c r="A630" s="292" t="s">
        <v>6</v>
      </c>
      <c r="B630" s="293" t="s">
        <v>7050</v>
      </c>
      <c r="C630" s="294" t="s">
        <v>7049</v>
      </c>
      <c r="D630" s="295" t="s">
        <v>24</v>
      </c>
      <c r="E630" s="296" t="s">
        <v>7046</v>
      </c>
      <c r="F630" s="293" t="s">
        <v>254</v>
      </c>
      <c r="G630" s="293" t="s">
        <v>7047</v>
      </c>
      <c r="H630" s="297" t="s">
        <v>7048</v>
      </c>
    </row>
    <row r="631" spans="1:8" ht="15.75" customHeight="1">
      <c r="A631" s="120" t="s">
        <v>7</v>
      </c>
      <c r="B631" s="298">
        <v>44714</v>
      </c>
      <c r="C631" s="165" t="s">
        <v>7099</v>
      </c>
      <c r="D631" s="113" t="s">
        <v>24</v>
      </c>
      <c r="E631" s="59">
        <v>23.4</v>
      </c>
      <c r="F631" s="165" t="s">
        <v>7100</v>
      </c>
      <c r="G631" s="165" t="s">
        <v>7101</v>
      </c>
      <c r="H631" s="299" t="s">
        <v>27623</v>
      </c>
    </row>
    <row r="632" spans="1:8" ht="15.75" customHeight="1">
      <c r="A632" s="120" t="s">
        <v>50</v>
      </c>
      <c r="B632" s="298">
        <v>44720</v>
      </c>
      <c r="C632" s="165" t="s">
        <v>7236</v>
      </c>
      <c r="D632" s="113" t="s">
        <v>24</v>
      </c>
      <c r="E632" s="59">
        <v>16</v>
      </c>
      <c r="F632" s="165" t="s">
        <v>27375</v>
      </c>
      <c r="G632" s="165" t="s">
        <v>27358</v>
      </c>
      <c r="H632" s="299" t="s">
        <v>27359</v>
      </c>
    </row>
    <row r="633" spans="1:8" ht="15.75" customHeight="1">
      <c r="A633" s="120" t="s">
        <v>52</v>
      </c>
      <c r="B633" s="298">
        <v>44714</v>
      </c>
      <c r="C633" s="165" t="s">
        <v>7102</v>
      </c>
      <c r="D633" s="113" t="s">
        <v>32</v>
      </c>
      <c r="E633" s="59">
        <v>29.49</v>
      </c>
      <c r="F633" s="165" t="s">
        <v>13220</v>
      </c>
      <c r="G633" s="165" t="s">
        <v>7545</v>
      </c>
      <c r="H633" s="299" t="s">
        <v>27471</v>
      </c>
    </row>
    <row r="634" spans="1:8" ht="15.75" customHeight="1" thickBot="1">
      <c r="A634" s="300" t="str">
        <f>CONCATENATE("MEDIANA - ",A629)</f>
        <v>MEDIANA - COT93</v>
      </c>
      <c r="B634" s="115"/>
      <c r="C634" s="115"/>
      <c r="D634" s="301"/>
      <c r="E634" s="150">
        <f>MEDIAN(E631:E633)</f>
        <v>23.4</v>
      </c>
      <c r="F634" s="301"/>
      <c r="G634" s="301"/>
      <c r="H634" s="302"/>
    </row>
    <row r="635" spans="1:8" ht="15.75" customHeight="1" thickBot="1">
      <c r="A635" s="272"/>
      <c r="B635" s="114"/>
      <c r="C635" s="114"/>
      <c r="D635" s="114"/>
      <c r="E635" s="114"/>
      <c r="F635" s="114"/>
      <c r="G635" s="114"/>
      <c r="H635" s="288"/>
    </row>
    <row r="636" spans="1:8" ht="15.75" customHeight="1">
      <c r="A636" s="289" t="s">
        <v>14375</v>
      </c>
      <c r="B636" s="290" t="s">
        <v>27831</v>
      </c>
      <c r="C636" s="290"/>
      <c r="D636" s="290"/>
      <c r="E636" s="290"/>
      <c r="F636" s="290"/>
      <c r="G636" s="290"/>
      <c r="H636" s="291"/>
    </row>
    <row r="637" spans="1:8" ht="15.75" customHeight="1">
      <c r="A637" s="292" t="s">
        <v>6</v>
      </c>
      <c r="B637" s="293" t="s">
        <v>7050</v>
      </c>
      <c r="C637" s="294" t="s">
        <v>7049</v>
      </c>
      <c r="D637" s="295" t="s">
        <v>24</v>
      </c>
      <c r="E637" s="296" t="s">
        <v>7046</v>
      </c>
      <c r="F637" s="293" t="s">
        <v>254</v>
      </c>
      <c r="G637" s="293" t="s">
        <v>7047</v>
      </c>
      <c r="H637" s="297" t="s">
        <v>7048</v>
      </c>
    </row>
    <row r="638" spans="1:8" ht="15.75" customHeight="1">
      <c r="A638" s="120" t="s">
        <v>7</v>
      </c>
      <c r="B638" s="298">
        <v>44714</v>
      </c>
      <c r="C638" s="165" t="s">
        <v>7099</v>
      </c>
      <c r="D638" s="113" t="s">
        <v>24</v>
      </c>
      <c r="E638" s="59">
        <v>69.900000000000006</v>
      </c>
      <c r="F638" s="165" t="s">
        <v>7100</v>
      </c>
      <c r="G638" s="165" t="s">
        <v>7101</v>
      </c>
      <c r="H638" s="299" t="s">
        <v>27623</v>
      </c>
    </row>
    <row r="639" spans="1:8" ht="15.75" customHeight="1">
      <c r="A639" s="120" t="s">
        <v>50</v>
      </c>
      <c r="B639" s="298">
        <v>44714</v>
      </c>
      <c r="C639" s="165" t="s">
        <v>27283</v>
      </c>
      <c r="D639" s="113" t="s">
        <v>24</v>
      </c>
      <c r="E639" s="59">
        <f>34.9+36.12</f>
        <v>71.02</v>
      </c>
      <c r="F639" s="165" t="s">
        <v>27643</v>
      </c>
      <c r="G639" s="165" t="s">
        <v>27644</v>
      </c>
      <c r="H639" s="303" t="s">
        <v>27645</v>
      </c>
    </row>
    <row r="640" spans="1:8" ht="15.75" customHeight="1">
      <c r="A640" s="120" t="s">
        <v>52</v>
      </c>
      <c r="B640" s="298">
        <v>44721</v>
      </c>
      <c r="C640" s="165" t="s">
        <v>27627</v>
      </c>
      <c r="D640" s="113" t="s">
        <v>24</v>
      </c>
      <c r="E640" s="59">
        <v>47.97</v>
      </c>
      <c r="F640" s="165" t="s">
        <v>27448</v>
      </c>
      <c r="G640" s="165" t="s">
        <v>27628</v>
      </c>
      <c r="H640" s="299" t="s">
        <v>27646</v>
      </c>
    </row>
    <row r="641" spans="1:8" ht="15.75" customHeight="1" thickBot="1">
      <c r="A641" s="300" t="str">
        <f>CONCATENATE("MEDIANA - ",A636)</f>
        <v>MEDIANA - COT94</v>
      </c>
      <c r="B641" s="115"/>
      <c r="C641" s="115"/>
      <c r="D641" s="301"/>
      <c r="E641" s="150">
        <f>MEDIAN(E638:E640)</f>
        <v>69.900000000000006</v>
      </c>
      <c r="F641" s="301"/>
      <c r="G641" s="301"/>
      <c r="H641" s="302"/>
    </row>
    <row r="642" spans="1:8" ht="15.75" customHeight="1" thickBot="1">
      <c r="A642" s="282"/>
      <c r="B642" s="283"/>
      <c r="C642" s="283"/>
      <c r="D642" s="283"/>
      <c r="E642" s="283"/>
      <c r="F642" s="283"/>
      <c r="G642" s="283"/>
      <c r="H642" s="284"/>
    </row>
    <row r="643" spans="1:8" ht="15.75" customHeight="1">
      <c r="A643" s="289" t="s">
        <v>14376</v>
      </c>
      <c r="B643" s="290" t="s">
        <v>309</v>
      </c>
      <c r="C643" s="290"/>
      <c r="D643" s="290"/>
      <c r="E643" s="290"/>
      <c r="F643" s="290"/>
      <c r="G643" s="290"/>
      <c r="H643" s="291"/>
    </row>
    <row r="644" spans="1:8" ht="15.75" customHeight="1">
      <c r="A644" s="292" t="s">
        <v>6</v>
      </c>
      <c r="B644" s="293" t="s">
        <v>7050</v>
      </c>
      <c r="C644" s="294" t="s">
        <v>7049</v>
      </c>
      <c r="D644" s="295" t="s">
        <v>24</v>
      </c>
      <c r="E644" s="296" t="s">
        <v>7046</v>
      </c>
      <c r="F644" s="293" t="s">
        <v>254</v>
      </c>
      <c r="G644" s="293" t="s">
        <v>7047</v>
      </c>
      <c r="H644" s="297" t="s">
        <v>7048</v>
      </c>
    </row>
    <row r="645" spans="1:8" ht="15.75" customHeight="1">
      <c r="A645" s="120" t="s">
        <v>7</v>
      </c>
      <c r="B645" s="298">
        <v>44714</v>
      </c>
      <c r="C645" s="165" t="s">
        <v>7099</v>
      </c>
      <c r="D645" s="113" t="s">
        <v>24</v>
      </c>
      <c r="E645" s="59">
        <v>335</v>
      </c>
      <c r="F645" s="165" t="s">
        <v>7100</v>
      </c>
      <c r="G645" s="165" t="s">
        <v>7101</v>
      </c>
      <c r="H645" s="299" t="s">
        <v>27623</v>
      </c>
    </row>
    <row r="646" spans="1:8" ht="15.75" customHeight="1">
      <c r="A646" s="120" t="s">
        <v>50</v>
      </c>
      <c r="B646" s="298">
        <v>44721</v>
      </c>
      <c r="C646" s="165" t="s">
        <v>13282</v>
      </c>
      <c r="D646" s="113" t="s">
        <v>24</v>
      </c>
      <c r="E646" s="59">
        <v>365.71</v>
      </c>
      <c r="F646" s="165" t="s">
        <v>27269</v>
      </c>
      <c r="G646" s="165" t="s">
        <v>27270</v>
      </c>
      <c r="H646" s="299" t="s">
        <v>27647</v>
      </c>
    </row>
    <row r="647" spans="1:8" ht="15.75" customHeight="1">
      <c r="A647" s="120" t="s">
        <v>52</v>
      </c>
      <c r="B647" s="298">
        <v>44720</v>
      </c>
      <c r="C647" s="165" t="s">
        <v>7236</v>
      </c>
      <c r="D647" s="113" t="s">
        <v>24</v>
      </c>
      <c r="E647" s="59">
        <v>244.06</v>
      </c>
      <c r="F647" s="165" t="s">
        <v>27375</v>
      </c>
      <c r="G647" s="165" t="s">
        <v>27358</v>
      </c>
      <c r="H647" s="299" t="s">
        <v>27359</v>
      </c>
    </row>
    <row r="648" spans="1:8" ht="15.75" customHeight="1" thickBot="1">
      <c r="A648" s="300" t="str">
        <f>CONCATENATE("MEDIANA - ",A643)</f>
        <v>MEDIANA - COT95</v>
      </c>
      <c r="B648" s="115"/>
      <c r="C648" s="115"/>
      <c r="D648" s="301"/>
      <c r="E648" s="150">
        <f>MEDIAN(E645:E647)</f>
        <v>335</v>
      </c>
      <c r="F648" s="301"/>
      <c r="G648" s="301"/>
      <c r="H648" s="302"/>
    </row>
    <row r="649" spans="1:8" ht="15.75" customHeight="1" thickBot="1">
      <c r="A649" s="282"/>
      <c r="B649" s="283"/>
      <c r="C649" s="283"/>
      <c r="D649" s="283"/>
      <c r="E649" s="283"/>
      <c r="F649" s="283"/>
      <c r="G649" s="283"/>
      <c r="H649" s="284"/>
    </row>
    <row r="650" spans="1:8" ht="15.75" customHeight="1">
      <c r="A650" s="289" t="s">
        <v>14377</v>
      </c>
      <c r="B650" s="290" t="s">
        <v>340</v>
      </c>
      <c r="C650" s="290"/>
      <c r="D650" s="290"/>
      <c r="E650" s="290"/>
      <c r="F650" s="290"/>
      <c r="G650" s="290"/>
      <c r="H650" s="291"/>
    </row>
    <row r="651" spans="1:8" ht="15.75" customHeight="1">
      <c r="A651" s="292" t="s">
        <v>6</v>
      </c>
      <c r="B651" s="293" t="s">
        <v>7050</v>
      </c>
      <c r="C651" s="294" t="s">
        <v>7049</v>
      </c>
      <c r="D651" s="295" t="s">
        <v>24</v>
      </c>
      <c r="E651" s="296" t="s">
        <v>7046</v>
      </c>
      <c r="F651" s="293" t="s">
        <v>254</v>
      </c>
      <c r="G651" s="293" t="s">
        <v>7047</v>
      </c>
      <c r="H651" s="297" t="s">
        <v>7048</v>
      </c>
    </row>
    <row r="652" spans="1:8" ht="15.75" customHeight="1">
      <c r="A652" s="120" t="s">
        <v>7</v>
      </c>
      <c r="B652" s="327">
        <v>44710</v>
      </c>
      <c r="C652" s="339" t="s">
        <v>27832</v>
      </c>
      <c r="D652" s="113" t="s">
        <v>24</v>
      </c>
      <c r="E652" s="57">
        <v>104.86</v>
      </c>
      <c r="F652" s="328" t="s">
        <v>27833</v>
      </c>
      <c r="G652" s="340" t="s">
        <v>27834</v>
      </c>
      <c r="H652" s="317" t="s">
        <v>27835</v>
      </c>
    </row>
    <row r="653" spans="1:8" ht="15.75" customHeight="1">
      <c r="A653" s="120" t="s">
        <v>50</v>
      </c>
      <c r="B653" s="327">
        <v>44729</v>
      </c>
      <c r="C653" s="165" t="s">
        <v>13274</v>
      </c>
      <c r="D653" s="113" t="s">
        <v>24</v>
      </c>
      <c r="E653" s="57">
        <v>92.27</v>
      </c>
      <c r="F653" s="341" t="s">
        <v>27282</v>
      </c>
      <c r="G653" s="165" t="s">
        <v>13275</v>
      </c>
      <c r="H653" s="317" t="s">
        <v>27836</v>
      </c>
    </row>
    <row r="654" spans="1:8" ht="15.75" customHeight="1">
      <c r="A654" s="120" t="s">
        <v>52</v>
      </c>
      <c r="B654" s="342">
        <v>44714</v>
      </c>
      <c r="C654" s="165" t="s">
        <v>7099</v>
      </c>
      <c r="D654" s="113" t="s">
        <v>24</v>
      </c>
      <c r="E654" s="59">
        <v>68.14</v>
      </c>
      <c r="F654" s="165" t="s">
        <v>7100</v>
      </c>
      <c r="G654" s="328" t="s">
        <v>7101</v>
      </c>
      <c r="H654" s="299" t="s">
        <v>27623</v>
      </c>
    </row>
    <row r="655" spans="1:8" ht="15.75" customHeight="1" thickBot="1">
      <c r="A655" s="300" t="str">
        <f>CONCATENATE("MEDIANA - ",A650)</f>
        <v>MEDIANA - COT96</v>
      </c>
      <c r="B655" s="115"/>
      <c r="C655" s="115"/>
      <c r="D655" s="301"/>
      <c r="E655" s="150">
        <f>MEDIAN(E652:E654)</f>
        <v>92.27</v>
      </c>
      <c r="F655" s="301"/>
      <c r="G655" s="301"/>
      <c r="H655" s="302"/>
    </row>
    <row r="656" spans="1:8" ht="15.75" customHeight="1" thickBot="1">
      <c r="A656" s="282"/>
      <c r="B656" s="283"/>
      <c r="C656" s="283"/>
      <c r="D656" s="283"/>
      <c r="E656" s="283"/>
      <c r="F656" s="283"/>
      <c r="G656" s="283"/>
      <c r="H656" s="284"/>
    </row>
    <row r="657" spans="1:8" ht="15.75" customHeight="1">
      <c r="A657" s="289" t="s">
        <v>14378</v>
      </c>
      <c r="B657" s="290" t="s">
        <v>27837</v>
      </c>
      <c r="C657" s="290"/>
      <c r="D657" s="290"/>
      <c r="E657" s="290"/>
      <c r="F657" s="290"/>
      <c r="G657" s="290"/>
      <c r="H657" s="291"/>
    </row>
    <row r="658" spans="1:8" ht="15.75" customHeight="1">
      <c r="A658" s="292" t="s">
        <v>6</v>
      </c>
      <c r="B658" s="293" t="s">
        <v>7050</v>
      </c>
      <c r="C658" s="294" t="s">
        <v>7049</v>
      </c>
      <c r="D658" s="295" t="s">
        <v>24</v>
      </c>
      <c r="E658" s="296" t="s">
        <v>7046</v>
      </c>
      <c r="F658" s="293" t="s">
        <v>254</v>
      </c>
      <c r="G658" s="293" t="s">
        <v>7047</v>
      </c>
      <c r="H658" s="297" t="s">
        <v>7048</v>
      </c>
    </row>
    <row r="659" spans="1:8" ht="15.75" customHeight="1">
      <c r="A659" s="120" t="s">
        <v>7</v>
      </c>
      <c r="B659" s="298">
        <v>44714</v>
      </c>
      <c r="C659" s="165" t="s">
        <v>27648</v>
      </c>
      <c r="D659" s="113" t="s">
        <v>32</v>
      </c>
      <c r="E659" s="59">
        <f>164.42+38.81</f>
        <v>203.23</v>
      </c>
      <c r="F659" s="165">
        <v>40032773</v>
      </c>
      <c r="G659" s="343" t="s">
        <v>27466</v>
      </c>
      <c r="H659" s="299" t="s">
        <v>27649</v>
      </c>
    </row>
    <row r="660" spans="1:8" ht="15.75" customHeight="1">
      <c r="A660" s="120" t="s">
        <v>50</v>
      </c>
      <c r="B660" s="298">
        <v>44714</v>
      </c>
      <c r="C660" s="165" t="s">
        <v>13282</v>
      </c>
      <c r="D660" s="113" t="s">
        <v>32</v>
      </c>
      <c r="E660" s="59">
        <v>115.71</v>
      </c>
      <c r="F660" s="165" t="s">
        <v>27608</v>
      </c>
      <c r="G660" s="165" t="s">
        <v>14203</v>
      </c>
      <c r="H660" s="299" t="s">
        <v>27650</v>
      </c>
    </row>
    <row r="661" spans="1:8" ht="15.75" customHeight="1">
      <c r="A661" s="120" t="s">
        <v>52</v>
      </c>
      <c r="B661" s="298">
        <v>44714</v>
      </c>
      <c r="C661" s="165" t="s">
        <v>13274</v>
      </c>
      <c r="D661" s="113" t="s">
        <v>32</v>
      </c>
      <c r="E661" s="59">
        <f>118.2+12.9</f>
        <v>131.1</v>
      </c>
      <c r="F661" s="165" t="s">
        <v>27282</v>
      </c>
      <c r="G661" s="165" t="s">
        <v>13275</v>
      </c>
      <c r="H661" s="299" t="s">
        <v>27651</v>
      </c>
    </row>
    <row r="662" spans="1:8" ht="15.75" customHeight="1" thickBot="1">
      <c r="A662" s="300" t="str">
        <f>CONCATENATE("MEDIANA - ",A657)</f>
        <v>MEDIANA - COT97</v>
      </c>
      <c r="B662" s="115"/>
      <c r="C662" s="115"/>
      <c r="D662" s="301"/>
      <c r="E662" s="150">
        <f>MEDIAN(E659:E661)</f>
        <v>131.1</v>
      </c>
      <c r="F662" s="301"/>
      <c r="G662" s="301"/>
      <c r="H662" s="302"/>
    </row>
    <row r="663" spans="1:8" ht="15.75" customHeight="1" thickBot="1">
      <c r="A663" s="272"/>
      <c r="B663" s="114"/>
      <c r="C663" s="114"/>
      <c r="D663" s="114"/>
      <c r="E663" s="114"/>
      <c r="F663" s="114"/>
      <c r="G663" s="114"/>
      <c r="H663" s="288"/>
    </row>
    <row r="664" spans="1:8" ht="15.75" customHeight="1">
      <c r="A664" s="289" t="s">
        <v>14379</v>
      </c>
      <c r="B664" s="290" t="s">
        <v>7247</v>
      </c>
      <c r="C664" s="290"/>
      <c r="D664" s="290"/>
      <c r="E664" s="290"/>
      <c r="F664" s="290"/>
      <c r="G664" s="290"/>
      <c r="H664" s="291"/>
    </row>
    <row r="665" spans="1:8" ht="15.75" customHeight="1">
      <c r="A665" s="292" t="s">
        <v>6</v>
      </c>
      <c r="B665" s="293" t="s">
        <v>7050</v>
      </c>
      <c r="C665" s="294" t="s">
        <v>7049</v>
      </c>
      <c r="D665" s="295" t="s">
        <v>24</v>
      </c>
      <c r="E665" s="296" t="s">
        <v>7046</v>
      </c>
      <c r="F665" s="293" t="s">
        <v>254</v>
      </c>
      <c r="G665" s="293" t="s">
        <v>7047</v>
      </c>
      <c r="H665" s="297" t="s">
        <v>7048</v>
      </c>
    </row>
    <row r="666" spans="1:8" ht="15.75" customHeight="1">
      <c r="A666" s="120" t="s">
        <v>7</v>
      </c>
      <c r="B666" s="298">
        <v>44721</v>
      </c>
      <c r="C666" s="165" t="s">
        <v>7241</v>
      </c>
      <c r="D666" s="113" t="s">
        <v>40</v>
      </c>
      <c r="E666" s="59">
        <v>10.85</v>
      </c>
      <c r="F666" s="165" t="s">
        <v>27652</v>
      </c>
      <c r="G666" s="165" t="s">
        <v>27653</v>
      </c>
      <c r="H666" s="303" t="s">
        <v>27654</v>
      </c>
    </row>
    <row r="667" spans="1:8" ht="15.75" customHeight="1">
      <c r="A667" s="120" t="s">
        <v>50</v>
      </c>
      <c r="B667" s="298">
        <v>44721</v>
      </c>
      <c r="C667" s="165" t="s">
        <v>27385</v>
      </c>
      <c r="D667" s="113" t="s">
        <v>40</v>
      </c>
      <c r="E667" s="59">
        <v>25.79</v>
      </c>
      <c r="F667" s="165" t="s">
        <v>27386</v>
      </c>
      <c r="G667" s="165" t="s">
        <v>27387</v>
      </c>
      <c r="H667" s="303" t="s">
        <v>27655</v>
      </c>
    </row>
    <row r="668" spans="1:8" ht="15.75" customHeight="1">
      <c r="A668" s="120" t="s">
        <v>52</v>
      </c>
      <c r="B668" s="298">
        <v>44721</v>
      </c>
      <c r="C668" s="165" t="s">
        <v>13401</v>
      </c>
      <c r="D668" s="113" t="s">
        <v>40</v>
      </c>
      <c r="E668" s="328">
        <v>12.768000000000001</v>
      </c>
      <c r="F668" s="165" t="s">
        <v>13402</v>
      </c>
      <c r="G668" s="165" t="s">
        <v>13403</v>
      </c>
      <c r="H668" s="303" t="s">
        <v>27656</v>
      </c>
    </row>
    <row r="669" spans="1:8" ht="15.75" customHeight="1" thickBot="1">
      <c r="A669" s="300" t="str">
        <f>CONCATENATE("MEDIANA - ",A664)</f>
        <v>MEDIANA - COT98</v>
      </c>
      <c r="B669" s="115"/>
      <c r="C669" s="115"/>
      <c r="D669" s="301"/>
      <c r="E669" s="150">
        <f>MEDIAN(E666:E668)</f>
        <v>12.768000000000001</v>
      </c>
      <c r="F669" s="301"/>
      <c r="G669" s="301"/>
      <c r="H669" s="302"/>
    </row>
    <row r="670" spans="1:8" ht="15.75" customHeight="1" thickBot="1">
      <c r="A670" s="272"/>
      <c r="B670" s="114"/>
      <c r="C670" s="114"/>
      <c r="D670" s="114"/>
      <c r="E670" s="114"/>
      <c r="F670" s="114"/>
      <c r="G670" s="114"/>
      <c r="H670" s="288"/>
    </row>
    <row r="671" spans="1:8" ht="15.75" customHeight="1">
      <c r="A671" s="289" t="s">
        <v>14380</v>
      </c>
      <c r="B671" s="290" t="s">
        <v>7250</v>
      </c>
      <c r="C671" s="290"/>
      <c r="D671" s="290"/>
      <c r="E671" s="290"/>
      <c r="F671" s="290"/>
      <c r="G671" s="290"/>
      <c r="H671" s="291"/>
    </row>
    <row r="672" spans="1:8" ht="15.75" customHeight="1">
      <c r="A672" s="292" t="s">
        <v>6</v>
      </c>
      <c r="B672" s="293" t="s">
        <v>7050</v>
      </c>
      <c r="C672" s="294" t="s">
        <v>7049</v>
      </c>
      <c r="D672" s="295" t="s">
        <v>24</v>
      </c>
      <c r="E672" s="296" t="s">
        <v>7046</v>
      </c>
      <c r="F672" s="293" t="s">
        <v>254</v>
      </c>
      <c r="G672" s="293" t="s">
        <v>7047</v>
      </c>
      <c r="H672" s="297" t="s">
        <v>7048</v>
      </c>
    </row>
    <row r="673" spans="1:8" ht="15.75" customHeight="1">
      <c r="A673" s="120" t="s">
        <v>7</v>
      </c>
      <c r="B673" s="298">
        <v>44724</v>
      </c>
      <c r="C673" s="165" t="s">
        <v>13268</v>
      </c>
      <c r="D673" s="113" t="s">
        <v>24</v>
      </c>
      <c r="E673" s="59">
        <v>4.67</v>
      </c>
      <c r="F673" s="165" t="s">
        <v>13270</v>
      </c>
      <c r="G673" s="165" t="s">
        <v>27838</v>
      </c>
      <c r="H673" s="303" t="s">
        <v>27839</v>
      </c>
    </row>
    <row r="674" spans="1:8" ht="15.75" customHeight="1">
      <c r="A674" s="120" t="s">
        <v>50</v>
      </c>
      <c r="B674" s="298">
        <v>44724</v>
      </c>
      <c r="C674" s="165" t="s">
        <v>27385</v>
      </c>
      <c r="D674" s="113" t="s">
        <v>24</v>
      </c>
      <c r="E674" s="59">
        <v>15.34</v>
      </c>
      <c r="F674" s="165" t="s">
        <v>27840</v>
      </c>
      <c r="G674" s="165" t="s">
        <v>27387</v>
      </c>
      <c r="H674" s="314" t="s">
        <v>27841</v>
      </c>
    </row>
    <row r="675" spans="1:8" ht="15.75" customHeight="1">
      <c r="A675" s="120" t="s">
        <v>52</v>
      </c>
      <c r="B675" s="298">
        <v>44724</v>
      </c>
      <c r="C675" s="165" t="s">
        <v>7241</v>
      </c>
      <c r="D675" s="113" t="s">
        <v>24</v>
      </c>
      <c r="E675" s="59">
        <v>7.36</v>
      </c>
      <c r="F675" s="165" t="s">
        <v>27842</v>
      </c>
      <c r="G675" s="165" t="s">
        <v>27843</v>
      </c>
      <c r="H675" s="303" t="s">
        <v>27844</v>
      </c>
    </row>
    <row r="676" spans="1:8" ht="15.75" customHeight="1" thickBot="1">
      <c r="A676" s="300" t="str">
        <f>CONCATENATE("MEDIANA - ",A671)</f>
        <v>MEDIANA - COT99</v>
      </c>
      <c r="B676" s="115"/>
      <c r="C676" s="115"/>
      <c r="D676" s="301"/>
      <c r="E676" s="150">
        <f>MEDIAN(E673:E675)</f>
        <v>7.36</v>
      </c>
      <c r="F676" s="301"/>
      <c r="G676" s="301"/>
      <c r="H676" s="302"/>
    </row>
    <row r="677" spans="1:8" ht="15.75" customHeight="1" thickBot="1">
      <c r="A677" s="272"/>
      <c r="B677" s="114"/>
      <c r="C677" s="114"/>
      <c r="D677" s="114"/>
      <c r="E677" s="114"/>
      <c r="F677" s="114"/>
      <c r="G677" s="114"/>
      <c r="H677" s="288"/>
    </row>
    <row r="678" spans="1:8" ht="15.75" customHeight="1">
      <c r="A678" s="323" t="s">
        <v>14381</v>
      </c>
      <c r="B678" s="262" t="s">
        <v>14159</v>
      </c>
      <c r="C678" s="262"/>
      <c r="D678" s="262"/>
      <c r="E678" s="262"/>
      <c r="F678" s="262"/>
      <c r="G678" s="262"/>
      <c r="H678" s="344"/>
    </row>
    <row r="679" spans="1:8" ht="15.75" customHeight="1">
      <c r="A679" s="119" t="s">
        <v>6</v>
      </c>
      <c r="B679" s="345" t="s">
        <v>7050</v>
      </c>
      <c r="C679" s="263" t="s">
        <v>7049</v>
      </c>
      <c r="D679" s="112" t="s">
        <v>24</v>
      </c>
      <c r="E679" s="149" t="s">
        <v>7046</v>
      </c>
      <c r="F679" s="345" t="s">
        <v>254</v>
      </c>
      <c r="G679" s="345" t="s">
        <v>7047</v>
      </c>
      <c r="H679" s="346" t="s">
        <v>7048</v>
      </c>
    </row>
    <row r="680" spans="1:8" ht="15.75" customHeight="1">
      <c r="A680" s="305" t="s">
        <v>7</v>
      </c>
      <c r="B680" s="347">
        <v>44725</v>
      </c>
      <c r="C680" s="166" t="s">
        <v>14202</v>
      </c>
      <c r="D680" s="60" t="s">
        <v>32</v>
      </c>
      <c r="E680" s="63">
        <v>1407.91</v>
      </c>
      <c r="F680" s="348" t="s">
        <v>27453</v>
      </c>
      <c r="G680" s="98" t="s">
        <v>14203</v>
      </c>
      <c r="H680" s="329" t="s">
        <v>14204</v>
      </c>
    </row>
    <row r="681" spans="1:8" ht="15.75" customHeight="1">
      <c r="A681" s="305" t="s">
        <v>50</v>
      </c>
      <c r="B681" s="347">
        <v>44728</v>
      </c>
      <c r="C681" s="166" t="s">
        <v>14205</v>
      </c>
      <c r="D681" s="60" t="s">
        <v>32</v>
      </c>
      <c r="E681" s="63">
        <v>1446.59</v>
      </c>
      <c r="F681" s="348" t="s">
        <v>27454</v>
      </c>
      <c r="G681" s="98" t="s">
        <v>27455</v>
      </c>
      <c r="H681" s="329" t="s">
        <v>14206</v>
      </c>
    </row>
    <row r="682" spans="1:8" ht="15.75" customHeight="1">
      <c r="A682" s="305" t="s">
        <v>52</v>
      </c>
      <c r="B682" s="347">
        <v>44728</v>
      </c>
      <c r="C682" s="166" t="s">
        <v>14207</v>
      </c>
      <c r="D682" s="60" t="s">
        <v>32</v>
      </c>
      <c r="E682" s="63">
        <v>1471.22</v>
      </c>
      <c r="F682" s="348" t="s">
        <v>27457</v>
      </c>
      <c r="G682" s="98" t="s">
        <v>27456</v>
      </c>
      <c r="H682" s="329" t="s">
        <v>14208</v>
      </c>
    </row>
    <row r="683" spans="1:8" ht="15.75" customHeight="1" thickBot="1">
      <c r="A683" s="300" t="str">
        <f>CONCATENATE("MEDIANA - ",A678)</f>
        <v>MEDIANA - COT102</v>
      </c>
      <c r="B683" s="115"/>
      <c r="C683" s="115"/>
      <c r="D683" s="301"/>
      <c r="E683" s="150">
        <f>MEDIAN(E680:E682)</f>
        <v>1446.59</v>
      </c>
      <c r="F683" s="301"/>
      <c r="G683" s="301"/>
      <c r="H683" s="302"/>
    </row>
    <row r="684" spans="1:8" ht="15.75" customHeight="1" thickBot="1">
      <c r="A684" s="272"/>
      <c r="B684" s="114"/>
      <c r="C684" s="114"/>
      <c r="D684" s="114"/>
      <c r="E684" s="114"/>
      <c r="F684" s="114"/>
      <c r="G684" s="114"/>
      <c r="H684" s="288"/>
    </row>
    <row r="685" spans="1:8" ht="15.75" customHeight="1" thickBot="1">
      <c r="A685" s="285" t="s">
        <v>7227</v>
      </c>
      <c r="B685" s="286"/>
      <c r="C685" s="286"/>
      <c r="D685" s="286"/>
      <c r="E685" s="286"/>
      <c r="F685" s="286"/>
      <c r="G685" s="286"/>
      <c r="H685" s="287"/>
    </row>
    <row r="686" spans="1:8" ht="15.75" customHeight="1" thickBot="1">
      <c r="A686" s="282"/>
      <c r="B686" s="283"/>
      <c r="C686" s="283"/>
      <c r="D686" s="283"/>
      <c r="E686" s="283"/>
      <c r="F686" s="283"/>
      <c r="G686" s="283"/>
      <c r="H686" s="284"/>
    </row>
    <row r="687" spans="1:8" ht="15.75" customHeight="1">
      <c r="A687" s="289" t="s">
        <v>14382</v>
      </c>
      <c r="B687" s="294" t="s">
        <v>27930</v>
      </c>
      <c r="C687" s="290"/>
      <c r="D687" s="290"/>
      <c r="E687" s="290"/>
      <c r="F687" s="290"/>
      <c r="G687" s="290"/>
      <c r="H687" s="291"/>
    </row>
    <row r="688" spans="1:8" ht="15.75" customHeight="1">
      <c r="A688" s="292" t="s">
        <v>6</v>
      </c>
      <c r="B688" s="293" t="s">
        <v>7050</v>
      </c>
      <c r="C688" s="294" t="s">
        <v>7049</v>
      </c>
      <c r="D688" s="295" t="s">
        <v>24</v>
      </c>
      <c r="E688" s="296" t="s">
        <v>7046</v>
      </c>
      <c r="F688" s="293" t="s">
        <v>254</v>
      </c>
      <c r="G688" s="293" t="s">
        <v>7047</v>
      </c>
      <c r="H688" s="297" t="s">
        <v>7048</v>
      </c>
    </row>
    <row r="689" spans="1:8" ht="15.75" customHeight="1">
      <c r="A689" s="165" t="s">
        <v>7</v>
      </c>
      <c r="B689" s="298">
        <v>44713</v>
      </c>
      <c r="C689" s="166" t="s">
        <v>27291</v>
      </c>
      <c r="D689" s="113" t="s">
        <v>32</v>
      </c>
      <c r="E689" s="59">
        <v>255.9</v>
      </c>
      <c r="F689" s="165"/>
      <c r="G689" s="165" t="s">
        <v>27327</v>
      </c>
      <c r="H689" s="299" t="s">
        <v>27931</v>
      </c>
    </row>
    <row r="690" spans="1:8" ht="15.75" customHeight="1">
      <c r="A690" s="165" t="s">
        <v>50</v>
      </c>
      <c r="B690" s="298">
        <v>44729</v>
      </c>
      <c r="C690" s="165" t="s">
        <v>13274</v>
      </c>
      <c r="D690" s="113" t="s">
        <v>32</v>
      </c>
      <c r="E690" s="59">
        <v>239.4</v>
      </c>
      <c r="F690" s="299" t="s">
        <v>27608</v>
      </c>
      <c r="G690" s="165" t="s">
        <v>13275</v>
      </c>
      <c r="H690" s="303" t="s">
        <v>27932</v>
      </c>
    </row>
    <row r="691" spans="1:8" ht="15.75" customHeight="1">
      <c r="A691" s="165" t="s">
        <v>52</v>
      </c>
      <c r="B691" s="298">
        <v>44713</v>
      </c>
      <c r="C691" s="165" t="s">
        <v>13282</v>
      </c>
      <c r="D691" s="113" t="s">
        <v>32</v>
      </c>
      <c r="E691" s="328">
        <v>211.5</v>
      </c>
      <c r="F691" s="299" t="s">
        <v>7255</v>
      </c>
      <c r="G691" s="165" t="s">
        <v>14203</v>
      </c>
      <c r="H691" s="299" t="s">
        <v>27933</v>
      </c>
    </row>
    <row r="692" spans="1:8" ht="15.75" customHeight="1" thickBot="1">
      <c r="A692" s="300" t="str">
        <f>CONCATENATE("MEDIANA - ",A687)</f>
        <v>MEDIANA - COT103</v>
      </c>
      <c r="B692" s="115"/>
      <c r="C692" s="115"/>
      <c r="D692" s="301"/>
      <c r="E692" s="150">
        <f>MEDIAN(E689:E691)</f>
        <v>239.4</v>
      </c>
      <c r="F692" s="301"/>
      <c r="G692" s="301"/>
      <c r="H692" s="302"/>
    </row>
    <row r="693" spans="1:8" ht="15.75" customHeight="1" thickBot="1">
      <c r="A693" s="282"/>
      <c r="B693" s="283"/>
      <c r="C693" s="283"/>
      <c r="D693" s="283"/>
      <c r="E693" s="283"/>
      <c r="F693" s="283"/>
      <c r="G693" s="283"/>
      <c r="H693" s="284"/>
    </row>
    <row r="694" spans="1:8" ht="15.75" customHeight="1">
      <c r="A694" s="289" t="s">
        <v>14383</v>
      </c>
      <c r="B694" s="290" t="s">
        <v>317</v>
      </c>
      <c r="C694" s="290"/>
      <c r="D694" s="290"/>
      <c r="E694" s="290"/>
      <c r="F694" s="290"/>
      <c r="G694" s="290"/>
      <c r="H694" s="291"/>
    </row>
    <row r="695" spans="1:8" ht="15.75" customHeight="1">
      <c r="A695" s="292" t="s">
        <v>6</v>
      </c>
      <c r="B695" s="293" t="s">
        <v>7050</v>
      </c>
      <c r="C695" s="294" t="s">
        <v>7049</v>
      </c>
      <c r="D695" s="295" t="s">
        <v>24</v>
      </c>
      <c r="E695" s="296" t="s">
        <v>7046</v>
      </c>
      <c r="F695" s="293" t="s">
        <v>254</v>
      </c>
      <c r="G695" s="293" t="s">
        <v>7047</v>
      </c>
      <c r="H695" s="297" t="s">
        <v>7048</v>
      </c>
    </row>
    <row r="696" spans="1:8" ht="15.75" customHeight="1">
      <c r="A696" s="120" t="s">
        <v>7</v>
      </c>
      <c r="B696" s="298">
        <v>44721</v>
      </c>
      <c r="C696" s="165" t="s">
        <v>27657</v>
      </c>
      <c r="D696" s="113" t="s">
        <v>24</v>
      </c>
      <c r="E696" s="59">
        <v>19.52</v>
      </c>
      <c r="F696" s="165" t="s">
        <v>7251</v>
      </c>
      <c r="G696" s="165" t="s">
        <v>27658</v>
      </c>
      <c r="H696" s="299" t="s">
        <v>27659</v>
      </c>
    </row>
    <row r="697" spans="1:8" ht="15.75" customHeight="1">
      <c r="A697" s="120" t="s">
        <v>50</v>
      </c>
      <c r="B697" s="298">
        <v>44714</v>
      </c>
      <c r="C697" s="165" t="s">
        <v>27660</v>
      </c>
      <c r="D697" s="113" t="s">
        <v>32</v>
      </c>
      <c r="E697" s="59">
        <v>24</v>
      </c>
      <c r="F697" s="165" t="s">
        <v>13238</v>
      </c>
      <c r="G697" s="326" t="s">
        <v>13404</v>
      </c>
      <c r="H697" s="299" t="s">
        <v>13239</v>
      </c>
    </row>
    <row r="698" spans="1:8" ht="15.75" customHeight="1">
      <c r="A698" s="120" t="s">
        <v>52</v>
      </c>
      <c r="B698" s="298">
        <v>44719</v>
      </c>
      <c r="C698" s="165" t="s">
        <v>27664</v>
      </c>
      <c r="D698" s="113" t="s">
        <v>32</v>
      </c>
      <c r="E698" s="59">
        <v>19.02</v>
      </c>
      <c r="F698" s="165" t="s">
        <v>13309</v>
      </c>
      <c r="G698" s="165" t="s">
        <v>13310</v>
      </c>
      <c r="H698" s="299" t="s">
        <v>27828</v>
      </c>
    </row>
    <row r="699" spans="1:8" ht="15.75" customHeight="1" thickBot="1">
      <c r="A699" s="300" t="str">
        <f>CONCATENATE("MEDIANA - ",A694)</f>
        <v>MEDIANA - COT104</v>
      </c>
      <c r="B699" s="115"/>
      <c r="C699" s="115"/>
      <c r="D699" s="301"/>
      <c r="E699" s="150">
        <f>MEDIAN(E696:E698)</f>
        <v>19.52</v>
      </c>
      <c r="F699" s="301"/>
      <c r="G699" s="301"/>
      <c r="H699" s="302"/>
    </row>
    <row r="700" spans="1:8" ht="15.75" customHeight="1" thickBot="1">
      <c r="A700" s="282"/>
      <c r="B700" s="283"/>
      <c r="C700" s="283"/>
      <c r="D700" s="283"/>
      <c r="E700" s="283"/>
      <c r="F700" s="283"/>
      <c r="G700" s="283"/>
      <c r="H700" s="284"/>
    </row>
    <row r="701" spans="1:8" ht="15.75" customHeight="1">
      <c r="A701" s="289" t="s">
        <v>14384</v>
      </c>
      <c r="B701" s="290" t="s">
        <v>316</v>
      </c>
      <c r="C701" s="290"/>
      <c r="D701" s="290"/>
      <c r="E701" s="290"/>
      <c r="F701" s="290"/>
      <c r="G701" s="290"/>
      <c r="H701" s="291"/>
    </row>
    <row r="702" spans="1:8" ht="15.75" customHeight="1">
      <c r="A702" s="292" t="s">
        <v>6</v>
      </c>
      <c r="B702" s="293" t="s">
        <v>7050</v>
      </c>
      <c r="C702" s="294" t="s">
        <v>7049</v>
      </c>
      <c r="D702" s="295" t="s">
        <v>24</v>
      </c>
      <c r="E702" s="296" t="s">
        <v>7046</v>
      </c>
      <c r="F702" s="293" t="s">
        <v>254</v>
      </c>
      <c r="G702" s="293" t="s">
        <v>7047</v>
      </c>
      <c r="H702" s="297" t="s">
        <v>7048</v>
      </c>
    </row>
    <row r="703" spans="1:8" ht="15.75" customHeight="1">
      <c r="A703" s="120" t="s">
        <v>7</v>
      </c>
      <c r="B703" s="298">
        <v>44719</v>
      </c>
      <c r="C703" s="165" t="s">
        <v>27845</v>
      </c>
      <c r="D703" s="113" t="str">
        <f>D702</f>
        <v>UND</v>
      </c>
      <c r="E703" s="59">
        <v>20.239999999999998</v>
      </c>
      <c r="F703" s="165" t="s">
        <v>7255</v>
      </c>
      <c r="G703" s="165" t="s">
        <v>7254</v>
      </c>
      <c r="H703" s="299" t="s">
        <v>7256</v>
      </c>
    </row>
    <row r="704" spans="1:8" ht="15.75" customHeight="1">
      <c r="A704" s="120" t="s">
        <v>50</v>
      </c>
      <c r="B704" s="298">
        <v>44721</v>
      </c>
      <c r="C704" s="165" t="s">
        <v>27657</v>
      </c>
      <c r="D704" s="113" t="s">
        <v>24</v>
      </c>
      <c r="E704" s="59">
        <v>17.39</v>
      </c>
      <c r="F704" s="165" t="s">
        <v>7251</v>
      </c>
      <c r="G704" s="165" t="s">
        <v>27658</v>
      </c>
      <c r="H704" s="299" t="s">
        <v>27659</v>
      </c>
    </row>
    <row r="705" spans="1:8" ht="15.75" customHeight="1">
      <c r="A705" s="120" t="s">
        <v>52</v>
      </c>
      <c r="B705" s="298">
        <v>44720</v>
      </c>
      <c r="C705" s="165" t="s">
        <v>27667</v>
      </c>
      <c r="D705" s="113" t="s">
        <v>24</v>
      </c>
      <c r="E705" s="59">
        <v>22.53</v>
      </c>
      <c r="F705" s="165" t="s">
        <v>13393</v>
      </c>
      <c r="G705" s="165" t="s">
        <v>27846</v>
      </c>
      <c r="H705" s="324" t="s">
        <v>27847</v>
      </c>
    </row>
    <row r="706" spans="1:8" ht="15.75" customHeight="1" thickBot="1">
      <c r="A706" s="300" t="str">
        <f>CONCATENATE("MEDIANA - ",A701)</f>
        <v>MEDIANA - COT105</v>
      </c>
      <c r="B706" s="115"/>
      <c r="C706" s="115"/>
      <c r="D706" s="301"/>
      <c r="E706" s="150">
        <f>MEDIAN(E703:E705)</f>
        <v>20.239999999999998</v>
      </c>
      <c r="F706" s="301"/>
      <c r="G706" s="301"/>
      <c r="H706" s="302"/>
    </row>
    <row r="707" spans="1:8" ht="15.75" customHeight="1" thickBot="1">
      <c r="A707" s="282"/>
      <c r="B707" s="283"/>
      <c r="C707" s="283"/>
      <c r="D707" s="283"/>
      <c r="E707" s="283"/>
      <c r="F707" s="283"/>
      <c r="G707" s="283"/>
      <c r="H707" s="284"/>
    </row>
    <row r="708" spans="1:8" ht="15.75" customHeight="1">
      <c r="A708" s="289" t="s">
        <v>14385</v>
      </c>
      <c r="B708" s="290" t="s">
        <v>7743</v>
      </c>
      <c r="C708" s="290"/>
      <c r="D708" s="290"/>
      <c r="E708" s="290"/>
      <c r="F708" s="290"/>
      <c r="G708" s="290"/>
      <c r="H708" s="291"/>
    </row>
    <row r="709" spans="1:8" ht="15.75" customHeight="1">
      <c r="A709" s="292" t="s">
        <v>6</v>
      </c>
      <c r="B709" s="293" t="s">
        <v>7050</v>
      </c>
      <c r="C709" s="294" t="s">
        <v>7049</v>
      </c>
      <c r="D709" s="295" t="s">
        <v>24</v>
      </c>
      <c r="E709" s="296" t="s">
        <v>7046</v>
      </c>
      <c r="F709" s="293" t="s">
        <v>254</v>
      </c>
      <c r="G709" s="293" t="s">
        <v>7047</v>
      </c>
      <c r="H709" s="297" t="s">
        <v>7048</v>
      </c>
    </row>
    <row r="710" spans="1:8" ht="15.75" customHeight="1">
      <c r="A710" s="120" t="s">
        <v>7</v>
      </c>
      <c r="B710" s="298">
        <v>44720</v>
      </c>
      <c r="C710" s="165" t="s">
        <v>27848</v>
      </c>
      <c r="D710" s="113" t="s">
        <v>32</v>
      </c>
      <c r="E710" s="59">
        <v>68.08</v>
      </c>
      <c r="F710" s="165" t="s">
        <v>27661</v>
      </c>
      <c r="G710" s="165" t="s">
        <v>27662</v>
      </c>
      <c r="H710" s="299" t="s">
        <v>27663</v>
      </c>
    </row>
    <row r="711" spans="1:8" ht="15.75" customHeight="1">
      <c r="A711" s="120" t="s">
        <v>50</v>
      </c>
      <c r="B711" s="298">
        <v>44719</v>
      </c>
      <c r="C711" s="165" t="s">
        <v>27673</v>
      </c>
      <c r="D711" s="113" t="s">
        <v>7238</v>
      </c>
      <c r="E711" s="59">
        <v>192.84</v>
      </c>
      <c r="F711" s="165" t="s">
        <v>7255</v>
      </c>
      <c r="G711" s="165" t="s">
        <v>7254</v>
      </c>
      <c r="H711" s="299" t="s">
        <v>27671</v>
      </c>
    </row>
    <row r="712" spans="1:8" ht="15.75" customHeight="1">
      <c r="A712" s="120" t="s">
        <v>52</v>
      </c>
      <c r="B712" s="298">
        <v>44719</v>
      </c>
      <c r="C712" s="165" t="s">
        <v>27664</v>
      </c>
      <c r="D712" s="113" t="s">
        <v>32</v>
      </c>
      <c r="E712" s="59">
        <v>79.64</v>
      </c>
      <c r="F712" s="165" t="s">
        <v>13309</v>
      </c>
      <c r="G712" s="165" t="s">
        <v>13310</v>
      </c>
      <c r="H712" s="299" t="s">
        <v>27585</v>
      </c>
    </row>
    <row r="713" spans="1:8" ht="15.75" customHeight="1" thickBot="1">
      <c r="A713" s="300" t="str">
        <f>CONCATENATE("MEDIANA - ",A708)</f>
        <v>MEDIANA - COT106</v>
      </c>
      <c r="B713" s="115"/>
      <c r="C713" s="115"/>
      <c r="D713" s="301"/>
      <c r="E713" s="150">
        <f>MEDIAN(E710:E712)</f>
        <v>79.64</v>
      </c>
      <c r="F713" s="301"/>
      <c r="G713" s="301"/>
      <c r="H713" s="302"/>
    </row>
    <row r="714" spans="1:8" ht="15.75" customHeight="1" thickBot="1">
      <c r="A714" s="282"/>
      <c r="B714" s="283"/>
      <c r="C714" s="283"/>
      <c r="D714" s="283"/>
      <c r="E714" s="283"/>
      <c r="F714" s="283"/>
      <c r="G714" s="283"/>
      <c r="H714" s="284"/>
    </row>
    <row r="715" spans="1:8" ht="15.75" customHeight="1" thickBot="1">
      <c r="A715" s="349" t="s">
        <v>14386</v>
      </c>
      <c r="B715" s="290" t="s">
        <v>7745</v>
      </c>
      <c r="C715" s="290"/>
      <c r="D715" s="290"/>
      <c r="E715" s="290"/>
      <c r="F715" s="290"/>
      <c r="G715" s="290"/>
      <c r="H715" s="350"/>
    </row>
    <row r="716" spans="1:8" ht="15.75" customHeight="1">
      <c r="A716" s="290" t="s">
        <v>6</v>
      </c>
      <c r="B716" s="290" t="s">
        <v>7050</v>
      </c>
      <c r="C716" s="290" t="s">
        <v>7049</v>
      </c>
      <c r="D716" s="290" t="s">
        <v>24</v>
      </c>
      <c r="E716" s="290" t="s">
        <v>7046</v>
      </c>
      <c r="F716" s="290" t="s">
        <v>254</v>
      </c>
      <c r="G716" s="290" t="s">
        <v>7047</v>
      </c>
      <c r="H716" s="350" t="s">
        <v>7048</v>
      </c>
    </row>
    <row r="717" spans="1:8" ht="15.75" customHeight="1">
      <c r="A717" s="120" t="s">
        <v>7</v>
      </c>
      <c r="B717" s="298">
        <v>44731</v>
      </c>
      <c r="C717" s="165" t="s">
        <v>27942</v>
      </c>
      <c r="D717" s="113" t="s">
        <v>32</v>
      </c>
      <c r="E717" s="59">
        <v>5.6589999999999998</v>
      </c>
      <c r="F717" s="165" t="s">
        <v>27282</v>
      </c>
      <c r="G717" s="165" t="s">
        <v>27327</v>
      </c>
      <c r="H717" s="303" t="s">
        <v>27943</v>
      </c>
    </row>
    <row r="718" spans="1:8" ht="15.75" customHeight="1">
      <c r="A718" s="120" t="s">
        <v>50</v>
      </c>
      <c r="B718" s="298">
        <v>44719</v>
      </c>
      <c r="C718" s="165" t="s">
        <v>27673</v>
      </c>
      <c r="D718" s="113" t="s">
        <v>7238</v>
      </c>
      <c r="E718" s="59"/>
      <c r="F718" s="165" t="s">
        <v>7255</v>
      </c>
      <c r="G718" s="165" t="s">
        <v>7254</v>
      </c>
      <c r="H718" s="351" t="s">
        <v>27944</v>
      </c>
    </row>
    <row r="719" spans="1:8" ht="15.75" customHeight="1">
      <c r="A719" s="120" t="s">
        <v>52</v>
      </c>
      <c r="B719" s="298">
        <v>44719</v>
      </c>
      <c r="C719" s="165" t="s">
        <v>27664</v>
      </c>
      <c r="D719" s="113" t="s">
        <v>32</v>
      </c>
      <c r="E719" s="59"/>
      <c r="F719" s="165" t="s">
        <v>13309</v>
      </c>
      <c r="G719" s="165" t="s">
        <v>13310</v>
      </c>
      <c r="H719" s="351" t="s">
        <v>27944</v>
      </c>
    </row>
    <row r="720" spans="1:8" ht="15.75" customHeight="1" thickBot="1">
      <c r="A720" s="300" t="str">
        <f>CONCATENATE("MEDIANA - ",A715)</f>
        <v>MEDIANA - COT107</v>
      </c>
      <c r="B720" s="115"/>
      <c r="C720" s="115"/>
      <c r="D720" s="301"/>
      <c r="E720" s="150">
        <f>MEDIAN(E717:E719)</f>
        <v>5.6589999999999998</v>
      </c>
      <c r="F720" s="301"/>
      <c r="G720" s="301"/>
      <c r="H720" s="302"/>
    </row>
    <row r="721" spans="1:8" ht="15.75" customHeight="1" thickBot="1">
      <c r="A721" s="282"/>
      <c r="B721" s="283"/>
      <c r="C721" s="283"/>
      <c r="D721" s="283"/>
      <c r="E721" s="283"/>
      <c r="F721" s="283"/>
      <c r="G721" s="283"/>
      <c r="H721" s="284"/>
    </row>
    <row r="722" spans="1:8" ht="15.75" customHeight="1">
      <c r="A722" s="289" t="s">
        <v>14387</v>
      </c>
      <c r="B722" s="290" t="s">
        <v>318</v>
      </c>
      <c r="C722" s="290"/>
      <c r="D722" s="290"/>
      <c r="E722" s="290"/>
      <c r="F722" s="290"/>
      <c r="G722" s="290"/>
      <c r="H722" s="291"/>
    </row>
    <row r="723" spans="1:8" ht="15.75" customHeight="1">
      <c r="A723" s="292" t="s">
        <v>6</v>
      </c>
      <c r="B723" s="293" t="s">
        <v>7050</v>
      </c>
      <c r="C723" s="294" t="s">
        <v>7049</v>
      </c>
      <c r="D723" s="295" t="s">
        <v>24</v>
      </c>
      <c r="E723" s="296" t="s">
        <v>7046</v>
      </c>
      <c r="F723" s="293" t="s">
        <v>254</v>
      </c>
      <c r="G723" s="293" t="s">
        <v>7047</v>
      </c>
      <c r="H723" s="297" t="s">
        <v>7048</v>
      </c>
    </row>
    <row r="724" spans="1:8" ht="15.75" customHeight="1">
      <c r="A724" s="120" t="s">
        <v>7</v>
      </c>
      <c r="B724" s="298">
        <v>44719</v>
      </c>
      <c r="C724" s="165" t="s">
        <v>27664</v>
      </c>
      <c r="D724" s="113" t="s">
        <v>32</v>
      </c>
      <c r="E724" s="59">
        <v>125</v>
      </c>
      <c r="F724" s="165" t="s">
        <v>13309</v>
      </c>
      <c r="G724" s="165" t="s">
        <v>13310</v>
      </c>
      <c r="H724" s="299" t="s">
        <v>27666</v>
      </c>
    </row>
    <row r="725" spans="1:8" ht="15.75" customHeight="1">
      <c r="A725" s="120" t="s">
        <v>50</v>
      </c>
      <c r="B725" s="298">
        <v>44722</v>
      </c>
      <c r="C725" s="165" t="s">
        <v>13401</v>
      </c>
      <c r="D725" s="113" t="s">
        <v>7238</v>
      </c>
      <c r="E725" s="59">
        <v>94.38</v>
      </c>
      <c r="F725" s="165" t="s">
        <v>27849</v>
      </c>
      <c r="G725" s="165" t="s">
        <v>13403</v>
      </c>
      <c r="H725" s="303" t="s">
        <v>27850</v>
      </c>
    </row>
    <row r="726" spans="1:8" ht="15.75" customHeight="1">
      <c r="A726" s="120" t="s">
        <v>52</v>
      </c>
      <c r="B726" s="298">
        <v>44721</v>
      </c>
      <c r="C726" s="165" t="s">
        <v>27851</v>
      </c>
      <c r="D726" s="113" t="s">
        <v>32</v>
      </c>
      <c r="E726" s="59">
        <v>78.8</v>
      </c>
      <c r="F726" s="165" t="s">
        <v>13238</v>
      </c>
      <c r="G726" s="165" t="s">
        <v>27384</v>
      </c>
      <c r="H726" s="299" t="s">
        <v>27659</v>
      </c>
    </row>
    <row r="727" spans="1:8" ht="15.75" customHeight="1" thickBot="1">
      <c r="A727" s="300" t="str">
        <f>CONCATENATE("MEDIANA - ",A722)</f>
        <v>MEDIANA - COT108</v>
      </c>
      <c r="B727" s="115"/>
      <c r="C727" s="115"/>
      <c r="D727" s="301"/>
      <c r="E727" s="150">
        <f>MEDIAN(E724:E726)</f>
        <v>94.38</v>
      </c>
      <c r="F727" s="301"/>
      <c r="G727" s="301"/>
      <c r="H727" s="302"/>
    </row>
    <row r="728" spans="1:8" ht="15.75" customHeight="1" thickBot="1">
      <c r="A728" s="282"/>
      <c r="B728" s="283"/>
      <c r="C728" s="283"/>
      <c r="D728" s="283"/>
      <c r="E728" s="283"/>
      <c r="F728" s="283"/>
      <c r="G728" s="283"/>
      <c r="H728" s="284"/>
    </row>
    <row r="729" spans="1:8" ht="15.75" customHeight="1">
      <c r="A729" s="289" t="s">
        <v>14388</v>
      </c>
      <c r="B729" s="290" t="s">
        <v>319</v>
      </c>
      <c r="C729" s="290"/>
      <c r="D729" s="290"/>
      <c r="E729" s="290"/>
      <c r="F729" s="290"/>
      <c r="G729" s="290"/>
      <c r="H729" s="291"/>
    </row>
    <row r="730" spans="1:8" ht="15.75" customHeight="1">
      <c r="A730" s="292" t="s">
        <v>6</v>
      </c>
      <c r="B730" s="293" t="s">
        <v>7050</v>
      </c>
      <c r="C730" s="294" t="s">
        <v>7049</v>
      </c>
      <c r="D730" s="295" t="s">
        <v>24</v>
      </c>
      <c r="E730" s="296" t="s">
        <v>7046</v>
      </c>
      <c r="F730" s="293" t="s">
        <v>254</v>
      </c>
      <c r="G730" s="293" t="s">
        <v>7047</v>
      </c>
      <c r="H730" s="297" t="s">
        <v>7048</v>
      </c>
    </row>
    <row r="731" spans="1:8" ht="15.75" customHeight="1">
      <c r="A731" s="120" t="s">
        <v>7</v>
      </c>
      <c r="B731" s="298">
        <v>44690</v>
      </c>
      <c r="C731" s="165" t="s">
        <v>27657</v>
      </c>
      <c r="D731" s="113" t="s">
        <v>32</v>
      </c>
      <c r="E731" s="59">
        <v>25.46</v>
      </c>
      <c r="F731" s="165" t="s">
        <v>7251</v>
      </c>
      <c r="G731" s="165" t="s">
        <v>27384</v>
      </c>
      <c r="H731" s="299" t="s">
        <v>27685</v>
      </c>
    </row>
    <row r="732" spans="1:8" ht="15.75" customHeight="1">
      <c r="A732" s="120" t="s">
        <v>50</v>
      </c>
      <c r="B732" s="298">
        <v>44710</v>
      </c>
      <c r="C732" s="165" t="s">
        <v>13274</v>
      </c>
      <c r="D732" s="60" t="s">
        <v>32</v>
      </c>
      <c r="E732" s="57">
        <v>38.11</v>
      </c>
      <c r="F732" s="166" t="s">
        <v>27309</v>
      </c>
      <c r="G732" s="165" t="s">
        <v>13275</v>
      </c>
      <c r="H732" s="303" t="s">
        <v>27388</v>
      </c>
    </row>
    <row r="733" spans="1:8" ht="15.75" customHeight="1">
      <c r="A733" s="120" t="s">
        <v>52</v>
      </c>
      <c r="B733" s="298">
        <v>44719</v>
      </c>
      <c r="C733" s="165" t="s">
        <v>27670</v>
      </c>
      <c r="D733" s="113" t="s">
        <v>7238</v>
      </c>
      <c r="E733" s="59">
        <v>44.21</v>
      </c>
      <c r="F733" s="165" t="s">
        <v>7255</v>
      </c>
      <c r="G733" s="165" t="s">
        <v>7254</v>
      </c>
      <c r="H733" s="299" t="s">
        <v>27671</v>
      </c>
    </row>
    <row r="734" spans="1:8" ht="15.75" customHeight="1" thickBot="1">
      <c r="A734" s="300" t="str">
        <f>CONCATENATE("MEDIANA - ",A729)</f>
        <v>MEDIANA - COT109</v>
      </c>
      <c r="B734" s="115"/>
      <c r="C734" s="115"/>
      <c r="D734" s="301"/>
      <c r="E734" s="150">
        <f>MEDIAN(E731:E733)</f>
        <v>38.11</v>
      </c>
      <c r="F734" s="301"/>
      <c r="G734" s="301"/>
      <c r="H734" s="302"/>
    </row>
    <row r="735" spans="1:8" ht="15.75" customHeight="1" thickBot="1">
      <c r="A735" s="282"/>
      <c r="B735" s="283"/>
      <c r="C735" s="283"/>
      <c r="D735" s="283"/>
      <c r="E735" s="283"/>
      <c r="F735" s="283"/>
      <c r="G735" s="283"/>
      <c r="H735" s="284"/>
    </row>
    <row r="736" spans="1:8" ht="15.75" customHeight="1">
      <c r="A736" s="289" t="s">
        <v>14389</v>
      </c>
      <c r="B736" s="290" t="s">
        <v>320</v>
      </c>
      <c r="C736" s="290"/>
      <c r="D736" s="290"/>
      <c r="E736" s="290"/>
      <c r="F736" s="290"/>
      <c r="G736" s="290"/>
      <c r="H736" s="291"/>
    </row>
    <row r="737" spans="1:8" ht="15.75" customHeight="1">
      <c r="A737" s="292" t="s">
        <v>6</v>
      </c>
      <c r="B737" s="293" t="s">
        <v>7050</v>
      </c>
      <c r="C737" s="294" t="s">
        <v>7049</v>
      </c>
      <c r="D737" s="295" t="s">
        <v>24</v>
      </c>
      <c r="E737" s="296" t="s">
        <v>7046</v>
      </c>
      <c r="F737" s="293" t="s">
        <v>254</v>
      </c>
      <c r="G737" s="293" t="s">
        <v>7047</v>
      </c>
      <c r="H737" s="297" t="s">
        <v>7048</v>
      </c>
    </row>
    <row r="738" spans="1:8" ht="15.75" customHeight="1">
      <c r="A738" s="120" t="s">
        <v>7</v>
      </c>
      <c r="B738" s="298">
        <v>44714</v>
      </c>
      <c r="C738" s="165" t="s">
        <v>27665</v>
      </c>
      <c r="D738" s="113" t="s">
        <v>32</v>
      </c>
      <c r="E738" s="59">
        <v>26.2</v>
      </c>
      <c r="F738" s="165" t="s">
        <v>13238</v>
      </c>
      <c r="G738" s="326" t="s">
        <v>13404</v>
      </c>
      <c r="H738" s="299" t="s">
        <v>13239</v>
      </c>
    </row>
    <row r="739" spans="1:8" ht="15.75" customHeight="1">
      <c r="A739" s="120" t="s">
        <v>50</v>
      </c>
      <c r="B739" s="298">
        <v>44718</v>
      </c>
      <c r="C739" s="165" t="s">
        <v>27672</v>
      </c>
      <c r="D739" s="113" t="s">
        <v>7238</v>
      </c>
      <c r="E739" s="59">
        <v>26.78</v>
      </c>
      <c r="F739" s="165" t="s">
        <v>13309</v>
      </c>
      <c r="G739" s="165" t="s">
        <v>13310</v>
      </c>
      <c r="H739" s="299" t="s">
        <v>27666</v>
      </c>
    </row>
    <row r="740" spans="1:8" ht="15.75" customHeight="1">
      <c r="A740" s="120" t="s">
        <v>52</v>
      </c>
      <c r="B740" s="298">
        <v>44720</v>
      </c>
      <c r="C740" s="165" t="s">
        <v>27667</v>
      </c>
      <c r="D740" s="113" t="s">
        <v>32</v>
      </c>
      <c r="E740" s="328">
        <v>30.05</v>
      </c>
      <c r="F740" s="299" t="s">
        <v>27668</v>
      </c>
      <c r="G740" s="165" t="s">
        <v>27846</v>
      </c>
      <c r="H740" s="324" t="s">
        <v>27847</v>
      </c>
    </row>
    <row r="741" spans="1:8" ht="15.75" customHeight="1" thickBot="1">
      <c r="A741" s="300" t="str">
        <f>CONCATENATE("MEDIANA - ",A736)</f>
        <v>MEDIANA - COT110</v>
      </c>
      <c r="B741" s="115"/>
      <c r="C741" s="115"/>
      <c r="D741" s="301"/>
      <c r="E741" s="150">
        <f>MEDIAN(E738:E740)</f>
        <v>26.78</v>
      </c>
      <c r="F741" s="301"/>
      <c r="G741" s="301"/>
      <c r="H741" s="302"/>
    </row>
    <row r="742" spans="1:8" ht="15.75" customHeight="1" thickBot="1">
      <c r="A742" s="282"/>
      <c r="B742" s="283"/>
      <c r="C742" s="283"/>
      <c r="D742" s="283"/>
      <c r="E742" s="283"/>
      <c r="F742" s="283"/>
      <c r="G742" s="283"/>
      <c r="H742" s="284"/>
    </row>
    <row r="743" spans="1:8" ht="15.75" customHeight="1">
      <c r="A743" s="289" t="s">
        <v>14390</v>
      </c>
      <c r="B743" s="290" t="s">
        <v>321</v>
      </c>
      <c r="C743" s="290"/>
      <c r="D743" s="290"/>
      <c r="E743" s="290"/>
      <c r="F743" s="290"/>
      <c r="G743" s="290"/>
      <c r="H743" s="291"/>
    </row>
    <row r="744" spans="1:8" ht="15.75" customHeight="1">
      <c r="A744" s="292" t="s">
        <v>6</v>
      </c>
      <c r="B744" s="293" t="s">
        <v>7050</v>
      </c>
      <c r="C744" s="294" t="s">
        <v>7049</v>
      </c>
      <c r="D744" s="295" t="s">
        <v>24</v>
      </c>
      <c r="E744" s="296" t="s">
        <v>7046</v>
      </c>
      <c r="F744" s="293" t="s">
        <v>254</v>
      </c>
      <c r="G744" s="293" t="s">
        <v>7047</v>
      </c>
      <c r="H744" s="297" t="s">
        <v>7048</v>
      </c>
    </row>
    <row r="745" spans="1:8" ht="15.75" customHeight="1">
      <c r="A745" s="120" t="s">
        <v>7</v>
      </c>
      <c r="B745" s="298">
        <v>44714</v>
      </c>
      <c r="C745" s="165" t="s">
        <v>27665</v>
      </c>
      <c r="D745" s="113" t="s">
        <v>32</v>
      </c>
      <c r="E745" s="59">
        <v>9.1</v>
      </c>
      <c r="F745" s="165" t="s">
        <v>13238</v>
      </c>
      <c r="G745" s="326" t="s">
        <v>13404</v>
      </c>
      <c r="H745" s="299" t="s">
        <v>13239</v>
      </c>
    </row>
    <row r="746" spans="1:8" ht="15.75" customHeight="1">
      <c r="A746" s="120" t="s">
        <v>50</v>
      </c>
      <c r="B746" s="298">
        <v>44719</v>
      </c>
      <c r="C746" s="165" t="s">
        <v>27670</v>
      </c>
      <c r="D746" s="113" t="s">
        <v>7238</v>
      </c>
      <c r="E746" s="59">
        <v>12.95</v>
      </c>
      <c r="F746" s="165" t="s">
        <v>7255</v>
      </c>
      <c r="G746" s="165" t="s">
        <v>7254</v>
      </c>
      <c r="H746" s="299" t="s">
        <v>27671</v>
      </c>
    </row>
    <row r="747" spans="1:8" ht="15.75" customHeight="1">
      <c r="A747" s="120" t="s">
        <v>52</v>
      </c>
      <c r="B747" s="298">
        <v>44718</v>
      </c>
      <c r="C747" s="165" t="s">
        <v>27672</v>
      </c>
      <c r="D747" s="113" t="s">
        <v>32</v>
      </c>
      <c r="E747" s="59">
        <v>11.47</v>
      </c>
      <c r="F747" s="165" t="s">
        <v>13309</v>
      </c>
      <c r="G747" s="165" t="s">
        <v>13310</v>
      </c>
      <c r="H747" s="299" t="s">
        <v>27666</v>
      </c>
    </row>
    <row r="748" spans="1:8" ht="15.75" customHeight="1" thickBot="1">
      <c r="A748" s="300" t="str">
        <f>CONCATENATE("MEDIANA - ",A743)</f>
        <v>MEDIANA - COT111</v>
      </c>
      <c r="B748" s="115"/>
      <c r="C748" s="115"/>
      <c r="D748" s="301"/>
      <c r="E748" s="150">
        <f>MEDIAN(E745:E747)</f>
        <v>11.47</v>
      </c>
      <c r="F748" s="301"/>
      <c r="G748" s="301"/>
      <c r="H748" s="302"/>
    </row>
    <row r="749" spans="1:8" ht="15.75" customHeight="1" thickBot="1">
      <c r="A749" s="282"/>
      <c r="B749" s="283"/>
      <c r="C749" s="283"/>
      <c r="D749" s="283"/>
      <c r="E749" s="283"/>
      <c r="F749" s="283"/>
      <c r="G749" s="283"/>
      <c r="H749" s="284"/>
    </row>
    <row r="750" spans="1:8" ht="15.75" customHeight="1">
      <c r="A750" s="289" t="s">
        <v>14391</v>
      </c>
      <c r="B750" s="290" t="s">
        <v>7747</v>
      </c>
      <c r="C750" s="290"/>
      <c r="D750" s="290"/>
      <c r="E750" s="290"/>
      <c r="F750" s="290"/>
      <c r="G750" s="290"/>
      <c r="H750" s="291"/>
    </row>
    <row r="751" spans="1:8" ht="15.75" customHeight="1">
      <c r="A751" s="292" t="s">
        <v>6</v>
      </c>
      <c r="B751" s="293" t="s">
        <v>7050</v>
      </c>
      <c r="C751" s="294" t="s">
        <v>7049</v>
      </c>
      <c r="D751" s="295" t="s">
        <v>24</v>
      </c>
      <c r="E751" s="296" t="s">
        <v>7046</v>
      </c>
      <c r="F751" s="293" t="s">
        <v>254</v>
      </c>
      <c r="G751" s="293" t="s">
        <v>7047</v>
      </c>
      <c r="H751" s="297" t="s">
        <v>7048</v>
      </c>
    </row>
    <row r="752" spans="1:8" ht="15.75" customHeight="1">
      <c r="A752" s="120" t="s">
        <v>7</v>
      </c>
      <c r="B752" s="298">
        <v>44719</v>
      </c>
      <c r="C752" s="165" t="s">
        <v>27673</v>
      </c>
      <c r="D752" s="113" t="s">
        <v>7238</v>
      </c>
      <c r="E752" s="59">
        <v>950</v>
      </c>
      <c r="F752" s="165" t="s">
        <v>7255</v>
      </c>
      <c r="G752" s="165" t="s">
        <v>7254</v>
      </c>
      <c r="H752" s="299" t="s">
        <v>27671</v>
      </c>
    </row>
    <row r="753" spans="1:8" ht="15.75" customHeight="1">
      <c r="A753" s="120" t="s">
        <v>50</v>
      </c>
      <c r="B753" s="298">
        <v>44718</v>
      </c>
      <c r="C753" s="165" t="s">
        <v>27672</v>
      </c>
      <c r="D753" s="113" t="s">
        <v>32</v>
      </c>
      <c r="E753" s="59">
        <v>451.88</v>
      </c>
      <c r="F753" s="165" t="s">
        <v>13309</v>
      </c>
      <c r="G753" s="165" t="s">
        <v>13310</v>
      </c>
      <c r="H753" s="299" t="s">
        <v>27666</v>
      </c>
    </row>
    <row r="754" spans="1:8" ht="15.75" customHeight="1">
      <c r="A754" s="120" t="s">
        <v>52</v>
      </c>
      <c r="B754" s="298">
        <v>44720</v>
      </c>
      <c r="C754" s="165" t="s">
        <v>27667</v>
      </c>
      <c r="D754" s="113" t="s">
        <v>32</v>
      </c>
      <c r="E754" s="328">
        <v>647.41</v>
      </c>
      <c r="F754" s="299" t="s">
        <v>27668</v>
      </c>
      <c r="G754" s="165" t="s">
        <v>27846</v>
      </c>
      <c r="H754" s="324" t="s">
        <v>27847</v>
      </c>
    </row>
    <row r="755" spans="1:8" ht="15.75" customHeight="1" thickBot="1">
      <c r="A755" s="300" t="str">
        <f>CONCATENATE("MEDIANA - ",A750)</f>
        <v>MEDIANA - COT112</v>
      </c>
      <c r="B755" s="115"/>
      <c r="C755" s="115"/>
      <c r="D755" s="301"/>
      <c r="E755" s="150">
        <f>MEDIAN(E752:E754)</f>
        <v>647.41</v>
      </c>
      <c r="F755" s="301"/>
      <c r="G755" s="301"/>
      <c r="H755" s="302"/>
    </row>
    <row r="756" spans="1:8" ht="15.75" customHeight="1" thickBot="1">
      <c r="A756" s="282"/>
      <c r="B756" s="283"/>
      <c r="C756" s="283"/>
      <c r="D756" s="283"/>
      <c r="E756" s="283"/>
      <c r="F756" s="283"/>
      <c r="G756" s="283"/>
      <c r="H756" s="284"/>
    </row>
    <row r="757" spans="1:8" ht="15.75" customHeight="1">
      <c r="A757" s="289" t="s">
        <v>14392</v>
      </c>
      <c r="B757" s="290" t="s">
        <v>335</v>
      </c>
      <c r="C757" s="290"/>
      <c r="D757" s="290"/>
      <c r="E757" s="290"/>
      <c r="F757" s="290"/>
      <c r="G757" s="290"/>
      <c r="H757" s="291"/>
    </row>
    <row r="758" spans="1:8" ht="15.75" customHeight="1">
      <c r="A758" s="292" t="s">
        <v>6</v>
      </c>
      <c r="B758" s="293" t="s">
        <v>7050</v>
      </c>
      <c r="C758" s="294" t="s">
        <v>7049</v>
      </c>
      <c r="D758" s="295" t="s">
        <v>24</v>
      </c>
      <c r="E758" s="296" t="s">
        <v>7046</v>
      </c>
      <c r="F758" s="293" t="s">
        <v>254</v>
      </c>
      <c r="G758" s="293" t="s">
        <v>7047</v>
      </c>
      <c r="H758" s="297" t="s">
        <v>7048</v>
      </c>
    </row>
    <row r="759" spans="1:8" ht="15.75" customHeight="1">
      <c r="A759" s="120" t="s">
        <v>7</v>
      </c>
      <c r="B759" s="298">
        <v>44710</v>
      </c>
      <c r="C759" s="165" t="s">
        <v>7242</v>
      </c>
      <c r="D759" s="113" t="s">
        <v>32</v>
      </c>
      <c r="E759" s="59">
        <v>78.650000000000006</v>
      </c>
      <c r="F759" s="165" t="s">
        <v>27268</v>
      </c>
      <c r="G759" s="165" t="s">
        <v>13281</v>
      </c>
      <c r="H759" s="303" t="s">
        <v>27389</v>
      </c>
    </row>
    <row r="760" spans="1:8" ht="15.75" customHeight="1">
      <c r="A760" s="120" t="s">
        <v>50</v>
      </c>
      <c r="B760" s="298">
        <v>44710</v>
      </c>
      <c r="C760" s="165" t="s">
        <v>7243</v>
      </c>
      <c r="D760" s="113" t="s">
        <v>32</v>
      </c>
      <c r="E760" s="59">
        <v>63.13</v>
      </c>
      <c r="F760" s="165" t="s">
        <v>27390</v>
      </c>
      <c r="G760" s="165" t="s">
        <v>13286</v>
      </c>
      <c r="H760" s="303" t="s">
        <v>27391</v>
      </c>
    </row>
    <row r="761" spans="1:8" ht="15.75" customHeight="1">
      <c r="A761" s="120" t="s">
        <v>52</v>
      </c>
      <c r="B761" s="298">
        <v>44710</v>
      </c>
      <c r="C761" s="165" t="s">
        <v>13299</v>
      </c>
      <c r="D761" s="113" t="s">
        <v>32</v>
      </c>
      <c r="E761" s="59">
        <v>43.43</v>
      </c>
      <c r="F761" s="165" t="s">
        <v>27392</v>
      </c>
      <c r="G761" s="165" t="s">
        <v>27393</v>
      </c>
      <c r="H761" s="303" t="s">
        <v>27394</v>
      </c>
    </row>
    <row r="762" spans="1:8" ht="15.75" customHeight="1" thickBot="1">
      <c r="A762" s="300" t="str">
        <f>CONCATENATE("MEDIANA - ",A757)</f>
        <v>MEDIANA - COT113</v>
      </c>
      <c r="B762" s="115"/>
      <c r="C762" s="115"/>
      <c r="D762" s="301"/>
      <c r="E762" s="150">
        <f>MEDIAN(E759:E761)</f>
        <v>63.13</v>
      </c>
      <c r="F762" s="301"/>
      <c r="G762" s="301"/>
      <c r="H762" s="302"/>
    </row>
    <row r="763" spans="1:8" ht="15.75" customHeight="1" thickBot="1">
      <c r="A763" s="282"/>
      <c r="B763" s="283"/>
      <c r="C763" s="283"/>
      <c r="D763" s="283"/>
      <c r="E763" s="283"/>
      <c r="F763" s="283"/>
      <c r="G763" s="283"/>
      <c r="H763" s="284"/>
    </row>
    <row r="764" spans="1:8" ht="15.75" customHeight="1" thickBot="1">
      <c r="A764" s="285" t="s">
        <v>7225</v>
      </c>
      <c r="B764" s="286"/>
      <c r="C764" s="286"/>
      <c r="D764" s="286"/>
      <c r="E764" s="286"/>
      <c r="F764" s="286"/>
      <c r="G764" s="286"/>
      <c r="H764" s="287"/>
    </row>
    <row r="765" spans="1:8" ht="15.75" customHeight="1" thickBot="1">
      <c r="A765" s="282"/>
      <c r="B765" s="283"/>
      <c r="C765" s="283"/>
      <c r="D765" s="283"/>
      <c r="E765" s="283"/>
      <c r="F765" s="283"/>
      <c r="G765" s="283"/>
      <c r="H765" s="284"/>
    </row>
    <row r="766" spans="1:8" ht="15.75" customHeight="1">
      <c r="A766" s="289" t="s">
        <v>14393</v>
      </c>
      <c r="B766" s="290" t="s">
        <v>7106</v>
      </c>
      <c r="C766" s="290"/>
      <c r="D766" s="290"/>
      <c r="E766" s="290"/>
      <c r="F766" s="290"/>
      <c r="G766" s="290"/>
      <c r="H766" s="291"/>
    </row>
    <row r="767" spans="1:8" ht="15.75" customHeight="1">
      <c r="A767" s="292" t="s">
        <v>6</v>
      </c>
      <c r="B767" s="293" t="s">
        <v>7050</v>
      </c>
      <c r="C767" s="294" t="s">
        <v>7049</v>
      </c>
      <c r="D767" s="295" t="s">
        <v>24</v>
      </c>
      <c r="E767" s="296" t="s">
        <v>7046</v>
      </c>
      <c r="F767" s="293" t="s">
        <v>254</v>
      </c>
      <c r="G767" s="293" t="s">
        <v>7047</v>
      </c>
      <c r="H767" s="297" t="s">
        <v>7048</v>
      </c>
    </row>
    <row r="768" spans="1:8" ht="15.75" customHeight="1">
      <c r="A768" s="120" t="s">
        <v>7</v>
      </c>
      <c r="B768" s="298">
        <v>44721</v>
      </c>
      <c r="C768" s="165" t="s">
        <v>27674</v>
      </c>
      <c r="D768" s="113" t="s">
        <v>32</v>
      </c>
      <c r="E768" s="59">
        <v>0.9</v>
      </c>
      <c r="F768" s="165" t="s">
        <v>7251</v>
      </c>
      <c r="G768" s="165" t="s">
        <v>27384</v>
      </c>
      <c r="H768" s="299" t="s">
        <v>27659</v>
      </c>
    </row>
    <row r="769" spans="1:8" ht="15.75" customHeight="1">
      <c r="A769" s="120" t="s">
        <v>50</v>
      </c>
      <c r="B769" s="298">
        <v>44719</v>
      </c>
      <c r="C769" s="165" t="s">
        <v>27673</v>
      </c>
      <c r="D769" s="113" t="s">
        <v>7238</v>
      </c>
      <c r="E769" s="59">
        <v>0.23</v>
      </c>
      <c r="F769" s="165" t="s">
        <v>7255</v>
      </c>
      <c r="G769" s="165" t="s">
        <v>7254</v>
      </c>
      <c r="H769" s="299" t="s">
        <v>27671</v>
      </c>
    </row>
    <row r="770" spans="1:8" ht="15.75" customHeight="1">
      <c r="A770" s="120" t="s">
        <v>52</v>
      </c>
      <c r="B770" s="298">
        <v>44718</v>
      </c>
      <c r="C770" s="165" t="s">
        <v>27675</v>
      </c>
      <c r="D770" s="113" t="s">
        <v>32</v>
      </c>
      <c r="E770" s="59">
        <v>0.16</v>
      </c>
      <c r="F770" s="165" t="s">
        <v>13309</v>
      </c>
      <c r="G770" s="165" t="s">
        <v>13310</v>
      </c>
      <c r="H770" s="299" t="s">
        <v>27666</v>
      </c>
    </row>
    <row r="771" spans="1:8" ht="15.75" customHeight="1" thickBot="1">
      <c r="A771" s="300" t="str">
        <f>CONCATENATE("MEDIANA - ",A766)</f>
        <v>MEDIANA - COT115</v>
      </c>
      <c r="B771" s="115"/>
      <c r="C771" s="115"/>
      <c r="D771" s="301"/>
      <c r="E771" s="150">
        <f>MEDIAN(E768:E770)</f>
        <v>0.23</v>
      </c>
      <c r="F771" s="301"/>
      <c r="G771" s="301"/>
      <c r="H771" s="302"/>
    </row>
    <row r="772" spans="1:8" ht="15.75" customHeight="1" thickBot="1">
      <c r="A772" s="282"/>
      <c r="B772" s="283"/>
      <c r="C772" s="283"/>
      <c r="D772" s="283"/>
      <c r="E772" s="283"/>
      <c r="F772" s="283"/>
      <c r="G772" s="283"/>
      <c r="H772" s="284"/>
    </row>
    <row r="773" spans="1:8" ht="15.75" customHeight="1">
      <c r="A773" s="289" t="s">
        <v>14394</v>
      </c>
      <c r="B773" s="290" t="s">
        <v>7107</v>
      </c>
      <c r="C773" s="290"/>
      <c r="D773" s="290"/>
      <c r="E773" s="290"/>
      <c r="F773" s="290"/>
      <c r="G773" s="290"/>
      <c r="H773" s="291"/>
    </row>
    <row r="774" spans="1:8" ht="15.75" customHeight="1">
      <c r="A774" s="292" t="s">
        <v>6</v>
      </c>
      <c r="B774" s="293" t="s">
        <v>7050</v>
      </c>
      <c r="C774" s="294" t="s">
        <v>7049</v>
      </c>
      <c r="D774" s="295" t="s">
        <v>24</v>
      </c>
      <c r="E774" s="296" t="s">
        <v>7046</v>
      </c>
      <c r="F774" s="293" t="s">
        <v>254</v>
      </c>
      <c r="G774" s="293" t="s">
        <v>7047</v>
      </c>
      <c r="H774" s="297" t="s">
        <v>7048</v>
      </c>
    </row>
    <row r="775" spans="1:8" ht="15.75" customHeight="1">
      <c r="A775" s="120" t="s">
        <v>7</v>
      </c>
      <c r="B775" s="298">
        <v>44719</v>
      </c>
      <c r="C775" s="165" t="s">
        <v>27676</v>
      </c>
      <c r="D775" s="113" t="s">
        <v>32</v>
      </c>
      <c r="E775" s="59">
        <v>73.7</v>
      </c>
      <c r="F775" s="165" t="s">
        <v>13309</v>
      </c>
      <c r="G775" s="165" t="s">
        <v>13310</v>
      </c>
      <c r="H775" s="299" t="s">
        <v>27666</v>
      </c>
    </row>
    <row r="776" spans="1:8" ht="15.75" customHeight="1">
      <c r="A776" s="120" t="s">
        <v>50</v>
      </c>
      <c r="B776" s="298">
        <v>44719</v>
      </c>
      <c r="C776" s="165" t="s">
        <v>27677</v>
      </c>
      <c r="D776" s="113" t="s">
        <v>7238</v>
      </c>
      <c r="E776" s="59">
        <v>87.01</v>
      </c>
      <c r="F776" s="165" t="s">
        <v>7255</v>
      </c>
      <c r="G776" s="165" t="s">
        <v>7254</v>
      </c>
      <c r="H776" s="299" t="s">
        <v>27671</v>
      </c>
    </row>
    <row r="777" spans="1:8" ht="15.75" customHeight="1">
      <c r="A777" s="120" t="s">
        <v>52</v>
      </c>
      <c r="B777" s="298">
        <v>44720</v>
      </c>
      <c r="C777" s="165" t="s">
        <v>27678</v>
      </c>
      <c r="D777" s="113" t="s">
        <v>32</v>
      </c>
      <c r="E777" s="325">
        <v>87.83</v>
      </c>
      <c r="F777" s="165" t="s">
        <v>13393</v>
      </c>
      <c r="G777" s="165" t="s">
        <v>27846</v>
      </c>
      <c r="H777" s="299" t="s">
        <v>13395</v>
      </c>
    </row>
    <row r="778" spans="1:8" ht="15.75" customHeight="1" thickBot="1">
      <c r="A778" s="300" t="str">
        <f>CONCATENATE("MEDIANA - ",A773)</f>
        <v>MEDIANA - COT116</v>
      </c>
      <c r="B778" s="115"/>
      <c r="C778" s="115"/>
      <c r="D778" s="301"/>
      <c r="E778" s="150">
        <f>MEDIAN(E775:E777)</f>
        <v>87.01</v>
      </c>
      <c r="F778" s="301"/>
      <c r="G778" s="301"/>
      <c r="H778" s="302"/>
    </row>
    <row r="779" spans="1:8" ht="15.75" customHeight="1" thickBot="1">
      <c r="A779" s="282"/>
      <c r="B779" s="283"/>
      <c r="C779" s="283"/>
      <c r="D779" s="283"/>
      <c r="E779" s="283"/>
      <c r="F779" s="283"/>
      <c r="G779" s="283"/>
      <c r="H779" s="284"/>
    </row>
    <row r="780" spans="1:8" ht="15.75" customHeight="1">
      <c r="A780" s="352" t="s">
        <v>14395</v>
      </c>
      <c r="B780" s="290" t="s">
        <v>7108</v>
      </c>
      <c r="C780" s="353"/>
      <c r="D780" s="353"/>
      <c r="E780" s="353"/>
      <c r="F780" s="353"/>
      <c r="G780" s="353"/>
      <c r="H780" s="354"/>
    </row>
    <row r="781" spans="1:8" ht="15.75" customHeight="1">
      <c r="A781" s="292" t="s">
        <v>6</v>
      </c>
      <c r="B781" s="293" t="s">
        <v>7050</v>
      </c>
      <c r="C781" s="294" t="s">
        <v>7049</v>
      </c>
      <c r="D781" s="295" t="s">
        <v>24</v>
      </c>
      <c r="E781" s="296" t="s">
        <v>7046</v>
      </c>
      <c r="F781" s="293" t="s">
        <v>254</v>
      </c>
      <c r="G781" s="293" t="s">
        <v>7047</v>
      </c>
      <c r="H781" s="297" t="s">
        <v>7048</v>
      </c>
    </row>
    <row r="782" spans="1:8" ht="15.75" customHeight="1">
      <c r="A782" s="120" t="s">
        <v>7</v>
      </c>
      <c r="B782" s="298">
        <v>44720</v>
      </c>
      <c r="C782" s="165" t="s">
        <v>27678</v>
      </c>
      <c r="D782" s="113" t="s">
        <v>32</v>
      </c>
      <c r="E782" s="325">
        <v>0.64</v>
      </c>
      <c r="F782" s="165" t="s">
        <v>13393</v>
      </c>
      <c r="G782" s="165" t="s">
        <v>27846</v>
      </c>
      <c r="H782" s="324" t="s">
        <v>27847</v>
      </c>
    </row>
    <row r="783" spans="1:8" ht="15.75" customHeight="1">
      <c r="A783" s="120" t="s">
        <v>50</v>
      </c>
      <c r="B783" s="298">
        <v>44719</v>
      </c>
      <c r="C783" s="165" t="s">
        <v>27677</v>
      </c>
      <c r="D783" s="113" t="s">
        <v>7238</v>
      </c>
      <c r="E783" s="59">
        <v>0.46</v>
      </c>
      <c r="F783" s="165" t="s">
        <v>7255</v>
      </c>
      <c r="G783" s="165" t="s">
        <v>7254</v>
      </c>
      <c r="H783" s="299" t="s">
        <v>27671</v>
      </c>
    </row>
    <row r="784" spans="1:8" ht="15.75" customHeight="1">
      <c r="A784" s="120" t="s">
        <v>52</v>
      </c>
      <c r="B784" s="298">
        <v>44718</v>
      </c>
      <c r="C784" s="165" t="s">
        <v>27675</v>
      </c>
      <c r="D784" s="113" t="s">
        <v>32</v>
      </c>
      <c r="E784" s="59">
        <v>0.32</v>
      </c>
      <c r="F784" s="165" t="s">
        <v>13309</v>
      </c>
      <c r="G784" s="165" t="s">
        <v>13310</v>
      </c>
      <c r="H784" s="299" t="s">
        <v>27666</v>
      </c>
    </row>
    <row r="785" spans="1:8" ht="15.75" customHeight="1" thickBot="1">
      <c r="A785" s="300" t="str">
        <f>CONCATENATE("MEDIANA - ",A780)</f>
        <v>MEDIANA - COT117</v>
      </c>
      <c r="B785" s="115"/>
      <c r="C785" s="115"/>
      <c r="D785" s="301"/>
      <c r="E785" s="150">
        <f>MEDIAN(E782:E784)</f>
        <v>0.46</v>
      </c>
      <c r="F785" s="301"/>
      <c r="G785" s="301"/>
      <c r="H785" s="302"/>
    </row>
    <row r="786" spans="1:8" ht="15.75" customHeight="1" thickBot="1">
      <c r="A786" s="282"/>
      <c r="B786" s="283"/>
      <c r="C786" s="283"/>
      <c r="D786" s="283"/>
      <c r="E786" s="283"/>
      <c r="F786" s="283"/>
      <c r="G786" s="283"/>
      <c r="H786" s="284"/>
    </row>
    <row r="787" spans="1:8" ht="15.75" customHeight="1">
      <c r="A787" s="289" t="s">
        <v>14396</v>
      </c>
      <c r="B787" s="290" t="s">
        <v>7109</v>
      </c>
      <c r="C787" s="290"/>
      <c r="D787" s="290"/>
      <c r="E787" s="290"/>
      <c r="F787" s="290"/>
      <c r="G787" s="290"/>
      <c r="H787" s="291"/>
    </row>
    <row r="788" spans="1:8" ht="15.75" customHeight="1">
      <c r="A788" s="292" t="s">
        <v>6</v>
      </c>
      <c r="B788" s="293" t="s">
        <v>7050</v>
      </c>
      <c r="C788" s="294" t="s">
        <v>7049</v>
      </c>
      <c r="D788" s="295" t="s">
        <v>24</v>
      </c>
      <c r="E788" s="296" t="s">
        <v>7046</v>
      </c>
      <c r="F788" s="293" t="s">
        <v>254</v>
      </c>
      <c r="G788" s="293" t="s">
        <v>7047</v>
      </c>
      <c r="H788" s="297" t="s">
        <v>7048</v>
      </c>
    </row>
    <row r="789" spans="1:8" ht="15.75" customHeight="1">
      <c r="A789" s="120" t="s">
        <v>7</v>
      </c>
      <c r="B789" s="298">
        <v>44720</v>
      </c>
      <c r="C789" s="165" t="s">
        <v>27678</v>
      </c>
      <c r="D789" s="113" t="s">
        <v>32</v>
      </c>
      <c r="E789" s="325">
        <v>0.43</v>
      </c>
      <c r="F789" s="165" t="s">
        <v>13393</v>
      </c>
      <c r="G789" s="165" t="s">
        <v>27846</v>
      </c>
      <c r="H789" s="324" t="s">
        <v>27847</v>
      </c>
    </row>
    <row r="790" spans="1:8" ht="15.75" customHeight="1">
      <c r="A790" s="120" t="s">
        <v>50</v>
      </c>
      <c r="B790" s="298">
        <v>44719</v>
      </c>
      <c r="C790" s="165" t="s">
        <v>27677</v>
      </c>
      <c r="D790" s="113" t="s">
        <v>7238</v>
      </c>
      <c r="E790" s="59">
        <v>0.23</v>
      </c>
      <c r="F790" s="165" t="s">
        <v>7255</v>
      </c>
      <c r="G790" s="165" t="s">
        <v>7254</v>
      </c>
      <c r="H790" s="299" t="s">
        <v>27671</v>
      </c>
    </row>
    <row r="791" spans="1:8" ht="15.75" customHeight="1">
      <c r="A791" s="120" t="s">
        <v>52</v>
      </c>
      <c r="B791" s="298">
        <v>44718</v>
      </c>
      <c r="C791" s="165" t="s">
        <v>27675</v>
      </c>
      <c r="D791" s="113" t="s">
        <v>32</v>
      </c>
      <c r="E791" s="59">
        <v>0.32</v>
      </c>
      <c r="F791" s="165" t="s">
        <v>13309</v>
      </c>
      <c r="G791" s="165" t="s">
        <v>13310</v>
      </c>
      <c r="H791" s="299" t="s">
        <v>27666</v>
      </c>
    </row>
    <row r="792" spans="1:8" ht="15.75" customHeight="1" thickBot="1">
      <c r="A792" s="300" t="str">
        <f>CONCATENATE("MEDIANA - ",A787)</f>
        <v>MEDIANA - COT118</v>
      </c>
      <c r="B792" s="115"/>
      <c r="C792" s="115"/>
      <c r="D792" s="301"/>
      <c r="E792" s="150">
        <f>MEDIAN(E789:E791)</f>
        <v>0.32</v>
      </c>
      <c r="F792" s="301"/>
      <c r="G792" s="301"/>
      <c r="H792" s="302"/>
    </row>
    <row r="793" spans="1:8" ht="15.75" customHeight="1" thickBot="1">
      <c r="A793" s="282"/>
      <c r="B793" s="283"/>
      <c r="C793" s="283"/>
      <c r="D793" s="283"/>
      <c r="E793" s="283"/>
      <c r="F793" s="283"/>
      <c r="G793" s="283"/>
      <c r="H793" s="284"/>
    </row>
    <row r="794" spans="1:8" ht="15.75" customHeight="1">
      <c r="A794" s="289" t="s">
        <v>14397</v>
      </c>
      <c r="B794" s="290" t="s">
        <v>7110</v>
      </c>
      <c r="C794" s="290"/>
      <c r="D794" s="290"/>
      <c r="E794" s="290"/>
      <c r="F794" s="290"/>
      <c r="G794" s="290"/>
      <c r="H794" s="291"/>
    </row>
    <row r="795" spans="1:8" ht="15.75" customHeight="1">
      <c r="A795" s="292" t="s">
        <v>6</v>
      </c>
      <c r="B795" s="293" t="s">
        <v>7050</v>
      </c>
      <c r="C795" s="294" t="s">
        <v>7049</v>
      </c>
      <c r="D795" s="295" t="s">
        <v>24</v>
      </c>
      <c r="E795" s="296" t="s">
        <v>7046</v>
      </c>
      <c r="F795" s="293" t="s">
        <v>254</v>
      </c>
      <c r="G795" s="293" t="s">
        <v>7047</v>
      </c>
      <c r="H795" s="297" t="s">
        <v>7048</v>
      </c>
    </row>
    <row r="796" spans="1:8" ht="15.75" customHeight="1">
      <c r="A796" s="120" t="s">
        <v>7</v>
      </c>
      <c r="B796" s="298">
        <v>44720</v>
      </c>
      <c r="C796" s="165" t="s">
        <v>27678</v>
      </c>
      <c r="D796" s="113" t="s">
        <v>32</v>
      </c>
      <c r="E796" s="325">
        <v>3.35</v>
      </c>
      <c r="F796" s="165" t="s">
        <v>13393</v>
      </c>
      <c r="G796" s="165" t="s">
        <v>27846</v>
      </c>
      <c r="H796" s="324" t="s">
        <v>27847</v>
      </c>
    </row>
    <row r="797" spans="1:8" ht="15.75" customHeight="1">
      <c r="A797" s="120" t="s">
        <v>50</v>
      </c>
      <c r="B797" s="298">
        <v>44721</v>
      </c>
      <c r="C797" s="165" t="s">
        <v>27674</v>
      </c>
      <c r="D797" s="113" t="s">
        <v>32</v>
      </c>
      <c r="E797" s="59">
        <v>1.63</v>
      </c>
      <c r="F797" s="165" t="s">
        <v>7251</v>
      </c>
      <c r="G797" s="165" t="s">
        <v>27384</v>
      </c>
      <c r="H797" s="299" t="s">
        <v>27659</v>
      </c>
    </row>
    <row r="798" spans="1:8" ht="15.75" customHeight="1">
      <c r="A798" s="120" t="s">
        <v>52</v>
      </c>
      <c r="B798" s="298">
        <v>44719</v>
      </c>
      <c r="C798" s="165" t="s">
        <v>27676</v>
      </c>
      <c r="D798" s="113" t="s">
        <v>32</v>
      </c>
      <c r="E798" s="59">
        <v>3.3</v>
      </c>
      <c r="F798" s="165" t="s">
        <v>13309</v>
      </c>
      <c r="G798" s="165" t="s">
        <v>13310</v>
      </c>
      <c r="H798" s="299" t="s">
        <v>27666</v>
      </c>
    </row>
    <row r="799" spans="1:8" ht="15.75" customHeight="1" thickBot="1">
      <c r="A799" s="300" t="str">
        <f>CONCATENATE("MEDIANA - ",A794)</f>
        <v>MEDIANA - COT119</v>
      </c>
      <c r="B799" s="115"/>
      <c r="C799" s="115"/>
      <c r="D799" s="301"/>
      <c r="E799" s="150">
        <f>MEDIAN(E796:E798)</f>
        <v>3.3</v>
      </c>
      <c r="F799" s="301"/>
      <c r="G799" s="301"/>
      <c r="H799" s="302"/>
    </row>
    <row r="800" spans="1:8" ht="15.75" customHeight="1" thickBot="1">
      <c r="A800" s="282"/>
      <c r="B800" s="283"/>
      <c r="C800" s="283"/>
      <c r="D800" s="283"/>
      <c r="E800" s="283"/>
      <c r="F800" s="283"/>
      <c r="G800" s="283"/>
      <c r="H800" s="284"/>
    </row>
    <row r="801" spans="1:8" ht="15.75" customHeight="1">
      <c r="A801" s="289" t="s">
        <v>14398</v>
      </c>
      <c r="B801" s="290" t="s">
        <v>7111</v>
      </c>
      <c r="C801" s="290"/>
      <c r="D801" s="290"/>
      <c r="E801" s="290"/>
      <c r="F801" s="290"/>
      <c r="G801" s="290"/>
      <c r="H801" s="291"/>
    </row>
    <row r="802" spans="1:8" ht="15.75" customHeight="1">
      <c r="A802" s="292" t="s">
        <v>6</v>
      </c>
      <c r="B802" s="293" t="s">
        <v>7050</v>
      </c>
      <c r="C802" s="294" t="s">
        <v>7049</v>
      </c>
      <c r="D802" s="295" t="s">
        <v>24</v>
      </c>
      <c r="E802" s="296" t="s">
        <v>7046</v>
      </c>
      <c r="F802" s="293" t="s">
        <v>254</v>
      </c>
      <c r="G802" s="293" t="s">
        <v>7047</v>
      </c>
      <c r="H802" s="297" t="s">
        <v>7048</v>
      </c>
    </row>
    <row r="803" spans="1:8" ht="15.75" customHeight="1">
      <c r="A803" s="120" t="s">
        <v>7</v>
      </c>
      <c r="B803" s="298">
        <v>44721</v>
      </c>
      <c r="C803" s="165" t="s">
        <v>27674</v>
      </c>
      <c r="D803" s="113" t="s">
        <v>32</v>
      </c>
      <c r="E803" s="59">
        <v>39.14</v>
      </c>
      <c r="F803" s="165" t="s">
        <v>7251</v>
      </c>
      <c r="G803" s="165" t="s">
        <v>27384</v>
      </c>
      <c r="H803" s="299" t="s">
        <v>27659</v>
      </c>
    </row>
    <row r="804" spans="1:8" ht="15.75" customHeight="1">
      <c r="A804" s="120" t="s">
        <v>50</v>
      </c>
      <c r="B804" s="298">
        <v>44719</v>
      </c>
      <c r="C804" s="165" t="s">
        <v>27676</v>
      </c>
      <c r="D804" s="113" t="s">
        <v>32</v>
      </c>
      <c r="E804" s="59">
        <v>33</v>
      </c>
      <c r="F804" s="165" t="s">
        <v>13309</v>
      </c>
      <c r="G804" s="165" t="s">
        <v>13310</v>
      </c>
      <c r="H804" s="299" t="s">
        <v>27666</v>
      </c>
    </row>
    <row r="805" spans="1:8" ht="15.75" customHeight="1">
      <c r="A805" s="120" t="s">
        <v>52</v>
      </c>
      <c r="B805" s="298">
        <v>44719</v>
      </c>
      <c r="C805" s="165" t="s">
        <v>27677</v>
      </c>
      <c r="D805" s="113" t="s">
        <v>7238</v>
      </c>
      <c r="E805" s="59">
        <v>34.92</v>
      </c>
      <c r="F805" s="165" t="s">
        <v>7255</v>
      </c>
      <c r="G805" s="165" t="s">
        <v>7254</v>
      </c>
      <c r="H805" s="299" t="s">
        <v>27671</v>
      </c>
    </row>
    <row r="806" spans="1:8" ht="15.75" customHeight="1" thickBot="1">
      <c r="A806" s="300" t="str">
        <f>CONCATENATE("MEDIANA - ",A801)</f>
        <v>MEDIANA - COT120</v>
      </c>
      <c r="B806" s="115"/>
      <c r="C806" s="115"/>
      <c r="D806" s="301"/>
      <c r="E806" s="150">
        <f>MEDIAN(E803:E805)</f>
        <v>34.92</v>
      </c>
      <c r="F806" s="301"/>
      <c r="G806" s="301"/>
      <c r="H806" s="302"/>
    </row>
    <row r="807" spans="1:8" ht="15.75" customHeight="1" thickBot="1">
      <c r="A807" s="282"/>
      <c r="B807" s="283"/>
      <c r="C807" s="283"/>
      <c r="D807" s="283"/>
      <c r="E807" s="283"/>
      <c r="F807" s="283"/>
      <c r="G807" s="283"/>
      <c r="H807" s="284"/>
    </row>
    <row r="808" spans="1:8" ht="15.75" customHeight="1">
      <c r="A808" s="289" t="s">
        <v>14399</v>
      </c>
      <c r="B808" s="290" t="s">
        <v>7219</v>
      </c>
      <c r="C808" s="290"/>
      <c r="D808" s="290"/>
      <c r="E808" s="290"/>
      <c r="F808" s="290"/>
      <c r="G808" s="290"/>
      <c r="H808" s="291"/>
    </row>
    <row r="809" spans="1:8" ht="15.75" customHeight="1">
      <c r="A809" s="292" t="s">
        <v>6</v>
      </c>
      <c r="B809" s="293" t="s">
        <v>7050</v>
      </c>
      <c r="C809" s="294" t="s">
        <v>7049</v>
      </c>
      <c r="D809" s="295" t="s">
        <v>24</v>
      </c>
      <c r="E809" s="296" t="s">
        <v>7046</v>
      </c>
      <c r="F809" s="293" t="s">
        <v>254</v>
      </c>
      <c r="G809" s="293" t="s">
        <v>7047</v>
      </c>
      <c r="H809" s="297" t="s">
        <v>7048</v>
      </c>
    </row>
    <row r="810" spans="1:8" ht="15.75" customHeight="1">
      <c r="A810" s="120" t="s">
        <v>7</v>
      </c>
      <c r="B810" s="298">
        <v>44724</v>
      </c>
      <c r="C810" s="165" t="s">
        <v>13401</v>
      </c>
      <c r="D810" s="113" t="s">
        <v>7238</v>
      </c>
      <c r="E810" s="59">
        <v>10.59</v>
      </c>
      <c r="F810" s="165" t="s">
        <v>27849</v>
      </c>
      <c r="G810" s="165" t="s">
        <v>13403</v>
      </c>
      <c r="H810" s="303" t="s">
        <v>27852</v>
      </c>
    </row>
    <row r="811" spans="1:8" ht="15.75" customHeight="1">
      <c r="A811" s="120" t="s">
        <v>50</v>
      </c>
      <c r="B811" s="298">
        <v>44727</v>
      </c>
      <c r="C811" s="166" t="s">
        <v>27291</v>
      </c>
      <c r="D811" s="113" t="s">
        <v>7238</v>
      </c>
      <c r="E811" s="318">
        <v>17.09</v>
      </c>
      <c r="F811" s="299">
        <v>8006377246</v>
      </c>
      <c r="G811" s="165" t="s">
        <v>27327</v>
      </c>
      <c r="H811" s="303" t="s">
        <v>27853</v>
      </c>
    </row>
    <row r="812" spans="1:8" ht="15.75" customHeight="1">
      <c r="A812" s="120" t="s">
        <v>52</v>
      </c>
      <c r="B812" s="298">
        <v>44727</v>
      </c>
      <c r="C812" s="165" t="s">
        <v>27854</v>
      </c>
      <c r="D812" s="113" t="s">
        <v>7238</v>
      </c>
      <c r="E812" s="59">
        <v>6.766</v>
      </c>
      <c r="F812" s="165" t="s">
        <v>27855</v>
      </c>
      <c r="G812" s="165" t="s">
        <v>27856</v>
      </c>
      <c r="H812" s="303" t="s">
        <v>27857</v>
      </c>
    </row>
    <row r="813" spans="1:8" ht="15.75" customHeight="1" thickBot="1">
      <c r="A813" s="300" t="str">
        <f>CONCATENATE("MEDIANA - ",A808)</f>
        <v>MEDIANA - COT121</v>
      </c>
      <c r="B813" s="115"/>
      <c r="C813" s="115"/>
      <c r="D813" s="301"/>
      <c r="E813" s="150">
        <f>MEDIAN(E810:E812)</f>
        <v>10.59</v>
      </c>
      <c r="F813" s="301"/>
      <c r="G813" s="301"/>
      <c r="H813" s="302"/>
    </row>
    <row r="814" spans="1:8" ht="15.75" customHeight="1" thickBot="1">
      <c r="A814" s="282"/>
      <c r="B814" s="283"/>
      <c r="C814" s="283"/>
      <c r="D814" s="283"/>
      <c r="E814" s="283"/>
      <c r="F814" s="283"/>
      <c r="G814" s="283"/>
      <c r="H814" s="284"/>
    </row>
    <row r="815" spans="1:8" ht="15.75" customHeight="1">
      <c r="A815" s="289" t="s">
        <v>14400</v>
      </c>
      <c r="B815" s="290" t="s">
        <v>7113</v>
      </c>
      <c r="C815" s="290"/>
      <c r="D815" s="290"/>
      <c r="E815" s="290"/>
      <c r="F815" s="290"/>
      <c r="G815" s="290"/>
      <c r="H815" s="291"/>
    </row>
    <row r="816" spans="1:8" ht="15.75" customHeight="1">
      <c r="A816" s="292" t="s">
        <v>6</v>
      </c>
      <c r="B816" s="293" t="s">
        <v>7050</v>
      </c>
      <c r="C816" s="294" t="s">
        <v>7049</v>
      </c>
      <c r="D816" s="295" t="s">
        <v>24</v>
      </c>
      <c r="E816" s="296" t="s">
        <v>7046</v>
      </c>
      <c r="F816" s="293" t="s">
        <v>254</v>
      </c>
      <c r="G816" s="293" t="s">
        <v>7047</v>
      </c>
      <c r="H816" s="297" t="s">
        <v>7048</v>
      </c>
    </row>
    <row r="817" spans="1:8" ht="15.75" customHeight="1">
      <c r="A817" s="120" t="s">
        <v>7</v>
      </c>
      <c r="B817" s="298">
        <v>44719</v>
      </c>
      <c r="C817" s="165" t="s">
        <v>27676</v>
      </c>
      <c r="D817" s="113" t="s">
        <v>32</v>
      </c>
      <c r="E817" s="59">
        <v>99</v>
      </c>
      <c r="F817" s="165" t="s">
        <v>13309</v>
      </c>
      <c r="G817" s="165" t="s">
        <v>13310</v>
      </c>
      <c r="H817" s="299" t="s">
        <v>27666</v>
      </c>
    </row>
    <row r="818" spans="1:8" ht="15.75" customHeight="1">
      <c r="A818" s="120" t="s">
        <v>50</v>
      </c>
      <c r="B818" s="298">
        <v>44719</v>
      </c>
      <c r="C818" s="165" t="s">
        <v>27677</v>
      </c>
      <c r="D818" s="113" t="s">
        <v>7238</v>
      </c>
      <c r="E818" s="59">
        <v>111.13</v>
      </c>
      <c r="F818" s="165" t="s">
        <v>7255</v>
      </c>
      <c r="G818" s="165" t="s">
        <v>7254</v>
      </c>
      <c r="H818" s="299" t="s">
        <v>27671</v>
      </c>
    </row>
    <row r="819" spans="1:8" ht="15.75" customHeight="1">
      <c r="A819" s="120" t="s">
        <v>52</v>
      </c>
      <c r="B819" s="298">
        <v>44720</v>
      </c>
      <c r="C819" s="165" t="s">
        <v>27678</v>
      </c>
      <c r="D819" s="113" t="s">
        <v>32</v>
      </c>
      <c r="E819" s="325">
        <v>117.12</v>
      </c>
      <c r="F819" s="165" t="s">
        <v>13393</v>
      </c>
      <c r="G819" s="165" t="s">
        <v>27846</v>
      </c>
      <c r="H819" s="299" t="s">
        <v>13395</v>
      </c>
    </row>
    <row r="820" spans="1:8" ht="15.75" customHeight="1" thickBot="1">
      <c r="A820" s="300" t="str">
        <f>CONCATENATE("MEDIANA - ",A815)</f>
        <v>MEDIANA - COT122</v>
      </c>
      <c r="B820" s="115"/>
      <c r="C820" s="115"/>
      <c r="D820" s="301"/>
      <c r="E820" s="150">
        <f>MEDIAN(E817:E819)</f>
        <v>111.13</v>
      </c>
      <c r="F820" s="301"/>
      <c r="G820" s="301"/>
      <c r="H820" s="302"/>
    </row>
    <row r="821" spans="1:8" ht="15.75" customHeight="1" thickBot="1">
      <c r="A821" s="282"/>
      <c r="B821" s="283"/>
      <c r="C821" s="283"/>
      <c r="D821" s="283"/>
      <c r="E821" s="283"/>
      <c r="F821" s="283"/>
      <c r="G821" s="283"/>
      <c r="H821" s="284"/>
    </row>
    <row r="822" spans="1:8" ht="15.75" customHeight="1">
      <c r="A822" s="289" t="s">
        <v>14401</v>
      </c>
      <c r="B822" s="290" t="s">
        <v>7114</v>
      </c>
      <c r="C822" s="290"/>
      <c r="D822" s="290"/>
      <c r="E822" s="290"/>
      <c r="F822" s="290"/>
      <c r="G822" s="290"/>
      <c r="H822" s="291"/>
    </row>
    <row r="823" spans="1:8" ht="15.75" customHeight="1">
      <c r="A823" s="292" t="s">
        <v>6</v>
      </c>
      <c r="B823" s="293" t="s">
        <v>7050</v>
      </c>
      <c r="C823" s="294" t="s">
        <v>7049</v>
      </c>
      <c r="D823" s="295" t="s">
        <v>24</v>
      </c>
      <c r="E823" s="296" t="s">
        <v>7046</v>
      </c>
      <c r="F823" s="293" t="s">
        <v>254</v>
      </c>
      <c r="G823" s="293" t="s">
        <v>7047</v>
      </c>
      <c r="H823" s="297" t="s">
        <v>7048</v>
      </c>
    </row>
    <row r="824" spans="1:8" ht="15.75" customHeight="1">
      <c r="A824" s="120" t="s">
        <v>7</v>
      </c>
      <c r="B824" s="298">
        <v>44714</v>
      </c>
      <c r="C824" s="165" t="s">
        <v>7237</v>
      </c>
      <c r="D824" s="113" t="s">
        <v>24</v>
      </c>
      <c r="E824" s="318">
        <v>60.88</v>
      </c>
      <c r="F824" s="299" t="s">
        <v>13238</v>
      </c>
      <c r="G824" s="326" t="s">
        <v>13404</v>
      </c>
      <c r="H824" s="324" t="s">
        <v>13239</v>
      </c>
    </row>
    <row r="825" spans="1:8" ht="15.75" customHeight="1">
      <c r="A825" s="120" t="s">
        <v>50</v>
      </c>
      <c r="B825" s="298">
        <v>44719</v>
      </c>
      <c r="C825" s="165" t="s">
        <v>27858</v>
      </c>
      <c r="D825" s="113" t="s">
        <v>24</v>
      </c>
      <c r="E825" s="318">
        <v>55.05</v>
      </c>
      <c r="F825" s="299" t="s">
        <v>27679</v>
      </c>
      <c r="G825" s="320" t="s">
        <v>7254</v>
      </c>
      <c r="H825" s="324" t="s">
        <v>27671</v>
      </c>
    </row>
    <row r="826" spans="1:8" ht="15.75" customHeight="1">
      <c r="A826" s="120" t="s">
        <v>52</v>
      </c>
      <c r="B826" s="298">
        <v>44720</v>
      </c>
      <c r="C826" s="165" t="s">
        <v>27680</v>
      </c>
      <c r="D826" s="113" t="s">
        <v>24</v>
      </c>
      <c r="E826" s="318">
        <v>64.08</v>
      </c>
      <c r="F826" s="299" t="s">
        <v>7556</v>
      </c>
      <c r="G826" s="165" t="s">
        <v>27846</v>
      </c>
      <c r="H826" s="324" t="s">
        <v>27847</v>
      </c>
    </row>
    <row r="827" spans="1:8" ht="15.75" customHeight="1" thickBot="1">
      <c r="A827" s="300" t="str">
        <f>CONCATENATE("MEDIANA - ",A822)</f>
        <v>MEDIANA - COT123</v>
      </c>
      <c r="B827" s="115"/>
      <c r="C827" s="115"/>
      <c r="D827" s="301"/>
      <c r="E827" s="150">
        <f>MEDIAN(E824:E826)</f>
        <v>60.88</v>
      </c>
      <c r="F827" s="301"/>
      <c r="G827" s="301"/>
      <c r="H827" s="302"/>
    </row>
    <row r="828" spans="1:8" ht="15.75" customHeight="1" thickBot="1">
      <c r="A828" s="282"/>
      <c r="B828" s="283"/>
      <c r="C828" s="283"/>
      <c r="D828" s="283"/>
      <c r="E828" s="283"/>
      <c r="F828" s="283"/>
      <c r="G828" s="283"/>
      <c r="H828" s="284"/>
    </row>
    <row r="829" spans="1:8" ht="15.75" customHeight="1">
      <c r="A829" s="289" t="s">
        <v>14402</v>
      </c>
      <c r="B829" s="294" t="s">
        <v>27859</v>
      </c>
      <c r="C829" s="290"/>
      <c r="D829" s="290"/>
      <c r="E829" s="290"/>
      <c r="F829" s="290"/>
      <c r="G829" s="290"/>
      <c r="H829" s="291"/>
    </row>
    <row r="830" spans="1:8" ht="15.75" customHeight="1">
      <c r="A830" s="292" t="s">
        <v>6</v>
      </c>
      <c r="B830" s="293" t="s">
        <v>7050</v>
      </c>
      <c r="C830" s="294" t="s">
        <v>7049</v>
      </c>
      <c r="D830" s="295" t="s">
        <v>24</v>
      </c>
      <c r="E830" s="296" t="s">
        <v>7046</v>
      </c>
      <c r="F830" s="293" t="s">
        <v>254</v>
      </c>
      <c r="G830" s="293" t="s">
        <v>7047</v>
      </c>
      <c r="H830" s="297" t="s">
        <v>7048</v>
      </c>
    </row>
    <row r="831" spans="1:8" ht="15.75" customHeight="1">
      <c r="A831" s="120" t="s">
        <v>7</v>
      </c>
      <c r="B831" s="298">
        <v>44720</v>
      </c>
      <c r="C831" s="165" t="s">
        <v>27667</v>
      </c>
      <c r="D831" s="113" t="s">
        <v>32</v>
      </c>
      <c r="E831" s="59">
        <v>234.23</v>
      </c>
      <c r="F831" s="165" t="s">
        <v>13393</v>
      </c>
      <c r="G831" s="165" t="s">
        <v>27846</v>
      </c>
      <c r="H831" s="324" t="s">
        <v>27847</v>
      </c>
    </row>
    <row r="832" spans="1:8" ht="15.75" customHeight="1">
      <c r="A832" s="120" t="s">
        <v>50</v>
      </c>
      <c r="B832" s="298">
        <v>44719</v>
      </c>
      <c r="C832" s="165" t="s">
        <v>27664</v>
      </c>
      <c r="D832" s="113" t="s">
        <v>32</v>
      </c>
      <c r="E832" s="59">
        <v>163</v>
      </c>
      <c r="F832" s="165" t="s">
        <v>13309</v>
      </c>
      <c r="G832" s="165" t="s">
        <v>13310</v>
      </c>
      <c r="H832" s="299" t="s">
        <v>27666</v>
      </c>
    </row>
    <row r="833" spans="1:8" ht="15.75" customHeight="1">
      <c r="A833" s="120" t="s">
        <v>52</v>
      </c>
      <c r="B833" s="298">
        <v>44720</v>
      </c>
      <c r="C833" s="165" t="s">
        <v>27677</v>
      </c>
      <c r="D833" s="113" t="s">
        <v>7238</v>
      </c>
      <c r="E833" s="59">
        <v>258.99</v>
      </c>
      <c r="F833" s="165" t="s">
        <v>7255</v>
      </c>
      <c r="G833" s="165" t="s">
        <v>7254</v>
      </c>
      <c r="H833" s="299" t="s">
        <v>27671</v>
      </c>
    </row>
    <row r="834" spans="1:8" ht="15.75" customHeight="1" thickBot="1">
      <c r="A834" s="300" t="str">
        <f>CONCATENATE("MEDIANA - ",A829)</f>
        <v>MEDIANA - COT124</v>
      </c>
      <c r="B834" s="115"/>
      <c r="C834" s="115"/>
      <c r="D834" s="301"/>
      <c r="E834" s="150">
        <f>MEDIAN(E831:E833)</f>
        <v>234.23</v>
      </c>
      <c r="F834" s="301"/>
      <c r="G834" s="301"/>
      <c r="H834" s="302"/>
    </row>
    <row r="835" spans="1:8" ht="15.75" customHeight="1" thickBot="1">
      <c r="A835" s="282"/>
      <c r="B835" s="283"/>
      <c r="C835" s="283"/>
      <c r="D835" s="283"/>
      <c r="E835" s="283"/>
      <c r="F835" s="283"/>
      <c r="G835" s="283"/>
      <c r="H835" s="284"/>
    </row>
    <row r="836" spans="1:8" ht="15.75" customHeight="1">
      <c r="A836" s="289" t="s">
        <v>14403</v>
      </c>
      <c r="B836" s="290" t="s">
        <v>7116</v>
      </c>
      <c r="C836" s="290"/>
      <c r="D836" s="290"/>
      <c r="E836" s="290"/>
      <c r="F836" s="290"/>
      <c r="G836" s="290"/>
      <c r="H836" s="291"/>
    </row>
    <row r="837" spans="1:8" ht="15.75" customHeight="1">
      <c r="A837" s="292" t="s">
        <v>6</v>
      </c>
      <c r="B837" s="293" t="s">
        <v>7050</v>
      </c>
      <c r="C837" s="294" t="s">
        <v>7049</v>
      </c>
      <c r="D837" s="295" t="s">
        <v>24</v>
      </c>
      <c r="E837" s="296" t="s">
        <v>7046</v>
      </c>
      <c r="F837" s="293" t="s">
        <v>254</v>
      </c>
      <c r="G837" s="293" t="s">
        <v>7047</v>
      </c>
      <c r="H837" s="297" t="s">
        <v>7048</v>
      </c>
    </row>
    <row r="838" spans="1:8" ht="15.75" customHeight="1">
      <c r="A838" s="120" t="s">
        <v>7</v>
      </c>
      <c r="B838" s="298">
        <v>44714</v>
      </c>
      <c r="C838" s="165" t="s">
        <v>7237</v>
      </c>
      <c r="D838" s="113" t="s">
        <v>24</v>
      </c>
      <c r="E838" s="318">
        <v>105.6</v>
      </c>
      <c r="F838" s="299" t="s">
        <v>13238</v>
      </c>
      <c r="G838" s="326" t="s">
        <v>13404</v>
      </c>
      <c r="H838" s="324" t="s">
        <v>13239</v>
      </c>
    </row>
    <row r="839" spans="1:8" ht="15.75" customHeight="1">
      <c r="A839" s="120" t="s">
        <v>50</v>
      </c>
      <c r="B839" s="298">
        <v>44719</v>
      </c>
      <c r="C839" s="165" t="s">
        <v>27860</v>
      </c>
      <c r="D839" s="113" t="s">
        <v>24</v>
      </c>
      <c r="E839" s="318">
        <v>125.17</v>
      </c>
      <c r="F839" s="299" t="s">
        <v>27679</v>
      </c>
      <c r="G839" s="320" t="s">
        <v>7254</v>
      </c>
      <c r="H839" s="324" t="s">
        <v>27671</v>
      </c>
    </row>
    <row r="840" spans="1:8" ht="15.75" customHeight="1">
      <c r="A840" s="120" t="s">
        <v>52</v>
      </c>
      <c r="B840" s="298">
        <v>44720</v>
      </c>
      <c r="C840" s="165" t="s">
        <v>27680</v>
      </c>
      <c r="D840" s="113" t="s">
        <v>24</v>
      </c>
      <c r="E840" s="318">
        <v>101.13</v>
      </c>
      <c r="F840" s="299" t="s">
        <v>7556</v>
      </c>
      <c r="G840" s="165" t="s">
        <v>27846</v>
      </c>
      <c r="H840" s="324" t="s">
        <v>27847</v>
      </c>
    </row>
    <row r="841" spans="1:8" ht="15.75" customHeight="1" thickBot="1">
      <c r="A841" s="300" t="str">
        <f>CONCATENATE("MEDIANA - ",A836)</f>
        <v>MEDIANA - COT125</v>
      </c>
      <c r="B841" s="115"/>
      <c r="C841" s="115"/>
      <c r="D841" s="301"/>
      <c r="E841" s="150">
        <f>MEDIAN(E838:E840)</f>
        <v>105.6</v>
      </c>
      <c r="F841" s="301"/>
      <c r="G841" s="301"/>
      <c r="H841" s="302"/>
    </row>
    <row r="842" spans="1:8" ht="15.75" customHeight="1" thickBot="1">
      <c r="A842" s="282"/>
      <c r="B842" s="283"/>
      <c r="C842" s="283"/>
      <c r="D842" s="283"/>
      <c r="E842" s="283"/>
      <c r="F842" s="283"/>
      <c r="G842" s="283"/>
      <c r="H842" s="284"/>
    </row>
    <row r="843" spans="1:8" ht="15.75" customHeight="1">
      <c r="A843" s="289" t="s">
        <v>14404</v>
      </c>
      <c r="B843" s="294" t="s">
        <v>27861</v>
      </c>
      <c r="C843" s="290"/>
      <c r="D843" s="290"/>
      <c r="E843" s="290"/>
      <c r="F843" s="290"/>
      <c r="G843" s="290"/>
      <c r="H843" s="291"/>
    </row>
    <row r="844" spans="1:8" ht="15.75" customHeight="1">
      <c r="A844" s="292" t="s">
        <v>6</v>
      </c>
      <c r="B844" s="293" t="s">
        <v>7050</v>
      </c>
      <c r="C844" s="294" t="s">
        <v>7049</v>
      </c>
      <c r="D844" s="295" t="s">
        <v>24</v>
      </c>
      <c r="E844" s="296" t="s">
        <v>7046</v>
      </c>
      <c r="F844" s="293" t="s">
        <v>254</v>
      </c>
      <c r="G844" s="293" t="s">
        <v>7047</v>
      </c>
      <c r="H844" s="297" t="s">
        <v>7048</v>
      </c>
    </row>
    <row r="845" spans="1:8" ht="15.75" customHeight="1">
      <c r="A845" s="120" t="s">
        <v>7</v>
      </c>
      <c r="B845" s="298">
        <v>44720</v>
      </c>
      <c r="C845" s="165" t="s">
        <v>27667</v>
      </c>
      <c r="D845" s="113" t="s">
        <v>32</v>
      </c>
      <c r="E845" s="59">
        <v>234.23</v>
      </c>
      <c r="F845" s="165" t="s">
        <v>13393</v>
      </c>
      <c r="G845" s="165" t="s">
        <v>27846</v>
      </c>
      <c r="H845" s="324" t="s">
        <v>27847</v>
      </c>
    </row>
    <row r="846" spans="1:8" ht="15.75" customHeight="1">
      <c r="A846" s="120" t="s">
        <v>50</v>
      </c>
      <c r="B846" s="298">
        <v>44719</v>
      </c>
      <c r="C846" s="165" t="s">
        <v>27664</v>
      </c>
      <c r="D846" s="113" t="s">
        <v>32</v>
      </c>
      <c r="E846" s="59">
        <v>163</v>
      </c>
      <c r="F846" s="165" t="s">
        <v>13309</v>
      </c>
      <c r="G846" s="165" t="s">
        <v>13310</v>
      </c>
      <c r="H846" s="299" t="s">
        <v>27666</v>
      </c>
    </row>
    <row r="847" spans="1:8" ht="15.75" customHeight="1">
      <c r="A847" s="120" t="s">
        <v>52</v>
      </c>
      <c r="B847" s="298">
        <v>44720</v>
      </c>
      <c r="C847" s="165" t="s">
        <v>27677</v>
      </c>
      <c r="D847" s="113" t="s">
        <v>7238</v>
      </c>
      <c r="E847" s="59">
        <v>258.99</v>
      </c>
      <c r="F847" s="165" t="s">
        <v>7255</v>
      </c>
      <c r="G847" s="165" t="s">
        <v>7254</v>
      </c>
      <c r="H847" s="299" t="s">
        <v>27671</v>
      </c>
    </row>
    <row r="848" spans="1:8" ht="15.75" customHeight="1" thickBot="1">
      <c r="A848" s="300" t="str">
        <f>CONCATENATE("MEDIANA - ",A843)</f>
        <v>MEDIANA - COT126</v>
      </c>
      <c r="B848" s="115"/>
      <c r="C848" s="115"/>
      <c r="D848" s="301"/>
      <c r="E848" s="150">
        <f>MEDIAN(E845:E847)</f>
        <v>234.23</v>
      </c>
      <c r="F848" s="301"/>
      <c r="G848" s="301"/>
      <c r="H848" s="302"/>
    </row>
    <row r="849" spans="1:8" ht="15.75" customHeight="1" thickBot="1">
      <c r="A849" s="282"/>
      <c r="B849" s="283"/>
      <c r="C849" s="283"/>
      <c r="D849" s="283"/>
      <c r="E849" s="283"/>
      <c r="F849" s="283"/>
      <c r="G849" s="283"/>
      <c r="H849" s="284"/>
    </row>
    <row r="850" spans="1:8" ht="15.75" customHeight="1">
      <c r="A850" s="289" t="s">
        <v>14405</v>
      </c>
      <c r="B850" s="290" t="s">
        <v>7119</v>
      </c>
      <c r="C850" s="290"/>
      <c r="D850" s="290"/>
      <c r="E850" s="290"/>
      <c r="F850" s="290"/>
      <c r="G850" s="290"/>
      <c r="H850" s="291"/>
    </row>
    <row r="851" spans="1:8" ht="15.75" customHeight="1">
      <c r="A851" s="292" t="s">
        <v>6</v>
      </c>
      <c r="B851" s="293" t="s">
        <v>7050</v>
      </c>
      <c r="C851" s="294" t="s">
        <v>7049</v>
      </c>
      <c r="D851" s="295" t="s">
        <v>24</v>
      </c>
      <c r="E851" s="296" t="s">
        <v>7046</v>
      </c>
      <c r="F851" s="293" t="s">
        <v>254</v>
      </c>
      <c r="G851" s="293" t="s">
        <v>7047</v>
      </c>
      <c r="H851" s="297" t="s">
        <v>7048</v>
      </c>
    </row>
    <row r="852" spans="1:8" ht="15.75" customHeight="1">
      <c r="A852" s="120" t="s">
        <v>7</v>
      </c>
      <c r="B852" s="298">
        <v>44714</v>
      </c>
      <c r="C852" s="165" t="s">
        <v>27683</v>
      </c>
      <c r="D852" s="113" t="s">
        <v>32</v>
      </c>
      <c r="E852" s="59">
        <v>157.80000000000001</v>
      </c>
      <c r="F852" s="165" t="s">
        <v>13238</v>
      </c>
      <c r="G852" s="326" t="s">
        <v>13404</v>
      </c>
      <c r="H852" s="299" t="s">
        <v>13239</v>
      </c>
    </row>
    <row r="853" spans="1:8" ht="15.75" customHeight="1">
      <c r="A853" s="120" t="s">
        <v>50</v>
      </c>
      <c r="B853" s="298">
        <v>44719</v>
      </c>
      <c r="C853" s="165" t="s">
        <v>27860</v>
      </c>
      <c r="D853" s="113" t="s">
        <v>32</v>
      </c>
      <c r="E853" s="318">
        <v>125.17</v>
      </c>
      <c r="F853" s="299" t="s">
        <v>27679</v>
      </c>
      <c r="G853" s="320" t="s">
        <v>7254</v>
      </c>
      <c r="H853" s="324" t="s">
        <v>13243</v>
      </c>
    </row>
    <row r="854" spans="1:8" ht="15.75" customHeight="1">
      <c r="A854" s="120" t="s">
        <v>52</v>
      </c>
      <c r="B854" s="298">
        <v>44714</v>
      </c>
      <c r="C854" s="165" t="s">
        <v>27684</v>
      </c>
      <c r="D854" s="113" t="s">
        <v>32</v>
      </c>
      <c r="E854" s="59">
        <v>137.96</v>
      </c>
      <c r="F854" s="165" t="s">
        <v>7253</v>
      </c>
      <c r="G854" s="165" t="s">
        <v>7252</v>
      </c>
      <c r="H854" s="299" t="s">
        <v>27685</v>
      </c>
    </row>
    <row r="855" spans="1:8" ht="15.75" customHeight="1" thickBot="1">
      <c r="A855" s="300" t="str">
        <f>CONCATENATE("MEDIANA - ",A850)</f>
        <v>MEDIANA - COT127</v>
      </c>
      <c r="B855" s="115"/>
      <c r="C855" s="115"/>
      <c r="D855" s="301"/>
      <c r="E855" s="150">
        <f>MEDIAN(E852:E854)</f>
        <v>137.96</v>
      </c>
      <c r="F855" s="301"/>
      <c r="G855" s="301"/>
      <c r="H855" s="302"/>
    </row>
    <row r="856" spans="1:8" ht="15.75" customHeight="1" thickBot="1">
      <c r="A856" s="282"/>
      <c r="B856" s="283"/>
      <c r="C856" s="283"/>
      <c r="D856" s="283"/>
      <c r="E856" s="283"/>
      <c r="F856" s="283"/>
      <c r="G856" s="283"/>
      <c r="H856" s="284"/>
    </row>
    <row r="857" spans="1:8" ht="15.75" customHeight="1">
      <c r="A857" s="289" t="s">
        <v>14406</v>
      </c>
      <c r="B857" s="290" t="s">
        <v>7123</v>
      </c>
      <c r="C857" s="290"/>
      <c r="D857" s="290"/>
      <c r="E857" s="290"/>
      <c r="F857" s="290"/>
      <c r="G857" s="290"/>
      <c r="H857" s="291"/>
    </row>
    <row r="858" spans="1:8" ht="15.75" customHeight="1">
      <c r="A858" s="292" t="s">
        <v>6</v>
      </c>
      <c r="B858" s="293" t="s">
        <v>7050</v>
      </c>
      <c r="C858" s="294" t="s">
        <v>7049</v>
      </c>
      <c r="D858" s="295" t="s">
        <v>24</v>
      </c>
      <c r="E858" s="296" t="s">
        <v>7046</v>
      </c>
      <c r="F858" s="293" t="s">
        <v>254</v>
      </c>
      <c r="G858" s="293" t="s">
        <v>7047</v>
      </c>
      <c r="H858" s="297" t="s">
        <v>7048</v>
      </c>
    </row>
    <row r="859" spans="1:8" ht="15.75" customHeight="1">
      <c r="A859" s="120" t="s">
        <v>7</v>
      </c>
      <c r="B859" s="298">
        <v>44714</v>
      </c>
      <c r="C859" s="165" t="s">
        <v>27683</v>
      </c>
      <c r="D859" s="113" t="s">
        <v>32</v>
      </c>
      <c r="E859" s="59">
        <v>2.9</v>
      </c>
      <c r="F859" s="165" t="s">
        <v>13238</v>
      </c>
      <c r="G859" s="326" t="s">
        <v>13404</v>
      </c>
      <c r="H859" s="299" t="s">
        <v>13239</v>
      </c>
    </row>
    <row r="860" spans="1:8" ht="15.75" customHeight="1">
      <c r="A860" s="120" t="s">
        <v>50</v>
      </c>
      <c r="B860" s="298">
        <v>44714</v>
      </c>
      <c r="C860" s="165" t="s">
        <v>27681</v>
      </c>
      <c r="D860" s="113" t="s">
        <v>7238</v>
      </c>
      <c r="E860" s="59">
        <v>1.84</v>
      </c>
      <c r="F860" s="165" t="s">
        <v>7255</v>
      </c>
      <c r="G860" s="165" t="s">
        <v>7254</v>
      </c>
      <c r="H860" s="299" t="s">
        <v>27682</v>
      </c>
    </row>
    <row r="861" spans="1:8" ht="15.75" customHeight="1">
      <c r="A861" s="120" t="s">
        <v>52</v>
      </c>
      <c r="B861" s="298">
        <v>44721</v>
      </c>
      <c r="C861" s="165" t="s">
        <v>27674</v>
      </c>
      <c r="D861" s="113" t="s">
        <v>32</v>
      </c>
      <c r="E861" s="59">
        <v>2.2000000000000002</v>
      </c>
      <c r="F861" s="165" t="s">
        <v>7251</v>
      </c>
      <c r="G861" s="165" t="s">
        <v>27384</v>
      </c>
      <c r="H861" s="299" t="s">
        <v>27659</v>
      </c>
    </row>
    <row r="862" spans="1:8" ht="15.75" customHeight="1" thickBot="1">
      <c r="A862" s="300" t="str">
        <f>CONCATENATE("MEDIANA - ",A857)</f>
        <v>MEDIANA - COT128</v>
      </c>
      <c r="B862" s="115"/>
      <c r="C862" s="115"/>
      <c r="D862" s="301"/>
      <c r="E862" s="150">
        <f>MEDIAN(E859:E861)</f>
        <v>2.2000000000000002</v>
      </c>
      <c r="F862" s="301"/>
      <c r="G862" s="301"/>
      <c r="H862" s="302"/>
    </row>
    <row r="863" spans="1:8" ht="15.75" customHeight="1" thickBot="1">
      <c r="A863" s="282"/>
      <c r="B863" s="283"/>
      <c r="C863" s="283"/>
      <c r="D863" s="283"/>
      <c r="E863" s="283"/>
      <c r="F863" s="283"/>
      <c r="G863" s="283"/>
      <c r="H863" s="284"/>
    </row>
    <row r="864" spans="1:8" ht="15.75" customHeight="1">
      <c r="A864" s="289" t="s">
        <v>14407</v>
      </c>
      <c r="B864" s="290" t="s">
        <v>7125</v>
      </c>
      <c r="C864" s="290"/>
      <c r="D864" s="290"/>
      <c r="E864" s="290"/>
      <c r="F864" s="290"/>
      <c r="G864" s="290"/>
      <c r="H864" s="291"/>
    </row>
    <row r="865" spans="1:8" ht="15.75" customHeight="1">
      <c r="A865" s="292" t="s">
        <v>6</v>
      </c>
      <c r="B865" s="293" t="s">
        <v>7050</v>
      </c>
      <c r="C865" s="294" t="s">
        <v>7049</v>
      </c>
      <c r="D865" s="295" t="s">
        <v>24</v>
      </c>
      <c r="E865" s="296" t="s">
        <v>7046</v>
      </c>
      <c r="F865" s="293" t="s">
        <v>254</v>
      </c>
      <c r="G865" s="293" t="s">
        <v>7047</v>
      </c>
      <c r="H865" s="297" t="s">
        <v>7048</v>
      </c>
    </row>
    <row r="866" spans="1:8" ht="15.75" customHeight="1">
      <c r="A866" s="120" t="s">
        <v>7</v>
      </c>
      <c r="B866" s="298">
        <v>44714</v>
      </c>
      <c r="C866" s="165" t="s">
        <v>27683</v>
      </c>
      <c r="D866" s="113" t="s">
        <v>32</v>
      </c>
      <c r="E866" s="59">
        <v>3.9</v>
      </c>
      <c r="F866" s="165" t="s">
        <v>13238</v>
      </c>
      <c r="G866" s="326" t="s">
        <v>13404</v>
      </c>
      <c r="H866" s="299" t="s">
        <v>13239</v>
      </c>
    </row>
    <row r="867" spans="1:8" ht="15.75" customHeight="1">
      <c r="A867" s="120" t="s">
        <v>50</v>
      </c>
      <c r="B867" s="298">
        <v>44714</v>
      </c>
      <c r="C867" s="165" t="s">
        <v>27681</v>
      </c>
      <c r="D867" s="113" t="s">
        <v>7238</v>
      </c>
      <c r="E867" s="59">
        <v>2.5</v>
      </c>
      <c r="F867" s="165" t="s">
        <v>7255</v>
      </c>
      <c r="G867" s="165" t="s">
        <v>7254</v>
      </c>
      <c r="H867" s="299" t="s">
        <v>27682</v>
      </c>
    </row>
    <row r="868" spans="1:8" ht="15.75" customHeight="1">
      <c r="A868" s="120" t="s">
        <v>52</v>
      </c>
      <c r="B868" s="298">
        <v>44721</v>
      </c>
      <c r="C868" s="165" t="s">
        <v>27674</v>
      </c>
      <c r="D868" s="113" t="s">
        <v>32</v>
      </c>
      <c r="E868" s="59">
        <v>3.1</v>
      </c>
      <c r="F868" s="165" t="s">
        <v>7251</v>
      </c>
      <c r="G868" s="165" t="s">
        <v>27384</v>
      </c>
      <c r="H868" s="299" t="s">
        <v>27659</v>
      </c>
    </row>
    <row r="869" spans="1:8" ht="15.75" customHeight="1" thickBot="1">
      <c r="A869" s="300" t="str">
        <f>CONCATENATE("MEDIANA - ",A864)</f>
        <v>MEDIANA - COT129</v>
      </c>
      <c r="B869" s="115"/>
      <c r="C869" s="115"/>
      <c r="D869" s="301"/>
      <c r="E869" s="150">
        <f>MEDIAN(E866:E868)</f>
        <v>3.1</v>
      </c>
      <c r="F869" s="301"/>
      <c r="G869" s="301"/>
      <c r="H869" s="302"/>
    </row>
    <row r="870" spans="1:8" ht="15.75" customHeight="1" thickBot="1">
      <c r="A870" s="282"/>
      <c r="B870" s="283"/>
      <c r="C870" s="283"/>
      <c r="D870" s="283"/>
      <c r="E870" s="283"/>
      <c r="F870" s="283"/>
      <c r="G870" s="283"/>
      <c r="H870" s="284"/>
    </row>
    <row r="871" spans="1:8" ht="15.75" customHeight="1">
      <c r="A871" s="289" t="s">
        <v>14408</v>
      </c>
      <c r="B871" s="290" t="s">
        <v>7127</v>
      </c>
      <c r="C871" s="290"/>
      <c r="D871" s="290"/>
      <c r="E871" s="290"/>
      <c r="F871" s="290"/>
      <c r="G871" s="290"/>
      <c r="H871" s="291"/>
    </row>
    <row r="872" spans="1:8" ht="15.75" customHeight="1">
      <c r="A872" s="292" t="s">
        <v>6</v>
      </c>
      <c r="B872" s="293" t="s">
        <v>7050</v>
      </c>
      <c r="C872" s="294" t="s">
        <v>7049</v>
      </c>
      <c r="D872" s="295" t="s">
        <v>24</v>
      </c>
      <c r="E872" s="296" t="s">
        <v>7046</v>
      </c>
      <c r="F872" s="293" t="s">
        <v>254</v>
      </c>
      <c r="G872" s="293" t="s">
        <v>7047</v>
      </c>
      <c r="H872" s="297" t="s">
        <v>7048</v>
      </c>
    </row>
    <row r="873" spans="1:8" ht="15.75" customHeight="1">
      <c r="A873" s="120" t="s">
        <v>7</v>
      </c>
      <c r="B873" s="298">
        <v>44714</v>
      </c>
      <c r="C873" s="165" t="s">
        <v>27683</v>
      </c>
      <c r="D873" s="113" t="s">
        <v>32</v>
      </c>
      <c r="E873" s="59">
        <v>5</v>
      </c>
      <c r="F873" s="165" t="s">
        <v>13238</v>
      </c>
      <c r="G873" s="326" t="s">
        <v>13404</v>
      </c>
      <c r="H873" s="299" t="s">
        <v>13239</v>
      </c>
    </row>
    <row r="874" spans="1:8" ht="15.75" customHeight="1">
      <c r="A874" s="120" t="s">
        <v>50</v>
      </c>
      <c r="B874" s="298">
        <v>44714</v>
      </c>
      <c r="C874" s="165" t="s">
        <v>27681</v>
      </c>
      <c r="D874" s="113" t="s">
        <v>7238</v>
      </c>
      <c r="E874" s="59">
        <v>3.35</v>
      </c>
      <c r="F874" s="165" t="s">
        <v>7255</v>
      </c>
      <c r="G874" s="165" t="s">
        <v>7254</v>
      </c>
      <c r="H874" s="299" t="s">
        <v>27682</v>
      </c>
    </row>
    <row r="875" spans="1:8" ht="15.75" customHeight="1">
      <c r="A875" s="120" t="s">
        <v>52</v>
      </c>
      <c r="B875" s="298">
        <v>44721</v>
      </c>
      <c r="C875" s="165" t="s">
        <v>27674</v>
      </c>
      <c r="D875" s="113" t="s">
        <v>32</v>
      </c>
      <c r="E875" s="59">
        <v>3.75</v>
      </c>
      <c r="F875" s="165" t="s">
        <v>7251</v>
      </c>
      <c r="G875" s="165" t="s">
        <v>27384</v>
      </c>
      <c r="H875" s="299" t="s">
        <v>27659</v>
      </c>
    </row>
    <row r="876" spans="1:8" ht="15.75" customHeight="1" thickBot="1">
      <c r="A876" s="300" t="str">
        <f>CONCATENATE("MEDIANA - ",A871)</f>
        <v>MEDIANA - COT130</v>
      </c>
      <c r="B876" s="115"/>
      <c r="C876" s="115"/>
      <c r="D876" s="301"/>
      <c r="E876" s="150">
        <f>MEDIAN(E873:E875)</f>
        <v>3.75</v>
      </c>
      <c r="F876" s="301"/>
      <c r="G876" s="301"/>
      <c r="H876" s="302"/>
    </row>
    <row r="877" spans="1:8" ht="15.75" customHeight="1" thickBot="1">
      <c r="A877" s="282"/>
      <c r="B877" s="283"/>
      <c r="C877" s="283"/>
      <c r="D877" s="283"/>
      <c r="E877" s="283"/>
      <c r="F877" s="283"/>
      <c r="G877" s="283"/>
      <c r="H877" s="284"/>
    </row>
    <row r="878" spans="1:8" ht="15.75" customHeight="1">
      <c r="A878" s="289" t="s">
        <v>14409</v>
      </c>
      <c r="B878" s="290" t="s">
        <v>7129</v>
      </c>
      <c r="C878" s="290"/>
      <c r="D878" s="290"/>
      <c r="E878" s="290"/>
      <c r="F878" s="290"/>
      <c r="G878" s="290"/>
      <c r="H878" s="291"/>
    </row>
    <row r="879" spans="1:8" ht="15.75" customHeight="1">
      <c r="A879" s="292" t="s">
        <v>6</v>
      </c>
      <c r="B879" s="293" t="s">
        <v>7050</v>
      </c>
      <c r="C879" s="294" t="s">
        <v>7049</v>
      </c>
      <c r="D879" s="295" t="s">
        <v>24</v>
      </c>
      <c r="E879" s="296" t="s">
        <v>7046</v>
      </c>
      <c r="F879" s="293" t="s">
        <v>254</v>
      </c>
      <c r="G879" s="293" t="s">
        <v>7047</v>
      </c>
      <c r="H879" s="297" t="s">
        <v>7048</v>
      </c>
    </row>
    <row r="880" spans="1:8" ht="15.75" customHeight="1">
      <c r="A880" s="120" t="s">
        <v>7</v>
      </c>
      <c r="B880" s="298">
        <v>44714</v>
      </c>
      <c r="C880" s="165" t="s">
        <v>27683</v>
      </c>
      <c r="D880" s="113" t="s">
        <v>32</v>
      </c>
      <c r="E880" s="59">
        <v>9.1999999999999993</v>
      </c>
      <c r="F880" s="165" t="s">
        <v>13238</v>
      </c>
      <c r="G880" s="326" t="s">
        <v>13404</v>
      </c>
      <c r="H880" s="299" t="s">
        <v>13239</v>
      </c>
    </row>
    <row r="881" spans="1:8" ht="15.75" customHeight="1">
      <c r="A881" s="120" t="s">
        <v>50</v>
      </c>
      <c r="B881" s="298">
        <v>44714</v>
      </c>
      <c r="C881" s="165" t="s">
        <v>27681</v>
      </c>
      <c r="D881" s="113" t="s">
        <v>7238</v>
      </c>
      <c r="E881" s="59">
        <v>5.75</v>
      </c>
      <c r="F881" s="165" t="s">
        <v>7255</v>
      </c>
      <c r="G881" s="165" t="s">
        <v>7254</v>
      </c>
      <c r="H881" s="299" t="s">
        <v>27682</v>
      </c>
    </row>
    <row r="882" spans="1:8" ht="15.75" customHeight="1">
      <c r="A882" s="120" t="s">
        <v>52</v>
      </c>
      <c r="B882" s="298">
        <v>44721</v>
      </c>
      <c r="C882" s="165" t="s">
        <v>27674</v>
      </c>
      <c r="D882" s="113" t="s">
        <v>32</v>
      </c>
      <c r="E882" s="59">
        <v>6.52</v>
      </c>
      <c r="F882" s="165" t="s">
        <v>7251</v>
      </c>
      <c r="G882" s="165" t="s">
        <v>27384</v>
      </c>
      <c r="H882" s="299" t="s">
        <v>27659</v>
      </c>
    </row>
    <row r="883" spans="1:8" ht="15.75" customHeight="1" thickBot="1">
      <c r="A883" s="300" t="str">
        <f>CONCATENATE("MEDIANA - ",A878)</f>
        <v>MEDIANA - COT131</v>
      </c>
      <c r="B883" s="115"/>
      <c r="C883" s="115"/>
      <c r="D883" s="301"/>
      <c r="E883" s="150">
        <f>MEDIAN(E880:E882)</f>
        <v>6.52</v>
      </c>
      <c r="F883" s="301"/>
      <c r="G883" s="301"/>
      <c r="H883" s="302"/>
    </row>
    <row r="884" spans="1:8" ht="15.75" customHeight="1" thickBot="1">
      <c r="A884" s="282"/>
      <c r="B884" s="283"/>
      <c r="C884" s="283"/>
      <c r="D884" s="283"/>
      <c r="E884" s="283"/>
      <c r="F884" s="283"/>
      <c r="G884" s="283"/>
      <c r="H884" s="284"/>
    </row>
    <row r="885" spans="1:8" ht="15.75" customHeight="1">
      <c r="A885" s="289" t="s">
        <v>14410</v>
      </c>
      <c r="B885" s="290" t="s">
        <v>7131</v>
      </c>
      <c r="C885" s="290"/>
      <c r="D885" s="290"/>
      <c r="E885" s="290"/>
      <c r="F885" s="290"/>
      <c r="G885" s="290"/>
      <c r="H885" s="291"/>
    </row>
    <row r="886" spans="1:8" ht="15.75" customHeight="1">
      <c r="A886" s="292" t="s">
        <v>6</v>
      </c>
      <c r="B886" s="293" t="s">
        <v>7050</v>
      </c>
      <c r="C886" s="294" t="s">
        <v>7049</v>
      </c>
      <c r="D886" s="295" t="s">
        <v>24</v>
      </c>
      <c r="E886" s="296" t="s">
        <v>7046</v>
      </c>
      <c r="F886" s="293" t="s">
        <v>254</v>
      </c>
      <c r="G886" s="293" t="s">
        <v>7047</v>
      </c>
      <c r="H886" s="297" t="s">
        <v>7048</v>
      </c>
    </row>
    <row r="887" spans="1:8" ht="15.75" customHeight="1">
      <c r="A887" s="120" t="s">
        <v>7</v>
      </c>
      <c r="B887" s="298">
        <v>44714</v>
      </c>
      <c r="C887" s="165" t="s">
        <v>27683</v>
      </c>
      <c r="D887" s="113" t="s">
        <v>32</v>
      </c>
      <c r="E887" s="59">
        <v>11.7</v>
      </c>
      <c r="F887" s="165" t="s">
        <v>13238</v>
      </c>
      <c r="G887" s="326" t="s">
        <v>13404</v>
      </c>
      <c r="H887" s="299" t="s">
        <v>13239</v>
      </c>
    </row>
    <row r="888" spans="1:8" ht="15.75" customHeight="1">
      <c r="A888" s="120" t="s">
        <v>50</v>
      </c>
      <c r="B888" s="298">
        <v>44714</v>
      </c>
      <c r="C888" s="165" t="s">
        <v>27681</v>
      </c>
      <c r="D888" s="113" t="s">
        <v>7238</v>
      </c>
      <c r="E888" s="59">
        <v>7.67</v>
      </c>
      <c r="F888" s="165" t="s">
        <v>7255</v>
      </c>
      <c r="G888" s="165" t="s">
        <v>7254</v>
      </c>
      <c r="H888" s="299" t="s">
        <v>27682</v>
      </c>
    </row>
    <row r="889" spans="1:8" ht="15.75" customHeight="1">
      <c r="A889" s="120" t="s">
        <v>52</v>
      </c>
      <c r="B889" s="298">
        <v>44721</v>
      </c>
      <c r="C889" s="165" t="s">
        <v>27674</v>
      </c>
      <c r="D889" s="113" t="s">
        <v>32</v>
      </c>
      <c r="E889" s="59">
        <v>8.15</v>
      </c>
      <c r="F889" s="165" t="s">
        <v>7251</v>
      </c>
      <c r="G889" s="165" t="s">
        <v>27384</v>
      </c>
      <c r="H889" s="299" t="s">
        <v>27659</v>
      </c>
    </row>
    <row r="890" spans="1:8" ht="15.75" customHeight="1" thickBot="1">
      <c r="A890" s="300" t="str">
        <f>CONCATENATE("MEDIANA - ",A885)</f>
        <v>MEDIANA - COT132</v>
      </c>
      <c r="B890" s="115"/>
      <c r="C890" s="115"/>
      <c r="D890" s="301"/>
      <c r="E890" s="150">
        <f>MEDIAN(E887:E889)</f>
        <v>8.15</v>
      </c>
      <c r="F890" s="301"/>
      <c r="G890" s="301"/>
      <c r="H890" s="302"/>
    </row>
    <row r="891" spans="1:8" ht="15.75" customHeight="1" thickBot="1">
      <c r="A891" s="282"/>
      <c r="B891" s="283"/>
      <c r="C891" s="283"/>
      <c r="D891" s="283"/>
      <c r="E891" s="283"/>
      <c r="F891" s="283"/>
      <c r="G891" s="283"/>
      <c r="H891" s="284"/>
    </row>
    <row r="892" spans="1:8" ht="15.75" customHeight="1">
      <c r="A892" s="289" t="s">
        <v>14411</v>
      </c>
      <c r="B892" s="290" t="s">
        <v>7133</v>
      </c>
      <c r="C892" s="290"/>
      <c r="D892" s="290"/>
      <c r="E892" s="290"/>
      <c r="F892" s="290"/>
      <c r="G892" s="290"/>
      <c r="H892" s="291"/>
    </row>
    <row r="893" spans="1:8" ht="15.75" customHeight="1">
      <c r="A893" s="292" t="s">
        <v>6</v>
      </c>
      <c r="B893" s="293" t="s">
        <v>7050</v>
      </c>
      <c r="C893" s="294" t="s">
        <v>7049</v>
      </c>
      <c r="D893" s="295" t="s">
        <v>24</v>
      </c>
      <c r="E893" s="296" t="s">
        <v>7046</v>
      </c>
      <c r="F893" s="293" t="s">
        <v>254</v>
      </c>
      <c r="G893" s="293" t="s">
        <v>7047</v>
      </c>
      <c r="H893" s="297" t="s">
        <v>7048</v>
      </c>
    </row>
    <row r="894" spans="1:8" ht="15.75" customHeight="1">
      <c r="A894" s="120" t="s">
        <v>7</v>
      </c>
      <c r="B894" s="298">
        <v>44714</v>
      </c>
      <c r="C894" s="165" t="s">
        <v>27683</v>
      </c>
      <c r="D894" s="113" t="s">
        <v>32</v>
      </c>
      <c r="E894" s="59">
        <v>14.4</v>
      </c>
      <c r="F894" s="165" t="s">
        <v>13238</v>
      </c>
      <c r="G894" s="326" t="s">
        <v>13404</v>
      </c>
      <c r="H894" s="299" t="s">
        <v>13239</v>
      </c>
    </row>
    <row r="895" spans="1:8" ht="15.75" customHeight="1">
      <c r="A895" s="120" t="s">
        <v>50</v>
      </c>
      <c r="B895" s="298">
        <v>44714</v>
      </c>
      <c r="C895" s="165" t="s">
        <v>27681</v>
      </c>
      <c r="D895" s="113" t="s">
        <v>7238</v>
      </c>
      <c r="E895" s="59">
        <v>9.6999999999999993</v>
      </c>
      <c r="F895" s="165" t="s">
        <v>7255</v>
      </c>
      <c r="G895" s="165" t="s">
        <v>7254</v>
      </c>
      <c r="H895" s="299" t="s">
        <v>27682</v>
      </c>
    </row>
    <row r="896" spans="1:8" ht="15.75" customHeight="1">
      <c r="A896" s="120" t="s">
        <v>52</v>
      </c>
      <c r="B896" s="298">
        <v>44721</v>
      </c>
      <c r="C896" s="165" t="s">
        <v>27674</v>
      </c>
      <c r="D896" s="113" t="s">
        <v>32</v>
      </c>
      <c r="E896" s="59">
        <v>11.41</v>
      </c>
      <c r="F896" s="165" t="s">
        <v>7251</v>
      </c>
      <c r="G896" s="165" t="s">
        <v>27384</v>
      </c>
      <c r="H896" s="299" t="s">
        <v>27659</v>
      </c>
    </row>
    <row r="897" spans="1:8" ht="15.75" customHeight="1" thickBot="1">
      <c r="A897" s="300" t="str">
        <f>CONCATENATE("MEDIANA - ",A892)</f>
        <v>MEDIANA - COT133</v>
      </c>
      <c r="B897" s="115"/>
      <c r="C897" s="115"/>
      <c r="D897" s="301"/>
      <c r="E897" s="150">
        <f>MEDIAN(E894:E896)</f>
        <v>11.41</v>
      </c>
      <c r="F897" s="301"/>
      <c r="G897" s="301"/>
      <c r="H897" s="302"/>
    </row>
    <row r="898" spans="1:8" ht="15.75" customHeight="1" thickBot="1">
      <c r="A898" s="282"/>
      <c r="B898" s="283"/>
      <c r="C898" s="283"/>
      <c r="D898" s="283"/>
      <c r="E898" s="283"/>
      <c r="F898" s="283"/>
      <c r="G898" s="283"/>
      <c r="H898" s="284"/>
    </row>
    <row r="899" spans="1:8" ht="15.75" customHeight="1">
      <c r="A899" s="289" t="s">
        <v>14412</v>
      </c>
      <c r="B899" s="290" t="s">
        <v>7135</v>
      </c>
      <c r="C899" s="290"/>
      <c r="D899" s="290"/>
      <c r="E899" s="290"/>
      <c r="F899" s="290"/>
      <c r="G899" s="290"/>
      <c r="H899" s="291"/>
    </row>
    <row r="900" spans="1:8" ht="15.75" customHeight="1">
      <c r="A900" s="292" t="s">
        <v>6</v>
      </c>
      <c r="B900" s="293" t="s">
        <v>7050</v>
      </c>
      <c r="C900" s="294" t="s">
        <v>7049</v>
      </c>
      <c r="D900" s="295" t="s">
        <v>24</v>
      </c>
      <c r="E900" s="296" t="s">
        <v>7046</v>
      </c>
      <c r="F900" s="293" t="s">
        <v>254</v>
      </c>
      <c r="G900" s="293" t="s">
        <v>7047</v>
      </c>
      <c r="H900" s="297" t="s">
        <v>7048</v>
      </c>
    </row>
    <row r="901" spans="1:8" ht="15.75" customHeight="1">
      <c r="A901" s="120" t="s">
        <v>7</v>
      </c>
      <c r="B901" s="298">
        <v>44714</v>
      </c>
      <c r="C901" s="165" t="s">
        <v>27683</v>
      </c>
      <c r="D901" s="113" t="s">
        <v>32</v>
      </c>
      <c r="E901" s="59">
        <v>22.8</v>
      </c>
      <c r="F901" s="165" t="s">
        <v>13238</v>
      </c>
      <c r="G901" s="326" t="s">
        <v>13404</v>
      </c>
      <c r="H901" s="299" t="s">
        <v>13239</v>
      </c>
    </row>
    <row r="902" spans="1:8" ht="15.75" customHeight="1">
      <c r="A902" s="120" t="s">
        <v>50</v>
      </c>
      <c r="B902" s="298">
        <v>44714</v>
      </c>
      <c r="C902" s="165" t="s">
        <v>27681</v>
      </c>
      <c r="D902" s="113" t="s">
        <v>7238</v>
      </c>
      <c r="E902" s="59">
        <v>15.61</v>
      </c>
      <c r="F902" s="165" t="s">
        <v>7255</v>
      </c>
      <c r="G902" s="165" t="s">
        <v>7254</v>
      </c>
      <c r="H902" s="299" t="s">
        <v>27682</v>
      </c>
    </row>
    <row r="903" spans="1:8" ht="15.75" customHeight="1">
      <c r="A903" s="120" t="s">
        <v>52</v>
      </c>
      <c r="B903" s="298">
        <v>44721</v>
      </c>
      <c r="C903" s="165" t="s">
        <v>27674</v>
      </c>
      <c r="D903" s="113" t="s">
        <v>32</v>
      </c>
      <c r="E903" s="59">
        <v>20.45</v>
      </c>
      <c r="F903" s="165" t="s">
        <v>7251</v>
      </c>
      <c r="G903" s="165" t="s">
        <v>27384</v>
      </c>
      <c r="H903" s="299" t="s">
        <v>27659</v>
      </c>
    </row>
    <row r="904" spans="1:8" ht="15.75" customHeight="1" thickBot="1">
      <c r="A904" s="300" t="str">
        <f>CONCATENATE("MEDIANA - ",A899)</f>
        <v>MEDIANA - COT134</v>
      </c>
      <c r="B904" s="115"/>
      <c r="C904" s="115"/>
      <c r="D904" s="301"/>
      <c r="E904" s="150">
        <f>MEDIAN(E901:E903)</f>
        <v>20.45</v>
      </c>
      <c r="F904" s="301"/>
      <c r="G904" s="301"/>
      <c r="H904" s="302"/>
    </row>
    <row r="905" spans="1:8" ht="15.75" customHeight="1" thickBot="1">
      <c r="A905" s="282"/>
      <c r="B905" s="283"/>
      <c r="C905" s="283"/>
      <c r="D905" s="283"/>
      <c r="E905" s="283"/>
      <c r="F905" s="283"/>
      <c r="G905" s="283"/>
      <c r="H905" s="284"/>
    </row>
    <row r="906" spans="1:8" ht="15.75" customHeight="1">
      <c r="A906" s="289" t="s">
        <v>14413</v>
      </c>
      <c r="B906" s="290" t="s">
        <v>7137</v>
      </c>
      <c r="C906" s="290"/>
      <c r="D906" s="290"/>
      <c r="E906" s="290"/>
      <c r="F906" s="290"/>
      <c r="G906" s="290"/>
      <c r="H906" s="291"/>
    </row>
    <row r="907" spans="1:8" ht="15.75" customHeight="1">
      <c r="A907" s="292" t="s">
        <v>6</v>
      </c>
      <c r="B907" s="293" t="s">
        <v>7050</v>
      </c>
      <c r="C907" s="294" t="s">
        <v>7049</v>
      </c>
      <c r="D907" s="295" t="s">
        <v>24</v>
      </c>
      <c r="E907" s="296" t="s">
        <v>7046</v>
      </c>
      <c r="F907" s="293" t="s">
        <v>254</v>
      </c>
      <c r="G907" s="293" t="s">
        <v>7047</v>
      </c>
      <c r="H907" s="297" t="s">
        <v>7048</v>
      </c>
    </row>
    <row r="908" spans="1:8" ht="15.75" customHeight="1">
      <c r="A908" s="120" t="s">
        <v>7</v>
      </c>
      <c r="B908" s="298">
        <v>44714</v>
      </c>
      <c r="C908" s="165" t="s">
        <v>27683</v>
      </c>
      <c r="D908" s="113" t="s">
        <v>32</v>
      </c>
      <c r="E908" s="59">
        <v>28.7</v>
      </c>
      <c r="F908" s="165" t="s">
        <v>13238</v>
      </c>
      <c r="G908" s="326" t="s">
        <v>13404</v>
      </c>
      <c r="H908" s="299" t="s">
        <v>13239</v>
      </c>
    </row>
    <row r="909" spans="1:8" ht="15.75" customHeight="1">
      <c r="A909" s="120" t="s">
        <v>50</v>
      </c>
      <c r="B909" s="298">
        <v>44714</v>
      </c>
      <c r="C909" s="165" t="s">
        <v>27681</v>
      </c>
      <c r="D909" s="113" t="s">
        <v>7238</v>
      </c>
      <c r="E909" s="59">
        <v>19.239999999999998</v>
      </c>
      <c r="F909" s="165" t="s">
        <v>7255</v>
      </c>
      <c r="G909" s="165" t="s">
        <v>7254</v>
      </c>
      <c r="H909" s="299" t="s">
        <v>27682</v>
      </c>
    </row>
    <row r="910" spans="1:8" ht="15.75" customHeight="1">
      <c r="A910" s="120" t="s">
        <v>52</v>
      </c>
      <c r="B910" s="298">
        <v>44721</v>
      </c>
      <c r="C910" s="165" t="s">
        <v>27674</v>
      </c>
      <c r="D910" s="113" t="s">
        <v>32</v>
      </c>
      <c r="E910" s="59">
        <v>25.33</v>
      </c>
      <c r="F910" s="165" t="s">
        <v>7251</v>
      </c>
      <c r="G910" s="165" t="s">
        <v>27384</v>
      </c>
      <c r="H910" s="299" t="s">
        <v>27659</v>
      </c>
    </row>
    <row r="911" spans="1:8" ht="15.75" customHeight="1" thickBot="1">
      <c r="A911" s="300" t="str">
        <f>CONCATENATE("MEDIANA - ",A906)</f>
        <v>MEDIANA - COT135</v>
      </c>
      <c r="B911" s="115"/>
      <c r="C911" s="115"/>
      <c r="D911" s="301"/>
      <c r="E911" s="150">
        <f>MEDIAN(E908:E910)</f>
        <v>25.33</v>
      </c>
      <c r="F911" s="301"/>
      <c r="G911" s="301"/>
      <c r="H911" s="302"/>
    </row>
    <row r="912" spans="1:8" ht="15.75" customHeight="1" thickBot="1">
      <c r="A912" s="282"/>
      <c r="B912" s="283"/>
      <c r="C912" s="283"/>
      <c r="D912" s="283"/>
      <c r="E912" s="283"/>
      <c r="F912" s="283"/>
      <c r="G912" s="283"/>
      <c r="H912" s="284"/>
    </row>
    <row r="913" spans="1:8" ht="15.75" customHeight="1">
      <c r="A913" s="289" t="s">
        <v>14414</v>
      </c>
      <c r="B913" s="290" t="s">
        <v>7139</v>
      </c>
      <c r="C913" s="290"/>
      <c r="D913" s="290"/>
      <c r="E913" s="290"/>
      <c r="F913" s="290"/>
      <c r="G913" s="290"/>
      <c r="H913" s="291"/>
    </row>
    <row r="914" spans="1:8" ht="15.75" customHeight="1">
      <c r="A914" s="292" t="s">
        <v>6</v>
      </c>
      <c r="B914" s="293" t="s">
        <v>7050</v>
      </c>
      <c r="C914" s="294" t="s">
        <v>7049</v>
      </c>
      <c r="D914" s="295" t="s">
        <v>24</v>
      </c>
      <c r="E914" s="296" t="s">
        <v>7046</v>
      </c>
      <c r="F914" s="293" t="s">
        <v>254</v>
      </c>
      <c r="G914" s="293" t="s">
        <v>7047</v>
      </c>
      <c r="H914" s="297" t="s">
        <v>7048</v>
      </c>
    </row>
    <row r="915" spans="1:8" ht="15.75" customHeight="1">
      <c r="A915" s="120" t="s">
        <v>7</v>
      </c>
      <c r="B915" s="298">
        <v>44714</v>
      </c>
      <c r="C915" s="165" t="s">
        <v>27683</v>
      </c>
      <c r="D915" s="113" t="s">
        <v>32</v>
      </c>
      <c r="E915" s="59">
        <v>33.4</v>
      </c>
      <c r="F915" s="165" t="s">
        <v>13238</v>
      </c>
      <c r="G915" s="326" t="s">
        <v>13404</v>
      </c>
      <c r="H915" s="299" t="s">
        <v>13239</v>
      </c>
    </row>
    <row r="916" spans="1:8" ht="15.75" customHeight="1">
      <c r="A916" s="120" t="s">
        <v>50</v>
      </c>
      <c r="B916" s="298">
        <v>44714</v>
      </c>
      <c r="C916" s="165" t="s">
        <v>27681</v>
      </c>
      <c r="D916" s="113" t="s">
        <v>7238</v>
      </c>
      <c r="E916" s="59">
        <v>23</v>
      </c>
      <c r="F916" s="165" t="s">
        <v>7255</v>
      </c>
      <c r="G916" s="165" t="s">
        <v>7254</v>
      </c>
      <c r="H916" s="299" t="s">
        <v>13243</v>
      </c>
    </row>
    <row r="917" spans="1:8" ht="15.75" customHeight="1">
      <c r="A917" s="120" t="s">
        <v>52</v>
      </c>
      <c r="B917" s="298">
        <v>44721</v>
      </c>
      <c r="C917" s="165" t="s">
        <v>27674</v>
      </c>
      <c r="D917" s="113" t="s">
        <v>32</v>
      </c>
      <c r="E917" s="59">
        <v>28.48</v>
      </c>
      <c r="F917" s="165" t="s">
        <v>7251</v>
      </c>
      <c r="G917" s="165" t="s">
        <v>27384</v>
      </c>
      <c r="H917" s="299" t="s">
        <v>27659</v>
      </c>
    </row>
    <row r="918" spans="1:8" ht="15.75" customHeight="1" thickBot="1">
      <c r="A918" s="300" t="str">
        <f>CONCATENATE("MEDIANA - ",A913)</f>
        <v>MEDIANA - COT136</v>
      </c>
      <c r="B918" s="115"/>
      <c r="C918" s="115"/>
      <c r="D918" s="301"/>
      <c r="E918" s="150">
        <f>MEDIAN(E915:E917)</f>
        <v>28.48</v>
      </c>
      <c r="F918" s="301"/>
      <c r="G918" s="301"/>
      <c r="H918" s="302"/>
    </row>
    <row r="919" spans="1:8" ht="15.75" customHeight="1" thickBot="1">
      <c r="A919" s="282"/>
      <c r="B919" s="283"/>
      <c r="C919" s="283"/>
      <c r="D919" s="283"/>
      <c r="E919" s="283"/>
      <c r="F919" s="283"/>
      <c r="G919" s="283"/>
      <c r="H919" s="284"/>
    </row>
    <row r="920" spans="1:8" ht="15.75" customHeight="1">
      <c r="A920" s="289" t="s">
        <v>14415</v>
      </c>
      <c r="B920" s="290" t="s">
        <v>7141</v>
      </c>
      <c r="C920" s="290"/>
      <c r="D920" s="290"/>
      <c r="E920" s="290"/>
      <c r="F920" s="290"/>
      <c r="G920" s="290"/>
      <c r="H920" s="291"/>
    </row>
    <row r="921" spans="1:8" ht="15.75" customHeight="1">
      <c r="A921" s="292" t="s">
        <v>6</v>
      </c>
      <c r="B921" s="293" t="s">
        <v>7050</v>
      </c>
      <c r="C921" s="294" t="s">
        <v>7049</v>
      </c>
      <c r="D921" s="295" t="s">
        <v>24</v>
      </c>
      <c r="E921" s="296" t="s">
        <v>7046</v>
      </c>
      <c r="F921" s="293" t="s">
        <v>254</v>
      </c>
      <c r="G921" s="293" t="s">
        <v>7047</v>
      </c>
      <c r="H921" s="297" t="s">
        <v>7048</v>
      </c>
    </row>
    <row r="922" spans="1:8" ht="15.75" customHeight="1">
      <c r="A922" s="120" t="s">
        <v>7</v>
      </c>
      <c r="B922" s="298">
        <v>44714</v>
      </c>
      <c r="C922" s="165" t="s">
        <v>27683</v>
      </c>
      <c r="D922" s="113" t="s">
        <v>32</v>
      </c>
      <c r="E922" s="59">
        <v>55.2</v>
      </c>
      <c r="F922" s="165" t="s">
        <v>13238</v>
      </c>
      <c r="G922" s="326" t="s">
        <v>13404</v>
      </c>
      <c r="H922" s="299" t="s">
        <v>13239</v>
      </c>
    </row>
    <row r="923" spans="1:8" ht="15.75" customHeight="1">
      <c r="A923" s="120" t="s">
        <v>50</v>
      </c>
      <c r="B923" s="298">
        <v>44714</v>
      </c>
      <c r="C923" s="165" t="s">
        <v>27681</v>
      </c>
      <c r="D923" s="113" t="s">
        <v>7238</v>
      </c>
      <c r="E923" s="59">
        <v>37.840000000000003</v>
      </c>
      <c r="F923" s="165" t="s">
        <v>7255</v>
      </c>
      <c r="G923" s="165" t="s">
        <v>7254</v>
      </c>
      <c r="H923" s="299" t="s">
        <v>27682</v>
      </c>
    </row>
    <row r="924" spans="1:8" ht="15.75" customHeight="1">
      <c r="A924" s="120" t="s">
        <v>52</v>
      </c>
      <c r="B924" s="298">
        <v>44721</v>
      </c>
      <c r="C924" s="165" t="s">
        <v>27674</v>
      </c>
      <c r="D924" s="113" t="s">
        <v>32</v>
      </c>
      <c r="E924" s="59">
        <v>44.03</v>
      </c>
      <c r="F924" s="165" t="s">
        <v>7251</v>
      </c>
      <c r="G924" s="165" t="s">
        <v>27384</v>
      </c>
      <c r="H924" s="299" t="s">
        <v>27659</v>
      </c>
    </row>
    <row r="925" spans="1:8" ht="15.75" customHeight="1" thickBot="1">
      <c r="A925" s="300" t="str">
        <f>CONCATENATE("MEDIANA - ",A920)</f>
        <v>MEDIANA - COT137</v>
      </c>
      <c r="B925" s="115"/>
      <c r="C925" s="115"/>
      <c r="D925" s="301"/>
      <c r="E925" s="150">
        <f>MEDIAN(E922:E924)</f>
        <v>44.03</v>
      </c>
      <c r="F925" s="301"/>
      <c r="G925" s="301"/>
      <c r="H925" s="302"/>
    </row>
    <row r="926" spans="1:8" ht="15.75" customHeight="1" thickBot="1">
      <c r="A926" s="282"/>
      <c r="B926" s="283"/>
      <c r="C926" s="283"/>
      <c r="D926" s="283"/>
      <c r="E926" s="283"/>
      <c r="F926" s="283"/>
      <c r="G926" s="283"/>
      <c r="H926" s="284"/>
    </row>
    <row r="927" spans="1:8" ht="15.75" customHeight="1">
      <c r="A927" s="289" t="s">
        <v>14416</v>
      </c>
      <c r="B927" s="290" t="s">
        <v>7145</v>
      </c>
      <c r="C927" s="290"/>
      <c r="D927" s="290"/>
      <c r="E927" s="290"/>
      <c r="F927" s="290"/>
      <c r="G927" s="290"/>
      <c r="H927" s="291"/>
    </row>
    <row r="928" spans="1:8" ht="15.75" customHeight="1">
      <c r="A928" s="292" t="s">
        <v>6</v>
      </c>
      <c r="B928" s="293" t="s">
        <v>7050</v>
      </c>
      <c r="C928" s="294" t="s">
        <v>7049</v>
      </c>
      <c r="D928" s="295" t="s">
        <v>24</v>
      </c>
      <c r="E928" s="296" t="s">
        <v>7046</v>
      </c>
      <c r="F928" s="293" t="s">
        <v>254</v>
      </c>
      <c r="G928" s="293" t="s">
        <v>7047</v>
      </c>
      <c r="H928" s="297" t="s">
        <v>7048</v>
      </c>
    </row>
    <row r="929" spans="1:8" ht="15.75" customHeight="1">
      <c r="A929" s="120" t="s">
        <v>7</v>
      </c>
      <c r="B929" s="298">
        <v>44714</v>
      </c>
      <c r="C929" s="165" t="s">
        <v>27683</v>
      </c>
      <c r="D929" s="113" t="s">
        <v>32</v>
      </c>
      <c r="E929" s="59">
        <v>0.23</v>
      </c>
      <c r="F929" s="165" t="s">
        <v>13238</v>
      </c>
      <c r="G929" s="326" t="s">
        <v>13404</v>
      </c>
      <c r="H929" s="299" t="s">
        <v>13239</v>
      </c>
    </row>
    <row r="930" spans="1:8" ht="15.75" customHeight="1">
      <c r="A930" s="120" t="s">
        <v>50</v>
      </c>
      <c r="B930" s="298">
        <v>44721</v>
      </c>
      <c r="C930" s="165" t="s">
        <v>27674</v>
      </c>
      <c r="D930" s="113" t="s">
        <v>32</v>
      </c>
      <c r="E930" s="59">
        <v>0.49</v>
      </c>
      <c r="F930" s="165" t="s">
        <v>7251</v>
      </c>
      <c r="G930" s="165" t="s">
        <v>27384</v>
      </c>
      <c r="H930" s="299" t="s">
        <v>27659</v>
      </c>
    </row>
    <row r="931" spans="1:8" ht="15.75" customHeight="1">
      <c r="A931" s="120" t="s">
        <v>52</v>
      </c>
      <c r="B931" s="298">
        <v>44714</v>
      </c>
      <c r="C931" s="165" t="s">
        <v>27681</v>
      </c>
      <c r="D931" s="113" t="s">
        <v>7238</v>
      </c>
      <c r="E931" s="59">
        <v>0.42499999999999999</v>
      </c>
      <c r="F931" s="165" t="s">
        <v>7255</v>
      </c>
      <c r="G931" s="165" t="s">
        <v>7254</v>
      </c>
      <c r="H931" s="299" t="s">
        <v>27682</v>
      </c>
    </row>
    <row r="932" spans="1:8" ht="15.75" customHeight="1" thickBot="1">
      <c r="A932" s="300" t="str">
        <f>CONCATENATE("MEDIANA - ",A927)</f>
        <v>MEDIANA - COT138</v>
      </c>
      <c r="B932" s="115"/>
      <c r="C932" s="115"/>
      <c r="D932" s="301"/>
      <c r="E932" s="150">
        <f>MEDIAN(E929:E931)</f>
        <v>0.42499999999999999</v>
      </c>
      <c r="F932" s="301"/>
      <c r="G932" s="301"/>
      <c r="H932" s="302"/>
    </row>
    <row r="933" spans="1:8" ht="15.75" customHeight="1" thickBot="1">
      <c r="A933" s="282"/>
      <c r="B933" s="283"/>
      <c r="C933" s="283"/>
      <c r="D933" s="283"/>
      <c r="E933" s="283"/>
      <c r="F933" s="283"/>
      <c r="G933" s="283"/>
      <c r="H933" s="284"/>
    </row>
    <row r="934" spans="1:8" ht="15.75" customHeight="1">
      <c r="A934" s="289" t="s">
        <v>14417</v>
      </c>
      <c r="B934" s="290" t="s">
        <v>7149</v>
      </c>
      <c r="C934" s="290"/>
      <c r="D934" s="290"/>
      <c r="E934" s="290"/>
      <c r="F934" s="290"/>
      <c r="G934" s="290"/>
      <c r="H934" s="291"/>
    </row>
    <row r="935" spans="1:8" ht="15.75" customHeight="1">
      <c r="A935" s="292" t="s">
        <v>6</v>
      </c>
      <c r="B935" s="293" t="s">
        <v>7050</v>
      </c>
      <c r="C935" s="294" t="s">
        <v>7049</v>
      </c>
      <c r="D935" s="295" t="s">
        <v>24</v>
      </c>
      <c r="E935" s="296" t="s">
        <v>7046</v>
      </c>
      <c r="F935" s="293" t="s">
        <v>254</v>
      </c>
      <c r="G935" s="293" t="s">
        <v>7047</v>
      </c>
      <c r="H935" s="297" t="s">
        <v>7048</v>
      </c>
    </row>
    <row r="936" spans="1:8" ht="15.75" customHeight="1">
      <c r="A936" s="120" t="s">
        <v>7</v>
      </c>
      <c r="B936" s="298">
        <v>44714</v>
      </c>
      <c r="C936" s="165" t="s">
        <v>27683</v>
      </c>
      <c r="D936" s="113" t="s">
        <v>32</v>
      </c>
      <c r="E936" s="59">
        <v>0.54</v>
      </c>
      <c r="F936" s="165" t="s">
        <v>13238</v>
      </c>
      <c r="G936" s="326" t="s">
        <v>13404</v>
      </c>
      <c r="H936" s="299" t="s">
        <v>13239</v>
      </c>
    </row>
    <row r="937" spans="1:8" ht="15.75" customHeight="1">
      <c r="A937" s="120" t="s">
        <v>50</v>
      </c>
      <c r="B937" s="298">
        <v>44721</v>
      </c>
      <c r="C937" s="165" t="s">
        <v>27674</v>
      </c>
      <c r="D937" s="113" t="s">
        <v>32</v>
      </c>
      <c r="E937" s="59">
        <v>1.39</v>
      </c>
      <c r="F937" s="165" t="s">
        <v>7251</v>
      </c>
      <c r="G937" s="165" t="s">
        <v>27384</v>
      </c>
      <c r="H937" s="299" t="s">
        <v>27659</v>
      </c>
    </row>
    <row r="938" spans="1:8" ht="15.75" customHeight="1">
      <c r="A938" s="120" t="s">
        <v>52</v>
      </c>
      <c r="B938" s="298">
        <v>44714</v>
      </c>
      <c r="C938" s="165" t="s">
        <v>27681</v>
      </c>
      <c r="D938" s="113" t="s">
        <v>32</v>
      </c>
      <c r="E938" s="59">
        <v>0.99</v>
      </c>
      <c r="F938" s="165" t="s">
        <v>13309</v>
      </c>
      <c r="G938" s="165" t="s">
        <v>7254</v>
      </c>
      <c r="H938" s="299" t="s">
        <v>27682</v>
      </c>
    </row>
    <row r="939" spans="1:8" ht="15.75" customHeight="1" thickBot="1">
      <c r="A939" s="300" t="str">
        <f>CONCATENATE("MEDIANA - ",A934)</f>
        <v>MEDIANA - COT139</v>
      </c>
      <c r="B939" s="115"/>
      <c r="C939" s="115"/>
      <c r="D939" s="301"/>
      <c r="E939" s="150">
        <f>MEDIAN(E936:E938)</f>
        <v>0.99</v>
      </c>
      <c r="F939" s="301"/>
      <c r="G939" s="301"/>
      <c r="H939" s="302"/>
    </row>
    <row r="940" spans="1:8" ht="15.75" customHeight="1" thickBot="1">
      <c r="A940" s="282"/>
      <c r="B940" s="283"/>
      <c r="C940" s="283"/>
      <c r="D940" s="283"/>
      <c r="E940" s="283"/>
      <c r="F940" s="283"/>
      <c r="G940" s="283"/>
      <c r="H940" s="284"/>
    </row>
    <row r="941" spans="1:8" ht="15.75" customHeight="1">
      <c r="A941" s="289" t="s">
        <v>14418</v>
      </c>
      <c r="B941" s="290" t="s">
        <v>7152</v>
      </c>
      <c r="C941" s="290"/>
      <c r="D941" s="290"/>
      <c r="E941" s="290"/>
      <c r="F941" s="290"/>
      <c r="G941" s="290"/>
      <c r="H941" s="291"/>
    </row>
    <row r="942" spans="1:8" ht="15.75" customHeight="1">
      <c r="A942" s="292" t="s">
        <v>6</v>
      </c>
      <c r="B942" s="293" t="s">
        <v>7050</v>
      </c>
      <c r="C942" s="294" t="s">
        <v>7049</v>
      </c>
      <c r="D942" s="295" t="s">
        <v>24</v>
      </c>
      <c r="E942" s="296" t="s">
        <v>7046</v>
      </c>
      <c r="F942" s="293" t="s">
        <v>254</v>
      </c>
      <c r="G942" s="293" t="s">
        <v>7047</v>
      </c>
      <c r="H942" s="297" t="s">
        <v>7048</v>
      </c>
    </row>
    <row r="943" spans="1:8" ht="15.75" customHeight="1">
      <c r="A943" s="120" t="s">
        <v>7</v>
      </c>
      <c r="B943" s="298">
        <v>44714</v>
      </c>
      <c r="C943" s="165" t="s">
        <v>27683</v>
      </c>
      <c r="D943" s="113" t="s">
        <v>32</v>
      </c>
      <c r="E943" s="59">
        <v>0.27600000000000002</v>
      </c>
      <c r="F943" s="165" t="s">
        <v>13238</v>
      </c>
      <c r="G943" s="326" t="s">
        <v>13404</v>
      </c>
      <c r="H943" s="299" t="s">
        <v>13239</v>
      </c>
    </row>
    <row r="944" spans="1:8" ht="15.75" customHeight="1">
      <c r="A944" s="120" t="s">
        <v>50</v>
      </c>
      <c r="B944" s="298">
        <v>44718</v>
      </c>
      <c r="C944" s="165" t="s">
        <v>27675</v>
      </c>
      <c r="D944" s="113" t="s">
        <v>32</v>
      </c>
      <c r="E944" s="59">
        <v>0.41</v>
      </c>
      <c r="F944" s="165" t="s">
        <v>13309</v>
      </c>
      <c r="G944" s="165" t="s">
        <v>13310</v>
      </c>
      <c r="H944" s="299" t="s">
        <v>27666</v>
      </c>
    </row>
    <row r="945" spans="1:8" ht="15.75" customHeight="1">
      <c r="A945" s="120" t="s">
        <v>52</v>
      </c>
      <c r="B945" s="298">
        <v>44715</v>
      </c>
      <c r="C945" s="165" t="s">
        <v>27686</v>
      </c>
      <c r="D945" s="113" t="s">
        <v>32</v>
      </c>
      <c r="E945" s="59">
        <v>0.73</v>
      </c>
      <c r="F945" s="165" t="s">
        <v>13252</v>
      </c>
      <c r="G945" s="165" t="s">
        <v>27687</v>
      </c>
      <c r="H945" s="299" t="s">
        <v>27688</v>
      </c>
    </row>
    <row r="946" spans="1:8" ht="15.75" customHeight="1" thickBot="1">
      <c r="A946" s="300" t="str">
        <f>CONCATENATE("MEDIANA - ",A941)</f>
        <v>MEDIANA - COT140</v>
      </c>
      <c r="B946" s="115"/>
      <c r="C946" s="115"/>
      <c r="D946" s="301"/>
      <c r="E946" s="150">
        <f>MEDIAN(E943:E945)</f>
        <v>0.41</v>
      </c>
      <c r="F946" s="301"/>
      <c r="G946" s="301"/>
      <c r="H946" s="302"/>
    </row>
    <row r="947" spans="1:8" ht="15.75" customHeight="1" thickBot="1">
      <c r="A947" s="282"/>
      <c r="B947" s="283"/>
      <c r="C947" s="283"/>
      <c r="D947" s="283"/>
      <c r="E947" s="283"/>
      <c r="F947" s="283"/>
      <c r="G947" s="283"/>
      <c r="H947" s="284"/>
    </row>
    <row r="948" spans="1:8" ht="15.75" customHeight="1">
      <c r="A948" s="289" t="s">
        <v>14419</v>
      </c>
      <c r="B948" s="290" t="s">
        <v>7220</v>
      </c>
      <c r="C948" s="290"/>
      <c r="D948" s="290"/>
      <c r="E948" s="290"/>
      <c r="F948" s="290"/>
      <c r="G948" s="290"/>
      <c r="H948" s="291"/>
    </row>
    <row r="949" spans="1:8" ht="15.75" customHeight="1">
      <c r="A949" s="292" t="s">
        <v>6</v>
      </c>
      <c r="B949" s="293" t="s">
        <v>7050</v>
      </c>
      <c r="C949" s="294" t="s">
        <v>7049</v>
      </c>
      <c r="D949" s="295" t="s">
        <v>24</v>
      </c>
      <c r="E949" s="296" t="s">
        <v>7046</v>
      </c>
      <c r="F949" s="293" t="s">
        <v>254</v>
      </c>
      <c r="G949" s="293" t="s">
        <v>7047</v>
      </c>
      <c r="H949" s="297" t="s">
        <v>7048</v>
      </c>
    </row>
    <row r="950" spans="1:8" ht="15.75" customHeight="1">
      <c r="A950" s="120" t="s">
        <v>7</v>
      </c>
      <c r="B950" s="298">
        <v>44714</v>
      </c>
      <c r="C950" s="165" t="s">
        <v>27683</v>
      </c>
      <c r="D950" s="113" t="s">
        <v>32</v>
      </c>
      <c r="E950" s="59">
        <v>0.59</v>
      </c>
      <c r="F950" s="165" t="s">
        <v>13238</v>
      </c>
      <c r="G950" s="326" t="s">
        <v>13404</v>
      </c>
      <c r="H950" s="299" t="s">
        <v>13239</v>
      </c>
    </row>
    <row r="951" spans="1:8" ht="15.75" customHeight="1">
      <c r="A951" s="120" t="s">
        <v>50</v>
      </c>
      <c r="B951" s="298">
        <v>44714</v>
      </c>
      <c r="C951" s="165" t="s">
        <v>27681</v>
      </c>
      <c r="D951" s="113" t="s">
        <v>32</v>
      </c>
      <c r="E951" s="59">
        <v>0.5</v>
      </c>
      <c r="F951" s="165" t="s">
        <v>13309</v>
      </c>
      <c r="G951" s="165" t="s">
        <v>7254</v>
      </c>
      <c r="H951" s="299" t="s">
        <v>27682</v>
      </c>
    </row>
    <row r="952" spans="1:8" ht="15.75" customHeight="1">
      <c r="A952" s="120" t="s">
        <v>52</v>
      </c>
      <c r="B952" s="298">
        <v>44721</v>
      </c>
      <c r="C952" s="165" t="s">
        <v>27674</v>
      </c>
      <c r="D952" s="113" t="s">
        <v>32</v>
      </c>
      <c r="E952" s="59">
        <v>1.22</v>
      </c>
      <c r="F952" s="165" t="s">
        <v>7251</v>
      </c>
      <c r="G952" s="165" t="s">
        <v>27384</v>
      </c>
      <c r="H952" s="299" t="s">
        <v>27659</v>
      </c>
    </row>
    <row r="953" spans="1:8" ht="15.75" customHeight="1" thickBot="1">
      <c r="A953" s="300" t="str">
        <f>CONCATENATE("MEDIANA - ",A948)</f>
        <v>MEDIANA - COT141</v>
      </c>
      <c r="B953" s="115"/>
      <c r="C953" s="115"/>
      <c r="D953" s="301"/>
      <c r="E953" s="150">
        <f>MEDIAN(E950:E952)</f>
        <v>0.59</v>
      </c>
      <c r="F953" s="301"/>
      <c r="G953" s="301"/>
      <c r="H953" s="302"/>
    </row>
    <row r="954" spans="1:8" ht="15.75" customHeight="1" thickBot="1">
      <c r="A954" s="282"/>
      <c r="B954" s="283"/>
      <c r="C954" s="283"/>
      <c r="D954" s="283"/>
      <c r="E954" s="283"/>
      <c r="F954" s="283"/>
      <c r="G954" s="283"/>
      <c r="H954" s="284"/>
    </row>
    <row r="955" spans="1:8" ht="15.75" customHeight="1">
      <c r="A955" s="289" t="s">
        <v>14420</v>
      </c>
      <c r="B955" s="290" t="s">
        <v>7170</v>
      </c>
      <c r="C955" s="290"/>
      <c r="D955" s="290"/>
      <c r="E955" s="290"/>
      <c r="F955" s="290"/>
      <c r="G955" s="290"/>
      <c r="H955" s="291"/>
    </row>
    <row r="956" spans="1:8" ht="15.75" customHeight="1">
      <c r="A956" s="292" t="s">
        <v>6</v>
      </c>
      <c r="B956" s="293" t="s">
        <v>7050</v>
      </c>
      <c r="C956" s="294" t="s">
        <v>7049</v>
      </c>
      <c r="D956" s="295" t="s">
        <v>24</v>
      </c>
      <c r="E956" s="296" t="s">
        <v>7046</v>
      </c>
      <c r="F956" s="293" t="s">
        <v>254</v>
      </c>
      <c r="G956" s="293" t="s">
        <v>7047</v>
      </c>
      <c r="H956" s="297" t="s">
        <v>7048</v>
      </c>
    </row>
    <row r="957" spans="1:8" ht="15.75" customHeight="1">
      <c r="A957" s="120" t="s">
        <v>7</v>
      </c>
      <c r="B957" s="298">
        <v>44715</v>
      </c>
      <c r="C957" s="165" t="s">
        <v>27689</v>
      </c>
      <c r="D957" s="113" t="s">
        <v>32</v>
      </c>
      <c r="E957" s="59">
        <v>852.84</v>
      </c>
      <c r="F957" s="165" t="s">
        <v>27396</v>
      </c>
      <c r="G957" s="165" t="s">
        <v>13399</v>
      </c>
      <c r="H957" s="303" t="s">
        <v>27690</v>
      </c>
    </row>
    <row r="958" spans="1:8" ht="15.75" customHeight="1">
      <c r="A958" s="120" t="s">
        <v>50</v>
      </c>
      <c r="B958" s="298">
        <v>44714</v>
      </c>
      <c r="C958" s="165" t="s">
        <v>27862</v>
      </c>
      <c r="D958" s="113" t="s">
        <v>32</v>
      </c>
      <c r="E958" s="59">
        <v>279</v>
      </c>
      <c r="F958" s="165" t="s">
        <v>27395</v>
      </c>
      <c r="G958" s="355" t="s">
        <v>27863</v>
      </c>
      <c r="H958" s="299" t="s">
        <v>27692</v>
      </c>
    </row>
    <row r="959" spans="1:8" ht="15.75" customHeight="1">
      <c r="A959" s="120" t="s">
        <v>52</v>
      </c>
      <c r="B959" s="298">
        <v>44718</v>
      </c>
      <c r="C959" s="166" t="s">
        <v>27291</v>
      </c>
      <c r="D959" s="113" t="s">
        <v>32</v>
      </c>
      <c r="E959" s="318">
        <v>449</v>
      </c>
      <c r="F959" s="299">
        <v>8006377246</v>
      </c>
      <c r="G959" s="320" t="s">
        <v>27327</v>
      </c>
      <c r="H959" s="303" t="s">
        <v>27461</v>
      </c>
    </row>
    <row r="960" spans="1:8" ht="15.75" customHeight="1" thickBot="1">
      <c r="A960" s="300" t="str">
        <f>CONCATENATE("MEDIANA - ",A955)</f>
        <v>MEDIANA - COT142</v>
      </c>
      <c r="B960" s="115"/>
      <c r="C960" s="115"/>
      <c r="D960" s="301"/>
      <c r="E960" s="150">
        <f>MEDIAN(E957:E959)</f>
        <v>449</v>
      </c>
      <c r="F960" s="301"/>
      <c r="G960" s="301"/>
      <c r="H960" s="302"/>
    </row>
    <row r="961" spans="1:8" ht="15.75" customHeight="1" thickBot="1">
      <c r="A961" s="282"/>
      <c r="B961" s="283"/>
      <c r="C961" s="283"/>
      <c r="D961" s="283"/>
      <c r="E961" s="283"/>
      <c r="F961" s="283"/>
      <c r="G961" s="283"/>
      <c r="H961" s="284"/>
    </row>
    <row r="962" spans="1:8" ht="15.75" customHeight="1">
      <c r="A962" s="289" t="s">
        <v>14421</v>
      </c>
      <c r="B962" s="290" t="s">
        <v>7174</v>
      </c>
      <c r="C962" s="290"/>
      <c r="D962" s="290"/>
      <c r="E962" s="290"/>
      <c r="F962" s="290"/>
      <c r="G962" s="290"/>
      <c r="H962" s="291"/>
    </row>
    <row r="963" spans="1:8" ht="15.75" customHeight="1">
      <c r="A963" s="292" t="s">
        <v>6</v>
      </c>
      <c r="B963" s="293" t="s">
        <v>7050</v>
      </c>
      <c r="C963" s="294" t="s">
        <v>7049</v>
      </c>
      <c r="D963" s="295" t="s">
        <v>24</v>
      </c>
      <c r="E963" s="296" t="s">
        <v>7046</v>
      </c>
      <c r="F963" s="293" t="s">
        <v>254</v>
      </c>
      <c r="G963" s="293" t="s">
        <v>7047</v>
      </c>
      <c r="H963" s="297" t="s">
        <v>7048</v>
      </c>
    </row>
    <row r="964" spans="1:8" ht="15.75" customHeight="1">
      <c r="A964" s="120" t="s">
        <v>7</v>
      </c>
      <c r="B964" s="298">
        <v>44714</v>
      </c>
      <c r="C964" s="165" t="s">
        <v>27683</v>
      </c>
      <c r="D964" s="113" t="s">
        <v>32</v>
      </c>
      <c r="E964" s="59">
        <v>60.7</v>
      </c>
      <c r="F964" s="165" t="s">
        <v>13238</v>
      </c>
      <c r="G964" s="326" t="s">
        <v>13404</v>
      </c>
      <c r="H964" s="299" t="s">
        <v>13239</v>
      </c>
    </row>
    <row r="965" spans="1:8" ht="15.75" customHeight="1">
      <c r="A965" s="120" t="s">
        <v>50</v>
      </c>
      <c r="B965" s="298">
        <v>44715</v>
      </c>
      <c r="C965" s="165" t="s">
        <v>27689</v>
      </c>
      <c r="D965" s="113" t="s">
        <v>32</v>
      </c>
      <c r="E965" s="59">
        <v>150.31</v>
      </c>
      <c r="F965" s="165" t="s">
        <v>27396</v>
      </c>
      <c r="G965" s="165" t="s">
        <v>13399</v>
      </c>
      <c r="H965" s="303" t="s">
        <v>27690</v>
      </c>
    </row>
    <row r="966" spans="1:8" ht="15.75" customHeight="1">
      <c r="A966" s="120" t="s">
        <v>52</v>
      </c>
      <c r="B966" s="298">
        <v>44714</v>
      </c>
      <c r="C966" s="165" t="s">
        <v>27691</v>
      </c>
      <c r="D966" s="113" t="s">
        <v>32</v>
      </c>
      <c r="E966" s="59">
        <v>92</v>
      </c>
      <c r="F966" s="165" t="s">
        <v>27395</v>
      </c>
      <c r="G966" s="355" t="s">
        <v>27863</v>
      </c>
      <c r="H966" s="299" t="s">
        <v>27692</v>
      </c>
    </row>
    <row r="967" spans="1:8" ht="15.75" customHeight="1" thickBot="1">
      <c r="A967" s="300" t="str">
        <f>CONCATENATE("MEDIANA - ",A962)</f>
        <v>MEDIANA - COT143</v>
      </c>
      <c r="B967" s="115"/>
      <c r="C967" s="115"/>
      <c r="D967" s="301"/>
      <c r="E967" s="150">
        <f>MEDIAN(E964:E966)</f>
        <v>92</v>
      </c>
      <c r="F967" s="301"/>
      <c r="G967" s="301"/>
      <c r="H967" s="302"/>
    </row>
    <row r="968" spans="1:8" ht="15.75" customHeight="1" thickBot="1">
      <c r="A968" s="282"/>
      <c r="B968" s="283"/>
      <c r="C968" s="283"/>
      <c r="D968" s="283"/>
      <c r="E968" s="283"/>
      <c r="F968" s="283"/>
      <c r="G968" s="283"/>
      <c r="H968" s="284"/>
    </row>
    <row r="969" spans="1:8" ht="15.75" customHeight="1">
      <c r="A969" s="352" t="s">
        <v>14422</v>
      </c>
      <c r="B969" s="356" t="s">
        <v>7221</v>
      </c>
      <c r="C969" s="353"/>
      <c r="D969" s="353"/>
      <c r="E969" s="353"/>
      <c r="F969" s="353"/>
      <c r="G969" s="353"/>
      <c r="H969" s="354"/>
    </row>
    <row r="970" spans="1:8" ht="15.75" customHeight="1">
      <c r="A970" s="292" t="s">
        <v>6</v>
      </c>
      <c r="B970" s="293" t="s">
        <v>7050</v>
      </c>
      <c r="C970" s="294" t="s">
        <v>7049</v>
      </c>
      <c r="D970" s="295" t="s">
        <v>24</v>
      </c>
      <c r="E970" s="296" t="s">
        <v>7046</v>
      </c>
      <c r="F970" s="293" t="s">
        <v>254</v>
      </c>
      <c r="G970" s="293" t="s">
        <v>7047</v>
      </c>
      <c r="H970" s="297" t="s">
        <v>7048</v>
      </c>
    </row>
    <row r="971" spans="1:8" ht="15.75" customHeight="1">
      <c r="A971" s="120" t="s">
        <v>7</v>
      </c>
      <c r="B971" s="298">
        <v>44727</v>
      </c>
      <c r="C971" s="165" t="s">
        <v>27864</v>
      </c>
      <c r="D971" s="113" t="s">
        <v>32</v>
      </c>
      <c r="E971" s="59">
        <v>2133</v>
      </c>
      <c r="F971" s="165" t="s">
        <v>27865</v>
      </c>
      <c r="G971" s="165" t="s">
        <v>27866</v>
      </c>
      <c r="H971" s="299" t="s">
        <v>13199</v>
      </c>
    </row>
    <row r="972" spans="1:8" ht="15.75" customHeight="1">
      <c r="A972" s="120" t="s">
        <v>50</v>
      </c>
      <c r="B972" s="164">
        <v>44715</v>
      </c>
      <c r="C972" s="165" t="s">
        <v>13397</v>
      </c>
      <c r="D972" s="113" t="s">
        <v>32</v>
      </c>
      <c r="E972" s="59">
        <v>3559.46</v>
      </c>
      <c r="F972" s="165" t="s">
        <v>13398</v>
      </c>
      <c r="G972" s="165" t="s">
        <v>13399</v>
      </c>
      <c r="H972" s="303" t="s">
        <v>13400</v>
      </c>
    </row>
    <row r="973" spans="1:8" ht="15.75" customHeight="1">
      <c r="A973" s="120" t="s">
        <v>52</v>
      </c>
      <c r="B973" s="298">
        <v>44707</v>
      </c>
      <c r="C973" s="165" t="s">
        <v>27397</v>
      </c>
      <c r="D973" s="113" t="s">
        <v>32</v>
      </c>
      <c r="E973" s="59">
        <v>3795.49</v>
      </c>
      <c r="F973" s="165" t="s">
        <v>27398</v>
      </c>
      <c r="G973" s="165" t="s">
        <v>27399</v>
      </c>
      <c r="H973" s="303" t="s">
        <v>27414</v>
      </c>
    </row>
    <row r="974" spans="1:8" ht="15.75" customHeight="1" thickBot="1">
      <c r="A974" s="300" t="str">
        <f>CONCATENATE("MEDIANA - ",A969)</f>
        <v>MEDIANA - COT144</v>
      </c>
      <c r="B974" s="115"/>
      <c r="C974" s="115"/>
      <c r="D974" s="301"/>
      <c r="E974" s="150">
        <f>MEDIAN(E971:E973)</f>
        <v>3559.46</v>
      </c>
      <c r="F974" s="301"/>
      <c r="G974" s="301"/>
      <c r="H974" s="302"/>
    </row>
    <row r="975" spans="1:8" ht="15.75" customHeight="1" thickBot="1">
      <c r="A975" s="282"/>
      <c r="B975" s="283"/>
      <c r="C975" s="283"/>
      <c r="D975" s="283"/>
      <c r="E975" s="283"/>
      <c r="F975" s="283"/>
      <c r="G975" s="283"/>
      <c r="H975" s="284"/>
    </row>
    <row r="976" spans="1:8" ht="15.75" customHeight="1">
      <c r="A976" s="289" t="s">
        <v>14423</v>
      </c>
      <c r="B976" s="290" t="s">
        <v>7181</v>
      </c>
      <c r="C976" s="290"/>
      <c r="D976" s="290"/>
      <c r="E976" s="290"/>
      <c r="F976" s="290"/>
      <c r="G976" s="290"/>
      <c r="H976" s="291"/>
    </row>
    <row r="977" spans="1:8" ht="15.75" customHeight="1">
      <c r="A977" s="292" t="s">
        <v>6</v>
      </c>
      <c r="B977" s="293" t="s">
        <v>7050</v>
      </c>
      <c r="C977" s="294" t="s">
        <v>7049</v>
      </c>
      <c r="D977" s="295" t="s">
        <v>24</v>
      </c>
      <c r="E977" s="296" t="s">
        <v>7046</v>
      </c>
      <c r="F977" s="293" t="s">
        <v>254</v>
      </c>
      <c r="G977" s="293" t="s">
        <v>7047</v>
      </c>
      <c r="H977" s="297" t="s">
        <v>7048</v>
      </c>
    </row>
    <row r="978" spans="1:8" ht="15.75" customHeight="1">
      <c r="A978" s="120" t="s">
        <v>7</v>
      </c>
      <c r="B978" s="298">
        <v>44714</v>
      </c>
      <c r="C978" s="165" t="s">
        <v>27684</v>
      </c>
      <c r="D978" s="113" t="s">
        <v>32</v>
      </c>
      <c r="E978" s="59">
        <v>18.38</v>
      </c>
      <c r="F978" s="165" t="s">
        <v>7253</v>
      </c>
      <c r="G978" s="165" t="s">
        <v>27693</v>
      </c>
      <c r="H978" s="167" t="s">
        <v>27694</v>
      </c>
    </row>
    <row r="979" spans="1:8" ht="15.75" customHeight="1">
      <c r="A979" s="120" t="s">
        <v>50</v>
      </c>
      <c r="B979" s="298">
        <v>44714</v>
      </c>
      <c r="C979" s="165" t="s">
        <v>27681</v>
      </c>
      <c r="D979" s="113" t="s">
        <v>32</v>
      </c>
      <c r="E979" s="59">
        <v>18.72</v>
      </c>
      <c r="F979" s="165" t="s">
        <v>13309</v>
      </c>
      <c r="G979" s="165" t="s">
        <v>7254</v>
      </c>
      <c r="H979" s="299" t="s">
        <v>27682</v>
      </c>
    </row>
    <row r="980" spans="1:8" ht="15.75" customHeight="1">
      <c r="A980" s="120" t="s">
        <v>52</v>
      </c>
      <c r="B980" s="298">
        <v>44714</v>
      </c>
      <c r="C980" s="165" t="s">
        <v>27691</v>
      </c>
      <c r="D980" s="113" t="s">
        <v>32</v>
      </c>
      <c r="E980" s="59">
        <v>49.9</v>
      </c>
      <c r="F980" s="165" t="s">
        <v>27395</v>
      </c>
      <c r="G980" s="355" t="s">
        <v>27863</v>
      </c>
      <c r="H980" s="299" t="s">
        <v>27692</v>
      </c>
    </row>
    <row r="981" spans="1:8" ht="15.75" customHeight="1" thickBot="1">
      <c r="A981" s="300" t="str">
        <f>CONCATENATE("MEDIANA - ",A976)</f>
        <v>MEDIANA - COT145</v>
      </c>
      <c r="B981" s="115"/>
      <c r="C981" s="115"/>
      <c r="D981" s="301"/>
      <c r="E981" s="150">
        <f>MEDIAN(E978:E980)</f>
        <v>18.72</v>
      </c>
      <c r="F981" s="301"/>
      <c r="G981" s="301"/>
      <c r="H981" s="302"/>
    </row>
    <row r="982" spans="1:8" ht="15.75" customHeight="1" thickBot="1">
      <c r="A982" s="282"/>
      <c r="B982" s="283"/>
      <c r="C982" s="283"/>
      <c r="D982" s="283"/>
      <c r="E982" s="283"/>
      <c r="F982" s="283"/>
      <c r="G982" s="283"/>
      <c r="H982" s="284"/>
    </row>
    <row r="983" spans="1:8" ht="15.75" customHeight="1">
      <c r="A983" s="289" t="s">
        <v>14424</v>
      </c>
      <c r="B983" s="290" t="s">
        <v>7184</v>
      </c>
      <c r="C983" s="290"/>
      <c r="D983" s="290"/>
      <c r="E983" s="290"/>
      <c r="F983" s="290"/>
      <c r="G983" s="290"/>
      <c r="H983" s="291"/>
    </row>
    <row r="984" spans="1:8" ht="15.75" customHeight="1">
      <c r="A984" s="292" t="s">
        <v>6</v>
      </c>
      <c r="B984" s="293" t="s">
        <v>7050</v>
      </c>
      <c r="C984" s="294" t="s">
        <v>7049</v>
      </c>
      <c r="D984" s="295" t="s">
        <v>24</v>
      </c>
      <c r="E984" s="296" t="s">
        <v>7046</v>
      </c>
      <c r="F984" s="293" t="s">
        <v>254</v>
      </c>
      <c r="G984" s="293" t="s">
        <v>7047</v>
      </c>
      <c r="H984" s="297" t="s">
        <v>7048</v>
      </c>
    </row>
    <row r="985" spans="1:8" ht="15.75" customHeight="1">
      <c r="A985" s="120" t="s">
        <v>7</v>
      </c>
      <c r="B985" s="298">
        <v>44714</v>
      </c>
      <c r="C985" s="165" t="s">
        <v>27681</v>
      </c>
      <c r="D985" s="113" t="s">
        <v>32</v>
      </c>
      <c r="E985" s="59">
        <v>24.87</v>
      </c>
      <c r="F985" s="165" t="s">
        <v>13309</v>
      </c>
      <c r="G985" s="165" t="s">
        <v>7254</v>
      </c>
      <c r="H985" s="299" t="s">
        <v>27682</v>
      </c>
    </row>
    <row r="986" spans="1:8" ht="15.75" customHeight="1">
      <c r="A986" s="120" t="s">
        <v>50</v>
      </c>
      <c r="B986" s="298">
        <v>44714</v>
      </c>
      <c r="C986" s="165" t="s">
        <v>27691</v>
      </c>
      <c r="D986" s="113" t="s">
        <v>32</v>
      </c>
      <c r="E986" s="59">
        <v>55</v>
      </c>
      <c r="F986" s="165" t="s">
        <v>27395</v>
      </c>
      <c r="G986" s="355" t="s">
        <v>27863</v>
      </c>
      <c r="H986" s="299" t="s">
        <v>27692</v>
      </c>
    </row>
    <row r="987" spans="1:8" ht="15.75" customHeight="1">
      <c r="A987" s="120" t="s">
        <v>52</v>
      </c>
      <c r="B987" s="298">
        <v>44718</v>
      </c>
      <c r="C987" s="166" t="s">
        <v>27291</v>
      </c>
      <c r="D987" s="113" t="s">
        <v>32</v>
      </c>
      <c r="E987" s="59">
        <v>34.83</v>
      </c>
      <c r="F987" s="299">
        <v>8006377246</v>
      </c>
      <c r="G987" s="320" t="s">
        <v>27327</v>
      </c>
      <c r="H987" s="303" t="s">
        <v>27695</v>
      </c>
    </row>
    <row r="988" spans="1:8" ht="15.75" customHeight="1" thickBot="1">
      <c r="A988" s="300" t="str">
        <f>CONCATENATE("MEDIANA - ",A983)</f>
        <v>MEDIANA - COT146</v>
      </c>
      <c r="B988" s="115"/>
      <c r="C988" s="115"/>
      <c r="D988" s="301"/>
      <c r="E988" s="150">
        <f>MEDIAN(E985:E987)</f>
        <v>34.83</v>
      </c>
      <c r="F988" s="301"/>
      <c r="G988" s="301"/>
      <c r="H988" s="302"/>
    </row>
    <row r="989" spans="1:8" ht="15.75" customHeight="1" thickBot="1">
      <c r="A989" s="282"/>
      <c r="B989" s="283"/>
      <c r="C989" s="283"/>
      <c r="D989" s="283"/>
      <c r="E989" s="283"/>
      <c r="F989" s="283"/>
      <c r="G989" s="283"/>
      <c r="H989" s="284"/>
    </row>
    <row r="990" spans="1:8" ht="15.75" customHeight="1">
      <c r="A990" s="289" t="s">
        <v>14425</v>
      </c>
      <c r="B990" s="290" t="s">
        <v>7187</v>
      </c>
      <c r="C990" s="290"/>
      <c r="D990" s="290"/>
      <c r="E990" s="290"/>
      <c r="F990" s="290"/>
      <c r="G990" s="290"/>
      <c r="H990" s="291"/>
    </row>
    <row r="991" spans="1:8" ht="15.75" customHeight="1">
      <c r="A991" s="292" t="s">
        <v>6</v>
      </c>
      <c r="B991" s="293" t="s">
        <v>7050</v>
      </c>
      <c r="C991" s="294" t="s">
        <v>7049</v>
      </c>
      <c r="D991" s="295" t="s">
        <v>24</v>
      </c>
      <c r="E991" s="296" t="s">
        <v>7046</v>
      </c>
      <c r="F991" s="293" t="s">
        <v>254</v>
      </c>
      <c r="G991" s="293" t="s">
        <v>7047</v>
      </c>
      <c r="H991" s="297" t="s">
        <v>7048</v>
      </c>
    </row>
    <row r="992" spans="1:8" ht="15.75" customHeight="1">
      <c r="A992" s="120" t="s">
        <v>7</v>
      </c>
      <c r="B992" s="298">
        <v>44714</v>
      </c>
      <c r="C992" s="165" t="s">
        <v>27691</v>
      </c>
      <c r="D992" s="113" t="s">
        <v>32</v>
      </c>
      <c r="E992" s="59">
        <v>20.88</v>
      </c>
      <c r="F992" s="165" t="s">
        <v>27395</v>
      </c>
      <c r="G992" s="355" t="s">
        <v>27863</v>
      </c>
      <c r="H992" s="299" t="s">
        <v>27692</v>
      </c>
    </row>
    <row r="993" spans="1:8" ht="15.75" customHeight="1">
      <c r="A993" s="120" t="s">
        <v>50</v>
      </c>
      <c r="B993" s="298">
        <v>44719</v>
      </c>
      <c r="C993" s="165" t="s">
        <v>13299</v>
      </c>
      <c r="D993" s="113" t="s">
        <v>32</v>
      </c>
      <c r="E993" s="59">
        <v>30.42</v>
      </c>
      <c r="F993" s="165" t="s">
        <v>27696</v>
      </c>
      <c r="G993" s="165" t="s">
        <v>13300</v>
      </c>
      <c r="H993" s="357" t="s">
        <v>27697</v>
      </c>
    </row>
    <row r="994" spans="1:8" ht="15.75" customHeight="1">
      <c r="A994" s="120" t="s">
        <v>52</v>
      </c>
      <c r="B994" s="298">
        <v>44719</v>
      </c>
      <c r="C994" s="165" t="s">
        <v>27698</v>
      </c>
      <c r="D994" s="113" t="s">
        <v>32</v>
      </c>
      <c r="E994" s="59">
        <v>31.346</v>
      </c>
      <c r="F994" s="165" t="s">
        <v>27699</v>
      </c>
      <c r="G994" s="165" t="s">
        <v>27700</v>
      </c>
      <c r="H994" s="303" t="s">
        <v>27701</v>
      </c>
    </row>
    <row r="995" spans="1:8" ht="15.75" customHeight="1" thickBot="1">
      <c r="A995" s="300" t="str">
        <f>CONCATENATE("MEDIANA - ",A990)</f>
        <v>MEDIANA - COT147</v>
      </c>
      <c r="B995" s="115"/>
      <c r="C995" s="115"/>
      <c r="D995" s="301"/>
      <c r="E995" s="150">
        <f>MEDIAN(E992:E994)</f>
        <v>30.42</v>
      </c>
      <c r="F995" s="301"/>
      <c r="G995" s="301"/>
      <c r="H995" s="302"/>
    </row>
    <row r="996" spans="1:8" ht="15.75" customHeight="1" thickBot="1">
      <c r="A996" s="282"/>
      <c r="B996" s="283"/>
      <c r="C996" s="283"/>
      <c r="D996" s="283"/>
      <c r="E996" s="283"/>
      <c r="F996" s="283"/>
      <c r="G996" s="283"/>
      <c r="H996" s="284"/>
    </row>
    <row r="997" spans="1:8" ht="15.75" customHeight="1">
      <c r="A997" s="289" t="s">
        <v>14426</v>
      </c>
      <c r="B997" s="290" t="s">
        <v>7195</v>
      </c>
      <c r="C997" s="290"/>
      <c r="D997" s="290"/>
      <c r="E997" s="290"/>
      <c r="F997" s="290"/>
      <c r="G997" s="290"/>
      <c r="H997" s="291"/>
    </row>
    <row r="998" spans="1:8" ht="15.75" customHeight="1">
      <c r="A998" s="292" t="s">
        <v>6</v>
      </c>
      <c r="B998" s="293" t="s">
        <v>7050</v>
      </c>
      <c r="C998" s="294" t="s">
        <v>7049</v>
      </c>
      <c r="D998" s="295" t="s">
        <v>24</v>
      </c>
      <c r="E998" s="296" t="s">
        <v>7046</v>
      </c>
      <c r="F998" s="293" t="s">
        <v>254</v>
      </c>
      <c r="G998" s="293" t="s">
        <v>7047</v>
      </c>
      <c r="H998" s="297" t="s">
        <v>7048</v>
      </c>
    </row>
    <row r="999" spans="1:8" ht="15.75" customHeight="1">
      <c r="A999" s="120" t="s">
        <v>7</v>
      </c>
      <c r="B999" s="298">
        <v>44715</v>
      </c>
      <c r="C999" s="165" t="s">
        <v>27689</v>
      </c>
      <c r="D999" s="113" t="s">
        <v>32</v>
      </c>
      <c r="E999" s="59">
        <v>231.88</v>
      </c>
      <c r="F999" s="165" t="s">
        <v>27396</v>
      </c>
      <c r="G999" s="165" t="s">
        <v>13399</v>
      </c>
      <c r="H999" s="303" t="s">
        <v>27690</v>
      </c>
    </row>
    <row r="1000" spans="1:8" ht="15.75" customHeight="1">
      <c r="A1000" s="120" t="s">
        <v>50</v>
      </c>
      <c r="B1000" s="298">
        <v>44714</v>
      </c>
      <c r="C1000" s="165" t="s">
        <v>27691</v>
      </c>
      <c r="D1000" s="113" t="s">
        <v>32</v>
      </c>
      <c r="E1000" s="59">
        <v>107.2</v>
      </c>
      <c r="F1000" s="165" t="s">
        <v>27395</v>
      </c>
      <c r="G1000" s="355" t="s">
        <v>27863</v>
      </c>
      <c r="H1000" s="299" t="s">
        <v>27692</v>
      </c>
    </row>
    <row r="1001" spans="1:8" ht="15.75" customHeight="1">
      <c r="A1001" s="120" t="s">
        <v>52</v>
      </c>
      <c r="B1001" s="298">
        <v>44718</v>
      </c>
      <c r="C1001" s="165" t="s">
        <v>13282</v>
      </c>
      <c r="D1001" s="113" t="s">
        <v>32</v>
      </c>
      <c r="E1001" s="59">
        <v>113.78</v>
      </c>
      <c r="F1001" s="165" t="s">
        <v>27269</v>
      </c>
      <c r="G1001" s="165" t="s">
        <v>14203</v>
      </c>
      <c r="H1001" s="303" t="s">
        <v>27462</v>
      </c>
    </row>
    <row r="1002" spans="1:8" ht="15.75" customHeight="1" thickBot="1">
      <c r="A1002" s="300" t="str">
        <f>CONCATENATE("MEDIANA - ",A997)</f>
        <v>MEDIANA - COT148</v>
      </c>
      <c r="B1002" s="115"/>
      <c r="C1002" s="115"/>
      <c r="D1002" s="301"/>
      <c r="E1002" s="150">
        <f>MEDIAN(E999:E1001)</f>
        <v>113.78</v>
      </c>
      <c r="F1002" s="301"/>
      <c r="G1002" s="301"/>
      <c r="H1002" s="302"/>
    </row>
    <row r="1003" spans="1:8" ht="15.75" customHeight="1" thickBot="1">
      <c r="A1003" s="282"/>
      <c r="B1003" s="283"/>
      <c r="C1003" s="283"/>
      <c r="D1003" s="283"/>
      <c r="E1003" s="283"/>
      <c r="F1003" s="283"/>
      <c r="G1003" s="283"/>
      <c r="H1003" s="284"/>
    </row>
    <row r="1004" spans="1:8" ht="15.75" customHeight="1">
      <c r="A1004" s="289" t="s">
        <v>14427</v>
      </c>
      <c r="B1004" s="290" t="s">
        <v>7199</v>
      </c>
      <c r="C1004" s="290"/>
      <c r="D1004" s="290"/>
      <c r="E1004" s="290"/>
      <c r="F1004" s="290"/>
      <c r="G1004" s="290"/>
      <c r="H1004" s="291"/>
    </row>
    <row r="1005" spans="1:8" ht="15.75" customHeight="1">
      <c r="A1005" s="292" t="s">
        <v>6</v>
      </c>
      <c r="B1005" s="293" t="s">
        <v>7050</v>
      </c>
      <c r="C1005" s="294" t="s">
        <v>7049</v>
      </c>
      <c r="D1005" s="295" t="s">
        <v>24</v>
      </c>
      <c r="E1005" s="296" t="s">
        <v>7046</v>
      </c>
      <c r="F1005" s="293" t="s">
        <v>254</v>
      </c>
      <c r="G1005" s="293" t="s">
        <v>7047</v>
      </c>
      <c r="H1005" s="297" t="s">
        <v>7048</v>
      </c>
    </row>
    <row r="1006" spans="1:8" ht="15.75" customHeight="1">
      <c r="A1006" s="120" t="s">
        <v>7</v>
      </c>
      <c r="B1006" s="298">
        <v>44718</v>
      </c>
      <c r="C1006" s="165" t="s">
        <v>13299</v>
      </c>
      <c r="D1006" s="113" t="s">
        <v>32</v>
      </c>
      <c r="E1006" s="59">
        <v>835.15</v>
      </c>
      <c r="F1006" s="165" t="s">
        <v>27696</v>
      </c>
      <c r="G1006" s="165" t="s">
        <v>13300</v>
      </c>
      <c r="H1006" s="303" t="s">
        <v>27702</v>
      </c>
    </row>
    <row r="1007" spans="1:8" ht="15.75" customHeight="1">
      <c r="A1007" s="120" t="s">
        <v>50</v>
      </c>
      <c r="B1007" s="298">
        <v>44718</v>
      </c>
      <c r="C1007" s="165" t="s">
        <v>27698</v>
      </c>
      <c r="D1007" s="113" t="s">
        <v>32</v>
      </c>
      <c r="E1007" s="59">
        <v>1081.9100000000001</v>
      </c>
      <c r="F1007" s="165" t="s">
        <v>27699</v>
      </c>
      <c r="G1007" s="165" t="s">
        <v>27700</v>
      </c>
      <c r="H1007" s="303" t="s">
        <v>27703</v>
      </c>
    </row>
    <row r="1008" spans="1:8" ht="15.75" customHeight="1">
      <c r="A1008" s="120" t="s">
        <v>52</v>
      </c>
      <c r="B1008" s="298">
        <v>44714</v>
      </c>
      <c r="C1008" s="165" t="s">
        <v>27691</v>
      </c>
      <c r="D1008" s="113" t="s">
        <v>32</v>
      </c>
      <c r="E1008" s="59">
        <v>1392.9</v>
      </c>
      <c r="F1008" s="165" t="s">
        <v>27395</v>
      </c>
      <c r="G1008" s="355" t="s">
        <v>27863</v>
      </c>
      <c r="H1008" s="299" t="s">
        <v>27692</v>
      </c>
    </row>
    <row r="1009" spans="1:8" ht="15.75" customHeight="1" thickBot="1">
      <c r="A1009" s="300" t="str">
        <f>CONCATENATE("MEDIANA - ",A1004)</f>
        <v>MEDIANA - COT149</v>
      </c>
      <c r="B1009" s="115"/>
      <c r="C1009" s="115"/>
      <c r="D1009" s="301"/>
      <c r="E1009" s="150">
        <f>MEDIAN(E1006:E1008)</f>
        <v>1081.9100000000001</v>
      </c>
      <c r="F1009" s="301"/>
      <c r="G1009" s="301"/>
      <c r="H1009" s="302"/>
    </row>
    <row r="1010" spans="1:8" ht="15.75" customHeight="1" thickBot="1">
      <c r="A1010" s="272"/>
      <c r="B1010" s="114"/>
      <c r="C1010" s="114"/>
      <c r="D1010" s="114"/>
      <c r="E1010" s="114"/>
      <c r="F1010" s="114"/>
      <c r="G1010" s="114"/>
      <c r="H1010" s="288"/>
    </row>
    <row r="1011" spans="1:8" ht="15.75" customHeight="1">
      <c r="A1011" s="289" t="s">
        <v>14428</v>
      </c>
      <c r="B1011" s="290" t="s">
        <v>13153</v>
      </c>
      <c r="C1011" s="290"/>
      <c r="D1011" s="290"/>
      <c r="E1011" s="290"/>
      <c r="F1011" s="290"/>
      <c r="G1011" s="290"/>
      <c r="H1011" s="291"/>
    </row>
    <row r="1012" spans="1:8" ht="15.75" customHeight="1">
      <c r="A1012" s="292" t="s">
        <v>6</v>
      </c>
      <c r="B1012" s="293" t="s">
        <v>7050</v>
      </c>
      <c r="C1012" s="294" t="s">
        <v>7049</v>
      </c>
      <c r="D1012" s="295" t="s">
        <v>24</v>
      </c>
      <c r="E1012" s="296" t="s">
        <v>7046</v>
      </c>
      <c r="F1012" s="293" t="s">
        <v>254</v>
      </c>
      <c r="G1012" s="293" t="s">
        <v>7047</v>
      </c>
      <c r="H1012" s="297" t="s">
        <v>7048</v>
      </c>
    </row>
    <row r="1013" spans="1:8" ht="15.75" customHeight="1">
      <c r="A1013" s="120" t="s">
        <v>7</v>
      </c>
      <c r="B1013" s="298">
        <v>44718</v>
      </c>
      <c r="C1013" s="165" t="s">
        <v>13282</v>
      </c>
      <c r="D1013" s="113" t="s">
        <v>32</v>
      </c>
      <c r="E1013" s="59">
        <v>1173.8599999999999</v>
      </c>
      <c r="F1013" s="165" t="s">
        <v>27269</v>
      </c>
      <c r="G1013" s="165" t="s">
        <v>14203</v>
      </c>
      <c r="H1013" s="303" t="s">
        <v>27704</v>
      </c>
    </row>
    <row r="1014" spans="1:8" ht="15.75" customHeight="1">
      <c r="A1014" s="120" t="s">
        <v>50</v>
      </c>
      <c r="B1014" s="298">
        <v>44718</v>
      </c>
      <c r="C1014" s="166" t="s">
        <v>27291</v>
      </c>
      <c r="D1014" s="113" t="s">
        <v>32</v>
      </c>
      <c r="E1014" s="59">
        <v>1350.23</v>
      </c>
      <c r="F1014" s="299">
        <v>8006377246</v>
      </c>
      <c r="G1014" s="320" t="s">
        <v>27327</v>
      </c>
      <c r="H1014" s="303" t="s">
        <v>27705</v>
      </c>
    </row>
    <row r="1015" spans="1:8" ht="15.75" customHeight="1">
      <c r="A1015" s="120" t="s">
        <v>52</v>
      </c>
      <c r="B1015" s="298">
        <v>44718</v>
      </c>
      <c r="C1015" s="165" t="s">
        <v>27698</v>
      </c>
      <c r="D1015" s="113" t="s">
        <v>32</v>
      </c>
      <c r="E1015" s="59">
        <v>1197.06</v>
      </c>
      <c r="F1015" s="165" t="s">
        <v>27699</v>
      </c>
      <c r="G1015" s="165" t="s">
        <v>27700</v>
      </c>
      <c r="H1015" s="303" t="s">
        <v>27706</v>
      </c>
    </row>
    <row r="1016" spans="1:8" ht="15.75" customHeight="1" thickBot="1">
      <c r="A1016" s="300" t="str">
        <f>CONCATENATE("MEDIANA - ",A1011)</f>
        <v>MEDIANA - COT151</v>
      </c>
      <c r="B1016" s="115"/>
      <c r="C1016" s="115"/>
      <c r="D1016" s="301"/>
      <c r="E1016" s="150">
        <f>MEDIAN(E1013:E1015)</f>
        <v>1197.06</v>
      </c>
      <c r="F1016" s="301"/>
      <c r="G1016" s="301"/>
      <c r="H1016" s="302"/>
    </row>
    <row r="1017" spans="1:8" ht="15.75" customHeight="1" thickBot="1">
      <c r="A1017" s="272"/>
      <c r="B1017" s="114"/>
      <c r="C1017" s="114"/>
      <c r="D1017" s="114"/>
      <c r="E1017" s="114"/>
      <c r="F1017" s="114"/>
      <c r="G1017" s="114"/>
      <c r="H1017" s="288"/>
    </row>
    <row r="1018" spans="1:8" ht="15.75" customHeight="1">
      <c r="A1018" s="289" t="s">
        <v>14429</v>
      </c>
      <c r="B1018" s="290" t="s">
        <v>13157</v>
      </c>
      <c r="C1018" s="290"/>
      <c r="D1018" s="290"/>
      <c r="E1018" s="290"/>
      <c r="F1018" s="290"/>
      <c r="G1018" s="290"/>
      <c r="H1018" s="291"/>
    </row>
    <row r="1019" spans="1:8" ht="15.75" customHeight="1">
      <c r="A1019" s="292" t="s">
        <v>6</v>
      </c>
      <c r="B1019" s="293" t="s">
        <v>7050</v>
      </c>
      <c r="C1019" s="294" t="s">
        <v>7049</v>
      </c>
      <c r="D1019" s="295" t="s">
        <v>24</v>
      </c>
      <c r="E1019" s="296" t="s">
        <v>7046</v>
      </c>
      <c r="F1019" s="293" t="s">
        <v>254</v>
      </c>
      <c r="G1019" s="293" t="s">
        <v>7047</v>
      </c>
      <c r="H1019" s="297" t="s">
        <v>7048</v>
      </c>
    </row>
    <row r="1020" spans="1:8" ht="15.75" customHeight="1">
      <c r="A1020" s="120" t="s">
        <v>7</v>
      </c>
      <c r="B1020" s="298">
        <v>44727</v>
      </c>
      <c r="C1020" s="165" t="s">
        <v>13274</v>
      </c>
      <c r="D1020" s="113" t="s">
        <v>32</v>
      </c>
      <c r="E1020" s="59">
        <v>56.86</v>
      </c>
      <c r="F1020" s="165" t="s">
        <v>27282</v>
      </c>
      <c r="G1020" s="165" t="s">
        <v>13275</v>
      </c>
      <c r="H1020" s="299" t="s">
        <v>27707</v>
      </c>
    </row>
    <row r="1021" spans="1:8" ht="15.75" customHeight="1">
      <c r="A1021" s="120" t="s">
        <v>50</v>
      </c>
      <c r="B1021" s="298">
        <v>44718</v>
      </c>
      <c r="C1021" s="166" t="s">
        <v>27291</v>
      </c>
      <c r="D1021" s="113" t="s">
        <v>32</v>
      </c>
      <c r="E1021" s="59">
        <v>55.01</v>
      </c>
      <c r="F1021" s="299">
        <v>8006377246</v>
      </c>
      <c r="G1021" s="320" t="s">
        <v>27327</v>
      </c>
      <c r="H1021" s="303" t="s">
        <v>27867</v>
      </c>
    </row>
    <row r="1022" spans="1:8" ht="15.75" customHeight="1">
      <c r="A1022" s="120" t="s">
        <v>52</v>
      </c>
      <c r="B1022" s="298">
        <v>44718</v>
      </c>
      <c r="C1022" s="165" t="s">
        <v>27708</v>
      </c>
      <c r="D1022" s="113" t="s">
        <v>32</v>
      </c>
      <c r="E1022" s="59">
        <v>47.65</v>
      </c>
      <c r="F1022" s="165" t="s">
        <v>27709</v>
      </c>
      <c r="G1022" s="165" t="s">
        <v>27710</v>
      </c>
      <c r="H1022" s="299" t="s">
        <v>27711</v>
      </c>
    </row>
    <row r="1023" spans="1:8" ht="15.75" customHeight="1" thickBot="1">
      <c r="A1023" s="300" t="str">
        <f>CONCATENATE("MEDIANA - ",A1018)</f>
        <v>MEDIANA - COT152</v>
      </c>
      <c r="B1023" s="115"/>
      <c r="C1023" s="115"/>
      <c r="D1023" s="301"/>
      <c r="E1023" s="150">
        <f>MEDIAN(E1020:E1022)</f>
        <v>55.01</v>
      </c>
      <c r="F1023" s="301"/>
      <c r="G1023" s="301"/>
      <c r="H1023" s="302"/>
    </row>
    <row r="1024" spans="1:8" ht="15.75" customHeight="1" thickBot="1">
      <c r="A1024" s="272"/>
      <c r="B1024" s="114"/>
      <c r="C1024" s="114"/>
      <c r="D1024" s="114"/>
      <c r="E1024" s="114"/>
      <c r="F1024" s="114"/>
      <c r="G1024" s="114"/>
      <c r="H1024" s="288"/>
    </row>
    <row r="1025" spans="1:8" ht="15.75" customHeight="1">
      <c r="A1025" s="289" t="s">
        <v>14430</v>
      </c>
      <c r="B1025" s="290" t="s">
        <v>13168</v>
      </c>
      <c r="C1025" s="290"/>
      <c r="D1025" s="290"/>
      <c r="E1025" s="290"/>
      <c r="F1025" s="290"/>
      <c r="G1025" s="290"/>
      <c r="H1025" s="291"/>
    </row>
    <row r="1026" spans="1:8" ht="15.75" customHeight="1">
      <c r="A1026" s="292" t="s">
        <v>6</v>
      </c>
      <c r="B1026" s="293" t="s">
        <v>7050</v>
      </c>
      <c r="C1026" s="294" t="s">
        <v>7049</v>
      </c>
      <c r="D1026" s="295" t="s">
        <v>24</v>
      </c>
      <c r="E1026" s="296" t="s">
        <v>7046</v>
      </c>
      <c r="F1026" s="293" t="s">
        <v>254</v>
      </c>
      <c r="G1026" s="293" t="s">
        <v>7047</v>
      </c>
      <c r="H1026" s="297" t="s">
        <v>7048</v>
      </c>
    </row>
    <row r="1027" spans="1:8" ht="15.75" customHeight="1">
      <c r="A1027" s="120" t="s">
        <v>7</v>
      </c>
      <c r="B1027" s="298">
        <v>44718</v>
      </c>
      <c r="C1027" s="165" t="s">
        <v>27712</v>
      </c>
      <c r="D1027" s="113" t="s">
        <v>32</v>
      </c>
      <c r="E1027" s="325">
        <v>64.989999999999995</v>
      </c>
      <c r="F1027" s="165" t="s">
        <v>13393</v>
      </c>
      <c r="G1027" s="165" t="s">
        <v>27846</v>
      </c>
      <c r="H1027" s="299" t="s">
        <v>13395</v>
      </c>
    </row>
    <row r="1028" spans="1:8" ht="15.75" customHeight="1">
      <c r="A1028" s="120" t="s">
        <v>50</v>
      </c>
      <c r="B1028" s="298">
        <v>44707</v>
      </c>
      <c r="C1028" s="165" t="s">
        <v>7243</v>
      </c>
      <c r="D1028" s="113" t="s">
        <v>32</v>
      </c>
      <c r="E1028" s="59">
        <v>86.52</v>
      </c>
      <c r="F1028" s="165" t="s">
        <v>27400</v>
      </c>
      <c r="G1028" s="165" t="s">
        <v>13286</v>
      </c>
      <c r="H1028" s="303" t="s">
        <v>27401</v>
      </c>
    </row>
    <row r="1029" spans="1:8" ht="15.75" customHeight="1">
      <c r="A1029" s="120" t="s">
        <v>52</v>
      </c>
      <c r="B1029" s="298">
        <v>44714</v>
      </c>
      <c r="C1029" s="165" t="s">
        <v>27681</v>
      </c>
      <c r="D1029" s="113" t="s">
        <v>7238</v>
      </c>
      <c r="E1029" s="59">
        <v>87.01</v>
      </c>
      <c r="F1029" s="165" t="s">
        <v>7255</v>
      </c>
      <c r="G1029" s="165" t="s">
        <v>7254</v>
      </c>
      <c r="H1029" s="299" t="s">
        <v>27682</v>
      </c>
    </row>
    <row r="1030" spans="1:8" ht="15.75" customHeight="1" thickBot="1">
      <c r="A1030" s="300" t="str">
        <f>CONCATENATE("MEDIANA - ",A1025)</f>
        <v>MEDIANA - COT153</v>
      </c>
      <c r="B1030" s="115"/>
      <c r="C1030" s="115"/>
      <c r="D1030" s="301"/>
      <c r="E1030" s="150">
        <f>MEDIAN(E1027:E1029)</f>
        <v>86.52</v>
      </c>
      <c r="F1030" s="301"/>
      <c r="G1030" s="301"/>
      <c r="H1030" s="302"/>
    </row>
    <row r="1031" spans="1:8" s="114" customFormat="1" ht="15.75" customHeight="1" thickBot="1">
      <c r="A1031" s="272"/>
      <c r="H1031" s="288"/>
    </row>
    <row r="1032" spans="1:8" ht="15.75" customHeight="1">
      <c r="A1032" s="358" t="s">
        <v>14431</v>
      </c>
      <c r="B1032" s="290" t="s">
        <v>13329</v>
      </c>
      <c r="C1032" s="290"/>
      <c r="D1032" s="290"/>
      <c r="E1032" s="290"/>
      <c r="F1032" s="290"/>
      <c r="G1032" s="290"/>
      <c r="H1032" s="291"/>
    </row>
    <row r="1033" spans="1:8" ht="15.75" customHeight="1">
      <c r="A1033" s="292" t="s">
        <v>6</v>
      </c>
      <c r="B1033" s="293" t="s">
        <v>7050</v>
      </c>
      <c r="C1033" s="294" t="s">
        <v>7049</v>
      </c>
      <c r="D1033" s="295" t="s">
        <v>24</v>
      </c>
      <c r="E1033" s="296" t="s">
        <v>7046</v>
      </c>
      <c r="F1033" s="293" t="s">
        <v>254</v>
      </c>
      <c r="G1033" s="293" t="s">
        <v>7047</v>
      </c>
      <c r="H1033" s="297" t="s">
        <v>7048</v>
      </c>
    </row>
    <row r="1034" spans="1:8" ht="15.75" customHeight="1">
      <c r="A1034" s="120" t="s">
        <v>7</v>
      </c>
      <c r="B1034" s="298">
        <v>44714</v>
      </c>
      <c r="C1034" s="165" t="s">
        <v>27402</v>
      </c>
      <c r="D1034" s="113" t="s">
        <v>32</v>
      </c>
      <c r="E1034" s="59">
        <v>127.97</v>
      </c>
      <c r="F1034" s="165" t="s">
        <v>27403</v>
      </c>
      <c r="G1034" s="165" t="s">
        <v>27404</v>
      </c>
      <c r="H1034" s="303" t="s">
        <v>27405</v>
      </c>
    </row>
    <row r="1035" spans="1:8" ht="15.75" customHeight="1">
      <c r="A1035" s="120" t="s">
        <v>50</v>
      </c>
      <c r="B1035" s="298">
        <v>44714</v>
      </c>
      <c r="C1035" s="165" t="s">
        <v>27406</v>
      </c>
      <c r="D1035" s="113" t="s">
        <v>32</v>
      </c>
      <c r="E1035" s="59">
        <v>181.6</v>
      </c>
      <c r="F1035" s="165" t="s">
        <v>27407</v>
      </c>
      <c r="G1035" s="165" t="s">
        <v>27408</v>
      </c>
      <c r="H1035" s="303" t="s">
        <v>27409</v>
      </c>
    </row>
    <row r="1036" spans="1:8" ht="15.75" customHeight="1">
      <c r="A1036" s="120" t="s">
        <v>52</v>
      </c>
      <c r="B1036" s="298">
        <v>44714</v>
      </c>
      <c r="C1036" s="165" t="s">
        <v>27410</v>
      </c>
      <c r="D1036" s="113" t="s">
        <v>32</v>
      </c>
      <c r="E1036" s="59">
        <v>170.96</v>
      </c>
      <c r="F1036" s="165" t="s">
        <v>27411</v>
      </c>
      <c r="G1036" s="165" t="s">
        <v>13396</v>
      </c>
      <c r="H1036" s="303" t="s">
        <v>27412</v>
      </c>
    </row>
    <row r="1037" spans="1:8" ht="15.75" customHeight="1" thickBot="1">
      <c r="A1037" s="300" t="str">
        <f>CONCATENATE("MEDIANA - ",A1032)</f>
        <v>MEDIANA - COT155</v>
      </c>
      <c r="B1037" s="115"/>
      <c r="C1037" s="115"/>
      <c r="D1037" s="301"/>
      <c r="E1037" s="150">
        <f>MEDIAN(E1034:E1036)</f>
        <v>170.96</v>
      </c>
      <c r="F1037" s="301"/>
      <c r="G1037" s="301"/>
      <c r="H1037" s="302"/>
    </row>
    <row r="1038" spans="1:8" s="114" customFormat="1" ht="15.75" customHeight="1" thickBot="1">
      <c r="A1038" s="272"/>
      <c r="H1038" s="288"/>
    </row>
    <row r="1039" spans="1:8" ht="15.75" customHeight="1">
      <c r="A1039" s="358" t="s">
        <v>14432</v>
      </c>
      <c r="B1039" s="290" t="s">
        <v>13354</v>
      </c>
      <c r="C1039" s="290"/>
      <c r="D1039" s="290"/>
      <c r="E1039" s="290"/>
      <c r="F1039" s="290"/>
      <c r="G1039" s="290"/>
      <c r="H1039" s="291"/>
    </row>
    <row r="1040" spans="1:8" ht="15.75" customHeight="1">
      <c r="A1040" s="292" t="s">
        <v>6</v>
      </c>
      <c r="B1040" s="293" t="s">
        <v>7050</v>
      </c>
      <c r="C1040" s="294" t="s">
        <v>7049</v>
      </c>
      <c r="D1040" s="295" t="s">
        <v>24</v>
      </c>
      <c r="E1040" s="296" t="s">
        <v>7046</v>
      </c>
      <c r="F1040" s="293" t="s">
        <v>254</v>
      </c>
      <c r="G1040" s="293" t="s">
        <v>7047</v>
      </c>
      <c r="H1040" s="297" t="s">
        <v>7048</v>
      </c>
    </row>
    <row r="1041" spans="1:8" ht="15.75" customHeight="1">
      <c r="A1041" s="120" t="s">
        <v>7</v>
      </c>
      <c r="B1041" s="298">
        <v>44718</v>
      </c>
      <c r="C1041" s="165" t="s">
        <v>27712</v>
      </c>
      <c r="D1041" s="113" t="s">
        <v>32</v>
      </c>
      <c r="E1041" s="325">
        <v>4.93</v>
      </c>
      <c r="F1041" s="165" t="s">
        <v>13393</v>
      </c>
      <c r="G1041" s="165" t="s">
        <v>27846</v>
      </c>
      <c r="H1041" s="299" t="s">
        <v>13395</v>
      </c>
    </row>
    <row r="1042" spans="1:8" ht="15.75" customHeight="1">
      <c r="A1042" s="120" t="s">
        <v>50</v>
      </c>
      <c r="B1042" s="298">
        <v>44719</v>
      </c>
      <c r="C1042" s="165" t="s">
        <v>27713</v>
      </c>
      <c r="D1042" s="113" t="s">
        <v>32</v>
      </c>
      <c r="E1042" s="328">
        <v>6.5</v>
      </c>
      <c r="F1042" s="165" t="s">
        <v>13309</v>
      </c>
      <c r="G1042" s="165" t="s">
        <v>13310</v>
      </c>
      <c r="H1042" s="299" t="s">
        <v>13392</v>
      </c>
    </row>
    <row r="1043" spans="1:8" ht="15.75" customHeight="1">
      <c r="A1043" s="120" t="s">
        <v>52</v>
      </c>
      <c r="B1043" s="298">
        <v>44714</v>
      </c>
      <c r="C1043" s="165" t="s">
        <v>27681</v>
      </c>
      <c r="D1043" s="113" t="s">
        <v>7238</v>
      </c>
      <c r="E1043" s="59">
        <v>4</v>
      </c>
      <c r="F1043" s="165" t="s">
        <v>7255</v>
      </c>
      <c r="G1043" s="165" t="s">
        <v>7254</v>
      </c>
      <c r="H1043" s="299" t="s">
        <v>27682</v>
      </c>
    </row>
    <row r="1044" spans="1:8" ht="15.75" customHeight="1" thickBot="1">
      <c r="A1044" s="300" t="str">
        <f>CONCATENATE("MEDIANA - ",A1039)</f>
        <v>MEDIANA - COT156</v>
      </c>
      <c r="B1044" s="115"/>
      <c r="C1044" s="115"/>
      <c r="D1044" s="301"/>
      <c r="E1044" s="150">
        <f>MEDIAN(E1041:E1043)</f>
        <v>4.93</v>
      </c>
      <c r="F1044" s="301"/>
      <c r="G1044" s="301"/>
      <c r="H1044" s="302"/>
    </row>
    <row r="1045" spans="1:8" ht="15.75" customHeight="1" thickBot="1">
      <c r="A1045" s="272"/>
      <c r="B1045" s="114"/>
      <c r="C1045" s="114"/>
      <c r="D1045" s="114"/>
      <c r="E1045" s="114"/>
      <c r="F1045" s="114"/>
      <c r="G1045" s="114"/>
      <c r="H1045" s="288"/>
    </row>
    <row r="1046" spans="1:8" ht="15.75" customHeight="1">
      <c r="A1046" s="358" t="s">
        <v>14433</v>
      </c>
      <c r="B1046" s="290" t="s">
        <v>27815</v>
      </c>
      <c r="C1046" s="290"/>
      <c r="D1046" s="290"/>
      <c r="E1046" s="290"/>
      <c r="F1046" s="290"/>
      <c r="G1046" s="290"/>
      <c r="H1046" s="291"/>
    </row>
    <row r="1047" spans="1:8" ht="15.75" customHeight="1">
      <c r="A1047" s="292" t="s">
        <v>6</v>
      </c>
      <c r="B1047" s="293" t="s">
        <v>7050</v>
      </c>
      <c r="C1047" s="294" t="s">
        <v>7049</v>
      </c>
      <c r="D1047" s="295" t="s">
        <v>24</v>
      </c>
      <c r="E1047" s="296" t="s">
        <v>7046</v>
      </c>
      <c r="F1047" s="293" t="s">
        <v>254</v>
      </c>
      <c r="G1047" s="293" t="s">
        <v>7047</v>
      </c>
      <c r="H1047" s="297" t="s">
        <v>7048</v>
      </c>
    </row>
    <row r="1048" spans="1:8" ht="15.75" customHeight="1">
      <c r="A1048" s="120" t="s">
        <v>7</v>
      </c>
      <c r="B1048" s="298">
        <v>44719</v>
      </c>
      <c r="C1048" s="165" t="s">
        <v>27713</v>
      </c>
      <c r="D1048" s="113" t="s">
        <v>32</v>
      </c>
      <c r="E1048" s="328">
        <v>56.6</v>
      </c>
      <c r="F1048" s="165" t="s">
        <v>13309</v>
      </c>
      <c r="G1048" s="165" t="s">
        <v>13310</v>
      </c>
      <c r="H1048" s="299" t="s">
        <v>13392</v>
      </c>
    </row>
    <row r="1049" spans="1:8" ht="15.75" customHeight="1">
      <c r="A1049" s="120" t="s">
        <v>50</v>
      </c>
      <c r="B1049" s="298">
        <v>44720</v>
      </c>
      <c r="C1049" s="165" t="s">
        <v>27678</v>
      </c>
      <c r="D1049" s="113" t="s">
        <v>32</v>
      </c>
      <c r="E1049" s="325">
        <v>51.6</v>
      </c>
      <c r="F1049" s="165" t="s">
        <v>13393</v>
      </c>
      <c r="G1049" s="165" t="s">
        <v>27846</v>
      </c>
      <c r="H1049" s="324" t="s">
        <v>27847</v>
      </c>
    </row>
    <row r="1050" spans="1:8" ht="15.75" customHeight="1">
      <c r="A1050" s="120" t="s">
        <v>52</v>
      </c>
      <c r="B1050" s="298">
        <v>44719</v>
      </c>
      <c r="C1050" s="165" t="s">
        <v>27677</v>
      </c>
      <c r="D1050" s="113" t="s">
        <v>7238</v>
      </c>
      <c r="E1050" s="59">
        <v>79.31</v>
      </c>
      <c r="F1050" s="165" t="s">
        <v>7255</v>
      </c>
      <c r="G1050" s="165" t="s">
        <v>7254</v>
      </c>
      <c r="H1050" s="299" t="s">
        <v>27671</v>
      </c>
    </row>
    <row r="1051" spans="1:8" ht="15.75" customHeight="1" thickBot="1">
      <c r="A1051" s="300" t="str">
        <f>CONCATENATE("MEDIANA - ",A1046)</f>
        <v>MEDIANA - COT157</v>
      </c>
      <c r="B1051" s="115"/>
      <c r="C1051" s="115"/>
      <c r="D1051" s="301"/>
      <c r="E1051" s="150">
        <f>MEDIAN(E1048:E1050)</f>
        <v>56.6</v>
      </c>
      <c r="F1051" s="301"/>
      <c r="G1051" s="301"/>
      <c r="H1051" s="302"/>
    </row>
    <row r="1052" spans="1:8" ht="15.75" customHeight="1" thickBot="1">
      <c r="A1052" s="272"/>
      <c r="B1052" s="114"/>
      <c r="C1052" s="114"/>
      <c r="D1052" s="114"/>
      <c r="E1052" s="114"/>
      <c r="F1052" s="114"/>
      <c r="G1052" s="114"/>
      <c r="H1052" s="288"/>
    </row>
    <row r="1053" spans="1:8" ht="15.75" customHeight="1">
      <c r="A1053" s="358" t="s">
        <v>14434</v>
      </c>
      <c r="B1053" s="290" t="s">
        <v>13348</v>
      </c>
      <c r="C1053" s="290"/>
      <c r="D1053" s="290"/>
      <c r="E1053" s="290"/>
      <c r="F1053" s="290"/>
      <c r="G1053" s="290"/>
      <c r="H1053" s="291"/>
    </row>
    <row r="1054" spans="1:8" ht="15.75" customHeight="1">
      <c r="A1054" s="292" t="s">
        <v>6</v>
      </c>
      <c r="B1054" s="293" t="s">
        <v>7050</v>
      </c>
      <c r="C1054" s="294" t="s">
        <v>7049</v>
      </c>
      <c r="D1054" s="295" t="s">
        <v>24</v>
      </c>
      <c r="E1054" s="296" t="s">
        <v>7046</v>
      </c>
      <c r="F1054" s="293" t="s">
        <v>254</v>
      </c>
      <c r="G1054" s="293" t="s">
        <v>7047</v>
      </c>
      <c r="H1054" s="297" t="s">
        <v>7048</v>
      </c>
    </row>
    <row r="1055" spans="1:8" ht="15.75" customHeight="1">
      <c r="A1055" s="120" t="s">
        <v>7</v>
      </c>
      <c r="B1055" s="298">
        <v>44718</v>
      </c>
      <c r="C1055" s="165" t="s">
        <v>27350</v>
      </c>
      <c r="D1055" s="113" t="s">
        <v>32</v>
      </c>
      <c r="E1055" s="59">
        <v>65.14</v>
      </c>
      <c r="F1055" s="165" t="s">
        <v>27351</v>
      </c>
      <c r="G1055" s="165" t="s">
        <v>27352</v>
      </c>
      <c r="H1055" s="299" t="s">
        <v>27714</v>
      </c>
    </row>
    <row r="1056" spans="1:8" ht="15.75" customHeight="1">
      <c r="A1056" s="120" t="s">
        <v>50</v>
      </c>
      <c r="B1056" s="298">
        <v>44718</v>
      </c>
      <c r="C1056" s="165" t="s">
        <v>27712</v>
      </c>
      <c r="D1056" s="113" t="s">
        <v>32</v>
      </c>
      <c r="E1056" s="325">
        <v>51.24</v>
      </c>
      <c r="F1056" s="165" t="s">
        <v>13393</v>
      </c>
      <c r="G1056" s="165" t="s">
        <v>27846</v>
      </c>
      <c r="H1056" s="299" t="s">
        <v>13395</v>
      </c>
    </row>
    <row r="1057" spans="1:8" ht="15.75" customHeight="1">
      <c r="A1057" s="120" t="s">
        <v>52</v>
      </c>
      <c r="B1057" s="298">
        <v>44714</v>
      </c>
      <c r="C1057" s="165" t="s">
        <v>27681</v>
      </c>
      <c r="D1057" s="113" t="s">
        <v>7238</v>
      </c>
      <c r="E1057" s="148">
        <v>64.55</v>
      </c>
      <c r="F1057" s="168" t="s">
        <v>7255</v>
      </c>
      <c r="G1057" s="165" t="s">
        <v>7254</v>
      </c>
      <c r="H1057" s="159" t="s">
        <v>27682</v>
      </c>
    </row>
    <row r="1058" spans="1:8" ht="15.75" customHeight="1" thickBot="1">
      <c r="A1058" s="300" t="str">
        <f>CONCATENATE("MEDIANA - ",A1053)</f>
        <v>MEDIANA - COT158</v>
      </c>
      <c r="B1058" s="115"/>
      <c r="C1058" s="115"/>
      <c r="D1058" s="301"/>
      <c r="E1058" s="150">
        <f>MEDIAN(E1055:E1057)</f>
        <v>64.55</v>
      </c>
      <c r="F1058" s="301"/>
      <c r="G1058" s="301"/>
      <c r="H1058" s="302"/>
    </row>
    <row r="1059" spans="1:8" ht="15.75" customHeight="1" thickBot="1">
      <c r="A1059" s="272"/>
      <c r="B1059" s="114"/>
      <c r="C1059" s="114"/>
      <c r="D1059" s="114"/>
      <c r="E1059" s="114"/>
      <c r="F1059" s="114"/>
      <c r="G1059" s="114"/>
      <c r="H1059" s="288"/>
    </row>
    <row r="1060" spans="1:8" ht="15.75" customHeight="1">
      <c r="A1060" s="358" t="s">
        <v>14435</v>
      </c>
      <c r="B1060" s="290" t="s">
        <v>13362</v>
      </c>
      <c r="C1060" s="290"/>
      <c r="D1060" s="290"/>
      <c r="E1060" s="290"/>
      <c r="F1060" s="290"/>
      <c r="G1060" s="290"/>
      <c r="H1060" s="291"/>
    </row>
    <row r="1061" spans="1:8" ht="15.75" customHeight="1">
      <c r="A1061" s="292" t="s">
        <v>6</v>
      </c>
      <c r="B1061" s="293" t="s">
        <v>7050</v>
      </c>
      <c r="C1061" s="294" t="s">
        <v>7049</v>
      </c>
      <c r="D1061" s="295" t="s">
        <v>24</v>
      </c>
      <c r="E1061" s="296" t="s">
        <v>7046</v>
      </c>
      <c r="F1061" s="293" t="s">
        <v>254</v>
      </c>
      <c r="G1061" s="293" t="s">
        <v>7047</v>
      </c>
      <c r="H1061" s="297" t="s">
        <v>7048</v>
      </c>
    </row>
    <row r="1062" spans="1:8" ht="15.75" customHeight="1">
      <c r="A1062" s="120" t="s">
        <v>7</v>
      </c>
      <c r="B1062" s="298">
        <v>44719</v>
      </c>
      <c r="C1062" s="331" t="s">
        <v>27713</v>
      </c>
      <c r="D1062" s="113" t="s">
        <v>32</v>
      </c>
      <c r="E1062" s="328">
        <v>56.6</v>
      </c>
      <c r="F1062" s="165" t="s">
        <v>13309</v>
      </c>
      <c r="G1062" s="165" t="s">
        <v>13310</v>
      </c>
      <c r="H1062" s="333" t="s">
        <v>13392</v>
      </c>
    </row>
    <row r="1063" spans="1:8" ht="15.75" customHeight="1">
      <c r="A1063" s="120" t="s">
        <v>50</v>
      </c>
      <c r="B1063" s="298">
        <v>44720</v>
      </c>
      <c r="C1063" s="331" t="s">
        <v>27678</v>
      </c>
      <c r="D1063" s="113" t="s">
        <v>32</v>
      </c>
      <c r="E1063" s="325">
        <v>51.6</v>
      </c>
      <c r="F1063" s="165" t="s">
        <v>13393</v>
      </c>
      <c r="G1063" s="165" t="s">
        <v>13394</v>
      </c>
      <c r="H1063" s="333" t="s">
        <v>27669</v>
      </c>
    </row>
    <row r="1064" spans="1:8" ht="15.75" customHeight="1">
      <c r="A1064" s="120" t="s">
        <v>52</v>
      </c>
      <c r="B1064" s="298">
        <v>44719</v>
      </c>
      <c r="C1064" s="331" t="s">
        <v>27677</v>
      </c>
      <c r="D1064" s="113" t="s">
        <v>7238</v>
      </c>
      <c r="E1064" s="328">
        <v>79.31</v>
      </c>
      <c r="F1064" s="165" t="s">
        <v>7255</v>
      </c>
      <c r="G1064" s="165" t="s">
        <v>7254</v>
      </c>
      <c r="H1064" s="333" t="s">
        <v>27671</v>
      </c>
    </row>
    <row r="1065" spans="1:8" ht="15.75" customHeight="1" thickBot="1">
      <c r="A1065" s="300" t="str">
        <f>CONCATENATE("MEDIANA - ",A1060)</f>
        <v>MEDIANA - COT159</v>
      </c>
      <c r="B1065" s="115"/>
      <c r="C1065" s="115"/>
      <c r="D1065" s="301"/>
      <c r="E1065" s="150">
        <f>MEDIAN(E1062:E1064)</f>
        <v>56.6</v>
      </c>
      <c r="F1065" s="301"/>
      <c r="G1065" s="301"/>
      <c r="H1065" s="302"/>
    </row>
    <row r="1066" spans="1:8" ht="15.75" customHeight="1" thickBot="1">
      <c r="A1066" s="272"/>
      <c r="B1066" s="114"/>
      <c r="C1066" s="114"/>
      <c r="D1066" s="114"/>
      <c r="E1066" s="114"/>
      <c r="F1066" s="114"/>
      <c r="G1066" s="114"/>
      <c r="H1066" s="288"/>
    </row>
    <row r="1067" spans="1:8" ht="15.75" customHeight="1">
      <c r="A1067" s="358" t="s">
        <v>14436</v>
      </c>
      <c r="B1067" s="290" t="s">
        <v>13363</v>
      </c>
      <c r="C1067" s="290"/>
      <c r="D1067" s="290"/>
      <c r="E1067" s="290"/>
      <c r="F1067" s="290"/>
      <c r="G1067" s="290"/>
      <c r="H1067" s="291"/>
    </row>
    <row r="1068" spans="1:8" ht="15.75" customHeight="1">
      <c r="A1068" s="292" t="s">
        <v>6</v>
      </c>
      <c r="B1068" s="293" t="s">
        <v>7050</v>
      </c>
      <c r="C1068" s="294" t="s">
        <v>7049</v>
      </c>
      <c r="D1068" s="295" t="s">
        <v>24</v>
      </c>
      <c r="E1068" s="296" t="s">
        <v>7046</v>
      </c>
      <c r="F1068" s="293" t="s">
        <v>254</v>
      </c>
      <c r="G1068" s="293" t="s">
        <v>7047</v>
      </c>
      <c r="H1068" s="297" t="s">
        <v>7048</v>
      </c>
    </row>
    <row r="1069" spans="1:8" ht="15.75" customHeight="1">
      <c r="A1069" s="120" t="s">
        <v>7</v>
      </c>
      <c r="B1069" s="298">
        <v>44719</v>
      </c>
      <c r="C1069" s="165" t="s">
        <v>27713</v>
      </c>
      <c r="D1069" s="113" t="s">
        <v>32</v>
      </c>
      <c r="E1069" s="328">
        <v>30.8</v>
      </c>
      <c r="F1069" s="165" t="s">
        <v>13309</v>
      </c>
      <c r="G1069" s="165" t="s">
        <v>13310</v>
      </c>
      <c r="H1069" s="299" t="s">
        <v>13392</v>
      </c>
    </row>
    <row r="1070" spans="1:8" ht="15.75" customHeight="1">
      <c r="A1070" s="120" t="s">
        <v>50</v>
      </c>
      <c r="B1070" s="298">
        <v>44719</v>
      </c>
      <c r="C1070" s="165" t="s">
        <v>27350</v>
      </c>
      <c r="D1070" s="113" t="s">
        <v>32</v>
      </c>
      <c r="E1070" s="148">
        <v>23.25</v>
      </c>
      <c r="F1070" s="168" t="s">
        <v>27351</v>
      </c>
      <c r="G1070" s="169" t="s">
        <v>27352</v>
      </c>
      <c r="H1070" s="303" t="s">
        <v>27868</v>
      </c>
    </row>
    <row r="1071" spans="1:8" ht="15.75" customHeight="1">
      <c r="A1071" s="120" t="s">
        <v>52</v>
      </c>
      <c r="B1071" s="298">
        <v>44714</v>
      </c>
      <c r="C1071" s="165" t="s">
        <v>27681</v>
      </c>
      <c r="D1071" s="113" t="s">
        <v>7238</v>
      </c>
      <c r="E1071" s="59">
        <v>15.78</v>
      </c>
      <c r="F1071" s="165" t="s">
        <v>7255</v>
      </c>
      <c r="G1071" s="165" t="s">
        <v>7254</v>
      </c>
      <c r="H1071" s="299" t="s">
        <v>27682</v>
      </c>
    </row>
    <row r="1072" spans="1:8" ht="15.75" customHeight="1" thickBot="1">
      <c r="A1072" s="300" t="str">
        <f>CONCATENATE("MEDIANA - ",A1067)</f>
        <v>MEDIANA - COT160</v>
      </c>
      <c r="B1072" s="115"/>
      <c r="C1072" s="115"/>
      <c r="D1072" s="301"/>
      <c r="E1072" s="150">
        <f>MEDIAN(E1069:E1071)</f>
        <v>23.25</v>
      </c>
      <c r="F1072" s="301"/>
      <c r="G1072" s="301"/>
      <c r="H1072" s="302"/>
    </row>
    <row r="1073" spans="1:8" ht="15.75" customHeight="1" thickBot="1">
      <c r="A1073" s="272"/>
      <c r="B1073" s="114"/>
      <c r="C1073" s="114"/>
      <c r="D1073" s="114"/>
      <c r="E1073" s="114"/>
      <c r="F1073" s="114"/>
      <c r="G1073" s="114"/>
      <c r="H1073" s="288"/>
    </row>
    <row r="1074" spans="1:8" ht="15.75" customHeight="1">
      <c r="A1074" s="358" t="s">
        <v>14437</v>
      </c>
      <c r="B1074" s="294" t="s">
        <v>27869</v>
      </c>
      <c r="C1074" s="290"/>
      <c r="D1074" s="290"/>
      <c r="E1074" s="290"/>
      <c r="F1074" s="290"/>
      <c r="G1074" s="290"/>
      <c r="H1074" s="291"/>
    </row>
    <row r="1075" spans="1:8" ht="15.75" customHeight="1">
      <c r="A1075" s="292" t="s">
        <v>6</v>
      </c>
      <c r="B1075" s="293" t="s">
        <v>7050</v>
      </c>
      <c r="C1075" s="294" t="s">
        <v>7049</v>
      </c>
      <c r="D1075" s="295" t="s">
        <v>24</v>
      </c>
      <c r="E1075" s="296" t="s">
        <v>7046</v>
      </c>
      <c r="F1075" s="293" t="s">
        <v>254</v>
      </c>
      <c r="G1075" s="293" t="s">
        <v>7047</v>
      </c>
      <c r="H1075" s="297" t="s">
        <v>7048</v>
      </c>
    </row>
    <row r="1076" spans="1:8" ht="15.75" customHeight="1">
      <c r="A1076" s="120" t="s">
        <v>7</v>
      </c>
      <c r="B1076" s="298">
        <v>44718</v>
      </c>
      <c r="C1076" s="165" t="s">
        <v>27712</v>
      </c>
      <c r="D1076" s="113" t="s">
        <v>32</v>
      </c>
      <c r="E1076" s="59">
        <v>108.33</v>
      </c>
      <c r="F1076" s="165" t="s">
        <v>13393</v>
      </c>
      <c r="G1076" s="165" t="s">
        <v>27846</v>
      </c>
      <c r="H1076" s="299" t="s">
        <v>13395</v>
      </c>
    </row>
    <row r="1077" spans="1:8" ht="15.75" customHeight="1">
      <c r="A1077" s="120" t="s">
        <v>50</v>
      </c>
      <c r="B1077" s="298">
        <v>44714</v>
      </c>
      <c r="C1077" s="165" t="s">
        <v>27681</v>
      </c>
      <c r="D1077" s="113" t="s">
        <v>7238</v>
      </c>
      <c r="E1077" s="59">
        <v>204.6</v>
      </c>
      <c r="F1077" s="165" t="s">
        <v>7255</v>
      </c>
      <c r="G1077" s="165" t="s">
        <v>7254</v>
      </c>
      <c r="H1077" s="299" t="s">
        <v>27682</v>
      </c>
    </row>
    <row r="1078" spans="1:8" ht="15.75" customHeight="1">
      <c r="A1078" s="120" t="s">
        <v>52</v>
      </c>
      <c r="B1078" s="298">
        <v>44719</v>
      </c>
      <c r="C1078" s="165" t="s">
        <v>27713</v>
      </c>
      <c r="D1078" s="113" t="s">
        <v>32</v>
      </c>
      <c r="E1078" s="328">
        <v>93.2</v>
      </c>
      <c r="F1078" s="165" t="s">
        <v>13309</v>
      </c>
      <c r="G1078" s="165" t="s">
        <v>13310</v>
      </c>
      <c r="H1078" s="299" t="s">
        <v>13392</v>
      </c>
    </row>
    <row r="1079" spans="1:8" ht="15.75" customHeight="1" thickBot="1">
      <c r="A1079" s="300" t="str">
        <f>CONCATENATE("MEDIANA - ",A1074)</f>
        <v>MEDIANA - COT161</v>
      </c>
      <c r="B1079" s="115"/>
      <c r="C1079" s="115"/>
      <c r="D1079" s="301"/>
      <c r="E1079" s="150">
        <f>MEDIAN(E1076:E1078)</f>
        <v>108.33</v>
      </c>
      <c r="F1079" s="301"/>
      <c r="G1079" s="301"/>
      <c r="H1079" s="302"/>
    </row>
    <row r="1080" spans="1:8" ht="15.75" customHeight="1" thickBot="1">
      <c r="A1080" s="272"/>
      <c r="B1080" s="114"/>
      <c r="C1080" s="114"/>
      <c r="D1080" s="114"/>
      <c r="E1080" s="114"/>
      <c r="F1080" s="114"/>
      <c r="G1080" s="114"/>
      <c r="H1080" s="288"/>
    </row>
    <row r="1081" spans="1:8" ht="15.75" customHeight="1">
      <c r="A1081" s="358" t="s">
        <v>14438</v>
      </c>
      <c r="B1081" s="290" t="s">
        <v>13366</v>
      </c>
      <c r="C1081" s="290"/>
      <c r="D1081" s="290"/>
      <c r="E1081" s="290"/>
      <c r="F1081" s="290"/>
      <c r="G1081" s="290"/>
      <c r="H1081" s="291"/>
    </row>
    <row r="1082" spans="1:8" ht="15.75" customHeight="1">
      <c r="A1082" s="292" t="s">
        <v>6</v>
      </c>
      <c r="B1082" s="293" t="s">
        <v>7050</v>
      </c>
      <c r="C1082" s="294" t="s">
        <v>7049</v>
      </c>
      <c r="D1082" s="295" t="s">
        <v>24</v>
      </c>
      <c r="E1082" s="296" t="s">
        <v>7046</v>
      </c>
      <c r="F1082" s="293" t="s">
        <v>254</v>
      </c>
      <c r="G1082" s="293" t="s">
        <v>7047</v>
      </c>
      <c r="H1082" s="297" t="s">
        <v>7048</v>
      </c>
    </row>
    <row r="1083" spans="1:8" ht="15.75" customHeight="1">
      <c r="A1083" s="120" t="s">
        <v>7</v>
      </c>
      <c r="B1083" s="298">
        <v>44718</v>
      </c>
      <c r="C1083" s="165" t="s">
        <v>27712</v>
      </c>
      <c r="D1083" s="113" t="s">
        <v>32</v>
      </c>
      <c r="E1083" s="328">
        <v>14.71</v>
      </c>
      <c r="F1083" s="165" t="s">
        <v>13309</v>
      </c>
      <c r="G1083" s="165" t="s">
        <v>27846</v>
      </c>
      <c r="H1083" s="299" t="s">
        <v>13395</v>
      </c>
    </row>
    <row r="1084" spans="1:8" ht="15.75" customHeight="1">
      <c r="A1084" s="120" t="s">
        <v>50</v>
      </c>
      <c r="B1084" s="298">
        <v>44719</v>
      </c>
      <c r="C1084" s="165" t="s">
        <v>27713</v>
      </c>
      <c r="D1084" s="113" t="s">
        <v>32</v>
      </c>
      <c r="E1084" s="328">
        <v>18.97</v>
      </c>
      <c r="F1084" s="165" t="s">
        <v>13309</v>
      </c>
      <c r="G1084" s="165" t="s">
        <v>13310</v>
      </c>
      <c r="H1084" s="299" t="s">
        <v>13392</v>
      </c>
    </row>
    <row r="1085" spans="1:8" ht="15.75" customHeight="1">
      <c r="A1085" s="120" t="s">
        <v>52</v>
      </c>
      <c r="B1085" s="298">
        <v>44719</v>
      </c>
      <c r="C1085" s="165" t="s">
        <v>27677</v>
      </c>
      <c r="D1085" s="113" t="s">
        <v>7238</v>
      </c>
      <c r="E1085" s="59">
        <v>25.62</v>
      </c>
      <c r="F1085" s="165" t="s">
        <v>7255</v>
      </c>
      <c r="G1085" s="165" t="s">
        <v>7254</v>
      </c>
      <c r="H1085" s="299" t="s">
        <v>27671</v>
      </c>
    </row>
    <row r="1086" spans="1:8" ht="15.75" customHeight="1" thickBot="1">
      <c r="A1086" s="300" t="str">
        <f>CONCATENATE("MEDIANA - ",A1081)</f>
        <v>MEDIANA - COT162</v>
      </c>
      <c r="B1086" s="115"/>
      <c r="C1086" s="115"/>
      <c r="D1086" s="301"/>
      <c r="E1086" s="150">
        <f>MEDIAN(E1083:E1085)</f>
        <v>18.97</v>
      </c>
      <c r="F1086" s="301"/>
      <c r="G1086" s="301"/>
      <c r="H1086" s="302"/>
    </row>
    <row r="1087" spans="1:8" ht="15.75" customHeight="1" thickBot="1">
      <c r="A1087" s="272"/>
      <c r="B1087" s="114"/>
      <c r="C1087" s="114"/>
      <c r="D1087" s="114"/>
      <c r="E1087" s="114"/>
      <c r="F1087" s="114"/>
      <c r="G1087" s="114"/>
      <c r="H1087" s="288"/>
    </row>
    <row r="1088" spans="1:8" ht="15.75" customHeight="1">
      <c r="A1088" s="358" t="s">
        <v>14439</v>
      </c>
      <c r="B1088" s="290" t="s">
        <v>13369</v>
      </c>
      <c r="C1088" s="290"/>
      <c r="D1088" s="290"/>
      <c r="E1088" s="290"/>
      <c r="F1088" s="290"/>
      <c r="G1088" s="290"/>
      <c r="H1088" s="291"/>
    </row>
    <row r="1089" spans="1:8" ht="15.75" customHeight="1">
      <c r="A1089" s="292" t="s">
        <v>6</v>
      </c>
      <c r="B1089" s="293" t="s">
        <v>7050</v>
      </c>
      <c r="C1089" s="294" t="s">
        <v>7049</v>
      </c>
      <c r="D1089" s="295" t="s">
        <v>24</v>
      </c>
      <c r="E1089" s="296" t="s">
        <v>7046</v>
      </c>
      <c r="F1089" s="293" t="s">
        <v>254</v>
      </c>
      <c r="G1089" s="293" t="s">
        <v>7047</v>
      </c>
      <c r="H1089" s="297" t="s">
        <v>7048</v>
      </c>
    </row>
    <row r="1090" spans="1:8" ht="15.75" customHeight="1">
      <c r="A1090" s="120" t="s">
        <v>7</v>
      </c>
      <c r="B1090" s="298">
        <v>44714</v>
      </c>
      <c r="C1090" s="165" t="s">
        <v>27681</v>
      </c>
      <c r="D1090" s="113" t="s">
        <v>7238</v>
      </c>
      <c r="E1090" s="59">
        <v>56.73</v>
      </c>
      <c r="F1090" s="165" t="s">
        <v>7255</v>
      </c>
      <c r="G1090" s="165" t="s">
        <v>7254</v>
      </c>
      <c r="H1090" s="299" t="s">
        <v>27682</v>
      </c>
    </row>
    <row r="1091" spans="1:8" ht="15.75" customHeight="1">
      <c r="A1091" s="120" t="s">
        <v>50</v>
      </c>
      <c r="B1091" s="298">
        <v>44718</v>
      </c>
      <c r="C1091" s="165" t="s">
        <v>27712</v>
      </c>
      <c r="D1091" s="113" t="s">
        <v>32</v>
      </c>
      <c r="E1091" s="325">
        <v>44.62</v>
      </c>
      <c r="F1091" s="165" t="s">
        <v>13393</v>
      </c>
      <c r="G1091" s="165" t="s">
        <v>27846</v>
      </c>
      <c r="H1091" s="299" t="s">
        <v>13395</v>
      </c>
    </row>
    <row r="1092" spans="1:8" ht="15.75" customHeight="1">
      <c r="A1092" s="120" t="s">
        <v>52</v>
      </c>
      <c r="B1092" s="298">
        <v>44719</v>
      </c>
      <c r="C1092" s="165" t="s">
        <v>27677</v>
      </c>
      <c r="D1092" s="113" t="s">
        <v>7238</v>
      </c>
      <c r="E1092" s="59">
        <v>56.73</v>
      </c>
      <c r="F1092" s="165" t="s">
        <v>7255</v>
      </c>
      <c r="G1092" s="165" t="s">
        <v>7254</v>
      </c>
      <c r="H1092" s="299" t="s">
        <v>27671</v>
      </c>
    </row>
    <row r="1093" spans="1:8" ht="15.75" customHeight="1" thickBot="1">
      <c r="A1093" s="300" t="str">
        <f>CONCATENATE("MEDIANA - ",A1088)</f>
        <v>MEDIANA - COT163</v>
      </c>
      <c r="B1093" s="115"/>
      <c r="C1093" s="115"/>
      <c r="D1093" s="301"/>
      <c r="E1093" s="150">
        <f>MEDIAN(E1090:E1092)</f>
        <v>56.73</v>
      </c>
      <c r="F1093" s="301"/>
      <c r="G1093" s="301"/>
      <c r="H1093" s="302"/>
    </row>
    <row r="1094" spans="1:8" ht="15.75" customHeight="1" thickBot="1">
      <c r="A1094" s="272"/>
      <c r="B1094" s="114"/>
      <c r="C1094" s="114"/>
      <c r="D1094" s="114"/>
      <c r="E1094" s="114"/>
      <c r="F1094" s="114"/>
      <c r="G1094" s="114"/>
      <c r="H1094" s="288"/>
    </row>
    <row r="1095" spans="1:8" ht="15.75" customHeight="1">
      <c r="A1095" s="358" t="s">
        <v>14440</v>
      </c>
      <c r="B1095" s="290" t="s">
        <v>13372</v>
      </c>
      <c r="C1095" s="290"/>
      <c r="D1095" s="290"/>
      <c r="E1095" s="290"/>
      <c r="F1095" s="290"/>
      <c r="G1095" s="290"/>
      <c r="H1095" s="291"/>
    </row>
    <row r="1096" spans="1:8" ht="15.75" customHeight="1">
      <c r="A1096" s="292" t="s">
        <v>6</v>
      </c>
      <c r="B1096" s="293" t="s">
        <v>7050</v>
      </c>
      <c r="C1096" s="294" t="s">
        <v>7049</v>
      </c>
      <c r="D1096" s="295" t="s">
        <v>24</v>
      </c>
      <c r="E1096" s="296" t="s">
        <v>7046</v>
      </c>
      <c r="F1096" s="293" t="s">
        <v>254</v>
      </c>
      <c r="G1096" s="293" t="s">
        <v>7047</v>
      </c>
      <c r="H1096" s="297" t="s">
        <v>7048</v>
      </c>
    </row>
    <row r="1097" spans="1:8" ht="15.75" customHeight="1">
      <c r="A1097" s="120" t="s">
        <v>7</v>
      </c>
      <c r="B1097" s="298">
        <v>44719</v>
      </c>
      <c r="C1097" s="165" t="s">
        <v>27713</v>
      </c>
      <c r="D1097" s="113" t="s">
        <v>32</v>
      </c>
      <c r="E1097" s="325">
        <v>74</v>
      </c>
      <c r="F1097" s="165" t="s">
        <v>13309</v>
      </c>
      <c r="G1097" s="165" t="s">
        <v>13310</v>
      </c>
      <c r="H1097" s="299" t="s">
        <v>13392</v>
      </c>
    </row>
    <row r="1098" spans="1:8" ht="15.75" customHeight="1">
      <c r="A1098" s="120" t="s">
        <v>50</v>
      </c>
      <c r="B1098" s="298">
        <v>44718</v>
      </c>
      <c r="C1098" s="165" t="s">
        <v>27712</v>
      </c>
      <c r="D1098" s="113" t="s">
        <v>32</v>
      </c>
      <c r="E1098" s="325">
        <v>55.17</v>
      </c>
      <c r="F1098" s="165" t="s">
        <v>13393</v>
      </c>
      <c r="G1098" s="165" t="s">
        <v>27846</v>
      </c>
      <c r="H1098" s="299" t="s">
        <v>13395</v>
      </c>
    </row>
    <row r="1099" spans="1:8" ht="15.75" customHeight="1">
      <c r="A1099" s="120" t="s">
        <v>52</v>
      </c>
      <c r="B1099" s="298">
        <v>44718</v>
      </c>
      <c r="C1099" s="165" t="s">
        <v>13401</v>
      </c>
      <c r="D1099" s="113" t="s">
        <v>32</v>
      </c>
      <c r="E1099" s="328">
        <v>51.07</v>
      </c>
      <c r="F1099" s="165" t="s">
        <v>13402</v>
      </c>
      <c r="G1099" s="165" t="s">
        <v>13403</v>
      </c>
      <c r="H1099" s="303" t="s">
        <v>27413</v>
      </c>
    </row>
    <row r="1100" spans="1:8" ht="15.75" customHeight="1" thickBot="1">
      <c r="A1100" s="300" t="str">
        <f>CONCATENATE("MEDIANA - ",A1095)</f>
        <v>MEDIANA - COT164</v>
      </c>
      <c r="B1100" s="115"/>
      <c r="C1100" s="115"/>
      <c r="D1100" s="301"/>
      <c r="E1100" s="150">
        <f>MEDIAN(E1097:E1099)</f>
        <v>55.17</v>
      </c>
      <c r="F1100" s="301"/>
      <c r="G1100" s="301"/>
      <c r="H1100" s="302"/>
    </row>
    <row r="1101" spans="1:8" ht="15.75" customHeight="1" thickBot="1">
      <c r="A1101" s="272"/>
      <c r="B1101" s="114"/>
      <c r="C1101" s="114"/>
      <c r="D1101" s="114"/>
      <c r="E1101" s="114"/>
      <c r="F1101" s="114"/>
      <c r="G1101" s="114"/>
      <c r="H1101" s="288"/>
    </row>
    <row r="1102" spans="1:8" ht="15.75" customHeight="1">
      <c r="A1102" s="358" t="s">
        <v>14441</v>
      </c>
      <c r="B1102" s="290" t="s">
        <v>13375</v>
      </c>
      <c r="C1102" s="290"/>
      <c r="D1102" s="290"/>
      <c r="E1102" s="290"/>
      <c r="F1102" s="290"/>
      <c r="G1102" s="290"/>
      <c r="H1102" s="291"/>
    </row>
    <row r="1103" spans="1:8" ht="15.75" customHeight="1">
      <c r="A1103" s="292" t="s">
        <v>6</v>
      </c>
      <c r="B1103" s="293" t="s">
        <v>7050</v>
      </c>
      <c r="C1103" s="294" t="s">
        <v>7049</v>
      </c>
      <c r="D1103" s="295" t="s">
        <v>24</v>
      </c>
      <c r="E1103" s="296" t="s">
        <v>7046</v>
      </c>
      <c r="F1103" s="293" t="s">
        <v>254</v>
      </c>
      <c r="G1103" s="293" t="s">
        <v>7047</v>
      </c>
      <c r="H1103" s="297" t="s">
        <v>7048</v>
      </c>
    </row>
    <row r="1104" spans="1:8" ht="15.75" customHeight="1">
      <c r="A1104" s="120" t="s">
        <v>7</v>
      </c>
      <c r="B1104" s="298">
        <v>44714</v>
      </c>
      <c r="C1104" s="165" t="s">
        <v>27681</v>
      </c>
      <c r="D1104" s="113" t="s">
        <v>7238</v>
      </c>
      <c r="E1104" s="59">
        <v>198.24</v>
      </c>
      <c r="F1104" s="165" t="s">
        <v>7255</v>
      </c>
      <c r="G1104" s="165" t="s">
        <v>7254</v>
      </c>
      <c r="H1104" s="299" t="s">
        <v>27682</v>
      </c>
    </row>
    <row r="1105" spans="1:8" ht="26.25">
      <c r="A1105" s="120" t="s">
        <v>50</v>
      </c>
      <c r="B1105" s="298">
        <v>44714</v>
      </c>
      <c r="C1105" s="165" t="s">
        <v>27350</v>
      </c>
      <c r="D1105" s="113" t="s">
        <v>32</v>
      </c>
      <c r="E1105" s="148">
        <v>110.24</v>
      </c>
      <c r="F1105" s="168" t="s">
        <v>27351</v>
      </c>
      <c r="G1105" s="169" t="s">
        <v>27352</v>
      </c>
      <c r="H1105" s="159" t="s">
        <v>27458</v>
      </c>
    </row>
    <row r="1106" spans="1:8" ht="15.75" customHeight="1">
      <c r="A1106" s="120" t="s">
        <v>52</v>
      </c>
      <c r="B1106" s="298">
        <v>44714</v>
      </c>
      <c r="C1106" s="166" t="s">
        <v>27291</v>
      </c>
      <c r="D1106" s="113" t="s">
        <v>32</v>
      </c>
      <c r="E1106" s="59">
        <v>80.599999999999994</v>
      </c>
      <c r="F1106" s="299">
        <v>8006377246</v>
      </c>
      <c r="G1106" s="320" t="s">
        <v>27327</v>
      </c>
      <c r="H1106" s="317" t="s">
        <v>27715</v>
      </c>
    </row>
    <row r="1107" spans="1:8" ht="15.75" customHeight="1" thickBot="1">
      <c r="A1107" s="300" t="str">
        <f>CONCATENATE("MEDIANA - ",A1102)</f>
        <v>MEDIANA - COT165</v>
      </c>
      <c r="B1107" s="115"/>
      <c r="C1107" s="115"/>
      <c r="D1107" s="301"/>
      <c r="E1107" s="150">
        <f>MEDIAN(E1104:E1106)</f>
        <v>110.24</v>
      </c>
      <c r="F1107" s="301"/>
      <c r="G1107" s="301"/>
      <c r="H1107" s="302"/>
    </row>
    <row r="1108" spans="1:8" ht="15.75" customHeight="1" thickBot="1">
      <c r="A1108" s="272"/>
      <c r="B1108" s="114"/>
      <c r="C1108" s="114"/>
      <c r="D1108" s="114"/>
      <c r="E1108" s="114"/>
      <c r="F1108" s="114"/>
      <c r="G1108" s="114"/>
      <c r="H1108" s="288"/>
    </row>
    <row r="1109" spans="1:8" ht="15.75" customHeight="1">
      <c r="A1109" s="358" t="s">
        <v>14442</v>
      </c>
      <c r="B1109" s="290" t="s">
        <v>13377</v>
      </c>
      <c r="C1109" s="290"/>
      <c r="D1109" s="290"/>
      <c r="E1109" s="290"/>
      <c r="F1109" s="290"/>
      <c r="G1109" s="290"/>
      <c r="H1109" s="291"/>
    </row>
    <row r="1110" spans="1:8" ht="15.75" customHeight="1">
      <c r="A1110" s="292" t="s">
        <v>6</v>
      </c>
      <c r="B1110" s="293" t="s">
        <v>7050</v>
      </c>
      <c r="C1110" s="294" t="s">
        <v>7049</v>
      </c>
      <c r="D1110" s="295" t="s">
        <v>24</v>
      </c>
      <c r="E1110" s="296" t="s">
        <v>7046</v>
      </c>
      <c r="F1110" s="293" t="s">
        <v>254</v>
      </c>
      <c r="G1110" s="293" t="s">
        <v>7047</v>
      </c>
      <c r="H1110" s="297" t="s">
        <v>7048</v>
      </c>
    </row>
    <row r="1111" spans="1:8" ht="15.75" customHeight="1">
      <c r="A1111" s="120" t="s">
        <v>7</v>
      </c>
      <c r="B1111" s="298">
        <v>44714</v>
      </c>
      <c r="C1111" s="165" t="s">
        <v>27681</v>
      </c>
      <c r="D1111" s="113" t="s">
        <v>7238</v>
      </c>
      <c r="E1111" s="59">
        <v>43.91</v>
      </c>
      <c r="F1111" s="165" t="s">
        <v>7255</v>
      </c>
      <c r="G1111" s="165" t="s">
        <v>7254</v>
      </c>
      <c r="H1111" s="299" t="s">
        <v>27682</v>
      </c>
    </row>
    <row r="1112" spans="1:8" ht="15.75" customHeight="1">
      <c r="A1112" s="120" t="s">
        <v>50</v>
      </c>
      <c r="B1112" s="298">
        <v>44718</v>
      </c>
      <c r="C1112" s="165" t="s">
        <v>27712</v>
      </c>
      <c r="D1112" s="113" t="s">
        <v>32</v>
      </c>
      <c r="E1112" s="328">
        <v>32.18</v>
      </c>
      <c r="F1112" s="165" t="s">
        <v>13393</v>
      </c>
      <c r="G1112" s="165" t="s">
        <v>27846</v>
      </c>
      <c r="H1112" s="299" t="s">
        <v>13395</v>
      </c>
    </row>
    <row r="1113" spans="1:8" ht="15.75" customHeight="1">
      <c r="A1113" s="120" t="s">
        <v>52</v>
      </c>
      <c r="B1113" s="298">
        <v>44719</v>
      </c>
      <c r="C1113" s="165" t="s">
        <v>27713</v>
      </c>
      <c r="D1113" s="113" t="s">
        <v>32</v>
      </c>
      <c r="E1113" s="325">
        <v>50</v>
      </c>
      <c r="F1113" s="165" t="s">
        <v>13309</v>
      </c>
      <c r="G1113" s="165" t="s">
        <v>13310</v>
      </c>
      <c r="H1113" s="299" t="s">
        <v>13392</v>
      </c>
    </row>
    <row r="1114" spans="1:8" ht="15.75" customHeight="1" thickBot="1">
      <c r="A1114" s="300" t="str">
        <f>CONCATENATE("MEDIANA - ",A1109)</f>
        <v>MEDIANA - COT166</v>
      </c>
      <c r="B1114" s="115"/>
      <c r="C1114" s="115"/>
      <c r="D1114" s="301"/>
      <c r="E1114" s="150">
        <f>MEDIAN(E1111:E1113)</f>
        <v>43.91</v>
      </c>
      <c r="F1114" s="301"/>
      <c r="G1114" s="301"/>
      <c r="H1114" s="302"/>
    </row>
    <row r="1115" spans="1:8" ht="15.75" customHeight="1" thickBot="1">
      <c r="A1115" s="277"/>
      <c r="B1115" s="359"/>
      <c r="C1115" s="359"/>
      <c r="D1115" s="359"/>
      <c r="E1115" s="359"/>
      <c r="F1115" s="359"/>
      <c r="G1115" s="359"/>
      <c r="H1115" s="360"/>
    </row>
    <row r="1116" spans="1:8" ht="15.75" customHeight="1">
      <c r="A1116" s="358" t="s">
        <v>14443</v>
      </c>
      <c r="B1116" s="290" t="s">
        <v>13380</v>
      </c>
      <c r="C1116" s="290"/>
      <c r="D1116" s="290"/>
      <c r="E1116" s="290"/>
      <c r="F1116" s="290"/>
      <c r="G1116" s="290"/>
      <c r="H1116" s="291"/>
    </row>
    <row r="1117" spans="1:8" ht="15.75" customHeight="1">
      <c r="A1117" s="292" t="s">
        <v>6</v>
      </c>
      <c r="B1117" s="293" t="s">
        <v>7050</v>
      </c>
      <c r="C1117" s="294" t="s">
        <v>7049</v>
      </c>
      <c r="D1117" s="295" t="s">
        <v>24</v>
      </c>
      <c r="E1117" s="296" t="s">
        <v>7046</v>
      </c>
      <c r="F1117" s="293" t="s">
        <v>254</v>
      </c>
      <c r="G1117" s="293" t="s">
        <v>7047</v>
      </c>
      <c r="H1117" s="297" t="s">
        <v>7048</v>
      </c>
    </row>
    <row r="1118" spans="1:8" ht="15.75" customHeight="1">
      <c r="A1118" s="120" t="s">
        <v>7</v>
      </c>
      <c r="B1118" s="298">
        <v>44714</v>
      </c>
      <c r="C1118" s="165" t="s">
        <v>27681</v>
      </c>
      <c r="D1118" s="113" t="s">
        <v>7238</v>
      </c>
      <c r="E1118" s="59">
        <v>24.91</v>
      </c>
      <c r="F1118" s="165" t="s">
        <v>7255</v>
      </c>
      <c r="G1118" s="165" t="s">
        <v>7254</v>
      </c>
      <c r="H1118" s="299" t="s">
        <v>27682</v>
      </c>
    </row>
    <row r="1119" spans="1:8" ht="15.75" customHeight="1">
      <c r="A1119" s="120" t="s">
        <v>50</v>
      </c>
      <c r="B1119" s="298">
        <v>44718</v>
      </c>
      <c r="C1119" s="165" t="s">
        <v>27712</v>
      </c>
      <c r="D1119" s="113" t="s">
        <v>32</v>
      </c>
      <c r="E1119" s="325">
        <v>27.46</v>
      </c>
      <c r="F1119" s="165" t="s">
        <v>13393</v>
      </c>
      <c r="G1119" s="165" t="s">
        <v>27846</v>
      </c>
      <c r="H1119" s="299" t="s">
        <v>13395</v>
      </c>
    </row>
    <row r="1120" spans="1:8" ht="15.75" customHeight="1">
      <c r="A1120" s="120" t="s">
        <v>52</v>
      </c>
      <c r="B1120" s="298">
        <v>44719</v>
      </c>
      <c r="C1120" s="165" t="s">
        <v>27713</v>
      </c>
      <c r="D1120" s="113" t="s">
        <v>32</v>
      </c>
      <c r="E1120" s="328">
        <v>36.5</v>
      </c>
      <c r="F1120" s="165" t="s">
        <v>13309</v>
      </c>
      <c r="G1120" s="165" t="s">
        <v>13310</v>
      </c>
      <c r="H1120" s="299" t="s">
        <v>13392</v>
      </c>
    </row>
    <row r="1121" spans="1:8" ht="15.75" customHeight="1" thickBot="1">
      <c r="A1121" s="300" t="str">
        <f>CONCATENATE("MEDIANA - ",A1116)</f>
        <v>MEDIANA - COT167</v>
      </c>
      <c r="B1121" s="115"/>
      <c r="C1121" s="115"/>
      <c r="D1121" s="301"/>
      <c r="E1121" s="150">
        <f>MEDIAN(E1118:E1120)</f>
        <v>27.46</v>
      </c>
      <c r="F1121" s="301"/>
      <c r="G1121" s="301"/>
      <c r="H1121" s="302"/>
    </row>
    <row r="1122" spans="1:8" ht="15.75" customHeight="1" thickBot="1">
      <c r="A1122" s="272"/>
      <c r="B1122" s="114"/>
      <c r="C1122" s="114"/>
      <c r="D1122" s="114"/>
      <c r="E1122" s="114"/>
      <c r="F1122" s="114"/>
      <c r="G1122" s="114"/>
      <c r="H1122" s="288"/>
    </row>
    <row r="1123" spans="1:8" ht="15.75" customHeight="1">
      <c r="A1123" s="358" t="s">
        <v>14444</v>
      </c>
      <c r="B1123" s="290" t="s">
        <v>13383</v>
      </c>
      <c r="C1123" s="290"/>
      <c r="D1123" s="290"/>
      <c r="E1123" s="290"/>
      <c r="F1123" s="290"/>
      <c r="G1123" s="290"/>
      <c r="H1123" s="291"/>
    </row>
    <row r="1124" spans="1:8" ht="15.75" customHeight="1">
      <c r="A1124" s="292" t="s">
        <v>6</v>
      </c>
      <c r="B1124" s="293" t="s">
        <v>7050</v>
      </c>
      <c r="C1124" s="294" t="s">
        <v>7049</v>
      </c>
      <c r="D1124" s="295" t="s">
        <v>24</v>
      </c>
      <c r="E1124" s="296" t="s">
        <v>7046</v>
      </c>
      <c r="F1124" s="293" t="s">
        <v>254</v>
      </c>
      <c r="G1124" s="293" t="s">
        <v>7047</v>
      </c>
      <c r="H1124" s="297" t="s">
        <v>7048</v>
      </c>
    </row>
    <row r="1125" spans="1:8" ht="15.75" customHeight="1">
      <c r="A1125" s="120" t="s">
        <v>7</v>
      </c>
      <c r="B1125" s="298">
        <v>44719</v>
      </c>
      <c r="C1125" s="165" t="s">
        <v>27713</v>
      </c>
      <c r="D1125" s="113" t="s">
        <v>32</v>
      </c>
      <c r="E1125" s="325">
        <v>5.5</v>
      </c>
      <c r="F1125" s="165" t="s">
        <v>13309</v>
      </c>
      <c r="G1125" s="165" t="s">
        <v>13310</v>
      </c>
      <c r="H1125" s="299" t="s">
        <v>13392</v>
      </c>
    </row>
    <row r="1126" spans="1:8" ht="15.75" customHeight="1">
      <c r="A1126" s="120" t="s">
        <v>50</v>
      </c>
      <c r="B1126" s="298">
        <v>44718</v>
      </c>
      <c r="C1126" s="165" t="s">
        <v>27712</v>
      </c>
      <c r="D1126" s="113" t="s">
        <v>32</v>
      </c>
      <c r="E1126" s="328">
        <v>2.48</v>
      </c>
      <c r="F1126" s="165" t="s">
        <v>13393</v>
      </c>
      <c r="G1126" s="165" t="s">
        <v>27846</v>
      </c>
      <c r="H1126" s="299" t="s">
        <v>13395</v>
      </c>
    </row>
    <row r="1127" spans="1:8" ht="15.75" customHeight="1">
      <c r="A1127" s="120" t="s">
        <v>52</v>
      </c>
      <c r="B1127" s="298">
        <v>44714</v>
      </c>
      <c r="C1127" s="165" t="s">
        <v>27681</v>
      </c>
      <c r="D1127" s="113" t="s">
        <v>24</v>
      </c>
      <c r="E1127" s="318">
        <v>4.3499999999999996</v>
      </c>
      <c r="F1127" s="299" t="s">
        <v>7255</v>
      </c>
      <c r="G1127" s="165" t="s">
        <v>7254</v>
      </c>
      <c r="H1127" s="324" t="s">
        <v>27682</v>
      </c>
    </row>
    <row r="1128" spans="1:8" ht="15.75" customHeight="1" thickBot="1">
      <c r="A1128" s="300" t="str">
        <f>CONCATENATE("MEDIANA - ",A1123)</f>
        <v>MEDIANA - COT168</v>
      </c>
      <c r="B1128" s="115"/>
      <c r="C1128" s="115"/>
      <c r="D1128" s="301"/>
      <c r="E1128" s="150">
        <f>MEDIAN(E1125:E1127)</f>
        <v>4.3499999999999996</v>
      </c>
      <c r="F1128" s="301"/>
      <c r="G1128" s="301"/>
      <c r="H1128" s="302"/>
    </row>
    <row r="1129" spans="1:8" ht="15.75" customHeight="1" thickBot="1">
      <c r="A1129" s="272"/>
      <c r="B1129" s="114"/>
      <c r="C1129" s="114"/>
      <c r="D1129" s="114"/>
      <c r="E1129" s="114"/>
      <c r="F1129" s="114"/>
      <c r="G1129" s="114"/>
      <c r="H1129" s="288"/>
    </row>
    <row r="1130" spans="1:8" ht="15.75" customHeight="1">
      <c r="A1130" s="358" t="s">
        <v>14445</v>
      </c>
      <c r="B1130" s="290" t="s">
        <v>27716</v>
      </c>
      <c r="C1130" s="290"/>
      <c r="D1130" s="290"/>
      <c r="E1130" s="290"/>
      <c r="F1130" s="290"/>
      <c r="G1130" s="290"/>
      <c r="H1130" s="291"/>
    </row>
    <row r="1131" spans="1:8" ht="15.75" customHeight="1">
      <c r="A1131" s="292" t="s">
        <v>6</v>
      </c>
      <c r="B1131" s="293" t="s">
        <v>7050</v>
      </c>
      <c r="C1131" s="294" t="s">
        <v>7049</v>
      </c>
      <c r="D1131" s="295" t="s">
        <v>24</v>
      </c>
      <c r="E1131" s="296" t="s">
        <v>7046</v>
      </c>
      <c r="F1131" s="293" t="s">
        <v>254</v>
      </c>
      <c r="G1131" s="293" t="s">
        <v>7047</v>
      </c>
      <c r="H1131" s="297" t="s">
        <v>7048</v>
      </c>
    </row>
    <row r="1132" spans="1:8" ht="15.75" customHeight="1">
      <c r="A1132" s="305" t="s">
        <v>7</v>
      </c>
      <c r="B1132" s="298">
        <v>44727</v>
      </c>
      <c r="C1132" s="165" t="s">
        <v>27864</v>
      </c>
      <c r="D1132" s="113" t="s">
        <v>32</v>
      </c>
      <c r="E1132" s="59">
        <v>2133</v>
      </c>
      <c r="F1132" s="165" t="s">
        <v>27865</v>
      </c>
      <c r="G1132" s="165" t="s">
        <v>27866</v>
      </c>
      <c r="H1132" s="299" t="s">
        <v>13199</v>
      </c>
    </row>
    <row r="1133" spans="1:8" ht="15.75" customHeight="1">
      <c r="A1133" s="120" t="s">
        <v>50</v>
      </c>
      <c r="B1133" s="164">
        <v>44715</v>
      </c>
      <c r="C1133" s="165" t="s">
        <v>13397</v>
      </c>
      <c r="D1133" s="113" t="s">
        <v>32</v>
      </c>
      <c r="E1133" s="59">
        <v>3559.46</v>
      </c>
      <c r="F1133" s="165" t="s">
        <v>13398</v>
      </c>
      <c r="G1133" s="165" t="s">
        <v>13399</v>
      </c>
      <c r="H1133" s="303" t="s">
        <v>13400</v>
      </c>
    </row>
    <row r="1134" spans="1:8" ht="15.75" customHeight="1">
      <c r="A1134" s="120" t="s">
        <v>52</v>
      </c>
      <c r="B1134" s="298">
        <v>44707</v>
      </c>
      <c r="C1134" s="165" t="s">
        <v>27397</v>
      </c>
      <c r="D1134" s="113" t="s">
        <v>32</v>
      </c>
      <c r="E1134" s="59">
        <v>3795.49</v>
      </c>
      <c r="F1134" s="165" t="s">
        <v>27398</v>
      </c>
      <c r="G1134" s="165" t="s">
        <v>27399</v>
      </c>
      <c r="H1134" s="303" t="s">
        <v>27414</v>
      </c>
    </row>
    <row r="1135" spans="1:8" ht="15.75" customHeight="1" thickBot="1">
      <c r="A1135" s="300" t="str">
        <f>CONCATENATE("MEDIANA - ",A1130)</f>
        <v>MEDIANA - COT170</v>
      </c>
      <c r="B1135" s="115"/>
      <c r="C1135" s="115"/>
      <c r="D1135" s="301"/>
      <c r="E1135" s="150">
        <f>MEDIAN(E1132:E1134)</f>
        <v>3559.46</v>
      </c>
      <c r="F1135" s="301"/>
      <c r="G1135" s="301"/>
      <c r="H1135" s="302"/>
    </row>
    <row r="1136" spans="1:8" ht="15.75" customHeight="1" thickBot="1">
      <c r="A1136" s="272"/>
      <c r="B1136" s="114"/>
      <c r="C1136" s="114"/>
      <c r="D1136" s="114"/>
      <c r="E1136" s="114"/>
      <c r="F1136" s="114"/>
      <c r="G1136" s="114"/>
      <c r="H1136" s="288"/>
    </row>
    <row r="1137" spans="1:8" ht="15.75" customHeight="1" thickBot="1">
      <c r="A1137" s="285" t="s">
        <v>7226</v>
      </c>
      <c r="B1137" s="286"/>
      <c r="C1137" s="286"/>
      <c r="D1137" s="286"/>
      <c r="E1137" s="286"/>
      <c r="F1137" s="286"/>
      <c r="G1137" s="286"/>
      <c r="H1137" s="287"/>
    </row>
    <row r="1138" spans="1:8" ht="15.75" customHeight="1" thickBot="1">
      <c r="A1138" s="272"/>
      <c r="B1138" s="114"/>
      <c r="C1138" s="114"/>
      <c r="D1138" s="114"/>
      <c r="E1138" s="114"/>
      <c r="F1138" s="114"/>
      <c r="G1138" s="114"/>
      <c r="H1138" s="288"/>
    </row>
    <row r="1139" spans="1:8" ht="15.75" customHeight="1">
      <c r="A1139" s="358" t="s">
        <v>14446</v>
      </c>
      <c r="B1139" s="290" t="s">
        <v>7222</v>
      </c>
      <c r="C1139" s="290"/>
      <c r="D1139" s="290"/>
      <c r="E1139" s="290"/>
      <c r="F1139" s="290"/>
      <c r="G1139" s="290"/>
      <c r="H1139" s="291"/>
    </row>
    <row r="1140" spans="1:8" ht="15.75" customHeight="1">
      <c r="A1140" s="292" t="s">
        <v>6</v>
      </c>
      <c r="B1140" s="293" t="s">
        <v>7050</v>
      </c>
      <c r="C1140" s="293" t="s">
        <v>7049</v>
      </c>
      <c r="D1140" s="295" t="s">
        <v>24</v>
      </c>
      <c r="E1140" s="296" t="s">
        <v>7046</v>
      </c>
      <c r="F1140" s="293" t="s">
        <v>254</v>
      </c>
      <c r="G1140" s="293" t="s">
        <v>7047</v>
      </c>
      <c r="H1140" s="297" t="s">
        <v>7048</v>
      </c>
    </row>
    <row r="1141" spans="1:8" ht="15.75" customHeight="1">
      <c r="A1141" s="120" t="s">
        <v>7</v>
      </c>
      <c r="B1141" s="298">
        <v>44715</v>
      </c>
      <c r="C1141" s="165" t="s">
        <v>27717</v>
      </c>
      <c r="D1141" s="113" t="s">
        <v>32</v>
      </c>
      <c r="E1141" s="59">
        <v>1193.23</v>
      </c>
      <c r="F1141" s="165" t="s">
        <v>13252</v>
      </c>
      <c r="G1141" s="165" t="s">
        <v>13253</v>
      </c>
      <c r="H1141" s="299" t="s">
        <v>27688</v>
      </c>
    </row>
    <row r="1142" spans="1:8" ht="15.75" customHeight="1">
      <c r="A1142" s="120" t="s">
        <v>50</v>
      </c>
      <c r="B1142" s="298">
        <v>44714</v>
      </c>
      <c r="C1142" s="165" t="s">
        <v>7239</v>
      </c>
      <c r="D1142" s="113" t="s">
        <v>32</v>
      </c>
      <c r="E1142" s="59">
        <v>1790.45</v>
      </c>
      <c r="F1142" s="165" t="s">
        <v>27415</v>
      </c>
      <c r="G1142" s="165" t="s">
        <v>27416</v>
      </c>
      <c r="H1142" s="299" t="s">
        <v>27469</v>
      </c>
    </row>
    <row r="1143" spans="1:8" ht="15.75" customHeight="1">
      <c r="A1143" s="120" t="s">
        <v>52</v>
      </c>
      <c r="B1143" s="298">
        <v>44714</v>
      </c>
      <c r="C1143" s="165" t="s">
        <v>7102</v>
      </c>
      <c r="D1143" s="113" t="s">
        <v>32</v>
      </c>
      <c r="E1143" s="59">
        <v>1199</v>
      </c>
      <c r="F1143" s="165" t="s">
        <v>7546</v>
      </c>
      <c r="G1143" s="165" t="s">
        <v>7545</v>
      </c>
      <c r="H1143" s="299" t="s">
        <v>27471</v>
      </c>
    </row>
    <row r="1144" spans="1:8" ht="15.75" customHeight="1" thickBot="1">
      <c r="A1144" s="300" t="str">
        <f>CONCATENATE("MEDIANA - ",A1139)</f>
        <v>MEDIANA - COT171</v>
      </c>
      <c r="B1144" s="115"/>
      <c r="C1144" s="115"/>
      <c r="D1144" s="301"/>
      <c r="E1144" s="150">
        <f>MEDIAN(E1141:E1143)</f>
        <v>1199</v>
      </c>
      <c r="F1144" s="301"/>
      <c r="G1144" s="301"/>
      <c r="H1144" s="302"/>
    </row>
    <row r="1145" spans="1:8" ht="15.75" customHeight="1" thickBot="1">
      <c r="A1145" s="282"/>
      <c r="B1145" s="283"/>
      <c r="C1145" s="283"/>
      <c r="D1145" s="283"/>
      <c r="E1145" s="283"/>
      <c r="F1145" s="283"/>
      <c r="G1145" s="283"/>
      <c r="H1145" s="284"/>
    </row>
    <row r="1146" spans="1:8" ht="15.75" customHeight="1">
      <c r="A1146" s="358" t="s">
        <v>14447</v>
      </c>
      <c r="B1146" s="290" t="s">
        <v>7223</v>
      </c>
      <c r="C1146" s="290"/>
      <c r="D1146" s="290"/>
      <c r="E1146" s="290"/>
      <c r="F1146" s="290"/>
      <c r="G1146" s="290"/>
      <c r="H1146" s="291"/>
    </row>
    <row r="1147" spans="1:8" ht="15.75" customHeight="1">
      <c r="A1147" s="292" t="s">
        <v>6</v>
      </c>
      <c r="B1147" s="293" t="s">
        <v>7050</v>
      </c>
      <c r="C1147" s="294" t="s">
        <v>7049</v>
      </c>
      <c r="D1147" s="295" t="s">
        <v>24</v>
      </c>
      <c r="E1147" s="296" t="s">
        <v>7046</v>
      </c>
      <c r="F1147" s="293" t="s">
        <v>254</v>
      </c>
      <c r="G1147" s="293" t="s">
        <v>7047</v>
      </c>
      <c r="H1147" s="297" t="s">
        <v>7048</v>
      </c>
    </row>
    <row r="1148" spans="1:8" ht="15.75" customHeight="1">
      <c r="A1148" s="120" t="s">
        <v>7</v>
      </c>
      <c r="B1148" s="298">
        <v>44715</v>
      </c>
      <c r="C1148" s="165" t="s">
        <v>27717</v>
      </c>
      <c r="D1148" s="113" t="s">
        <v>32</v>
      </c>
      <c r="E1148" s="59">
        <v>2426.9899999999998</v>
      </c>
      <c r="F1148" s="165" t="s">
        <v>13252</v>
      </c>
      <c r="G1148" s="165" t="s">
        <v>13253</v>
      </c>
      <c r="H1148" s="299" t="s">
        <v>27688</v>
      </c>
    </row>
    <row r="1149" spans="1:8" ht="15.75" customHeight="1">
      <c r="A1149" s="120" t="s">
        <v>50</v>
      </c>
      <c r="B1149" s="298">
        <v>44714</v>
      </c>
      <c r="C1149" s="165" t="s">
        <v>7239</v>
      </c>
      <c r="D1149" s="113" t="s">
        <v>32</v>
      </c>
      <c r="E1149" s="59">
        <v>2182.16</v>
      </c>
      <c r="F1149" s="165" t="s">
        <v>27415</v>
      </c>
      <c r="G1149" s="165" t="s">
        <v>27416</v>
      </c>
      <c r="H1149" s="299" t="s">
        <v>27469</v>
      </c>
    </row>
    <row r="1150" spans="1:8" ht="15.75" customHeight="1">
      <c r="A1150" s="120" t="s">
        <v>52</v>
      </c>
      <c r="B1150" s="298">
        <v>44714</v>
      </c>
      <c r="C1150" s="165" t="s">
        <v>7102</v>
      </c>
      <c r="D1150" s="113" t="s">
        <v>32</v>
      </c>
      <c r="E1150" s="59">
        <v>2190</v>
      </c>
      <c r="F1150" s="165" t="s">
        <v>7546</v>
      </c>
      <c r="G1150" s="165" t="s">
        <v>7545</v>
      </c>
      <c r="H1150" s="299" t="s">
        <v>27471</v>
      </c>
    </row>
    <row r="1151" spans="1:8" ht="15.75" customHeight="1" thickBot="1">
      <c r="A1151" s="300" t="str">
        <f>CONCATENATE("MEDIANA - ",A1146)</f>
        <v>MEDIANA - COT172</v>
      </c>
      <c r="B1151" s="115"/>
      <c r="C1151" s="115"/>
      <c r="D1151" s="301"/>
      <c r="E1151" s="150">
        <f>MEDIAN(E1148:E1150)</f>
        <v>2190</v>
      </c>
      <c r="F1151" s="301"/>
      <c r="G1151" s="301"/>
      <c r="H1151" s="302"/>
    </row>
    <row r="1152" spans="1:8" ht="15.75" customHeight="1" thickBot="1">
      <c r="A1152" s="282"/>
      <c r="B1152" s="283"/>
      <c r="C1152" s="283"/>
      <c r="D1152" s="283"/>
      <c r="E1152" s="283"/>
      <c r="F1152" s="283"/>
      <c r="G1152" s="283"/>
      <c r="H1152" s="284"/>
    </row>
    <row r="1153" spans="1:8" ht="15.75" customHeight="1">
      <c r="A1153" s="358" t="s">
        <v>14448</v>
      </c>
      <c r="B1153" s="290" t="s">
        <v>7224</v>
      </c>
      <c r="C1153" s="290"/>
      <c r="D1153" s="290"/>
      <c r="E1153" s="290"/>
      <c r="F1153" s="290"/>
      <c r="G1153" s="290"/>
      <c r="H1153" s="291"/>
    </row>
    <row r="1154" spans="1:8" ht="15.75" customHeight="1">
      <c r="A1154" s="292" t="s">
        <v>6</v>
      </c>
      <c r="B1154" s="293" t="s">
        <v>7050</v>
      </c>
      <c r="C1154" s="294" t="s">
        <v>7049</v>
      </c>
      <c r="D1154" s="295" t="s">
        <v>24</v>
      </c>
      <c r="E1154" s="296" t="s">
        <v>7046</v>
      </c>
      <c r="F1154" s="293" t="s">
        <v>254</v>
      </c>
      <c r="G1154" s="293" t="s">
        <v>7047</v>
      </c>
      <c r="H1154" s="297" t="s">
        <v>7048</v>
      </c>
    </row>
    <row r="1155" spans="1:8" ht="15.75" customHeight="1">
      <c r="A1155" s="120" t="s">
        <v>7</v>
      </c>
      <c r="B1155" s="298">
        <v>44714</v>
      </c>
      <c r="C1155" s="165" t="s">
        <v>7239</v>
      </c>
      <c r="D1155" s="113" t="s">
        <v>32</v>
      </c>
      <c r="E1155" s="59">
        <v>2797.83</v>
      </c>
      <c r="F1155" s="165" t="s">
        <v>27415</v>
      </c>
      <c r="G1155" s="165" t="s">
        <v>27416</v>
      </c>
      <c r="H1155" s="299" t="s">
        <v>27374</v>
      </c>
    </row>
    <row r="1156" spans="1:8" ht="15.75" customHeight="1">
      <c r="A1156" s="120" t="s">
        <v>50</v>
      </c>
      <c r="B1156" s="298">
        <v>44714</v>
      </c>
      <c r="C1156" s="165" t="s">
        <v>7102</v>
      </c>
      <c r="D1156" s="113" t="s">
        <v>32</v>
      </c>
      <c r="E1156" s="59">
        <v>3490</v>
      </c>
      <c r="F1156" s="165" t="s">
        <v>7546</v>
      </c>
      <c r="G1156" s="165" t="s">
        <v>7545</v>
      </c>
      <c r="H1156" s="299" t="s">
        <v>27471</v>
      </c>
    </row>
    <row r="1157" spans="1:8" ht="15.75" customHeight="1">
      <c r="A1157" s="120" t="s">
        <v>52</v>
      </c>
      <c r="B1157" s="298">
        <v>44718</v>
      </c>
      <c r="C1157" s="165" t="s">
        <v>27718</v>
      </c>
      <c r="D1157" s="113" t="s">
        <v>32</v>
      </c>
      <c r="E1157" s="59">
        <v>3307.5</v>
      </c>
      <c r="F1157" s="165" t="s">
        <v>13309</v>
      </c>
      <c r="G1157" s="165" t="s">
        <v>13310</v>
      </c>
      <c r="H1157" s="299" t="s">
        <v>27719</v>
      </c>
    </row>
    <row r="1158" spans="1:8" ht="15.75" customHeight="1" thickBot="1">
      <c r="A1158" s="300" t="str">
        <f>CONCATENATE("MEDIANA - ",A1153)</f>
        <v>MEDIANA - COT173</v>
      </c>
      <c r="B1158" s="115"/>
      <c r="C1158" s="115"/>
      <c r="D1158" s="301"/>
      <c r="E1158" s="150">
        <f>MEDIAN(E1155:E1157)</f>
        <v>3307.5</v>
      </c>
      <c r="F1158" s="301"/>
      <c r="G1158" s="301"/>
      <c r="H1158" s="302"/>
    </row>
    <row r="1159" spans="1:8" ht="15.75" customHeight="1" thickBot="1">
      <c r="A1159" s="282"/>
      <c r="B1159" s="283"/>
      <c r="C1159" s="283"/>
      <c r="D1159" s="283"/>
      <c r="E1159" s="283"/>
      <c r="F1159" s="283"/>
      <c r="G1159" s="283"/>
      <c r="H1159" s="284"/>
    </row>
    <row r="1160" spans="1:8" ht="15.75" customHeight="1">
      <c r="A1160" s="358" t="s">
        <v>14449</v>
      </c>
      <c r="B1160" s="290" t="s">
        <v>13065</v>
      </c>
      <c r="C1160" s="290"/>
      <c r="D1160" s="290"/>
      <c r="E1160" s="290"/>
      <c r="F1160" s="290"/>
      <c r="G1160" s="290"/>
      <c r="H1160" s="291"/>
    </row>
    <row r="1161" spans="1:8" ht="15.75" customHeight="1">
      <c r="A1161" s="292" t="s">
        <v>6</v>
      </c>
      <c r="B1161" s="293" t="s">
        <v>7050</v>
      </c>
      <c r="C1161" s="294" t="s">
        <v>7049</v>
      </c>
      <c r="D1161" s="295" t="s">
        <v>24</v>
      </c>
      <c r="E1161" s="296" t="s">
        <v>7046</v>
      </c>
      <c r="F1161" s="293" t="s">
        <v>254</v>
      </c>
      <c r="G1161" s="293" t="s">
        <v>7047</v>
      </c>
      <c r="H1161" s="297" t="s">
        <v>7048</v>
      </c>
    </row>
    <row r="1162" spans="1:8" ht="15.75" customHeight="1">
      <c r="A1162" s="120" t="s">
        <v>7</v>
      </c>
      <c r="B1162" s="298">
        <v>44729</v>
      </c>
      <c r="C1162" s="165" t="s">
        <v>27870</v>
      </c>
      <c r="D1162" s="113" t="s">
        <v>32</v>
      </c>
      <c r="E1162" s="59">
        <f>20.68+25.5</f>
        <v>46.18</v>
      </c>
      <c r="F1162" s="165" t="s">
        <v>27871</v>
      </c>
      <c r="G1162" s="165">
        <v>26909869000147</v>
      </c>
      <c r="H1162" s="303" t="s">
        <v>27872</v>
      </c>
    </row>
    <row r="1163" spans="1:8" ht="15.75" customHeight="1">
      <c r="A1163" s="120" t="s">
        <v>50</v>
      </c>
      <c r="B1163" s="298">
        <v>44729</v>
      </c>
      <c r="C1163" s="165" t="s">
        <v>13274</v>
      </c>
      <c r="D1163" s="113" t="s">
        <v>32</v>
      </c>
      <c r="E1163" s="59">
        <f>22.5+14.9</f>
        <v>37.4</v>
      </c>
      <c r="F1163" s="165" t="s">
        <v>27309</v>
      </c>
      <c r="G1163" s="165" t="s">
        <v>13275</v>
      </c>
      <c r="H1163" s="299" t="s">
        <v>27873</v>
      </c>
    </row>
    <row r="1164" spans="1:8" ht="15.75" customHeight="1">
      <c r="A1164" s="120" t="s">
        <v>52</v>
      </c>
      <c r="B1164" s="298">
        <v>44729</v>
      </c>
      <c r="C1164" s="166" t="s">
        <v>27874</v>
      </c>
      <c r="D1164" s="113" t="s">
        <v>27875</v>
      </c>
      <c r="E1164" s="318">
        <f>22.88+20.85</f>
        <v>43.730000000000004</v>
      </c>
      <c r="F1164" s="299" t="s">
        <v>27876</v>
      </c>
      <c r="G1164" s="320" t="s">
        <v>27877</v>
      </c>
      <c r="H1164" s="303" t="s">
        <v>27878</v>
      </c>
    </row>
    <row r="1165" spans="1:8" ht="15.75" customHeight="1" thickBot="1">
      <c r="A1165" s="300" t="str">
        <f>CONCATENATE("MEDIANA - ",A1160)</f>
        <v>MEDIANA - COT174</v>
      </c>
      <c r="B1165" s="115"/>
      <c r="C1165" s="115"/>
      <c r="D1165" s="301"/>
      <c r="E1165" s="150">
        <f>MEDIAN(E1162:E1164)</f>
        <v>43.730000000000004</v>
      </c>
      <c r="F1165" s="301"/>
      <c r="G1165" s="301"/>
      <c r="H1165" s="302"/>
    </row>
    <row r="1166" spans="1:8" s="114" customFormat="1" ht="15.75" customHeight="1" thickBot="1">
      <c r="A1166" s="272"/>
      <c r="H1166" s="288"/>
    </row>
    <row r="1167" spans="1:8" ht="15.75" customHeight="1">
      <c r="A1167" s="358" t="s">
        <v>14450</v>
      </c>
      <c r="B1167" s="290" t="s">
        <v>13059</v>
      </c>
      <c r="C1167" s="290"/>
      <c r="D1167" s="290"/>
      <c r="E1167" s="290"/>
      <c r="F1167" s="290"/>
      <c r="G1167" s="290"/>
      <c r="H1167" s="291"/>
    </row>
    <row r="1168" spans="1:8" ht="15.75" customHeight="1">
      <c r="A1168" s="292" t="s">
        <v>6</v>
      </c>
      <c r="B1168" s="293" t="s">
        <v>7050</v>
      </c>
      <c r="C1168" s="294" t="s">
        <v>7049</v>
      </c>
      <c r="D1168" s="295" t="s">
        <v>24</v>
      </c>
      <c r="E1168" s="296" t="s">
        <v>7046</v>
      </c>
      <c r="F1168" s="293" t="s">
        <v>254</v>
      </c>
      <c r="G1168" s="293" t="s">
        <v>7047</v>
      </c>
      <c r="H1168" s="297" t="s">
        <v>7048</v>
      </c>
    </row>
    <row r="1169" spans="1:8" ht="15.75" customHeight="1">
      <c r="A1169" s="120" t="s">
        <v>7</v>
      </c>
      <c r="B1169" s="298">
        <v>44722</v>
      </c>
      <c r="C1169" s="165" t="s">
        <v>13313</v>
      </c>
      <c r="D1169" s="113" t="s">
        <v>32</v>
      </c>
      <c r="E1169" s="59">
        <v>83.79</v>
      </c>
      <c r="F1169" s="165" t="s">
        <v>27418</v>
      </c>
      <c r="G1169" s="165" t="s">
        <v>27419</v>
      </c>
      <c r="H1169" s="299" t="s">
        <v>27420</v>
      </c>
    </row>
    <row r="1170" spans="1:8" ht="15.75" customHeight="1">
      <c r="A1170" s="120" t="s">
        <v>50</v>
      </c>
      <c r="B1170" s="298">
        <v>44714</v>
      </c>
      <c r="C1170" s="165" t="s">
        <v>27720</v>
      </c>
      <c r="D1170" s="113" t="s">
        <v>32</v>
      </c>
      <c r="E1170" s="328">
        <v>144.01</v>
      </c>
      <c r="F1170" s="165" t="s">
        <v>27721</v>
      </c>
      <c r="G1170" s="165" t="s">
        <v>27722</v>
      </c>
      <c r="H1170" s="299" t="s">
        <v>27723</v>
      </c>
    </row>
    <row r="1171" spans="1:8" ht="15.75" customHeight="1">
      <c r="A1171" s="120" t="s">
        <v>52</v>
      </c>
      <c r="B1171" s="298">
        <v>44714</v>
      </c>
      <c r="C1171" s="165" t="s">
        <v>27724</v>
      </c>
      <c r="D1171" s="113" t="s">
        <v>32</v>
      </c>
      <c r="E1171" s="328">
        <v>107.88</v>
      </c>
      <c r="F1171" s="299" t="s">
        <v>7255</v>
      </c>
      <c r="G1171" s="361" t="s">
        <v>27879</v>
      </c>
      <c r="H1171" s="299" t="s">
        <v>27725</v>
      </c>
    </row>
    <row r="1172" spans="1:8" s="114" customFormat="1" ht="15.75" customHeight="1" thickBot="1">
      <c r="A1172" s="300" t="str">
        <f>CONCATENATE("MEDIANA - ",A1167)</f>
        <v>MEDIANA - COT175</v>
      </c>
      <c r="B1172" s="115"/>
      <c r="C1172" s="115"/>
      <c r="D1172" s="301"/>
      <c r="E1172" s="150">
        <f>MEDIAN(E1169:E1171)</f>
        <v>107.88</v>
      </c>
      <c r="F1172" s="301"/>
      <c r="G1172" s="301"/>
      <c r="H1172" s="302"/>
    </row>
    <row r="1173" spans="1:8" ht="15.75" customHeight="1" thickBot="1">
      <c r="A1173" s="272"/>
      <c r="B1173" s="114"/>
      <c r="C1173" s="114"/>
      <c r="D1173" s="114"/>
      <c r="E1173" s="114"/>
      <c r="F1173" s="114"/>
      <c r="G1173" s="114"/>
      <c r="H1173" s="288"/>
    </row>
    <row r="1174" spans="1:8" ht="15.75" customHeight="1" thickBot="1">
      <c r="A1174" s="285" t="s">
        <v>7488</v>
      </c>
      <c r="B1174" s="286"/>
      <c r="C1174" s="286"/>
      <c r="D1174" s="286"/>
      <c r="E1174" s="286"/>
      <c r="F1174" s="286"/>
      <c r="G1174" s="286"/>
      <c r="H1174" s="287"/>
    </row>
    <row r="1175" spans="1:8" ht="15.75" customHeight="1" thickBot="1">
      <c r="A1175" s="272"/>
      <c r="B1175" s="114"/>
      <c r="C1175" s="114"/>
      <c r="D1175" s="114"/>
      <c r="E1175" s="114"/>
      <c r="F1175" s="114"/>
      <c r="G1175" s="114"/>
      <c r="H1175" s="288"/>
    </row>
    <row r="1176" spans="1:8" ht="15.75" customHeight="1">
      <c r="A1176" s="358" t="s">
        <v>14451</v>
      </c>
      <c r="B1176" s="290" t="s">
        <v>27883</v>
      </c>
      <c r="C1176" s="290"/>
      <c r="D1176" s="290"/>
      <c r="E1176" s="290"/>
      <c r="F1176" s="290"/>
      <c r="G1176" s="290"/>
      <c r="H1176" s="291"/>
    </row>
    <row r="1177" spans="1:8" ht="15.75" customHeight="1">
      <c r="A1177" s="292" t="s">
        <v>6</v>
      </c>
      <c r="B1177" s="293" t="s">
        <v>7050</v>
      </c>
      <c r="C1177" s="293" t="s">
        <v>7049</v>
      </c>
      <c r="D1177" s="295" t="s">
        <v>24</v>
      </c>
      <c r="E1177" s="296" t="s">
        <v>7046</v>
      </c>
      <c r="F1177" s="293" t="s">
        <v>254</v>
      </c>
      <c r="G1177" s="293" t="s">
        <v>7047</v>
      </c>
      <c r="H1177" s="297" t="s">
        <v>7048</v>
      </c>
    </row>
    <row r="1178" spans="1:8" ht="15.75" customHeight="1">
      <c r="A1178" s="120" t="s">
        <v>7</v>
      </c>
      <c r="B1178" s="298">
        <v>44718</v>
      </c>
      <c r="C1178" s="165" t="s">
        <v>27726</v>
      </c>
      <c r="D1178" s="113" t="s">
        <v>32</v>
      </c>
      <c r="E1178" s="59">
        <v>12000</v>
      </c>
      <c r="F1178" s="165" t="s">
        <v>13218</v>
      </c>
      <c r="G1178" s="165" t="s">
        <v>7603</v>
      </c>
      <c r="H1178" s="299" t="s">
        <v>7604</v>
      </c>
    </row>
    <row r="1179" spans="1:8" ht="15.75" customHeight="1">
      <c r="A1179" s="120" t="s">
        <v>50</v>
      </c>
      <c r="B1179" s="298">
        <v>44719</v>
      </c>
      <c r="C1179" s="165" t="s">
        <v>13234</v>
      </c>
      <c r="D1179" s="113" t="s">
        <v>32</v>
      </c>
      <c r="E1179" s="59">
        <v>7000</v>
      </c>
      <c r="F1179" s="165" t="s">
        <v>13236</v>
      </c>
      <c r="G1179" s="165" t="s">
        <v>13235</v>
      </c>
      <c r="H1179" s="299" t="s">
        <v>27421</v>
      </c>
    </row>
    <row r="1180" spans="1:8" ht="15.75" customHeight="1">
      <c r="A1180" s="120" t="s">
        <v>52</v>
      </c>
      <c r="B1180" s="298">
        <v>44718</v>
      </c>
      <c r="C1180" s="165" t="s">
        <v>27880</v>
      </c>
      <c r="D1180" s="113" t="s">
        <v>32</v>
      </c>
      <c r="E1180" s="59">
        <v>8000</v>
      </c>
      <c r="F1180" s="165" t="s">
        <v>13217</v>
      </c>
      <c r="G1180" s="165" t="s">
        <v>27881</v>
      </c>
      <c r="H1180" s="299" t="s">
        <v>13219</v>
      </c>
    </row>
    <row r="1181" spans="1:8" ht="15.75" customHeight="1" thickBot="1">
      <c r="A1181" s="300" t="str">
        <f>CONCATENATE("MEDIANA - ",A1176)</f>
        <v>MEDIANA - COT176</v>
      </c>
      <c r="B1181" s="115"/>
      <c r="C1181" s="115"/>
      <c r="D1181" s="301"/>
      <c r="E1181" s="150">
        <f>MEDIAN(E1178:E1180)</f>
        <v>8000</v>
      </c>
      <c r="F1181" s="301"/>
      <c r="G1181" s="301"/>
      <c r="H1181" s="302"/>
    </row>
    <row r="1182" spans="1:8" ht="15.75" customHeight="1" thickBot="1">
      <c r="A1182" s="282"/>
      <c r="B1182" s="283"/>
      <c r="C1182" s="283"/>
      <c r="D1182" s="283"/>
      <c r="E1182" s="283"/>
      <c r="F1182" s="283"/>
      <c r="G1182" s="283"/>
      <c r="H1182" s="284"/>
    </row>
    <row r="1183" spans="1:8" ht="15.75" customHeight="1">
      <c r="A1183" s="358" t="s">
        <v>14452</v>
      </c>
      <c r="B1183" s="290" t="s">
        <v>27884</v>
      </c>
      <c r="C1183" s="290"/>
      <c r="D1183" s="290"/>
      <c r="E1183" s="290"/>
      <c r="F1183" s="290"/>
      <c r="G1183" s="290"/>
      <c r="H1183" s="291"/>
    </row>
    <row r="1184" spans="1:8" ht="15.75" customHeight="1">
      <c r="A1184" s="292" t="s">
        <v>6</v>
      </c>
      <c r="B1184" s="293" t="s">
        <v>7050</v>
      </c>
      <c r="C1184" s="294" t="s">
        <v>7049</v>
      </c>
      <c r="D1184" s="295" t="s">
        <v>24</v>
      </c>
      <c r="E1184" s="296" t="s">
        <v>7046</v>
      </c>
      <c r="F1184" s="293" t="s">
        <v>254</v>
      </c>
      <c r="G1184" s="293" t="s">
        <v>7047</v>
      </c>
      <c r="H1184" s="297" t="s">
        <v>7048</v>
      </c>
    </row>
    <row r="1185" spans="1:8" ht="15.75" customHeight="1">
      <c r="A1185" s="120" t="s">
        <v>7</v>
      </c>
      <c r="B1185" s="298">
        <v>44718</v>
      </c>
      <c r="C1185" s="165" t="s">
        <v>27726</v>
      </c>
      <c r="D1185" s="113" t="s">
        <v>32</v>
      </c>
      <c r="E1185" s="59">
        <v>90</v>
      </c>
      <c r="F1185" s="165" t="s">
        <v>13218</v>
      </c>
      <c r="G1185" s="165" t="s">
        <v>7603</v>
      </c>
      <c r="H1185" s="299" t="s">
        <v>7604</v>
      </c>
    </row>
    <row r="1186" spans="1:8" ht="15.75" customHeight="1">
      <c r="A1186" s="120" t="s">
        <v>50</v>
      </c>
      <c r="B1186" s="298">
        <v>44719</v>
      </c>
      <c r="C1186" s="165" t="s">
        <v>13234</v>
      </c>
      <c r="D1186" s="113" t="s">
        <v>32</v>
      </c>
      <c r="E1186" s="59">
        <v>180</v>
      </c>
      <c r="F1186" s="165" t="s">
        <v>13236</v>
      </c>
      <c r="G1186" s="165" t="s">
        <v>13235</v>
      </c>
      <c r="H1186" s="299" t="s">
        <v>27421</v>
      </c>
    </row>
    <row r="1187" spans="1:8" ht="15.75" customHeight="1">
      <c r="A1187" s="120" t="s">
        <v>52</v>
      </c>
      <c r="B1187" s="298">
        <v>44718</v>
      </c>
      <c r="C1187" s="165" t="s">
        <v>27880</v>
      </c>
      <c r="D1187" s="113" t="s">
        <v>32</v>
      </c>
      <c r="E1187" s="59">
        <v>150</v>
      </c>
      <c r="F1187" s="165" t="s">
        <v>13217</v>
      </c>
      <c r="G1187" s="165" t="s">
        <v>27881</v>
      </c>
      <c r="H1187" s="299" t="s">
        <v>13219</v>
      </c>
    </row>
    <row r="1188" spans="1:8" ht="15.75" customHeight="1" thickBot="1">
      <c r="A1188" s="300" t="str">
        <f>CONCATENATE("MEDIANA - ",A1183)</f>
        <v>MEDIANA - COT177</v>
      </c>
      <c r="B1188" s="115"/>
      <c r="C1188" s="115"/>
      <c r="D1188" s="301"/>
      <c r="E1188" s="150">
        <f>MEDIAN(E1185:E1187)</f>
        <v>150</v>
      </c>
      <c r="F1188" s="301"/>
      <c r="G1188" s="301"/>
      <c r="H1188" s="302"/>
    </row>
    <row r="1189" spans="1:8" ht="15.75" customHeight="1" thickBot="1">
      <c r="A1189" s="282"/>
      <c r="B1189" s="283"/>
      <c r="C1189" s="283"/>
      <c r="D1189" s="283"/>
      <c r="E1189" s="283"/>
      <c r="F1189" s="283"/>
      <c r="G1189" s="283"/>
      <c r="H1189" s="284"/>
    </row>
    <row r="1190" spans="1:8" ht="15.75" customHeight="1">
      <c r="A1190" s="358" t="s">
        <v>14453</v>
      </c>
      <c r="B1190" s="290" t="s">
        <v>27885</v>
      </c>
      <c r="C1190" s="290"/>
      <c r="D1190" s="290"/>
      <c r="E1190" s="290"/>
      <c r="F1190" s="290"/>
      <c r="G1190" s="290"/>
      <c r="H1190" s="291"/>
    </row>
    <row r="1191" spans="1:8" ht="15.75" customHeight="1">
      <c r="A1191" s="292" t="s">
        <v>6</v>
      </c>
      <c r="B1191" s="293" t="s">
        <v>7050</v>
      </c>
      <c r="C1191" s="294" t="s">
        <v>7049</v>
      </c>
      <c r="D1191" s="295" t="s">
        <v>24</v>
      </c>
      <c r="E1191" s="296" t="s">
        <v>7046</v>
      </c>
      <c r="F1191" s="293" t="s">
        <v>254</v>
      </c>
      <c r="G1191" s="293" t="s">
        <v>7047</v>
      </c>
      <c r="H1191" s="297" t="s">
        <v>7048</v>
      </c>
    </row>
    <row r="1192" spans="1:8" ht="15.75" customHeight="1">
      <c r="A1192" s="120" t="s">
        <v>7</v>
      </c>
      <c r="B1192" s="298">
        <v>44718</v>
      </c>
      <c r="C1192" s="165" t="s">
        <v>27726</v>
      </c>
      <c r="D1192" s="113" t="s">
        <v>32</v>
      </c>
      <c r="E1192" s="59">
        <v>15</v>
      </c>
      <c r="F1192" s="165" t="s">
        <v>13218</v>
      </c>
      <c r="G1192" s="165" t="s">
        <v>7603</v>
      </c>
      <c r="H1192" s="299" t="s">
        <v>7604</v>
      </c>
    </row>
    <row r="1193" spans="1:8" ht="15.75" customHeight="1">
      <c r="A1193" s="120" t="s">
        <v>50</v>
      </c>
      <c r="B1193" s="298">
        <v>44719</v>
      </c>
      <c r="C1193" s="165" t="s">
        <v>27727</v>
      </c>
      <c r="D1193" s="113" t="s">
        <v>32</v>
      </c>
      <c r="E1193" s="59">
        <v>15</v>
      </c>
      <c r="F1193" s="165" t="s">
        <v>7753</v>
      </c>
      <c r="G1193" s="165" t="s">
        <v>7754</v>
      </c>
      <c r="H1193" s="299" t="s">
        <v>7755</v>
      </c>
    </row>
    <row r="1194" spans="1:8" ht="15.75" customHeight="1">
      <c r="A1194" s="120" t="s">
        <v>52</v>
      </c>
      <c r="B1194" s="298">
        <v>44718</v>
      </c>
      <c r="C1194" s="165" t="s">
        <v>27880</v>
      </c>
      <c r="D1194" s="113" t="s">
        <v>32</v>
      </c>
      <c r="E1194" s="59">
        <v>10</v>
      </c>
      <c r="F1194" s="165" t="s">
        <v>13217</v>
      </c>
      <c r="G1194" s="165" t="s">
        <v>27881</v>
      </c>
      <c r="H1194" s="299" t="s">
        <v>13219</v>
      </c>
    </row>
    <row r="1195" spans="1:8" ht="15.75" customHeight="1" thickBot="1">
      <c r="A1195" s="300" t="str">
        <f>CONCATENATE("MEDIANA - ",A1190)</f>
        <v>MEDIANA - COT178</v>
      </c>
      <c r="B1195" s="115"/>
      <c r="C1195" s="115"/>
      <c r="D1195" s="301"/>
      <c r="E1195" s="150">
        <f>MEDIAN(E1192:E1194)</f>
        <v>15</v>
      </c>
      <c r="F1195" s="301"/>
      <c r="G1195" s="301"/>
      <c r="H1195" s="302"/>
    </row>
    <row r="1196" spans="1:8" ht="15.75" customHeight="1" thickBot="1">
      <c r="A1196" s="282"/>
      <c r="B1196" s="283"/>
      <c r="C1196" s="283"/>
      <c r="D1196" s="283"/>
      <c r="E1196" s="283"/>
      <c r="F1196" s="283"/>
      <c r="G1196" s="283"/>
      <c r="H1196" s="284"/>
    </row>
    <row r="1197" spans="1:8" ht="15.75" customHeight="1">
      <c r="A1197" s="358" t="s">
        <v>14454</v>
      </c>
      <c r="B1197" s="290" t="s">
        <v>27886</v>
      </c>
      <c r="C1197" s="290"/>
      <c r="D1197" s="290"/>
      <c r="E1197" s="290"/>
      <c r="F1197" s="290"/>
      <c r="G1197" s="290"/>
      <c r="H1197" s="291"/>
    </row>
    <row r="1198" spans="1:8" ht="15.75" customHeight="1">
      <c r="A1198" s="292" t="s">
        <v>6</v>
      </c>
      <c r="B1198" s="293" t="s">
        <v>7050</v>
      </c>
      <c r="C1198" s="293" t="s">
        <v>7049</v>
      </c>
      <c r="D1198" s="295" t="s">
        <v>24</v>
      </c>
      <c r="E1198" s="296" t="s">
        <v>7046</v>
      </c>
      <c r="F1198" s="293" t="s">
        <v>254</v>
      </c>
      <c r="G1198" s="293" t="s">
        <v>7047</v>
      </c>
      <c r="H1198" s="297" t="s">
        <v>7048</v>
      </c>
    </row>
    <row r="1199" spans="1:8" ht="15.75" customHeight="1">
      <c r="A1199" s="120" t="s">
        <v>7</v>
      </c>
      <c r="B1199" s="298">
        <v>44718</v>
      </c>
      <c r="C1199" s="165" t="s">
        <v>27726</v>
      </c>
      <c r="D1199" s="113" t="s">
        <v>32</v>
      </c>
      <c r="E1199" s="59">
        <v>4</v>
      </c>
      <c r="F1199" s="165" t="s">
        <v>13218</v>
      </c>
      <c r="G1199" s="165" t="s">
        <v>7603</v>
      </c>
      <c r="H1199" s="299" t="s">
        <v>7604</v>
      </c>
    </row>
    <row r="1200" spans="1:8" ht="15.75" customHeight="1">
      <c r="A1200" s="120" t="s">
        <v>50</v>
      </c>
      <c r="B1200" s="298">
        <v>44719</v>
      </c>
      <c r="C1200" s="165" t="s">
        <v>13234</v>
      </c>
      <c r="D1200" s="113" t="s">
        <v>32</v>
      </c>
      <c r="E1200" s="59">
        <v>5</v>
      </c>
      <c r="F1200" s="165" t="s">
        <v>13236</v>
      </c>
      <c r="G1200" s="165" t="s">
        <v>13235</v>
      </c>
      <c r="H1200" s="299" t="s">
        <v>27421</v>
      </c>
    </row>
    <row r="1201" spans="1:8" ht="15.75" customHeight="1">
      <c r="A1201" s="120" t="s">
        <v>52</v>
      </c>
      <c r="B1201" s="298">
        <v>44718</v>
      </c>
      <c r="C1201" s="165" t="s">
        <v>27880</v>
      </c>
      <c r="D1201" s="113" t="s">
        <v>32</v>
      </c>
      <c r="E1201" s="59">
        <v>3</v>
      </c>
      <c r="F1201" s="165" t="s">
        <v>13217</v>
      </c>
      <c r="G1201" s="165" t="s">
        <v>27881</v>
      </c>
      <c r="H1201" s="299" t="s">
        <v>13219</v>
      </c>
    </row>
    <row r="1202" spans="1:8" ht="15.75" customHeight="1" thickBot="1">
      <c r="A1202" s="300" t="str">
        <f>CONCATENATE("MEDIANA - ",A1197)</f>
        <v>MEDIANA - COT179</v>
      </c>
      <c r="B1202" s="115"/>
      <c r="C1202" s="115"/>
      <c r="D1202" s="301"/>
      <c r="E1202" s="150">
        <f>MEDIAN(E1199:E1201)</f>
        <v>4</v>
      </c>
      <c r="F1202" s="301"/>
      <c r="G1202" s="301"/>
      <c r="H1202" s="302"/>
    </row>
    <row r="1203" spans="1:8" ht="15.75" customHeight="1" thickBot="1">
      <c r="A1203" s="282"/>
      <c r="B1203" s="283"/>
      <c r="C1203" s="283"/>
      <c r="D1203" s="283"/>
      <c r="E1203" s="283"/>
      <c r="F1203" s="283"/>
      <c r="G1203" s="283"/>
      <c r="H1203" s="284"/>
    </row>
    <row r="1204" spans="1:8" ht="15.75" customHeight="1">
      <c r="A1204" s="358" t="s">
        <v>14455</v>
      </c>
      <c r="B1204" s="290" t="s">
        <v>27887</v>
      </c>
      <c r="C1204" s="290"/>
      <c r="D1204" s="290"/>
      <c r="E1204" s="290"/>
      <c r="F1204" s="290"/>
      <c r="G1204" s="290"/>
      <c r="H1204" s="291"/>
    </row>
    <row r="1205" spans="1:8" ht="15.75" customHeight="1">
      <c r="A1205" s="292" t="s">
        <v>6</v>
      </c>
      <c r="B1205" s="293" t="s">
        <v>7050</v>
      </c>
      <c r="C1205" s="294" t="s">
        <v>7049</v>
      </c>
      <c r="D1205" s="295" t="s">
        <v>24</v>
      </c>
      <c r="E1205" s="296" t="s">
        <v>7046</v>
      </c>
      <c r="F1205" s="293" t="s">
        <v>254</v>
      </c>
      <c r="G1205" s="293" t="s">
        <v>7047</v>
      </c>
      <c r="H1205" s="297" t="s">
        <v>7048</v>
      </c>
    </row>
    <row r="1206" spans="1:8" ht="15.75" customHeight="1">
      <c r="A1206" s="120" t="s">
        <v>7</v>
      </c>
      <c r="B1206" s="298">
        <v>44718</v>
      </c>
      <c r="C1206" s="165" t="s">
        <v>13234</v>
      </c>
      <c r="D1206" s="113" t="s">
        <v>32</v>
      </c>
      <c r="E1206" s="59">
        <v>25</v>
      </c>
      <c r="F1206" s="165" t="s">
        <v>13236</v>
      </c>
      <c r="G1206" s="165" t="s">
        <v>13235</v>
      </c>
      <c r="H1206" s="299" t="s">
        <v>27421</v>
      </c>
    </row>
    <row r="1207" spans="1:8" ht="15.75" customHeight="1">
      <c r="A1207" s="120" t="s">
        <v>50</v>
      </c>
      <c r="B1207" s="298">
        <v>44719</v>
      </c>
      <c r="C1207" s="165" t="s">
        <v>27727</v>
      </c>
      <c r="D1207" s="113" t="s">
        <v>32</v>
      </c>
      <c r="E1207" s="59">
        <v>5.5</v>
      </c>
      <c r="F1207" s="165" t="s">
        <v>7753</v>
      </c>
      <c r="G1207" s="165" t="s">
        <v>7754</v>
      </c>
      <c r="H1207" s="299" t="s">
        <v>7755</v>
      </c>
    </row>
    <row r="1208" spans="1:8" ht="15.75" customHeight="1">
      <c r="A1208" s="120" t="s">
        <v>52</v>
      </c>
      <c r="B1208" s="298">
        <v>44718</v>
      </c>
      <c r="C1208" s="165" t="s">
        <v>27880</v>
      </c>
      <c r="D1208" s="113" t="s">
        <v>32</v>
      </c>
      <c r="E1208" s="59">
        <v>20</v>
      </c>
      <c r="F1208" s="165" t="s">
        <v>13217</v>
      </c>
      <c r="G1208" s="165" t="s">
        <v>27881</v>
      </c>
      <c r="H1208" s="299" t="s">
        <v>13219</v>
      </c>
    </row>
    <row r="1209" spans="1:8" ht="15.75" customHeight="1" thickBot="1">
      <c r="A1209" s="300" t="str">
        <f>CONCATENATE("MEDIANA - ",A1204)</f>
        <v>MEDIANA - COT180</v>
      </c>
      <c r="B1209" s="115"/>
      <c r="C1209" s="115"/>
      <c r="D1209" s="301"/>
      <c r="E1209" s="150">
        <f>MEDIAN(E1206:E1208)</f>
        <v>20</v>
      </c>
      <c r="F1209" s="301"/>
      <c r="G1209" s="301"/>
      <c r="H1209" s="302"/>
    </row>
    <row r="1210" spans="1:8" ht="15.75" customHeight="1" thickBot="1">
      <c r="A1210" s="282"/>
      <c r="B1210" s="283"/>
      <c r="C1210" s="283"/>
      <c r="D1210" s="283"/>
      <c r="E1210" s="283"/>
      <c r="F1210" s="283"/>
      <c r="G1210" s="283"/>
      <c r="H1210" s="284"/>
    </row>
    <row r="1211" spans="1:8" ht="15.75" customHeight="1">
      <c r="A1211" s="358" t="s">
        <v>14456</v>
      </c>
      <c r="B1211" s="290" t="s">
        <v>27882</v>
      </c>
      <c r="C1211" s="290"/>
      <c r="D1211" s="290"/>
      <c r="E1211" s="290"/>
      <c r="F1211" s="290"/>
      <c r="G1211" s="290"/>
      <c r="H1211" s="291"/>
    </row>
    <row r="1212" spans="1:8" ht="15.75" customHeight="1">
      <c r="A1212" s="292" t="s">
        <v>6</v>
      </c>
      <c r="B1212" s="293" t="s">
        <v>7050</v>
      </c>
      <c r="C1212" s="294" t="s">
        <v>7049</v>
      </c>
      <c r="D1212" s="295" t="s">
        <v>24</v>
      </c>
      <c r="E1212" s="296" t="s">
        <v>7046</v>
      </c>
      <c r="F1212" s="293" t="s">
        <v>254</v>
      </c>
      <c r="G1212" s="293" t="s">
        <v>7047</v>
      </c>
      <c r="H1212" s="297" t="s">
        <v>7048</v>
      </c>
    </row>
    <row r="1213" spans="1:8" ht="15.75" customHeight="1">
      <c r="A1213" s="120" t="s">
        <v>7</v>
      </c>
      <c r="B1213" s="298">
        <v>44718</v>
      </c>
      <c r="C1213" s="165" t="s">
        <v>27726</v>
      </c>
      <c r="D1213" s="113" t="s">
        <v>32</v>
      </c>
      <c r="E1213" s="59">
        <v>4</v>
      </c>
      <c r="F1213" s="165" t="s">
        <v>13218</v>
      </c>
      <c r="G1213" s="165" t="s">
        <v>7603</v>
      </c>
      <c r="H1213" s="299" t="s">
        <v>7604</v>
      </c>
    </row>
    <row r="1214" spans="1:8" ht="15.75" customHeight="1">
      <c r="A1214" s="120" t="s">
        <v>50</v>
      </c>
      <c r="B1214" s="298">
        <v>44719</v>
      </c>
      <c r="C1214" s="165" t="s">
        <v>13234</v>
      </c>
      <c r="D1214" s="113" t="s">
        <v>32</v>
      </c>
      <c r="E1214" s="59">
        <v>5</v>
      </c>
      <c r="F1214" s="165" t="s">
        <v>13236</v>
      </c>
      <c r="G1214" s="165" t="s">
        <v>13235</v>
      </c>
      <c r="H1214" s="299" t="s">
        <v>27421</v>
      </c>
    </row>
    <row r="1215" spans="1:8" ht="15.75" customHeight="1">
      <c r="A1215" s="120" t="s">
        <v>52</v>
      </c>
      <c r="B1215" s="298">
        <v>44718</v>
      </c>
      <c r="C1215" s="165" t="s">
        <v>27880</v>
      </c>
      <c r="D1215" s="113" t="s">
        <v>32</v>
      </c>
      <c r="E1215" s="59">
        <v>4</v>
      </c>
      <c r="F1215" s="165" t="s">
        <v>13217</v>
      </c>
      <c r="G1215" s="165" t="s">
        <v>27881</v>
      </c>
      <c r="H1215" s="299" t="s">
        <v>13219</v>
      </c>
    </row>
    <row r="1216" spans="1:8" ht="15.75" customHeight="1" thickBot="1">
      <c r="A1216" s="300" t="str">
        <f>CONCATENATE("MEDIANA - ",A1211)</f>
        <v>MEDIANA - COT181</v>
      </c>
      <c r="B1216" s="115"/>
      <c r="C1216" s="115"/>
      <c r="D1216" s="301"/>
      <c r="E1216" s="150">
        <f>MEDIAN(E1213:E1215)</f>
        <v>4</v>
      </c>
      <c r="F1216" s="301"/>
      <c r="G1216" s="301"/>
      <c r="H1216" s="302"/>
    </row>
    <row r="1217" spans="1:8" ht="15.75" customHeight="1" thickBot="1">
      <c r="A1217" s="282"/>
      <c r="B1217" s="283"/>
      <c r="C1217" s="283"/>
      <c r="D1217" s="283"/>
      <c r="E1217" s="283"/>
      <c r="F1217" s="283"/>
      <c r="G1217" s="283"/>
      <c r="H1217" s="284"/>
    </row>
    <row r="1218" spans="1:8" ht="15.75" customHeight="1">
      <c r="A1218" s="358" t="s">
        <v>14457</v>
      </c>
      <c r="B1218" s="290" t="s">
        <v>27888</v>
      </c>
      <c r="C1218" s="290"/>
      <c r="D1218" s="290"/>
      <c r="E1218" s="290"/>
      <c r="F1218" s="290"/>
      <c r="G1218" s="290"/>
      <c r="H1218" s="291"/>
    </row>
    <row r="1219" spans="1:8" ht="15.75" customHeight="1">
      <c r="A1219" s="292" t="s">
        <v>6</v>
      </c>
      <c r="B1219" s="293" t="s">
        <v>7050</v>
      </c>
      <c r="C1219" s="293" t="s">
        <v>7049</v>
      </c>
      <c r="D1219" s="295" t="s">
        <v>24</v>
      </c>
      <c r="E1219" s="296" t="s">
        <v>7046</v>
      </c>
      <c r="F1219" s="293" t="s">
        <v>254</v>
      </c>
      <c r="G1219" s="293" t="s">
        <v>7047</v>
      </c>
      <c r="H1219" s="297" t="s">
        <v>7048</v>
      </c>
    </row>
    <row r="1220" spans="1:8" ht="15.75" customHeight="1">
      <c r="A1220" s="120" t="s">
        <v>7</v>
      </c>
      <c r="B1220" s="298">
        <v>44718</v>
      </c>
      <c r="C1220" s="165" t="s">
        <v>27726</v>
      </c>
      <c r="D1220" s="113" t="s">
        <v>32</v>
      </c>
      <c r="E1220" s="59">
        <v>4</v>
      </c>
      <c r="F1220" s="165" t="s">
        <v>13218</v>
      </c>
      <c r="G1220" s="165" t="s">
        <v>7603</v>
      </c>
      <c r="H1220" s="299" t="s">
        <v>7604</v>
      </c>
    </row>
    <row r="1221" spans="1:8" ht="15.75" customHeight="1">
      <c r="A1221" s="120" t="s">
        <v>50</v>
      </c>
      <c r="B1221" s="298">
        <v>44719</v>
      </c>
      <c r="C1221" s="165" t="s">
        <v>13234</v>
      </c>
      <c r="D1221" s="113" t="s">
        <v>32</v>
      </c>
      <c r="E1221" s="59">
        <v>5</v>
      </c>
      <c r="F1221" s="165" t="s">
        <v>13236</v>
      </c>
      <c r="G1221" s="165" t="s">
        <v>13235</v>
      </c>
      <c r="H1221" s="299" t="s">
        <v>27421</v>
      </c>
    </row>
    <row r="1222" spans="1:8" ht="15.75" customHeight="1">
      <c r="A1222" s="120" t="s">
        <v>52</v>
      </c>
      <c r="B1222" s="298">
        <v>44718</v>
      </c>
      <c r="C1222" s="165" t="s">
        <v>27880</v>
      </c>
      <c r="D1222" s="113" t="s">
        <v>32</v>
      </c>
      <c r="E1222" s="59">
        <v>4</v>
      </c>
      <c r="F1222" s="165" t="s">
        <v>13217</v>
      </c>
      <c r="G1222" s="165" t="s">
        <v>27881</v>
      </c>
      <c r="H1222" s="299" t="s">
        <v>13219</v>
      </c>
    </row>
    <row r="1223" spans="1:8" ht="15.75" customHeight="1" thickBot="1">
      <c r="A1223" s="300" t="str">
        <f>CONCATENATE("MEDIANA - ",A1218)</f>
        <v>MEDIANA - COT182</v>
      </c>
      <c r="B1223" s="115"/>
      <c r="C1223" s="115"/>
      <c r="D1223" s="301"/>
      <c r="E1223" s="150">
        <f>MEDIAN(E1220:E1222)</f>
        <v>4</v>
      </c>
      <c r="F1223" s="301"/>
      <c r="G1223" s="301"/>
      <c r="H1223" s="302"/>
    </row>
    <row r="1224" spans="1:8" ht="15.75" customHeight="1" thickBot="1">
      <c r="A1224" s="282"/>
      <c r="B1224" s="283"/>
      <c r="C1224" s="283"/>
      <c r="D1224" s="283"/>
      <c r="E1224" s="283"/>
      <c r="F1224" s="283"/>
      <c r="G1224" s="283"/>
      <c r="H1224" s="284"/>
    </row>
    <row r="1225" spans="1:8" ht="15.75" customHeight="1">
      <c r="A1225" s="358" t="s">
        <v>14458</v>
      </c>
      <c r="B1225" s="290" t="s">
        <v>27889</v>
      </c>
      <c r="C1225" s="294"/>
      <c r="D1225" s="295"/>
      <c r="E1225" s="362"/>
      <c r="F1225" s="294"/>
      <c r="G1225" s="294"/>
      <c r="H1225" s="363"/>
    </row>
    <row r="1226" spans="1:8" ht="15.75" customHeight="1">
      <c r="A1226" s="292" t="s">
        <v>6</v>
      </c>
      <c r="B1226" s="364" t="s">
        <v>7050</v>
      </c>
      <c r="C1226" s="294" t="s">
        <v>7049</v>
      </c>
      <c r="D1226" s="295" t="s">
        <v>24</v>
      </c>
      <c r="E1226" s="365" t="s">
        <v>7046</v>
      </c>
      <c r="F1226" s="294" t="s">
        <v>254</v>
      </c>
      <c r="G1226" s="294" t="s">
        <v>7047</v>
      </c>
      <c r="H1226" s="363" t="s">
        <v>7048</v>
      </c>
    </row>
    <row r="1227" spans="1:8" ht="15.75" customHeight="1">
      <c r="A1227" s="120" t="s">
        <v>7</v>
      </c>
      <c r="B1227" s="298">
        <v>44719</v>
      </c>
      <c r="C1227" s="165" t="s">
        <v>13234</v>
      </c>
      <c r="D1227" s="113" t="s">
        <v>32</v>
      </c>
      <c r="E1227" s="59">
        <v>80</v>
      </c>
      <c r="F1227" s="165" t="s">
        <v>13236</v>
      </c>
      <c r="G1227" s="165" t="s">
        <v>13235</v>
      </c>
      <c r="H1227" s="299" t="s">
        <v>27421</v>
      </c>
    </row>
    <row r="1228" spans="1:8" ht="15.75" customHeight="1">
      <c r="A1228" s="120" t="s">
        <v>50</v>
      </c>
      <c r="B1228" s="298">
        <v>44719</v>
      </c>
      <c r="C1228" s="165" t="s">
        <v>27727</v>
      </c>
      <c r="D1228" s="113" t="s">
        <v>32</v>
      </c>
      <c r="E1228" s="59">
        <v>180</v>
      </c>
      <c r="F1228" s="165" t="s">
        <v>7753</v>
      </c>
      <c r="G1228" s="165" t="s">
        <v>7754</v>
      </c>
      <c r="H1228" s="299" t="s">
        <v>7755</v>
      </c>
    </row>
    <row r="1229" spans="1:8" ht="15.75" customHeight="1">
      <c r="A1229" s="120" t="s">
        <v>52</v>
      </c>
      <c r="B1229" s="298">
        <v>44718</v>
      </c>
      <c r="C1229" s="165" t="s">
        <v>27880</v>
      </c>
      <c r="D1229" s="113" t="s">
        <v>32</v>
      </c>
      <c r="E1229" s="59">
        <v>150</v>
      </c>
      <c r="F1229" s="165" t="s">
        <v>13217</v>
      </c>
      <c r="G1229" s="165" t="s">
        <v>27881</v>
      </c>
      <c r="H1229" s="299" t="s">
        <v>13219</v>
      </c>
    </row>
    <row r="1230" spans="1:8" ht="15.75" customHeight="1" thickBot="1">
      <c r="A1230" s="300" t="str">
        <f>CONCATENATE("MEDIANA - ",A1225)</f>
        <v>MEDIANA - COT183</v>
      </c>
      <c r="B1230" s="115"/>
      <c r="C1230" s="115"/>
      <c r="D1230" s="301"/>
      <c r="E1230" s="150">
        <f>MEDIAN(E1227:E1229)</f>
        <v>150</v>
      </c>
      <c r="F1230" s="301"/>
      <c r="G1230" s="301"/>
      <c r="H1230" s="302"/>
    </row>
    <row r="1231" spans="1:8" ht="15.75" customHeight="1" thickBot="1">
      <c r="A1231" s="282"/>
      <c r="B1231" s="283"/>
      <c r="C1231" s="283"/>
      <c r="D1231" s="283"/>
      <c r="E1231" s="283"/>
      <c r="F1231" s="283"/>
      <c r="G1231" s="283"/>
      <c r="H1231" s="284"/>
    </row>
    <row r="1232" spans="1:8" ht="15.75" customHeight="1">
      <c r="A1232" s="358" t="s">
        <v>14459</v>
      </c>
      <c r="B1232" s="290" t="s">
        <v>27890</v>
      </c>
      <c r="C1232" s="294"/>
      <c r="D1232" s="295"/>
      <c r="E1232" s="362"/>
      <c r="F1232" s="294"/>
      <c r="G1232" s="294"/>
      <c r="H1232" s="363"/>
    </row>
    <row r="1233" spans="1:8" ht="15.75" customHeight="1">
      <c r="A1233" s="292" t="s">
        <v>6</v>
      </c>
      <c r="B1233" s="364" t="s">
        <v>7050</v>
      </c>
      <c r="C1233" s="294" t="s">
        <v>7049</v>
      </c>
      <c r="D1233" s="295" t="s">
        <v>24</v>
      </c>
      <c r="E1233" s="365" t="s">
        <v>7046</v>
      </c>
      <c r="F1233" s="294" t="s">
        <v>254</v>
      </c>
      <c r="G1233" s="294" t="s">
        <v>7047</v>
      </c>
      <c r="H1233" s="363" t="s">
        <v>7048</v>
      </c>
    </row>
    <row r="1234" spans="1:8" ht="15.75" customHeight="1">
      <c r="A1234" s="120" t="s">
        <v>7</v>
      </c>
      <c r="B1234" s="298">
        <v>44718</v>
      </c>
      <c r="C1234" s="165" t="s">
        <v>27726</v>
      </c>
      <c r="D1234" s="113" t="s">
        <v>32</v>
      </c>
      <c r="E1234" s="59">
        <v>150</v>
      </c>
      <c r="F1234" s="165" t="s">
        <v>13218</v>
      </c>
      <c r="G1234" s="165" t="s">
        <v>7603</v>
      </c>
      <c r="H1234" s="299" t="s">
        <v>7604</v>
      </c>
    </row>
    <row r="1235" spans="1:8" ht="15.75" customHeight="1">
      <c r="A1235" s="120" t="s">
        <v>50</v>
      </c>
      <c r="B1235" s="298">
        <v>44719</v>
      </c>
      <c r="C1235" s="165" t="s">
        <v>27727</v>
      </c>
      <c r="D1235" s="113" t="s">
        <v>32</v>
      </c>
      <c r="E1235" s="59">
        <v>160</v>
      </c>
      <c r="F1235" s="165" t="s">
        <v>7753</v>
      </c>
      <c r="G1235" s="165" t="s">
        <v>7754</v>
      </c>
      <c r="H1235" s="299" t="s">
        <v>7755</v>
      </c>
    </row>
    <row r="1236" spans="1:8" ht="15.75" customHeight="1">
      <c r="A1236" s="120" t="s">
        <v>52</v>
      </c>
      <c r="B1236" s="298">
        <v>44719</v>
      </c>
      <c r="C1236" s="165" t="s">
        <v>13234</v>
      </c>
      <c r="D1236" s="113" t="s">
        <v>32</v>
      </c>
      <c r="E1236" s="59">
        <v>150</v>
      </c>
      <c r="F1236" s="165" t="s">
        <v>13236</v>
      </c>
      <c r="G1236" s="165" t="s">
        <v>13235</v>
      </c>
      <c r="H1236" s="299" t="s">
        <v>27421</v>
      </c>
    </row>
    <row r="1237" spans="1:8" ht="15.75" customHeight="1" thickBot="1">
      <c r="A1237" s="300" t="str">
        <f>CONCATENATE("MEDIANA - ",A1232)</f>
        <v>MEDIANA - COT184</v>
      </c>
      <c r="B1237" s="115"/>
      <c r="C1237" s="115"/>
      <c r="D1237" s="301"/>
      <c r="E1237" s="150">
        <f>MEDIAN(E1234:E1236)</f>
        <v>150</v>
      </c>
      <c r="F1237" s="301"/>
      <c r="G1237" s="301"/>
      <c r="H1237" s="302"/>
    </row>
    <row r="1238" spans="1:8" ht="15.75" customHeight="1" thickBot="1">
      <c r="A1238" s="282"/>
      <c r="B1238" s="283"/>
      <c r="C1238" s="283"/>
      <c r="D1238" s="283"/>
      <c r="E1238" s="283"/>
      <c r="F1238" s="283"/>
      <c r="G1238" s="283"/>
      <c r="H1238" s="284"/>
    </row>
    <row r="1239" spans="1:8" ht="15.75" customHeight="1">
      <c r="A1239" s="358" t="s">
        <v>14460</v>
      </c>
      <c r="B1239" s="290" t="s">
        <v>27891</v>
      </c>
      <c r="C1239" s="294"/>
      <c r="D1239" s="295"/>
      <c r="E1239" s="362"/>
      <c r="F1239" s="294"/>
      <c r="G1239" s="294"/>
      <c r="H1239" s="363"/>
    </row>
    <row r="1240" spans="1:8" ht="15.75" customHeight="1">
      <c r="A1240" s="292" t="s">
        <v>6</v>
      </c>
      <c r="B1240" s="364" t="s">
        <v>7050</v>
      </c>
      <c r="C1240" s="294" t="s">
        <v>7049</v>
      </c>
      <c r="D1240" s="295" t="s">
        <v>24</v>
      </c>
      <c r="E1240" s="365" t="s">
        <v>7046</v>
      </c>
      <c r="F1240" s="294" t="s">
        <v>254</v>
      </c>
      <c r="G1240" s="294" t="s">
        <v>7047</v>
      </c>
      <c r="H1240" s="363" t="s">
        <v>7048</v>
      </c>
    </row>
    <row r="1241" spans="1:8" ht="15.75" customHeight="1">
      <c r="A1241" s="120" t="s">
        <v>7</v>
      </c>
      <c r="B1241" s="298">
        <v>44718</v>
      </c>
      <c r="C1241" s="165" t="s">
        <v>27726</v>
      </c>
      <c r="D1241" s="113" t="s">
        <v>32</v>
      </c>
      <c r="E1241" s="59">
        <v>85</v>
      </c>
      <c r="F1241" s="165" t="s">
        <v>13218</v>
      </c>
      <c r="G1241" s="165" t="s">
        <v>7603</v>
      </c>
      <c r="H1241" s="299" t="s">
        <v>7604</v>
      </c>
    </row>
    <row r="1242" spans="1:8" ht="15.75" customHeight="1">
      <c r="A1242" s="120" t="s">
        <v>50</v>
      </c>
      <c r="B1242" s="298">
        <v>44719</v>
      </c>
      <c r="C1242" s="165" t="s">
        <v>27727</v>
      </c>
      <c r="D1242" s="113" t="s">
        <v>32</v>
      </c>
      <c r="E1242" s="59">
        <v>80</v>
      </c>
      <c r="F1242" s="165" t="s">
        <v>7753</v>
      </c>
      <c r="G1242" s="165" t="s">
        <v>7754</v>
      </c>
      <c r="H1242" s="299" t="s">
        <v>7755</v>
      </c>
    </row>
    <row r="1243" spans="1:8" ht="15.75" customHeight="1">
      <c r="A1243" s="120" t="s">
        <v>52</v>
      </c>
      <c r="B1243" s="298">
        <v>44719</v>
      </c>
      <c r="C1243" s="165" t="s">
        <v>13234</v>
      </c>
      <c r="D1243" s="113" t="s">
        <v>32</v>
      </c>
      <c r="E1243" s="59">
        <v>70</v>
      </c>
      <c r="F1243" s="165" t="s">
        <v>13236</v>
      </c>
      <c r="G1243" s="165" t="s">
        <v>13235</v>
      </c>
      <c r="H1243" s="299" t="s">
        <v>27421</v>
      </c>
    </row>
    <row r="1244" spans="1:8" ht="15.75" customHeight="1" thickBot="1">
      <c r="A1244" s="300" t="str">
        <f>CONCATENATE("MEDIANA - ",A1239)</f>
        <v>MEDIANA - COT185</v>
      </c>
      <c r="B1244" s="115"/>
      <c r="C1244" s="115"/>
      <c r="D1244" s="301"/>
      <c r="E1244" s="150">
        <f>MEDIAN(E1241:E1243)</f>
        <v>80</v>
      </c>
      <c r="F1244" s="301"/>
      <c r="G1244" s="301"/>
      <c r="H1244" s="302"/>
    </row>
    <row r="1245" spans="1:8" ht="15.75" customHeight="1" thickBot="1">
      <c r="A1245" s="282"/>
      <c r="B1245" s="283"/>
      <c r="C1245" s="283"/>
      <c r="D1245" s="283"/>
      <c r="E1245" s="283"/>
      <c r="F1245" s="283"/>
      <c r="G1245" s="283"/>
      <c r="H1245" s="284"/>
    </row>
    <row r="1246" spans="1:8" ht="15.75" customHeight="1">
      <c r="A1246" s="358" t="s">
        <v>14461</v>
      </c>
      <c r="B1246" s="290" t="s">
        <v>27892</v>
      </c>
      <c r="C1246" s="294"/>
      <c r="D1246" s="295"/>
      <c r="E1246" s="362"/>
      <c r="F1246" s="294"/>
      <c r="G1246" s="294"/>
      <c r="H1246" s="363"/>
    </row>
    <row r="1247" spans="1:8" ht="15.75" customHeight="1">
      <c r="A1247" s="292" t="s">
        <v>6</v>
      </c>
      <c r="B1247" s="364" t="s">
        <v>7050</v>
      </c>
      <c r="C1247" s="294" t="s">
        <v>7049</v>
      </c>
      <c r="D1247" s="295" t="s">
        <v>24</v>
      </c>
      <c r="E1247" s="365" t="s">
        <v>7046</v>
      </c>
      <c r="F1247" s="294" t="s">
        <v>254</v>
      </c>
      <c r="G1247" s="294" t="s">
        <v>7047</v>
      </c>
      <c r="H1247" s="363" t="s">
        <v>7048</v>
      </c>
    </row>
    <row r="1248" spans="1:8" ht="15.75" customHeight="1">
      <c r="A1248" s="120" t="s">
        <v>7</v>
      </c>
      <c r="B1248" s="298">
        <v>44718</v>
      </c>
      <c r="C1248" s="165" t="s">
        <v>27726</v>
      </c>
      <c r="D1248" s="113" t="s">
        <v>32</v>
      </c>
      <c r="E1248" s="59">
        <v>4</v>
      </c>
      <c r="F1248" s="165" t="s">
        <v>13218</v>
      </c>
      <c r="G1248" s="165" t="s">
        <v>7603</v>
      </c>
      <c r="H1248" s="299" t="s">
        <v>7604</v>
      </c>
    </row>
    <row r="1249" spans="1:8" ht="15.75" customHeight="1">
      <c r="A1249" s="120" t="s">
        <v>50</v>
      </c>
      <c r="B1249" s="298">
        <v>44719</v>
      </c>
      <c r="C1249" s="165" t="s">
        <v>13234</v>
      </c>
      <c r="D1249" s="113" t="s">
        <v>32</v>
      </c>
      <c r="E1249" s="59">
        <v>5</v>
      </c>
      <c r="F1249" s="165" t="s">
        <v>13236</v>
      </c>
      <c r="G1249" s="165" t="s">
        <v>13235</v>
      </c>
      <c r="H1249" s="299" t="s">
        <v>27421</v>
      </c>
    </row>
    <row r="1250" spans="1:8" ht="15.75" customHeight="1">
      <c r="A1250" s="120" t="s">
        <v>52</v>
      </c>
      <c r="B1250" s="298">
        <v>44718</v>
      </c>
      <c r="C1250" s="165" t="s">
        <v>27880</v>
      </c>
      <c r="D1250" s="113" t="s">
        <v>32</v>
      </c>
      <c r="E1250" s="59">
        <v>4</v>
      </c>
      <c r="F1250" s="165" t="s">
        <v>13217</v>
      </c>
      <c r="G1250" s="165" t="s">
        <v>27881</v>
      </c>
      <c r="H1250" s="299" t="s">
        <v>13219</v>
      </c>
    </row>
    <row r="1251" spans="1:8" ht="15.75" customHeight="1" thickBot="1">
      <c r="A1251" s="300" t="str">
        <f>CONCATENATE("MEDIANA - ",A1246)</f>
        <v>MEDIANA - COT186</v>
      </c>
      <c r="B1251" s="115"/>
      <c r="C1251" s="115"/>
      <c r="D1251" s="301"/>
      <c r="E1251" s="150">
        <f>MEDIAN(E1248:E1250)</f>
        <v>4</v>
      </c>
      <c r="F1251" s="301"/>
      <c r="G1251" s="301"/>
      <c r="H1251" s="302"/>
    </row>
    <row r="1252" spans="1:8" ht="15.75" customHeight="1" thickBot="1">
      <c r="A1252" s="282"/>
      <c r="B1252" s="283"/>
      <c r="C1252" s="283"/>
      <c r="D1252" s="283"/>
      <c r="E1252" s="283"/>
      <c r="F1252" s="283"/>
      <c r="G1252" s="283"/>
      <c r="H1252" s="284"/>
    </row>
    <row r="1253" spans="1:8" ht="15.75" customHeight="1">
      <c r="A1253" s="358" t="s">
        <v>14462</v>
      </c>
      <c r="B1253" s="290" t="s">
        <v>27893</v>
      </c>
      <c r="C1253" s="294"/>
      <c r="D1253" s="295"/>
      <c r="E1253" s="362"/>
      <c r="F1253" s="294"/>
      <c r="G1253" s="294"/>
      <c r="H1253" s="363"/>
    </row>
    <row r="1254" spans="1:8" ht="15.75" customHeight="1">
      <c r="A1254" s="292" t="s">
        <v>6</v>
      </c>
      <c r="B1254" s="364" t="s">
        <v>7050</v>
      </c>
      <c r="C1254" s="294" t="s">
        <v>7049</v>
      </c>
      <c r="D1254" s="295" t="s">
        <v>24</v>
      </c>
      <c r="E1254" s="365" t="s">
        <v>7046</v>
      </c>
      <c r="F1254" s="294" t="s">
        <v>254</v>
      </c>
      <c r="G1254" s="294" t="s">
        <v>7047</v>
      </c>
      <c r="H1254" s="363" t="s">
        <v>7048</v>
      </c>
    </row>
    <row r="1255" spans="1:8" ht="15.75" customHeight="1">
      <c r="A1255" s="120" t="s">
        <v>7</v>
      </c>
      <c r="B1255" s="298">
        <v>44718</v>
      </c>
      <c r="C1255" s="165" t="s">
        <v>27726</v>
      </c>
      <c r="D1255" s="113" t="s">
        <v>32</v>
      </c>
      <c r="E1255" s="59">
        <v>4</v>
      </c>
      <c r="F1255" s="165" t="s">
        <v>13218</v>
      </c>
      <c r="G1255" s="165" t="s">
        <v>7603</v>
      </c>
      <c r="H1255" s="299" t="s">
        <v>7604</v>
      </c>
    </row>
    <row r="1256" spans="1:8" ht="15.75" customHeight="1">
      <c r="A1256" s="120" t="s">
        <v>50</v>
      </c>
      <c r="B1256" s="298">
        <v>44719</v>
      </c>
      <c r="C1256" s="165" t="s">
        <v>13234</v>
      </c>
      <c r="D1256" s="113" t="s">
        <v>32</v>
      </c>
      <c r="E1256" s="59">
        <v>5</v>
      </c>
      <c r="F1256" s="165" t="s">
        <v>13236</v>
      </c>
      <c r="G1256" s="165" t="s">
        <v>13235</v>
      </c>
      <c r="H1256" s="299" t="s">
        <v>27421</v>
      </c>
    </row>
    <row r="1257" spans="1:8" ht="15.75" customHeight="1">
      <c r="A1257" s="120" t="s">
        <v>52</v>
      </c>
      <c r="B1257" s="298">
        <v>44718</v>
      </c>
      <c r="C1257" s="165" t="s">
        <v>27880</v>
      </c>
      <c r="D1257" s="113" t="s">
        <v>32</v>
      </c>
      <c r="E1257" s="59">
        <v>4</v>
      </c>
      <c r="F1257" s="165" t="s">
        <v>13217</v>
      </c>
      <c r="G1257" s="165" t="s">
        <v>27881</v>
      </c>
      <c r="H1257" s="299" t="s">
        <v>13219</v>
      </c>
    </row>
    <row r="1258" spans="1:8" ht="15.75" customHeight="1" thickBot="1">
      <c r="A1258" s="300" t="str">
        <f>CONCATENATE("MEDIANA - ",A1253)</f>
        <v>MEDIANA - COT187</v>
      </c>
      <c r="B1258" s="115"/>
      <c r="C1258" s="115"/>
      <c r="D1258" s="301"/>
      <c r="E1258" s="150">
        <f>MEDIAN(E1255:E1257)</f>
        <v>4</v>
      </c>
      <c r="F1258" s="301"/>
      <c r="G1258" s="301"/>
      <c r="H1258" s="302"/>
    </row>
    <row r="1259" spans="1:8" ht="15.75" customHeight="1" thickBot="1">
      <c r="A1259" s="282"/>
      <c r="B1259" s="283"/>
      <c r="C1259" s="283"/>
      <c r="D1259" s="283"/>
      <c r="E1259" s="283"/>
      <c r="F1259" s="283"/>
      <c r="G1259" s="283"/>
      <c r="H1259" s="284"/>
    </row>
    <row r="1260" spans="1:8" ht="15.75" customHeight="1">
      <c r="A1260" s="358" t="s">
        <v>14463</v>
      </c>
      <c r="B1260" s="290" t="s">
        <v>27894</v>
      </c>
      <c r="C1260" s="294"/>
      <c r="D1260" s="295"/>
      <c r="E1260" s="362"/>
      <c r="F1260" s="294"/>
      <c r="G1260" s="294"/>
      <c r="H1260" s="363"/>
    </row>
    <row r="1261" spans="1:8" ht="15.75" customHeight="1">
      <c r="A1261" s="292" t="s">
        <v>6</v>
      </c>
      <c r="B1261" s="364" t="s">
        <v>7050</v>
      </c>
      <c r="C1261" s="294" t="s">
        <v>7049</v>
      </c>
      <c r="D1261" s="295" t="s">
        <v>24</v>
      </c>
      <c r="E1261" s="365" t="s">
        <v>7046</v>
      </c>
      <c r="F1261" s="294" t="s">
        <v>254</v>
      </c>
      <c r="G1261" s="294" t="s">
        <v>7047</v>
      </c>
      <c r="H1261" s="363" t="s">
        <v>7048</v>
      </c>
    </row>
    <row r="1262" spans="1:8" ht="15.75" customHeight="1">
      <c r="A1262" s="120" t="s">
        <v>7</v>
      </c>
      <c r="B1262" s="298">
        <v>44718</v>
      </c>
      <c r="C1262" s="165" t="s">
        <v>27726</v>
      </c>
      <c r="D1262" s="113" t="s">
        <v>32</v>
      </c>
      <c r="E1262" s="59">
        <v>550</v>
      </c>
      <c r="F1262" s="165" t="s">
        <v>13218</v>
      </c>
      <c r="G1262" s="165" t="s">
        <v>7603</v>
      </c>
      <c r="H1262" s="299" t="s">
        <v>7604</v>
      </c>
    </row>
    <row r="1263" spans="1:8" ht="15.75" customHeight="1">
      <c r="A1263" s="120" t="s">
        <v>50</v>
      </c>
      <c r="B1263" s="298">
        <v>44719</v>
      </c>
      <c r="C1263" s="165" t="s">
        <v>13234</v>
      </c>
      <c r="D1263" s="113" t="s">
        <v>32</v>
      </c>
      <c r="E1263" s="59">
        <v>600</v>
      </c>
      <c r="F1263" s="165" t="s">
        <v>13236</v>
      </c>
      <c r="G1263" s="165" t="s">
        <v>13235</v>
      </c>
      <c r="H1263" s="299" t="s">
        <v>27421</v>
      </c>
    </row>
    <row r="1264" spans="1:8" ht="15.75" customHeight="1">
      <c r="A1264" s="120" t="s">
        <v>52</v>
      </c>
      <c r="B1264" s="298">
        <v>44718</v>
      </c>
      <c r="C1264" s="165" t="s">
        <v>27880</v>
      </c>
      <c r="D1264" s="113" t="s">
        <v>32</v>
      </c>
      <c r="E1264" s="59">
        <v>760</v>
      </c>
      <c r="F1264" s="165" t="s">
        <v>13217</v>
      </c>
      <c r="G1264" s="165" t="s">
        <v>27881</v>
      </c>
      <c r="H1264" s="299" t="s">
        <v>13219</v>
      </c>
    </row>
    <row r="1265" spans="1:8" ht="15.75" customHeight="1" thickBot="1">
      <c r="A1265" s="300" t="str">
        <f>CONCATENATE("MEDIANA - ",A1260)</f>
        <v>MEDIANA - COT188</v>
      </c>
      <c r="B1265" s="115"/>
      <c r="C1265" s="115"/>
      <c r="D1265" s="301"/>
      <c r="E1265" s="150">
        <f>MEDIAN(E1262:E1264)</f>
        <v>600</v>
      </c>
      <c r="F1265" s="301"/>
      <c r="G1265" s="301"/>
      <c r="H1265" s="302"/>
    </row>
    <row r="1266" spans="1:8" ht="15.75" customHeight="1" thickBot="1">
      <c r="A1266" s="282"/>
      <c r="B1266" s="283"/>
      <c r="C1266" s="283"/>
      <c r="D1266" s="283"/>
      <c r="E1266" s="283"/>
      <c r="F1266" s="283"/>
      <c r="G1266" s="283"/>
      <c r="H1266" s="284"/>
    </row>
    <row r="1267" spans="1:8" ht="15.75" customHeight="1">
      <c r="A1267" s="358" t="s">
        <v>14464</v>
      </c>
      <c r="B1267" s="290" t="s">
        <v>27895</v>
      </c>
      <c r="C1267" s="294"/>
      <c r="D1267" s="295"/>
      <c r="E1267" s="362"/>
      <c r="F1267" s="294"/>
      <c r="G1267" s="294"/>
      <c r="H1267" s="363"/>
    </row>
    <row r="1268" spans="1:8" ht="15.75" customHeight="1">
      <c r="A1268" s="292" t="s">
        <v>6</v>
      </c>
      <c r="B1268" s="364" t="s">
        <v>7050</v>
      </c>
      <c r="C1268" s="294" t="s">
        <v>7049</v>
      </c>
      <c r="D1268" s="295" t="s">
        <v>24</v>
      </c>
      <c r="E1268" s="365" t="s">
        <v>7046</v>
      </c>
      <c r="F1268" s="294" t="s">
        <v>254</v>
      </c>
      <c r="G1268" s="294" t="s">
        <v>7047</v>
      </c>
      <c r="H1268" s="363" t="s">
        <v>7048</v>
      </c>
    </row>
    <row r="1269" spans="1:8" ht="15.75" customHeight="1">
      <c r="A1269" s="120" t="s">
        <v>7</v>
      </c>
      <c r="B1269" s="298">
        <v>44718</v>
      </c>
      <c r="C1269" s="165" t="s">
        <v>27726</v>
      </c>
      <c r="D1269" s="113" t="s">
        <v>32</v>
      </c>
      <c r="E1269" s="59">
        <v>15</v>
      </c>
      <c r="F1269" s="165" t="s">
        <v>13218</v>
      </c>
      <c r="G1269" s="165" t="s">
        <v>7603</v>
      </c>
      <c r="H1269" s="299" t="s">
        <v>7604</v>
      </c>
    </row>
    <row r="1270" spans="1:8" ht="15.75" customHeight="1">
      <c r="A1270" s="120" t="s">
        <v>50</v>
      </c>
      <c r="B1270" s="298">
        <v>44719</v>
      </c>
      <c r="C1270" s="165" t="s">
        <v>13234</v>
      </c>
      <c r="D1270" s="113" t="s">
        <v>32</v>
      </c>
      <c r="E1270" s="59">
        <v>60</v>
      </c>
      <c r="F1270" s="165" t="s">
        <v>13236</v>
      </c>
      <c r="G1270" s="165" t="s">
        <v>13235</v>
      </c>
      <c r="H1270" s="299" t="s">
        <v>27421</v>
      </c>
    </row>
    <row r="1271" spans="1:8" ht="15.75" customHeight="1">
      <c r="A1271" s="120" t="s">
        <v>52</v>
      </c>
      <c r="B1271" s="298">
        <v>44718</v>
      </c>
      <c r="C1271" s="165" t="s">
        <v>27880</v>
      </c>
      <c r="D1271" s="113" t="s">
        <v>32</v>
      </c>
      <c r="E1271" s="59">
        <v>15</v>
      </c>
      <c r="F1271" s="165" t="s">
        <v>13217</v>
      </c>
      <c r="G1271" s="165" t="s">
        <v>27881</v>
      </c>
      <c r="H1271" s="299" t="s">
        <v>13219</v>
      </c>
    </row>
    <row r="1272" spans="1:8" ht="15.75" customHeight="1" thickBot="1">
      <c r="A1272" s="300" t="str">
        <f>CONCATENATE("MEDIANA - ",A1267)</f>
        <v>MEDIANA - COT189</v>
      </c>
      <c r="B1272" s="115"/>
      <c r="C1272" s="115"/>
      <c r="D1272" s="301"/>
      <c r="E1272" s="150">
        <f>MEDIAN(E1269:E1271)</f>
        <v>15</v>
      </c>
      <c r="F1272" s="301"/>
      <c r="G1272" s="301"/>
      <c r="H1272" s="302"/>
    </row>
    <row r="1273" spans="1:8" ht="15.75" customHeight="1" thickBot="1">
      <c r="A1273" s="282"/>
      <c r="B1273" s="283"/>
      <c r="C1273" s="283"/>
      <c r="D1273" s="283"/>
      <c r="E1273" s="283"/>
      <c r="F1273" s="283"/>
      <c r="G1273" s="283"/>
      <c r="H1273" s="284"/>
    </row>
    <row r="1274" spans="1:8" ht="15.75" customHeight="1">
      <c r="A1274" s="358" t="s">
        <v>14465</v>
      </c>
      <c r="B1274" s="290" t="s">
        <v>27896</v>
      </c>
      <c r="C1274" s="294"/>
      <c r="D1274" s="295"/>
      <c r="E1274" s="362"/>
      <c r="F1274" s="294"/>
      <c r="G1274" s="294"/>
      <c r="H1274" s="363"/>
    </row>
    <row r="1275" spans="1:8" ht="15.75" customHeight="1">
      <c r="A1275" s="292" t="s">
        <v>6</v>
      </c>
      <c r="B1275" s="364" t="s">
        <v>7050</v>
      </c>
      <c r="C1275" s="294" t="s">
        <v>7049</v>
      </c>
      <c r="D1275" s="295" t="s">
        <v>24</v>
      </c>
      <c r="E1275" s="365" t="s">
        <v>7046</v>
      </c>
      <c r="F1275" s="294" t="s">
        <v>254</v>
      </c>
      <c r="G1275" s="294" t="s">
        <v>7047</v>
      </c>
      <c r="H1275" s="363" t="s">
        <v>7048</v>
      </c>
    </row>
    <row r="1276" spans="1:8" ht="15.75" customHeight="1">
      <c r="A1276" s="120" t="s">
        <v>7</v>
      </c>
      <c r="B1276" s="298">
        <v>44718</v>
      </c>
      <c r="C1276" s="165" t="s">
        <v>27726</v>
      </c>
      <c r="D1276" s="113" t="s">
        <v>32</v>
      </c>
      <c r="E1276" s="59">
        <v>2500</v>
      </c>
      <c r="F1276" s="165" t="s">
        <v>13218</v>
      </c>
      <c r="G1276" s="165" t="s">
        <v>7603</v>
      </c>
      <c r="H1276" s="299" t="s">
        <v>7604</v>
      </c>
    </row>
    <row r="1277" spans="1:8" ht="15.75" customHeight="1">
      <c r="A1277" s="120" t="s">
        <v>50</v>
      </c>
      <c r="B1277" s="298">
        <v>44719</v>
      </c>
      <c r="C1277" s="165" t="s">
        <v>27727</v>
      </c>
      <c r="D1277" s="113" t="s">
        <v>32</v>
      </c>
      <c r="E1277" s="59">
        <v>3900</v>
      </c>
      <c r="F1277" s="165" t="s">
        <v>7753</v>
      </c>
      <c r="G1277" s="165" t="s">
        <v>7754</v>
      </c>
      <c r="H1277" s="299" t="s">
        <v>7755</v>
      </c>
    </row>
    <row r="1278" spans="1:8" ht="15.75" customHeight="1">
      <c r="A1278" s="120" t="s">
        <v>52</v>
      </c>
      <c r="B1278" s="298">
        <v>44719</v>
      </c>
      <c r="C1278" s="165" t="s">
        <v>13234</v>
      </c>
      <c r="D1278" s="113" t="s">
        <v>32</v>
      </c>
      <c r="E1278" s="59">
        <v>4000</v>
      </c>
      <c r="F1278" s="165" t="s">
        <v>13236</v>
      </c>
      <c r="G1278" s="165" t="s">
        <v>13235</v>
      </c>
      <c r="H1278" s="299" t="s">
        <v>27421</v>
      </c>
    </row>
    <row r="1279" spans="1:8" ht="15.75" customHeight="1" thickBot="1">
      <c r="A1279" s="300" t="str">
        <f>CONCATENATE("MEDIANA - ",A1274)</f>
        <v>MEDIANA - COT190</v>
      </c>
      <c r="B1279" s="115"/>
      <c r="C1279" s="115"/>
      <c r="D1279" s="301"/>
      <c r="E1279" s="150">
        <f>MEDIAN(E1276:E1278)</f>
        <v>3900</v>
      </c>
      <c r="F1279" s="301"/>
      <c r="G1279" s="301"/>
      <c r="H1279" s="302"/>
    </row>
    <row r="1280" spans="1:8" ht="15.75" customHeight="1" thickBot="1">
      <c r="A1280" s="282"/>
      <c r="B1280" s="283"/>
      <c r="C1280" s="283"/>
      <c r="D1280" s="283"/>
      <c r="E1280" s="283"/>
      <c r="F1280" s="283"/>
      <c r="G1280" s="283"/>
      <c r="H1280" s="284"/>
    </row>
    <row r="1281" spans="1:8" ht="15.75" customHeight="1">
      <c r="A1281" s="358" t="s">
        <v>14466</v>
      </c>
      <c r="B1281" s="290" t="s">
        <v>27897</v>
      </c>
      <c r="C1281" s="294"/>
      <c r="D1281" s="295"/>
      <c r="E1281" s="362"/>
      <c r="F1281" s="294"/>
      <c r="G1281" s="294"/>
      <c r="H1281" s="363"/>
    </row>
    <row r="1282" spans="1:8" ht="15.75" customHeight="1">
      <c r="A1282" s="292" t="s">
        <v>6</v>
      </c>
      <c r="B1282" s="364" t="s">
        <v>7050</v>
      </c>
      <c r="C1282" s="294" t="s">
        <v>7049</v>
      </c>
      <c r="D1282" s="295" t="s">
        <v>24</v>
      </c>
      <c r="E1282" s="365" t="s">
        <v>7046</v>
      </c>
      <c r="F1282" s="294" t="s">
        <v>254</v>
      </c>
      <c r="G1282" s="294" t="s">
        <v>7047</v>
      </c>
      <c r="H1282" s="363" t="s">
        <v>7048</v>
      </c>
    </row>
    <row r="1283" spans="1:8" ht="15.75" customHeight="1">
      <c r="A1283" s="120" t="s">
        <v>7</v>
      </c>
      <c r="B1283" s="298">
        <v>44718</v>
      </c>
      <c r="C1283" s="165" t="s">
        <v>27726</v>
      </c>
      <c r="D1283" s="113" t="s">
        <v>32</v>
      </c>
      <c r="E1283" s="59">
        <v>4</v>
      </c>
      <c r="F1283" s="165" t="s">
        <v>13218</v>
      </c>
      <c r="G1283" s="165" t="s">
        <v>7603</v>
      </c>
      <c r="H1283" s="299" t="s">
        <v>7604</v>
      </c>
    </row>
    <row r="1284" spans="1:8" ht="15.75" customHeight="1">
      <c r="A1284" s="120" t="s">
        <v>50</v>
      </c>
      <c r="B1284" s="298">
        <v>44719</v>
      </c>
      <c r="C1284" s="165" t="s">
        <v>13234</v>
      </c>
      <c r="D1284" s="113" t="s">
        <v>32</v>
      </c>
      <c r="E1284" s="59">
        <v>15</v>
      </c>
      <c r="F1284" s="165" t="s">
        <v>13236</v>
      </c>
      <c r="G1284" s="165" t="s">
        <v>13235</v>
      </c>
      <c r="H1284" s="299" t="s">
        <v>27421</v>
      </c>
    </row>
    <row r="1285" spans="1:8" ht="15.75" customHeight="1">
      <c r="A1285" s="120" t="s">
        <v>52</v>
      </c>
      <c r="B1285" s="298">
        <v>44718</v>
      </c>
      <c r="C1285" s="165" t="s">
        <v>27880</v>
      </c>
      <c r="D1285" s="113" t="s">
        <v>32</v>
      </c>
      <c r="E1285" s="59">
        <v>10</v>
      </c>
      <c r="F1285" s="165" t="s">
        <v>13217</v>
      </c>
      <c r="G1285" s="165" t="s">
        <v>27881</v>
      </c>
      <c r="H1285" s="299" t="s">
        <v>13219</v>
      </c>
    </row>
    <row r="1286" spans="1:8" ht="15.75" customHeight="1" thickBot="1">
      <c r="A1286" s="300" t="str">
        <f>CONCATENATE("MEDIANA - ",A1281)</f>
        <v>MEDIANA - COT191</v>
      </c>
      <c r="B1286" s="115"/>
      <c r="C1286" s="115"/>
      <c r="D1286" s="301"/>
      <c r="E1286" s="150">
        <f>MEDIAN(E1283:E1285)</f>
        <v>10</v>
      </c>
      <c r="F1286" s="301"/>
      <c r="G1286" s="301"/>
      <c r="H1286" s="302"/>
    </row>
    <row r="1287" spans="1:8" ht="15.75" customHeight="1" thickBot="1">
      <c r="A1287" s="282"/>
      <c r="B1287" s="283"/>
      <c r="C1287" s="283"/>
      <c r="D1287" s="283"/>
      <c r="E1287" s="283"/>
      <c r="F1287" s="283"/>
      <c r="G1287" s="283"/>
      <c r="H1287" s="284"/>
    </row>
    <row r="1288" spans="1:8" ht="15.75" customHeight="1">
      <c r="A1288" s="358" t="s">
        <v>14467</v>
      </c>
      <c r="B1288" s="290" t="s">
        <v>27898</v>
      </c>
      <c r="C1288" s="294"/>
      <c r="D1288" s="295"/>
      <c r="E1288" s="362"/>
      <c r="F1288" s="294"/>
      <c r="G1288" s="294"/>
      <c r="H1288" s="363"/>
    </row>
    <row r="1289" spans="1:8" ht="15.75" customHeight="1">
      <c r="A1289" s="292" t="s">
        <v>6</v>
      </c>
      <c r="B1289" s="364" t="s">
        <v>7050</v>
      </c>
      <c r="C1289" s="294" t="s">
        <v>7049</v>
      </c>
      <c r="D1289" s="295" t="s">
        <v>24</v>
      </c>
      <c r="E1289" s="365" t="s">
        <v>7046</v>
      </c>
      <c r="F1289" s="294" t="s">
        <v>254</v>
      </c>
      <c r="G1289" s="294" t="s">
        <v>7047</v>
      </c>
      <c r="H1289" s="363" t="s">
        <v>7048</v>
      </c>
    </row>
    <row r="1290" spans="1:8" ht="15.75" customHeight="1">
      <c r="A1290" s="120" t="s">
        <v>7</v>
      </c>
      <c r="B1290" s="298">
        <v>44718</v>
      </c>
      <c r="C1290" s="165" t="s">
        <v>27726</v>
      </c>
      <c r="D1290" s="113" t="s">
        <v>32</v>
      </c>
      <c r="E1290" s="59">
        <v>120</v>
      </c>
      <c r="F1290" s="165" t="s">
        <v>13218</v>
      </c>
      <c r="G1290" s="165" t="s">
        <v>7603</v>
      </c>
      <c r="H1290" s="299" t="s">
        <v>7604</v>
      </c>
    </row>
    <row r="1291" spans="1:8" ht="15.75" customHeight="1">
      <c r="A1291" s="120" t="s">
        <v>50</v>
      </c>
      <c r="B1291" s="298">
        <v>44719</v>
      </c>
      <c r="C1291" s="165" t="s">
        <v>27727</v>
      </c>
      <c r="D1291" s="113" t="s">
        <v>32</v>
      </c>
      <c r="E1291" s="59">
        <v>200</v>
      </c>
      <c r="F1291" s="165" t="s">
        <v>7753</v>
      </c>
      <c r="G1291" s="165" t="s">
        <v>7754</v>
      </c>
      <c r="H1291" s="299" t="s">
        <v>7755</v>
      </c>
    </row>
    <row r="1292" spans="1:8" ht="15.75" customHeight="1">
      <c r="A1292" s="120" t="s">
        <v>52</v>
      </c>
      <c r="B1292" s="298">
        <v>44718</v>
      </c>
      <c r="C1292" s="165" t="s">
        <v>27880</v>
      </c>
      <c r="D1292" s="113" t="s">
        <v>32</v>
      </c>
      <c r="E1292" s="59">
        <v>150</v>
      </c>
      <c r="F1292" s="165" t="s">
        <v>13217</v>
      </c>
      <c r="G1292" s="165" t="s">
        <v>27881</v>
      </c>
      <c r="H1292" s="299" t="s">
        <v>13219</v>
      </c>
    </row>
    <row r="1293" spans="1:8" ht="15.75" customHeight="1" thickBot="1">
      <c r="A1293" s="300" t="str">
        <f>CONCATENATE("MEDIANA - ",A1288)</f>
        <v>MEDIANA - COT192</v>
      </c>
      <c r="B1293" s="115"/>
      <c r="C1293" s="115"/>
      <c r="D1293" s="301"/>
      <c r="E1293" s="150">
        <f>MEDIAN(E1290:E1292)</f>
        <v>150</v>
      </c>
      <c r="F1293" s="301"/>
      <c r="G1293" s="301"/>
      <c r="H1293" s="302"/>
    </row>
    <row r="1294" spans="1:8" ht="15.75" customHeight="1" thickBot="1">
      <c r="A1294" s="282"/>
      <c r="B1294" s="283"/>
      <c r="C1294" s="283"/>
      <c r="D1294" s="283"/>
      <c r="E1294" s="283"/>
      <c r="F1294" s="283"/>
      <c r="G1294" s="283"/>
      <c r="H1294" s="284"/>
    </row>
    <row r="1295" spans="1:8" ht="15.75" customHeight="1">
      <c r="A1295" s="358" t="s">
        <v>14468</v>
      </c>
      <c r="B1295" s="290" t="s">
        <v>27899</v>
      </c>
      <c r="C1295" s="294"/>
      <c r="D1295" s="295"/>
      <c r="E1295" s="362"/>
      <c r="F1295" s="294"/>
      <c r="G1295" s="294"/>
      <c r="H1295" s="363"/>
    </row>
    <row r="1296" spans="1:8" ht="15.75" customHeight="1">
      <c r="A1296" s="292" t="s">
        <v>6</v>
      </c>
      <c r="B1296" s="364" t="s">
        <v>7050</v>
      </c>
      <c r="C1296" s="294" t="s">
        <v>7049</v>
      </c>
      <c r="D1296" s="295" t="s">
        <v>24</v>
      </c>
      <c r="E1296" s="365" t="s">
        <v>7046</v>
      </c>
      <c r="F1296" s="294" t="s">
        <v>254</v>
      </c>
      <c r="G1296" s="294" t="s">
        <v>7047</v>
      </c>
      <c r="H1296" s="363" t="s">
        <v>7048</v>
      </c>
    </row>
    <row r="1297" spans="1:8" ht="15.75" customHeight="1">
      <c r="A1297" s="120" t="s">
        <v>7</v>
      </c>
      <c r="B1297" s="298">
        <v>44718</v>
      </c>
      <c r="C1297" s="165" t="s">
        <v>27726</v>
      </c>
      <c r="D1297" s="113" t="s">
        <v>32</v>
      </c>
      <c r="E1297" s="59">
        <v>120</v>
      </c>
      <c r="F1297" s="165" t="s">
        <v>13218</v>
      </c>
      <c r="G1297" s="165" t="s">
        <v>7603</v>
      </c>
      <c r="H1297" s="299" t="s">
        <v>7604</v>
      </c>
    </row>
    <row r="1298" spans="1:8" ht="15.75" customHeight="1">
      <c r="A1298" s="120" t="s">
        <v>50</v>
      </c>
      <c r="B1298" s="298">
        <v>44719</v>
      </c>
      <c r="C1298" s="165" t="s">
        <v>27727</v>
      </c>
      <c r="D1298" s="113" t="s">
        <v>32</v>
      </c>
      <c r="E1298" s="59">
        <v>150</v>
      </c>
      <c r="F1298" s="165" t="s">
        <v>7753</v>
      </c>
      <c r="G1298" s="165" t="s">
        <v>7754</v>
      </c>
      <c r="H1298" s="299" t="s">
        <v>7755</v>
      </c>
    </row>
    <row r="1299" spans="1:8" ht="15.75" customHeight="1">
      <c r="A1299" s="120" t="s">
        <v>52</v>
      </c>
      <c r="B1299" s="298">
        <v>44719</v>
      </c>
      <c r="C1299" s="165" t="s">
        <v>13234</v>
      </c>
      <c r="D1299" s="113" t="s">
        <v>32</v>
      </c>
      <c r="E1299" s="59">
        <v>140</v>
      </c>
      <c r="F1299" s="165" t="s">
        <v>13236</v>
      </c>
      <c r="G1299" s="165" t="s">
        <v>13235</v>
      </c>
      <c r="H1299" s="299" t="s">
        <v>27421</v>
      </c>
    </row>
    <row r="1300" spans="1:8" ht="15.75" customHeight="1" thickBot="1">
      <c r="A1300" s="300" t="str">
        <f>CONCATENATE("MEDIANA - ",A1295)</f>
        <v>MEDIANA - COT193</v>
      </c>
      <c r="B1300" s="115"/>
      <c r="C1300" s="115"/>
      <c r="D1300" s="301"/>
      <c r="E1300" s="150">
        <f>MEDIAN(E1297:E1299)</f>
        <v>140</v>
      </c>
      <c r="F1300" s="301"/>
      <c r="G1300" s="301"/>
      <c r="H1300" s="302"/>
    </row>
    <row r="1301" spans="1:8" ht="15.75" customHeight="1" thickBot="1">
      <c r="A1301" s="282"/>
      <c r="B1301" s="283"/>
      <c r="C1301" s="283"/>
      <c r="D1301" s="283"/>
      <c r="E1301" s="283"/>
      <c r="F1301" s="283"/>
      <c r="G1301" s="283"/>
      <c r="H1301" s="284"/>
    </row>
    <row r="1302" spans="1:8" ht="15.75" customHeight="1">
      <c r="A1302" s="358" t="s">
        <v>14469</v>
      </c>
      <c r="B1302" s="290" t="s">
        <v>27900</v>
      </c>
      <c r="C1302" s="294"/>
      <c r="D1302" s="295"/>
      <c r="E1302" s="362"/>
      <c r="F1302" s="294"/>
      <c r="G1302" s="294"/>
      <c r="H1302" s="363"/>
    </row>
    <row r="1303" spans="1:8" ht="15.75" customHeight="1">
      <c r="A1303" s="292" t="s">
        <v>6</v>
      </c>
      <c r="B1303" s="364" t="s">
        <v>7050</v>
      </c>
      <c r="C1303" s="294" t="s">
        <v>7049</v>
      </c>
      <c r="D1303" s="295" t="s">
        <v>24</v>
      </c>
      <c r="E1303" s="365" t="s">
        <v>7046</v>
      </c>
      <c r="F1303" s="294" t="s">
        <v>254</v>
      </c>
      <c r="G1303" s="294" t="s">
        <v>7047</v>
      </c>
      <c r="H1303" s="363" t="s">
        <v>7048</v>
      </c>
    </row>
    <row r="1304" spans="1:8" ht="15.75" customHeight="1">
      <c r="A1304" s="120" t="s">
        <v>7</v>
      </c>
      <c r="B1304" s="298">
        <v>44719</v>
      </c>
      <c r="C1304" s="165" t="s">
        <v>13234</v>
      </c>
      <c r="D1304" s="113" t="s">
        <v>32</v>
      </c>
      <c r="E1304" s="59">
        <v>40</v>
      </c>
      <c r="F1304" s="165" t="s">
        <v>13236</v>
      </c>
      <c r="G1304" s="165" t="s">
        <v>13235</v>
      </c>
      <c r="H1304" s="299" t="s">
        <v>27421</v>
      </c>
    </row>
    <row r="1305" spans="1:8" ht="15.75" customHeight="1">
      <c r="A1305" s="120" t="s">
        <v>50</v>
      </c>
      <c r="B1305" s="298">
        <v>44719</v>
      </c>
      <c r="C1305" s="165" t="s">
        <v>27727</v>
      </c>
      <c r="D1305" s="113" t="s">
        <v>32</v>
      </c>
      <c r="E1305" s="59">
        <v>160</v>
      </c>
      <c r="F1305" s="165" t="s">
        <v>7753</v>
      </c>
      <c r="G1305" s="165" t="s">
        <v>7754</v>
      </c>
      <c r="H1305" s="299" t="s">
        <v>7755</v>
      </c>
    </row>
    <row r="1306" spans="1:8" ht="15.75" customHeight="1">
      <c r="A1306" s="120" t="s">
        <v>52</v>
      </c>
      <c r="B1306" s="298">
        <v>44718</v>
      </c>
      <c r="C1306" s="165" t="s">
        <v>27880</v>
      </c>
      <c r="D1306" s="113" t="s">
        <v>32</v>
      </c>
      <c r="E1306" s="59">
        <v>180</v>
      </c>
      <c r="F1306" s="165" t="s">
        <v>13217</v>
      </c>
      <c r="G1306" s="165" t="s">
        <v>27881</v>
      </c>
      <c r="H1306" s="299" t="s">
        <v>13219</v>
      </c>
    </row>
    <row r="1307" spans="1:8" ht="15.75" customHeight="1" thickBot="1">
      <c r="A1307" s="300" t="str">
        <f>CONCATENATE("MEDIANA - ",A1302)</f>
        <v>MEDIANA - COT194</v>
      </c>
      <c r="B1307" s="115"/>
      <c r="C1307" s="115"/>
      <c r="D1307" s="301"/>
      <c r="E1307" s="150">
        <f>MEDIAN(E1304:E1306)</f>
        <v>160</v>
      </c>
      <c r="F1307" s="301"/>
      <c r="G1307" s="301"/>
      <c r="H1307" s="302"/>
    </row>
    <row r="1308" spans="1:8" ht="15.75" customHeight="1" thickBot="1">
      <c r="A1308" s="282"/>
      <c r="B1308" s="283"/>
      <c r="C1308" s="283"/>
      <c r="D1308" s="283"/>
      <c r="E1308" s="283"/>
      <c r="F1308" s="283"/>
      <c r="G1308" s="283"/>
      <c r="H1308" s="284"/>
    </row>
    <row r="1309" spans="1:8" ht="15.75" customHeight="1">
      <c r="A1309" s="358" t="s">
        <v>14470</v>
      </c>
      <c r="B1309" s="290" t="s">
        <v>27901</v>
      </c>
      <c r="C1309" s="294"/>
      <c r="D1309" s="295"/>
      <c r="E1309" s="362"/>
      <c r="F1309" s="294"/>
      <c r="G1309" s="294"/>
      <c r="H1309" s="363"/>
    </row>
    <row r="1310" spans="1:8" ht="15.75" customHeight="1">
      <c r="A1310" s="292" t="s">
        <v>6</v>
      </c>
      <c r="B1310" s="364" t="s">
        <v>7050</v>
      </c>
      <c r="C1310" s="294" t="s">
        <v>7049</v>
      </c>
      <c r="D1310" s="295" t="s">
        <v>24</v>
      </c>
      <c r="E1310" s="365" t="s">
        <v>7046</v>
      </c>
      <c r="F1310" s="294" t="s">
        <v>254</v>
      </c>
      <c r="G1310" s="294" t="s">
        <v>7047</v>
      </c>
      <c r="H1310" s="363" t="s">
        <v>7048</v>
      </c>
    </row>
    <row r="1311" spans="1:8" ht="15.75" customHeight="1">
      <c r="A1311" s="120" t="s">
        <v>7</v>
      </c>
      <c r="B1311" s="298">
        <v>44719</v>
      </c>
      <c r="C1311" s="165" t="s">
        <v>13234</v>
      </c>
      <c r="D1311" s="113" t="s">
        <v>32</v>
      </c>
      <c r="E1311" s="59">
        <v>35</v>
      </c>
      <c r="F1311" s="165" t="s">
        <v>13236</v>
      </c>
      <c r="G1311" s="165" t="s">
        <v>13235</v>
      </c>
      <c r="H1311" s="299" t="s">
        <v>27421</v>
      </c>
    </row>
    <row r="1312" spans="1:8" ht="15.75" customHeight="1">
      <c r="A1312" s="120" t="s">
        <v>50</v>
      </c>
      <c r="B1312" s="298">
        <v>44719</v>
      </c>
      <c r="C1312" s="165" t="s">
        <v>27727</v>
      </c>
      <c r="D1312" s="113" t="s">
        <v>32</v>
      </c>
      <c r="E1312" s="59">
        <v>55</v>
      </c>
      <c r="F1312" s="165" t="s">
        <v>7753</v>
      </c>
      <c r="G1312" s="165" t="s">
        <v>7754</v>
      </c>
      <c r="H1312" s="299" t="s">
        <v>7755</v>
      </c>
    </row>
    <row r="1313" spans="1:8" ht="15.75" customHeight="1">
      <c r="A1313" s="120" t="s">
        <v>52</v>
      </c>
      <c r="B1313" s="298">
        <v>44718</v>
      </c>
      <c r="C1313" s="165" t="s">
        <v>27726</v>
      </c>
      <c r="D1313" s="113" t="s">
        <v>32</v>
      </c>
      <c r="E1313" s="59">
        <v>25</v>
      </c>
      <c r="F1313" s="165" t="s">
        <v>13218</v>
      </c>
      <c r="G1313" s="165" t="s">
        <v>7603</v>
      </c>
      <c r="H1313" s="299" t="s">
        <v>7604</v>
      </c>
    </row>
    <row r="1314" spans="1:8" ht="15.75" customHeight="1" thickBot="1">
      <c r="A1314" s="300" t="str">
        <f>CONCATENATE("MEDIANA - ",A1309)</f>
        <v>MEDIANA - COT195</v>
      </c>
      <c r="B1314" s="115"/>
      <c r="C1314" s="115"/>
      <c r="D1314" s="301"/>
      <c r="E1314" s="150">
        <f>MEDIAN(E1311:E1313)</f>
        <v>35</v>
      </c>
      <c r="F1314" s="301"/>
      <c r="G1314" s="301"/>
      <c r="H1314" s="302"/>
    </row>
    <row r="1315" spans="1:8" ht="15.75" customHeight="1" thickBot="1">
      <c r="A1315" s="282"/>
      <c r="B1315" s="283"/>
      <c r="C1315" s="283"/>
      <c r="D1315" s="283"/>
      <c r="E1315" s="283"/>
      <c r="F1315" s="283"/>
      <c r="G1315" s="283"/>
      <c r="H1315" s="284"/>
    </row>
    <row r="1316" spans="1:8" ht="15.75" customHeight="1">
      <c r="A1316" s="358" t="s">
        <v>14471</v>
      </c>
      <c r="B1316" s="290" t="s">
        <v>27902</v>
      </c>
      <c r="C1316" s="294"/>
      <c r="D1316" s="295"/>
      <c r="E1316" s="362"/>
      <c r="F1316" s="294"/>
      <c r="G1316" s="294"/>
      <c r="H1316" s="363"/>
    </row>
    <row r="1317" spans="1:8" ht="15.75" customHeight="1">
      <c r="A1317" s="292" t="s">
        <v>6</v>
      </c>
      <c r="B1317" s="364" t="s">
        <v>7050</v>
      </c>
      <c r="C1317" s="294" t="s">
        <v>7049</v>
      </c>
      <c r="D1317" s="295" t="s">
        <v>24</v>
      </c>
      <c r="E1317" s="365" t="s">
        <v>7046</v>
      </c>
      <c r="F1317" s="294" t="s">
        <v>254</v>
      </c>
      <c r="G1317" s="294" t="s">
        <v>7047</v>
      </c>
      <c r="H1317" s="363" t="s">
        <v>7048</v>
      </c>
    </row>
    <row r="1318" spans="1:8" ht="15.75" customHeight="1">
      <c r="A1318" s="120" t="s">
        <v>7</v>
      </c>
      <c r="B1318" s="298">
        <v>44718</v>
      </c>
      <c r="C1318" s="165" t="s">
        <v>27726</v>
      </c>
      <c r="D1318" s="113" t="s">
        <v>32</v>
      </c>
      <c r="E1318" s="59">
        <v>25</v>
      </c>
      <c r="F1318" s="165" t="s">
        <v>13218</v>
      </c>
      <c r="G1318" s="165" t="s">
        <v>7603</v>
      </c>
      <c r="H1318" s="299" t="s">
        <v>7604</v>
      </c>
    </row>
    <row r="1319" spans="1:8" ht="15.75" customHeight="1">
      <c r="A1319" s="120" t="s">
        <v>50</v>
      </c>
      <c r="B1319" s="298">
        <v>44719</v>
      </c>
      <c r="C1319" s="165" t="s">
        <v>13234</v>
      </c>
      <c r="D1319" s="113" t="s">
        <v>32</v>
      </c>
      <c r="E1319" s="59">
        <v>45</v>
      </c>
      <c r="F1319" s="165" t="s">
        <v>13236</v>
      </c>
      <c r="G1319" s="165" t="s">
        <v>13235</v>
      </c>
      <c r="H1319" s="299" t="s">
        <v>27421</v>
      </c>
    </row>
    <row r="1320" spans="1:8" ht="15.75" customHeight="1">
      <c r="A1320" s="120" t="s">
        <v>52</v>
      </c>
      <c r="B1320" s="298">
        <v>44719</v>
      </c>
      <c r="C1320" s="165" t="s">
        <v>27727</v>
      </c>
      <c r="D1320" s="113" t="s">
        <v>32</v>
      </c>
      <c r="E1320" s="59">
        <v>45</v>
      </c>
      <c r="F1320" s="165" t="s">
        <v>7753</v>
      </c>
      <c r="G1320" s="165" t="s">
        <v>7754</v>
      </c>
      <c r="H1320" s="299" t="s">
        <v>7755</v>
      </c>
    </row>
    <row r="1321" spans="1:8" ht="15.75" customHeight="1" thickBot="1">
      <c r="A1321" s="300" t="str">
        <f>CONCATENATE("MEDIANA - ",A1316)</f>
        <v>MEDIANA - COT196</v>
      </c>
      <c r="B1321" s="115"/>
      <c r="C1321" s="115"/>
      <c r="D1321" s="301"/>
      <c r="E1321" s="150">
        <f>MEDIAN(E1318:E1320)</f>
        <v>45</v>
      </c>
      <c r="F1321" s="301"/>
      <c r="G1321" s="301"/>
      <c r="H1321" s="302"/>
    </row>
    <row r="1322" spans="1:8" ht="15.75" customHeight="1" thickBot="1">
      <c r="A1322" s="282"/>
      <c r="B1322" s="283"/>
      <c r="C1322" s="283"/>
      <c r="D1322" s="283"/>
      <c r="E1322" s="283"/>
      <c r="F1322" s="283"/>
      <c r="G1322" s="283"/>
      <c r="H1322" s="284"/>
    </row>
    <row r="1323" spans="1:8" ht="15.75" customHeight="1">
      <c r="A1323" s="358" t="s">
        <v>14472</v>
      </c>
      <c r="B1323" s="290" t="s">
        <v>27903</v>
      </c>
      <c r="C1323" s="294"/>
      <c r="D1323" s="295"/>
      <c r="E1323" s="362"/>
      <c r="F1323" s="294"/>
      <c r="G1323" s="294"/>
      <c r="H1323" s="363"/>
    </row>
    <row r="1324" spans="1:8" ht="15.75" customHeight="1">
      <c r="A1324" s="292" t="s">
        <v>6</v>
      </c>
      <c r="B1324" s="364" t="s">
        <v>7050</v>
      </c>
      <c r="C1324" s="294" t="s">
        <v>7049</v>
      </c>
      <c r="D1324" s="295" t="s">
        <v>24</v>
      </c>
      <c r="E1324" s="365" t="s">
        <v>7046</v>
      </c>
      <c r="F1324" s="294" t="s">
        <v>254</v>
      </c>
      <c r="G1324" s="294" t="s">
        <v>7047</v>
      </c>
      <c r="H1324" s="363" t="s">
        <v>7048</v>
      </c>
    </row>
    <row r="1325" spans="1:8" ht="15.75" customHeight="1">
      <c r="A1325" s="120" t="s">
        <v>7</v>
      </c>
      <c r="B1325" s="298">
        <v>44718</v>
      </c>
      <c r="C1325" s="165" t="s">
        <v>27726</v>
      </c>
      <c r="D1325" s="113" t="s">
        <v>32</v>
      </c>
      <c r="E1325" s="59">
        <v>50</v>
      </c>
      <c r="F1325" s="165" t="s">
        <v>13218</v>
      </c>
      <c r="G1325" s="165" t="s">
        <v>7603</v>
      </c>
      <c r="H1325" s="299" t="s">
        <v>7604</v>
      </c>
    </row>
    <row r="1326" spans="1:8" ht="15.75" customHeight="1">
      <c r="A1326" s="120" t="s">
        <v>50</v>
      </c>
      <c r="B1326" s="298">
        <v>44719</v>
      </c>
      <c r="C1326" s="165" t="s">
        <v>27727</v>
      </c>
      <c r="D1326" s="113" t="s">
        <v>32</v>
      </c>
      <c r="E1326" s="59">
        <v>55</v>
      </c>
      <c r="F1326" s="165" t="s">
        <v>7753</v>
      </c>
      <c r="G1326" s="165" t="s">
        <v>7754</v>
      </c>
      <c r="H1326" s="299" t="s">
        <v>7755</v>
      </c>
    </row>
    <row r="1327" spans="1:8" ht="15.75" customHeight="1">
      <c r="A1327" s="120" t="s">
        <v>52</v>
      </c>
      <c r="B1327" s="298">
        <v>44719</v>
      </c>
      <c r="C1327" s="165" t="s">
        <v>13234</v>
      </c>
      <c r="D1327" s="113" t="s">
        <v>32</v>
      </c>
      <c r="E1327" s="59">
        <v>65</v>
      </c>
      <c r="F1327" s="165" t="s">
        <v>13236</v>
      </c>
      <c r="G1327" s="165" t="s">
        <v>13235</v>
      </c>
      <c r="H1327" s="299" t="s">
        <v>27421</v>
      </c>
    </row>
    <row r="1328" spans="1:8" ht="15.75" customHeight="1" thickBot="1">
      <c r="A1328" s="300" t="str">
        <f>CONCATENATE("MEDIANA - ",A1323)</f>
        <v>MEDIANA - COT197</v>
      </c>
      <c r="B1328" s="115"/>
      <c r="C1328" s="115"/>
      <c r="D1328" s="301"/>
      <c r="E1328" s="150">
        <f>MEDIAN(E1325:E1327)</f>
        <v>55</v>
      </c>
      <c r="F1328" s="301"/>
      <c r="G1328" s="301"/>
      <c r="H1328" s="302"/>
    </row>
    <row r="1329" spans="1:8" ht="15.75" customHeight="1" thickBot="1">
      <c r="A1329" s="282"/>
      <c r="B1329" s="283"/>
      <c r="C1329" s="283"/>
      <c r="D1329" s="283"/>
      <c r="E1329" s="283"/>
      <c r="F1329" s="283"/>
      <c r="G1329" s="283"/>
      <c r="H1329" s="284"/>
    </row>
    <row r="1330" spans="1:8" ht="15.75" customHeight="1">
      <c r="A1330" s="358" t="s">
        <v>14473</v>
      </c>
      <c r="B1330" s="290" t="s">
        <v>27904</v>
      </c>
      <c r="C1330" s="294"/>
      <c r="D1330" s="295"/>
      <c r="E1330" s="362"/>
      <c r="F1330" s="294"/>
      <c r="G1330" s="294"/>
      <c r="H1330" s="363"/>
    </row>
    <row r="1331" spans="1:8" ht="15.75" customHeight="1">
      <c r="A1331" s="292" t="s">
        <v>6</v>
      </c>
      <c r="B1331" s="364" t="s">
        <v>7050</v>
      </c>
      <c r="C1331" s="294" t="s">
        <v>7049</v>
      </c>
      <c r="D1331" s="295" t="s">
        <v>24</v>
      </c>
      <c r="E1331" s="365" t="s">
        <v>7046</v>
      </c>
      <c r="F1331" s="294" t="s">
        <v>254</v>
      </c>
      <c r="G1331" s="294" t="s">
        <v>7047</v>
      </c>
      <c r="H1331" s="363" t="s">
        <v>7048</v>
      </c>
    </row>
    <row r="1332" spans="1:8" ht="15.75" customHeight="1">
      <c r="A1332" s="120" t="s">
        <v>7</v>
      </c>
      <c r="B1332" s="298">
        <v>44718</v>
      </c>
      <c r="C1332" s="165" t="s">
        <v>27726</v>
      </c>
      <c r="D1332" s="113" t="s">
        <v>32</v>
      </c>
      <c r="E1332" s="59">
        <v>30</v>
      </c>
      <c r="F1332" s="165" t="s">
        <v>13218</v>
      </c>
      <c r="G1332" s="165" t="s">
        <v>7603</v>
      </c>
      <c r="H1332" s="299" t="s">
        <v>7604</v>
      </c>
    </row>
    <row r="1333" spans="1:8" ht="15.75" customHeight="1">
      <c r="A1333" s="120" t="s">
        <v>50</v>
      </c>
      <c r="B1333" s="298">
        <v>44719</v>
      </c>
      <c r="C1333" s="165" t="s">
        <v>27727</v>
      </c>
      <c r="D1333" s="113" t="s">
        <v>32</v>
      </c>
      <c r="E1333" s="59">
        <v>35</v>
      </c>
      <c r="F1333" s="165" t="s">
        <v>7753</v>
      </c>
      <c r="G1333" s="165" t="s">
        <v>7754</v>
      </c>
      <c r="H1333" s="299" t="s">
        <v>7755</v>
      </c>
    </row>
    <row r="1334" spans="1:8" ht="15.75" customHeight="1">
      <c r="A1334" s="120" t="s">
        <v>52</v>
      </c>
      <c r="B1334" s="298">
        <v>44718</v>
      </c>
      <c r="C1334" s="165" t="s">
        <v>27880</v>
      </c>
      <c r="D1334" s="113" t="s">
        <v>32</v>
      </c>
      <c r="E1334" s="59">
        <v>20</v>
      </c>
      <c r="F1334" s="165" t="s">
        <v>13217</v>
      </c>
      <c r="G1334" s="165" t="s">
        <v>27881</v>
      </c>
      <c r="H1334" s="299" t="s">
        <v>13219</v>
      </c>
    </row>
    <row r="1335" spans="1:8" ht="15.75" customHeight="1" thickBot="1">
      <c r="A1335" s="300" t="str">
        <f>CONCATENATE("MEDIANA - ",A1330)</f>
        <v>MEDIANA - COT198</v>
      </c>
      <c r="B1335" s="115"/>
      <c r="C1335" s="115"/>
      <c r="D1335" s="301"/>
      <c r="E1335" s="150">
        <f>MEDIAN(E1332:E1334)</f>
        <v>30</v>
      </c>
      <c r="F1335" s="301"/>
      <c r="G1335" s="301"/>
      <c r="H1335" s="302"/>
    </row>
    <row r="1336" spans="1:8" ht="15.75" customHeight="1" thickBot="1">
      <c r="A1336" s="282"/>
      <c r="B1336" s="283"/>
      <c r="C1336" s="283"/>
      <c r="D1336" s="283"/>
      <c r="E1336" s="283"/>
      <c r="F1336" s="283"/>
      <c r="G1336" s="283"/>
      <c r="H1336" s="284"/>
    </row>
    <row r="1337" spans="1:8" ht="15.75" customHeight="1">
      <c r="A1337" s="358" t="s">
        <v>14474</v>
      </c>
      <c r="B1337" s="290" t="s">
        <v>27905</v>
      </c>
      <c r="C1337" s="294"/>
      <c r="D1337" s="295"/>
      <c r="E1337" s="362"/>
      <c r="F1337" s="294"/>
      <c r="G1337" s="294"/>
      <c r="H1337" s="363"/>
    </row>
    <row r="1338" spans="1:8" ht="15.75" customHeight="1">
      <c r="A1338" s="292" t="s">
        <v>6</v>
      </c>
      <c r="B1338" s="364" t="s">
        <v>7050</v>
      </c>
      <c r="C1338" s="294" t="s">
        <v>7049</v>
      </c>
      <c r="D1338" s="295" t="s">
        <v>24</v>
      </c>
      <c r="E1338" s="365" t="s">
        <v>7046</v>
      </c>
      <c r="F1338" s="294" t="s">
        <v>254</v>
      </c>
      <c r="G1338" s="294" t="s">
        <v>7047</v>
      </c>
      <c r="H1338" s="363" t="s">
        <v>7048</v>
      </c>
    </row>
    <row r="1339" spans="1:8" ht="15.75" customHeight="1">
      <c r="A1339" s="120" t="s">
        <v>7</v>
      </c>
      <c r="B1339" s="298">
        <v>44718</v>
      </c>
      <c r="C1339" s="165" t="s">
        <v>13234</v>
      </c>
      <c r="D1339" s="113" t="s">
        <v>32</v>
      </c>
      <c r="E1339" s="59">
        <v>80</v>
      </c>
      <c r="F1339" s="165" t="s">
        <v>13236</v>
      </c>
      <c r="G1339" s="165" t="s">
        <v>13235</v>
      </c>
      <c r="H1339" s="299" t="s">
        <v>27421</v>
      </c>
    </row>
    <row r="1340" spans="1:8" ht="15.75" customHeight="1">
      <c r="A1340" s="120" t="s">
        <v>50</v>
      </c>
      <c r="B1340" s="298">
        <v>44719</v>
      </c>
      <c r="C1340" s="165" t="s">
        <v>27727</v>
      </c>
      <c r="D1340" s="113" t="s">
        <v>32</v>
      </c>
      <c r="E1340" s="59">
        <v>150</v>
      </c>
      <c r="F1340" s="165" t="s">
        <v>7753</v>
      </c>
      <c r="G1340" s="165" t="s">
        <v>7754</v>
      </c>
      <c r="H1340" s="299" t="s">
        <v>7755</v>
      </c>
    </row>
    <row r="1341" spans="1:8" ht="15.75" customHeight="1">
      <c r="A1341" s="120" t="s">
        <v>52</v>
      </c>
      <c r="B1341" s="298">
        <v>44719</v>
      </c>
      <c r="C1341" s="165" t="s">
        <v>13234</v>
      </c>
      <c r="D1341" s="113" t="s">
        <v>32</v>
      </c>
      <c r="E1341" s="59">
        <v>90</v>
      </c>
      <c r="F1341" s="165" t="s">
        <v>13236</v>
      </c>
      <c r="G1341" s="165" t="s">
        <v>13235</v>
      </c>
      <c r="H1341" s="299" t="s">
        <v>27421</v>
      </c>
    </row>
    <row r="1342" spans="1:8" ht="15.75" customHeight="1" thickBot="1">
      <c r="A1342" s="300" t="str">
        <f>CONCATENATE("MEDIANA - ",A1337)</f>
        <v>MEDIANA - COT199</v>
      </c>
      <c r="B1342" s="115"/>
      <c r="C1342" s="115"/>
      <c r="D1342" s="301"/>
      <c r="E1342" s="150">
        <f>MEDIAN(E1339:E1341)</f>
        <v>90</v>
      </c>
      <c r="F1342" s="301"/>
      <c r="G1342" s="301"/>
      <c r="H1342" s="302"/>
    </row>
    <row r="1343" spans="1:8" ht="15.75" customHeight="1" thickBot="1">
      <c r="A1343" s="282"/>
      <c r="B1343" s="283"/>
      <c r="C1343" s="283"/>
      <c r="D1343" s="283"/>
      <c r="E1343" s="283"/>
      <c r="F1343" s="283"/>
      <c r="G1343" s="283"/>
      <c r="H1343" s="284"/>
    </row>
    <row r="1344" spans="1:8" ht="15.75" customHeight="1">
      <c r="A1344" s="358" t="s">
        <v>14482</v>
      </c>
      <c r="B1344" s="290" t="s">
        <v>27906</v>
      </c>
      <c r="C1344" s="294"/>
      <c r="D1344" s="295"/>
      <c r="E1344" s="362"/>
      <c r="F1344" s="294"/>
      <c r="G1344" s="294"/>
      <c r="H1344" s="363"/>
    </row>
    <row r="1345" spans="1:8" ht="15.75" customHeight="1">
      <c r="A1345" s="292" t="s">
        <v>6</v>
      </c>
      <c r="B1345" s="364" t="s">
        <v>7050</v>
      </c>
      <c r="C1345" s="294" t="s">
        <v>7049</v>
      </c>
      <c r="D1345" s="295" t="s">
        <v>24</v>
      </c>
      <c r="E1345" s="365" t="s">
        <v>7046</v>
      </c>
      <c r="F1345" s="294" t="s">
        <v>254</v>
      </c>
      <c r="G1345" s="294" t="s">
        <v>7047</v>
      </c>
      <c r="H1345" s="363" t="s">
        <v>7048</v>
      </c>
    </row>
    <row r="1346" spans="1:8" ht="15.75" customHeight="1">
      <c r="A1346" s="120" t="s">
        <v>7</v>
      </c>
      <c r="B1346" s="298">
        <v>44718</v>
      </c>
      <c r="C1346" s="165" t="s">
        <v>27726</v>
      </c>
      <c r="D1346" s="113" t="s">
        <v>32</v>
      </c>
      <c r="E1346" s="59">
        <v>350</v>
      </c>
      <c r="F1346" s="165" t="s">
        <v>13218</v>
      </c>
      <c r="G1346" s="165" t="s">
        <v>7603</v>
      </c>
      <c r="H1346" s="299" t="s">
        <v>7604</v>
      </c>
    </row>
    <row r="1347" spans="1:8" ht="15.75" customHeight="1">
      <c r="A1347" s="120" t="s">
        <v>50</v>
      </c>
      <c r="B1347" s="298">
        <v>44719</v>
      </c>
      <c r="C1347" s="165" t="s">
        <v>13234</v>
      </c>
      <c r="D1347" s="113" t="s">
        <v>32</v>
      </c>
      <c r="E1347" s="59">
        <v>400</v>
      </c>
      <c r="F1347" s="165" t="s">
        <v>13236</v>
      </c>
      <c r="G1347" s="165" t="s">
        <v>13235</v>
      </c>
      <c r="H1347" s="299" t="s">
        <v>27421</v>
      </c>
    </row>
    <row r="1348" spans="1:8" ht="15.75" customHeight="1">
      <c r="A1348" s="120" t="s">
        <v>52</v>
      </c>
      <c r="B1348" s="298">
        <v>44718</v>
      </c>
      <c r="C1348" s="165" t="s">
        <v>27880</v>
      </c>
      <c r="D1348" s="113" t="s">
        <v>32</v>
      </c>
      <c r="E1348" s="59">
        <v>300</v>
      </c>
      <c r="F1348" s="165" t="s">
        <v>13217</v>
      </c>
      <c r="G1348" s="165" t="s">
        <v>27881</v>
      </c>
      <c r="H1348" s="299" t="s">
        <v>13219</v>
      </c>
    </row>
    <row r="1349" spans="1:8" ht="15.75" customHeight="1" thickBot="1">
      <c r="A1349" s="300" t="str">
        <f>CONCATENATE("MEDIANA - ",A1344)</f>
        <v>MEDIANA - COT1200</v>
      </c>
      <c r="B1349" s="115"/>
      <c r="C1349" s="115"/>
      <c r="D1349" s="301"/>
      <c r="E1349" s="150">
        <f>MEDIAN(E1346:E1348)</f>
        <v>350</v>
      </c>
      <c r="F1349" s="301"/>
      <c r="G1349" s="301"/>
      <c r="H1349" s="302"/>
    </row>
    <row r="1350" spans="1:8" ht="15.75" customHeight="1" thickBot="1">
      <c r="A1350" s="282"/>
      <c r="B1350" s="283"/>
      <c r="C1350" s="283"/>
      <c r="D1350" s="283"/>
      <c r="E1350" s="283"/>
      <c r="F1350" s="283"/>
      <c r="G1350" s="283"/>
      <c r="H1350" s="284"/>
    </row>
    <row r="1351" spans="1:8" ht="15.75" customHeight="1">
      <c r="A1351" s="358" t="s">
        <v>14483</v>
      </c>
      <c r="B1351" s="290" t="s">
        <v>27907</v>
      </c>
      <c r="C1351" s="294"/>
      <c r="D1351" s="295"/>
      <c r="E1351" s="362"/>
      <c r="F1351" s="294"/>
      <c r="G1351" s="294"/>
      <c r="H1351" s="363"/>
    </row>
    <row r="1352" spans="1:8" ht="15.75" customHeight="1">
      <c r="A1352" s="292" t="s">
        <v>6</v>
      </c>
      <c r="B1352" s="364" t="s">
        <v>7050</v>
      </c>
      <c r="C1352" s="294" t="s">
        <v>7049</v>
      </c>
      <c r="D1352" s="295" t="s">
        <v>24</v>
      </c>
      <c r="E1352" s="365" t="s">
        <v>7046</v>
      </c>
      <c r="F1352" s="294" t="s">
        <v>254</v>
      </c>
      <c r="G1352" s="294" t="s">
        <v>7047</v>
      </c>
      <c r="H1352" s="363" t="s">
        <v>7048</v>
      </c>
    </row>
    <row r="1353" spans="1:8" ht="15.75" customHeight="1">
      <c r="A1353" s="120" t="s">
        <v>7</v>
      </c>
      <c r="B1353" s="298">
        <v>44718</v>
      </c>
      <c r="C1353" s="165" t="s">
        <v>27726</v>
      </c>
      <c r="D1353" s="113" t="s">
        <v>32</v>
      </c>
      <c r="E1353" s="59">
        <v>220</v>
      </c>
      <c r="F1353" s="165" t="s">
        <v>13218</v>
      </c>
      <c r="G1353" s="165" t="s">
        <v>7603</v>
      </c>
      <c r="H1353" s="299" t="s">
        <v>7604</v>
      </c>
    </row>
    <row r="1354" spans="1:8" ht="15.75" customHeight="1">
      <c r="A1354" s="120" t="s">
        <v>50</v>
      </c>
      <c r="B1354" s="298">
        <v>44719</v>
      </c>
      <c r="C1354" s="165" t="s">
        <v>13234</v>
      </c>
      <c r="D1354" s="113" t="s">
        <v>32</v>
      </c>
      <c r="E1354" s="59">
        <v>220</v>
      </c>
      <c r="F1354" s="165" t="s">
        <v>13236</v>
      </c>
      <c r="G1354" s="165" t="s">
        <v>13235</v>
      </c>
      <c r="H1354" s="299" t="s">
        <v>27421</v>
      </c>
    </row>
    <row r="1355" spans="1:8" ht="15.75" customHeight="1">
      <c r="A1355" s="120" t="s">
        <v>52</v>
      </c>
      <c r="B1355" s="298">
        <v>44718</v>
      </c>
      <c r="C1355" s="165" t="s">
        <v>27880</v>
      </c>
      <c r="D1355" s="113" t="s">
        <v>32</v>
      </c>
      <c r="E1355" s="59">
        <v>180</v>
      </c>
      <c r="F1355" s="165" t="s">
        <v>13217</v>
      </c>
      <c r="G1355" s="165" t="s">
        <v>27881</v>
      </c>
      <c r="H1355" s="299" t="s">
        <v>13219</v>
      </c>
    </row>
    <row r="1356" spans="1:8" ht="15.75" customHeight="1" thickBot="1">
      <c r="A1356" s="300" t="str">
        <f>CONCATENATE("MEDIANA - ",A1351)</f>
        <v>MEDIANA - COT201</v>
      </c>
      <c r="B1356" s="115"/>
      <c r="C1356" s="115"/>
      <c r="D1356" s="301"/>
      <c r="E1356" s="150">
        <f>MEDIAN(E1353:E1355)</f>
        <v>220</v>
      </c>
      <c r="F1356" s="301"/>
      <c r="G1356" s="301"/>
      <c r="H1356" s="302"/>
    </row>
    <row r="1357" spans="1:8" ht="15.75" customHeight="1" thickBot="1">
      <c r="A1357" s="282"/>
      <c r="B1357" s="283"/>
      <c r="C1357" s="283"/>
      <c r="D1357" s="283"/>
      <c r="E1357" s="283"/>
      <c r="F1357" s="283"/>
      <c r="G1357" s="283"/>
      <c r="H1357" s="284"/>
    </row>
    <row r="1358" spans="1:8" ht="15.75" customHeight="1">
      <c r="A1358" s="358" t="s">
        <v>14484</v>
      </c>
      <c r="B1358" s="290" t="s">
        <v>27908</v>
      </c>
      <c r="C1358" s="294"/>
      <c r="D1358" s="295"/>
      <c r="E1358" s="362"/>
      <c r="F1358" s="294"/>
      <c r="G1358" s="294"/>
      <c r="H1358" s="363"/>
    </row>
    <row r="1359" spans="1:8" ht="15.75" customHeight="1">
      <c r="A1359" s="292" t="s">
        <v>6</v>
      </c>
      <c r="B1359" s="364" t="s">
        <v>7050</v>
      </c>
      <c r="C1359" s="294" t="s">
        <v>7049</v>
      </c>
      <c r="D1359" s="295" t="s">
        <v>24</v>
      </c>
      <c r="E1359" s="365" t="s">
        <v>7046</v>
      </c>
      <c r="F1359" s="294" t="s">
        <v>254</v>
      </c>
      <c r="G1359" s="294" t="s">
        <v>7047</v>
      </c>
      <c r="H1359" s="363" t="s">
        <v>7048</v>
      </c>
    </row>
    <row r="1360" spans="1:8" ht="15.75" customHeight="1">
      <c r="A1360" s="120" t="s">
        <v>7</v>
      </c>
      <c r="B1360" s="298">
        <v>44719</v>
      </c>
      <c r="C1360" s="165" t="s">
        <v>13234</v>
      </c>
      <c r="D1360" s="113" t="s">
        <v>32</v>
      </c>
      <c r="E1360" s="59">
        <v>120</v>
      </c>
      <c r="F1360" s="165" t="s">
        <v>13236</v>
      </c>
      <c r="G1360" s="165" t="s">
        <v>13235</v>
      </c>
      <c r="H1360" s="299" t="s">
        <v>27421</v>
      </c>
    </row>
    <row r="1361" spans="1:8" ht="15.75" customHeight="1">
      <c r="A1361" s="120" t="s">
        <v>50</v>
      </c>
      <c r="B1361" s="298">
        <v>44719</v>
      </c>
      <c r="C1361" s="165" t="s">
        <v>27727</v>
      </c>
      <c r="D1361" s="113" t="s">
        <v>32</v>
      </c>
      <c r="E1361" s="59">
        <v>75</v>
      </c>
      <c r="F1361" s="165" t="s">
        <v>7753</v>
      </c>
      <c r="G1361" s="165" t="s">
        <v>7754</v>
      </c>
      <c r="H1361" s="299" t="s">
        <v>7755</v>
      </c>
    </row>
    <row r="1362" spans="1:8" ht="15.75" customHeight="1">
      <c r="A1362" s="120" t="s">
        <v>52</v>
      </c>
      <c r="B1362" s="298">
        <v>44718</v>
      </c>
      <c r="C1362" s="165" t="s">
        <v>27880</v>
      </c>
      <c r="D1362" s="113" t="s">
        <v>32</v>
      </c>
      <c r="E1362" s="59">
        <v>85</v>
      </c>
      <c r="F1362" s="165" t="s">
        <v>13217</v>
      </c>
      <c r="G1362" s="165" t="s">
        <v>27881</v>
      </c>
      <c r="H1362" s="299" t="s">
        <v>13219</v>
      </c>
    </row>
    <row r="1363" spans="1:8" ht="15.75" customHeight="1" thickBot="1">
      <c r="A1363" s="300" t="str">
        <f>CONCATENATE("MEDIANA - ",A1358)</f>
        <v>MEDIANA - COT202</v>
      </c>
      <c r="B1363" s="115"/>
      <c r="C1363" s="115"/>
      <c r="D1363" s="301"/>
      <c r="E1363" s="150">
        <f>MEDIAN(E1360:E1362)</f>
        <v>85</v>
      </c>
      <c r="F1363" s="301"/>
      <c r="G1363" s="301"/>
      <c r="H1363" s="302"/>
    </row>
    <row r="1364" spans="1:8" ht="15.75" customHeight="1" thickBot="1">
      <c r="A1364" s="282"/>
      <c r="B1364" s="283"/>
      <c r="C1364" s="283"/>
      <c r="D1364" s="283"/>
      <c r="E1364" s="283"/>
      <c r="F1364" s="283"/>
      <c r="G1364" s="283"/>
      <c r="H1364" s="284"/>
    </row>
    <row r="1365" spans="1:8" ht="15.75" customHeight="1">
      <c r="A1365" s="358" t="s">
        <v>14485</v>
      </c>
      <c r="B1365" s="290" t="s">
        <v>27909</v>
      </c>
      <c r="C1365" s="294"/>
      <c r="D1365" s="295"/>
      <c r="E1365" s="362"/>
      <c r="F1365" s="294"/>
      <c r="G1365" s="294"/>
      <c r="H1365" s="363"/>
    </row>
    <row r="1366" spans="1:8" ht="15.75" customHeight="1">
      <c r="A1366" s="292" t="s">
        <v>6</v>
      </c>
      <c r="B1366" s="364" t="s">
        <v>7050</v>
      </c>
      <c r="C1366" s="294" t="s">
        <v>7049</v>
      </c>
      <c r="D1366" s="295" t="s">
        <v>24</v>
      </c>
      <c r="E1366" s="365" t="s">
        <v>7046</v>
      </c>
      <c r="F1366" s="294" t="s">
        <v>254</v>
      </c>
      <c r="G1366" s="294" t="s">
        <v>7047</v>
      </c>
      <c r="H1366" s="363" t="s">
        <v>7048</v>
      </c>
    </row>
    <row r="1367" spans="1:8" ht="15.75" customHeight="1">
      <c r="A1367" s="120" t="s">
        <v>7</v>
      </c>
      <c r="B1367" s="298">
        <v>44718</v>
      </c>
      <c r="C1367" s="165" t="s">
        <v>27726</v>
      </c>
      <c r="D1367" s="113" t="s">
        <v>32</v>
      </c>
      <c r="E1367" s="59">
        <v>25</v>
      </c>
      <c r="F1367" s="165" t="s">
        <v>13218</v>
      </c>
      <c r="G1367" s="165" t="s">
        <v>7603</v>
      </c>
      <c r="H1367" s="299" t="s">
        <v>7604</v>
      </c>
    </row>
    <row r="1368" spans="1:8" ht="15.75" customHeight="1">
      <c r="A1368" s="120" t="s">
        <v>50</v>
      </c>
      <c r="B1368" s="298">
        <v>44719</v>
      </c>
      <c r="C1368" s="165" t="s">
        <v>13234</v>
      </c>
      <c r="D1368" s="113" t="s">
        <v>32</v>
      </c>
      <c r="E1368" s="59">
        <v>70</v>
      </c>
      <c r="F1368" s="165" t="s">
        <v>13236</v>
      </c>
      <c r="G1368" s="165" t="s">
        <v>13235</v>
      </c>
      <c r="H1368" s="299" t="s">
        <v>27421</v>
      </c>
    </row>
    <row r="1369" spans="1:8" ht="15.75" customHeight="1">
      <c r="A1369" s="120" t="s">
        <v>52</v>
      </c>
      <c r="B1369" s="298">
        <v>44718</v>
      </c>
      <c r="C1369" s="165" t="s">
        <v>27880</v>
      </c>
      <c r="D1369" s="113" t="s">
        <v>32</v>
      </c>
      <c r="E1369" s="59">
        <v>45</v>
      </c>
      <c r="F1369" s="165" t="s">
        <v>13217</v>
      </c>
      <c r="G1369" s="165" t="s">
        <v>27881</v>
      </c>
      <c r="H1369" s="299" t="s">
        <v>13219</v>
      </c>
    </row>
    <row r="1370" spans="1:8" ht="15.75" customHeight="1" thickBot="1">
      <c r="A1370" s="300" t="str">
        <f>CONCATENATE("MEDIANA - ",A1365)</f>
        <v>MEDIANA - COT203</v>
      </c>
      <c r="B1370" s="115"/>
      <c r="C1370" s="115"/>
      <c r="D1370" s="301"/>
      <c r="E1370" s="150">
        <f>MEDIAN(E1367:E1369)</f>
        <v>45</v>
      </c>
      <c r="F1370" s="301"/>
      <c r="G1370" s="301"/>
      <c r="H1370" s="302"/>
    </row>
    <row r="1371" spans="1:8" ht="15.75" customHeight="1" thickBot="1">
      <c r="A1371" s="282"/>
      <c r="B1371" s="283"/>
      <c r="C1371" s="283"/>
      <c r="D1371" s="283"/>
      <c r="E1371" s="283"/>
      <c r="F1371" s="283"/>
      <c r="G1371" s="283"/>
      <c r="H1371" s="284"/>
    </row>
    <row r="1372" spans="1:8" ht="15.75" customHeight="1">
      <c r="A1372" s="358" t="s">
        <v>14486</v>
      </c>
      <c r="B1372" s="290" t="s">
        <v>27910</v>
      </c>
      <c r="C1372" s="294"/>
      <c r="D1372" s="295"/>
      <c r="E1372" s="362"/>
      <c r="F1372" s="294"/>
      <c r="G1372" s="294"/>
      <c r="H1372" s="363"/>
    </row>
    <row r="1373" spans="1:8" ht="15.75" customHeight="1">
      <c r="A1373" s="292" t="s">
        <v>6</v>
      </c>
      <c r="B1373" s="364" t="s">
        <v>7050</v>
      </c>
      <c r="C1373" s="294" t="s">
        <v>7049</v>
      </c>
      <c r="D1373" s="295" t="s">
        <v>24</v>
      </c>
      <c r="E1373" s="365" t="s">
        <v>7046</v>
      </c>
      <c r="F1373" s="294" t="s">
        <v>254</v>
      </c>
      <c r="G1373" s="294" t="s">
        <v>7047</v>
      </c>
      <c r="H1373" s="363" t="s">
        <v>7048</v>
      </c>
    </row>
    <row r="1374" spans="1:8" ht="15.75" customHeight="1">
      <c r="A1374" s="120" t="s">
        <v>7</v>
      </c>
      <c r="B1374" s="298">
        <v>44719</v>
      </c>
      <c r="C1374" s="165" t="s">
        <v>13234</v>
      </c>
      <c r="D1374" s="113" t="s">
        <v>8</v>
      </c>
      <c r="E1374" s="59">
        <v>225</v>
      </c>
      <c r="F1374" s="165" t="s">
        <v>13236</v>
      </c>
      <c r="G1374" s="165" t="s">
        <v>13235</v>
      </c>
      <c r="H1374" s="299" t="s">
        <v>27421</v>
      </c>
    </row>
    <row r="1375" spans="1:8" ht="15.75" customHeight="1">
      <c r="A1375" s="120" t="s">
        <v>50</v>
      </c>
      <c r="B1375" s="298">
        <v>44719</v>
      </c>
      <c r="C1375" s="165" t="s">
        <v>7756</v>
      </c>
      <c r="D1375" s="113" t="s">
        <v>8</v>
      </c>
      <c r="E1375" s="59">
        <v>225</v>
      </c>
      <c r="F1375" s="165" t="s">
        <v>7753</v>
      </c>
      <c r="G1375" s="165" t="s">
        <v>7754</v>
      </c>
      <c r="H1375" s="299" t="s">
        <v>7755</v>
      </c>
    </row>
    <row r="1376" spans="1:8" ht="15.75" customHeight="1">
      <c r="A1376" s="120" t="s">
        <v>52</v>
      </c>
      <c r="B1376" s="298">
        <v>44718</v>
      </c>
      <c r="C1376" s="165" t="s">
        <v>27880</v>
      </c>
      <c r="D1376" s="113" t="s">
        <v>8</v>
      </c>
      <c r="E1376" s="59">
        <v>200</v>
      </c>
      <c r="F1376" s="165" t="s">
        <v>13217</v>
      </c>
      <c r="G1376" s="165" t="s">
        <v>27881</v>
      </c>
      <c r="H1376" s="299" t="s">
        <v>27945</v>
      </c>
    </row>
    <row r="1377" spans="1:8" ht="15.75" customHeight="1" thickBot="1">
      <c r="A1377" s="300" t="str">
        <f>CONCATENATE("MEDIANA - ",A1372)</f>
        <v>MEDIANA - COT204</v>
      </c>
      <c r="B1377" s="115"/>
      <c r="C1377" s="115"/>
      <c r="D1377" s="301"/>
      <c r="E1377" s="150">
        <f>MEDIAN(E1374:E1376)</f>
        <v>225</v>
      </c>
      <c r="F1377" s="301"/>
      <c r="G1377" s="301"/>
      <c r="H1377" s="302"/>
    </row>
    <row r="1378" spans="1:8" ht="15.75" customHeight="1" thickBot="1">
      <c r="A1378" s="282"/>
      <c r="B1378" s="283"/>
      <c r="C1378" s="283"/>
      <c r="D1378" s="283"/>
      <c r="E1378" s="283"/>
      <c r="F1378" s="283"/>
      <c r="G1378" s="283"/>
      <c r="H1378" s="284"/>
    </row>
    <row r="1379" spans="1:8" ht="15.75" customHeight="1">
      <c r="A1379" s="358" t="s">
        <v>14487</v>
      </c>
      <c r="B1379" s="290" t="s">
        <v>27911</v>
      </c>
      <c r="C1379" s="294"/>
      <c r="D1379" s="295"/>
      <c r="E1379" s="362"/>
      <c r="F1379" s="294"/>
      <c r="G1379" s="294"/>
      <c r="H1379" s="363"/>
    </row>
    <row r="1380" spans="1:8" ht="15.75" customHeight="1">
      <c r="A1380" s="292" t="s">
        <v>6</v>
      </c>
      <c r="B1380" s="364" t="s">
        <v>7050</v>
      </c>
      <c r="C1380" s="294" t="s">
        <v>7049</v>
      </c>
      <c r="D1380" s="295" t="s">
        <v>24</v>
      </c>
      <c r="E1380" s="365" t="s">
        <v>7046</v>
      </c>
      <c r="F1380" s="294" t="s">
        <v>254</v>
      </c>
      <c r="G1380" s="294" t="s">
        <v>7047</v>
      </c>
      <c r="H1380" s="363" t="s">
        <v>7048</v>
      </c>
    </row>
    <row r="1381" spans="1:8" ht="15.75" customHeight="1">
      <c r="A1381" s="120" t="s">
        <v>7</v>
      </c>
      <c r="B1381" s="298">
        <v>44718</v>
      </c>
      <c r="C1381" s="165" t="s">
        <v>27726</v>
      </c>
      <c r="D1381" s="113" t="s">
        <v>27912</v>
      </c>
      <c r="E1381" s="59">
        <v>7</v>
      </c>
      <c r="F1381" s="165" t="s">
        <v>13218</v>
      </c>
      <c r="G1381" s="165" t="s">
        <v>7603</v>
      </c>
      <c r="H1381" s="299" t="s">
        <v>7604</v>
      </c>
    </row>
    <row r="1382" spans="1:8" ht="15.75" customHeight="1">
      <c r="A1382" s="120" t="s">
        <v>50</v>
      </c>
      <c r="B1382" s="298">
        <v>44718</v>
      </c>
      <c r="C1382" s="165" t="s">
        <v>13216</v>
      </c>
      <c r="D1382" s="113" t="s">
        <v>27912</v>
      </c>
      <c r="E1382" s="59">
        <v>8</v>
      </c>
      <c r="F1382" s="165" t="s">
        <v>7753</v>
      </c>
      <c r="G1382" s="165" t="s">
        <v>7754</v>
      </c>
      <c r="H1382" s="299" t="s">
        <v>7755</v>
      </c>
    </row>
    <row r="1383" spans="1:8" ht="15.75" customHeight="1">
      <c r="A1383" s="120" t="s">
        <v>52</v>
      </c>
      <c r="B1383" s="298">
        <v>44728</v>
      </c>
      <c r="C1383" s="165" t="s">
        <v>13282</v>
      </c>
      <c r="D1383" s="113" t="s">
        <v>27912</v>
      </c>
      <c r="E1383" s="57">
        <v>1.94</v>
      </c>
      <c r="F1383" s="165" t="s">
        <v>27269</v>
      </c>
      <c r="G1383" s="165" t="s">
        <v>14203</v>
      </c>
      <c r="H1383" s="303" t="s">
        <v>27913</v>
      </c>
    </row>
    <row r="1384" spans="1:8" ht="15.75" customHeight="1" thickBot="1">
      <c r="A1384" s="300" t="str">
        <f>CONCATENATE("MEDIANA - ",A1379)</f>
        <v>MEDIANA - COT205</v>
      </c>
      <c r="B1384" s="115"/>
      <c r="C1384" s="115"/>
      <c r="D1384" s="301"/>
      <c r="E1384" s="150">
        <f>MEDIAN(E1381:E1383)</f>
        <v>7</v>
      </c>
      <c r="F1384" s="301"/>
      <c r="G1384" s="301"/>
      <c r="H1384" s="302"/>
    </row>
    <row r="1385" spans="1:8" ht="15.75" customHeight="1" thickBot="1">
      <c r="A1385" s="272"/>
      <c r="B1385" s="114"/>
      <c r="C1385" s="114"/>
      <c r="D1385" s="114"/>
      <c r="E1385" s="114"/>
      <c r="F1385" s="114"/>
      <c r="G1385" s="114"/>
      <c r="H1385" s="288"/>
    </row>
    <row r="1386" spans="1:8" ht="15.75" customHeight="1">
      <c r="A1386" s="358" t="s">
        <v>14488</v>
      </c>
      <c r="B1386" s="290" t="s">
        <v>27914</v>
      </c>
      <c r="C1386" s="294"/>
      <c r="D1386" s="295"/>
      <c r="E1386" s="362"/>
      <c r="F1386" s="294"/>
      <c r="G1386" s="294"/>
      <c r="H1386" s="363"/>
    </row>
    <row r="1387" spans="1:8" ht="15.75" customHeight="1">
      <c r="A1387" s="292" t="s">
        <v>6</v>
      </c>
      <c r="B1387" s="364" t="s">
        <v>7050</v>
      </c>
      <c r="C1387" s="294" t="s">
        <v>7049</v>
      </c>
      <c r="D1387" s="295" t="s">
        <v>24</v>
      </c>
      <c r="E1387" s="365" t="s">
        <v>7046</v>
      </c>
      <c r="F1387" s="294" t="s">
        <v>254</v>
      </c>
      <c r="G1387" s="294" t="s">
        <v>7047</v>
      </c>
      <c r="H1387" s="363" t="s">
        <v>7048</v>
      </c>
    </row>
    <row r="1388" spans="1:8" ht="15.75" customHeight="1">
      <c r="A1388" s="120" t="s">
        <v>7</v>
      </c>
      <c r="B1388" s="298">
        <v>44718</v>
      </c>
      <c r="C1388" s="165" t="s">
        <v>27726</v>
      </c>
      <c r="D1388" s="113" t="s">
        <v>8</v>
      </c>
      <c r="E1388" s="59">
        <v>14</v>
      </c>
      <c r="F1388" s="165" t="s">
        <v>13218</v>
      </c>
      <c r="G1388" s="165" t="s">
        <v>7603</v>
      </c>
      <c r="H1388" s="299" t="s">
        <v>7604</v>
      </c>
    </row>
    <row r="1389" spans="1:8" ht="15.75" customHeight="1">
      <c r="A1389" s="120" t="s">
        <v>50</v>
      </c>
      <c r="B1389" s="298">
        <v>44719</v>
      </c>
      <c r="C1389" s="165" t="s">
        <v>27727</v>
      </c>
      <c r="D1389" s="113" t="s">
        <v>8</v>
      </c>
      <c r="E1389" s="59">
        <v>14.9</v>
      </c>
      <c r="F1389" s="165" t="s">
        <v>7753</v>
      </c>
      <c r="G1389" s="165" t="s">
        <v>7754</v>
      </c>
      <c r="H1389" s="299" t="s">
        <v>7755</v>
      </c>
    </row>
    <row r="1390" spans="1:8" ht="15.75" customHeight="1">
      <c r="A1390" s="120" t="s">
        <v>52</v>
      </c>
      <c r="B1390" s="298">
        <v>44718</v>
      </c>
      <c r="C1390" s="165" t="s">
        <v>27880</v>
      </c>
      <c r="D1390" s="113" t="s">
        <v>8</v>
      </c>
      <c r="E1390" s="59">
        <v>15</v>
      </c>
      <c r="F1390" s="165" t="s">
        <v>13217</v>
      </c>
      <c r="G1390" s="165" t="s">
        <v>27881</v>
      </c>
      <c r="H1390" s="299" t="s">
        <v>13219</v>
      </c>
    </row>
    <row r="1391" spans="1:8" ht="15.75" customHeight="1" thickBot="1">
      <c r="A1391" s="300" t="str">
        <f>CONCATENATE("MEDIANA - ",A1386)</f>
        <v>MEDIANA - COT206</v>
      </c>
      <c r="B1391" s="115"/>
      <c r="C1391" s="115"/>
      <c r="D1391" s="301"/>
      <c r="E1391" s="150">
        <f>MEDIAN(E1388:E1390)</f>
        <v>14.9</v>
      </c>
      <c r="F1391" s="301"/>
      <c r="G1391" s="301"/>
      <c r="H1391" s="302"/>
    </row>
    <row r="1392" spans="1:8" ht="15.75" customHeight="1" thickBot="1">
      <c r="A1392" s="272"/>
      <c r="B1392" s="114"/>
      <c r="C1392" s="114"/>
      <c r="D1392" s="114"/>
      <c r="E1392" s="114"/>
      <c r="F1392" s="114"/>
      <c r="G1392" s="114"/>
      <c r="H1392" s="288"/>
    </row>
    <row r="1393" spans="1:8" ht="15.75" customHeight="1" thickBot="1">
      <c r="A1393" s="285" t="s">
        <v>7543</v>
      </c>
      <c r="B1393" s="286"/>
      <c r="C1393" s="286"/>
      <c r="D1393" s="286"/>
      <c r="E1393" s="286"/>
      <c r="F1393" s="286"/>
      <c r="G1393" s="286"/>
      <c r="H1393" s="287"/>
    </row>
    <row r="1394" spans="1:8" ht="15.75" customHeight="1" thickBot="1">
      <c r="A1394" s="272"/>
      <c r="B1394" s="114"/>
      <c r="C1394" s="114"/>
      <c r="D1394" s="114"/>
      <c r="E1394" s="114"/>
      <c r="F1394" s="114"/>
      <c r="G1394" s="114"/>
      <c r="H1394" s="288"/>
    </row>
    <row r="1395" spans="1:8" ht="15.75" customHeight="1">
      <c r="A1395" s="358" t="s">
        <v>14489</v>
      </c>
      <c r="B1395" s="170" t="s">
        <v>27915</v>
      </c>
      <c r="C1395" s="366"/>
      <c r="D1395" s="367"/>
      <c r="E1395" s="368"/>
      <c r="F1395" s="366"/>
      <c r="G1395" s="366"/>
      <c r="H1395" s="369"/>
    </row>
    <row r="1396" spans="1:8" ht="15.75" customHeight="1">
      <c r="A1396" s="292" t="s">
        <v>6</v>
      </c>
      <c r="B1396" s="370" t="s">
        <v>7050</v>
      </c>
      <c r="C1396" s="366" t="s">
        <v>7049</v>
      </c>
      <c r="D1396" s="367" t="s">
        <v>24</v>
      </c>
      <c r="E1396" s="371" t="s">
        <v>7046</v>
      </c>
      <c r="F1396" s="366" t="s">
        <v>254</v>
      </c>
      <c r="G1396" s="366" t="s">
        <v>7047</v>
      </c>
      <c r="H1396" s="369" t="s">
        <v>7048</v>
      </c>
    </row>
    <row r="1397" spans="1:8" ht="15.75" customHeight="1">
      <c r="A1397" s="120" t="s">
        <v>7</v>
      </c>
      <c r="B1397" s="298">
        <v>44720</v>
      </c>
      <c r="C1397" s="165" t="s">
        <v>13177</v>
      </c>
      <c r="D1397" s="113" t="s">
        <v>32</v>
      </c>
      <c r="E1397" s="57">
        <v>1452.18</v>
      </c>
      <c r="F1397" s="165" t="s">
        <v>13194</v>
      </c>
      <c r="G1397" s="165" t="s">
        <v>13195</v>
      </c>
      <c r="H1397" s="299" t="s">
        <v>13178</v>
      </c>
    </row>
    <row r="1398" spans="1:8" ht="15.75" customHeight="1">
      <c r="A1398" s="120" t="s">
        <v>50</v>
      </c>
      <c r="B1398" s="298">
        <v>44720</v>
      </c>
      <c r="C1398" s="165" t="s">
        <v>27728</v>
      </c>
      <c r="D1398" s="113" t="s">
        <v>32</v>
      </c>
      <c r="E1398" s="59">
        <v>1247.5</v>
      </c>
      <c r="F1398" s="165" t="s">
        <v>13148</v>
      </c>
      <c r="G1398" s="165" t="s">
        <v>13149</v>
      </c>
      <c r="H1398" s="299" t="s">
        <v>13150</v>
      </c>
    </row>
    <row r="1399" spans="1:8" ht="15.75" customHeight="1">
      <c r="A1399" s="120" t="s">
        <v>52</v>
      </c>
      <c r="B1399" s="298">
        <v>44718</v>
      </c>
      <c r="C1399" s="165" t="s">
        <v>13179</v>
      </c>
      <c r="D1399" s="113" t="s">
        <v>32</v>
      </c>
      <c r="E1399" s="57">
        <v>1440</v>
      </c>
      <c r="F1399" s="165" t="s">
        <v>13205</v>
      </c>
      <c r="G1399" s="165" t="s">
        <v>13197</v>
      </c>
      <c r="H1399" s="299" t="s">
        <v>13180</v>
      </c>
    </row>
    <row r="1400" spans="1:8" ht="15.75" customHeight="1" thickBot="1">
      <c r="A1400" s="300" t="str">
        <f>CONCATENATE("MEDIANA - ",A1395)</f>
        <v>MEDIANA - COT209</v>
      </c>
      <c r="B1400" s="115"/>
      <c r="C1400" s="115"/>
      <c r="D1400" s="301"/>
      <c r="E1400" s="150">
        <f>MEDIAN(E1397:E1399)</f>
        <v>1440</v>
      </c>
      <c r="F1400" s="301"/>
      <c r="G1400" s="301"/>
      <c r="H1400" s="302"/>
    </row>
    <row r="1401" spans="1:8" ht="15.75" customHeight="1" thickBot="1">
      <c r="A1401" s="282"/>
      <c r="B1401" s="283"/>
      <c r="C1401" s="283"/>
      <c r="D1401" s="283"/>
      <c r="E1401" s="283"/>
      <c r="F1401" s="283"/>
      <c r="G1401" s="283"/>
      <c r="H1401" s="284"/>
    </row>
    <row r="1402" spans="1:8" ht="15.75" customHeight="1">
      <c r="A1402" s="358" t="s">
        <v>14490</v>
      </c>
      <c r="B1402" s="372" t="s">
        <v>27916</v>
      </c>
      <c r="C1402" s="294"/>
      <c r="D1402" s="295"/>
      <c r="E1402" s="362"/>
      <c r="F1402" s="294"/>
      <c r="G1402" s="294"/>
      <c r="H1402" s="363"/>
    </row>
    <row r="1403" spans="1:8" ht="15.75" customHeight="1">
      <c r="A1403" s="292" t="s">
        <v>6</v>
      </c>
      <c r="B1403" s="364" t="s">
        <v>7050</v>
      </c>
      <c r="C1403" s="294" t="s">
        <v>7049</v>
      </c>
      <c r="D1403" s="295" t="s">
        <v>24</v>
      </c>
      <c r="E1403" s="365" t="s">
        <v>7046</v>
      </c>
      <c r="F1403" s="294" t="s">
        <v>254</v>
      </c>
      <c r="G1403" s="294" t="s">
        <v>7047</v>
      </c>
      <c r="H1403" s="363" t="s">
        <v>7048</v>
      </c>
    </row>
    <row r="1404" spans="1:8" ht="15.75" customHeight="1">
      <c r="A1404" s="120" t="s">
        <v>7</v>
      </c>
      <c r="B1404" s="298">
        <v>44720</v>
      </c>
      <c r="C1404" s="165" t="s">
        <v>27729</v>
      </c>
      <c r="D1404" s="113" t="s">
        <v>32</v>
      </c>
      <c r="E1404" s="59">
        <v>62.9</v>
      </c>
      <c r="F1404" s="165" t="s">
        <v>13203</v>
      </c>
      <c r="G1404" s="165" t="s">
        <v>13204</v>
      </c>
      <c r="H1404" s="299" t="s">
        <v>27730</v>
      </c>
    </row>
    <row r="1405" spans="1:8" ht="15.75" customHeight="1">
      <c r="A1405" s="120" t="s">
        <v>50</v>
      </c>
      <c r="B1405" s="298">
        <v>44718</v>
      </c>
      <c r="C1405" s="165" t="s">
        <v>13179</v>
      </c>
      <c r="D1405" s="113" t="s">
        <v>32</v>
      </c>
      <c r="E1405" s="57">
        <v>38.908999999999999</v>
      </c>
      <c r="F1405" s="165" t="s">
        <v>13205</v>
      </c>
      <c r="G1405" s="165" t="s">
        <v>13197</v>
      </c>
      <c r="H1405" s="299" t="s">
        <v>13180</v>
      </c>
    </row>
    <row r="1406" spans="1:8" ht="15.75" customHeight="1">
      <c r="A1406" s="120" t="s">
        <v>52</v>
      </c>
      <c r="B1406" s="298">
        <v>44713</v>
      </c>
      <c r="C1406" s="165" t="s">
        <v>27731</v>
      </c>
      <c r="D1406" s="113" t="s">
        <v>32</v>
      </c>
      <c r="E1406" s="59">
        <v>76.150000000000006</v>
      </c>
      <c r="F1406" s="165" t="s">
        <v>13198</v>
      </c>
      <c r="G1406" s="165" t="s">
        <v>13181</v>
      </c>
      <c r="H1406" s="299" t="s">
        <v>13199</v>
      </c>
    </row>
    <row r="1407" spans="1:8" ht="15.75" customHeight="1" thickBot="1">
      <c r="A1407" s="300" t="str">
        <f>CONCATENATE("MEDIANA - ",A1402)</f>
        <v>MEDIANA - COT210</v>
      </c>
      <c r="B1407" s="115"/>
      <c r="C1407" s="115"/>
      <c r="D1407" s="301"/>
      <c r="E1407" s="150">
        <f>MEDIAN(E1404:E1406)</f>
        <v>62.9</v>
      </c>
      <c r="F1407" s="301"/>
      <c r="G1407" s="301"/>
      <c r="H1407" s="302"/>
    </row>
    <row r="1408" spans="1:8" ht="15.75" customHeight="1" thickBot="1">
      <c r="A1408" s="282"/>
      <c r="B1408" s="283"/>
      <c r="C1408" s="283"/>
      <c r="D1408" s="283"/>
      <c r="E1408" s="283"/>
      <c r="F1408" s="283"/>
      <c r="G1408" s="283"/>
      <c r="H1408" s="284"/>
    </row>
    <row r="1409" spans="1:8" ht="15.75" customHeight="1">
      <c r="A1409" s="358" t="s">
        <v>14491</v>
      </c>
      <c r="B1409" s="373" t="s">
        <v>27917</v>
      </c>
      <c r="C1409" s="294"/>
      <c r="D1409" s="295"/>
      <c r="E1409" s="362"/>
      <c r="F1409" s="294"/>
      <c r="G1409" s="294"/>
      <c r="H1409" s="363"/>
    </row>
    <row r="1410" spans="1:8" ht="15.75" customHeight="1">
      <c r="A1410" s="292" t="s">
        <v>6</v>
      </c>
      <c r="B1410" s="364" t="s">
        <v>7050</v>
      </c>
      <c r="C1410" s="294" t="s">
        <v>7049</v>
      </c>
      <c r="D1410" s="295" t="s">
        <v>24</v>
      </c>
      <c r="E1410" s="365" t="s">
        <v>7046</v>
      </c>
      <c r="F1410" s="294" t="s">
        <v>254</v>
      </c>
      <c r="G1410" s="294" t="s">
        <v>7047</v>
      </c>
      <c r="H1410" s="363" t="s">
        <v>7048</v>
      </c>
    </row>
    <row r="1411" spans="1:8" ht="15.75" customHeight="1">
      <c r="A1411" s="120" t="s">
        <v>7</v>
      </c>
      <c r="B1411" s="298">
        <v>44720</v>
      </c>
      <c r="C1411" s="165" t="s">
        <v>27729</v>
      </c>
      <c r="D1411" s="113" t="s">
        <v>32</v>
      </c>
      <c r="E1411" s="59">
        <v>31.45</v>
      </c>
      <c r="F1411" s="165" t="s">
        <v>13203</v>
      </c>
      <c r="G1411" s="165" t="s">
        <v>13204</v>
      </c>
      <c r="H1411" s="299" t="s">
        <v>27730</v>
      </c>
    </row>
    <row r="1412" spans="1:8" ht="15.75" customHeight="1">
      <c r="A1412" s="120" t="s">
        <v>50</v>
      </c>
      <c r="B1412" s="298">
        <v>44718</v>
      </c>
      <c r="C1412" s="165" t="s">
        <v>13179</v>
      </c>
      <c r="D1412" s="113" t="s">
        <v>32</v>
      </c>
      <c r="E1412" s="57">
        <v>38.908999999999999</v>
      </c>
      <c r="F1412" s="165" t="s">
        <v>13205</v>
      </c>
      <c r="G1412" s="165" t="s">
        <v>13197</v>
      </c>
      <c r="H1412" s="299" t="s">
        <v>13180</v>
      </c>
    </row>
    <row r="1413" spans="1:8" ht="15.75" customHeight="1">
      <c r="A1413" s="120" t="s">
        <v>52</v>
      </c>
      <c r="B1413" s="298">
        <v>44713</v>
      </c>
      <c r="C1413" s="165" t="s">
        <v>27731</v>
      </c>
      <c r="D1413" s="113" t="s">
        <v>32</v>
      </c>
      <c r="E1413" s="59">
        <v>66.69</v>
      </c>
      <c r="F1413" s="165" t="s">
        <v>13198</v>
      </c>
      <c r="G1413" s="165" t="s">
        <v>13200</v>
      </c>
      <c r="H1413" s="299" t="s">
        <v>13199</v>
      </c>
    </row>
    <row r="1414" spans="1:8" ht="15.75" customHeight="1" thickBot="1">
      <c r="A1414" s="300" t="str">
        <f>CONCATENATE("MEDIANA - ",A1409)</f>
        <v>MEDIANA - COT211</v>
      </c>
      <c r="B1414" s="115"/>
      <c r="C1414" s="115"/>
      <c r="D1414" s="301"/>
      <c r="E1414" s="150">
        <f>MEDIAN(E1411:E1413)</f>
        <v>38.908999999999999</v>
      </c>
      <c r="F1414" s="301"/>
      <c r="G1414" s="301"/>
      <c r="H1414" s="302"/>
    </row>
    <row r="1415" spans="1:8" ht="15.75" customHeight="1" thickBot="1">
      <c r="A1415" s="282"/>
      <c r="B1415" s="283"/>
      <c r="C1415" s="283"/>
      <c r="D1415" s="283"/>
      <c r="E1415" s="283"/>
      <c r="F1415" s="283"/>
      <c r="G1415" s="283"/>
      <c r="H1415" s="284"/>
    </row>
    <row r="1416" spans="1:8" ht="15.75" customHeight="1">
      <c r="A1416" s="358" t="s">
        <v>14492</v>
      </c>
      <c r="B1416" s="372" t="s">
        <v>27918</v>
      </c>
      <c r="C1416" s="294"/>
      <c r="D1416" s="295"/>
      <c r="E1416" s="362"/>
      <c r="F1416" s="294"/>
      <c r="G1416" s="294"/>
      <c r="H1416" s="363"/>
    </row>
    <row r="1417" spans="1:8" ht="15.75" customHeight="1">
      <c r="A1417" s="292" t="s">
        <v>6</v>
      </c>
      <c r="B1417" s="364" t="s">
        <v>7050</v>
      </c>
      <c r="C1417" s="294" t="s">
        <v>7049</v>
      </c>
      <c r="D1417" s="295" t="s">
        <v>24</v>
      </c>
      <c r="E1417" s="365" t="s">
        <v>7046</v>
      </c>
      <c r="F1417" s="294" t="s">
        <v>254</v>
      </c>
      <c r="G1417" s="294" t="s">
        <v>7047</v>
      </c>
      <c r="H1417" s="363" t="s">
        <v>7048</v>
      </c>
    </row>
    <row r="1418" spans="1:8" ht="15.75" customHeight="1">
      <c r="A1418" s="120" t="s">
        <v>7</v>
      </c>
      <c r="B1418" s="298">
        <v>44722</v>
      </c>
      <c r="C1418" s="165" t="s">
        <v>13274</v>
      </c>
      <c r="D1418" s="113" t="s">
        <v>32</v>
      </c>
      <c r="E1418" s="57">
        <f>76.51/10</f>
        <v>7.6510000000000007</v>
      </c>
      <c r="F1418" s="165" t="s">
        <v>27282</v>
      </c>
      <c r="G1418" s="165" t="s">
        <v>13275</v>
      </c>
      <c r="H1418" s="299" t="s">
        <v>27785</v>
      </c>
    </row>
    <row r="1419" spans="1:8" ht="15.75" customHeight="1">
      <c r="A1419" s="120" t="s">
        <v>50</v>
      </c>
      <c r="B1419" s="298">
        <v>44722</v>
      </c>
      <c r="C1419" s="165" t="s">
        <v>13282</v>
      </c>
      <c r="D1419" s="113" t="s">
        <v>32</v>
      </c>
      <c r="E1419" s="57">
        <f>62.99/10</f>
        <v>6.2990000000000004</v>
      </c>
      <c r="F1419" s="165" t="s">
        <v>27269</v>
      </c>
      <c r="G1419" s="165" t="s">
        <v>14203</v>
      </c>
      <c r="H1419" s="299" t="s">
        <v>27786</v>
      </c>
    </row>
    <row r="1420" spans="1:8" ht="15.75" customHeight="1">
      <c r="A1420" s="120" t="s">
        <v>52</v>
      </c>
      <c r="B1420" s="298">
        <v>44722</v>
      </c>
      <c r="C1420" s="165" t="s">
        <v>7242</v>
      </c>
      <c r="D1420" s="113" t="s">
        <v>32</v>
      </c>
      <c r="E1420" s="59">
        <f>286.2/50</f>
        <v>5.7240000000000002</v>
      </c>
      <c r="F1420" s="165" t="s">
        <v>27268</v>
      </c>
      <c r="G1420" s="165" t="s">
        <v>13281</v>
      </c>
      <c r="H1420" s="299" t="s">
        <v>27787</v>
      </c>
    </row>
    <row r="1421" spans="1:8" ht="15.75" customHeight="1" thickBot="1">
      <c r="A1421" s="300" t="str">
        <f>CONCATENATE("MEDIANA - ",A1416)</f>
        <v>MEDIANA - COT212</v>
      </c>
      <c r="B1421" s="115"/>
      <c r="C1421" s="115"/>
      <c r="D1421" s="301"/>
      <c r="E1421" s="150">
        <f>MEDIAN(E1418:E1420)</f>
        <v>6.2990000000000004</v>
      </c>
      <c r="F1421" s="301"/>
      <c r="G1421" s="301"/>
      <c r="H1421" s="302"/>
    </row>
    <row r="1422" spans="1:8" ht="15.75" customHeight="1" thickBot="1">
      <c r="A1422" s="282"/>
      <c r="B1422" s="283"/>
      <c r="C1422" s="283"/>
      <c r="D1422" s="283"/>
      <c r="E1422" s="283"/>
      <c r="F1422" s="283"/>
      <c r="G1422" s="283"/>
      <c r="H1422" s="284"/>
    </row>
    <row r="1423" spans="1:8" ht="15.75" customHeight="1">
      <c r="A1423" s="358" t="s">
        <v>14493</v>
      </c>
      <c r="B1423" s="372" t="s">
        <v>27919</v>
      </c>
      <c r="C1423" s="294"/>
      <c r="D1423" s="295"/>
      <c r="E1423" s="362"/>
      <c r="F1423" s="294"/>
      <c r="G1423" s="294"/>
      <c r="H1423" s="363"/>
    </row>
    <row r="1424" spans="1:8" ht="15.75" customHeight="1">
      <c r="A1424" s="292" t="s">
        <v>6</v>
      </c>
      <c r="B1424" s="364" t="s">
        <v>7050</v>
      </c>
      <c r="C1424" s="294" t="s">
        <v>7049</v>
      </c>
      <c r="D1424" s="295" t="s">
        <v>24</v>
      </c>
      <c r="E1424" s="365" t="s">
        <v>7046</v>
      </c>
      <c r="F1424" s="294" t="s">
        <v>254</v>
      </c>
      <c r="G1424" s="294" t="s">
        <v>7047</v>
      </c>
      <c r="H1424" s="363" t="s">
        <v>7048</v>
      </c>
    </row>
    <row r="1425" spans="1:8" ht="15.75" customHeight="1">
      <c r="A1425" s="120" t="s">
        <v>7</v>
      </c>
      <c r="B1425" s="298">
        <v>44713</v>
      </c>
      <c r="C1425" s="165" t="s">
        <v>27731</v>
      </c>
      <c r="D1425" s="113" t="s">
        <v>32</v>
      </c>
      <c r="E1425" s="57">
        <v>10.7</v>
      </c>
      <c r="F1425" s="165" t="s">
        <v>13198</v>
      </c>
      <c r="G1425" s="165" t="s">
        <v>13200</v>
      </c>
      <c r="H1425" s="299" t="s">
        <v>13199</v>
      </c>
    </row>
    <row r="1426" spans="1:8" ht="15.75" customHeight="1">
      <c r="A1426" s="120" t="s">
        <v>50</v>
      </c>
      <c r="B1426" s="298">
        <v>44720</v>
      </c>
      <c r="C1426" s="165" t="s">
        <v>27729</v>
      </c>
      <c r="D1426" s="113" t="s">
        <v>32</v>
      </c>
      <c r="E1426" s="59">
        <v>8.91</v>
      </c>
      <c r="F1426" s="165" t="s">
        <v>13203</v>
      </c>
      <c r="G1426" s="165" t="s">
        <v>13204</v>
      </c>
      <c r="H1426" s="299" t="s">
        <v>27730</v>
      </c>
    </row>
    <row r="1427" spans="1:8" ht="15.75" customHeight="1">
      <c r="A1427" s="120" t="s">
        <v>52</v>
      </c>
      <c r="B1427" s="298">
        <v>44720</v>
      </c>
      <c r="C1427" s="165" t="s">
        <v>27734</v>
      </c>
      <c r="D1427" s="113" t="s">
        <v>32</v>
      </c>
      <c r="E1427" s="59">
        <v>13.88</v>
      </c>
      <c r="F1427" s="165" t="s">
        <v>13201</v>
      </c>
      <c r="G1427" s="165" t="s">
        <v>13202</v>
      </c>
      <c r="H1427" s="299" t="s">
        <v>13150</v>
      </c>
    </row>
    <row r="1428" spans="1:8" ht="15.75" customHeight="1" thickBot="1">
      <c r="A1428" s="300" t="str">
        <f>CONCATENATE("MEDIANA - ",A1423)</f>
        <v>MEDIANA - COT213</v>
      </c>
      <c r="B1428" s="115"/>
      <c r="C1428" s="115"/>
      <c r="D1428" s="301"/>
      <c r="E1428" s="150">
        <f>MEDIAN(E1425:E1427)</f>
        <v>10.7</v>
      </c>
      <c r="F1428" s="301"/>
      <c r="G1428" s="301"/>
      <c r="H1428" s="302"/>
    </row>
    <row r="1429" spans="1:8" ht="15.75" customHeight="1" thickBot="1">
      <c r="A1429" s="282"/>
      <c r="B1429" s="283"/>
      <c r="C1429" s="283"/>
      <c r="D1429" s="283"/>
      <c r="E1429" s="283"/>
      <c r="F1429" s="283"/>
      <c r="G1429" s="283"/>
      <c r="H1429" s="284"/>
    </row>
    <row r="1430" spans="1:8" ht="15.75" customHeight="1">
      <c r="A1430" s="358" t="s">
        <v>14494</v>
      </c>
      <c r="B1430" s="372" t="s">
        <v>27920</v>
      </c>
      <c r="C1430" s="294"/>
      <c r="D1430" s="295"/>
      <c r="E1430" s="362"/>
      <c r="F1430" s="294"/>
      <c r="G1430" s="294"/>
      <c r="H1430" s="363"/>
    </row>
    <row r="1431" spans="1:8" ht="15.75" customHeight="1">
      <c r="A1431" s="292" t="s">
        <v>6</v>
      </c>
      <c r="B1431" s="364" t="s">
        <v>7050</v>
      </c>
      <c r="C1431" s="294" t="s">
        <v>7049</v>
      </c>
      <c r="D1431" s="295" t="s">
        <v>24</v>
      </c>
      <c r="E1431" s="365" t="s">
        <v>7046</v>
      </c>
      <c r="F1431" s="294" t="s">
        <v>254</v>
      </c>
      <c r="G1431" s="294" t="s">
        <v>7047</v>
      </c>
      <c r="H1431" s="363" t="s">
        <v>7048</v>
      </c>
    </row>
    <row r="1432" spans="1:8" s="114" customFormat="1" ht="15.75" customHeight="1">
      <c r="A1432" s="120" t="s">
        <v>7</v>
      </c>
      <c r="B1432" s="298">
        <v>44718</v>
      </c>
      <c r="C1432" s="165" t="s">
        <v>13179</v>
      </c>
      <c r="D1432" s="113" t="s">
        <v>32</v>
      </c>
      <c r="E1432" s="57">
        <v>24.23</v>
      </c>
      <c r="F1432" s="165" t="s">
        <v>13205</v>
      </c>
      <c r="G1432" s="165" t="s">
        <v>13197</v>
      </c>
      <c r="H1432" s="299" t="s">
        <v>13180</v>
      </c>
    </row>
    <row r="1433" spans="1:8" ht="15.75" customHeight="1">
      <c r="A1433" s="120" t="s">
        <v>50</v>
      </c>
      <c r="B1433" s="298">
        <v>44713</v>
      </c>
      <c r="C1433" s="165" t="s">
        <v>27732</v>
      </c>
      <c r="D1433" s="113" t="s">
        <v>32</v>
      </c>
      <c r="E1433" s="59">
        <v>40.83</v>
      </c>
      <c r="F1433" s="165" t="s">
        <v>13198</v>
      </c>
      <c r="G1433" s="165" t="s">
        <v>13200</v>
      </c>
      <c r="H1433" s="299" t="s">
        <v>13199</v>
      </c>
    </row>
    <row r="1434" spans="1:8" ht="15.75" customHeight="1">
      <c r="A1434" s="120" t="s">
        <v>52</v>
      </c>
      <c r="B1434" s="298">
        <v>44718</v>
      </c>
      <c r="C1434" s="165" t="s">
        <v>27733</v>
      </c>
      <c r="D1434" s="113" t="s">
        <v>32</v>
      </c>
      <c r="E1434" s="59">
        <v>39.83</v>
      </c>
      <c r="F1434" s="165" t="s">
        <v>13203</v>
      </c>
      <c r="G1434" s="165" t="s">
        <v>13204</v>
      </c>
      <c r="H1434" s="299" t="s">
        <v>27921</v>
      </c>
    </row>
    <row r="1435" spans="1:8" ht="15.75" customHeight="1" thickBot="1">
      <c r="A1435" s="300" t="str">
        <f>CONCATENATE("MEDIANA - ",A1430)</f>
        <v>MEDIANA - COT214</v>
      </c>
      <c r="B1435" s="115"/>
      <c r="C1435" s="115"/>
      <c r="D1435" s="301"/>
      <c r="E1435" s="150">
        <f>MEDIAN(E1432:E1434)</f>
        <v>39.83</v>
      </c>
      <c r="F1435" s="301"/>
      <c r="G1435" s="301"/>
      <c r="H1435" s="302"/>
    </row>
    <row r="1436" spans="1:8" ht="15.75" customHeight="1" thickBot="1">
      <c r="A1436" s="282"/>
      <c r="B1436" s="283"/>
      <c r="C1436" s="283"/>
      <c r="D1436" s="283"/>
      <c r="E1436" s="283"/>
      <c r="F1436" s="283"/>
      <c r="G1436" s="283"/>
      <c r="H1436" s="284"/>
    </row>
    <row r="1437" spans="1:8" ht="15.75" customHeight="1">
      <c r="A1437" s="358" t="s">
        <v>14495</v>
      </c>
      <c r="B1437" s="374" t="s">
        <v>27922</v>
      </c>
      <c r="C1437" s="294"/>
      <c r="D1437" s="295"/>
      <c r="E1437" s="362"/>
      <c r="F1437" s="294"/>
      <c r="G1437" s="294"/>
      <c r="H1437" s="363"/>
    </row>
    <row r="1438" spans="1:8" ht="15.75" customHeight="1">
      <c r="A1438" s="292" t="s">
        <v>6</v>
      </c>
      <c r="B1438" s="364" t="s">
        <v>7050</v>
      </c>
      <c r="C1438" s="294" t="s">
        <v>7049</v>
      </c>
      <c r="D1438" s="295" t="s">
        <v>24</v>
      </c>
      <c r="E1438" s="365" t="s">
        <v>7046</v>
      </c>
      <c r="F1438" s="294" t="s">
        <v>254</v>
      </c>
      <c r="G1438" s="294" t="s">
        <v>7047</v>
      </c>
      <c r="H1438" s="363" t="s">
        <v>7048</v>
      </c>
    </row>
    <row r="1439" spans="1:8" ht="15.75" customHeight="1">
      <c r="A1439" s="120" t="s">
        <v>7</v>
      </c>
      <c r="B1439" s="298">
        <v>44718</v>
      </c>
      <c r="C1439" s="165" t="s">
        <v>13179</v>
      </c>
      <c r="D1439" s="113" t="s">
        <v>32</v>
      </c>
      <c r="E1439" s="57">
        <v>24.23</v>
      </c>
      <c r="F1439" s="165" t="s">
        <v>13205</v>
      </c>
      <c r="G1439" s="165" t="s">
        <v>13197</v>
      </c>
      <c r="H1439" s="299" t="s">
        <v>13180</v>
      </c>
    </row>
    <row r="1440" spans="1:8" ht="15.75" customHeight="1">
      <c r="A1440" s="120" t="s">
        <v>50</v>
      </c>
      <c r="B1440" s="298">
        <v>44713</v>
      </c>
      <c r="C1440" s="165" t="s">
        <v>27732</v>
      </c>
      <c r="D1440" s="113" t="s">
        <v>32</v>
      </c>
      <c r="E1440" s="59">
        <v>40.83</v>
      </c>
      <c r="F1440" s="165" t="s">
        <v>13198</v>
      </c>
      <c r="G1440" s="165" t="s">
        <v>13200</v>
      </c>
      <c r="H1440" s="299" t="s">
        <v>13199</v>
      </c>
    </row>
    <row r="1441" spans="1:8" s="375" customFormat="1" ht="15.75" customHeight="1">
      <c r="A1441" s="120" t="s">
        <v>52</v>
      </c>
      <c r="B1441" s="298">
        <v>44718</v>
      </c>
      <c r="C1441" s="165" t="s">
        <v>27733</v>
      </c>
      <c r="D1441" s="113" t="s">
        <v>32</v>
      </c>
      <c r="E1441" s="59">
        <v>39.83</v>
      </c>
      <c r="F1441" s="165" t="s">
        <v>13203</v>
      </c>
      <c r="G1441" s="165" t="s">
        <v>13204</v>
      </c>
      <c r="H1441" s="299" t="s">
        <v>27921</v>
      </c>
    </row>
    <row r="1442" spans="1:8" ht="15.75" customHeight="1" thickBot="1">
      <c r="A1442" s="300" t="str">
        <f>CONCATENATE("MEDIANA - ",A1437)</f>
        <v>MEDIANA - COT215</v>
      </c>
      <c r="B1442" s="115"/>
      <c r="C1442" s="115"/>
      <c r="D1442" s="301"/>
      <c r="E1442" s="150">
        <f>MEDIAN(E1439:E1441)</f>
        <v>39.83</v>
      </c>
      <c r="F1442" s="301"/>
      <c r="G1442" s="301"/>
      <c r="H1442" s="302"/>
    </row>
    <row r="1443" spans="1:8" ht="15.75" customHeight="1" thickBot="1">
      <c r="A1443" s="282"/>
      <c r="B1443" s="283"/>
      <c r="C1443" s="283"/>
      <c r="D1443" s="283"/>
      <c r="E1443" s="283"/>
      <c r="F1443" s="283"/>
      <c r="G1443" s="283"/>
      <c r="H1443" s="284"/>
    </row>
    <row r="1444" spans="1:8" ht="15.75" customHeight="1">
      <c r="A1444" s="358" t="s">
        <v>14496</v>
      </c>
      <c r="B1444" s="170" t="s">
        <v>27923</v>
      </c>
      <c r="C1444" s="294"/>
      <c r="D1444" s="295"/>
      <c r="E1444" s="362"/>
      <c r="F1444" s="294"/>
      <c r="G1444" s="294"/>
      <c r="H1444" s="363"/>
    </row>
    <row r="1445" spans="1:8" ht="15.75" customHeight="1">
      <c r="A1445" s="292" t="s">
        <v>6</v>
      </c>
      <c r="B1445" s="364" t="s">
        <v>7050</v>
      </c>
      <c r="C1445" s="294" t="s">
        <v>7049</v>
      </c>
      <c r="D1445" s="295" t="s">
        <v>24</v>
      </c>
      <c r="E1445" s="365" t="s">
        <v>7046</v>
      </c>
      <c r="F1445" s="294" t="s">
        <v>254</v>
      </c>
      <c r="G1445" s="294" t="s">
        <v>7047</v>
      </c>
      <c r="H1445" s="363" t="s">
        <v>7048</v>
      </c>
    </row>
    <row r="1446" spans="1:8" ht="15.75" customHeight="1">
      <c r="A1446" s="120" t="s">
        <v>7</v>
      </c>
      <c r="B1446" s="298">
        <v>44714</v>
      </c>
      <c r="C1446" s="165" t="s">
        <v>27735</v>
      </c>
      <c r="D1446" s="113" t="s">
        <v>32</v>
      </c>
      <c r="E1446" s="59">
        <v>23.47</v>
      </c>
      <c r="F1446" s="299" t="s">
        <v>13154</v>
      </c>
      <c r="G1446" s="165" t="s">
        <v>7544</v>
      </c>
      <c r="H1446" s="303" t="s">
        <v>27736</v>
      </c>
    </row>
    <row r="1447" spans="1:8" ht="15.75" customHeight="1">
      <c r="A1447" s="120" t="s">
        <v>50</v>
      </c>
      <c r="B1447" s="298">
        <v>44714</v>
      </c>
      <c r="C1447" s="165" t="s">
        <v>13282</v>
      </c>
      <c r="D1447" s="113" t="s">
        <v>32</v>
      </c>
      <c r="E1447" s="59">
        <v>31.85</v>
      </c>
      <c r="F1447" s="165" t="s">
        <v>27269</v>
      </c>
      <c r="G1447" s="165" t="s">
        <v>14203</v>
      </c>
      <c r="H1447" s="303" t="s">
        <v>27737</v>
      </c>
    </row>
    <row r="1448" spans="1:8" s="375" customFormat="1" ht="15.75" customHeight="1">
      <c r="A1448" s="120" t="s">
        <v>52</v>
      </c>
      <c r="B1448" s="298">
        <v>44719</v>
      </c>
      <c r="C1448" s="165" t="s">
        <v>13401</v>
      </c>
      <c r="D1448" s="113" t="s">
        <v>32</v>
      </c>
      <c r="E1448" s="328">
        <v>22.5</v>
      </c>
      <c r="F1448" s="165" t="s">
        <v>13402</v>
      </c>
      <c r="G1448" s="165" t="s">
        <v>13403</v>
      </c>
      <c r="H1448" s="376" t="s">
        <v>27738</v>
      </c>
    </row>
    <row r="1449" spans="1:8" ht="15.75" customHeight="1" thickBot="1">
      <c r="A1449" s="300" t="str">
        <f>CONCATENATE("MEDIANA - ",A1444)</f>
        <v>MEDIANA - COT216</v>
      </c>
      <c r="B1449" s="115"/>
      <c r="C1449" s="115"/>
      <c r="D1449" s="301"/>
      <c r="E1449" s="150">
        <f>MEDIAN(E1446:E1448)</f>
        <v>23.47</v>
      </c>
      <c r="F1449" s="301"/>
      <c r="G1449" s="301"/>
      <c r="H1449" s="302"/>
    </row>
    <row r="1450" spans="1:8" ht="15.75" customHeight="1" thickBot="1">
      <c r="A1450" s="282"/>
      <c r="B1450" s="283"/>
      <c r="C1450" s="283"/>
      <c r="D1450" s="283"/>
      <c r="E1450" s="283"/>
      <c r="F1450" s="283"/>
      <c r="G1450" s="283"/>
      <c r="H1450" s="284"/>
    </row>
    <row r="1451" spans="1:8" ht="15.75" customHeight="1">
      <c r="A1451" s="358" t="s">
        <v>14497</v>
      </c>
      <c r="B1451" s="372" t="s">
        <v>27924</v>
      </c>
      <c r="C1451" s="294"/>
      <c r="D1451" s="295"/>
      <c r="E1451" s="362"/>
      <c r="F1451" s="294"/>
      <c r="G1451" s="294"/>
      <c r="H1451" s="363"/>
    </row>
    <row r="1452" spans="1:8" ht="15.75" customHeight="1">
      <c r="A1452" s="292" t="s">
        <v>6</v>
      </c>
      <c r="B1452" s="364" t="s">
        <v>7050</v>
      </c>
      <c r="C1452" s="294" t="s">
        <v>7049</v>
      </c>
      <c r="D1452" s="295" t="s">
        <v>24</v>
      </c>
      <c r="E1452" s="365" t="s">
        <v>7046</v>
      </c>
      <c r="F1452" s="294" t="s">
        <v>254</v>
      </c>
      <c r="G1452" s="294" t="s">
        <v>7047</v>
      </c>
      <c r="H1452" s="363" t="s">
        <v>7048</v>
      </c>
    </row>
    <row r="1453" spans="1:8" ht="15.75" customHeight="1">
      <c r="A1453" s="120" t="s">
        <v>7</v>
      </c>
      <c r="B1453" s="298">
        <v>44720</v>
      </c>
      <c r="C1453" s="165" t="s">
        <v>27729</v>
      </c>
      <c r="D1453" s="113" t="s">
        <v>32</v>
      </c>
      <c r="E1453" s="59">
        <v>230.63800000000001</v>
      </c>
      <c r="F1453" s="165" t="s">
        <v>13203</v>
      </c>
      <c r="G1453" s="165" t="s">
        <v>13204</v>
      </c>
      <c r="H1453" s="299" t="s">
        <v>27739</v>
      </c>
    </row>
    <row r="1454" spans="1:8" ht="15.75" customHeight="1">
      <c r="A1454" s="120" t="s">
        <v>50</v>
      </c>
      <c r="B1454" s="298">
        <v>44718</v>
      </c>
      <c r="C1454" s="165" t="s">
        <v>13179</v>
      </c>
      <c r="D1454" s="113" t="s">
        <v>32</v>
      </c>
      <c r="E1454" s="57">
        <v>155.89500000000001</v>
      </c>
      <c r="F1454" s="264" t="s">
        <v>13196</v>
      </c>
      <c r="G1454" s="165" t="s">
        <v>13197</v>
      </c>
      <c r="H1454" s="299" t="s">
        <v>13180</v>
      </c>
    </row>
    <row r="1455" spans="1:8" s="375" customFormat="1" ht="15.75" customHeight="1">
      <c r="A1455" s="120" t="s">
        <v>52</v>
      </c>
      <c r="B1455" s="298">
        <v>44720</v>
      </c>
      <c r="C1455" s="165" t="s">
        <v>27740</v>
      </c>
      <c r="D1455" s="113" t="s">
        <v>32</v>
      </c>
      <c r="E1455" s="59">
        <v>316.916</v>
      </c>
      <c r="F1455" s="165" t="s">
        <v>13201</v>
      </c>
      <c r="G1455" s="165" t="s">
        <v>13202</v>
      </c>
      <c r="H1455" s="299" t="s">
        <v>13150</v>
      </c>
    </row>
    <row r="1456" spans="1:8" ht="15.75" customHeight="1" thickBot="1">
      <c r="A1456" s="300" t="str">
        <f>CONCATENATE("MEDIANA - ",A1451)</f>
        <v>MEDIANA - COT217</v>
      </c>
      <c r="B1456" s="115"/>
      <c r="C1456" s="115"/>
      <c r="D1456" s="301"/>
      <c r="E1456" s="150">
        <f>MEDIAN(E1453:E1455)</f>
        <v>230.63800000000001</v>
      </c>
      <c r="F1456" s="301"/>
      <c r="G1456" s="301"/>
      <c r="H1456" s="302"/>
    </row>
    <row r="1457" spans="1:8" ht="15.75" customHeight="1" thickBot="1">
      <c r="A1457" s="282"/>
      <c r="B1457" s="283"/>
      <c r="C1457" s="283"/>
      <c r="D1457" s="283"/>
      <c r="E1457" s="283"/>
      <c r="F1457" s="283"/>
      <c r="G1457" s="283"/>
      <c r="H1457" s="284"/>
    </row>
    <row r="1458" spans="1:8" ht="15.75" customHeight="1" thickBot="1">
      <c r="A1458" s="285" t="s">
        <v>13223</v>
      </c>
      <c r="B1458" s="286"/>
      <c r="C1458" s="286"/>
      <c r="D1458" s="286"/>
      <c r="E1458" s="286"/>
      <c r="F1458" s="286"/>
      <c r="G1458" s="286"/>
      <c r="H1458" s="287"/>
    </row>
    <row r="1459" spans="1:8" ht="15.75" customHeight="1" thickBot="1">
      <c r="A1459" s="282"/>
      <c r="B1459" s="283"/>
      <c r="C1459" s="283"/>
      <c r="D1459" s="283"/>
      <c r="E1459" s="283"/>
      <c r="F1459" s="283"/>
      <c r="G1459" s="283"/>
      <c r="H1459" s="284"/>
    </row>
    <row r="1460" spans="1:8" ht="15.75" customHeight="1">
      <c r="A1460" s="358" t="s">
        <v>14498</v>
      </c>
      <c r="B1460" s="294" t="s">
        <v>13224</v>
      </c>
      <c r="C1460" s="294"/>
      <c r="D1460" s="295"/>
      <c r="E1460" s="362"/>
      <c r="F1460" s="294"/>
      <c r="G1460" s="294"/>
      <c r="H1460" s="363"/>
    </row>
    <row r="1461" spans="1:8" ht="15.75" customHeight="1">
      <c r="A1461" s="292" t="s">
        <v>6</v>
      </c>
      <c r="B1461" s="364" t="s">
        <v>7050</v>
      </c>
      <c r="C1461" s="294" t="s">
        <v>7049</v>
      </c>
      <c r="D1461" s="295" t="s">
        <v>24</v>
      </c>
      <c r="E1461" s="365" t="s">
        <v>7046</v>
      </c>
      <c r="F1461" s="294" t="s">
        <v>254</v>
      </c>
      <c r="G1461" s="294" t="s">
        <v>7047</v>
      </c>
      <c r="H1461" s="363" t="s">
        <v>7048</v>
      </c>
    </row>
    <row r="1462" spans="1:8" ht="15.75" customHeight="1">
      <c r="A1462" s="120" t="s">
        <v>7</v>
      </c>
      <c r="B1462" s="298">
        <v>44718</v>
      </c>
      <c r="C1462" s="165" t="s">
        <v>27741</v>
      </c>
      <c r="D1462" s="113" t="s">
        <v>12</v>
      </c>
      <c r="E1462" s="57">
        <f>447.97/(1.2*3)</f>
        <v>124.43611111111113</v>
      </c>
      <c r="F1462" s="299" t="s">
        <v>13226</v>
      </c>
      <c r="G1462" s="165" t="s">
        <v>13227</v>
      </c>
      <c r="H1462" s="299" t="s">
        <v>13228</v>
      </c>
    </row>
    <row r="1463" spans="1:8" s="375" customFormat="1" ht="15.75" customHeight="1">
      <c r="A1463" s="120" t="s">
        <v>50</v>
      </c>
      <c r="B1463" s="298">
        <v>44718</v>
      </c>
      <c r="C1463" s="165" t="s">
        <v>27742</v>
      </c>
      <c r="D1463" s="113" t="s">
        <v>12</v>
      </c>
      <c r="E1463" s="57">
        <f>303.3/(1.2*3)</f>
        <v>84.250000000000014</v>
      </c>
      <c r="F1463" s="264" t="s">
        <v>13229</v>
      </c>
      <c r="G1463" s="165" t="s">
        <v>13230</v>
      </c>
      <c r="H1463" s="299" t="s">
        <v>13231</v>
      </c>
    </row>
    <row r="1464" spans="1:8" ht="15.75" customHeight="1">
      <c r="A1464" s="120" t="s">
        <v>52</v>
      </c>
      <c r="B1464" s="298">
        <v>44720</v>
      </c>
      <c r="C1464" s="165" t="s">
        <v>27743</v>
      </c>
      <c r="D1464" s="113" t="s">
        <v>12</v>
      </c>
      <c r="E1464" s="59">
        <f>327.51/(1.2*3)</f>
        <v>90.975000000000009</v>
      </c>
      <c r="F1464" s="165" t="s">
        <v>13232</v>
      </c>
      <c r="G1464" s="264" t="s">
        <v>13233</v>
      </c>
      <c r="H1464" s="299" t="s">
        <v>27744</v>
      </c>
    </row>
    <row r="1465" spans="1:8" ht="15.75" customHeight="1" thickBot="1">
      <c r="A1465" s="300" t="str">
        <f>CONCATENATE("MEDIANA - ",A1460)</f>
        <v>MEDIANA - COT218</v>
      </c>
      <c r="B1465" s="115"/>
      <c r="C1465" s="115"/>
      <c r="D1465" s="301"/>
      <c r="E1465" s="150">
        <f>MEDIAN(E1462:E1464)</f>
        <v>90.975000000000009</v>
      </c>
      <c r="F1465" s="301"/>
      <c r="G1465" s="301"/>
      <c r="H1465" s="302"/>
    </row>
    <row r="1466" spans="1:8" ht="15.75" customHeight="1" thickBot="1">
      <c r="A1466" s="282"/>
      <c r="B1466" s="283"/>
      <c r="C1466" s="283"/>
      <c r="D1466" s="283"/>
      <c r="E1466" s="283"/>
      <c r="F1466" s="283"/>
      <c r="G1466" s="283"/>
      <c r="H1466" s="284"/>
    </row>
    <row r="1467" spans="1:8" ht="15.75" customHeight="1">
      <c r="A1467" s="358" t="s">
        <v>14499</v>
      </c>
      <c r="B1467" s="337" t="s">
        <v>13260</v>
      </c>
      <c r="C1467" s="337"/>
      <c r="D1467" s="337"/>
      <c r="E1467" s="337"/>
      <c r="F1467" s="337"/>
      <c r="G1467" s="337"/>
      <c r="H1467" s="338"/>
    </row>
    <row r="1468" spans="1:8" ht="15.75" customHeight="1">
      <c r="A1468" s="292" t="s">
        <v>6</v>
      </c>
      <c r="B1468" s="293" t="s">
        <v>7050</v>
      </c>
      <c r="C1468" s="293" t="s">
        <v>7049</v>
      </c>
      <c r="D1468" s="295" t="s">
        <v>24</v>
      </c>
      <c r="E1468" s="296" t="s">
        <v>7046</v>
      </c>
      <c r="F1468" s="293" t="s">
        <v>254</v>
      </c>
      <c r="G1468" s="293" t="s">
        <v>7047</v>
      </c>
      <c r="H1468" s="297" t="s">
        <v>7048</v>
      </c>
    </row>
    <row r="1469" spans="1:8" ht="15.75" customHeight="1">
      <c r="A1469" s="120" t="s">
        <v>7</v>
      </c>
      <c r="B1469" s="298">
        <v>44719</v>
      </c>
      <c r="C1469" s="165" t="s">
        <v>27745</v>
      </c>
      <c r="D1469" s="113" t="s">
        <v>24</v>
      </c>
      <c r="E1469" s="57">
        <v>10.625999999999999</v>
      </c>
      <c r="F1469" s="299" t="s">
        <v>27746</v>
      </c>
      <c r="G1469" s="165" t="s">
        <v>27747</v>
      </c>
      <c r="H1469" s="303" t="s">
        <v>27748</v>
      </c>
    </row>
    <row r="1470" spans="1:8" s="375" customFormat="1" ht="15.75" customHeight="1">
      <c r="A1470" s="120" t="s">
        <v>50</v>
      </c>
      <c r="B1470" s="298">
        <v>44707</v>
      </c>
      <c r="C1470" s="165" t="s">
        <v>27319</v>
      </c>
      <c r="D1470" s="113" t="s">
        <v>24</v>
      </c>
      <c r="E1470" s="57">
        <v>9.9</v>
      </c>
      <c r="F1470" s="264" t="s">
        <v>27320</v>
      </c>
      <c r="G1470" s="165" t="s">
        <v>27423</v>
      </c>
      <c r="H1470" s="303" t="s">
        <v>27424</v>
      </c>
    </row>
    <row r="1471" spans="1:8" ht="15.75" customHeight="1">
      <c r="A1471" s="120" t="s">
        <v>52</v>
      </c>
      <c r="B1471" s="298">
        <v>44714</v>
      </c>
      <c r="C1471" s="165" t="s">
        <v>27311</v>
      </c>
      <c r="D1471" s="113" t="s">
        <v>24</v>
      </c>
      <c r="E1471" s="59">
        <v>9.17</v>
      </c>
      <c r="F1471" s="165" t="s">
        <v>27312</v>
      </c>
      <c r="G1471" s="264" t="s">
        <v>27313</v>
      </c>
      <c r="H1471" s="303" t="s">
        <v>27425</v>
      </c>
    </row>
    <row r="1472" spans="1:8" s="375" customFormat="1" ht="15.75" customHeight="1" thickBot="1">
      <c r="A1472" s="300" t="str">
        <f>CONCATENATE("MEDIANA - ",A1467)</f>
        <v>MEDIANA - COT219</v>
      </c>
      <c r="B1472" s="115"/>
      <c r="C1472" s="115"/>
      <c r="D1472" s="301"/>
      <c r="E1472" s="150">
        <f>MEDIAN(E1469:E1471)</f>
        <v>9.9</v>
      </c>
      <c r="F1472" s="301"/>
      <c r="G1472" s="377"/>
      <c r="H1472" s="302"/>
    </row>
    <row r="1473" spans="1:8" ht="15.75" customHeight="1" thickBot="1">
      <c r="A1473" s="282"/>
      <c r="B1473" s="283"/>
      <c r="C1473" s="283"/>
      <c r="D1473" s="283"/>
      <c r="E1473" s="283"/>
      <c r="F1473" s="283"/>
      <c r="G1473" s="378"/>
      <c r="H1473" s="284"/>
    </row>
    <row r="1474" spans="1:8" ht="15.75" customHeight="1">
      <c r="A1474" s="358" t="s">
        <v>14500</v>
      </c>
      <c r="B1474" s="337" t="s">
        <v>13258</v>
      </c>
      <c r="C1474" s="337"/>
      <c r="D1474" s="337"/>
      <c r="E1474" s="337"/>
      <c r="F1474" s="337"/>
      <c r="G1474" s="379"/>
      <c r="H1474" s="338"/>
    </row>
    <row r="1475" spans="1:8" ht="15.75" customHeight="1">
      <c r="A1475" s="292" t="s">
        <v>6</v>
      </c>
      <c r="B1475" s="293" t="s">
        <v>7050</v>
      </c>
      <c r="C1475" s="293" t="s">
        <v>7049</v>
      </c>
      <c r="D1475" s="295" t="s">
        <v>24</v>
      </c>
      <c r="E1475" s="296" t="s">
        <v>7046</v>
      </c>
      <c r="F1475" s="293" t="s">
        <v>254</v>
      </c>
      <c r="G1475" s="362" t="s">
        <v>7047</v>
      </c>
      <c r="H1475" s="297" t="s">
        <v>7048</v>
      </c>
    </row>
    <row r="1476" spans="1:8" s="375" customFormat="1" ht="15.75" customHeight="1">
      <c r="A1476" s="120" t="s">
        <v>7</v>
      </c>
      <c r="B1476" s="298">
        <v>44719</v>
      </c>
      <c r="C1476" s="166" t="s">
        <v>27291</v>
      </c>
      <c r="D1476" s="113" t="s">
        <v>24</v>
      </c>
      <c r="E1476" s="318">
        <v>0.47</v>
      </c>
      <c r="F1476" s="299">
        <v>8006377246</v>
      </c>
      <c r="G1476" s="320" t="s">
        <v>27327</v>
      </c>
      <c r="H1476" s="303" t="s">
        <v>27749</v>
      </c>
    </row>
    <row r="1477" spans="1:8" ht="15.75" customHeight="1">
      <c r="A1477" s="120" t="s">
        <v>50</v>
      </c>
      <c r="B1477" s="298">
        <v>44707</v>
      </c>
      <c r="C1477" s="165" t="s">
        <v>27426</v>
      </c>
      <c r="D1477" s="113" t="s">
        <v>24</v>
      </c>
      <c r="E1477" s="59">
        <v>0.3</v>
      </c>
      <c r="F1477" s="165" t="s">
        <v>27427</v>
      </c>
      <c r="G1477" s="264" t="s">
        <v>27428</v>
      </c>
      <c r="H1477" s="303" t="s">
        <v>27429</v>
      </c>
    </row>
    <row r="1478" spans="1:8" ht="15.75" customHeight="1">
      <c r="A1478" s="120" t="s">
        <v>52</v>
      </c>
      <c r="B1478" s="298">
        <v>44707</v>
      </c>
      <c r="C1478" s="165" t="s">
        <v>27311</v>
      </c>
      <c r="D1478" s="113" t="s">
        <v>24</v>
      </c>
      <c r="E1478" s="59">
        <v>0.31</v>
      </c>
      <c r="F1478" s="165" t="s">
        <v>27312</v>
      </c>
      <c r="G1478" s="264" t="s">
        <v>27313</v>
      </c>
      <c r="H1478" s="303" t="s">
        <v>27430</v>
      </c>
    </row>
    <row r="1479" spans="1:8" ht="15.75" customHeight="1" thickBot="1">
      <c r="A1479" s="300" t="str">
        <f>CONCATENATE("MEDIANA - ",A1474)</f>
        <v>MEDIANA - COT220</v>
      </c>
      <c r="B1479" s="115"/>
      <c r="C1479" s="115"/>
      <c r="D1479" s="301"/>
      <c r="E1479" s="150">
        <f>MEDIAN(E1476:E1478)</f>
        <v>0.31</v>
      </c>
      <c r="F1479" s="301"/>
      <c r="G1479" s="377"/>
      <c r="H1479" s="302"/>
    </row>
    <row r="1480" spans="1:8" ht="15.75" customHeight="1" thickBot="1">
      <c r="A1480" s="282"/>
      <c r="B1480" s="283"/>
      <c r="C1480" s="283"/>
      <c r="D1480" s="283"/>
      <c r="E1480" s="283"/>
      <c r="F1480" s="283"/>
      <c r="G1480" s="378"/>
      <c r="H1480" s="284"/>
    </row>
    <row r="1481" spans="1:8" ht="15.75" customHeight="1">
      <c r="A1481" s="358" t="s">
        <v>14501</v>
      </c>
      <c r="B1481" s="337" t="s">
        <v>13259</v>
      </c>
      <c r="C1481" s="337"/>
      <c r="D1481" s="337"/>
      <c r="E1481" s="337"/>
      <c r="F1481" s="337"/>
      <c r="G1481" s="379"/>
      <c r="H1481" s="338"/>
    </row>
    <row r="1482" spans="1:8" ht="15.75" customHeight="1">
      <c r="A1482" s="292" t="s">
        <v>6</v>
      </c>
      <c r="B1482" s="293" t="s">
        <v>7050</v>
      </c>
      <c r="C1482" s="293" t="s">
        <v>7049</v>
      </c>
      <c r="D1482" s="295" t="s">
        <v>24</v>
      </c>
      <c r="E1482" s="296" t="s">
        <v>7046</v>
      </c>
      <c r="F1482" s="293" t="s">
        <v>254</v>
      </c>
      <c r="G1482" s="362" t="s">
        <v>7047</v>
      </c>
      <c r="H1482" s="297" t="s">
        <v>7048</v>
      </c>
    </row>
    <row r="1483" spans="1:8" ht="15.75" customHeight="1">
      <c r="A1483" s="120" t="s">
        <v>7</v>
      </c>
      <c r="B1483" s="298">
        <v>44719</v>
      </c>
      <c r="C1483" s="165" t="s">
        <v>27745</v>
      </c>
      <c r="D1483" s="113" t="s">
        <v>24</v>
      </c>
      <c r="E1483" s="57">
        <v>0.23699999999999999</v>
      </c>
      <c r="F1483" s="299" t="s">
        <v>27746</v>
      </c>
      <c r="G1483" s="165" t="s">
        <v>27747</v>
      </c>
      <c r="H1483" s="303" t="s">
        <v>27750</v>
      </c>
    </row>
    <row r="1484" spans="1:8" ht="15.75" customHeight="1">
      <c r="A1484" s="120" t="s">
        <v>50</v>
      </c>
      <c r="B1484" s="298">
        <v>44707</v>
      </c>
      <c r="C1484" s="165" t="s">
        <v>27431</v>
      </c>
      <c r="D1484" s="113" t="s">
        <v>24</v>
      </c>
      <c r="E1484" s="57">
        <v>0.32</v>
      </c>
      <c r="F1484" s="264" t="s">
        <v>27432</v>
      </c>
      <c r="G1484" s="165" t="s">
        <v>27433</v>
      </c>
      <c r="H1484" s="303" t="s">
        <v>27434</v>
      </c>
    </row>
    <row r="1485" spans="1:8" ht="15.75" customHeight="1">
      <c r="A1485" s="120" t="s">
        <v>52</v>
      </c>
      <c r="B1485" s="298">
        <v>44707</v>
      </c>
      <c r="C1485" s="165" t="s">
        <v>27311</v>
      </c>
      <c r="D1485" s="113" t="s">
        <v>24</v>
      </c>
      <c r="E1485" s="59">
        <v>0.31</v>
      </c>
      <c r="F1485" s="165" t="s">
        <v>27435</v>
      </c>
      <c r="G1485" s="264" t="s">
        <v>27436</v>
      </c>
      <c r="H1485" s="303" t="s">
        <v>27437</v>
      </c>
    </row>
    <row r="1486" spans="1:8" ht="15.75" customHeight="1" thickBot="1">
      <c r="A1486" s="300" t="str">
        <f>CONCATENATE("MEDIANA - ",A1481)</f>
        <v>MEDIANA - COT221</v>
      </c>
      <c r="B1486" s="115"/>
      <c r="C1486" s="115"/>
      <c r="D1486" s="301"/>
      <c r="E1486" s="150">
        <f>MEDIAN(E1483:E1485)</f>
        <v>0.31</v>
      </c>
      <c r="F1486" s="301"/>
      <c r="G1486" s="377"/>
      <c r="H1486" s="302"/>
    </row>
    <row r="1487" spans="1:8" ht="15.75" customHeight="1" thickBot="1">
      <c r="A1487" s="282"/>
      <c r="B1487" s="283"/>
      <c r="C1487" s="283"/>
      <c r="D1487" s="283"/>
      <c r="E1487" s="283"/>
      <c r="F1487" s="283"/>
      <c r="G1487" s="378"/>
      <c r="H1487" s="284"/>
    </row>
    <row r="1488" spans="1:8" ht="15.75" customHeight="1">
      <c r="A1488" s="358" t="s">
        <v>14502</v>
      </c>
      <c r="B1488" s="337" t="s">
        <v>27762</v>
      </c>
      <c r="C1488" s="337"/>
      <c r="D1488" s="337"/>
      <c r="E1488" s="337"/>
      <c r="F1488" s="337"/>
      <c r="G1488" s="379"/>
      <c r="H1488" s="338"/>
    </row>
    <row r="1489" spans="1:8" ht="15.75" customHeight="1">
      <c r="A1489" s="292" t="s">
        <v>6</v>
      </c>
      <c r="B1489" s="293" t="s">
        <v>7050</v>
      </c>
      <c r="C1489" s="293" t="s">
        <v>7049</v>
      </c>
      <c r="D1489" s="295" t="s">
        <v>24</v>
      </c>
      <c r="E1489" s="296" t="s">
        <v>7046</v>
      </c>
      <c r="F1489" s="293" t="s">
        <v>254</v>
      </c>
      <c r="G1489" s="362" t="s">
        <v>7047</v>
      </c>
      <c r="H1489" s="297" t="s">
        <v>7048</v>
      </c>
    </row>
    <row r="1490" spans="1:8" ht="15.75" customHeight="1">
      <c r="A1490" s="120" t="s">
        <v>7</v>
      </c>
      <c r="B1490" s="298">
        <v>44722</v>
      </c>
      <c r="C1490" s="165" t="s">
        <v>13125</v>
      </c>
      <c r="D1490" s="113" t="s">
        <v>24</v>
      </c>
      <c r="E1490" s="57">
        <f>181.75/6</f>
        <v>30.291666666666668</v>
      </c>
      <c r="F1490" s="165" t="s">
        <v>13183</v>
      </c>
      <c r="G1490" s="165" t="s">
        <v>13126</v>
      </c>
      <c r="H1490" s="299" t="s">
        <v>27751</v>
      </c>
    </row>
    <row r="1491" spans="1:8" ht="15.75" customHeight="1">
      <c r="A1491" s="120" t="s">
        <v>50</v>
      </c>
      <c r="B1491" s="298">
        <v>44722</v>
      </c>
      <c r="C1491" s="165" t="s">
        <v>13225</v>
      </c>
      <c r="D1491" s="113" t="s">
        <v>24</v>
      </c>
      <c r="E1491" s="57">
        <f>182.19/6</f>
        <v>30.364999999999998</v>
      </c>
      <c r="F1491" s="299" t="s">
        <v>13226</v>
      </c>
      <c r="G1491" s="165" t="s">
        <v>27752</v>
      </c>
      <c r="H1491" s="299" t="s">
        <v>27753</v>
      </c>
    </row>
    <row r="1492" spans="1:8" ht="15.75" customHeight="1">
      <c r="A1492" s="120" t="s">
        <v>52</v>
      </c>
      <c r="B1492" s="298">
        <v>44728</v>
      </c>
      <c r="C1492" s="165" t="s">
        <v>27925</v>
      </c>
      <c r="D1492" s="113" t="s">
        <v>24</v>
      </c>
      <c r="E1492" s="57">
        <f>214.45/6</f>
        <v>35.741666666666667</v>
      </c>
      <c r="F1492" s="165" t="s">
        <v>27926</v>
      </c>
      <c r="G1492" s="165" t="s">
        <v>27927</v>
      </c>
      <c r="H1492" s="299" t="s">
        <v>27928</v>
      </c>
    </row>
    <row r="1493" spans="1:8" ht="15.75" customHeight="1" thickBot="1">
      <c r="A1493" s="300" t="str">
        <f>CONCATENATE("MEDIANA - ",A1488)</f>
        <v>MEDIANA - COT222</v>
      </c>
      <c r="B1493" s="115"/>
      <c r="C1493" s="115"/>
      <c r="D1493" s="301"/>
      <c r="E1493" s="150">
        <f>MEDIAN(E1490:E1492)</f>
        <v>30.364999999999998</v>
      </c>
      <c r="F1493" s="301"/>
      <c r="G1493" s="377"/>
      <c r="H1493" s="302"/>
    </row>
    <row r="1494" spans="1:8" ht="15.75" customHeight="1" thickBot="1">
      <c r="A1494" s="282"/>
      <c r="B1494" s="283"/>
      <c r="C1494" s="283"/>
      <c r="D1494" s="283"/>
      <c r="E1494" s="283"/>
      <c r="F1494" s="283"/>
      <c r="G1494" s="378"/>
      <c r="H1494" s="284"/>
    </row>
    <row r="1495" spans="1:8" ht="15.75" customHeight="1">
      <c r="A1495" s="380" t="s">
        <v>14503</v>
      </c>
      <c r="B1495" s="290" t="s">
        <v>14176</v>
      </c>
      <c r="C1495" s="290"/>
      <c r="D1495" s="337"/>
      <c r="E1495" s="337"/>
      <c r="F1495" s="337"/>
      <c r="G1495" s="379"/>
      <c r="H1495" s="338"/>
    </row>
    <row r="1496" spans="1:8" ht="15.75" customHeight="1">
      <c r="A1496" s="292" t="s">
        <v>6</v>
      </c>
      <c r="B1496" s="293" t="s">
        <v>7050</v>
      </c>
      <c r="C1496" s="293" t="s">
        <v>7049</v>
      </c>
      <c r="D1496" s="295" t="s">
        <v>24</v>
      </c>
      <c r="E1496" s="296" t="s">
        <v>7046</v>
      </c>
      <c r="F1496" s="293" t="s">
        <v>254</v>
      </c>
      <c r="G1496" s="362" t="s">
        <v>7047</v>
      </c>
      <c r="H1496" s="297" t="s">
        <v>7048</v>
      </c>
    </row>
    <row r="1497" spans="1:8" ht="15.75" customHeight="1">
      <c r="A1497" s="120" t="s">
        <v>7</v>
      </c>
      <c r="B1497" s="327">
        <v>44704</v>
      </c>
      <c r="C1497" s="165" t="s">
        <v>27763</v>
      </c>
      <c r="D1497" s="113" t="s">
        <v>24</v>
      </c>
      <c r="E1497" s="57">
        <v>5.99</v>
      </c>
      <c r="F1497" s="328" t="s">
        <v>27764</v>
      </c>
      <c r="G1497" s="328" t="s">
        <v>27765</v>
      </c>
      <c r="H1497" s="381" t="s">
        <v>27766</v>
      </c>
    </row>
    <row r="1498" spans="1:8" ht="15.75" customHeight="1">
      <c r="A1498" s="120" t="s">
        <v>50</v>
      </c>
      <c r="B1498" s="327">
        <v>44726</v>
      </c>
      <c r="C1498" s="165" t="s">
        <v>27438</v>
      </c>
      <c r="D1498" s="113" t="s">
        <v>32</v>
      </c>
      <c r="E1498" s="148">
        <v>6.75</v>
      </c>
      <c r="F1498" s="328" t="s">
        <v>27439</v>
      </c>
      <c r="G1498" s="328" t="s">
        <v>27440</v>
      </c>
      <c r="H1498" s="381" t="s">
        <v>27767</v>
      </c>
    </row>
    <row r="1499" spans="1:8" s="375" customFormat="1" ht="15.75" customHeight="1">
      <c r="A1499" s="120" t="s">
        <v>52</v>
      </c>
      <c r="B1499" s="327">
        <v>44726</v>
      </c>
      <c r="C1499" s="165" t="s">
        <v>13179</v>
      </c>
      <c r="D1499" s="113" t="s">
        <v>32</v>
      </c>
      <c r="E1499" s="57">
        <v>5.55</v>
      </c>
      <c r="F1499" s="165" t="s">
        <v>13205</v>
      </c>
      <c r="G1499" s="328" t="s">
        <v>13197</v>
      </c>
      <c r="H1499" s="299" t="s">
        <v>13180</v>
      </c>
    </row>
    <row r="1500" spans="1:8" ht="15.75" customHeight="1" thickBot="1">
      <c r="A1500" s="300" t="str">
        <f>CONCATENATE("MEDIANA - ",A1495)</f>
        <v>MEDIANA - COT223</v>
      </c>
      <c r="B1500" s="115"/>
      <c r="C1500" s="115"/>
      <c r="D1500" s="301"/>
      <c r="E1500" s="150">
        <f>MEDIAN(E1497:E1499)</f>
        <v>5.99</v>
      </c>
      <c r="F1500" s="301"/>
      <c r="G1500" s="377"/>
      <c r="H1500" s="302"/>
    </row>
    <row r="1501" spans="1:8" ht="15.75" customHeight="1">
      <c r="A1501" s="382"/>
      <c r="B1501" s="383"/>
      <c r="C1501" s="383"/>
      <c r="D1501" s="383"/>
      <c r="E1501" s="383"/>
      <c r="F1501" s="383"/>
      <c r="G1501" s="384"/>
      <c r="H1501" s="385"/>
    </row>
    <row r="1502" spans="1:8" ht="15.75" customHeight="1">
      <c r="A1502" s="120"/>
      <c r="B1502" s="117"/>
      <c r="C1502" s="117"/>
      <c r="D1502" s="117"/>
      <c r="E1502" s="148"/>
      <c r="F1502" s="117"/>
      <c r="G1502" s="328"/>
      <c r="H1502" s="381"/>
    </row>
    <row r="1503" spans="1:8" ht="15.75" customHeight="1" thickBot="1">
      <c r="A1503" s="282"/>
      <c r="G1503" s="378"/>
      <c r="H1503" s="388"/>
    </row>
    <row r="1504" spans="1:8" ht="15.75" customHeight="1">
      <c r="A1504" s="358" t="s">
        <v>14525</v>
      </c>
      <c r="B1504" s="337" t="s">
        <v>27789</v>
      </c>
      <c r="C1504" s="337"/>
      <c r="D1504" s="337"/>
      <c r="E1504" s="337"/>
      <c r="F1504" s="337"/>
      <c r="G1504" s="379"/>
      <c r="H1504" s="338"/>
    </row>
    <row r="1505" spans="1:8" ht="15.75" customHeight="1">
      <c r="A1505" s="292" t="s">
        <v>6</v>
      </c>
      <c r="B1505" s="293" t="s">
        <v>7050</v>
      </c>
      <c r="C1505" s="293" t="s">
        <v>7049</v>
      </c>
      <c r="D1505" s="295" t="s">
        <v>24</v>
      </c>
      <c r="E1505" s="296" t="s">
        <v>7046</v>
      </c>
      <c r="F1505" s="293" t="s">
        <v>254</v>
      </c>
      <c r="G1505" s="362" t="s">
        <v>7047</v>
      </c>
      <c r="H1505" s="297" t="s">
        <v>7048</v>
      </c>
    </row>
    <row r="1506" spans="1:8" ht="15.75" customHeight="1">
      <c r="A1506" s="165" t="s">
        <v>7</v>
      </c>
      <c r="B1506" s="327">
        <v>44726</v>
      </c>
      <c r="C1506" s="389" t="s">
        <v>27788</v>
      </c>
      <c r="D1506" s="113" t="s">
        <v>24</v>
      </c>
      <c r="E1506" s="57">
        <v>7.94</v>
      </c>
      <c r="F1506" s="328" t="s">
        <v>27445</v>
      </c>
      <c r="G1506" s="328" t="s">
        <v>14526</v>
      </c>
      <c r="H1506" s="390" t="s">
        <v>27744</v>
      </c>
    </row>
    <row r="1507" spans="1:8" ht="15.75" customHeight="1">
      <c r="A1507" s="165" t="s">
        <v>50</v>
      </c>
      <c r="B1507" s="327">
        <v>44726</v>
      </c>
      <c r="C1507" s="165" t="s">
        <v>27790</v>
      </c>
      <c r="D1507" s="113" t="s">
        <v>24</v>
      </c>
      <c r="E1507" s="57">
        <v>9.3759999999999994</v>
      </c>
      <c r="F1507" s="341" t="s">
        <v>13226</v>
      </c>
      <c r="G1507" s="328" t="s">
        <v>27791</v>
      </c>
      <c r="H1507" s="159" t="s">
        <v>27794</v>
      </c>
    </row>
    <row r="1508" spans="1:8" ht="15.75" customHeight="1">
      <c r="A1508" s="165" t="s">
        <v>52</v>
      </c>
      <c r="B1508" s="327">
        <v>44726</v>
      </c>
      <c r="C1508" s="165" t="s">
        <v>27795</v>
      </c>
      <c r="D1508" s="113" t="s">
        <v>24</v>
      </c>
      <c r="E1508" s="148">
        <v>9.7200000000000006</v>
      </c>
      <c r="F1508" s="328" t="s">
        <v>27792</v>
      </c>
      <c r="G1508" s="341" t="s">
        <v>27793</v>
      </c>
      <c r="H1508" s="159" t="s">
        <v>27796</v>
      </c>
    </row>
    <row r="1509" spans="1:8" ht="15.75" customHeight="1" thickBot="1">
      <c r="A1509" s="300" t="str">
        <f>CONCATENATE("MEDIANA - ",A1504)</f>
        <v>MEDIANA - COT224</v>
      </c>
      <c r="B1509" s="115"/>
      <c r="C1509" s="115"/>
      <c r="D1509" s="301"/>
      <c r="E1509" s="150">
        <f>MEDIAN(E1506:E1508)</f>
        <v>9.3759999999999994</v>
      </c>
      <c r="F1509" s="301"/>
      <c r="G1509" s="377"/>
      <c r="H1509" s="302"/>
    </row>
    <row r="1510" spans="1:8" ht="15.75" customHeight="1" thickBot="1">
      <c r="A1510" s="282"/>
      <c r="G1510" s="378"/>
      <c r="H1510" s="388"/>
    </row>
    <row r="1511" spans="1:8" ht="15.75" customHeight="1">
      <c r="A1511" s="358" t="s">
        <v>14550</v>
      </c>
      <c r="B1511" s="337" t="s">
        <v>14551</v>
      </c>
      <c r="C1511" s="337"/>
      <c r="D1511" s="337"/>
      <c r="E1511" s="337"/>
      <c r="F1511" s="337"/>
      <c r="G1511" s="379"/>
      <c r="H1511" s="338"/>
    </row>
    <row r="1512" spans="1:8" ht="15.75" customHeight="1">
      <c r="A1512" s="292" t="s">
        <v>6</v>
      </c>
      <c r="B1512" s="293" t="s">
        <v>7050</v>
      </c>
      <c r="C1512" s="293" t="s">
        <v>7049</v>
      </c>
      <c r="D1512" s="295" t="s">
        <v>24</v>
      </c>
      <c r="E1512" s="296" t="s">
        <v>7046</v>
      </c>
      <c r="F1512" s="293" t="s">
        <v>254</v>
      </c>
      <c r="G1512" s="362" t="s">
        <v>7047</v>
      </c>
      <c r="H1512" s="297" t="s">
        <v>7048</v>
      </c>
    </row>
    <row r="1513" spans="1:8" ht="15.75" customHeight="1">
      <c r="A1513" s="165" t="s">
        <v>7</v>
      </c>
      <c r="B1513" s="327">
        <v>44726</v>
      </c>
      <c r="C1513" s="389" t="s">
        <v>14552</v>
      </c>
      <c r="D1513" s="111" t="s">
        <v>207</v>
      </c>
      <c r="E1513" s="57">
        <v>728</v>
      </c>
      <c r="F1513" s="328" t="s">
        <v>27441</v>
      </c>
      <c r="G1513" s="328" t="s">
        <v>27442</v>
      </c>
      <c r="H1513" s="390" t="s">
        <v>27771</v>
      </c>
    </row>
    <row r="1514" spans="1:8" ht="15.75" customHeight="1">
      <c r="A1514" s="165" t="s">
        <v>50</v>
      </c>
      <c r="B1514" s="327">
        <v>44721</v>
      </c>
      <c r="C1514" s="165" t="s">
        <v>27768</v>
      </c>
      <c r="D1514" s="111" t="s">
        <v>207</v>
      </c>
      <c r="E1514" s="57">
        <v>1762.06</v>
      </c>
      <c r="F1514" s="341" t="s">
        <v>27769</v>
      </c>
      <c r="G1514" s="328" t="s">
        <v>27770</v>
      </c>
      <c r="H1514" s="159" t="s">
        <v>13199</v>
      </c>
    </row>
    <row r="1515" spans="1:8" ht="15.75" customHeight="1">
      <c r="A1515" s="165" t="s">
        <v>52</v>
      </c>
      <c r="B1515" s="327">
        <v>44722</v>
      </c>
      <c r="C1515" s="165" t="s">
        <v>27772</v>
      </c>
      <c r="D1515" s="111" t="s">
        <v>207</v>
      </c>
      <c r="E1515" s="148">
        <v>1250</v>
      </c>
      <c r="F1515" s="328" t="s">
        <v>27773</v>
      </c>
      <c r="G1515" s="341" t="s">
        <v>27774</v>
      </c>
      <c r="H1515" s="159" t="s">
        <v>27775</v>
      </c>
    </row>
    <row r="1516" spans="1:8" ht="15.75" customHeight="1">
      <c r="A1516" s="263" t="str">
        <f>CONCATENATE("MEDIANA - ",A1511)</f>
        <v>MEDIANA - COT225</v>
      </c>
      <c r="B1516" s="112"/>
      <c r="C1516" s="112"/>
      <c r="D1516" s="117"/>
      <c r="E1516" s="149">
        <f>MEDIAN(E1513:E1515)</f>
        <v>1250</v>
      </c>
      <c r="F1516" s="117"/>
      <c r="G1516" s="328"/>
      <c r="H1516" s="159"/>
    </row>
    <row r="1517" spans="1:8" ht="15.75" customHeight="1" thickBot="1">
      <c r="A1517" s="282"/>
      <c r="G1517" s="378"/>
      <c r="H1517" s="388"/>
    </row>
    <row r="1518" spans="1:8" ht="15.75" customHeight="1">
      <c r="A1518" s="358" t="s">
        <v>14556</v>
      </c>
      <c r="B1518" s="337" t="s">
        <v>14555</v>
      </c>
      <c r="C1518" s="337"/>
      <c r="D1518" s="337"/>
      <c r="E1518" s="337"/>
      <c r="F1518" s="337"/>
      <c r="G1518" s="379"/>
      <c r="H1518" s="338"/>
    </row>
    <row r="1519" spans="1:8" ht="15.75" customHeight="1">
      <c r="A1519" s="292" t="s">
        <v>6</v>
      </c>
      <c r="B1519" s="293" t="s">
        <v>7050</v>
      </c>
      <c r="C1519" s="293" t="s">
        <v>7049</v>
      </c>
      <c r="D1519" s="295" t="s">
        <v>24</v>
      </c>
      <c r="E1519" s="296" t="s">
        <v>7046</v>
      </c>
      <c r="F1519" s="293" t="s">
        <v>254</v>
      </c>
      <c r="G1519" s="362" t="s">
        <v>7047</v>
      </c>
      <c r="H1519" s="297" t="s">
        <v>7048</v>
      </c>
    </row>
    <row r="1520" spans="1:8" ht="15.75" customHeight="1">
      <c r="A1520" s="120" t="s">
        <v>7</v>
      </c>
      <c r="B1520" s="327">
        <v>44726</v>
      </c>
      <c r="C1520" s="165" t="s">
        <v>13401</v>
      </c>
      <c r="D1520" s="113" t="s">
        <v>24</v>
      </c>
      <c r="E1520" s="57">
        <v>49.295999999999999</v>
      </c>
      <c r="F1520" s="328" t="s">
        <v>13402</v>
      </c>
      <c r="G1520" s="328" t="s">
        <v>27784</v>
      </c>
      <c r="H1520" s="391" t="s">
        <v>27783</v>
      </c>
    </row>
    <row r="1521" spans="1:8" ht="15.75" customHeight="1">
      <c r="A1521" s="120" t="s">
        <v>50</v>
      </c>
      <c r="B1521" s="327">
        <v>44726</v>
      </c>
      <c r="C1521" s="165" t="s">
        <v>27780</v>
      </c>
      <c r="D1521" s="113" t="s">
        <v>32</v>
      </c>
      <c r="E1521" s="57">
        <v>59.85</v>
      </c>
      <c r="F1521" s="341" t="s">
        <v>27782</v>
      </c>
      <c r="G1521" s="328" t="s">
        <v>27781</v>
      </c>
      <c r="H1521" s="317" t="s">
        <v>27779</v>
      </c>
    </row>
    <row r="1522" spans="1:8" ht="15.75" customHeight="1">
      <c r="A1522" s="120" t="s">
        <v>52</v>
      </c>
      <c r="B1522" s="327">
        <v>44726</v>
      </c>
      <c r="C1522" s="165" t="s">
        <v>27547</v>
      </c>
      <c r="D1522" s="113" t="s">
        <v>32</v>
      </c>
      <c r="E1522" s="148">
        <v>31.26</v>
      </c>
      <c r="F1522" s="328" t="s">
        <v>27778</v>
      </c>
      <c r="G1522" s="341" t="s">
        <v>27776</v>
      </c>
      <c r="H1522" s="392" t="s">
        <v>27777</v>
      </c>
    </row>
    <row r="1523" spans="1:8" ht="15.75" customHeight="1" thickBot="1">
      <c r="A1523" s="300" t="str">
        <f>CONCATENATE("MEDIANA - ",A1518)</f>
        <v>MEDIANA - COT226</v>
      </c>
      <c r="B1523" s="115"/>
      <c r="C1523" s="115"/>
      <c r="D1523" s="301"/>
      <c r="E1523" s="150">
        <f>MEDIAN(E1520:E1522)</f>
        <v>49.295999999999999</v>
      </c>
      <c r="F1523" s="301"/>
      <c r="G1523" s="377"/>
      <c r="H1523" s="302"/>
    </row>
    <row r="1524" spans="1:8" ht="15.75" customHeight="1" thickBot="1">
      <c r="A1524" s="282"/>
      <c r="G1524" s="378"/>
      <c r="H1524" s="388"/>
    </row>
    <row r="1525" spans="1:8" ht="15.75" customHeight="1">
      <c r="A1525" s="358" t="s">
        <v>14562</v>
      </c>
      <c r="B1525" s="337" t="s">
        <v>14561</v>
      </c>
      <c r="C1525" s="337"/>
      <c r="D1525" s="337"/>
      <c r="E1525" s="337"/>
      <c r="F1525" s="337"/>
      <c r="G1525" s="379"/>
      <c r="H1525" s="338"/>
    </row>
    <row r="1526" spans="1:8" ht="15.75" customHeight="1">
      <c r="A1526" s="292" t="s">
        <v>6</v>
      </c>
      <c r="B1526" s="293" t="s">
        <v>7050</v>
      </c>
      <c r="C1526" s="293" t="s">
        <v>7049</v>
      </c>
      <c r="D1526" s="295" t="s">
        <v>24</v>
      </c>
      <c r="E1526" s="296" t="s">
        <v>7046</v>
      </c>
      <c r="F1526" s="293" t="s">
        <v>254</v>
      </c>
      <c r="G1526" s="362" t="s">
        <v>7047</v>
      </c>
      <c r="H1526" s="297" t="s">
        <v>7048</v>
      </c>
    </row>
    <row r="1527" spans="1:8" ht="15.75" customHeight="1">
      <c r="A1527" s="165" t="s">
        <v>7</v>
      </c>
      <c r="B1527" s="327">
        <v>44656</v>
      </c>
      <c r="C1527" s="393" t="s">
        <v>14590</v>
      </c>
      <c r="D1527" s="113" t="s">
        <v>24</v>
      </c>
      <c r="E1527" s="57">
        <v>108</v>
      </c>
      <c r="F1527" s="328" t="s">
        <v>27443</v>
      </c>
      <c r="G1527" s="394" t="s">
        <v>14593</v>
      </c>
      <c r="H1527" s="395" t="s">
        <v>27444</v>
      </c>
    </row>
    <row r="1528" spans="1:8" ht="15.75" customHeight="1">
      <c r="A1528" s="165" t="s">
        <v>50</v>
      </c>
      <c r="B1528" s="327">
        <v>44657</v>
      </c>
      <c r="C1528" s="165" t="s">
        <v>14594</v>
      </c>
      <c r="D1528" s="113" t="s">
        <v>32</v>
      </c>
      <c r="E1528" s="57">
        <v>129.94999999999999</v>
      </c>
      <c r="F1528" s="328" t="s">
        <v>7253</v>
      </c>
      <c r="G1528" s="328" t="s">
        <v>7252</v>
      </c>
      <c r="H1528" s="396" t="s">
        <v>7552</v>
      </c>
    </row>
    <row r="1529" spans="1:8" ht="15.75" customHeight="1">
      <c r="A1529" s="165" t="s">
        <v>52</v>
      </c>
      <c r="B1529" s="327">
        <v>44656</v>
      </c>
      <c r="C1529" s="165" t="s">
        <v>27446</v>
      </c>
      <c r="D1529" s="113" t="s">
        <v>32</v>
      </c>
      <c r="E1529" s="148">
        <v>123.31</v>
      </c>
      <c r="F1529" s="341" t="s">
        <v>27447</v>
      </c>
      <c r="G1529" s="328" t="s">
        <v>14595</v>
      </c>
      <c r="H1529" s="159" t="s">
        <v>27459</v>
      </c>
    </row>
    <row r="1530" spans="1:8" ht="15.75" customHeight="1">
      <c r="A1530" s="263" t="str">
        <f>CONCATENATE("MEDIANA - ",A1525)</f>
        <v>MEDIANA - COT227</v>
      </c>
      <c r="B1530" s="112"/>
      <c r="C1530" s="112"/>
      <c r="D1530" s="117"/>
      <c r="E1530" s="149">
        <f>MEDIAN(E1527:E1529)</f>
        <v>123.31</v>
      </c>
      <c r="F1530" s="117"/>
      <c r="G1530" s="328"/>
      <c r="H1530" s="159"/>
    </row>
    <row r="1531" spans="1:8" ht="15.75" customHeight="1" thickBot="1">
      <c r="A1531" s="282"/>
      <c r="G1531" s="378"/>
      <c r="H1531" s="388"/>
    </row>
    <row r="1532" spans="1:8" ht="15.75" customHeight="1">
      <c r="A1532" s="358" t="s">
        <v>14563</v>
      </c>
      <c r="B1532" s="337" t="s">
        <v>14564</v>
      </c>
      <c r="C1532" s="337"/>
      <c r="D1532" s="337"/>
      <c r="E1532" s="337"/>
      <c r="F1532" s="337"/>
      <c r="G1532" s="379"/>
      <c r="H1532" s="338"/>
    </row>
    <row r="1533" spans="1:8" ht="15.75" customHeight="1">
      <c r="A1533" s="292" t="s">
        <v>6</v>
      </c>
      <c r="B1533" s="293" t="s">
        <v>7050</v>
      </c>
      <c r="C1533" s="293" t="s">
        <v>7049</v>
      </c>
      <c r="D1533" s="295" t="s">
        <v>24</v>
      </c>
      <c r="E1533" s="296" t="s">
        <v>7046</v>
      </c>
      <c r="F1533" s="293" t="s">
        <v>254</v>
      </c>
      <c r="G1533" s="362" t="s">
        <v>7047</v>
      </c>
      <c r="H1533" s="297" t="s">
        <v>7048</v>
      </c>
    </row>
    <row r="1534" spans="1:8" ht="15.75" customHeight="1">
      <c r="A1534" s="165" t="s">
        <v>7</v>
      </c>
      <c r="B1534" s="327">
        <v>44656</v>
      </c>
      <c r="C1534" s="393" t="s">
        <v>14590</v>
      </c>
      <c r="D1534" s="113" t="s">
        <v>24</v>
      </c>
      <c r="E1534" s="57">
        <v>320.32</v>
      </c>
      <c r="F1534" s="328" t="s">
        <v>27443</v>
      </c>
      <c r="G1534" s="394" t="s">
        <v>14593</v>
      </c>
      <c r="H1534" s="395" t="s">
        <v>27444</v>
      </c>
    </row>
    <row r="1535" spans="1:8" ht="15.75" customHeight="1">
      <c r="A1535" s="165" t="s">
        <v>50</v>
      </c>
      <c r="B1535" s="327">
        <v>44657</v>
      </c>
      <c r="C1535" s="165" t="s">
        <v>14594</v>
      </c>
      <c r="D1535" s="113" t="s">
        <v>32</v>
      </c>
      <c r="E1535" s="57">
        <v>279.95</v>
      </c>
      <c r="F1535" s="328" t="s">
        <v>7253</v>
      </c>
      <c r="G1535" s="328" t="s">
        <v>7252</v>
      </c>
      <c r="H1535" s="396" t="s">
        <v>7552</v>
      </c>
    </row>
    <row r="1536" spans="1:8" ht="15.75" customHeight="1">
      <c r="A1536" s="165" t="s">
        <v>52</v>
      </c>
      <c r="B1536" s="327">
        <v>44656</v>
      </c>
      <c r="C1536" s="165" t="s">
        <v>27446</v>
      </c>
      <c r="D1536" s="113" t="s">
        <v>32</v>
      </c>
      <c r="E1536" s="148">
        <v>275.64</v>
      </c>
      <c r="F1536" s="341" t="s">
        <v>27447</v>
      </c>
      <c r="G1536" s="328" t="s">
        <v>14595</v>
      </c>
      <c r="H1536" s="159" t="s">
        <v>27459</v>
      </c>
    </row>
    <row r="1537" spans="1:8" ht="15.75" customHeight="1" thickBot="1">
      <c r="A1537" s="300" t="str">
        <f>CONCATENATE("MEDIANA - ",A1532)</f>
        <v>MEDIANA - COT228</v>
      </c>
      <c r="B1537" s="115"/>
      <c r="C1537" s="115"/>
      <c r="D1537" s="301"/>
      <c r="E1537" s="150">
        <f>MEDIAN(E1534:E1536)</f>
        <v>279.95</v>
      </c>
      <c r="F1537" s="301"/>
      <c r="G1537" s="377"/>
      <c r="H1537" s="302"/>
    </row>
    <row r="1538" spans="1:8" ht="15.75" customHeight="1" thickBot="1">
      <c r="A1538" s="282"/>
      <c r="G1538" s="378"/>
      <c r="H1538" s="388"/>
    </row>
    <row r="1539" spans="1:8" ht="15.75" customHeight="1">
      <c r="A1539" s="358" t="s">
        <v>14570</v>
      </c>
      <c r="B1539" s="337" t="s">
        <v>14571</v>
      </c>
      <c r="C1539" s="337"/>
      <c r="D1539" s="337"/>
      <c r="E1539" s="337"/>
      <c r="F1539" s="337"/>
      <c r="G1539" s="379"/>
      <c r="H1539" s="338"/>
    </row>
    <row r="1540" spans="1:8" ht="15.75" customHeight="1">
      <c r="A1540" s="292" t="s">
        <v>6</v>
      </c>
      <c r="B1540" s="293" t="s">
        <v>7050</v>
      </c>
      <c r="C1540" s="293" t="s">
        <v>7049</v>
      </c>
      <c r="D1540" s="295" t="s">
        <v>24</v>
      </c>
      <c r="E1540" s="296" t="s">
        <v>7046</v>
      </c>
      <c r="F1540" s="293" t="s">
        <v>254</v>
      </c>
      <c r="G1540" s="362" t="s">
        <v>7047</v>
      </c>
      <c r="H1540" s="297" t="s">
        <v>7048</v>
      </c>
    </row>
    <row r="1541" spans="1:8" ht="15.75" customHeight="1">
      <c r="A1541" s="165" t="s">
        <v>7</v>
      </c>
      <c r="B1541" s="327">
        <v>44656</v>
      </c>
      <c r="C1541" s="393" t="s">
        <v>14590</v>
      </c>
      <c r="D1541" s="113" t="s">
        <v>24</v>
      </c>
      <c r="E1541" s="57">
        <f>321.6/5</f>
        <v>64.320000000000007</v>
      </c>
      <c r="F1541" s="328" t="s">
        <v>27443</v>
      </c>
      <c r="G1541" s="394" t="s">
        <v>14593</v>
      </c>
      <c r="H1541" s="395" t="s">
        <v>27444</v>
      </c>
    </row>
    <row r="1542" spans="1:8" ht="15.75" customHeight="1">
      <c r="A1542" s="165" t="s">
        <v>50</v>
      </c>
      <c r="B1542" s="327">
        <v>44657</v>
      </c>
      <c r="C1542" s="165" t="s">
        <v>14594</v>
      </c>
      <c r="D1542" s="113" t="s">
        <v>32</v>
      </c>
      <c r="E1542" s="57">
        <f>419.95/5</f>
        <v>83.99</v>
      </c>
      <c r="F1542" s="328" t="s">
        <v>7253</v>
      </c>
      <c r="G1542" s="328" t="s">
        <v>7252</v>
      </c>
      <c r="H1542" s="396" t="s">
        <v>7552</v>
      </c>
    </row>
    <row r="1543" spans="1:8" ht="15.75" customHeight="1">
      <c r="A1543" s="165" t="s">
        <v>52</v>
      </c>
      <c r="B1543" s="327">
        <v>44656</v>
      </c>
      <c r="C1543" s="165" t="s">
        <v>27446</v>
      </c>
      <c r="D1543" s="113" t="s">
        <v>32</v>
      </c>
      <c r="E1543" s="148">
        <f>347.41/5</f>
        <v>69.481999999999999</v>
      </c>
      <c r="F1543" s="341" t="s">
        <v>27447</v>
      </c>
      <c r="G1543" s="328" t="s">
        <v>14595</v>
      </c>
      <c r="H1543" s="159" t="s">
        <v>27459</v>
      </c>
    </row>
    <row r="1544" spans="1:8" ht="15.75" customHeight="1" thickBot="1">
      <c r="A1544" s="300" t="str">
        <f>CONCATENATE("MEDIANA - ",A1539)</f>
        <v>MEDIANA - COT229</v>
      </c>
      <c r="B1544" s="115"/>
      <c r="C1544" s="115"/>
      <c r="D1544" s="301"/>
      <c r="E1544" s="150">
        <f>MEDIAN(E1541:E1543)</f>
        <v>69.481999999999999</v>
      </c>
      <c r="F1544" s="301"/>
      <c r="G1544" s="377"/>
      <c r="H1544" s="302"/>
    </row>
    <row r="1545" spans="1:8" s="261" customFormat="1" ht="15.75" customHeight="1" thickBot="1">
      <c r="A1545" s="282"/>
      <c r="B1545" s="386"/>
      <c r="C1545" s="386"/>
      <c r="D1545" s="386"/>
      <c r="E1545" s="387"/>
      <c r="F1545" s="386"/>
      <c r="G1545" s="378"/>
      <c r="H1545" s="388"/>
    </row>
    <row r="1546" spans="1:8" ht="15.75" customHeight="1">
      <c r="A1546" s="358" t="s">
        <v>14591</v>
      </c>
      <c r="B1546" s="337" t="s">
        <v>14592</v>
      </c>
      <c r="C1546" s="337"/>
      <c r="D1546" s="337"/>
      <c r="E1546" s="337"/>
      <c r="F1546" s="337"/>
      <c r="G1546" s="379"/>
      <c r="H1546" s="338"/>
    </row>
    <row r="1547" spans="1:8" ht="15.75" customHeight="1">
      <c r="A1547" s="292" t="s">
        <v>6</v>
      </c>
      <c r="B1547" s="293" t="s">
        <v>7050</v>
      </c>
      <c r="C1547" s="293" t="s">
        <v>7049</v>
      </c>
      <c r="D1547" s="295" t="s">
        <v>24</v>
      </c>
      <c r="E1547" s="296" t="s">
        <v>7046</v>
      </c>
      <c r="F1547" s="293" t="s">
        <v>254</v>
      </c>
      <c r="G1547" s="362" t="s">
        <v>7047</v>
      </c>
      <c r="H1547" s="297" t="s">
        <v>7048</v>
      </c>
    </row>
    <row r="1548" spans="1:8" ht="15.75" customHeight="1">
      <c r="A1548" s="165" t="s">
        <v>7</v>
      </c>
      <c r="B1548" s="327">
        <v>44656</v>
      </c>
      <c r="C1548" s="393" t="s">
        <v>14590</v>
      </c>
      <c r="D1548" s="113" t="s">
        <v>24</v>
      </c>
      <c r="E1548" s="57">
        <v>185</v>
      </c>
      <c r="F1548" s="328" t="s">
        <v>27443</v>
      </c>
      <c r="G1548" s="394" t="s">
        <v>14593</v>
      </c>
      <c r="H1548" s="395" t="s">
        <v>27444</v>
      </c>
    </row>
    <row r="1549" spans="1:8" ht="15.75" customHeight="1">
      <c r="A1549" s="165" t="s">
        <v>50</v>
      </c>
      <c r="B1549" s="327">
        <v>44657</v>
      </c>
      <c r="C1549" s="165" t="s">
        <v>14594</v>
      </c>
      <c r="D1549" s="113" t="s">
        <v>32</v>
      </c>
      <c r="E1549" s="57">
        <v>169.9</v>
      </c>
      <c r="F1549" s="328" t="s">
        <v>7253</v>
      </c>
      <c r="G1549" s="328" t="s">
        <v>7252</v>
      </c>
      <c r="H1549" s="396" t="s">
        <v>7552</v>
      </c>
    </row>
    <row r="1550" spans="1:8" ht="15.75" customHeight="1">
      <c r="A1550" s="165" t="s">
        <v>52</v>
      </c>
      <c r="B1550" s="327">
        <v>44656</v>
      </c>
      <c r="C1550" s="165" t="s">
        <v>27446</v>
      </c>
      <c r="D1550" s="113" t="s">
        <v>32</v>
      </c>
      <c r="E1550" s="148">
        <v>144.53</v>
      </c>
      <c r="F1550" s="341" t="s">
        <v>27447</v>
      </c>
      <c r="G1550" s="328" t="s">
        <v>14595</v>
      </c>
      <c r="H1550" s="159" t="s">
        <v>27459</v>
      </c>
    </row>
    <row r="1551" spans="1:8" ht="15.75" customHeight="1" thickBot="1">
      <c r="A1551" s="300" t="str">
        <f>CONCATENATE("MEDIANA - ",A1546)</f>
        <v>MEDIANA - COT231</v>
      </c>
      <c r="B1551" s="115"/>
      <c r="C1551" s="115"/>
      <c r="D1551" s="301"/>
      <c r="E1551" s="150">
        <f>MEDIAN(E1548:E1550)</f>
        <v>169.9</v>
      </c>
      <c r="F1551" s="301"/>
      <c r="G1551" s="377"/>
      <c r="H1551" s="302"/>
    </row>
    <row r="1552" spans="1:8" ht="15.75" customHeight="1" thickBot="1">
      <c r="A1552" s="282"/>
      <c r="G1552" s="378"/>
      <c r="H1552" s="388"/>
    </row>
    <row r="1553" spans="1:8" ht="15.75" customHeight="1">
      <c r="A1553" s="358" t="s">
        <v>27179</v>
      </c>
      <c r="B1553" s="337" t="s">
        <v>27181</v>
      </c>
      <c r="C1553" s="337"/>
      <c r="D1553" s="337"/>
      <c r="E1553" s="337"/>
      <c r="F1553" s="337"/>
      <c r="G1553" s="379"/>
      <c r="H1553" s="338"/>
    </row>
    <row r="1554" spans="1:8" ht="15.75" customHeight="1">
      <c r="A1554" s="292" t="s">
        <v>6</v>
      </c>
      <c r="B1554" s="293" t="s">
        <v>7050</v>
      </c>
      <c r="C1554" s="293" t="s">
        <v>7049</v>
      </c>
      <c r="D1554" s="295" t="s">
        <v>24</v>
      </c>
      <c r="E1554" s="296" t="s">
        <v>7046</v>
      </c>
      <c r="F1554" s="293" t="s">
        <v>254</v>
      </c>
      <c r="G1554" s="362" t="s">
        <v>7047</v>
      </c>
      <c r="H1554" s="297" t="s">
        <v>7048</v>
      </c>
    </row>
    <row r="1555" spans="1:8" ht="15.75" customHeight="1">
      <c r="A1555" s="165" t="s">
        <v>7</v>
      </c>
      <c r="B1555" s="397">
        <v>44710</v>
      </c>
      <c r="C1555" s="398" t="s">
        <v>27832</v>
      </c>
      <c r="D1555" s="113" t="s">
        <v>24</v>
      </c>
      <c r="E1555" s="57">
        <v>104.86</v>
      </c>
      <c r="F1555" s="328" t="s">
        <v>27833</v>
      </c>
      <c r="G1555" s="340" t="s">
        <v>27834</v>
      </c>
      <c r="H1555" s="317" t="s">
        <v>27835</v>
      </c>
    </row>
    <row r="1556" spans="1:8" ht="15.75" customHeight="1">
      <c r="A1556" s="165" t="s">
        <v>50</v>
      </c>
      <c r="B1556" s="397">
        <v>44726</v>
      </c>
      <c r="C1556" s="165" t="s">
        <v>27183</v>
      </c>
      <c r="D1556" s="113" t="s">
        <v>24</v>
      </c>
      <c r="E1556" s="57">
        <v>92.27</v>
      </c>
      <c r="F1556" s="341" t="s">
        <v>27282</v>
      </c>
      <c r="G1556" s="328" t="s">
        <v>7252</v>
      </c>
      <c r="H1556" s="317" t="s">
        <v>27836</v>
      </c>
    </row>
    <row r="1557" spans="1:8" ht="15.75" customHeight="1">
      <c r="A1557" s="165" t="s">
        <v>52</v>
      </c>
      <c r="B1557" s="342">
        <v>44714</v>
      </c>
      <c r="C1557" s="165" t="s">
        <v>7099</v>
      </c>
      <c r="D1557" s="113" t="s">
        <v>24</v>
      </c>
      <c r="E1557" s="59">
        <v>68.14</v>
      </c>
      <c r="F1557" s="165" t="s">
        <v>7100</v>
      </c>
      <c r="G1557" s="328" t="s">
        <v>7101</v>
      </c>
      <c r="H1557" s="299" t="s">
        <v>27623</v>
      </c>
    </row>
    <row r="1558" spans="1:8" ht="15.75" customHeight="1" thickBot="1">
      <c r="A1558" s="300" t="str">
        <f>CONCATENATE("MEDIANA - ",A1553)</f>
        <v>MEDIANA - COT232</v>
      </c>
      <c r="B1558" s="115"/>
      <c r="C1558" s="115"/>
      <c r="D1558" s="301"/>
      <c r="E1558" s="150">
        <f>MEDIAN(E1555:E1557)</f>
        <v>92.27</v>
      </c>
      <c r="F1558" s="301"/>
      <c r="G1558" s="377"/>
      <c r="H1558" s="302"/>
    </row>
    <row r="1559" spans="1:8" ht="15.75" customHeight="1" thickBot="1">
      <c r="A1559" s="282"/>
      <c r="G1559" s="378"/>
      <c r="H1559" s="388"/>
    </row>
    <row r="1560" spans="1:8" ht="15.75" customHeight="1">
      <c r="A1560" s="358" t="s">
        <v>27180</v>
      </c>
      <c r="B1560" s="337" t="s">
        <v>27184</v>
      </c>
      <c r="C1560" s="337"/>
      <c r="D1560" s="337"/>
      <c r="E1560" s="337"/>
      <c r="F1560" s="337"/>
      <c r="G1560" s="337"/>
      <c r="H1560" s="338"/>
    </row>
    <row r="1561" spans="1:8" ht="15.75" customHeight="1">
      <c r="A1561" s="292" t="s">
        <v>6</v>
      </c>
      <c r="B1561" s="293" t="s">
        <v>7050</v>
      </c>
      <c r="C1561" s="293" t="s">
        <v>7049</v>
      </c>
      <c r="D1561" s="295" t="s">
        <v>24</v>
      </c>
      <c r="E1561" s="296" t="s">
        <v>7046</v>
      </c>
      <c r="F1561" s="293" t="s">
        <v>254</v>
      </c>
      <c r="G1561" s="293" t="s">
        <v>7047</v>
      </c>
      <c r="H1561" s="297" t="s">
        <v>7048</v>
      </c>
    </row>
    <row r="1562" spans="1:8" ht="15.75" customHeight="1">
      <c r="A1562" s="165" t="s">
        <v>7</v>
      </c>
      <c r="B1562" s="327">
        <v>44728</v>
      </c>
      <c r="C1562" s="389" t="s">
        <v>27182</v>
      </c>
      <c r="D1562" s="113" t="s">
        <v>24</v>
      </c>
      <c r="E1562" s="57">
        <v>261.3</v>
      </c>
      <c r="F1562" s="328" t="s">
        <v>27448</v>
      </c>
      <c r="G1562" s="340" t="s">
        <v>14593</v>
      </c>
      <c r="H1562" s="317" t="s">
        <v>27449</v>
      </c>
    </row>
    <row r="1563" spans="1:8" ht="15.75" customHeight="1">
      <c r="A1563" s="165" t="s">
        <v>50</v>
      </c>
      <c r="B1563" s="327">
        <v>44728</v>
      </c>
      <c r="C1563" s="165" t="s">
        <v>27183</v>
      </c>
      <c r="D1563" s="113" t="s">
        <v>32</v>
      </c>
      <c r="E1563" s="57">
        <v>219</v>
      </c>
      <c r="F1563" s="341" t="s">
        <v>27282</v>
      </c>
      <c r="G1563" s="328" t="s">
        <v>7252</v>
      </c>
      <c r="H1563" s="317" t="s">
        <v>27450</v>
      </c>
    </row>
    <row r="1564" spans="1:8" ht="15.75" customHeight="1">
      <c r="A1564" s="165" t="s">
        <v>52</v>
      </c>
      <c r="B1564" s="327">
        <v>44656</v>
      </c>
      <c r="C1564" s="165" t="s">
        <v>27185</v>
      </c>
      <c r="D1564" s="113" t="s">
        <v>32</v>
      </c>
      <c r="E1564" s="148">
        <v>261.7</v>
      </c>
      <c r="F1564" s="328" t="s">
        <v>27452</v>
      </c>
      <c r="G1564" s="328" t="s">
        <v>14595</v>
      </c>
      <c r="H1564" s="317" t="s">
        <v>27451</v>
      </c>
    </row>
    <row r="1565" spans="1:8" ht="15.75" customHeight="1" thickBot="1">
      <c r="A1565" s="300" t="str">
        <f>CONCATENATE("MEDIANA - ",A1560)</f>
        <v>MEDIANA - COT233</v>
      </c>
      <c r="B1565" s="115"/>
      <c r="C1565" s="115"/>
      <c r="D1565" s="301"/>
      <c r="E1565" s="150">
        <f>MEDIAN(E1562:E1564)</f>
        <v>261.3</v>
      </c>
      <c r="F1565" s="301"/>
      <c r="G1565" s="301"/>
      <c r="H1565" s="302"/>
    </row>
    <row r="1566" spans="1:8" ht="15.75" customHeight="1" thickBot="1"/>
    <row r="1567" spans="1:8" ht="15.75" customHeight="1">
      <c r="A1567" s="289" t="s">
        <v>27258</v>
      </c>
      <c r="B1567" s="356" t="s">
        <v>27257</v>
      </c>
      <c r="C1567" s="353"/>
      <c r="D1567" s="353"/>
      <c r="E1567" s="353"/>
      <c r="F1567" s="353"/>
      <c r="G1567" s="353"/>
      <c r="H1567" s="354"/>
    </row>
    <row r="1568" spans="1:8" ht="15.75" customHeight="1">
      <c r="A1568" s="292" t="s">
        <v>6</v>
      </c>
      <c r="B1568" s="293" t="s">
        <v>7050</v>
      </c>
      <c r="C1568" s="294" t="s">
        <v>7049</v>
      </c>
      <c r="D1568" s="295" t="s">
        <v>24</v>
      </c>
      <c r="E1568" s="296" t="s">
        <v>7046</v>
      </c>
      <c r="F1568" s="293" t="s">
        <v>254</v>
      </c>
      <c r="G1568" s="293" t="s">
        <v>7047</v>
      </c>
      <c r="H1568" s="297" t="s">
        <v>7048</v>
      </c>
    </row>
    <row r="1569" spans="1:8" ht="16.5" customHeight="1">
      <c r="A1569" s="305" t="s">
        <v>7</v>
      </c>
      <c r="B1569" s="298">
        <v>44714</v>
      </c>
      <c r="C1569" s="165" t="s">
        <v>7102</v>
      </c>
      <c r="D1569" s="113" t="s">
        <v>8</v>
      </c>
      <c r="E1569" s="328">
        <v>119.9</v>
      </c>
      <c r="F1569" s="299" t="s">
        <v>7546</v>
      </c>
      <c r="G1569" s="320" t="s">
        <v>7545</v>
      </c>
      <c r="H1569" s="400" t="s">
        <v>27471</v>
      </c>
    </row>
    <row r="1570" spans="1:8" ht="16.5" customHeight="1">
      <c r="A1570" s="120" t="s">
        <v>50</v>
      </c>
      <c r="B1570" s="298">
        <v>44725</v>
      </c>
      <c r="C1570" s="331" t="s">
        <v>27934</v>
      </c>
      <c r="D1570" s="113" t="s">
        <v>8</v>
      </c>
      <c r="E1570" s="59">
        <v>145.47999999999999</v>
      </c>
      <c r="F1570" s="165" t="s">
        <v>27935</v>
      </c>
      <c r="G1570" s="165" t="s">
        <v>27936</v>
      </c>
      <c r="H1570" s="333" t="s">
        <v>27937</v>
      </c>
    </row>
    <row r="1571" spans="1:8" ht="16.5" customHeight="1">
      <c r="A1571" s="305" t="s">
        <v>52</v>
      </c>
      <c r="B1571" s="298">
        <v>44725</v>
      </c>
      <c r="C1571" s="331" t="s">
        <v>7243</v>
      </c>
      <c r="D1571" s="113" t="s">
        <v>8</v>
      </c>
      <c r="E1571" s="59">
        <v>144.50800000000001</v>
      </c>
      <c r="F1571" s="165" t="s">
        <v>27938</v>
      </c>
      <c r="G1571" s="165" t="s">
        <v>27939</v>
      </c>
      <c r="H1571" s="333" t="s">
        <v>27940</v>
      </c>
    </row>
    <row r="1572" spans="1:8" ht="15.75" customHeight="1" thickBot="1">
      <c r="A1572" s="300" t="str">
        <f>CONCATENATE("MEDIANA - ",A1567)</f>
        <v>MEDIANA - COT234</v>
      </c>
      <c r="B1572" s="115"/>
      <c r="C1572" s="115"/>
      <c r="D1572" s="301"/>
      <c r="E1572" s="150">
        <f>MEDIAN(E1569:E1571)</f>
        <v>144.50800000000001</v>
      </c>
      <c r="F1572" s="301"/>
      <c r="G1572" s="301"/>
      <c r="H1572" s="302"/>
    </row>
  </sheetData>
  <sheetProtection password="CA35" sheet="1" formatCells="0" formatColumns="0" formatRows="0" insertColumns="0" insertRows="0" insertHyperlinks="0" deleteColumns="0" deleteRows="0" sort="0" autoFilter="0" pivotTables="0"/>
  <autoFilter ref="B1:B1572"/>
  <mergeCells count="2">
    <mergeCell ref="A1:H1"/>
    <mergeCell ref="A2:H2"/>
  </mergeCells>
  <hyperlinks>
    <hyperlink ref="H470" r:id="rId1" display="https://www.lojaqualitytubos.com.br/acionador-manual-convencional-com-sirene-bivolt-12-24v-p1000742?utm_source=google&amp;utm_medium=upc&amp;utm_campaign=qualitytubos&amp;gclid=CjwKCAjws8yUBhA1EiwAi_tpEfxA6k7OZ1o613MSPIIyPgsTSFIfkEaqFIP85UXnqs9OTjbOQekGCRoCpGcQAvD_BwE"/>
    <hyperlink ref="H28" r:id="rId2"/>
    <hyperlink ref="H55" r:id="rId3"/>
    <hyperlink ref="H76" r:id="rId4"/>
    <hyperlink ref="H78" r:id="rId5"/>
    <hyperlink ref="H91" r:id="rId6"/>
    <hyperlink ref="H92" r:id="rId7"/>
    <hyperlink ref="H99" display="https://www.casamattos.com.br/torneira-deca-decamatic-link-1172-c-lnk-para-lavatorio-com-fechamento-automatico?parceiro=1906&amp;utm_source=google-products&amp;utm_medium=shopping&amp;utm_source=google&amp;utm_medium=shopping&amp;utm_campaign=shopping_melhoresofertas_todosos"/>
    <hyperlink ref="H98" r:id="rId8"/>
    <hyperlink ref="H126" r:id="rId9"/>
    <hyperlink ref="H141" r:id="rId10"/>
    <hyperlink ref="H140" display="https://www.amazon.com.br/Encaixe-Acetinado-50X40cm-Tramontina-94400107/dp/B00V8IOPCW/ref=asc_df_B00V8IOPCW/?tag=googleshopp00-20&amp;linkCode=df0&amp;hvadid=379712965665&amp;hvpos=&amp;hvnetw=g&amp;hvrand=129698377791234914&amp;hvpone=&amp;hvptwo=&amp;hvqmt=&amp;hvdev=c&amp;hvdvcmdl=&amp;hvlocint="/>
    <hyperlink ref="H147" r:id="rId11" display="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hyperlink ref="H148" r:id="rId12"/>
    <hyperlink ref="H161" r:id="rId13"/>
    <hyperlink ref="H162" r:id="rId14"/>
    <hyperlink ref="H174" r:id="rId15"/>
    <hyperlink ref="H176" r:id="rId16"/>
    <hyperlink ref="H181" r:id="rId17"/>
    <hyperlink ref="H183" display="https://www.magazineluiza.com.br/borracha-guarnicao-janela-porta-vidro-temperado-gua-38n-kmp/p/kbbhkk29jk/au/brpa/?&amp;seller_id=kmpacessorios&amp;utm_source=google&amp;utm_medium=pla&amp;utm_campaign=&amp;partner_id=64262&amp;&amp;&amp;utm_source=google&amp;utm_medium=pla&amp;utm_campaign=&amp;pa"/>
    <hyperlink ref="H188" r:id="rId18"/>
    <hyperlink ref="H189" r:id="rId19"/>
    <hyperlink ref="H190" r:id="rId20" display="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hyperlink ref="H197" display="https://www.magazineluiza.com.br/borracha-sd-813-epdm-guarnicao-janela-e-porta-rolo-10-metros-vcb/p/jk19b7jjfe/cj/vepo/?&amp;seller_id=vcb&amp;utm_source=google&amp;utm_medium=pla&amp;utm_campaign=&amp;partner_id=64262&amp;&amp;&amp;utm_source=google&amp;utm_medium=pla&amp;utm_campaign=&amp;partner"/>
    <hyperlink ref="H202" r:id="rId21"/>
    <hyperlink ref="F202" r:id="rId22"/>
    <hyperlink ref="H203" r:id="rId23"/>
    <hyperlink ref="H204" r:id="rId24"/>
    <hyperlink ref="H209" r:id="rId25"/>
    <hyperlink ref="H210" r:id="rId26"/>
    <hyperlink ref="H211" r:id="rId27"/>
    <hyperlink ref="H216" r:id="rId28"/>
    <hyperlink ref="H217" r:id="rId29"/>
    <hyperlink ref="H218" r:id="rId30" display="https://www.casadosparafusosfranca.com.br/fixadores/parafusos/auto-atarraxante/parafuso-auto-atarraxante-panela-phillips-4-8-x-32-zincado?parceiro=7954&amp;parceiro=3942&amp;gclid=CjwKCAjwkMeUBhBuEiwA4hpqECpU72wWWzEGO5VNFFNOGYorajAcgyWQj9eCPPrYbkf0jGrbVde8yxoCIbAQAvD_BwE"/>
    <hyperlink ref="H224" r:id="rId31"/>
    <hyperlink ref="H223" r:id="rId32"/>
    <hyperlink ref="H225" r:id="rId33"/>
    <hyperlink ref="H237" r:id="rId34"/>
    <hyperlink ref="H238" r:id="rId35"/>
    <hyperlink ref="H239" r:id="rId36" display="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hyperlink ref="H244" r:id="rId37" location="position=43&amp;search_layout=stack&amp;type=item&amp;tracking_id=1891f286-2591-493a-b389-5bc062227e0c"/>
    <hyperlink ref="H288" r:id="rId38" display="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hyperlink ref="H316" r:id="rId39" location="carrinho"/>
    <hyperlink ref="H323" r:id="rId40"/>
    <hyperlink ref="H321" display="https://www.iluminim.com.br/luminaria-plafon-10x120-30w-led-embutir-branco-frio-borda-branca?utm_source=Site&amp;utm_medium=GoogleMerchant&amp;utm_campaign=GoogleMerchant&amp;gclid=CjwKCAjw7vuUBhBUEiwAEdu2pPgqoQ4pvZXhY6XHC4nR08GtNgShl6Kl1oGpKHZulGBkDFvNnhkMgxoCDJoQAv"/>
    <hyperlink ref="H337" r:id="rId41"/>
    <hyperlink ref="H351" display="https://www.madeiramadeira.com.br/luminaria-pendente-1lamp-retangular-130cm-madeira-castanho-madelustre-2931862.html?origem=pla-2931862&amp;utm_source=google&amp;utm_medium=cpc&amp;utm_content=pendentes-5761&amp;utm_term=&amp;utm_id=16173416619&amp;gclid=Cj0KCQjw-daUBhCIARIsALbk"/>
    <hyperlink ref="H372" r:id="rId42"/>
    <hyperlink ref="H371" r:id="rId43"/>
    <hyperlink ref="H379" r:id="rId44" display="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hyperlink ref="H386" r:id="rId45"/>
    <hyperlink ref="H405" r:id="rId46" location="position=1&amp;search_layout=stack&amp;type=item&amp;tracking_id=c5319fc2-adbd-40d3-9486-86b1f20c7772"/>
    <hyperlink ref="H420" r:id="rId47"/>
    <hyperlink ref="H421" r:id="rId48" display="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hyperlink ref="H440" r:id="rId49" location="position=1&amp;search_layout=stack&amp;type=item&amp;tracking_id=c5319fc2-adbd-40d3-9486-86b1f20c7772"/>
    <hyperlink ref="H463" r:id="rId50"/>
    <hyperlink ref="H477" r:id="rId51" display="https://www.lojaqualitytubos.com.br/acionador-manual-convencional-com-sirene-bivolt-12-24v-p1000742?utm_source=google&amp;utm_medium=upc&amp;utm_campaign=qualitytubos&amp;gclid=CjwKCAjws8yUBhA1EiwAi_tpEfxA6k7OZ1o613MSPIIyPgsTSFIfkEaqFIP85UXnqs9OTjbOQekGCRoCpGcQAvD_BwE"/>
    <hyperlink ref="H486" r:id="rId52"/>
    <hyperlink ref="H485" r:id="rId53" display="https://produto.mercadolivre.com.br/MLB-1712360587-tampa-tampo-de-incndio-hidrante-recalque-40-x-60-ferro-_JM?matt_tool=18956390&amp;utm_source=google_shopping&amp;utm_medium=organic"/>
    <hyperlink ref="H484" r:id="rId54" display="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hyperlink ref="H492" r:id="rId55" display="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hyperlink ref="H493" r:id="rId56"/>
    <hyperlink ref="H498" r:id="rId57"/>
    <hyperlink ref="H500" r:id="rId58"/>
    <hyperlink ref="H513" r:id="rId59"/>
    <hyperlink ref="H561" r:id="rId60"/>
    <hyperlink ref="H604" r:id="rId61"/>
    <hyperlink ref="H611" r:id="rId62"/>
    <hyperlink ref="H617" r:id="rId63" display="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hyperlink ref="H639" r:id="rId64"/>
    <hyperlink ref="H652" r:id="rId65"/>
    <hyperlink ref="H653" r:id="rId66" display="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hyperlink ref="H667" r:id="rId67"/>
    <hyperlink ref="H668" r:id="rId68"/>
    <hyperlink ref="H666" r:id="rId69"/>
    <hyperlink ref="H673" r:id="rId70"/>
    <hyperlink ref="H674" r:id="rId71" display="https://www.dimensional.com.br/bucha-reducao-metalica-eletroduto-aluminio-bsp-1-1-2x3-4-56124008-tramontina/p?idsku=944911&amp;gclid=CjwKCAjwnZaVBhA6EiwAVVyv9EwVpgz0IOIZVTy-WRnSnegbhlpI6zS0QlnxlGKindFQ4WSpgZX7yxoCNsYQAvD_BwE"/>
    <hyperlink ref="H675" r:id="rId72"/>
    <hyperlink ref="H681" r:id="rId73"/>
    <hyperlink ref="H682" r:id="rId74"/>
    <hyperlink ref="H680" r:id="rId75"/>
    <hyperlink ref="H725" r:id="rId76"/>
    <hyperlink ref="H732" r:id="rId77"/>
    <hyperlink ref="H759" r:id="rId78" display="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hyperlink ref="H760" r:id="rId79"/>
    <hyperlink ref="H761" r:id="rId80" display="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hyperlink ref="H810" r:id="rId81"/>
    <hyperlink ref="H811" r:id="rId82"/>
    <hyperlink ref="H812" r:id="rId83"/>
    <hyperlink ref="H959" display="https://produto.mercadolivre.com.br/MLB-1230215819-kit-de-ventilaco-padro-19-400mm-4-ventiladores-bivolt-_JM?matt_tool=31508429&amp;matt_word=&amp;matt_source=google&amp;matt_campaign_id=14303413595&amp;matt_ad_group_id=125984286477&amp;matt_match_type=&amp;matt_network=g&amp;matt_d"/>
    <hyperlink ref="H957" r:id="rId84"/>
    <hyperlink ref="H965" r:id="rId85"/>
    <hyperlink ref="H972" r:id="rId86"/>
    <hyperlink ref="H973" r:id="rId87"/>
    <hyperlink ref="H987" display="https://produto.mercadolivre.com.br/MLB-2076005570-patch-cord-furukawa-cat6-injetado-gigalan-25-mts-original-_JM?matt_tool=31508429&amp;matt_word=&amp;matt_source=google&amp;matt_campaign_id=14303413595&amp;matt_ad_group_id=125984286477&amp;matt_match_type=&amp;matt_network=g&amp;ma"/>
    <hyperlink ref="H994" r:id="rId88"/>
    <hyperlink ref="H993" display="https://www.amazon.com.br/Passa-Cabo-Horizontal-1ux19-Preto/dp/B07X27JM6B/ref=asc_df_B07X27JM6B/?tag=googleshopp00-20&amp;linkCode=df0&amp;hvadid=379720664788&amp;hvpos=&amp;hvnetw=g&amp;hvrand=7086646470848575354&amp;hvpone=&amp;hvptwo=&amp;hvqmt=&amp;hvdev=c&amp;hvdvcmdl=&amp;hvlocint=&amp;hvlocphy=9"/>
    <hyperlink ref="H999" r:id="rId89"/>
    <hyperlink ref="H1001" r:id="rId90"/>
    <hyperlink ref="H1006" display="https://www.amazon.com.br/Patch-Panel-Sohoplus-Dispositivos-Conex%C3%A3o/dp/B075M5H5W1/ref=asc_df_B075M5H5W1/?tag=googleshopp00-20&amp;linkCode=df0&amp;hvadid=426290880434&amp;hvpos=&amp;hvnetw=g&amp;hvrand=12245479187788328305&amp;hvpone=&amp;hvptwo=&amp;hvqmt=&amp;hvdev=c&amp;hvdvcmdl=&amp;hvloci"/>
    <hyperlink ref="H1007" r:id="rId91"/>
    <hyperlink ref="H1013" r:id="rId92"/>
    <hyperlink ref="H1014" display="https://produto.mercadolivre.com.br/MLB-2016474276-power-balun-16-canais-full-hd-caliment-vb-1016-wp-intelbras-_JM?matt_tool=56291529&amp;matt_word=&amp;matt_source=google&amp;matt_campaign_id=14303413604&amp;matt_ad_group_id=133074303519&amp;matt_match_type=&amp;matt_network=g&amp;"/>
    <hyperlink ref="H1015" r:id="rId93"/>
    <hyperlink ref="H1021" display="https://produto.mercadolivre.com.br/MLB-2602764898-power-video-balun-par-conector-rj45-p-bnc-8mp-alimentaco-_JM#position=2&amp;search_layout=stack&amp;type=pad&amp;tracking_id=6880355e-e724-40da-8ffd-832ad511b370#position=2&amp;search_layout=stack&amp;type=pad&amp;tracking_id=68"/>
    <hyperlink ref="H1028" r:id="rId94"/>
    <hyperlink ref="H1036" r:id="rId95"/>
    <hyperlink ref="H1035" r:id="rId96"/>
    <hyperlink ref="H1034" r:id="rId97"/>
    <hyperlink ref="F1070" r:id="rId98" display="https://web.whatsapp.com/send?phone=554136613100&amp;text=Ol%C3%A1,%20estou%20navegando%20no%20site%20e%20preciso%20de%20ajuda."/>
    <hyperlink ref="H1070" r:id="rId99"/>
    <hyperlink ref="H1099" r:id="rId100"/>
    <hyperlink ref="F1105" r:id="rId101" display="https://web.whatsapp.com/send?phone=554136613100&amp;text=Ol%C3%A1,%20estou%20navegando%20no%20site%20e%20preciso%20de%20ajuda."/>
    <hyperlink ref="H1106" display="https://produto.mercadolivre.com.br/MLB-1976485952-t-horizontal-90g-300x50-perfurado-inbraell-_JM?matt_tool=14804773&amp;matt_word=&amp;matt_source=google&amp;matt_campaign_id=14302215543&amp;matt_ad_group_id=134553705348&amp;matt_match_type=&amp;matt_network=g&amp;matt_device=c&amp;mat"/>
    <hyperlink ref="H1133" r:id="rId102"/>
    <hyperlink ref="H1134" r:id="rId103"/>
    <hyperlink ref="H1162" r:id="rId104"/>
    <hyperlink ref="G1171" r:id="rId105" display="http://cnpj.info/12535095000127"/>
    <hyperlink ref="H1383" r:id="rId106" display="https://www.americanas.com.br/produto/4874307441?epar=bp_pl_00_go_cc_pmax_geral&amp;opn=YSMESP&amp;WT.srch=1&amp;offerId=6247aa3487c00289c26671a7&amp;gclid=CjwKCAjwqauVBhBGEiwAXOepkS7fSRpJ84x_grsAUOrUjcujBTZGr6Q_GHcb-pg-pkxI2aAdbRQ-KxoCKkIQAvD_BwE&amp;cor=Verde&amp;tamanho=Grande"/>
    <hyperlink ref="H1447" display="https://www.americanas.com.br/produto/4709980069?epar=bp_pl_00_go_cc_pmax_geral&amp;opn=YSMESP&amp;WT.srch=1&amp;offerId=61fe3817d9fd6edeecaff79b&amp;gclid=CjwKCAjwv-GUBhAzEiwASUMm4r5cHgOYFqqvwSxyzIdAbnhmEi4G2SiOYj8CEk5QRS7iQAM127sD8RoCRnsQAvD_BwE&amp;modelo=Ambiente%20Inter"/>
    <hyperlink ref="H1446" r:id="rId107"/>
    <hyperlink ref="H1448" r:id="rId108" display="https://www.santil.com.br/produto/fita-dupla-face-scotch-fixa-forte-transparente-24mm-x-2m-3m/471592"/>
    <hyperlink ref="H1471" r:id="rId109"/>
    <hyperlink ref="H1470" r:id="rId110"/>
    <hyperlink ref="H1469" r:id="rId111"/>
    <hyperlink ref="H1477" r:id="rId112"/>
    <hyperlink ref="H1478" r:id="rId113"/>
    <hyperlink ref="H1476" r:id="rId114"/>
    <hyperlink ref="H1484" r:id="rId115"/>
    <hyperlink ref="H1485" r:id="rId116"/>
    <hyperlink ref="H1483" r:id="rId117"/>
    <hyperlink ref="H1522" r:id="rId118"/>
    <hyperlink ref="H1521" display="https://www.lumienergy.com.br/luminaria-led-blumenau-slim-de-sobrepor-36w-bivolt-6500k-luz-branca?utm_source=google&amp;utm_medium=Shopping&amp;utm_campaign=luminaria-led-blumenau-slim-de-sobrepor-36w-bivolt-6500k-luz-branca&amp;inStock&amp;gclid=CjwKCAjw46CVBhB1EiwAgy6M"/>
    <hyperlink ref="H1520" r:id="rId119"/>
    <hyperlink ref="H1527" r:id="rId120"/>
    <hyperlink ref="H1534" r:id="rId121"/>
    <hyperlink ref="H1541" r:id="rId122"/>
    <hyperlink ref="H1548" r:id="rId123"/>
    <hyperlink ref="H1555" r:id="rId124"/>
    <hyperlink ref="H1556" r:id="rId125" display="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hyperlink ref="H1562" r:id="rId126"/>
    <hyperlink ref="H1563" r:id="rId127"/>
    <hyperlink ref="H1564" r:id="rId128"/>
    <hyperlink ref="H690" display="https://www.magazineluiza.com.br/molde-forma-solda-exosolda-hxs-5-8-50-4a-200-alta-camada/p/df0c11h13a/rc/rcnm/?&amp;seller_id=agrometal&amp;utm_source=google&amp;utm_medium=pla&amp;utm_campaign=&amp;partner_id=65409&amp;gclid=Cj0KCQjwnNyUBhCZARIsAI9AYlFNqKacM8AYr7_0uwZSHiIZ_sAw"/>
    <hyperlink ref="H717" r:id="rId129" location="position=2&amp;search_layout=stack&amp;type=item&amp;tracking_id=353ec733-391d-4731-8110-a0843668af24"/>
  </hyperlinks>
  <printOptions horizontalCentered="1"/>
  <pageMargins left="0.23622047244094491" right="0.43307086614173229" top="1.0236220472440944" bottom="1.5748031496062993" header="0.31496062992125984" footer="0.31496062992125984"/>
  <pageSetup paperSize="9" scale="33" fitToHeight="0" orientation="portrait" r:id="rId130"/>
  <headerFooter>
    <oddHeader xml:space="preserve">&amp;L&amp;G&amp;RSecretaria de Estado de Planejamento e Gestão - SEPLAG
(65) 3613-3619
GERENCIA DE INFRAESTRUTURA
(65) 3611-3753
</oddHeader>
    <oddFooter>&amp;L&amp;G&amp;C&amp;P
&amp;R&amp;A
&amp;D&amp;T</oddFooter>
  </headerFooter>
  <rowBreaks count="11" manualBreakCount="11">
    <brk id="199" max="7" man="1"/>
    <brk id="259" max="7" man="1"/>
    <brk id="304" max="7" man="1"/>
    <brk id="516" max="7" man="1"/>
    <brk id="650" max="7" man="1"/>
    <brk id="720" max="7" man="1"/>
    <brk id="849" max="7" man="1"/>
    <brk id="1342" max="7" man="1"/>
    <brk id="1391" max="7" man="1"/>
    <brk id="1449" max="7" man="1"/>
    <brk id="1486" max="7" man="1"/>
  </rowBreaks>
  <legacyDrawingHF r:id="rId1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10"/>
  <sheetViews>
    <sheetView workbookViewId="0">
      <selection activeCell="N9089" sqref="N9089"/>
    </sheetView>
  </sheetViews>
  <sheetFormatPr defaultRowHeight="15"/>
  <cols>
    <col min="1" max="1" width="24.5703125" customWidth="1"/>
    <col min="2" max="2" width="100.28515625" customWidth="1"/>
    <col min="3" max="3" width="8.140625" customWidth="1"/>
    <col min="4" max="4" width="21.140625" customWidth="1"/>
  </cols>
  <sheetData>
    <row r="1" spans="1:4">
      <c r="A1" s="1512"/>
      <c r="B1" s="1512"/>
      <c r="C1" s="1512"/>
      <c r="D1" s="1512"/>
    </row>
    <row r="2" spans="1:4">
      <c r="A2" s="1512"/>
      <c r="B2" s="1512"/>
      <c r="C2" s="1512"/>
      <c r="D2" s="1512"/>
    </row>
    <row r="3" spans="1:4">
      <c r="A3" s="1512"/>
      <c r="B3" s="1512"/>
      <c r="C3" s="1512"/>
      <c r="D3" s="1512"/>
    </row>
    <row r="5" spans="1:4">
      <c r="A5" s="104" t="s">
        <v>14734</v>
      </c>
      <c r="B5" s="104" t="s">
        <v>14735</v>
      </c>
      <c r="C5" s="104" t="s">
        <v>14736</v>
      </c>
      <c r="D5" s="104" t="s">
        <v>14737</v>
      </c>
    </row>
    <row r="7" spans="1:4">
      <c r="A7" s="105">
        <v>97141</v>
      </c>
      <c r="B7" s="104" t="s">
        <v>445</v>
      </c>
      <c r="C7" s="104" t="s">
        <v>40</v>
      </c>
      <c r="D7" s="129" t="s">
        <v>14738</v>
      </c>
    </row>
    <row r="8" spans="1:4">
      <c r="A8" s="105">
        <v>97142</v>
      </c>
      <c r="B8" s="104" t="s">
        <v>446</v>
      </c>
      <c r="C8" s="104" t="s">
        <v>40</v>
      </c>
      <c r="D8" s="129" t="s">
        <v>14739</v>
      </c>
    </row>
    <row r="9" spans="1:4">
      <c r="A9" s="105">
        <v>97143</v>
      </c>
      <c r="B9" s="104" t="s">
        <v>447</v>
      </c>
      <c r="C9" s="104" t="s">
        <v>40</v>
      </c>
      <c r="D9" s="129" t="s">
        <v>14740</v>
      </c>
    </row>
    <row r="10" spans="1:4">
      <c r="A10" s="105">
        <v>97144</v>
      </c>
      <c r="B10" s="104" t="s">
        <v>448</v>
      </c>
      <c r="C10" s="104" t="s">
        <v>40</v>
      </c>
      <c r="D10" s="129" t="s">
        <v>14741</v>
      </c>
    </row>
    <row r="11" spans="1:4">
      <c r="A11" s="105">
        <v>97145</v>
      </c>
      <c r="B11" s="104" t="s">
        <v>449</v>
      </c>
      <c r="C11" s="104" t="s">
        <v>40</v>
      </c>
      <c r="D11" s="129" t="s">
        <v>14742</v>
      </c>
    </row>
    <row r="12" spans="1:4">
      <c r="A12" s="105">
        <v>97146</v>
      </c>
      <c r="B12" s="104" t="s">
        <v>450</v>
      </c>
      <c r="C12" s="104" t="s">
        <v>40</v>
      </c>
      <c r="D12" s="129" t="s">
        <v>14743</v>
      </c>
    </row>
    <row r="13" spans="1:4">
      <c r="A13" s="105">
        <v>97147</v>
      </c>
      <c r="B13" s="104" t="s">
        <v>451</v>
      </c>
      <c r="C13" s="104" t="s">
        <v>40</v>
      </c>
      <c r="D13" s="129" t="s">
        <v>14744</v>
      </c>
    </row>
    <row r="14" spans="1:4">
      <c r="A14" s="105">
        <v>97148</v>
      </c>
      <c r="B14" s="104" t="s">
        <v>452</v>
      </c>
      <c r="C14" s="104" t="s">
        <v>40</v>
      </c>
      <c r="D14" s="129" t="s">
        <v>14745</v>
      </c>
    </row>
    <row r="15" spans="1:4">
      <c r="A15" s="105">
        <v>97149</v>
      </c>
      <c r="B15" s="104" t="s">
        <v>453</v>
      </c>
      <c r="C15" s="104" t="s">
        <v>40</v>
      </c>
      <c r="D15" s="129" t="s">
        <v>14746</v>
      </c>
    </row>
    <row r="16" spans="1:4">
      <c r="A16" s="105">
        <v>97150</v>
      </c>
      <c r="B16" s="104" t="s">
        <v>454</v>
      </c>
      <c r="C16" s="104" t="s">
        <v>40</v>
      </c>
      <c r="D16" s="129" t="s">
        <v>14747</v>
      </c>
    </row>
    <row r="17" spans="1:4">
      <c r="A17" s="105">
        <v>97151</v>
      </c>
      <c r="B17" s="104" t="s">
        <v>455</v>
      </c>
      <c r="C17" s="104" t="s">
        <v>40</v>
      </c>
      <c r="D17" s="129" t="s">
        <v>14748</v>
      </c>
    </row>
    <row r="18" spans="1:4">
      <c r="A18" s="105">
        <v>97152</v>
      </c>
      <c r="B18" s="104" t="s">
        <v>456</v>
      </c>
      <c r="C18" s="104" t="s">
        <v>40</v>
      </c>
      <c r="D18" s="129" t="s">
        <v>14749</v>
      </c>
    </row>
    <row r="19" spans="1:4">
      <c r="A19" s="105">
        <v>97153</v>
      </c>
      <c r="B19" s="104" t="s">
        <v>457</v>
      </c>
      <c r="C19" s="104" t="s">
        <v>40</v>
      </c>
      <c r="D19" s="129" t="s">
        <v>14750</v>
      </c>
    </row>
    <row r="20" spans="1:4">
      <c r="A20" s="105">
        <v>97154</v>
      </c>
      <c r="B20" s="104" t="s">
        <v>458</v>
      </c>
      <c r="C20" s="104" t="s">
        <v>40</v>
      </c>
      <c r="D20" s="129" t="s">
        <v>14751</v>
      </c>
    </row>
    <row r="21" spans="1:4">
      <c r="A21" s="105">
        <v>97155</v>
      </c>
      <c r="B21" s="104" t="s">
        <v>459</v>
      </c>
      <c r="C21" s="104" t="s">
        <v>40</v>
      </c>
      <c r="D21" s="129" t="s">
        <v>14752</v>
      </c>
    </row>
    <row r="22" spans="1:4">
      <c r="A22" s="105">
        <v>97156</v>
      </c>
      <c r="B22" s="104" t="s">
        <v>460</v>
      </c>
      <c r="C22" s="104" t="s">
        <v>40</v>
      </c>
      <c r="D22" s="129" t="s">
        <v>14753</v>
      </c>
    </row>
    <row r="23" spans="1:4">
      <c r="A23" s="105">
        <v>97157</v>
      </c>
      <c r="B23" s="104" t="s">
        <v>461</v>
      </c>
      <c r="C23" s="104" t="s">
        <v>40</v>
      </c>
      <c r="D23" s="129" t="s">
        <v>14754</v>
      </c>
    </row>
    <row r="24" spans="1:4">
      <c r="A24" s="105">
        <v>97158</v>
      </c>
      <c r="B24" s="104" t="s">
        <v>462</v>
      </c>
      <c r="C24" s="104" t="s">
        <v>40</v>
      </c>
      <c r="D24" s="129" t="s">
        <v>14755</v>
      </c>
    </row>
    <row r="25" spans="1:4">
      <c r="A25" s="105">
        <v>97159</v>
      </c>
      <c r="B25" s="104" t="s">
        <v>463</v>
      </c>
      <c r="C25" s="104" t="s">
        <v>40</v>
      </c>
      <c r="D25" s="129" t="s">
        <v>14756</v>
      </c>
    </row>
    <row r="26" spans="1:4">
      <c r="A26" s="105">
        <v>97160</v>
      </c>
      <c r="B26" s="104" t="s">
        <v>464</v>
      </c>
      <c r="C26" s="104" t="s">
        <v>40</v>
      </c>
      <c r="D26" s="129" t="s">
        <v>14757</v>
      </c>
    </row>
    <row r="27" spans="1:4">
      <c r="A27" s="105">
        <v>97161</v>
      </c>
      <c r="B27" s="104" t="s">
        <v>465</v>
      </c>
      <c r="C27" s="104" t="s">
        <v>40</v>
      </c>
      <c r="D27" s="129" t="s">
        <v>14758</v>
      </c>
    </row>
    <row r="28" spans="1:4">
      <c r="A28" s="105">
        <v>97162</v>
      </c>
      <c r="B28" s="104" t="s">
        <v>466</v>
      </c>
      <c r="C28" s="104" t="s">
        <v>40</v>
      </c>
      <c r="D28" s="129" t="s">
        <v>14759</v>
      </c>
    </row>
    <row r="29" spans="1:4">
      <c r="A29" s="105">
        <v>97163</v>
      </c>
      <c r="B29" s="104" t="s">
        <v>467</v>
      </c>
      <c r="C29" s="104" t="s">
        <v>40</v>
      </c>
      <c r="D29" s="129" t="s">
        <v>14760</v>
      </c>
    </row>
    <row r="30" spans="1:4">
      <c r="A30" s="105">
        <v>97164</v>
      </c>
      <c r="B30" s="104" t="s">
        <v>468</v>
      </c>
      <c r="C30" s="104" t="s">
        <v>40</v>
      </c>
      <c r="D30" s="129" t="s">
        <v>14761</v>
      </c>
    </row>
    <row r="31" spans="1:4">
      <c r="A31" s="105">
        <v>97165</v>
      </c>
      <c r="B31" s="104" t="s">
        <v>469</v>
      </c>
      <c r="C31" s="104" t="s">
        <v>40</v>
      </c>
      <c r="D31" s="129" t="s">
        <v>14762</v>
      </c>
    </row>
    <row r="32" spans="1:4">
      <c r="A32" s="105">
        <v>97166</v>
      </c>
      <c r="B32" s="104" t="s">
        <v>470</v>
      </c>
      <c r="C32" s="104" t="s">
        <v>40</v>
      </c>
      <c r="D32" s="129" t="s">
        <v>14763</v>
      </c>
    </row>
    <row r="33" spans="1:4">
      <c r="A33" s="105">
        <v>97167</v>
      </c>
      <c r="B33" s="104" t="s">
        <v>471</v>
      </c>
      <c r="C33" s="104" t="s">
        <v>40</v>
      </c>
      <c r="D33" s="129" t="s">
        <v>14764</v>
      </c>
    </row>
    <row r="34" spans="1:4">
      <c r="A34" s="105">
        <v>97168</v>
      </c>
      <c r="B34" s="104" t="s">
        <v>472</v>
      </c>
      <c r="C34" s="104" t="s">
        <v>40</v>
      </c>
      <c r="D34" s="129" t="s">
        <v>14765</v>
      </c>
    </row>
    <row r="35" spans="1:4">
      <c r="A35" s="105">
        <v>97169</v>
      </c>
      <c r="B35" s="104" t="s">
        <v>473</v>
      </c>
      <c r="C35" s="104" t="s">
        <v>40</v>
      </c>
      <c r="D35" s="129" t="s">
        <v>14766</v>
      </c>
    </row>
    <row r="36" spans="1:4">
      <c r="A36" s="105">
        <v>97170</v>
      </c>
      <c r="B36" s="104" t="s">
        <v>474</v>
      </c>
      <c r="C36" s="104" t="s">
        <v>40</v>
      </c>
      <c r="D36" s="129" t="s">
        <v>14767</v>
      </c>
    </row>
    <row r="37" spans="1:4">
      <c r="A37" s="105">
        <v>97171</v>
      </c>
      <c r="B37" s="104" t="s">
        <v>475</v>
      </c>
      <c r="C37" s="104" t="s">
        <v>40</v>
      </c>
      <c r="D37" s="129" t="s">
        <v>14768</v>
      </c>
    </row>
    <row r="38" spans="1:4">
      <c r="A38" s="105">
        <v>97172</v>
      </c>
      <c r="B38" s="104" t="s">
        <v>476</v>
      </c>
      <c r="C38" s="104" t="s">
        <v>40</v>
      </c>
      <c r="D38" s="129" t="s">
        <v>14769</v>
      </c>
    </row>
    <row r="39" spans="1:4">
      <c r="A39" s="105">
        <v>97173</v>
      </c>
      <c r="B39" s="104" t="s">
        <v>477</v>
      </c>
      <c r="C39" s="104" t="s">
        <v>40</v>
      </c>
      <c r="D39" s="129" t="s">
        <v>14770</v>
      </c>
    </row>
    <row r="40" spans="1:4">
      <c r="A40" s="105">
        <v>97174</v>
      </c>
      <c r="B40" s="104" t="s">
        <v>478</v>
      </c>
      <c r="C40" s="104" t="s">
        <v>40</v>
      </c>
      <c r="D40" s="129" t="s">
        <v>14771</v>
      </c>
    </row>
    <row r="41" spans="1:4">
      <c r="A41" s="105">
        <v>97175</v>
      </c>
      <c r="B41" s="104" t="s">
        <v>479</v>
      </c>
      <c r="C41" s="104" t="s">
        <v>40</v>
      </c>
      <c r="D41" s="129" t="s">
        <v>14772</v>
      </c>
    </row>
    <row r="42" spans="1:4">
      <c r="A42" s="105">
        <v>97176</v>
      </c>
      <c r="B42" s="104" t="s">
        <v>480</v>
      </c>
      <c r="C42" s="104" t="s">
        <v>40</v>
      </c>
      <c r="D42" s="129" t="s">
        <v>14773</v>
      </c>
    </row>
    <row r="43" spans="1:4">
      <c r="A43" s="105">
        <v>97177</v>
      </c>
      <c r="B43" s="104" t="s">
        <v>481</v>
      </c>
      <c r="C43" s="104" t="s">
        <v>40</v>
      </c>
      <c r="D43" s="129" t="s">
        <v>14774</v>
      </c>
    </row>
    <row r="44" spans="1:4">
      <c r="A44" s="105">
        <v>97178</v>
      </c>
      <c r="B44" s="104" t="s">
        <v>482</v>
      </c>
      <c r="C44" s="104" t="s">
        <v>40</v>
      </c>
      <c r="D44" s="129" t="s">
        <v>14775</v>
      </c>
    </row>
    <row r="45" spans="1:4">
      <c r="A45" s="105">
        <v>97179</v>
      </c>
      <c r="B45" s="104" t="s">
        <v>483</v>
      </c>
      <c r="C45" s="104" t="s">
        <v>40</v>
      </c>
      <c r="D45" s="129" t="s">
        <v>14776</v>
      </c>
    </row>
    <row r="46" spans="1:4">
      <c r="A46" s="105">
        <v>97180</v>
      </c>
      <c r="B46" s="104" t="s">
        <v>484</v>
      </c>
      <c r="C46" s="104" t="s">
        <v>40</v>
      </c>
      <c r="D46" s="129" t="s">
        <v>14777</v>
      </c>
    </row>
    <row r="47" spans="1:4">
      <c r="A47" s="105">
        <v>97181</v>
      </c>
      <c r="B47" s="104" t="s">
        <v>485</v>
      </c>
      <c r="C47" s="104" t="s">
        <v>40</v>
      </c>
      <c r="D47" s="129" t="s">
        <v>14778</v>
      </c>
    </row>
    <row r="48" spans="1:4">
      <c r="A48" s="105">
        <v>97182</v>
      </c>
      <c r="B48" s="104" t="s">
        <v>486</v>
      </c>
      <c r="C48" s="104" t="s">
        <v>40</v>
      </c>
      <c r="D48" s="129" t="s">
        <v>14779</v>
      </c>
    </row>
    <row r="49" spans="1:4">
      <c r="A49" s="105">
        <v>97183</v>
      </c>
      <c r="B49" s="104" t="s">
        <v>487</v>
      </c>
      <c r="C49" s="104" t="s">
        <v>40</v>
      </c>
      <c r="D49" s="129" t="s">
        <v>14780</v>
      </c>
    </row>
    <row r="50" spans="1:4">
      <c r="A50" s="105">
        <v>97184</v>
      </c>
      <c r="B50" s="104" t="s">
        <v>488</v>
      </c>
      <c r="C50" s="104" t="s">
        <v>40</v>
      </c>
      <c r="D50" s="129" t="s">
        <v>14781</v>
      </c>
    </row>
    <row r="51" spans="1:4">
      <c r="A51" s="105">
        <v>97185</v>
      </c>
      <c r="B51" s="104" t="s">
        <v>489</v>
      </c>
      <c r="C51" s="104" t="s">
        <v>40</v>
      </c>
      <c r="D51" s="129" t="s">
        <v>14782</v>
      </c>
    </row>
    <row r="52" spans="1:4">
      <c r="A52" s="105">
        <v>97186</v>
      </c>
      <c r="B52" s="104" t="s">
        <v>490</v>
      </c>
      <c r="C52" s="104" t="s">
        <v>40</v>
      </c>
      <c r="D52" s="129" t="s">
        <v>14783</v>
      </c>
    </row>
    <row r="53" spans="1:4">
      <c r="A53" s="105">
        <v>97187</v>
      </c>
      <c r="B53" s="104" t="s">
        <v>491</v>
      </c>
      <c r="C53" s="104" t="s">
        <v>40</v>
      </c>
      <c r="D53" s="129" t="s">
        <v>14784</v>
      </c>
    </row>
    <row r="54" spans="1:4">
      <c r="A54" s="105">
        <v>97188</v>
      </c>
      <c r="B54" s="104" t="s">
        <v>492</v>
      </c>
      <c r="C54" s="104" t="s">
        <v>40</v>
      </c>
      <c r="D54" s="129" t="s">
        <v>14785</v>
      </c>
    </row>
    <row r="55" spans="1:4">
      <c r="A55" s="105">
        <v>97189</v>
      </c>
      <c r="B55" s="104" t="s">
        <v>493</v>
      </c>
      <c r="C55" s="104" t="s">
        <v>40</v>
      </c>
      <c r="D55" s="129" t="s">
        <v>14786</v>
      </c>
    </row>
    <row r="56" spans="1:4">
      <c r="A56" s="105">
        <v>97190</v>
      </c>
      <c r="B56" s="104" t="s">
        <v>494</v>
      </c>
      <c r="C56" s="104" t="s">
        <v>40</v>
      </c>
      <c r="D56" s="129" t="s">
        <v>14787</v>
      </c>
    </row>
    <row r="57" spans="1:4">
      <c r="A57" s="105">
        <v>97191</v>
      </c>
      <c r="B57" s="104" t="s">
        <v>495</v>
      </c>
      <c r="C57" s="104" t="s">
        <v>40</v>
      </c>
      <c r="D57" s="129" t="s">
        <v>14788</v>
      </c>
    </row>
    <row r="58" spans="1:4">
      <c r="A58" s="105">
        <v>97192</v>
      </c>
      <c r="B58" s="104" t="s">
        <v>496</v>
      </c>
      <c r="C58" s="104" t="s">
        <v>40</v>
      </c>
      <c r="D58" s="129" t="s">
        <v>14789</v>
      </c>
    </row>
    <row r="59" spans="1:4">
      <c r="A59" s="105">
        <v>90694</v>
      </c>
      <c r="B59" s="104" t="s">
        <v>497</v>
      </c>
      <c r="C59" s="104" t="s">
        <v>40</v>
      </c>
      <c r="D59" s="129" t="s">
        <v>14790</v>
      </c>
    </row>
    <row r="60" spans="1:4">
      <c r="A60" s="105">
        <v>90695</v>
      </c>
      <c r="B60" s="104" t="s">
        <v>498</v>
      </c>
      <c r="C60" s="104" t="s">
        <v>40</v>
      </c>
      <c r="D60" s="129" t="s">
        <v>14791</v>
      </c>
    </row>
    <row r="61" spans="1:4">
      <c r="A61" s="105">
        <v>90696</v>
      </c>
      <c r="B61" s="104" t="s">
        <v>499</v>
      </c>
      <c r="C61" s="104" t="s">
        <v>40</v>
      </c>
      <c r="D61" s="129" t="s">
        <v>14792</v>
      </c>
    </row>
    <row r="62" spans="1:4">
      <c r="A62" s="105">
        <v>90697</v>
      </c>
      <c r="B62" s="104" t="s">
        <v>500</v>
      </c>
      <c r="C62" s="104" t="s">
        <v>40</v>
      </c>
      <c r="D62" s="129" t="s">
        <v>14793</v>
      </c>
    </row>
    <row r="63" spans="1:4">
      <c r="A63" s="105">
        <v>90698</v>
      </c>
      <c r="B63" s="104" t="s">
        <v>501</v>
      </c>
      <c r="C63" s="104" t="s">
        <v>40</v>
      </c>
      <c r="D63" s="129" t="s">
        <v>14794</v>
      </c>
    </row>
    <row r="64" spans="1:4">
      <c r="A64" s="105">
        <v>90699</v>
      </c>
      <c r="B64" s="104" t="s">
        <v>502</v>
      </c>
      <c r="C64" s="104" t="s">
        <v>40</v>
      </c>
      <c r="D64" s="129" t="s">
        <v>14795</v>
      </c>
    </row>
    <row r="65" spans="1:4">
      <c r="A65" s="105">
        <v>90700</v>
      </c>
      <c r="B65" s="104" t="s">
        <v>503</v>
      </c>
      <c r="C65" s="104" t="s">
        <v>40</v>
      </c>
      <c r="D65" s="129" t="s">
        <v>14796</v>
      </c>
    </row>
    <row r="66" spans="1:4">
      <c r="A66" s="105">
        <v>90701</v>
      </c>
      <c r="B66" s="104" t="s">
        <v>504</v>
      </c>
      <c r="C66" s="104" t="s">
        <v>40</v>
      </c>
      <c r="D66" s="129" t="s">
        <v>14797</v>
      </c>
    </row>
    <row r="67" spans="1:4">
      <c r="A67" s="105">
        <v>90702</v>
      </c>
      <c r="B67" s="104" t="s">
        <v>505</v>
      </c>
      <c r="C67" s="104" t="s">
        <v>40</v>
      </c>
      <c r="D67" s="129" t="s">
        <v>14798</v>
      </c>
    </row>
    <row r="68" spans="1:4">
      <c r="A68" s="105">
        <v>90703</v>
      </c>
      <c r="B68" s="104" t="s">
        <v>506</v>
      </c>
      <c r="C68" s="104" t="s">
        <v>40</v>
      </c>
      <c r="D68" s="129" t="s">
        <v>14799</v>
      </c>
    </row>
    <row r="69" spans="1:4">
      <c r="A69" s="105">
        <v>90704</v>
      </c>
      <c r="B69" s="104" t="s">
        <v>507</v>
      </c>
      <c r="C69" s="104" t="s">
        <v>40</v>
      </c>
      <c r="D69" s="129" t="s">
        <v>14800</v>
      </c>
    </row>
    <row r="70" spans="1:4">
      <c r="A70" s="105">
        <v>90705</v>
      </c>
      <c r="B70" s="104" t="s">
        <v>508</v>
      </c>
      <c r="C70" s="104" t="s">
        <v>40</v>
      </c>
      <c r="D70" s="129" t="s">
        <v>14801</v>
      </c>
    </row>
    <row r="71" spans="1:4">
      <c r="A71" s="105">
        <v>90706</v>
      </c>
      <c r="B71" s="104" t="s">
        <v>509</v>
      </c>
      <c r="C71" s="104" t="s">
        <v>40</v>
      </c>
      <c r="D71" s="129" t="s">
        <v>14802</v>
      </c>
    </row>
    <row r="72" spans="1:4">
      <c r="A72" s="105">
        <v>90708</v>
      </c>
      <c r="B72" s="104" t="s">
        <v>510</v>
      </c>
      <c r="C72" s="104" t="s">
        <v>40</v>
      </c>
      <c r="D72" s="129" t="s">
        <v>14803</v>
      </c>
    </row>
    <row r="73" spans="1:4">
      <c r="A73" s="105">
        <v>90724</v>
      </c>
      <c r="B73" s="104" t="s">
        <v>511</v>
      </c>
      <c r="C73" s="104" t="s">
        <v>183</v>
      </c>
      <c r="D73" s="129" t="s">
        <v>14804</v>
      </c>
    </row>
    <row r="74" spans="1:4">
      <c r="A74" s="105">
        <v>90725</v>
      </c>
      <c r="B74" s="104" t="s">
        <v>512</v>
      </c>
      <c r="C74" s="104" t="s">
        <v>183</v>
      </c>
      <c r="D74" s="129" t="s">
        <v>14805</v>
      </c>
    </row>
    <row r="75" spans="1:4">
      <c r="A75" s="105">
        <v>90726</v>
      </c>
      <c r="B75" s="104" t="s">
        <v>513</v>
      </c>
      <c r="C75" s="104" t="s">
        <v>183</v>
      </c>
      <c r="D75" s="129" t="s">
        <v>14806</v>
      </c>
    </row>
    <row r="76" spans="1:4">
      <c r="A76" s="105">
        <v>90727</v>
      </c>
      <c r="B76" s="104" t="s">
        <v>514</v>
      </c>
      <c r="C76" s="104" t="s">
        <v>183</v>
      </c>
      <c r="D76" s="129" t="s">
        <v>14807</v>
      </c>
    </row>
    <row r="77" spans="1:4">
      <c r="A77" s="105">
        <v>90728</v>
      </c>
      <c r="B77" s="104" t="s">
        <v>515</v>
      </c>
      <c r="C77" s="104" t="s">
        <v>183</v>
      </c>
      <c r="D77" s="129" t="s">
        <v>14808</v>
      </c>
    </row>
    <row r="78" spans="1:4">
      <c r="A78" s="105">
        <v>90729</v>
      </c>
      <c r="B78" s="104" t="s">
        <v>516</v>
      </c>
      <c r="C78" s="104" t="s">
        <v>183</v>
      </c>
      <c r="D78" s="129" t="s">
        <v>14809</v>
      </c>
    </row>
    <row r="79" spans="1:4">
      <c r="A79" s="105">
        <v>90730</v>
      </c>
      <c r="B79" s="104" t="s">
        <v>517</v>
      </c>
      <c r="C79" s="104" t="s">
        <v>183</v>
      </c>
      <c r="D79" s="129" t="s">
        <v>14810</v>
      </c>
    </row>
    <row r="80" spans="1:4">
      <c r="A80" s="105">
        <v>90731</v>
      </c>
      <c r="B80" s="104" t="s">
        <v>518</v>
      </c>
      <c r="C80" s="104" t="s">
        <v>183</v>
      </c>
      <c r="D80" s="129" t="s">
        <v>14811</v>
      </c>
    </row>
    <row r="81" spans="1:4">
      <c r="A81" s="105">
        <v>90732</v>
      </c>
      <c r="B81" s="104" t="s">
        <v>519</v>
      </c>
      <c r="C81" s="104" t="s">
        <v>183</v>
      </c>
      <c r="D81" s="129" t="s">
        <v>14812</v>
      </c>
    </row>
    <row r="82" spans="1:4">
      <c r="A82" s="105">
        <v>90733</v>
      </c>
      <c r="B82" s="104" t="s">
        <v>520</v>
      </c>
      <c r="C82" s="104" t="s">
        <v>40</v>
      </c>
      <c r="D82" s="129" t="s">
        <v>14813</v>
      </c>
    </row>
    <row r="83" spans="1:4">
      <c r="A83" s="105">
        <v>90734</v>
      </c>
      <c r="B83" s="104" t="s">
        <v>521</v>
      </c>
      <c r="C83" s="104" t="s">
        <v>40</v>
      </c>
      <c r="D83" s="129" t="s">
        <v>14814</v>
      </c>
    </row>
    <row r="84" spans="1:4">
      <c r="A84" s="105">
        <v>90735</v>
      </c>
      <c r="B84" s="104" t="s">
        <v>522</v>
      </c>
      <c r="C84" s="104" t="s">
        <v>40</v>
      </c>
      <c r="D84" s="129" t="s">
        <v>14815</v>
      </c>
    </row>
    <row r="85" spans="1:4">
      <c r="A85" s="105">
        <v>90736</v>
      </c>
      <c r="B85" s="104" t="s">
        <v>523</v>
      </c>
      <c r="C85" s="104" t="s">
        <v>40</v>
      </c>
      <c r="D85" s="129" t="s">
        <v>14816</v>
      </c>
    </row>
    <row r="86" spans="1:4">
      <c r="A86" s="105">
        <v>90737</v>
      </c>
      <c r="B86" s="104" t="s">
        <v>524</v>
      </c>
      <c r="C86" s="104" t="s">
        <v>40</v>
      </c>
      <c r="D86" s="129" t="s">
        <v>14817</v>
      </c>
    </row>
    <row r="87" spans="1:4">
      <c r="A87" s="105">
        <v>90738</v>
      </c>
      <c r="B87" s="104" t="s">
        <v>525</v>
      </c>
      <c r="C87" s="104" t="s">
        <v>40</v>
      </c>
      <c r="D87" s="129" t="s">
        <v>14818</v>
      </c>
    </row>
    <row r="88" spans="1:4">
      <c r="A88" s="105">
        <v>90739</v>
      </c>
      <c r="B88" s="104" t="s">
        <v>526</v>
      </c>
      <c r="C88" s="104" t="s">
        <v>40</v>
      </c>
      <c r="D88" s="129" t="s">
        <v>14819</v>
      </c>
    </row>
    <row r="89" spans="1:4">
      <c r="A89" s="105">
        <v>90740</v>
      </c>
      <c r="B89" s="104" t="s">
        <v>527</v>
      </c>
      <c r="C89" s="104" t="s">
        <v>40</v>
      </c>
      <c r="D89" s="129" t="s">
        <v>14820</v>
      </c>
    </row>
    <row r="90" spans="1:4">
      <c r="A90" s="105">
        <v>90741</v>
      </c>
      <c r="B90" s="104" t="s">
        <v>528</v>
      </c>
      <c r="C90" s="104" t="s">
        <v>40</v>
      </c>
      <c r="D90" s="129" t="s">
        <v>14821</v>
      </c>
    </row>
    <row r="91" spans="1:4">
      <c r="A91" s="105">
        <v>90742</v>
      </c>
      <c r="B91" s="104" t="s">
        <v>529</v>
      </c>
      <c r="C91" s="104" t="s">
        <v>40</v>
      </c>
      <c r="D91" s="129" t="s">
        <v>14822</v>
      </c>
    </row>
    <row r="92" spans="1:4">
      <c r="A92" s="105">
        <v>90743</v>
      </c>
      <c r="B92" s="104" t="s">
        <v>530</v>
      </c>
      <c r="C92" s="104" t="s">
        <v>40</v>
      </c>
      <c r="D92" s="129" t="s">
        <v>14823</v>
      </c>
    </row>
    <row r="93" spans="1:4">
      <c r="A93" s="105">
        <v>90744</v>
      </c>
      <c r="B93" s="104" t="s">
        <v>531</v>
      </c>
      <c r="C93" s="104" t="s">
        <v>40</v>
      </c>
      <c r="D93" s="129" t="s">
        <v>14824</v>
      </c>
    </row>
    <row r="94" spans="1:4">
      <c r="A94" s="105">
        <v>90745</v>
      </c>
      <c r="B94" s="104" t="s">
        <v>532</v>
      </c>
      <c r="C94" s="104" t="s">
        <v>40</v>
      </c>
      <c r="D94" s="129" t="s">
        <v>14825</v>
      </c>
    </row>
    <row r="95" spans="1:4">
      <c r="A95" s="105">
        <v>90746</v>
      </c>
      <c r="B95" s="104" t="s">
        <v>533</v>
      </c>
      <c r="C95" s="104" t="s">
        <v>40</v>
      </c>
      <c r="D95" s="129" t="s">
        <v>14826</v>
      </c>
    </row>
    <row r="96" spans="1:4">
      <c r="A96" s="105">
        <v>90747</v>
      </c>
      <c r="B96" s="104" t="s">
        <v>534</v>
      </c>
      <c r="C96" s="104" t="s">
        <v>40</v>
      </c>
      <c r="D96" s="129" t="s">
        <v>14827</v>
      </c>
    </row>
    <row r="97" spans="1:4">
      <c r="A97" s="105">
        <v>94869</v>
      </c>
      <c r="B97" s="104" t="s">
        <v>535</v>
      </c>
      <c r="C97" s="104" t="s">
        <v>40</v>
      </c>
      <c r="D97" s="129" t="s">
        <v>14828</v>
      </c>
    </row>
    <row r="98" spans="1:4">
      <c r="A98" s="105">
        <v>94870</v>
      </c>
      <c r="B98" s="104" t="s">
        <v>536</v>
      </c>
      <c r="C98" s="104" t="s">
        <v>40</v>
      </c>
      <c r="D98" s="129" t="s">
        <v>14829</v>
      </c>
    </row>
    <row r="99" spans="1:4">
      <c r="A99" s="105">
        <v>94871</v>
      </c>
      <c r="B99" s="104" t="s">
        <v>537</v>
      </c>
      <c r="C99" s="104" t="s">
        <v>40</v>
      </c>
      <c r="D99" s="129" t="s">
        <v>14830</v>
      </c>
    </row>
    <row r="100" spans="1:4">
      <c r="A100" s="105">
        <v>94872</v>
      </c>
      <c r="B100" s="104" t="s">
        <v>538</v>
      </c>
      <c r="C100" s="104" t="s">
        <v>40</v>
      </c>
      <c r="D100" s="129" t="s">
        <v>14831</v>
      </c>
    </row>
    <row r="101" spans="1:4">
      <c r="A101" s="105">
        <v>94875</v>
      </c>
      <c r="B101" s="104" t="s">
        <v>539</v>
      </c>
      <c r="C101" s="104" t="s">
        <v>40</v>
      </c>
      <c r="D101" s="129" t="s">
        <v>14832</v>
      </c>
    </row>
    <row r="102" spans="1:4">
      <c r="A102" s="105">
        <v>94876</v>
      </c>
      <c r="B102" s="104" t="s">
        <v>540</v>
      </c>
      <c r="C102" s="104" t="s">
        <v>40</v>
      </c>
      <c r="D102" s="129" t="s">
        <v>14833</v>
      </c>
    </row>
    <row r="103" spans="1:4">
      <c r="A103" s="105">
        <v>94878</v>
      </c>
      <c r="B103" s="104" t="s">
        <v>541</v>
      </c>
      <c r="C103" s="104" t="s">
        <v>40</v>
      </c>
      <c r="D103" s="129" t="s">
        <v>14834</v>
      </c>
    </row>
    <row r="104" spans="1:4">
      <c r="A104" s="105">
        <v>94879</v>
      </c>
      <c r="B104" s="104" t="s">
        <v>542</v>
      </c>
      <c r="C104" s="104" t="s">
        <v>40</v>
      </c>
      <c r="D104" s="129" t="s">
        <v>14835</v>
      </c>
    </row>
    <row r="105" spans="1:4">
      <c r="A105" s="105">
        <v>94880</v>
      </c>
      <c r="B105" s="104" t="s">
        <v>543</v>
      </c>
      <c r="C105" s="104" t="s">
        <v>40</v>
      </c>
      <c r="D105" s="129" t="s">
        <v>14836</v>
      </c>
    </row>
    <row r="106" spans="1:4">
      <c r="A106" s="105">
        <v>94881</v>
      </c>
      <c r="B106" s="104" t="s">
        <v>544</v>
      </c>
      <c r="C106" s="104" t="s">
        <v>40</v>
      </c>
      <c r="D106" s="129" t="s">
        <v>14837</v>
      </c>
    </row>
    <row r="107" spans="1:4">
      <c r="A107" s="105">
        <v>94882</v>
      </c>
      <c r="B107" s="104" t="s">
        <v>545</v>
      </c>
      <c r="C107" s="104" t="s">
        <v>40</v>
      </c>
      <c r="D107" s="129" t="s">
        <v>14838</v>
      </c>
    </row>
    <row r="108" spans="1:4">
      <c r="A108" s="105">
        <v>94884</v>
      </c>
      <c r="B108" s="104" t="s">
        <v>546</v>
      </c>
      <c r="C108" s="104" t="s">
        <v>40</v>
      </c>
      <c r="D108" s="129" t="s">
        <v>14839</v>
      </c>
    </row>
    <row r="109" spans="1:4">
      <c r="A109" s="105">
        <v>97121</v>
      </c>
      <c r="B109" s="104" t="s">
        <v>547</v>
      </c>
      <c r="C109" s="104" t="s">
        <v>40</v>
      </c>
      <c r="D109" s="129" t="s">
        <v>14840</v>
      </c>
    </row>
    <row r="110" spans="1:4">
      <c r="A110" s="105">
        <v>97122</v>
      </c>
      <c r="B110" s="104" t="s">
        <v>548</v>
      </c>
      <c r="C110" s="104" t="s">
        <v>40</v>
      </c>
      <c r="D110" s="129" t="s">
        <v>14841</v>
      </c>
    </row>
    <row r="111" spans="1:4">
      <c r="A111" s="105">
        <v>97123</v>
      </c>
      <c r="B111" s="104" t="s">
        <v>549</v>
      </c>
      <c r="C111" s="104" t="s">
        <v>40</v>
      </c>
      <c r="D111" s="129" t="s">
        <v>14842</v>
      </c>
    </row>
    <row r="112" spans="1:4">
      <c r="A112" s="105">
        <v>97124</v>
      </c>
      <c r="B112" s="104" t="s">
        <v>550</v>
      </c>
      <c r="C112" s="104" t="s">
        <v>40</v>
      </c>
      <c r="D112" s="129" t="s">
        <v>14843</v>
      </c>
    </row>
    <row r="113" spans="1:4">
      <c r="A113" s="105">
        <v>97125</v>
      </c>
      <c r="B113" s="104" t="s">
        <v>551</v>
      </c>
      <c r="C113" s="104" t="s">
        <v>40</v>
      </c>
      <c r="D113" s="129" t="s">
        <v>14844</v>
      </c>
    </row>
    <row r="114" spans="1:4">
      <c r="A114" s="105">
        <v>97126</v>
      </c>
      <c r="B114" s="104" t="s">
        <v>552</v>
      </c>
      <c r="C114" s="104" t="s">
        <v>40</v>
      </c>
      <c r="D114" s="129" t="s">
        <v>14845</v>
      </c>
    </row>
    <row r="115" spans="1:4">
      <c r="A115" s="105">
        <v>102264</v>
      </c>
      <c r="B115" s="104" t="s">
        <v>553</v>
      </c>
      <c r="C115" s="104" t="s">
        <v>40</v>
      </c>
      <c r="D115" s="129" t="s">
        <v>14846</v>
      </c>
    </row>
    <row r="116" spans="1:4">
      <c r="A116" s="105">
        <v>102265</v>
      </c>
      <c r="B116" s="104" t="s">
        <v>554</v>
      </c>
      <c r="C116" s="104" t="s">
        <v>183</v>
      </c>
      <c r="D116" s="129" t="s">
        <v>14847</v>
      </c>
    </row>
    <row r="117" spans="1:4">
      <c r="A117" s="105">
        <v>102266</v>
      </c>
      <c r="B117" s="104" t="s">
        <v>555</v>
      </c>
      <c r="C117" s="104" t="s">
        <v>183</v>
      </c>
      <c r="D117" s="129" t="s">
        <v>14848</v>
      </c>
    </row>
    <row r="118" spans="1:4">
      <c r="A118" s="105">
        <v>102267</v>
      </c>
      <c r="B118" s="104" t="s">
        <v>556</v>
      </c>
      <c r="C118" s="104" t="s">
        <v>183</v>
      </c>
      <c r="D118" s="129" t="s">
        <v>14849</v>
      </c>
    </row>
    <row r="119" spans="1:4">
      <c r="A119" s="105">
        <v>102268</v>
      </c>
      <c r="B119" s="104" t="s">
        <v>557</v>
      </c>
      <c r="C119" s="104" t="s">
        <v>183</v>
      </c>
      <c r="D119" s="129" t="s">
        <v>14850</v>
      </c>
    </row>
    <row r="120" spans="1:4">
      <c r="A120" s="105">
        <v>102269</v>
      </c>
      <c r="B120" s="104" t="s">
        <v>558</v>
      </c>
      <c r="C120" s="104" t="s">
        <v>183</v>
      </c>
      <c r="D120" s="129" t="s">
        <v>14851</v>
      </c>
    </row>
    <row r="121" spans="1:4">
      <c r="A121" s="105">
        <v>92833</v>
      </c>
      <c r="B121" s="104" t="s">
        <v>559</v>
      </c>
      <c r="C121" s="104" t="s">
        <v>40</v>
      </c>
      <c r="D121" s="129" t="s">
        <v>14852</v>
      </c>
    </row>
    <row r="122" spans="1:4">
      <c r="A122" s="105">
        <v>92834</v>
      </c>
      <c r="B122" s="104" t="s">
        <v>560</v>
      </c>
      <c r="C122" s="104" t="s">
        <v>40</v>
      </c>
      <c r="D122" s="129" t="s">
        <v>14853</v>
      </c>
    </row>
    <row r="123" spans="1:4">
      <c r="A123" s="105">
        <v>92835</v>
      </c>
      <c r="B123" s="104" t="s">
        <v>561</v>
      </c>
      <c r="C123" s="104" t="s">
        <v>40</v>
      </c>
      <c r="D123" s="129" t="s">
        <v>14854</v>
      </c>
    </row>
    <row r="124" spans="1:4">
      <c r="A124" s="105">
        <v>92836</v>
      </c>
      <c r="B124" s="104" t="s">
        <v>562</v>
      </c>
      <c r="C124" s="104" t="s">
        <v>40</v>
      </c>
      <c r="D124" s="129" t="s">
        <v>14855</v>
      </c>
    </row>
    <row r="125" spans="1:4">
      <c r="A125" s="105">
        <v>92837</v>
      </c>
      <c r="B125" s="104" t="s">
        <v>563</v>
      </c>
      <c r="C125" s="104" t="s">
        <v>40</v>
      </c>
      <c r="D125" s="129" t="s">
        <v>14856</v>
      </c>
    </row>
    <row r="126" spans="1:4">
      <c r="A126" s="105">
        <v>92838</v>
      </c>
      <c r="B126" s="104" t="s">
        <v>564</v>
      </c>
      <c r="C126" s="104" t="s">
        <v>40</v>
      </c>
      <c r="D126" s="129" t="s">
        <v>14857</v>
      </c>
    </row>
    <row r="127" spans="1:4">
      <c r="A127" s="105">
        <v>92839</v>
      </c>
      <c r="B127" s="104" t="s">
        <v>565</v>
      </c>
      <c r="C127" s="104" t="s">
        <v>40</v>
      </c>
      <c r="D127" s="129" t="s">
        <v>14858</v>
      </c>
    </row>
    <row r="128" spans="1:4">
      <c r="A128" s="105">
        <v>92840</v>
      </c>
      <c r="B128" s="104" t="s">
        <v>566</v>
      </c>
      <c r="C128" s="104" t="s">
        <v>40</v>
      </c>
      <c r="D128" s="129" t="s">
        <v>14859</v>
      </c>
    </row>
    <row r="129" spans="1:4">
      <c r="A129" s="105">
        <v>92841</v>
      </c>
      <c r="B129" s="104" t="s">
        <v>567</v>
      </c>
      <c r="C129" s="104" t="s">
        <v>40</v>
      </c>
      <c r="D129" s="129" t="s">
        <v>14860</v>
      </c>
    </row>
    <row r="130" spans="1:4">
      <c r="A130" s="105">
        <v>92842</v>
      </c>
      <c r="B130" s="104" t="s">
        <v>568</v>
      </c>
      <c r="C130" s="104" t="s">
        <v>40</v>
      </c>
      <c r="D130" s="129" t="s">
        <v>14861</v>
      </c>
    </row>
    <row r="131" spans="1:4">
      <c r="A131" s="105">
        <v>92843</v>
      </c>
      <c r="B131" s="104" t="s">
        <v>569</v>
      </c>
      <c r="C131" s="104" t="s">
        <v>40</v>
      </c>
      <c r="D131" s="129" t="s">
        <v>14862</v>
      </c>
    </row>
    <row r="132" spans="1:4">
      <c r="A132" s="105">
        <v>92844</v>
      </c>
      <c r="B132" s="104" t="s">
        <v>570</v>
      </c>
      <c r="C132" s="104" t="s">
        <v>40</v>
      </c>
      <c r="D132" s="129" t="s">
        <v>14863</v>
      </c>
    </row>
    <row r="133" spans="1:4">
      <c r="A133" s="105">
        <v>92845</v>
      </c>
      <c r="B133" s="104" t="s">
        <v>571</v>
      </c>
      <c r="C133" s="104" t="s">
        <v>40</v>
      </c>
      <c r="D133" s="129" t="s">
        <v>14864</v>
      </c>
    </row>
    <row r="134" spans="1:4">
      <c r="A134" s="105">
        <v>92846</v>
      </c>
      <c r="B134" s="104" t="s">
        <v>572</v>
      </c>
      <c r="C134" s="104" t="s">
        <v>40</v>
      </c>
      <c r="D134" s="129" t="s">
        <v>14865</v>
      </c>
    </row>
    <row r="135" spans="1:4">
      <c r="A135" s="105">
        <v>92847</v>
      </c>
      <c r="B135" s="104" t="s">
        <v>573</v>
      </c>
      <c r="C135" s="104" t="s">
        <v>40</v>
      </c>
      <c r="D135" s="129" t="s">
        <v>14866</v>
      </c>
    </row>
    <row r="136" spans="1:4">
      <c r="A136" s="105">
        <v>92848</v>
      </c>
      <c r="B136" s="104" t="s">
        <v>574</v>
      </c>
      <c r="C136" s="104" t="s">
        <v>40</v>
      </c>
      <c r="D136" s="129" t="s">
        <v>14867</v>
      </c>
    </row>
    <row r="137" spans="1:4">
      <c r="A137" s="105">
        <v>92849</v>
      </c>
      <c r="B137" s="104" t="s">
        <v>575</v>
      </c>
      <c r="C137" s="104" t="s">
        <v>40</v>
      </c>
      <c r="D137" s="129" t="s">
        <v>14868</v>
      </c>
    </row>
    <row r="138" spans="1:4">
      <c r="A138" s="105">
        <v>92850</v>
      </c>
      <c r="B138" s="104" t="s">
        <v>576</v>
      </c>
      <c r="C138" s="104" t="s">
        <v>40</v>
      </c>
      <c r="D138" s="129" t="s">
        <v>14869</v>
      </c>
    </row>
    <row r="139" spans="1:4">
      <c r="A139" s="105">
        <v>92851</v>
      </c>
      <c r="B139" s="104" t="s">
        <v>577</v>
      </c>
      <c r="C139" s="104" t="s">
        <v>40</v>
      </c>
      <c r="D139" s="129" t="s">
        <v>14870</v>
      </c>
    </row>
    <row r="140" spans="1:4">
      <c r="A140" s="105">
        <v>92852</v>
      </c>
      <c r="B140" s="104" t="s">
        <v>578</v>
      </c>
      <c r="C140" s="104" t="s">
        <v>40</v>
      </c>
      <c r="D140" s="129" t="s">
        <v>14871</v>
      </c>
    </row>
    <row r="141" spans="1:4">
      <c r="A141" s="105">
        <v>92853</v>
      </c>
      <c r="B141" s="104" t="s">
        <v>579</v>
      </c>
      <c r="C141" s="104" t="s">
        <v>40</v>
      </c>
      <c r="D141" s="129" t="s">
        <v>14872</v>
      </c>
    </row>
    <row r="142" spans="1:4">
      <c r="A142" s="105">
        <v>92854</v>
      </c>
      <c r="B142" s="104" t="s">
        <v>580</v>
      </c>
      <c r="C142" s="104" t="s">
        <v>40</v>
      </c>
      <c r="D142" s="129" t="s">
        <v>14873</v>
      </c>
    </row>
    <row r="143" spans="1:4">
      <c r="A143" s="105">
        <v>92855</v>
      </c>
      <c r="B143" s="104" t="s">
        <v>581</v>
      </c>
      <c r="C143" s="104" t="s">
        <v>40</v>
      </c>
      <c r="D143" s="129" t="s">
        <v>14874</v>
      </c>
    </row>
    <row r="144" spans="1:4">
      <c r="A144" s="105">
        <v>92856</v>
      </c>
      <c r="B144" s="104" t="s">
        <v>582</v>
      </c>
      <c r="C144" s="104" t="s">
        <v>40</v>
      </c>
      <c r="D144" s="129" t="s">
        <v>14875</v>
      </c>
    </row>
    <row r="145" spans="1:4">
      <c r="A145" s="105">
        <v>92857</v>
      </c>
      <c r="B145" s="104" t="s">
        <v>583</v>
      </c>
      <c r="C145" s="104" t="s">
        <v>40</v>
      </c>
      <c r="D145" s="129" t="s">
        <v>14876</v>
      </c>
    </row>
    <row r="146" spans="1:4">
      <c r="A146" s="105">
        <v>92858</v>
      </c>
      <c r="B146" s="104" t="s">
        <v>584</v>
      </c>
      <c r="C146" s="104" t="s">
        <v>40</v>
      </c>
      <c r="D146" s="129" t="s">
        <v>14877</v>
      </c>
    </row>
    <row r="147" spans="1:4">
      <c r="A147" s="105">
        <v>92859</v>
      </c>
      <c r="B147" s="104" t="s">
        <v>585</v>
      </c>
      <c r="C147" s="104" t="s">
        <v>40</v>
      </c>
      <c r="D147" s="129" t="s">
        <v>14878</v>
      </c>
    </row>
    <row r="148" spans="1:4">
      <c r="A148" s="105">
        <v>92860</v>
      </c>
      <c r="B148" s="104" t="s">
        <v>586</v>
      </c>
      <c r="C148" s="104" t="s">
        <v>40</v>
      </c>
      <c r="D148" s="129" t="s">
        <v>14879</v>
      </c>
    </row>
    <row r="149" spans="1:4">
      <c r="A149" s="105">
        <v>92861</v>
      </c>
      <c r="B149" s="104" t="s">
        <v>587</v>
      </c>
      <c r="C149" s="104" t="s">
        <v>40</v>
      </c>
      <c r="D149" s="129" t="s">
        <v>14880</v>
      </c>
    </row>
    <row r="150" spans="1:4">
      <c r="A150" s="105">
        <v>92862</v>
      </c>
      <c r="B150" s="104" t="s">
        <v>588</v>
      </c>
      <c r="C150" s="104" t="s">
        <v>40</v>
      </c>
      <c r="D150" s="129" t="s">
        <v>14881</v>
      </c>
    </row>
    <row r="151" spans="1:4">
      <c r="A151" s="105">
        <v>92863</v>
      </c>
      <c r="B151" s="104" t="s">
        <v>589</v>
      </c>
      <c r="C151" s="104" t="s">
        <v>40</v>
      </c>
      <c r="D151" s="129" t="s">
        <v>14882</v>
      </c>
    </row>
    <row r="152" spans="1:4">
      <c r="A152" s="105">
        <v>92864</v>
      </c>
      <c r="B152" s="104" t="s">
        <v>590</v>
      </c>
      <c r="C152" s="104" t="s">
        <v>40</v>
      </c>
      <c r="D152" s="129" t="s">
        <v>14883</v>
      </c>
    </row>
    <row r="153" spans="1:4">
      <c r="A153" s="105">
        <v>92210</v>
      </c>
      <c r="B153" s="104" t="s">
        <v>591</v>
      </c>
      <c r="C153" s="104" t="s">
        <v>40</v>
      </c>
      <c r="D153" s="129" t="s">
        <v>14884</v>
      </c>
    </row>
    <row r="154" spans="1:4">
      <c r="A154" s="105">
        <v>92211</v>
      </c>
      <c r="B154" s="104" t="s">
        <v>592</v>
      </c>
      <c r="C154" s="104" t="s">
        <v>40</v>
      </c>
      <c r="D154" s="129" t="s">
        <v>14885</v>
      </c>
    </row>
    <row r="155" spans="1:4">
      <c r="A155" s="105">
        <v>92212</v>
      </c>
      <c r="B155" s="104" t="s">
        <v>593</v>
      </c>
      <c r="C155" s="104" t="s">
        <v>40</v>
      </c>
      <c r="D155" s="129" t="s">
        <v>14886</v>
      </c>
    </row>
    <row r="156" spans="1:4">
      <c r="A156" s="105">
        <v>92213</v>
      </c>
      <c r="B156" s="104" t="s">
        <v>594</v>
      </c>
      <c r="C156" s="104" t="s">
        <v>40</v>
      </c>
      <c r="D156" s="129" t="s">
        <v>14887</v>
      </c>
    </row>
    <row r="157" spans="1:4">
      <c r="A157" s="105">
        <v>92214</v>
      </c>
      <c r="B157" s="104" t="s">
        <v>595</v>
      </c>
      <c r="C157" s="104" t="s">
        <v>40</v>
      </c>
      <c r="D157" s="129" t="s">
        <v>14888</v>
      </c>
    </row>
    <row r="158" spans="1:4">
      <c r="A158" s="105">
        <v>92215</v>
      </c>
      <c r="B158" s="104" t="s">
        <v>596</v>
      </c>
      <c r="C158" s="104" t="s">
        <v>40</v>
      </c>
      <c r="D158" s="129" t="s">
        <v>14889</v>
      </c>
    </row>
    <row r="159" spans="1:4">
      <c r="A159" s="105">
        <v>92216</v>
      </c>
      <c r="B159" s="104" t="s">
        <v>597</v>
      </c>
      <c r="C159" s="104" t="s">
        <v>40</v>
      </c>
      <c r="D159" s="129" t="s">
        <v>14890</v>
      </c>
    </row>
    <row r="160" spans="1:4">
      <c r="A160" s="105">
        <v>92219</v>
      </c>
      <c r="B160" s="104" t="s">
        <v>598</v>
      </c>
      <c r="C160" s="104" t="s">
        <v>40</v>
      </c>
      <c r="D160" s="129" t="s">
        <v>14891</v>
      </c>
    </row>
    <row r="161" spans="1:4">
      <c r="A161" s="105">
        <v>92220</v>
      </c>
      <c r="B161" s="104" t="s">
        <v>599</v>
      </c>
      <c r="C161" s="104" t="s">
        <v>40</v>
      </c>
      <c r="D161" s="129" t="s">
        <v>14892</v>
      </c>
    </row>
    <row r="162" spans="1:4">
      <c r="A162" s="105">
        <v>92221</v>
      </c>
      <c r="B162" s="104" t="s">
        <v>600</v>
      </c>
      <c r="C162" s="104" t="s">
        <v>40</v>
      </c>
      <c r="D162" s="129" t="s">
        <v>14893</v>
      </c>
    </row>
    <row r="163" spans="1:4">
      <c r="A163" s="105">
        <v>92222</v>
      </c>
      <c r="B163" s="104" t="s">
        <v>601</v>
      </c>
      <c r="C163" s="104" t="s">
        <v>40</v>
      </c>
      <c r="D163" s="129" t="s">
        <v>14894</v>
      </c>
    </row>
    <row r="164" spans="1:4">
      <c r="A164" s="105">
        <v>92223</v>
      </c>
      <c r="B164" s="104" t="s">
        <v>602</v>
      </c>
      <c r="C164" s="104" t="s">
        <v>40</v>
      </c>
      <c r="D164" s="129" t="s">
        <v>14895</v>
      </c>
    </row>
    <row r="165" spans="1:4">
      <c r="A165" s="105">
        <v>92224</v>
      </c>
      <c r="B165" s="104" t="s">
        <v>603</v>
      </c>
      <c r="C165" s="104" t="s">
        <v>40</v>
      </c>
      <c r="D165" s="129" t="s">
        <v>14896</v>
      </c>
    </row>
    <row r="166" spans="1:4">
      <c r="A166" s="105">
        <v>92226</v>
      </c>
      <c r="B166" s="104" t="s">
        <v>604</v>
      </c>
      <c r="C166" s="104" t="s">
        <v>40</v>
      </c>
      <c r="D166" s="129" t="s">
        <v>14897</v>
      </c>
    </row>
    <row r="167" spans="1:4">
      <c r="A167" s="105">
        <v>92808</v>
      </c>
      <c r="B167" s="104" t="s">
        <v>605</v>
      </c>
      <c r="C167" s="104" t="s">
        <v>40</v>
      </c>
      <c r="D167" s="129" t="s">
        <v>14898</v>
      </c>
    </row>
    <row r="168" spans="1:4">
      <c r="A168" s="105">
        <v>92809</v>
      </c>
      <c r="B168" s="104" t="s">
        <v>606</v>
      </c>
      <c r="C168" s="104" t="s">
        <v>40</v>
      </c>
      <c r="D168" s="129" t="s">
        <v>14899</v>
      </c>
    </row>
    <row r="169" spans="1:4">
      <c r="A169" s="105">
        <v>92810</v>
      </c>
      <c r="B169" s="104" t="s">
        <v>607</v>
      </c>
      <c r="C169" s="104" t="s">
        <v>40</v>
      </c>
      <c r="D169" s="129" t="s">
        <v>14900</v>
      </c>
    </row>
    <row r="170" spans="1:4">
      <c r="A170" s="105">
        <v>92811</v>
      </c>
      <c r="B170" s="104" t="s">
        <v>608</v>
      </c>
      <c r="C170" s="104" t="s">
        <v>40</v>
      </c>
      <c r="D170" s="129" t="s">
        <v>14901</v>
      </c>
    </row>
    <row r="171" spans="1:4">
      <c r="A171" s="105">
        <v>92812</v>
      </c>
      <c r="B171" s="104" t="s">
        <v>609</v>
      </c>
      <c r="C171" s="104" t="s">
        <v>40</v>
      </c>
      <c r="D171" s="129" t="s">
        <v>14902</v>
      </c>
    </row>
    <row r="172" spans="1:4">
      <c r="A172" s="105">
        <v>92813</v>
      </c>
      <c r="B172" s="104" t="s">
        <v>610</v>
      </c>
      <c r="C172" s="104" t="s">
        <v>40</v>
      </c>
      <c r="D172" s="129" t="s">
        <v>14903</v>
      </c>
    </row>
    <row r="173" spans="1:4">
      <c r="A173" s="105">
        <v>92814</v>
      </c>
      <c r="B173" s="104" t="s">
        <v>611</v>
      </c>
      <c r="C173" s="104" t="s">
        <v>40</v>
      </c>
      <c r="D173" s="129" t="s">
        <v>14904</v>
      </c>
    </row>
    <row r="174" spans="1:4">
      <c r="A174" s="105">
        <v>92815</v>
      </c>
      <c r="B174" s="104" t="s">
        <v>612</v>
      </c>
      <c r="C174" s="104" t="s">
        <v>40</v>
      </c>
      <c r="D174" s="129" t="s">
        <v>14905</v>
      </c>
    </row>
    <row r="175" spans="1:4">
      <c r="A175" s="105">
        <v>92816</v>
      </c>
      <c r="B175" s="104" t="s">
        <v>613</v>
      </c>
      <c r="C175" s="104" t="s">
        <v>40</v>
      </c>
      <c r="D175" s="129" t="s">
        <v>14906</v>
      </c>
    </row>
    <row r="176" spans="1:4">
      <c r="A176" s="105">
        <v>92817</v>
      </c>
      <c r="B176" s="104" t="s">
        <v>614</v>
      </c>
      <c r="C176" s="104" t="s">
        <v>40</v>
      </c>
      <c r="D176" s="129" t="s">
        <v>14907</v>
      </c>
    </row>
    <row r="177" spans="1:4">
      <c r="A177" s="105">
        <v>92818</v>
      </c>
      <c r="B177" s="104" t="s">
        <v>615</v>
      </c>
      <c r="C177" s="104" t="s">
        <v>40</v>
      </c>
      <c r="D177" s="129" t="s">
        <v>14908</v>
      </c>
    </row>
    <row r="178" spans="1:4">
      <c r="A178" s="105">
        <v>92819</v>
      </c>
      <c r="B178" s="104" t="s">
        <v>616</v>
      </c>
      <c r="C178" s="104" t="s">
        <v>40</v>
      </c>
      <c r="D178" s="129" t="s">
        <v>14909</v>
      </c>
    </row>
    <row r="179" spans="1:4">
      <c r="A179" s="105">
        <v>92820</v>
      </c>
      <c r="B179" s="104" t="s">
        <v>617</v>
      </c>
      <c r="C179" s="104" t="s">
        <v>40</v>
      </c>
      <c r="D179" s="129" t="s">
        <v>14910</v>
      </c>
    </row>
    <row r="180" spans="1:4">
      <c r="A180" s="105">
        <v>92821</v>
      </c>
      <c r="B180" s="104" t="s">
        <v>618</v>
      </c>
      <c r="C180" s="104" t="s">
        <v>40</v>
      </c>
      <c r="D180" s="129" t="s">
        <v>14911</v>
      </c>
    </row>
    <row r="181" spans="1:4">
      <c r="A181" s="105">
        <v>92822</v>
      </c>
      <c r="B181" s="104" t="s">
        <v>619</v>
      </c>
      <c r="C181" s="104" t="s">
        <v>40</v>
      </c>
      <c r="D181" s="129" t="s">
        <v>14912</v>
      </c>
    </row>
    <row r="182" spans="1:4">
      <c r="A182" s="105">
        <v>92824</v>
      </c>
      <c r="B182" s="104" t="s">
        <v>620</v>
      </c>
      <c r="C182" s="104" t="s">
        <v>40</v>
      </c>
      <c r="D182" s="129" t="s">
        <v>14913</v>
      </c>
    </row>
    <row r="183" spans="1:4">
      <c r="A183" s="105">
        <v>92825</v>
      </c>
      <c r="B183" s="104" t="s">
        <v>621</v>
      </c>
      <c r="C183" s="104" t="s">
        <v>40</v>
      </c>
      <c r="D183" s="129" t="s">
        <v>14914</v>
      </c>
    </row>
    <row r="184" spans="1:4">
      <c r="A184" s="105">
        <v>92826</v>
      </c>
      <c r="B184" s="104" t="s">
        <v>622</v>
      </c>
      <c r="C184" s="104" t="s">
        <v>40</v>
      </c>
      <c r="D184" s="129" t="s">
        <v>14915</v>
      </c>
    </row>
    <row r="185" spans="1:4">
      <c r="A185" s="105">
        <v>92827</v>
      </c>
      <c r="B185" s="104" t="s">
        <v>623</v>
      </c>
      <c r="C185" s="104" t="s">
        <v>40</v>
      </c>
      <c r="D185" s="129" t="s">
        <v>14916</v>
      </c>
    </row>
    <row r="186" spans="1:4">
      <c r="A186" s="105">
        <v>92828</v>
      </c>
      <c r="B186" s="104" t="s">
        <v>624</v>
      </c>
      <c r="C186" s="104" t="s">
        <v>40</v>
      </c>
      <c r="D186" s="129" t="s">
        <v>14917</v>
      </c>
    </row>
    <row r="187" spans="1:4">
      <c r="A187" s="105">
        <v>92829</v>
      </c>
      <c r="B187" s="104" t="s">
        <v>625</v>
      </c>
      <c r="C187" s="104" t="s">
        <v>40</v>
      </c>
      <c r="D187" s="129" t="s">
        <v>14918</v>
      </c>
    </row>
    <row r="188" spans="1:4">
      <c r="A188" s="105">
        <v>92830</v>
      </c>
      <c r="B188" s="104" t="s">
        <v>626</v>
      </c>
      <c r="C188" s="104" t="s">
        <v>40</v>
      </c>
      <c r="D188" s="129" t="s">
        <v>14919</v>
      </c>
    </row>
    <row r="189" spans="1:4">
      <c r="A189" s="105">
        <v>92831</v>
      </c>
      <c r="B189" s="104" t="s">
        <v>627</v>
      </c>
      <c r="C189" s="104" t="s">
        <v>40</v>
      </c>
      <c r="D189" s="129" t="s">
        <v>14920</v>
      </c>
    </row>
    <row r="190" spans="1:4">
      <c r="A190" s="105">
        <v>92832</v>
      </c>
      <c r="B190" s="104" t="s">
        <v>628</v>
      </c>
      <c r="C190" s="104" t="s">
        <v>40</v>
      </c>
      <c r="D190" s="129" t="s">
        <v>14921</v>
      </c>
    </row>
    <row r="191" spans="1:4">
      <c r="A191" s="105">
        <v>95565</v>
      </c>
      <c r="B191" s="104" t="s">
        <v>629</v>
      </c>
      <c r="C191" s="104" t="s">
        <v>40</v>
      </c>
      <c r="D191" s="129" t="s">
        <v>14922</v>
      </c>
    </row>
    <row r="192" spans="1:4">
      <c r="A192" s="105">
        <v>95566</v>
      </c>
      <c r="B192" s="104" t="s">
        <v>630</v>
      </c>
      <c r="C192" s="104" t="s">
        <v>40</v>
      </c>
      <c r="D192" s="129" t="s">
        <v>14923</v>
      </c>
    </row>
    <row r="193" spans="1:4">
      <c r="A193" s="105">
        <v>95567</v>
      </c>
      <c r="B193" s="104" t="s">
        <v>631</v>
      </c>
      <c r="C193" s="104" t="s">
        <v>40</v>
      </c>
      <c r="D193" s="129" t="s">
        <v>14924</v>
      </c>
    </row>
    <row r="194" spans="1:4">
      <c r="A194" s="105">
        <v>95568</v>
      </c>
      <c r="B194" s="104" t="s">
        <v>632</v>
      </c>
      <c r="C194" s="104" t="s">
        <v>40</v>
      </c>
      <c r="D194" s="129" t="s">
        <v>14925</v>
      </c>
    </row>
    <row r="195" spans="1:4">
      <c r="A195" s="105">
        <v>95569</v>
      </c>
      <c r="B195" s="104" t="s">
        <v>633</v>
      </c>
      <c r="C195" s="104" t="s">
        <v>40</v>
      </c>
      <c r="D195" s="129" t="s">
        <v>14926</v>
      </c>
    </row>
    <row r="196" spans="1:4">
      <c r="A196" s="105">
        <v>95570</v>
      </c>
      <c r="B196" s="104" t="s">
        <v>634</v>
      </c>
      <c r="C196" s="104" t="s">
        <v>40</v>
      </c>
      <c r="D196" s="129" t="s">
        <v>14927</v>
      </c>
    </row>
    <row r="197" spans="1:4">
      <c r="A197" s="105">
        <v>95571</v>
      </c>
      <c r="B197" s="104" t="s">
        <v>635</v>
      </c>
      <c r="C197" s="104" t="s">
        <v>40</v>
      </c>
      <c r="D197" s="129" t="s">
        <v>14928</v>
      </c>
    </row>
    <row r="198" spans="1:4">
      <c r="A198" s="105">
        <v>95572</v>
      </c>
      <c r="B198" s="104" t="s">
        <v>636</v>
      </c>
      <c r="C198" s="104" t="s">
        <v>40</v>
      </c>
      <c r="D198" s="129" t="s">
        <v>14929</v>
      </c>
    </row>
    <row r="199" spans="1:4">
      <c r="A199" s="105">
        <v>97127</v>
      </c>
      <c r="B199" s="104" t="s">
        <v>637</v>
      </c>
      <c r="C199" s="104" t="s">
        <v>40</v>
      </c>
      <c r="D199" s="129" t="s">
        <v>14930</v>
      </c>
    </row>
    <row r="200" spans="1:4">
      <c r="A200" s="105">
        <v>97128</v>
      </c>
      <c r="B200" s="104" t="s">
        <v>638</v>
      </c>
      <c r="C200" s="104" t="s">
        <v>40</v>
      </c>
      <c r="D200" s="129" t="s">
        <v>14931</v>
      </c>
    </row>
    <row r="201" spans="1:4">
      <c r="A201" s="105">
        <v>97129</v>
      </c>
      <c r="B201" s="104" t="s">
        <v>639</v>
      </c>
      <c r="C201" s="104" t="s">
        <v>40</v>
      </c>
      <c r="D201" s="129" t="s">
        <v>14932</v>
      </c>
    </row>
    <row r="202" spans="1:4">
      <c r="A202" s="105">
        <v>97130</v>
      </c>
      <c r="B202" s="104" t="s">
        <v>640</v>
      </c>
      <c r="C202" s="104" t="s">
        <v>40</v>
      </c>
      <c r="D202" s="129" t="s">
        <v>14933</v>
      </c>
    </row>
    <row r="203" spans="1:4">
      <c r="A203" s="105">
        <v>97131</v>
      </c>
      <c r="B203" s="104" t="s">
        <v>641</v>
      </c>
      <c r="C203" s="104" t="s">
        <v>40</v>
      </c>
      <c r="D203" s="129" t="s">
        <v>14934</v>
      </c>
    </row>
    <row r="204" spans="1:4">
      <c r="A204" s="105">
        <v>97132</v>
      </c>
      <c r="B204" s="104" t="s">
        <v>642</v>
      </c>
      <c r="C204" s="104" t="s">
        <v>40</v>
      </c>
      <c r="D204" s="129" t="s">
        <v>14935</v>
      </c>
    </row>
    <row r="205" spans="1:4">
      <c r="A205" s="105">
        <v>97133</v>
      </c>
      <c r="B205" s="104" t="s">
        <v>643</v>
      </c>
      <c r="C205" s="104" t="s">
        <v>40</v>
      </c>
      <c r="D205" s="129" t="s">
        <v>14936</v>
      </c>
    </row>
    <row r="206" spans="1:4">
      <c r="A206" s="105">
        <v>97134</v>
      </c>
      <c r="B206" s="104" t="s">
        <v>644</v>
      </c>
      <c r="C206" s="104" t="s">
        <v>40</v>
      </c>
      <c r="D206" s="129" t="s">
        <v>14937</v>
      </c>
    </row>
    <row r="207" spans="1:4">
      <c r="A207" s="105">
        <v>97135</v>
      </c>
      <c r="B207" s="104" t="s">
        <v>645</v>
      </c>
      <c r="C207" s="104" t="s">
        <v>40</v>
      </c>
      <c r="D207" s="129" t="s">
        <v>14938</v>
      </c>
    </row>
    <row r="208" spans="1:4">
      <c r="A208" s="105">
        <v>97136</v>
      </c>
      <c r="B208" s="104" t="s">
        <v>646</v>
      </c>
      <c r="C208" s="104" t="s">
        <v>40</v>
      </c>
      <c r="D208" s="129" t="s">
        <v>14939</v>
      </c>
    </row>
    <row r="209" spans="1:4">
      <c r="A209" s="105">
        <v>97137</v>
      </c>
      <c r="B209" s="104" t="s">
        <v>647</v>
      </c>
      <c r="C209" s="104" t="s">
        <v>40</v>
      </c>
      <c r="D209" s="129" t="s">
        <v>14940</v>
      </c>
    </row>
    <row r="210" spans="1:4">
      <c r="A210" s="105">
        <v>97138</v>
      </c>
      <c r="B210" s="104" t="s">
        <v>648</v>
      </c>
      <c r="C210" s="104" t="s">
        <v>40</v>
      </c>
      <c r="D210" s="129" t="s">
        <v>14941</v>
      </c>
    </row>
    <row r="211" spans="1:4">
      <c r="A211" s="105">
        <v>97139</v>
      </c>
      <c r="B211" s="104" t="s">
        <v>649</v>
      </c>
      <c r="C211" s="104" t="s">
        <v>40</v>
      </c>
      <c r="D211" s="129" t="s">
        <v>14942</v>
      </c>
    </row>
    <row r="212" spans="1:4">
      <c r="A212" s="105">
        <v>97140</v>
      </c>
      <c r="B212" s="104" t="s">
        <v>650</v>
      </c>
      <c r="C212" s="104" t="s">
        <v>40</v>
      </c>
      <c r="D212" s="129" t="s">
        <v>14943</v>
      </c>
    </row>
    <row r="213" spans="1:4">
      <c r="A213" s="105">
        <v>103089</v>
      </c>
      <c r="B213" s="104" t="s">
        <v>12749</v>
      </c>
      <c r="C213" s="104" t="s">
        <v>40</v>
      </c>
      <c r="D213" s="129" t="s">
        <v>14944</v>
      </c>
    </row>
    <row r="214" spans="1:4">
      <c r="A214" s="105">
        <v>103090</v>
      </c>
      <c r="B214" s="104" t="s">
        <v>12750</v>
      </c>
      <c r="C214" s="104" t="s">
        <v>40</v>
      </c>
      <c r="D214" s="129" t="s">
        <v>14945</v>
      </c>
    </row>
    <row r="215" spans="1:4">
      <c r="A215" s="105">
        <v>103091</v>
      </c>
      <c r="B215" s="104" t="s">
        <v>12751</v>
      </c>
      <c r="C215" s="104" t="s">
        <v>40</v>
      </c>
      <c r="D215" s="129" t="s">
        <v>14946</v>
      </c>
    </row>
    <row r="216" spans="1:4">
      <c r="A216" s="105">
        <v>103092</v>
      </c>
      <c r="B216" s="104" t="s">
        <v>12752</v>
      </c>
      <c r="C216" s="104" t="s">
        <v>40</v>
      </c>
      <c r="D216" s="129" t="s">
        <v>14947</v>
      </c>
    </row>
    <row r="217" spans="1:4">
      <c r="A217" s="105">
        <v>103093</v>
      </c>
      <c r="B217" s="104" t="s">
        <v>12753</v>
      </c>
      <c r="C217" s="104" t="s">
        <v>40</v>
      </c>
      <c r="D217" s="129" t="s">
        <v>14948</v>
      </c>
    </row>
    <row r="218" spans="1:4">
      <c r="A218" s="105">
        <v>103094</v>
      </c>
      <c r="B218" s="104" t="s">
        <v>12754</v>
      </c>
      <c r="C218" s="104" t="s">
        <v>40</v>
      </c>
      <c r="D218" s="129" t="s">
        <v>14949</v>
      </c>
    </row>
    <row r="219" spans="1:4">
      <c r="A219" s="105">
        <v>103095</v>
      </c>
      <c r="B219" s="104" t="s">
        <v>12755</v>
      </c>
      <c r="C219" s="104" t="s">
        <v>40</v>
      </c>
      <c r="D219" s="129" t="s">
        <v>14950</v>
      </c>
    </row>
    <row r="220" spans="1:4">
      <c r="A220" s="105">
        <v>103096</v>
      </c>
      <c r="B220" s="104" t="s">
        <v>12756</v>
      </c>
      <c r="C220" s="104" t="s">
        <v>40</v>
      </c>
      <c r="D220" s="129" t="s">
        <v>14951</v>
      </c>
    </row>
    <row r="221" spans="1:4">
      <c r="A221" s="105">
        <v>103097</v>
      </c>
      <c r="B221" s="104" t="s">
        <v>12757</v>
      </c>
      <c r="C221" s="104" t="s">
        <v>40</v>
      </c>
      <c r="D221" s="129" t="s">
        <v>14753</v>
      </c>
    </row>
    <row r="222" spans="1:4">
      <c r="A222" s="105">
        <v>103098</v>
      </c>
      <c r="B222" s="104" t="s">
        <v>12758</v>
      </c>
      <c r="C222" s="104" t="s">
        <v>40</v>
      </c>
      <c r="D222" s="129" t="s">
        <v>14952</v>
      </c>
    </row>
    <row r="223" spans="1:4">
      <c r="A223" s="105">
        <v>103099</v>
      </c>
      <c r="B223" s="104" t="s">
        <v>12759</v>
      </c>
      <c r="C223" s="104" t="s">
        <v>40</v>
      </c>
      <c r="D223" s="129" t="s">
        <v>14953</v>
      </c>
    </row>
    <row r="224" spans="1:4">
      <c r="A224" s="105">
        <v>103100</v>
      </c>
      <c r="B224" s="104" t="s">
        <v>12760</v>
      </c>
      <c r="C224" s="104" t="s">
        <v>40</v>
      </c>
      <c r="D224" s="129" t="s">
        <v>14954</v>
      </c>
    </row>
    <row r="225" spans="1:4">
      <c r="A225" s="105">
        <v>103101</v>
      </c>
      <c r="B225" s="104" t="s">
        <v>12761</v>
      </c>
      <c r="C225" s="104" t="s">
        <v>40</v>
      </c>
      <c r="D225" s="129" t="s">
        <v>14955</v>
      </c>
    </row>
    <row r="226" spans="1:4">
      <c r="A226" s="105">
        <v>103102</v>
      </c>
      <c r="B226" s="104" t="s">
        <v>12762</v>
      </c>
      <c r="C226" s="104" t="s">
        <v>40</v>
      </c>
      <c r="D226" s="129" t="s">
        <v>14956</v>
      </c>
    </row>
    <row r="227" spans="1:4">
      <c r="A227" s="105">
        <v>103103</v>
      </c>
      <c r="B227" s="104" t="s">
        <v>12763</v>
      </c>
      <c r="C227" s="104" t="s">
        <v>40</v>
      </c>
      <c r="D227" s="129" t="s">
        <v>14957</v>
      </c>
    </row>
    <row r="228" spans="1:4">
      <c r="A228" s="105">
        <v>103104</v>
      </c>
      <c r="B228" s="104" t="s">
        <v>12764</v>
      </c>
      <c r="C228" s="104" t="s">
        <v>40</v>
      </c>
      <c r="D228" s="129" t="s">
        <v>14958</v>
      </c>
    </row>
    <row r="229" spans="1:4">
      <c r="A229" s="105">
        <v>103105</v>
      </c>
      <c r="B229" s="104" t="s">
        <v>12765</v>
      </c>
      <c r="C229" s="104" t="s">
        <v>183</v>
      </c>
      <c r="D229" s="129" t="s">
        <v>14959</v>
      </c>
    </row>
    <row r="230" spans="1:4">
      <c r="A230" s="105">
        <v>103106</v>
      </c>
      <c r="B230" s="104" t="s">
        <v>12766</v>
      </c>
      <c r="C230" s="104" t="s">
        <v>183</v>
      </c>
      <c r="D230" s="129" t="s">
        <v>14960</v>
      </c>
    </row>
    <row r="231" spans="1:4">
      <c r="A231" s="105">
        <v>103107</v>
      </c>
      <c r="B231" s="104" t="s">
        <v>12767</v>
      </c>
      <c r="C231" s="104" t="s">
        <v>183</v>
      </c>
      <c r="D231" s="129" t="s">
        <v>14961</v>
      </c>
    </row>
    <row r="232" spans="1:4">
      <c r="A232" s="105">
        <v>103108</v>
      </c>
      <c r="B232" s="104" t="s">
        <v>12768</v>
      </c>
      <c r="C232" s="104" t="s">
        <v>183</v>
      </c>
      <c r="D232" s="129" t="s">
        <v>14962</v>
      </c>
    </row>
    <row r="233" spans="1:4">
      <c r="A233" s="105">
        <v>103109</v>
      </c>
      <c r="B233" s="104" t="s">
        <v>12769</v>
      </c>
      <c r="C233" s="104" t="s">
        <v>183</v>
      </c>
      <c r="D233" s="129" t="s">
        <v>14963</v>
      </c>
    </row>
    <row r="234" spans="1:4">
      <c r="A234" s="105">
        <v>103110</v>
      </c>
      <c r="B234" s="104" t="s">
        <v>12770</v>
      </c>
      <c r="C234" s="104" t="s">
        <v>183</v>
      </c>
      <c r="D234" s="129" t="s">
        <v>14964</v>
      </c>
    </row>
    <row r="235" spans="1:4">
      <c r="A235" s="105">
        <v>103111</v>
      </c>
      <c r="B235" s="104" t="s">
        <v>12771</v>
      </c>
      <c r="C235" s="104" t="s">
        <v>183</v>
      </c>
      <c r="D235" s="129" t="s">
        <v>14965</v>
      </c>
    </row>
    <row r="236" spans="1:4">
      <c r="A236" s="105">
        <v>103112</v>
      </c>
      <c r="B236" s="104" t="s">
        <v>12772</v>
      </c>
      <c r="C236" s="104" t="s">
        <v>183</v>
      </c>
      <c r="D236" s="129" t="s">
        <v>14966</v>
      </c>
    </row>
    <row r="237" spans="1:4">
      <c r="A237" s="105">
        <v>103113</v>
      </c>
      <c r="B237" s="104" t="s">
        <v>12773</v>
      </c>
      <c r="C237" s="104" t="s">
        <v>183</v>
      </c>
      <c r="D237" s="129" t="s">
        <v>14967</v>
      </c>
    </row>
    <row r="238" spans="1:4">
      <c r="A238" s="105">
        <v>103114</v>
      </c>
      <c r="B238" s="104" t="s">
        <v>12774</v>
      </c>
      <c r="C238" s="104" t="s">
        <v>183</v>
      </c>
      <c r="D238" s="129" t="s">
        <v>14968</v>
      </c>
    </row>
    <row r="239" spans="1:4">
      <c r="A239" s="105">
        <v>103115</v>
      </c>
      <c r="B239" s="104" t="s">
        <v>12775</v>
      </c>
      <c r="C239" s="104" t="s">
        <v>183</v>
      </c>
      <c r="D239" s="129" t="s">
        <v>14969</v>
      </c>
    </row>
    <row r="240" spans="1:4">
      <c r="A240" s="105">
        <v>103116</v>
      </c>
      <c r="B240" s="104" t="s">
        <v>12776</v>
      </c>
      <c r="C240" s="104" t="s">
        <v>183</v>
      </c>
      <c r="D240" s="129" t="s">
        <v>14970</v>
      </c>
    </row>
    <row r="241" spans="1:4">
      <c r="A241" s="105">
        <v>103117</v>
      </c>
      <c r="B241" s="104" t="s">
        <v>12777</v>
      </c>
      <c r="C241" s="104" t="s">
        <v>183</v>
      </c>
      <c r="D241" s="129" t="s">
        <v>14971</v>
      </c>
    </row>
    <row r="242" spans="1:4">
      <c r="A242" s="105">
        <v>103118</v>
      </c>
      <c r="B242" s="104" t="s">
        <v>12778</v>
      </c>
      <c r="C242" s="104" t="s">
        <v>183</v>
      </c>
      <c r="D242" s="129" t="s">
        <v>14972</v>
      </c>
    </row>
    <row r="243" spans="1:4">
      <c r="A243" s="105">
        <v>103119</v>
      </c>
      <c r="B243" s="104" t="s">
        <v>12779</v>
      </c>
      <c r="C243" s="104" t="s">
        <v>183</v>
      </c>
      <c r="D243" s="129" t="s">
        <v>14973</v>
      </c>
    </row>
    <row r="244" spans="1:4">
      <c r="A244" s="105">
        <v>103120</v>
      </c>
      <c r="B244" s="104" t="s">
        <v>12780</v>
      </c>
      <c r="C244" s="104" t="s">
        <v>183</v>
      </c>
      <c r="D244" s="129" t="s">
        <v>14974</v>
      </c>
    </row>
    <row r="245" spans="1:4">
      <c r="A245" s="105">
        <v>103121</v>
      </c>
      <c r="B245" s="104" t="s">
        <v>12781</v>
      </c>
      <c r="C245" s="104" t="s">
        <v>183</v>
      </c>
      <c r="D245" s="129" t="s">
        <v>14975</v>
      </c>
    </row>
    <row r="246" spans="1:4">
      <c r="A246" s="105">
        <v>103122</v>
      </c>
      <c r="B246" s="104" t="s">
        <v>12782</v>
      </c>
      <c r="C246" s="104" t="s">
        <v>183</v>
      </c>
      <c r="D246" s="129" t="s">
        <v>14976</v>
      </c>
    </row>
    <row r="247" spans="1:4">
      <c r="A247" s="105">
        <v>103123</v>
      </c>
      <c r="B247" s="104" t="s">
        <v>12783</v>
      </c>
      <c r="C247" s="104" t="s">
        <v>183</v>
      </c>
      <c r="D247" s="129" t="s">
        <v>14977</v>
      </c>
    </row>
    <row r="248" spans="1:4">
      <c r="A248" s="105">
        <v>103124</v>
      </c>
      <c r="B248" s="104" t="s">
        <v>12784</v>
      </c>
      <c r="C248" s="104" t="s">
        <v>183</v>
      </c>
      <c r="D248" s="129" t="s">
        <v>14978</v>
      </c>
    </row>
    <row r="249" spans="1:4">
      <c r="A249" s="105">
        <v>103125</v>
      </c>
      <c r="B249" s="104" t="s">
        <v>12785</v>
      </c>
      <c r="C249" s="104" t="s">
        <v>183</v>
      </c>
      <c r="D249" s="129" t="s">
        <v>14979</v>
      </c>
    </row>
    <row r="250" spans="1:4">
      <c r="A250" s="105">
        <v>103126</v>
      </c>
      <c r="B250" s="104" t="s">
        <v>12786</v>
      </c>
      <c r="C250" s="104" t="s">
        <v>183</v>
      </c>
      <c r="D250" s="129" t="s">
        <v>14980</v>
      </c>
    </row>
    <row r="251" spans="1:4">
      <c r="A251" s="105">
        <v>103127</v>
      </c>
      <c r="B251" s="104" t="s">
        <v>12787</v>
      </c>
      <c r="C251" s="104" t="s">
        <v>183</v>
      </c>
      <c r="D251" s="129" t="s">
        <v>14981</v>
      </c>
    </row>
    <row r="252" spans="1:4">
      <c r="A252" s="105">
        <v>103128</v>
      </c>
      <c r="B252" s="104" t="s">
        <v>12788</v>
      </c>
      <c r="C252" s="104" t="s">
        <v>183</v>
      </c>
      <c r="D252" s="129" t="s">
        <v>14982</v>
      </c>
    </row>
    <row r="253" spans="1:4">
      <c r="A253" s="105">
        <v>103129</v>
      </c>
      <c r="B253" s="104" t="s">
        <v>12789</v>
      </c>
      <c r="C253" s="104" t="s">
        <v>183</v>
      </c>
      <c r="D253" s="129" t="s">
        <v>14983</v>
      </c>
    </row>
    <row r="254" spans="1:4">
      <c r="A254" s="105">
        <v>103130</v>
      </c>
      <c r="B254" s="104" t="s">
        <v>12790</v>
      </c>
      <c r="C254" s="104" t="s">
        <v>183</v>
      </c>
      <c r="D254" s="129" t="s">
        <v>14984</v>
      </c>
    </row>
    <row r="255" spans="1:4">
      <c r="A255" s="105">
        <v>103131</v>
      </c>
      <c r="B255" s="104" t="s">
        <v>12791</v>
      </c>
      <c r="C255" s="104" t="s">
        <v>183</v>
      </c>
      <c r="D255" s="129" t="s">
        <v>14985</v>
      </c>
    </row>
    <row r="256" spans="1:4">
      <c r="A256" s="105">
        <v>103132</v>
      </c>
      <c r="B256" s="104" t="s">
        <v>12792</v>
      </c>
      <c r="C256" s="104" t="s">
        <v>183</v>
      </c>
      <c r="D256" s="129" t="s">
        <v>14986</v>
      </c>
    </row>
    <row r="257" spans="1:4">
      <c r="A257" s="105">
        <v>103133</v>
      </c>
      <c r="B257" s="104" t="s">
        <v>12793</v>
      </c>
      <c r="C257" s="104" t="s">
        <v>183</v>
      </c>
      <c r="D257" s="129" t="s">
        <v>14987</v>
      </c>
    </row>
    <row r="258" spans="1:4">
      <c r="A258" s="105">
        <v>103134</v>
      </c>
      <c r="B258" s="104" t="s">
        <v>12794</v>
      </c>
      <c r="C258" s="104" t="s">
        <v>183</v>
      </c>
      <c r="D258" s="129" t="s">
        <v>14988</v>
      </c>
    </row>
    <row r="259" spans="1:4">
      <c r="A259" s="105">
        <v>103135</v>
      </c>
      <c r="B259" s="104" t="s">
        <v>12795</v>
      </c>
      <c r="C259" s="104" t="s">
        <v>183</v>
      </c>
      <c r="D259" s="129" t="s">
        <v>14989</v>
      </c>
    </row>
    <row r="260" spans="1:4">
      <c r="A260" s="105">
        <v>103136</v>
      </c>
      <c r="B260" s="104" t="s">
        <v>12796</v>
      </c>
      <c r="C260" s="104" t="s">
        <v>183</v>
      </c>
      <c r="D260" s="129" t="s">
        <v>14990</v>
      </c>
    </row>
    <row r="261" spans="1:4">
      <c r="A261" s="105">
        <v>103137</v>
      </c>
      <c r="B261" s="104" t="s">
        <v>12797</v>
      </c>
      <c r="C261" s="104" t="s">
        <v>183</v>
      </c>
      <c r="D261" s="129" t="s">
        <v>14991</v>
      </c>
    </row>
    <row r="262" spans="1:4">
      <c r="A262" s="105">
        <v>103138</v>
      </c>
      <c r="B262" s="104" t="s">
        <v>12798</v>
      </c>
      <c r="C262" s="104" t="s">
        <v>183</v>
      </c>
      <c r="D262" s="129" t="s">
        <v>14992</v>
      </c>
    </row>
    <row r="263" spans="1:4">
      <c r="A263" s="105">
        <v>103139</v>
      </c>
      <c r="B263" s="104" t="s">
        <v>12799</v>
      </c>
      <c r="C263" s="104" t="s">
        <v>183</v>
      </c>
      <c r="D263" s="129" t="s">
        <v>14993</v>
      </c>
    </row>
    <row r="264" spans="1:4">
      <c r="A264" s="105">
        <v>103140</v>
      </c>
      <c r="B264" s="104" t="s">
        <v>12800</v>
      </c>
      <c r="C264" s="104" t="s">
        <v>183</v>
      </c>
      <c r="D264" s="129" t="s">
        <v>14994</v>
      </c>
    </row>
    <row r="265" spans="1:4">
      <c r="A265" s="105">
        <v>103141</v>
      </c>
      <c r="B265" s="104" t="s">
        <v>12801</v>
      </c>
      <c r="C265" s="104" t="s">
        <v>183</v>
      </c>
      <c r="D265" s="129" t="s">
        <v>14995</v>
      </c>
    </row>
    <row r="266" spans="1:4">
      <c r="A266" s="105">
        <v>103142</v>
      </c>
      <c r="B266" s="104" t="s">
        <v>12802</v>
      </c>
      <c r="C266" s="104" t="s">
        <v>183</v>
      </c>
      <c r="D266" s="129" t="s">
        <v>14996</v>
      </c>
    </row>
    <row r="267" spans="1:4">
      <c r="A267" s="105">
        <v>103143</v>
      </c>
      <c r="B267" s="104" t="s">
        <v>12803</v>
      </c>
      <c r="C267" s="104" t="s">
        <v>183</v>
      </c>
      <c r="D267" s="129" t="s">
        <v>14997</v>
      </c>
    </row>
    <row r="268" spans="1:4">
      <c r="A268" s="105">
        <v>103144</v>
      </c>
      <c r="B268" s="104" t="s">
        <v>12804</v>
      </c>
      <c r="C268" s="104" t="s">
        <v>183</v>
      </c>
      <c r="D268" s="129" t="s">
        <v>14998</v>
      </c>
    </row>
    <row r="269" spans="1:4">
      <c r="A269" s="105">
        <v>103145</v>
      </c>
      <c r="B269" s="104" t="s">
        <v>12805</v>
      </c>
      <c r="C269" s="104" t="s">
        <v>183</v>
      </c>
      <c r="D269" s="129" t="s">
        <v>14999</v>
      </c>
    </row>
    <row r="270" spans="1:4">
      <c r="A270" s="105">
        <v>103146</v>
      </c>
      <c r="B270" s="104" t="s">
        <v>12806</v>
      </c>
      <c r="C270" s="104" t="s">
        <v>183</v>
      </c>
      <c r="D270" s="129" t="s">
        <v>15000</v>
      </c>
    </row>
    <row r="271" spans="1:4">
      <c r="A271" s="105">
        <v>103147</v>
      </c>
      <c r="B271" s="104" t="s">
        <v>12807</v>
      </c>
      <c r="C271" s="104" t="s">
        <v>183</v>
      </c>
      <c r="D271" s="129" t="s">
        <v>15001</v>
      </c>
    </row>
    <row r="272" spans="1:4">
      <c r="A272" s="105">
        <v>103148</v>
      </c>
      <c r="B272" s="104" t="s">
        <v>12808</v>
      </c>
      <c r="C272" s="104" t="s">
        <v>183</v>
      </c>
      <c r="D272" s="129" t="s">
        <v>15002</v>
      </c>
    </row>
    <row r="273" spans="1:4">
      <c r="A273" s="105">
        <v>103149</v>
      </c>
      <c r="B273" s="104" t="s">
        <v>12809</v>
      </c>
      <c r="C273" s="104" t="s">
        <v>183</v>
      </c>
      <c r="D273" s="129" t="s">
        <v>15003</v>
      </c>
    </row>
    <row r="274" spans="1:4">
      <c r="A274" s="105">
        <v>103150</v>
      </c>
      <c r="B274" s="104" t="s">
        <v>12810</v>
      </c>
      <c r="C274" s="104" t="s">
        <v>183</v>
      </c>
      <c r="D274" s="129" t="s">
        <v>15004</v>
      </c>
    </row>
    <row r="275" spans="1:4">
      <c r="A275" s="105">
        <v>103151</v>
      </c>
      <c r="B275" s="104" t="s">
        <v>12811</v>
      </c>
      <c r="C275" s="104" t="s">
        <v>183</v>
      </c>
      <c r="D275" s="129" t="s">
        <v>15005</v>
      </c>
    </row>
    <row r="276" spans="1:4">
      <c r="A276" s="105">
        <v>103152</v>
      </c>
      <c r="B276" s="104" t="s">
        <v>12812</v>
      </c>
      <c r="C276" s="104" t="s">
        <v>183</v>
      </c>
      <c r="D276" s="129" t="s">
        <v>15006</v>
      </c>
    </row>
    <row r="277" spans="1:4">
      <c r="A277" s="105">
        <v>103372</v>
      </c>
      <c r="B277" s="104" t="s">
        <v>13590</v>
      </c>
      <c r="C277" s="104" t="s">
        <v>40</v>
      </c>
      <c r="D277" s="129" t="s">
        <v>15007</v>
      </c>
    </row>
    <row r="278" spans="1:4">
      <c r="A278" s="105">
        <v>103373</v>
      </c>
      <c r="B278" s="104" t="s">
        <v>13591</v>
      </c>
      <c r="C278" s="104" t="s">
        <v>40</v>
      </c>
      <c r="D278" s="129" t="s">
        <v>15008</v>
      </c>
    </row>
    <row r="279" spans="1:4">
      <c r="A279" s="105">
        <v>103376</v>
      </c>
      <c r="B279" s="104" t="s">
        <v>13592</v>
      </c>
      <c r="C279" s="104" t="s">
        <v>40</v>
      </c>
      <c r="D279" s="129" t="s">
        <v>15009</v>
      </c>
    </row>
    <row r="280" spans="1:4">
      <c r="A280" s="105">
        <v>103377</v>
      </c>
      <c r="B280" s="104" t="s">
        <v>13593</v>
      </c>
      <c r="C280" s="104" t="s">
        <v>40</v>
      </c>
      <c r="D280" s="129" t="s">
        <v>15010</v>
      </c>
    </row>
    <row r="281" spans="1:4">
      <c r="A281" s="105">
        <v>103379</v>
      </c>
      <c r="B281" s="104" t="s">
        <v>13594</v>
      </c>
      <c r="C281" s="104" t="s">
        <v>40</v>
      </c>
      <c r="D281" s="129" t="s">
        <v>15011</v>
      </c>
    </row>
    <row r="282" spans="1:4">
      <c r="A282" s="105">
        <v>103383</v>
      </c>
      <c r="B282" s="104" t="s">
        <v>13595</v>
      </c>
      <c r="C282" s="104" t="s">
        <v>40</v>
      </c>
      <c r="D282" s="129" t="s">
        <v>15012</v>
      </c>
    </row>
    <row r="283" spans="1:4">
      <c r="A283" s="105">
        <v>103385</v>
      </c>
      <c r="B283" s="104" t="s">
        <v>13596</v>
      </c>
      <c r="C283" s="104" t="s">
        <v>40</v>
      </c>
      <c r="D283" s="129" t="s">
        <v>15013</v>
      </c>
    </row>
    <row r="284" spans="1:4">
      <c r="A284" s="105">
        <v>103387</v>
      </c>
      <c r="B284" s="104" t="s">
        <v>13597</v>
      </c>
      <c r="C284" s="104" t="s">
        <v>40</v>
      </c>
      <c r="D284" s="129" t="s">
        <v>15014</v>
      </c>
    </row>
    <row r="285" spans="1:4">
      <c r="A285" s="105">
        <v>103389</v>
      </c>
      <c r="B285" s="104" t="s">
        <v>13598</v>
      </c>
      <c r="C285" s="104" t="s">
        <v>40</v>
      </c>
      <c r="D285" s="129" t="s">
        <v>15015</v>
      </c>
    </row>
    <row r="286" spans="1:4">
      <c r="A286" s="105">
        <v>103391</v>
      </c>
      <c r="B286" s="104" t="s">
        <v>13599</v>
      </c>
      <c r="C286" s="104" t="s">
        <v>40</v>
      </c>
      <c r="D286" s="129" t="s">
        <v>15016</v>
      </c>
    </row>
    <row r="287" spans="1:4">
      <c r="A287" s="105">
        <v>103392</v>
      </c>
      <c r="B287" s="104" t="s">
        <v>13600</v>
      </c>
      <c r="C287" s="104" t="s">
        <v>40</v>
      </c>
      <c r="D287" s="129" t="s">
        <v>15017</v>
      </c>
    </row>
    <row r="288" spans="1:4">
      <c r="A288" s="105">
        <v>103393</v>
      </c>
      <c r="B288" s="104" t="s">
        <v>13601</v>
      </c>
      <c r="C288" s="104" t="s">
        <v>40</v>
      </c>
      <c r="D288" s="129" t="s">
        <v>15018</v>
      </c>
    </row>
    <row r="289" spans="1:4">
      <c r="A289" s="105">
        <v>103394</v>
      </c>
      <c r="B289" s="104" t="s">
        <v>13602</v>
      </c>
      <c r="C289" s="104" t="s">
        <v>40</v>
      </c>
      <c r="D289" s="129" t="s">
        <v>15019</v>
      </c>
    </row>
    <row r="290" spans="1:4">
      <c r="A290" s="105">
        <v>103395</v>
      </c>
      <c r="B290" s="104" t="s">
        <v>13603</v>
      </c>
      <c r="C290" s="104" t="s">
        <v>40</v>
      </c>
      <c r="D290" s="129" t="s">
        <v>15020</v>
      </c>
    </row>
    <row r="291" spans="1:4">
      <c r="A291" s="105">
        <v>103396</v>
      </c>
      <c r="B291" s="104" t="s">
        <v>13604</v>
      </c>
      <c r="C291" s="104" t="s">
        <v>40</v>
      </c>
      <c r="D291" s="129" t="s">
        <v>15021</v>
      </c>
    </row>
    <row r="292" spans="1:4">
      <c r="A292" s="105">
        <v>103397</v>
      </c>
      <c r="B292" s="104" t="s">
        <v>13605</v>
      </c>
      <c r="C292" s="104" t="s">
        <v>183</v>
      </c>
      <c r="D292" s="129" t="s">
        <v>15022</v>
      </c>
    </row>
    <row r="293" spans="1:4">
      <c r="A293" s="105">
        <v>103398</v>
      </c>
      <c r="B293" s="104" t="s">
        <v>13606</v>
      </c>
      <c r="C293" s="104" t="s">
        <v>183</v>
      </c>
      <c r="D293" s="129" t="s">
        <v>15023</v>
      </c>
    </row>
    <row r="294" spans="1:4">
      <c r="A294" s="105">
        <v>103399</v>
      </c>
      <c r="B294" s="104" t="s">
        <v>13607</v>
      </c>
      <c r="C294" s="104" t="s">
        <v>183</v>
      </c>
      <c r="D294" s="129" t="s">
        <v>15024</v>
      </c>
    </row>
    <row r="295" spans="1:4">
      <c r="A295" s="105">
        <v>103400</v>
      </c>
      <c r="B295" s="104" t="s">
        <v>13608</v>
      </c>
      <c r="C295" s="104" t="s">
        <v>183</v>
      </c>
      <c r="D295" s="129" t="s">
        <v>15025</v>
      </c>
    </row>
    <row r="296" spans="1:4">
      <c r="A296" s="105">
        <v>103401</v>
      </c>
      <c r="B296" s="104" t="s">
        <v>13609</v>
      </c>
      <c r="C296" s="104" t="s">
        <v>183</v>
      </c>
      <c r="D296" s="129" t="s">
        <v>15026</v>
      </c>
    </row>
    <row r="297" spans="1:4">
      <c r="A297" s="105">
        <v>103402</v>
      </c>
      <c r="B297" s="104" t="s">
        <v>13610</v>
      </c>
      <c r="C297" s="104" t="s">
        <v>183</v>
      </c>
      <c r="D297" s="129" t="s">
        <v>15027</v>
      </c>
    </row>
    <row r="298" spans="1:4">
      <c r="A298" s="105">
        <v>103403</v>
      </c>
      <c r="B298" s="104" t="s">
        <v>13611</v>
      </c>
      <c r="C298" s="104" t="s">
        <v>183</v>
      </c>
      <c r="D298" s="129" t="s">
        <v>15028</v>
      </c>
    </row>
    <row r="299" spans="1:4">
      <c r="A299" s="105">
        <v>103404</v>
      </c>
      <c r="B299" s="104" t="s">
        <v>13612</v>
      </c>
      <c r="C299" s="104" t="s">
        <v>183</v>
      </c>
      <c r="D299" s="129" t="s">
        <v>15029</v>
      </c>
    </row>
    <row r="300" spans="1:4">
      <c r="A300" s="105">
        <v>103405</v>
      </c>
      <c r="B300" s="104" t="s">
        <v>13613</v>
      </c>
      <c r="C300" s="104" t="s">
        <v>183</v>
      </c>
      <c r="D300" s="129" t="s">
        <v>15030</v>
      </c>
    </row>
    <row r="301" spans="1:4">
      <c r="A301" s="105">
        <v>103406</v>
      </c>
      <c r="B301" s="104" t="s">
        <v>13614</v>
      </c>
      <c r="C301" s="104" t="s">
        <v>183</v>
      </c>
      <c r="D301" s="129" t="s">
        <v>15031</v>
      </c>
    </row>
    <row r="302" spans="1:4">
      <c r="A302" s="105">
        <v>103407</v>
      </c>
      <c r="B302" s="104" t="s">
        <v>13615</v>
      </c>
      <c r="C302" s="104" t="s">
        <v>183</v>
      </c>
      <c r="D302" s="129" t="s">
        <v>15032</v>
      </c>
    </row>
    <row r="303" spans="1:4">
      <c r="A303" s="105">
        <v>103408</v>
      </c>
      <c r="B303" s="104" t="s">
        <v>13616</v>
      </c>
      <c r="C303" s="104" t="s">
        <v>183</v>
      </c>
      <c r="D303" s="129" t="s">
        <v>15033</v>
      </c>
    </row>
    <row r="304" spans="1:4">
      <c r="A304" s="105">
        <v>103409</v>
      </c>
      <c r="B304" s="104" t="s">
        <v>13617</v>
      </c>
      <c r="C304" s="104" t="s">
        <v>183</v>
      </c>
      <c r="D304" s="129" t="s">
        <v>15034</v>
      </c>
    </row>
    <row r="305" spans="1:4">
      <c r="A305" s="105">
        <v>103410</v>
      </c>
      <c r="B305" s="104" t="s">
        <v>13618</v>
      </c>
      <c r="C305" s="104" t="s">
        <v>183</v>
      </c>
      <c r="D305" s="129" t="s">
        <v>15035</v>
      </c>
    </row>
    <row r="306" spans="1:4">
      <c r="A306" s="105">
        <v>103411</v>
      </c>
      <c r="B306" s="104" t="s">
        <v>13619</v>
      </c>
      <c r="C306" s="104" t="s">
        <v>183</v>
      </c>
      <c r="D306" s="129" t="s">
        <v>15036</v>
      </c>
    </row>
    <row r="307" spans="1:4">
      <c r="A307" s="105">
        <v>103412</v>
      </c>
      <c r="B307" s="104" t="s">
        <v>13620</v>
      </c>
      <c r="C307" s="104" t="s">
        <v>183</v>
      </c>
      <c r="D307" s="129" t="s">
        <v>15037</v>
      </c>
    </row>
    <row r="308" spans="1:4">
      <c r="A308" s="105">
        <v>103413</v>
      </c>
      <c r="B308" s="104" t="s">
        <v>13621</v>
      </c>
      <c r="C308" s="104" t="s">
        <v>183</v>
      </c>
      <c r="D308" s="129" t="s">
        <v>15038</v>
      </c>
    </row>
    <row r="309" spans="1:4">
      <c r="A309" s="105">
        <v>103414</v>
      </c>
      <c r="B309" s="104" t="s">
        <v>13622</v>
      </c>
      <c r="C309" s="104" t="s">
        <v>183</v>
      </c>
      <c r="D309" s="129" t="s">
        <v>15028</v>
      </c>
    </row>
    <row r="310" spans="1:4">
      <c r="A310" s="105">
        <v>103415</v>
      </c>
      <c r="B310" s="104" t="s">
        <v>13623</v>
      </c>
      <c r="C310" s="104" t="s">
        <v>183</v>
      </c>
      <c r="D310" s="129" t="s">
        <v>15039</v>
      </c>
    </row>
    <row r="311" spans="1:4">
      <c r="A311" s="105">
        <v>103416</v>
      </c>
      <c r="B311" s="104" t="s">
        <v>13624</v>
      </c>
      <c r="C311" s="104" t="s">
        <v>183</v>
      </c>
      <c r="D311" s="129" t="s">
        <v>15040</v>
      </c>
    </row>
    <row r="312" spans="1:4">
      <c r="A312" s="105">
        <v>103417</v>
      </c>
      <c r="B312" s="104" t="s">
        <v>13625</v>
      </c>
      <c r="C312" s="104" t="s">
        <v>183</v>
      </c>
      <c r="D312" s="129" t="s">
        <v>15041</v>
      </c>
    </row>
    <row r="313" spans="1:4">
      <c r="A313" s="105">
        <v>103418</v>
      </c>
      <c r="B313" s="104" t="s">
        <v>13626</v>
      </c>
      <c r="C313" s="104" t="s">
        <v>183</v>
      </c>
      <c r="D313" s="129" t="s">
        <v>15035</v>
      </c>
    </row>
    <row r="314" spans="1:4">
      <c r="A314" s="105">
        <v>103419</v>
      </c>
      <c r="B314" s="104" t="s">
        <v>13627</v>
      </c>
      <c r="C314" s="104" t="s">
        <v>183</v>
      </c>
      <c r="D314" s="129" t="s">
        <v>15042</v>
      </c>
    </row>
    <row r="315" spans="1:4">
      <c r="A315" s="105">
        <v>103420</v>
      </c>
      <c r="B315" s="104" t="s">
        <v>13628</v>
      </c>
      <c r="C315" s="104" t="s">
        <v>183</v>
      </c>
      <c r="D315" s="129" t="s">
        <v>15043</v>
      </c>
    </row>
    <row r="316" spans="1:4">
      <c r="A316" s="105">
        <v>103421</v>
      </c>
      <c r="B316" s="104" t="s">
        <v>13629</v>
      </c>
      <c r="C316" s="104" t="s">
        <v>183</v>
      </c>
      <c r="D316" s="129" t="s">
        <v>15044</v>
      </c>
    </row>
    <row r="317" spans="1:4">
      <c r="A317" s="105">
        <v>103422</v>
      </c>
      <c r="B317" s="104" t="s">
        <v>13630</v>
      </c>
      <c r="C317" s="104" t="s">
        <v>183</v>
      </c>
      <c r="D317" s="129" t="s">
        <v>15045</v>
      </c>
    </row>
    <row r="318" spans="1:4">
      <c r="A318" s="105">
        <v>103423</v>
      </c>
      <c r="B318" s="104" t="s">
        <v>13631</v>
      </c>
      <c r="C318" s="104" t="s">
        <v>183</v>
      </c>
      <c r="D318" s="129" t="s">
        <v>15046</v>
      </c>
    </row>
    <row r="319" spans="1:4">
      <c r="A319" s="105">
        <v>103424</v>
      </c>
      <c r="B319" s="104" t="s">
        <v>13632</v>
      </c>
      <c r="C319" s="104" t="s">
        <v>183</v>
      </c>
      <c r="D319" s="129" t="s">
        <v>15047</v>
      </c>
    </row>
    <row r="320" spans="1:4">
      <c r="A320" s="105">
        <v>103425</v>
      </c>
      <c r="B320" s="104" t="s">
        <v>13633</v>
      </c>
      <c r="C320" s="104" t="s">
        <v>183</v>
      </c>
      <c r="D320" s="129" t="s">
        <v>15048</v>
      </c>
    </row>
    <row r="321" spans="1:4">
      <c r="A321" s="105">
        <v>103426</v>
      </c>
      <c r="B321" s="104" t="s">
        <v>13634</v>
      </c>
      <c r="C321" s="104" t="s">
        <v>183</v>
      </c>
      <c r="D321" s="129" t="s">
        <v>15049</v>
      </c>
    </row>
    <row r="322" spans="1:4">
      <c r="A322" s="105">
        <v>103427</v>
      </c>
      <c r="B322" s="104" t="s">
        <v>13635</v>
      </c>
      <c r="C322" s="104" t="s">
        <v>183</v>
      </c>
      <c r="D322" s="129" t="s">
        <v>15050</v>
      </c>
    </row>
    <row r="323" spans="1:4">
      <c r="A323" s="105">
        <v>103428</v>
      </c>
      <c r="B323" s="104" t="s">
        <v>13636</v>
      </c>
      <c r="C323" s="104" t="s">
        <v>183</v>
      </c>
      <c r="D323" s="129" t="s">
        <v>15051</v>
      </c>
    </row>
    <row r="324" spans="1:4">
      <c r="A324" s="105">
        <v>103429</v>
      </c>
      <c r="B324" s="104" t="s">
        <v>13637</v>
      </c>
      <c r="C324" s="104" t="s">
        <v>183</v>
      </c>
      <c r="D324" s="129" t="s">
        <v>15052</v>
      </c>
    </row>
    <row r="325" spans="1:4">
      <c r="A325" s="105">
        <v>103430</v>
      </c>
      <c r="B325" s="104" t="s">
        <v>13638</v>
      </c>
      <c r="C325" s="104" t="s">
        <v>183</v>
      </c>
      <c r="D325" s="129" t="s">
        <v>15053</v>
      </c>
    </row>
    <row r="326" spans="1:4">
      <c r="A326" s="105">
        <v>103431</v>
      </c>
      <c r="B326" s="104" t="s">
        <v>13639</v>
      </c>
      <c r="C326" s="104" t="s">
        <v>183</v>
      </c>
      <c r="D326" s="129" t="s">
        <v>15054</v>
      </c>
    </row>
    <row r="327" spans="1:4">
      <c r="A327" s="105">
        <v>103432</v>
      </c>
      <c r="B327" s="104" t="s">
        <v>13640</v>
      </c>
      <c r="C327" s="104" t="s">
        <v>183</v>
      </c>
      <c r="D327" s="129" t="s">
        <v>15055</v>
      </c>
    </row>
    <row r="328" spans="1:4">
      <c r="A328" s="105">
        <v>103433</v>
      </c>
      <c r="B328" s="104" t="s">
        <v>13641</v>
      </c>
      <c r="C328" s="104" t="s">
        <v>183</v>
      </c>
      <c r="D328" s="129" t="s">
        <v>15056</v>
      </c>
    </row>
    <row r="329" spans="1:4">
      <c r="A329" s="105">
        <v>103434</v>
      </c>
      <c r="B329" s="104" t="s">
        <v>13642</v>
      </c>
      <c r="C329" s="104" t="s">
        <v>183</v>
      </c>
      <c r="D329" s="129" t="s">
        <v>15057</v>
      </c>
    </row>
    <row r="330" spans="1:4">
      <c r="A330" s="105">
        <v>103435</v>
      </c>
      <c r="B330" s="104" t="s">
        <v>13643</v>
      </c>
      <c r="C330" s="104" t="s">
        <v>183</v>
      </c>
      <c r="D330" s="129" t="s">
        <v>15058</v>
      </c>
    </row>
    <row r="331" spans="1:4">
      <c r="A331" s="105">
        <v>103436</v>
      </c>
      <c r="B331" s="104" t="s">
        <v>13644</v>
      </c>
      <c r="C331" s="104" t="s">
        <v>183</v>
      </c>
      <c r="D331" s="129" t="s">
        <v>15059</v>
      </c>
    </row>
    <row r="332" spans="1:4">
      <c r="A332" s="105">
        <v>103437</v>
      </c>
      <c r="B332" s="104" t="s">
        <v>13645</v>
      </c>
      <c r="C332" s="104" t="s">
        <v>183</v>
      </c>
      <c r="D332" s="129" t="s">
        <v>15060</v>
      </c>
    </row>
    <row r="333" spans="1:4">
      <c r="A333" s="105">
        <v>103438</v>
      </c>
      <c r="B333" s="104" t="s">
        <v>13646</v>
      </c>
      <c r="C333" s="104" t="s">
        <v>183</v>
      </c>
      <c r="D333" s="129" t="s">
        <v>15060</v>
      </c>
    </row>
    <row r="334" spans="1:4">
      <c r="A334" s="105">
        <v>103439</v>
      </c>
      <c r="B334" s="104" t="s">
        <v>13647</v>
      </c>
      <c r="C334" s="104" t="s">
        <v>183</v>
      </c>
      <c r="D334" s="129" t="s">
        <v>15061</v>
      </c>
    </row>
    <row r="335" spans="1:4">
      <c r="A335" s="105">
        <v>103440</v>
      </c>
      <c r="B335" s="104" t="s">
        <v>13648</v>
      </c>
      <c r="C335" s="104" t="s">
        <v>183</v>
      </c>
      <c r="D335" s="129" t="s">
        <v>15062</v>
      </c>
    </row>
    <row r="336" spans="1:4">
      <c r="A336" s="105">
        <v>103441</v>
      </c>
      <c r="B336" s="104" t="s">
        <v>13649</v>
      </c>
      <c r="C336" s="104" t="s">
        <v>183</v>
      </c>
      <c r="D336" s="129" t="s">
        <v>15063</v>
      </c>
    </row>
    <row r="337" spans="1:4">
      <c r="A337" s="105">
        <v>103442</v>
      </c>
      <c r="B337" s="104" t="s">
        <v>13650</v>
      </c>
      <c r="C337" s="104" t="s">
        <v>183</v>
      </c>
      <c r="D337" s="129" t="s">
        <v>15064</v>
      </c>
    </row>
    <row r="338" spans="1:4">
      <c r="A338" s="105">
        <v>93206</v>
      </c>
      <c r="B338" s="104" t="s">
        <v>651</v>
      </c>
      <c r="C338" s="104" t="s">
        <v>12</v>
      </c>
      <c r="D338" s="129" t="s">
        <v>15065</v>
      </c>
    </row>
    <row r="339" spans="1:4">
      <c r="A339" s="105">
        <v>93207</v>
      </c>
      <c r="B339" s="104" t="s">
        <v>652</v>
      </c>
      <c r="C339" s="104" t="s">
        <v>12</v>
      </c>
      <c r="D339" s="129" t="s">
        <v>15066</v>
      </c>
    </row>
    <row r="340" spans="1:4">
      <c r="A340" s="105">
        <v>93208</v>
      </c>
      <c r="B340" s="104" t="s">
        <v>345</v>
      </c>
      <c r="C340" s="104" t="s">
        <v>12</v>
      </c>
      <c r="D340" s="129" t="s">
        <v>15067</v>
      </c>
    </row>
    <row r="341" spans="1:4">
      <c r="A341" s="105">
        <v>93209</v>
      </c>
      <c r="B341" s="104" t="s">
        <v>653</v>
      </c>
      <c r="C341" s="104" t="s">
        <v>12</v>
      </c>
      <c r="D341" s="129" t="s">
        <v>15068</v>
      </c>
    </row>
    <row r="342" spans="1:4">
      <c r="A342" s="105">
        <v>93210</v>
      </c>
      <c r="B342" s="104" t="s">
        <v>654</v>
      </c>
      <c r="C342" s="104" t="s">
        <v>12</v>
      </c>
      <c r="D342" s="129" t="s">
        <v>15069</v>
      </c>
    </row>
    <row r="343" spans="1:4">
      <c r="A343" s="105">
        <v>93211</v>
      </c>
      <c r="B343" s="104" t="s">
        <v>655</v>
      </c>
      <c r="C343" s="104" t="s">
        <v>12</v>
      </c>
      <c r="D343" s="129" t="s">
        <v>15070</v>
      </c>
    </row>
    <row r="344" spans="1:4">
      <c r="A344" s="105">
        <v>93212</v>
      </c>
      <c r="B344" s="104" t="s">
        <v>656</v>
      </c>
      <c r="C344" s="104" t="s">
        <v>12</v>
      </c>
      <c r="D344" s="129" t="s">
        <v>15071</v>
      </c>
    </row>
    <row r="345" spans="1:4">
      <c r="A345" s="105">
        <v>93213</v>
      </c>
      <c r="B345" s="104" t="s">
        <v>657</v>
      </c>
      <c r="C345" s="104" t="s">
        <v>12</v>
      </c>
      <c r="D345" s="129" t="s">
        <v>15072</v>
      </c>
    </row>
    <row r="346" spans="1:4">
      <c r="A346" s="105">
        <v>93214</v>
      </c>
      <c r="B346" s="104" t="s">
        <v>658</v>
      </c>
      <c r="C346" s="104" t="s">
        <v>183</v>
      </c>
      <c r="D346" s="129" t="s">
        <v>15073</v>
      </c>
    </row>
    <row r="347" spans="1:4">
      <c r="A347" s="105">
        <v>93243</v>
      </c>
      <c r="B347" s="104" t="s">
        <v>659</v>
      </c>
      <c r="C347" s="104" t="s">
        <v>183</v>
      </c>
      <c r="D347" s="129" t="s">
        <v>15074</v>
      </c>
    </row>
    <row r="348" spans="1:4">
      <c r="A348" s="105">
        <v>93582</v>
      </c>
      <c r="B348" s="104" t="s">
        <v>660</v>
      </c>
      <c r="C348" s="104" t="s">
        <v>12</v>
      </c>
      <c r="D348" s="129" t="s">
        <v>15075</v>
      </c>
    </row>
    <row r="349" spans="1:4">
      <c r="A349" s="105">
        <v>93583</v>
      </c>
      <c r="B349" s="104" t="s">
        <v>661</v>
      </c>
      <c r="C349" s="104" t="s">
        <v>12</v>
      </c>
      <c r="D349" s="129" t="s">
        <v>15076</v>
      </c>
    </row>
    <row r="350" spans="1:4">
      <c r="A350" s="105">
        <v>93584</v>
      </c>
      <c r="B350" s="104" t="s">
        <v>662</v>
      </c>
      <c r="C350" s="104" t="s">
        <v>12</v>
      </c>
      <c r="D350" s="129" t="s">
        <v>15077</v>
      </c>
    </row>
    <row r="351" spans="1:4">
      <c r="A351" s="105">
        <v>93585</v>
      </c>
      <c r="B351" s="104" t="s">
        <v>663</v>
      </c>
      <c r="C351" s="104" t="s">
        <v>12</v>
      </c>
      <c r="D351" s="129" t="s">
        <v>15078</v>
      </c>
    </row>
    <row r="352" spans="1:4">
      <c r="A352" s="105">
        <v>98441</v>
      </c>
      <c r="B352" s="104" t="s">
        <v>664</v>
      </c>
      <c r="C352" s="104" t="s">
        <v>12</v>
      </c>
      <c r="D352" s="129" t="s">
        <v>15079</v>
      </c>
    </row>
    <row r="353" spans="1:4">
      <c r="A353" s="105">
        <v>98442</v>
      </c>
      <c r="B353" s="104" t="s">
        <v>665</v>
      </c>
      <c r="C353" s="104" t="s">
        <v>12</v>
      </c>
      <c r="D353" s="129" t="s">
        <v>15080</v>
      </c>
    </row>
    <row r="354" spans="1:4">
      <c r="A354" s="105">
        <v>98443</v>
      </c>
      <c r="B354" s="104" t="s">
        <v>666</v>
      </c>
      <c r="C354" s="104" t="s">
        <v>12</v>
      </c>
      <c r="D354" s="129" t="s">
        <v>15081</v>
      </c>
    </row>
    <row r="355" spans="1:4">
      <c r="A355" s="105">
        <v>98444</v>
      </c>
      <c r="B355" s="104" t="s">
        <v>667</v>
      </c>
      <c r="C355" s="104" t="s">
        <v>12</v>
      </c>
      <c r="D355" s="129" t="s">
        <v>15082</v>
      </c>
    </row>
    <row r="356" spans="1:4">
      <c r="A356" s="105">
        <v>98445</v>
      </c>
      <c r="B356" s="104" t="s">
        <v>668</v>
      </c>
      <c r="C356" s="104" t="s">
        <v>12</v>
      </c>
      <c r="D356" s="129" t="s">
        <v>15083</v>
      </c>
    </row>
    <row r="357" spans="1:4">
      <c r="A357" s="105">
        <v>98446</v>
      </c>
      <c r="B357" s="104" t="s">
        <v>669</v>
      </c>
      <c r="C357" s="104" t="s">
        <v>12</v>
      </c>
      <c r="D357" s="129" t="s">
        <v>15084</v>
      </c>
    </row>
    <row r="358" spans="1:4">
      <c r="A358" s="105">
        <v>98447</v>
      </c>
      <c r="B358" s="104" t="s">
        <v>670</v>
      </c>
      <c r="C358" s="104" t="s">
        <v>12</v>
      </c>
      <c r="D358" s="129" t="s">
        <v>15085</v>
      </c>
    </row>
    <row r="359" spans="1:4">
      <c r="A359" s="105">
        <v>98448</v>
      </c>
      <c r="B359" s="104" t="s">
        <v>671</v>
      </c>
      <c r="C359" s="104" t="s">
        <v>12</v>
      </c>
      <c r="D359" s="129" t="s">
        <v>15086</v>
      </c>
    </row>
    <row r="360" spans="1:4">
      <c r="A360" s="105">
        <v>98449</v>
      </c>
      <c r="B360" s="104" t="s">
        <v>672</v>
      </c>
      <c r="C360" s="104" t="s">
        <v>12</v>
      </c>
      <c r="D360" s="129" t="s">
        <v>15087</v>
      </c>
    </row>
    <row r="361" spans="1:4">
      <c r="A361" s="105">
        <v>98450</v>
      </c>
      <c r="B361" s="104" t="s">
        <v>673</v>
      </c>
      <c r="C361" s="104" t="s">
        <v>12</v>
      </c>
      <c r="D361" s="129" t="s">
        <v>15088</v>
      </c>
    </row>
    <row r="362" spans="1:4">
      <c r="A362" s="105">
        <v>98451</v>
      </c>
      <c r="B362" s="104" t="s">
        <v>674</v>
      </c>
      <c r="C362" s="104" t="s">
        <v>12</v>
      </c>
      <c r="D362" s="129" t="s">
        <v>15089</v>
      </c>
    </row>
    <row r="363" spans="1:4">
      <c r="A363" s="105">
        <v>98452</v>
      </c>
      <c r="B363" s="104" t="s">
        <v>675</v>
      </c>
      <c r="C363" s="104" t="s">
        <v>12</v>
      </c>
      <c r="D363" s="129" t="s">
        <v>15090</v>
      </c>
    </row>
    <row r="364" spans="1:4">
      <c r="A364" s="105">
        <v>98453</v>
      </c>
      <c r="B364" s="104" t="s">
        <v>676</v>
      </c>
      <c r="C364" s="104" t="s">
        <v>12</v>
      </c>
      <c r="D364" s="129" t="s">
        <v>15091</v>
      </c>
    </row>
    <row r="365" spans="1:4">
      <c r="A365" s="105">
        <v>98454</v>
      </c>
      <c r="B365" s="104" t="s">
        <v>677</v>
      </c>
      <c r="C365" s="104" t="s">
        <v>12</v>
      </c>
      <c r="D365" s="129" t="s">
        <v>15092</v>
      </c>
    </row>
    <row r="366" spans="1:4">
      <c r="A366" s="105">
        <v>98455</v>
      </c>
      <c r="B366" s="104" t="s">
        <v>678</v>
      </c>
      <c r="C366" s="104" t="s">
        <v>12</v>
      </c>
      <c r="D366" s="129" t="s">
        <v>15093</v>
      </c>
    </row>
    <row r="367" spans="1:4">
      <c r="A367" s="105">
        <v>98456</v>
      </c>
      <c r="B367" s="104" t="s">
        <v>679</v>
      </c>
      <c r="C367" s="104" t="s">
        <v>12</v>
      </c>
      <c r="D367" s="129" t="s">
        <v>15094</v>
      </c>
    </row>
    <row r="368" spans="1:4">
      <c r="A368" s="105">
        <v>98458</v>
      </c>
      <c r="B368" s="104" t="s">
        <v>680</v>
      </c>
      <c r="C368" s="104" t="s">
        <v>12</v>
      </c>
      <c r="D368" s="129" t="s">
        <v>15095</v>
      </c>
    </row>
    <row r="369" spans="1:4">
      <c r="A369" s="105">
        <v>98459</v>
      </c>
      <c r="B369" s="104" t="s">
        <v>681</v>
      </c>
      <c r="C369" s="104" t="s">
        <v>12</v>
      </c>
      <c r="D369" s="129" t="s">
        <v>15096</v>
      </c>
    </row>
    <row r="370" spans="1:4">
      <c r="A370" s="105">
        <v>98460</v>
      </c>
      <c r="B370" s="104" t="s">
        <v>682</v>
      </c>
      <c r="C370" s="104" t="s">
        <v>12</v>
      </c>
      <c r="D370" s="129" t="s">
        <v>15097</v>
      </c>
    </row>
    <row r="371" spans="1:4">
      <c r="A371" s="105">
        <v>98461</v>
      </c>
      <c r="B371" s="104" t="s">
        <v>683</v>
      </c>
      <c r="C371" s="104" t="s">
        <v>183</v>
      </c>
      <c r="D371" s="129" t="s">
        <v>15098</v>
      </c>
    </row>
    <row r="372" spans="1:4">
      <c r="A372" s="105">
        <v>98462</v>
      </c>
      <c r="B372" s="104" t="s">
        <v>684</v>
      </c>
      <c r="C372" s="104" t="s">
        <v>183</v>
      </c>
      <c r="D372" s="129" t="s">
        <v>15099</v>
      </c>
    </row>
    <row r="373" spans="1:4">
      <c r="A373" s="105">
        <v>5631</v>
      </c>
      <c r="B373" s="104" t="s">
        <v>685</v>
      </c>
      <c r="C373" s="104" t="s">
        <v>249</v>
      </c>
      <c r="D373" s="129" t="s">
        <v>15100</v>
      </c>
    </row>
    <row r="374" spans="1:4">
      <c r="A374" s="105">
        <v>5678</v>
      </c>
      <c r="B374" s="104" t="s">
        <v>686</v>
      </c>
      <c r="C374" s="104" t="s">
        <v>249</v>
      </c>
      <c r="D374" s="129" t="s">
        <v>15101</v>
      </c>
    </row>
    <row r="375" spans="1:4">
      <c r="A375" s="105">
        <v>5680</v>
      </c>
      <c r="B375" s="104" t="s">
        <v>687</v>
      </c>
      <c r="C375" s="104" t="s">
        <v>249</v>
      </c>
      <c r="D375" s="129" t="s">
        <v>15102</v>
      </c>
    </row>
    <row r="376" spans="1:4">
      <c r="A376" s="105">
        <v>5684</v>
      </c>
      <c r="B376" s="104" t="s">
        <v>688</v>
      </c>
      <c r="C376" s="104" t="s">
        <v>249</v>
      </c>
      <c r="D376" s="129" t="s">
        <v>15103</v>
      </c>
    </row>
    <row r="377" spans="1:4">
      <c r="A377" s="105">
        <v>5689</v>
      </c>
      <c r="B377" s="104" t="s">
        <v>689</v>
      </c>
      <c r="C377" s="104" t="s">
        <v>249</v>
      </c>
      <c r="D377" s="129" t="s">
        <v>15104</v>
      </c>
    </row>
    <row r="378" spans="1:4">
      <c r="A378" s="105">
        <v>5795</v>
      </c>
      <c r="B378" s="104" t="s">
        <v>690</v>
      </c>
      <c r="C378" s="104" t="s">
        <v>249</v>
      </c>
      <c r="D378" s="129" t="s">
        <v>15105</v>
      </c>
    </row>
    <row r="379" spans="1:4">
      <c r="A379" s="105">
        <v>5811</v>
      </c>
      <c r="B379" s="104" t="s">
        <v>691</v>
      </c>
      <c r="C379" s="104" t="s">
        <v>249</v>
      </c>
      <c r="D379" s="129" t="s">
        <v>15106</v>
      </c>
    </row>
    <row r="380" spans="1:4">
      <c r="A380" s="105">
        <v>5823</v>
      </c>
      <c r="B380" s="104" t="s">
        <v>692</v>
      </c>
      <c r="C380" s="104" t="s">
        <v>249</v>
      </c>
      <c r="D380" s="129" t="s">
        <v>15107</v>
      </c>
    </row>
    <row r="381" spans="1:4">
      <c r="A381" s="105">
        <v>5824</v>
      </c>
      <c r="B381" s="104" t="s">
        <v>693</v>
      </c>
      <c r="C381" s="104" t="s">
        <v>249</v>
      </c>
      <c r="D381" s="129" t="s">
        <v>15108</v>
      </c>
    </row>
    <row r="382" spans="1:4">
      <c r="A382" s="105">
        <v>5835</v>
      </c>
      <c r="B382" s="104" t="s">
        <v>694</v>
      </c>
      <c r="C382" s="104" t="s">
        <v>249</v>
      </c>
      <c r="D382" s="129" t="s">
        <v>15109</v>
      </c>
    </row>
    <row r="383" spans="1:4">
      <c r="A383" s="105">
        <v>5839</v>
      </c>
      <c r="B383" s="104" t="s">
        <v>695</v>
      </c>
      <c r="C383" s="104" t="s">
        <v>249</v>
      </c>
      <c r="D383" s="129" t="s">
        <v>15110</v>
      </c>
    </row>
    <row r="384" spans="1:4">
      <c r="A384" s="105">
        <v>5843</v>
      </c>
      <c r="B384" s="104" t="s">
        <v>696</v>
      </c>
      <c r="C384" s="104" t="s">
        <v>249</v>
      </c>
      <c r="D384" s="129" t="s">
        <v>15111</v>
      </c>
    </row>
    <row r="385" spans="1:4">
      <c r="A385" s="105">
        <v>5847</v>
      </c>
      <c r="B385" s="104" t="s">
        <v>697</v>
      </c>
      <c r="C385" s="104" t="s">
        <v>249</v>
      </c>
      <c r="D385" s="129" t="s">
        <v>15112</v>
      </c>
    </row>
    <row r="386" spans="1:4">
      <c r="A386" s="105">
        <v>5851</v>
      </c>
      <c r="B386" s="104" t="s">
        <v>698</v>
      </c>
      <c r="C386" s="104" t="s">
        <v>249</v>
      </c>
      <c r="D386" s="129" t="s">
        <v>15113</v>
      </c>
    </row>
    <row r="387" spans="1:4">
      <c r="A387" s="105">
        <v>5855</v>
      </c>
      <c r="B387" s="104" t="s">
        <v>699</v>
      </c>
      <c r="C387" s="104" t="s">
        <v>249</v>
      </c>
      <c r="D387" s="129" t="s">
        <v>15114</v>
      </c>
    </row>
    <row r="388" spans="1:4">
      <c r="A388" s="105">
        <v>5863</v>
      </c>
      <c r="B388" s="104" t="s">
        <v>700</v>
      </c>
      <c r="C388" s="104" t="s">
        <v>249</v>
      </c>
      <c r="D388" s="129" t="s">
        <v>15115</v>
      </c>
    </row>
    <row r="389" spans="1:4">
      <c r="A389" s="105">
        <v>5867</v>
      </c>
      <c r="B389" s="104" t="s">
        <v>701</v>
      </c>
      <c r="C389" s="104" t="s">
        <v>249</v>
      </c>
      <c r="D389" s="129" t="s">
        <v>15116</v>
      </c>
    </row>
    <row r="390" spans="1:4">
      <c r="A390" s="105">
        <v>5875</v>
      </c>
      <c r="B390" s="104" t="s">
        <v>702</v>
      </c>
      <c r="C390" s="104" t="s">
        <v>249</v>
      </c>
      <c r="D390" s="129" t="s">
        <v>15117</v>
      </c>
    </row>
    <row r="391" spans="1:4">
      <c r="A391" s="105">
        <v>5879</v>
      </c>
      <c r="B391" s="104" t="s">
        <v>703</v>
      </c>
      <c r="C391" s="104" t="s">
        <v>249</v>
      </c>
      <c r="D391" s="129" t="s">
        <v>15118</v>
      </c>
    </row>
    <row r="392" spans="1:4">
      <c r="A392" s="105">
        <v>5882</v>
      </c>
      <c r="B392" s="104" t="s">
        <v>704</v>
      </c>
      <c r="C392" s="104" t="s">
        <v>249</v>
      </c>
      <c r="D392" s="129" t="s">
        <v>15119</v>
      </c>
    </row>
    <row r="393" spans="1:4">
      <c r="A393" s="105">
        <v>5890</v>
      </c>
      <c r="B393" s="104" t="s">
        <v>705</v>
      </c>
      <c r="C393" s="104" t="s">
        <v>249</v>
      </c>
      <c r="D393" s="129" t="s">
        <v>15120</v>
      </c>
    </row>
    <row r="394" spans="1:4">
      <c r="A394" s="105">
        <v>5894</v>
      </c>
      <c r="B394" s="104" t="s">
        <v>706</v>
      </c>
      <c r="C394" s="104" t="s">
        <v>249</v>
      </c>
      <c r="D394" s="129" t="s">
        <v>15121</v>
      </c>
    </row>
    <row r="395" spans="1:4">
      <c r="A395" s="105">
        <v>5901</v>
      </c>
      <c r="B395" s="104" t="s">
        <v>707</v>
      </c>
      <c r="C395" s="104" t="s">
        <v>249</v>
      </c>
      <c r="D395" s="129" t="s">
        <v>15122</v>
      </c>
    </row>
    <row r="396" spans="1:4">
      <c r="A396" s="105">
        <v>5909</v>
      </c>
      <c r="B396" s="104" t="s">
        <v>708</v>
      </c>
      <c r="C396" s="104" t="s">
        <v>249</v>
      </c>
      <c r="D396" s="129" t="s">
        <v>15123</v>
      </c>
    </row>
    <row r="397" spans="1:4">
      <c r="A397" s="105">
        <v>5921</v>
      </c>
      <c r="B397" s="104" t="s">
        <v>709</v>
      </c>
      <c r="C397" s="104" t="s">
        <v>249</v>
      </c>
      <c r="D397" s="129" t="s">
        <v>15124</v>
      </c>
    </row>
    <row r="398" spans="1:4">
      <c r="A398" s="105">
        <v>5928</v>
      </c>
      <c r="B398" s="104" t="s">
        <v>251</v>
      </c>
      <c r="C398" s="104" t="s">
        <v>249</v>
      </c>
      <c r="D398" s="129" t="s">
        <v>15125</v>
      </c>
    </row>
    <row r="399" spans="1:4">
      <c r="A399" s="105">
        <v>5932</v>
      </c>
      <c r="B399" s="104" t="s">
        <v>710</v>
      </c>
      <c r="C399" s="104" t="s">
        <v>249</v>
      </c>
      <c r="D399" s="129" t="s">
        <v>15126</v>
      </c>
    </row>
    <row r="400" spans="1:4">
      <c r="A400" s="105">
        <v>5940</v>
      </c>
      <c r="B400" s="104" t="s">
        <v>711</v>
      </c>
      <c r="C400" s="104" t="s">
        <v>249</v>
      </c>
      <c r="D400" s="129" t="s">
        <v>15127</v>
      </c>
    </row>
    <row r="401" spans="1:4">
      <c r="A401" s="105">
        <v>5944</v>
      </c>
      <c r="B401" s="104" t="s">
        <v>712</v>
      </c>
      <c r="C401" s="104" t="s">
        <v>249</v>
      </c>
      <c r="D401" s="129" t="s">
        <v>15128</v>
      </c>
    </row>
    <row r="402" spans="1:4">
      <c r="A402" s="105">
        <v>5953</v>
      </c>
      <c r="B402" s="104" t="s">
        <v>713</v>
      </c>
      <c r="C402" s="104" t="s">
        <v>249</v>
      </c>
      <c r="D402" s="129" t="s">
        <v>15129</v>
      </c>
    </row>
    <row r="403" spans="1:4">
      <c r="A403" s="105">
        <v>6259</v>
      </c>
      <c r="B403" s="104" t="s">
        <v>714</v>
      </c>
      <c r="C403" s="104" t="s">
        <v>249</v>
      </c>
      <c r="D403" s="129" t="s">
        <v>15130</v>
      </c>
    </row>
    <row r="404" spans="1:4">
      <c r="A404" s="105">
        <v>6879</v>
      </c>
      <c r="B404" s="104" t="s">
        <v>715</v>
      </c>
      <c r="C404" s="104" t="s">
        <v>249</v>
      </c>
      <c r="D404" s="129" t="s">
        <v>15131</v>
      </c>
    </row>
    <row r="405" spans="1:4">
      <c r="A405" s="105">
        <v>7030</v>
      </c>
      <c r="B405" s="104" t="s">
        <v>716</v>
      </c>
      <c r="C405" s="104" t="s">
        <v>249</v>
      </c>
      <c r="D405" s="129" t="s">
        <v>15132</v>
      </c>
    </row>
    <row r="406" spans="1:4">
      <c r="A406" s="105">
        <v>7042</v>
      </c>
      <c r="B406" s="104" t="s">
        <v>717</v>
      </c>
      <c r="C406" s="104" t="s">
        <v>249</v>
      </c>
      <c r="D406" s="129" t="s">
        <v>15133</v>
      </c>
    </row>
    <row r="407" spans="1:4">
      <c r="A407" s="105">
        <v>7049</v>
      </c>
      <c r="B407" s="104" t="s">
        <v>718</v>
      </c>
      <c r="C407" s="104" t="s">
        <v>249</v>
      </c>
      <c r="D407" s="129" t="s">
        <v>15134</v>
      </c>
    </row>
    <row r="408" spans="1:4">
      <c r="A408" s="105">
        <v>67826</v>
      </c>
      <c r="B408" s="104" t="s">
        <v>719</v>
      </c>
      <c r="C408" s="104" t="s">
        <v>249</v>
      </c>
      <c r="D408" s="129" t="s">
        <v>15135</v>
      </c>
    </row>
    <row r="409" spans="1:4">
      <c r="A409" s="105">
        <v>73417</v>
      </c>
      <c r="B409" s="104" t="s">
        <v>720</v>
      </c>
      <c r="C409" s="104" t="s">
        <v>249</v>
      </c>
      <c r="D409" s="129" t="s">
        <v>15136</v>
      </c>
    </row>
    <row r="410" spans="1:4">
      <c r="A410" s="105">
        <v>73436</v>
      </c>
      <c r="B410" s="104" t="s">
        <v>721</v>
      </c>
      <c r="C410" s="104" t="s">
        <v>249</v>
      </c>
      <c r="D410" s="129" t="s">
        <v>15137</v>
      </c>
    </row>
    <row r="411" spans="1:4">
      <c r="A411" s="105">
        <v>73467</v>
      </c>
      <c r="B411" s="104" t="s">
        <v>722</v>
      </c>
      <c r="C411" s="104" t="s">
        <v>249</v>
      </c>
      <c r="D411" s="129" t="s">
        <v>15138</v>
      </c>
    </row>
    <row r="412" spans="1:4">
      <c r="A412" s="105">
        <v>73536</v>
      </c>
      <c r="B412" s="104" t="s">
        <v>723</v>
      </c>
      <c r="C412" s="104" t="s">
        <v>249</v>
      </c>
      <c r="D412" s="129" t="s">
        <v>15139</v>
      </c>
    </row>
    <row r="413" spans="1:4">
      <c r="A413" s="105">
        <v>83362</v>
      </c>
      <c r="B413" s="104" t="s">
        <v>724</v>
      </c>
      <c r="C413" s="104" t="s">
        <v>249</v>
      </c>
      <c r="D413" s="129" t="s">
        <v>15140</v>
      </c>
    </row>
    <row r="414" spans="1:4">
      <c r="A414" s="105">
        <v>83765</v>
      </c>
      <c r="B414" s="104" t="s">
        <v>725</v>
      </c>
      <c r="C414" s="104" t="s">
        <v>249</v>
      </c>
      <c r="D414" s="129" t="s">
        <v>15141</v>
      </c>
    </row>
    <row r="415" spans="1:4">
      <c r="A415" s="105">
        <v>87445</v>
      </c>
      <c r="B415" s="104" t="s">
        <v>726</v>
      </c>
      <c r="C415" s="104" t="s">
        <v>249</v>
      </c>
      <c r="D415" s="129" t="s">
        <v>15142</v>
      </c>
    </row>
    <row r="416" spans="1:4">
      <c r="A416" s="105">
        <v>88386</v>
      </c>
      <c r="B416" s="104" t="s">
        <v>727</v>
      </c>
      <c r="C416" s="104" t="s">
        <v>249</v>
      </c>
      <c r="D416" s="129" t="s">
        <v>15143</v>
      </c>
    </row>
    <row r="417" spans="1:4">
      <c r="A417" s="105">
        <v>88393</v>
      </c>
      <c r="B417" s="104" t="s">
        <v>728</v>
      </c>
      <c r="C417" s="104" t="s">
        <v>249</v>
      </c>
      <c r="D417" s="129" t="s">
        <v>15144</v>
      </c>
    </row>
    <row r="418" spans="1:4">
      <c r="A418" s="105">
        <v>88399</v>
      </c>
      <c r="B418" s="104" t="s">
        <v>729</v>
      </c>
      <c r="C418" s="104" t="s">
        <v>249</v>
      </c>
      <c r="D418" s="129" t="s">
        <v>15145</v>
      </c>
    </row>
    <row r="419" spans="1:4">
      <c r="A419" s="105">
        <v>88418</v>
      </c>
      <c r="B419" s="104" t="s">
        <v>730</v>
      </c>
      <c r="C419" s="104" t="s">
        <v>249</v>
      </c>
      <c r="D419" s="129" t="s">
        <v>15146</v>
      </c>
    </row>
    <row r="420" spans="1:4">
      <c r="A420" s="105">
        <v>88433</v>
      </c>
      <c r="B420" s="104" t="s">
        <v>731</v>
      </c>
      <c r="C420" s="104" t="s">
        <v>249</v>
      </c>
      <c r="D420" s="129" t="s">
        <v>15147</v>
      </c>
    </row>
    <row r="421" spans="1:4">
      <c r="A421" s="105">
        <v>88830</v>
      </c>
      <c r="B421" s="104" t="s">
        <v>732</v>
      </c>
      <c r="C421" s="104" t="s">
        <v>249</v>
      </c>
      <c r="D421" s="129" t="s">
        <v>15148</v>
      </c>
    </row>
    <row r="422" spans="1:4">
      <c r="A422" s="105">
        <v>88843</v>
      </c>
      <c r="B422" s="104" t="s">
        <v>733</v>
      </c>
      <c r="C422" s="104" t="s">
        <v>249</v>
      </c>
      <c r="D422" s="129" t="s">
        <v>15149</v>
      </c>
    </row>
    <row r="423" spans="1:4">
      <c r="A423" s="105">
        <v>88907</v>
      </c>
      <c r="B423" s="104" t="s">
        <v>734</v>
      </c>
      <c r="C423" s="104" t="s">
        <v>249</v>
      </c>
      <c r="D423" s="129" t="s">
        <v>15150</v>
      </c>
    </row>
    <row r="424" spans="1:4">
      <c r="A424" s="105">
        <v>89021</v>
      </c>
      <c r="B424" s="104" t="s">
        <v>735</v>
      </c>
      <c r="C424" s="104" t="s">
        <v>249</v>
      </c>
      <c r="D424" s="129" t="s">
        <v>15151</v>
      </c>
    </row>
    <row r="425" spans="1:4">
      <c r="A425" s="105">
        <v>89028</v>
      </c>
      <c r="B425" s="104" t="s">
        <v>736</v>
      </c>
      <c r="C425" s="104" t="s">
        <v>249</v>
      </c>
      <c r="D425" s="129" t="s">
        <v>15152</v>
      </c>
    </row>
    <row r="426" spans="1:4">
      <c r="A426" s="105">
        <v>89032</v>
      </c>
      <c r="B426" s="104" t="s">
        <v>737</v>
      </c>
      <c r="C426" s="104" t="s">
        <v>249</v>
      </c>
      <c r="D426" s="129" t="s">
        <v>15153</v>
      </c>
    </row>
    <row r="427" spans="1:4">
      <c r="A427" s="105">
        <v>89035</v>
      </c>
      <c r="B427" s="104" t="s">
        <v>738</v>
      </c>
      <c r="C427" s="104" t="s">
        <v>249</v>
      </c>
      <c r="D427" s="129" t="s">
        <v>15154</v>
      </c>
    </row>
    <row r="428" spans="1:4">
      <c r="A428" s="105">
        <v>89225</v>
      </c>
      <c r="B428" s="104" t="s">
        <v>739</v>
      </c>
      <c r="C428" s="104" t="s">
        <v>249</v>
      </c>
      <c r="D428" s="129" t="s">
        <v>15155</v>
      </c>
    </row>
    <row r="429" spans="1:4">
      <c r="A429" s="105">
        <v>89234</v>
      </c>
      <c r="B429" s="104" t="s">
        <v>740</v>
      </c>
      <c r="C429" s="104" t="s">
        <v>249</v>
      </c>
      <c r="D429" s="129" t="s">
        <v>15156</v>
      </c>
    </row>
    <row r="430" spans="1:4">
      <c r="A430" s="105">
        <v>89242</v>
      </c>
      <c r="B430" s="104" t="s">
        <v>741</v>
      </c>
      <c r="C430" s="104" t="s">
        <v>249</v>
      </c>
      <c r="D430" s="129" t="s">
        <v>15157</v>
      </c>
    </row>
    <row r="431" spans="1:4">
      <c r="A431" s="105">
        <v>89250</v>
      </c>
      <c r="B431" s="104" t="s">
        <v>742</v>
      </c>
      <c r="C431" s="104" t="s">
        <v>249</v>
      </c>
      <c r="D431" s="129" t="s">
        <v>15158</v>
      </c>
    </row>
    <row r="432" spans="1:4">
      <c r="A432" s="105">
        <v>89257</v>
      </c>
      <c r="B432" s="104" t="s">
        <v>743</v>
      </c>
      <c r="C432" s="104" t="s">
        <v>249</v>
      </c>
      <c r="D432" s="129" t="s">
        <v>15159</v>
      </c>
    </row>
    <row r="433" spans="1:4">
      <c r="A433" s="105">
        <v>89272</v>
      </c>
      <c r="B433" s="104" t="s">
        <v>744</v>
      </c>
      <c r="C433" s="104" t="s">
        <v>249</v>
      </c>
      <c r="D433" s="129" t="s">
        <v>15160</v>
      </c>
    </row>
    <row r="434" spans="1:4">
      <c r="A434" s="105">
        <v>89278</v>
      </c>
      <c r="B434" s="104" t="s">
        <v>745</v>
      </c>
      <c r="C434" s="104" t="s">
        <v>249</v>
      </c>
      <c r="D434" s="129" t="s">
        <v>15161</v>
      </c>
    </row>
    <row r="435" spans="1:4">
      <c r="A435" s="105">
        <v>89843</v>
      </c>
      <c r="B435" s="104" t="s">
        <v>746</v>
      </c>
      <c r="C435" s="104" t="s">
        <v>249</v>
      </c>
      <c r="D435" s="129" t="s">
        <v>15162</v>
      </c>
    </row>
    <row r="436" spans="1:4">
      <c r="A436" s="105">
        <v>89876</v>
      </c>
      <c r="B436" s="104" t="s">
        <v>747</v>
      </c>
      <c r="C436" s="104" t="s">
        <v>249</v>
      </c>
      <c r="D436" s="129" t="s">
        <v>15163</v>
      </c>
    </row>
    <row r="437" spans="1:4">
      <c r="A437" s="105">
        <v>89883</v>
      </c>
      <c r="B437" s="104" t="s">
        <v>748</v>
      </c>
      <c r="C437" s="104" t="s">
        <v>249</v>
      </c>
      <c r="D437" s="129" t="s">
        <v>15164</v>
      </c>
    </row>
    <row r="438" spans="1:4">
      <c r="A438" s="105">
        <v>90586</v>
      </c>
      <c r="B438" s="104" t="s">
        <v>749</v>
      </c>
      <c r="C438" s="104" t="s">
        <v>249</v>
      </c>
      <c r="D438" s="129" t="s">
        <v>15165</v>
      </c>
    </row>
    <row r="439" spans="1:4">
      <c r="A439" s="105">
        <v>90625</v>
      </c>
      <c r="B439" s="104" t="s">
        <v>750</v>
      </c>
      <c r="C439" s="104" t="s">
        <v>249</v>
      </c>
      <c r="D439" s="129" t="s">
        <v>15166</v>
      </c>
    </row>
    <row r="440" spans="1:4">
      <c r="A440" s="105">
        <v>90631</v>
      </c>
      <c r="B440" s="104" t="s">
        <v>751</v>
      </c>
      <c r="C440" s="104" t="s">
        <v>249</v>
      </c>
      <c r="D440" s="129" t="s">
        <v>15167</v>
      </c>
    </row>
    <row r="441" spans="1:4">
      <c r="A441" s="105">
        <v>90637</v>
      </c>
      <c r="B441" s="104" t="s">
        <v>752</v>
      </c>
      <c r="C441" s="104" t="s">
        <v>249</v>
      </c>
      <c r="D441" s="129" t="s">
        <v>15168</v>
      </c>
    </row>
    <row r="442" spans="1:4">
      <c r="A442" s="105">
        <v>90643</v>
      </c>
      <c r="B442" s="104" t="s">
        <v>753</v>
      </c>
      <c r="C442" s="104" t="s">
        <v>249</v>
      </c>
      <c r="D442" s="129" t="s">
        <v>15169</v>
      </c>
    </row>
    <row r="443" spans="1:4">
      <c r="A443" s="105">
        <v>90650</v>
      </c>
      <c r="B443" s="104" t="s">
        <v>754</v>
      </c>
      <c r="C443" s="104" t="s">
        <v>249</v>
      </c>
      <c r="D443" s="129" t="s">
        <v>15170</v>
      </c>
    </row>
    <row r="444" spans="1:4">
      <c r="A444" s="105">
        <v>90656</v>
      </c>
      <c r="B444" s="104" t="s">
        <v>755</v>
      </c>
      <c r="C444" s="104" t="s">
        <v>249</v>
      </c>
      <c r="D444" s="129" t="s">
        <v>15171</v>
      </c>
    </row>
    <row r="445" spans="1:4">
      <c r="A445" s="105">
        <v>90662</v>
      </c>
      <c r="B445" s="104" t="s">
        <v>756</v>
      </c>
      <c r="C445" s="104" t="s">
        <v>249</v>
      </c>
      <c r="D445" s="129" t="s">
        <v>15172</v>
      </c>
    </row>
    <row r="446" spans="1:4">
      <c r="A446" s="105">
        <v>90668</v>
      </c>
      <c r="B446" s="104" t="s">
        <v>757</v>
      </c>
      <c r="C446" s="104" t="s">
        <v>249</v>
      </c>
      <c r="D446" s="129" t="s">
        <v>15173</v>
      </c>
    </row>
    <row r="447" spans="1:4">
      <c r="A447" s="105">
        <v>90674</v>
      </c>
      <c r="B447" s="104" t="s">
        <v>758</v>
      </c>
      <c r="C447" s="104" t="s">
        <v>249</v>
      </c>
      <c r="D447" s="129" t="s">
        <v>15174</v>
      </c>
    </row>
    <row r="448" spans="1:4">
      <c r="A448" s="105">
        <v>90680</v>
      </c>
      <c r="B448" s="104" t="s">
        <v>759</v>
      </c>
      <c r="C448" s="104" t="s">
        <v>249</v>
      </c>
      <c r="D448" s="129" t="s">
        <v>15175</v>
      </c>
    </row>
    <row r="449" spans="1:4">
      <c r="A449" s="105">
        <v>90686</v>
      </c>
      <c r="B449" s="104" t="s">
        <v>760</v>
      </c>
      <c r="C449" s="104" t="s">
        <v>249</v>
      </c>
      <c r="D449" s="129" t="s">
        <v>15176</v>
      </c>
    </row>
    <row r="450" spans="1:4">
      <c r="A450" s="105">
        <v>90692</v>
      </c>
      <c r="B450" s="104" t="s">
        <v>761</v>
      </c>
      <c r="C450" s="104" t="s">
        <v>249</v>
      </c>
      <c r="D450" s="129" t="s">
        <v>15177</v>
      </c>
    </row>
    <row r="451" spans="1:4">
      <c r="A451" s="105">
        <v>90964</v>
      </c>
      <c r="B451" s="104" t="s">
        <v>762</v>
      </c>
      <c r="C451" s="104" t="s">
        <v>249</v>
      </c>
      <c r="D451" s="129" t="s">
        <v>15178</v>
      </c>
    </row>
    <row r="452" spans="1:4">
      <c r="A452" s="105">
        <v>90972</v>
      </c>
      <c r="B452" s="104" t="s">
        <v>763</v>
      </c>
      <c r="C452" s="104" t="s">
        <v>249</v>
      </c>
      <c r="D452" s="129" t="s">
        <v>15179</v>
      </c>
    </row>
    <row r="453" spans="1:4">
      <c r="A453" s="105">
        <v>90979</v>
      </c>
      <c r="B453" s="104" t="s">
        <v>764</v>
      </c>
      <c r="C453" s="104" t="s">
        <v>249</v>
      </c>
      <c r="D453" s="129" t="s">
        <v>15180</v>
      </c>
    </row>
    <row r="454" spans="1:4">
      <c r="A454" s="105">
        <v>90991</v>
      </c>
      <c r="B454" s="104" t="s">
        <v>765</v>
      </c>
      <c r="C454" s="104" t="s">
        <v>249</v>
      </c>
      <c r="D454" s="129" t="s">
        <v>15181</v>
      </c>
    </row>
    <row r="455" spans="1:4">
      <c r="A455" s="105">
        <v>90999</v>
      </c>
      <c r="B455" s="104" t="s">
        <v>766</v>
      </c>
      <c r="C455" s="104" t="s">
        <v>249</v>
      </c>
      <c r="D455" s="129" t="s">
        <v>15182</v>
      </c>
    </row>
    <row r="456" spans="1:4">
      <c r="A456" s="105">
        <v>91031</v>
      </c>
      <c r="B456" s="104" t="s">
        <v>767</v>
      </c>
      <c r="C456" s="104" t="s">
        <v>249</v>
      </c>
      <c r="D456" s="129" t="s">
        <v>15183</v>
      </c>
    </row>
    <row r="457" spans="1:4">
      <c r="A457" s="105">
        <v>91277</v>
      </c>
      <c r="B457" s="104" t="s">
        <v>768</v>
      </c>
      <c r="C457" s="104" t="s">
        <v>249</v>
      </c>
      <c r="D457" s="129" t="s">
        <v>15184</v>
      </c>
    </row>
    <row r="458" spans="1:4">
      <c r="A458" s="105">
        <v>91283</v>
      </c>
      <c r="B458" s="104" t="s">
        <v>769</v>
      </c>
      <c r="C458" s="104" t="s">
        <v>249</v>
      </c>
      <c r="D458" s="129" t="s">
        <v>15185</v>
      </c>
    </row>
    <row r="459" spans="1:4">
      <c r="A459" s="105">
        <v>91386</v>
      </c>
      <c r="B459" s="104" t="s">
        <v>770</v>
      </c>
      <c r="C459" s="104" t="s">
        <v>249</v>
      </c>
      <c r="D459" s="129" t="s">
        <v>15186</v>
      </c>
    </row>
    <row r="460" spans="1:4">
      <c r="A460" s="105">
        <v>91533</v>
      </c>
      <c r="B460" s="104" t="s">
        <v>771</v>
      </c>
      <c r="C460" s="104" t="s">
        <v>249</v>
      </c>
      <c r="D460" s="129" t="s">
        <v>15187</v>
      </c>
    </row>
    <row r="461" spans="1:4">
      <c r="A461" s="105">
        <v>91634</v>
      </c>
      <c r="B461" s="104" t="s">
        <v>772</v>
      </c>
      <c r="C461" s="104" t="s">
        <v>249</v>
      </c>
      <c r="D461" s="129" t="s">
        <v>15188</v>
      </c>
    </row>
    <row r="462" spans="1:4">
      <c r="A462" s="105">
        <v>91645</v>
      </c>
      <c r="B462" s="104" t="s">
        <v>773</v>
      </c>
      <c r="C462" s="104" t="s">
        <v>249</v>
      </c>
      <c r="D462" s="129" t="s">
        <v>15189</v>
      </c>
    </row>
    <row r="463" spans="1:4">
      <c r="A463" s="105">
        <v>91692</v>
      </c>
      <c r="B463" s="104" t="s">
        <v>774</v>
      </c>
      <c r="C463" s="104" t="s">
        <v>249</v>
      </c>
      <c r="D463" s="129" t="s">
        <v>15190</v>
      </c>
    </row>
    <row r="464" spans="1:4">
      <c r="A464" s="105">
        <v>92043</v>
      </c>
      <c r="B464" s="104" t="s">
        <v>775</v>
      </c>
      <c r="C464" s="104" t="s">
        <v>249</v>
      </c>
      <c r="D464" s="129" t="s">
        <v>15191</v>
      </c>
    </row>
    <row r="465" spans="1:4">
      <c r="A465" s="105">
        <v>92106</v>
      </c>
      <c r="B465" s="104" t="s">
        <v>776</v>
      </c>
      <c r="C465" s="104" t="s">
        <v>249</v>
      </c>
      <c r="D465" s="129" t="s">
        <v>15192</v>
      </c>
    </row>
    <row r="466" spans="1:4">
      <c r="A466" s="105">
        <v>92112</v>
      </c>
      <c r="B466" s="104" t="s">
        <v>777</v>
      </c>
      <c r="C466" s="104" t="s">
        <v>249</v>
      </c>
      <c r="D466" s="129" t="s">
        <v>15193</v>
      </c>
    </row>
    <row r="467" spans="1:4">
      <c r="A467" s="105">
        <v>92118</v>
      </c>
      <c r="B467" s="104" t="s">
        <v>778</v>
      </c>
      <c r="C467" s="104" t="s">
        <v>249</v>
      </c>
      <c r="D467" s="129" t="s">
        <v>15194</v>
      </c>
    </row>
    <row r="468" spans="1:4">
      <c r="A468" s="105">
        <v>92138</v>
      </c>
      <c r="B468" s="104" t="s">
        <v>779</v>
      </c>
      <c r="C468" s="104" t="s">
        <v>249</v>
      </c>
      <c r="D468" s="129" t="s">
        <v>15195</v>
      </c>
    </row>
    <row r="469" spans="1:4">
      <c r="A469" s="105">
        <v>92145</v>
      </c>
      <c r="B469" s="104" t="s">
        <v>780</v>
      </c>
      <c r="C469" s="104" t="s">
        <v>249</v>
      </c>
      <c r="D469" s="129" t="s">
        <v>15196</v>
      </c>
    </row>
    <row r="470" spans="1:4">
      <c r="A470" s="105">
        <v>92242</v>
      </c>
      <c r="B470" s="104" t="s">
        <v>781</v>
      </c>
      <c r="C470" s="104" t="s">
        <v>249</v>
      </c>
      <c r="D470" s="129" t="s">
        <v>15197</v>
      </c>
    </row>
    <row r="471" spans="1:4">
      <c r="A471" s="105">
        <v>92716</v>
      </c>
      <c r="B471" s="104" t="s">
        <v>253</v>
      </c>
      <c r="C471" s="104" t="s">
        <v>249</v>
      </c>
      <c r="D471" s="129" t="s">
        <v>15198</v>
      </c>
    </row>
    <row r="472" spans="1:4">
      <c r="A472" s="105">
        <v>92960</v>
      </c>
      <c r="B472" s="104" t="s">
        <v>782</v>
      </c>
      <c r="C472" s="104" t="s">
        <v>249</v>
      </c>
      <c r="D472" s="129" t="s">
        <v>15199</v>
      </c>
    </row>
    <row r="473" spans="1:4">
      <c r="A473" s="105">
        <v>92966</v>
      </c>
      <c r="B473" s="104" t="s">
        <v>783</v>
      </c>
      <c r="C473" s="104" t="s">
        <v>249</v>
      </c>
      <c r="D473" s="129" t="s">
        <v>15200</v>
      </c>
    </row>
    <row r="474" spans="1:4">
      <c r="A474" s="105">
        <v>93224</v>
      </c>
      <c r="B474" s="104" t="s">
        <v>784</v>
      </c>
      <c r="C474" s="104" t="s">
        <v>249</v>
      </c>
      <c r="D474" s="129" t="s">
        <v>15201</v>
      </c>
    </row>
    <row r="475" spans="1:4">
      <c r="A475" s="105">
        <v>93233</v>
      </c>
      <c r="B475" s="104" t="s">
        <v>785</v>
      </c>
      <c r="C475" s="104" t="s">
        <v>249</v>
      </c>
      <c r="D475" s="129" t="s">
        <v>15202</v>
      </c>
    </row>
    <row r="476" spans="1:4">
      <c r="A476" s="105">
        <v>93272</v>
      </c>
      <c r="B476" s="104" t="s">
        <v>786</v>
      </c>
      <c r="C476" s="104" t="s">
        <v>249</v>
      </c>
      <c r="D476" s="129" t="s">
        <v>15203</v>
      </c>
    </row>
    <row r="477" spans="1:4">
      <c r="A477" s="105">
        <v>93281</v>
      </c>
      <c r="B477" s="104" t="s">
        <v>787</v>
      </c>
      <c r="C477" s="104" t="s">
        <v>249</v>
      </c>
      <c r="D477" s="129" t="s">
        <v>15204</v>
      </c>
    </row>
    <row r="478" spans="1:4">
      <c r="A478" s="105">
        <v>93287</v>
      </c>
      <c r="B478" s="104" t="s">
        <v>788</v>
      </c>
      <c r="C478" s="104" t="s">
        <v>249</v>
      </c>
      <c r="D478" s="129" t="s">
        <v>15205</v>
      </c>
    </row>
    <row r="479" spans="1:4">
      <c r="A479" s="105">
        <v>93402</v>
      </c>
      <c r="B479" s="104" t="s">
        <v>789</v>
      </c>
      <c r="C479" s="104" t="s">
        <v>249</v>
      </c>
      <c r="D479" s="129" t="s">
        <v>15206</v>
      </c>
    </row>
    <row r="480" spans="1:4">
      <c r="A480" s="105">
        <v>93408</v>
      </c>
      <c r="B480" s="104" t="s">
        <v>790</v>
      </c>
      <c r="C480" s="104" t="s">
        <v>249</v>
      </c>
      <c r="D480" s="129" t="s">
        <v>15207</v>
      </c>
    </row>
    <row r="481" spans="1:4">
      <c r="A481" s="105">
        <v>93415</v>
      </c>
      <c r="B481" s="104" t="s">
        <v>791</v>
      </c>
      <c r="C481" s="104" t="s">
        <v>249</v>
      </c>
      <c r="D481" s="129" t="s">
        <v>15208</v>
      </c>
    </row>
    <row r="482" spans="1:4">
      <c r="A482" s="105">
        <v>93421</v>
      </c>
      <c r="B482" s="104" t="s">
        <v>792</v>
      </c>
      <c r="C482" s="104" t="s">
        <v>249</v>
      </c>
      <c r="D482" s="129" t="s">
        <v>15209</v>
      </c>
    </row>
    <row r="483" spans="1:4">
      <c r="A483" s="105">
        <v>93427</v>
      </c>
      <c r="B483" s="104" t="s">
        <v>793</v>
      </c>
      <c r="C483" s="104" t="s">
        <v>249</v>
      </c>
      <c r="D483" s="129" t="s">
        <v>15210</v>
      </c>
    </row>
    <row r="484" spans="1:4">
      <c r="A484" s="105">
        <v>93433</v>
      </c>
      <c r="B484" s="104" t="s">
        <v>794</v>
      </c>
      <c r="C484" s="104" t="s">
        <v>249</v>
      </c>
      <c r="D484" s="129" t="s">
        <v>15211</v>
      </c>
    </row>
    <row r="485" spans="1:4">
      <c r="A485" s="105">
        <v>93439</v>
      </c>
      <c r="B485" s="104" t="s">
        <v>795</v>
      </c>
      <c r="C485" s="104" t="s">
        <v>249</v>
      </c>
      <c r="D485" s="129" t="s">
        <v>15212</v>
      </c>
    </row>
    <row r="486" spans="1:4">
      <c r="A486" s="105">
        <v>95121</v>
      </c>
      <c r="B486" s="104" t="s">
        <v>796</v>
      </c>
      <c r="C486" s="104" t="s">
        <v>249</v>
      </c>
      <c r="D486" s="129" t="s">
        <v>15213</v>
      </c>
    </row>
    <row r="487" spans="1:4">
      <c r="A487" s="105">
        <v>95127</v>
      </c>
      <c r="B487" s="104" t="s">
        <v>797</v>
      </c>
      <c r="C487" s="104" t="s">
        <v>249</v>
      </c>
      <c r="D487" s="129" t="s">
        <v>15214</v>
      </c>
    </row>
    <row r="488" spans="1:4">
      <c r="A488" s="105">
        <v>95133</v>
      </c>
      <c r="B488" s="104" t="s">
        <v>798</v>
      </c>
      <c r="C488" s="104" t="s">
        <v>249</v>
      </c>
      <c r="D488" s="129" t="s">
        <v>15215</v>
      </c>
    </row>
    <row r="489" spans="1:4">
      <c r="A489" s="105">
        <v>95139</v>
      </c>
      <c r="B489" s="104" t="s">
        <v>799</v>
      </c>
      <c r="C489" s="104" t="s">
        <v>249</v>
      </c>
      <c r="D489" s="129" t="s">
        <v>15216</v>
      </c>
    </row>
    <row r="490" spans="1:4">
      <c r="A490" s="105">
        <v>95212</v>
      </c>
      <c r="B490" s="104" t="s">
        <v>800</v>
      </c>
      <c r="C490" s="104" t="s">
        <v>249</v>
      </c>
      <c r="D490" s="129" t="s">
        <v>15217</v>
      </c>
    </row>
    <row r="491" spans="1:4">
      <c r="A491" s="105">
        <v>95258</v>
      </c>
      <c r="B491" s="104" t="s">
        <v>801</v>
      </c>
      <c r="C491" s="104" t="s">
        <v>249</v>
      </c>
      <c r="D491" s="129" t="s">
        <v>15218</v>
      </c>
    </row>
    <row r="492" spans="1:4">
      <c r="A492" s="105">
        <v>95264</v>
      </c>
      <c r="B492" s="104" t="s">
        <v>802</v>
      </c>
      <c r="C492" s="104" t="s">
        <v>249</v>
      </c>
      <c r="D492" s="129" t="s">
        <v>15219</v>
      </c>
    </row>
    <row r="493" spans="1:4">
      <c r="A493" s="105">
        <v>95270</v>
      </c>
      <c r="B493" s="104" t="s">
        <v>803</v>
      </c>
      <c r="C493" s="104" t="s">
        <v>249</v>
      </c>
      <c r="D493" s="129" t="s">
        <v>15220</v>
      </c>
    </row>
    <row r="494" spans="1:4">
      <c r="A494" s="105">
        <v>95276</v>
      </c>
      <c r="B494" s="104" t="s">
        <v>804</v>
      </c>
      <c r="C494" s="104" t="s">
        <v>249</v>
      </c>
      <c r="D494" s="129" t="s">
        <v>15221</v>
      </c>
    </row>
    <row r="495" spans="1:4">
      <c r="A495" s="105">
        <v>95282</v>
      </c>
      <c r="B495" s="104" t="s">
        <v>805</v>
      </c>
      <c r="C495" s="104" t="s">
        <v>249</v>
      </c>
      <c r="D495" s="129" t="s">
        <v>15222</v>
      </c>
    </row>
    <row r="496" spans="1:4">
      <c r="A496" s="105">
        <v>95620</v>
      </c>
      <c r="B496" s="104" t="s">
        <v>806</v>
      </c>
      <c r="C496" s="104" t="s">
        <v>249</v>
      </c>
      <c r="D496" s="129" t="s">
        <v>15223</v>
      </c>
    </row>
    <row r="497" spans="1:4">
      <c r="A497" s="105">
        <v>95631</v>
      </c>
      <c r="B497" s="104" t="s">
        <v>807</v>
      </c>
      <c r="C497" s="104" t="s">
        <v>249</v>
      </c>
      <c r="D497" s="129" t="s">
        <v>15224</v>
      </c>
    </row>
    <row r="498" spans="1:4">
      <c r="A498" s="105">
        <v>95702</v>
      </c>
      <c r="B498" s="104" t="s">
        <v>808</v>
      </c>
      <c r="C498" s="104" t="s">
        <v>249</v>
      </c>
      <c r="D498" s="129" t="s">
        <v>15225</v>
      </c>
    </row>
    <row r="499" spans="1:4">
      <c r="A499" s="105">
        <v>95708</v>
      </c>
      <c r="B499" s="104" t="s">
        <v>809</v>
      </c>
      <c r="C499" s="104" t="s">
        <v>249</v>
      </c>
      <c r="D499" s="129" t="s">
        <v>15226</v>
      </c>
    </row>
    <row r="500" spans="1:4">
      <c r="A500" s="105">
        <v>95714</v>
      </c>
      <c r="B500" s="104" t="s">
        <v>810</v>
      </c>
      <c r="C500" s="104" t="s">
        <v>249</v>
      </c>
      <c r="D500" s="129" t="s">
        <v>15227</v>
      </c>
    </row>
    <row r="501" spans="1:4">
      <c r="A501" s="105">
        <v>95720</v>
      </c>
      <c r="B501" s="104" t="s">
        <v>811</v>
      </c>
      <c r="C501" s="104" t="s">
        <v>249</v>
      </c>
      <c r="D501" s="129" t="s">
        <v>15228</v>
      </c>
    </row>
    <row r="502" spans="1:4">
      <c r="A502" s="105">
        <v>95872</v>
      </c>
      <c r="B502" s="104" t="s">
        <v>812</v>
      </c>
      <c r="C502" s="104" t="s">
        <v>249</v>
      </c>
      <c r="D502" s="129" t="s">
        <v>15229</v>
      </c>
    </row>
    <row r="503" spans="1:4">
      <c r="A503" s="105">
        <v>96013</v>
      </c>
      <c r="B503" s="104" t="s">
        <v>813</v>
      </c>
      <c r="C503" s="104" t="s">
        <v>249</v>
      </c>
      <c r="D503" s="129" t="s">
        <v>15230</v>
      </c>
    </row>
    <row r="504" spans="1:4">
      <c r="A504" s="105">
        <v>96020</v>
      </c>
      <c r="B504" s="104" t="s">
        <v>814</v>
      </c>
      <c r="C504" s="104" t="s">
        <v>249</v>
      </c>
      <c r="D504" s="129" t="s">
        <v>15231</v>
      </c>
    </row>
    <row r="505" spans="1:4">
      <c r="A505" s="105">
        <v>96028</v>
      </c>
      <c r="B505" s="104" t="s">
        <v>815</v>
      </c>
      <c r="C505" s="104" t="s">
        <v>249</v>
      </c>
      <c r="D505" s="129" t="s">
        <v>15232</v>
      </c>
    </row>
    <row r="506" spans="1:4">
      <c r="A506" s="105">
        <v>96035</v>
      </c>
      <c r="B506" s="104" t="s">
        <v>816</v>
      </c>
      <c r="C506" s="104" t="s">
        <v>249</v>
      </c>
      <c r="D506" s="129" t="s">
        <v>15233</v>
      </c>
    </row>
    <row r="507" spans="1:4">
      <c r="A507" s="105">
        <v>96157</v>
      </c>
      <c r="B507" s="104" t="s">
        <v>817</v>
      </c>
      <c r="C507" s="104" t="s">
        <v>249</v>
      </c>
      <c r="D507" s="129" t="s">
        <v>15234</v>
      </c>
    </row>
    <row r="508" spans="1:4">
      <c r="A508" s="105">
        <v>96158</v>
      </c>
      <c r="B508" s="104" t="s">
        <v>818</v>
      </c>
      <c r="C508" s="104" t="s">
        <v>249</v>
      </c>
      <c r="D508" s="129" t="s">
        <v>15235</v>
      </c>
    </row>
    <row r="509" spans="1:4">
      <c r="A509" s="105">
        <v>96245</v>
      </c>
      <c r="B509" s="104" t="s">
        <v>819</v>
      </c>
      <c r="C509" s="104" t="s">
        <v>249</v>
      </c>
      <c r="D509" s="129" t="s">
        <v>15236</v>
      </c>
    </row>
    <row r="510" spans="1:4">
      <c r="A510" s="105">
        <v>96463</v>
      </c>
      <c r="B510" s="104" t="s">
        <v>820</v>
      </c>
      <c r="C510" s="104" t="s">
        <v>249</v>
      </c>
      <c r="D510" s="129" t="s">
        <v>15237</v>
      </c>
    </row>
    <row r="511" spans="1:4">
      <c r="A511" s="105">
        <v>98764</v>
      </c>
      <c r="B511" s="104" t="s">
        <v>821</v>
      </c>
      <c r="C511" s="104" t="s">
        <v>249</v>
      </c>
      <c r="D511" s="129" t="s">
        <v>15238</v>
      </c>
    </row>
    <row r="512" spans="1:4">
      <c r="A512" s="105">
        <v>99833</v>
      </c>
      <c r="B512" s="104" t="s">
        <v>822</v>
      </c>
      <c r="C512" s="104" t="s">
        <v>249</v>
      </c>
      <c r="D512" s="129" t="s">
        <v>15239</v>
      </c>
    </row>
    <row r="513" spans="1:4">
      <c r="A513" s="105">
        <v>100641</v>
      </c>
      <c r="B513" s="104" t="s">
        <v>823</v>
      </c>
      <c r="C513" s="104" t="s">
        <v>249</v>
      </c>
      <c r="D513" s="129" t="s">
        <v>15240</v>
      </c>
    </row>
    <row r="514" spans="1:4">
      <c r="A514" s="105">
        <v>100647</v>
      </c>
      <c r="B514" s="104" t="s">
        <v>824</v>
      </c>
      <c r="C514" s="104" t="s">
        <v>249</v>
      </c>
      <c r="D514" s="129" t="s">
        <v>15241</v>
      </c>
    </row>
    <row r="515" spans="1:4">
      <c r="A515" s="105">
        <v>102275</v>
      </c>
      <c r="B515" s="104" t="s">
        <v>825</v>
      </c>
      <c r="C515" s="104" t="s">
        <v>249</v>
      </c>
      <c r="D515" s="129" t="s">
        <v>15242</v>
      </c>
    </row>
    <row r="516" spans="1:4">
      <c r="A516" s="105">
        <v>5632</v>
      </c>
      <c r="B516" s="104" t="s">
        <v>826</v>
      </c>
      <c r="C516" s="104" t="s">
        <v>827</v>
      </c>
      <c r="D516" s="129" t="s">
        <v>15243</v>
      </c>
    </row>
    <row r="517" spans="1:4">
      <c r="A517" s="105">
        <v>5679</v>
      </c>
      <c r="B517" s="104" t="s">
        <v>828</v>
      </c>
      <c r="C517" s="104" t="s">
        <v>827</v>
      </c>
      <c r="D517" s="129" t="s">
        <v>15244</v>
      </c>
    </row>
    <row r="518" spans="1:4">
      <c r="A518" s="105">
        <v>5681</v>
      </c>
      <c r="B518" s="104" t="s">
        <v>829</v>
      </c>
      <c r="C518" s="104" t="s">
        <v>827</v>
      </c>
      <c r="D518" s="129" t="s">
        <v>15245</v>
      </c>
    </row>
    <row r="519" spans="1:4">
      <c r="A519" s="105">
        <v>5685</v>
      </c>
      <c r="B519" s="104" t="s">
        <v>830</v>
      </c>
      <c r="C519" s="104" t="s">
        <v>827</v>
      </c>
      <c r="D519" s="129" t="s">
        <v>15246</v>
      </c>
    </row>
    <row r="520" spans="1:4">
      <c r="A520" s="105">
        <v>5690</v>
      </c>
      <c r="B520" s="104" t="s">
        <v>831</v>
      </c>
      <c r="C520" s="104" t="s">
        <v>827</v>
      </c>
      <c r="D520" s="129" t="s">
        <v>15247</v>
      </c>
    </row>
    <row r="521" spans="1:4">
      <c r="A521" s="105">
        <v>5806</v>
      </c>
      <c r="B521" s="104" t="s">
        <v>832</v>
      </c>
      <c r="C521" s="104" t="s">
        <v>827</v>
      </c>
      <c r="D521" s="129" t="s">
        <v>15248</v>
      </c>
    </row>
    <row r="522" spans="1:4">
      <c r="A522" s="105">
        <v>5826</v>
      </c>
      <c r="B522" s="104" t="s">
        <v>833</v>
      </c>
      <c r="C522" s="104" t="s">
        <v>827</v>
      </c>
      <c r="D522" s="129" t="s">
        <v>15249</v>
      </c>
    </row>
    <row r="523" spans="1:4">
      <c r="A523" s="105">
        <v>5829</v>
      </c>
      <c r="B523" s="104" t="s">
        <v>834</v>
      </c>
      <c r="C523" s="104" t="s">
        <v>827</v>
      </c>
      <c r="D523" s="129" t="s">
        <v>15250</v>
      </c>
    </row>
    <row r="524" spans="1:4">
      <c r="A524" s="105">
        <v>5837</v>
      </c>
      <c r="B524" s="104" t="s">
        <v>835</v>
      </c>
      <c r="C524" s="104" t="s">
        <v>827</v>
      </c>
      <c r="D524" s="129" t="s">
        <v>15251</v>
      </c>
    </row>
    <row r="525" spans="1:4">
      <c r="A525" s="105">
        <v>5841</v>
      </c>
      <c r="B525" s="104" t="s">
        <v>836</v>
      </c>
      <c r="C525" s="104" t="s">
        <v>827</v>
      </c>
      <c r="D525" s="129" t="s">
        <v>15252</v>
      </c>
    </row>
    <row r="526" spans="1:4">
      <c r="A526" s="105">
        <v>5845</v>
      </c>
      <c r="B526" s="104" t="s">
        <v>837</v>
      </c>
      <c r="C526" s="104" t="s">
        <v>827</v>
      </c>
      <c r="D526" s="129" t="s">
        <v>15253</v>
      </c>
    </row>
    <row r="527" spans="1:4">
      <c r="A527" s="105">
        <v>5849</v>
      </c>
      <c r="B527" s="104" t="s">
        <v>838</v>
      </c>
      <c r="C527" s="104" t="s">
        <v>827</v>
      </c>
      <c r="D527" s="129" t="s">
        <v>15254</v>
      </c>
    </row>
    <row r="528" spans="1:4">
      <c r="A528" s="105">
        <v>5853</v>
      </c>
      <c r="B528" s="104" t="s">
        <v>839</v>
      </c>
      <c r="C528" s="104" t="s">
        <v>827</v>
      </c>
      <c r="D528" s="129" t="s">
        <v>15255</v>
      </c>
    </row>
    <row r="529" spans="1:4">
      <c r="A529" s="105">
        <v>5857</v>
      </c>
      <c r="B529" s="104" t="s">
        <v>840</v>
      </c>
      <c r="C529" s="104" t="s">
        <v>827</v>
      </c>
      <c r="D529" s="129" t="s">
        <v>15256</v>
      </c>
    </row>
    <row r="530" spans="1:4">
      <c r="A530" s="105">
        <v>5865</v>
      </c>
      <c r="B530" s="104" t="s">
        <v>841</v>
      </c>
      <c r="C530" s="104" t="s">
        <v>827</v>
      </c>
      <c r="D530" s="129" t="s">
        <v>15257</v>
      </c>
    </row>
    <row r="531" spans="1:4">
      <c r="A531" s="105">
        <v>5869</v>
      </c>
      <c r="B531" s="104" t="s">
        <v>842</v>
      </c>
      <c r="C531" s="104" t="s">
        <v>827</v>
      </c>
      <c r="D531" s="129" t="s">
        <v>15258</v>
      </c>
    </row>
    <row r="532" spans="1:4">
      <c r="A532" s="105">
        <v>5877</v>
      </c>
      <c r="B532" s="104" t="s">
        <v>843</v>
      </c>
      <c r="C532" s="104" t="s">
        <v>827</v>
      </c>
      <c r="D532" s="129" t="s">
        <v>15259</v>
      </c>
    </row>
    <row r="533" spans="1:4">
      <c r="A533" s="105">
        <v>5881</v>
      </c>
      <c r="B533" s="104" t="s">
        <v>844</v>
      </c>
      <c r="C533" s="104" t="s">
        <v>827</v>
      </c>
      <c r="D533" s="129" t="s">
        <v>15260</v>
      </c>
    </row>
    <row r="534" spans="1:4">
      <c r="A534" s="105">
        <v>5884</v>
      </c>
      <c r="B534" s="104" t="s">
        <v>845</v>
      </c>
      <c r="C534" s="104" t="s">
        <v>827</v>
      </c>
      <c r="D534" s="129" t="s">
        <v>15261</v>
      </c>
    </row>
    <row r="535" spans="1:4">
      <c r="A535" s="105">
        <v>5892</v>
      </c>
      <c r="B535" s="104" t="s">
        <v>846</v>
      </c>
      <c r="C535" s="104" t="s">
        <v>827</v>
      </c>
      <c r="D535" s="129" t="s">
        <v>15262</v>
      </c>
    </row>
    <row r="536" spans="1:4">
      <c r="A536" s="105">
        <v>5896</v>
      </c>
      <c r="B536" s="104" t="s">
        <v>847</v>
      </c>
      <c r="C536" s="104" t="s">
        <v>827</v>
      </c>
      <c r="D536" s="129" t="s">
        <v>15263</v>
      </c>
    </row>
    <row r="537" spans="1:4">
      <c r="A537" s="105">
        <v>5903</v>
      </c>
      <c r="B537" s="104" t="s">
        <v>848</v>
      </c>
      <c r="C537" s="104" t="s">
        <v>827</v>
      </c>
      <c r="D537" s="129" t="s">
        <v>15264</v>
      </c>
    </row>
    <row r="538" spans="1:4">
      <c r="A538" s="105">
        <v>5911</v>
      </c>
      <c r="B538" s="104" t="s">
        <v>849</v>
      </c>
      <c r="C538" s="104" t="s">
        <v>827</v>
      </c>
      <c r="D538" s="129" t="s">
        <v>15265</v>
      </c>
    </row>
    <row r="539" spans="1:4">
      <c r="A539" s="105">
        <v>5923</v>
      </c>
      <c r="B539" s="104" t="s">
        <v>850</v>
      </c>
      <c r="C539" s="104" t="s">
        <v>827</v>
      </c>
      <c r="D539" s="129" t="s">
        <v>15266</v>
      </c>
    </row>
    <row r="540" spans="1:4">
      <c r="A540" s="105">
        <v>5930</v>
      </c>
      <c r="B540" s="104" t="s">
        <v>851</v>
      </c>
      <c r="C540" s="104" t="s">
        <v>827</v>
      </c>
      <c r="D540" s="129" t="s">
        <v>15267</v>
      </c>
    </row>
    <row r="541" spans="1:4">
      <c r="A541" s="105">
        <v>5934</v>
      </c>
      <c r="B541" s="104" t="s">
        <v>852</v>
      </c>
      <c r="C541" s="104" t="s">
        <v>827</v>
      </c>
      <c r="D541" s="129" t="s">
        <v>15268</v>
      </c>
    </row>
    <row r="542" spans="1:4">
      <c r="A542" s="105">
        <v>5942</v>
      </c>
      <c r="B542" s="104" t="s">
        <v>853</v>
      </c>
      <c r="C542" s="104" t="s">
        <v>827</v>
      </c>
      <c r="D542" s="129" t="s">
        <v>15269</v>
      </c>
    </row>
    <row r="543" spans="1:4">
      <c r="A543" s="105">
        <v>5946</v>
      </c>
      <c r="B543" s="104" t="s">
        <v>854</v>
      </c>
      <c r="C543" s="104" t="s">
        <v>827</v>
      </c>
      <c r="D543" s="129" t="s">
        <v>15270</v>
      </c>
    </row>
    <row r="544" spans="1:4">
      <c r="A544" s="105">
        <v>5952</v>
      </c>
      <c r="B544" s="104" t="s">
        <v>855</v>
      </c>
      <c r="C544" s="104" t="s">
        <v>827</v>
      </c>
      <c r="D544" s="129" t="s">
        <v>15271</v>
      </c>
    </row>
    <row r="545" spans="1:4">
      <c r="A545" s="105">
        <v>5954</v>
      </c>
      <c r="B545" s="104" t="s">
        <v>856</v>
      </c>
      <c r="C545" s="104" t="s">
        <v>827</v>
      </c>
      <c r="D545" s="129" t="s">
        <v>15272</v>
      </c>
    </row>
    <row r="546" spans="1:4">
      <c r="A546" s="105">
        <v>5961</v>
      </c>
      <c r="B546" s="104" t="s">
        <v>857</v>
      </c>
      <c r="C546" s="104" t="s">
        <v>827</v>
      </c>
      <c r="D546" s="129" t="s">
        <v>15273</v>
      </c>
    </row>
    <row r="547" spans="1:4">
      <c r="A547" s="105">
        <v>6260</v>
      </c>
      <c r="B547" s="104" t="s">
        <v>858</v>
      </c>
      <c r="C547" s="104" t="s">
        <v>827</v>
      </c>
      <c r="D547" s="129" t="s">
        <v>15274</v>
      </c>
    </row>
    <row r="548" spans="1:4">
      <c r="A548" s="105">
        <v>6880</v>
      </c>
      <c r="B548" s="104" t="s">
        <v>859</v>
      </c>
      <c r="C548" s="104" t="s">
        <v>827</v>
      </c>
      <c r="D548" s="129" t="s">
        <v>15275</v>
      </c>
    </row>
    <row r="549" spans="1:4">
      <c r="A549" s="105">
        <v>7031</v>
      </c>
      <c r="B549" s="104" t="s">
        <v>860</v>
      </c>
      <c r="C549" s="104" t="s">
        <v>827</v>
      </c>
      <c r="D549" s="129" t="s">
        <v>15276</v>
      </c>
    </row>
    <row r="550" spans="1:4">
      <c r="A550" s="105">
        <v>7043</v>
      </c>
      <c r="B550" s="104" t="s">
        <v>861</v>
      </c>
      <c r="C550" s="104" t="s">
        <v>827</v>
      </c>
      <c r="D550" s="129" t="s">
        <v>15277</v>
      </c>
    </row>
    <row r="551" spans="1:4">
      <c r="A551" s="105">
        <v>7050</v>
      </c>
      <c r="B551" s="104" t="s">
        <v>862</v>
      </c>
      <c r="C551" s="104" t="s">
        <v>827</v>
      </c>
      <c r="D551" s="129" t="s">
        <v>15278</v>
      </c>
    </row>
    <row r="552" spans="1:4">
      <c r="A552" s="105">
        <v>67827</v>
      </c>
      <c r="B552" s="104" t="s">
        <v>863</v>
      </c>
      <c r="C552" s="104" t="s">
        <v>827</v>
      </c>
      <c r="D552" s="129" t="s">
        <v>15279</v>
      </c>
    </row>
    <row r="553" spans="1:4">
      <c r="A553" s="105">
        <v>73395</v>
      </c>
      <c r="B553" s="104" t="s">
        <v>864</v>
      </c>
      <c r="C553" s="104" t="s">
        <v>827</v>
      </c>
      <c r="D553" s="129" t="s">
        <v>15280</v>
      </c>
    </row>
    <row r="554" spans="1:4">
      <c r="A554" s="105">
        <v>83766</v>
      </c>
      <c r="B554" s="104" t="s">
        <v>865</v>
      </c>
      <c r="C554" s="104" t="s">
        <v>827</v>
      </c>
      <c r="D554" s="129" t="s">
        <v>15281</v>
      </c>
    </row>
    <row r="555" spans="1:4">
      <c r="A555" s="105">
        <v>84013</v>
      </c>
      <c r="B555" s="104" t="s">
        <v>866</v>
      </c>
      <c r="C555" s="104" t="s">
        <v>827</v>
      </c>
      <c r="D555" s="129" t="s">
        <v>15282</v>
      </c>
    </row>
    <row r="556" spans="1:4">
      <c r="A556" s="105">
        <v>87446</v>
      </c>
      <c r="B556" s="104" t="s">
        <v>867</v>
      </c>
      <c r="C556" s="104" t="s">
        <v>827</v>
      </c>
      <c r="D556" s="129" t="s">
        <v>15283</v>
      </c>
    </row>
    <row r="557" spans="1:4">
      <c r="A557" s="105">
        <v>88392</v>
      </c>
      <c r="B557" s="104" t="s">
        <v>868</v>
      </c>
      <c r="C557" s="104" t="s">
        <v>827</v>
      </c>
      <c r="D557" s="129" t="s">
        <v>15284</v>
      </c>
    </row>
    <row r="558" spans="1:4">
      <c r="A558" s="105">
        <v>88398</v>
      </c>
      <c r="B558" s="104" t="s">
        <v>869</v>
      </c>
      <c r="C558" s="104" t="s">
        <v>827</v>
      </c>
      <c r="D558" s="129" t="s">
        <v>15285</v>
      </c>
    </row>
    <row r="559" spans="1:4">
      <c r="A559" s="105">
        <v>88404</v>
      </c>
      <c r="B559" s="104" t="s">
        <v>870</v>
      </c>
      <c r="C559" s="104" t="s">
        <v>827</v>
      </c>
      <c r="D559" s="129" t="s">
        <v>15286</v>
      </c>
    </row>
    <row r="560" spans="1:4">
      <c r="A560" s="105">
        <v>88430</v>
      </c>
      <c r="B560" s="104" t="s">
        <v>871</v>
      </c>
      <c r="C560" s="104" t="s">
        <v>827</v>
      </c>
      <c r="D560" s="129" t="s">
        <v>15287</v>
      </c>
    </row>
    <row r="561" spans="1:4">
      <c r="A561" s="105">
        <v>88438</v>
      </c>
      <c r="B561" s="104" t="s">
        <v>872</v>
      </c>
      <c r="C561" s="104" t="s">
        <v>827</v>
      </c>
      <c r="D561" s="129" t="s">
        <v>15288</v>
      </c>
    </row>
    <row r="562" spans="1:4">
      <c r="A562" s="105">
        <v>88831</v>
      </c>
      <c r="B562" s="104" t="s">
        <v>873</v>
      </c>
      <c r="C562" s="104" t="s">
        <v>827</v>
      </c>
      <c r="D562" s="129" t="s">
        <v>15289</v>
      </c>
    </row>
    <row r="563" spans="1:4">
      <c r="A563" s="105">
        <v>88844</v>
      </c>
      <c r="B563" s="104" t="s">
        <v>874</v>
      </c>
      <c r="C563" s="104" t="s">
        <v>827</v>
      </c>
      <c r="D563" s="129" t="s">
        <v>15290</v>
      </c>
    </row>
    <row r="564" spans="1:4">
      <c r="A564" s="105">
        <v>88908</v>
      </c>
      <c r="B564" s="104" t="s">
        <v>875</v>
      </c>
      <c r="C564" s="104" t="s">
        <v>827</v>
      </c>
      <c r="D564" s="129" t="s">
        <v>15291</v>
      </c>
    </row>
    <row r="565" spans="1:4">
      <c r="A565" s="105">
        <v>89022</v>
      </c>
      <c r="B565" s="104" t="s">
        <v>876</v>
      </c>
      <c r="C565" s="104" t="s">
        <v>827</v>
      </c>
      <c r="D565" s="129" t="s">
        <v>15292</v>
      </c>
    </row>
    <row r="566" spans="1:4">
      <c r="A566" s="105">
        <v>89027</v>
      </c>
      <c r="B566" s="104" t="s">
        <v>877</v>
      </c>
      <c r="C566" s="104" t="s">
        <v>827</v>
      </c>
      <c r="D566" s="129" t="s">
        <v>15293</v>
      </c>
    </row>
    <row r="567" spans="1:4">
      <c r="A567" s="105">
        <v>89031</v>
      </c>
      <c r="B567" s="104" t="s">
        <v>878</v>
      </c>
      <c r="C567" s="104" t="s">
        <v>827</v>
      </c>
      <c r="D567" s="129" t="s">
        <v>15294</v>
      </c>
    </row>
    <row r="568" spans="1:4">
      <c r="A568" s="105">
        <v>89036</v>
      </c>
      <c r="B568" s="104" t="s">
        <v>879</v>
      </c>
      <c r="C568" s="104" t="s">
        <v>827</v>
      </c>
      <c r="D568" s="129" t="s">
        <v>15295</v>
      </c>
    </row>
    <row r="569" spans="1:4">
      <c r="A569" s="105">
        <v>89218</v>
      </c>
      <c r="B569" s="104" t="s">
        <v>880</v>
      </c>
      <c r="C569" s="104" t="s">
        <v>827</v>
      </c>
      <c r="D569" s="129" t="s">
        <v>15296</v>
      </c>
    </row>
    <row r="570" spans="1:4">
      <c r="A570" s="105">
        <v>89226</v>
      </c>
      <c r="B570" s="104" t="s">
        <v>881</v>
      </c>
      <c r="C570" s="104" t="s">
        <v>827</v>
      </c>
      <c r="D570" s="129" t="s">
        <v>15297</v>
      </c>
    </row>
    <row r="571" spans="1:4">
      <c r="A571" s="105">
        <v>89235</v>
      </c>
      <c r="B571" s="104" t="s">
        <v>882</v>
      </c>
      <c r="C571" s="104" t="s">
        <v>827</v>
      </c>
      <c r="D571" s="129" t="s">
        <v>15298</v>
      </c>
    </row>
    <row r="572" spans="1:4">
      <c r="A572" s="105">
        <v>89243</v>
      </c>
      <c r="B572" s="104" t="s">
        <v>883</v>
      </c>
      <c r="C572" s="104" t="s">
        <v>827</v>
      </c>
      <c r="D572" s="129" t="s">
        <v>15299</v>
      </c>
    </row>
    <row r="573" spans="1:4">
      <c r="A573" s="105">
        <v>89251</v>
      </c>
      <c r="B573" s="104" t="s">
        <v>884</v>
      </c>
      <c r="C573" s="104" t="s">
        <v>827</v>
      </c>
      <c r="D573" s="129" t="s">
        <v>15300</v>
      </c>
    </row>
    <row r="574" spans="1:4">
      <c r="A574" s="105">
        <v>89258</v>
      </c>
      <c r="B574" s="104" t="s">
        <v>885</v>
      </c>
      <c r="C574" s="104" t="s">
        <v>827</v>
      </c>
      <c r="D574" s="129" t="s">
        <v>15301</v>
      </c>
    </row>
    <row r="575" spans="1:4">
      <c r="A575" s="105">
        <v>89273</v>
      </c>
      <c r="B575" s="104" t="s">
        <v>886</v>
      </c>
      <c r="C575" s="104" t="s">
        <v>827</v>
      </c>
      <c r="D575" s="129" t="s">
        <v>15302</v>
      </c>
    </row>
    <row r="576" spans="1:4">
      <c r="A576" s="105">
        <v>89279</v>
      </c>
      <c r="B576" s="104" t="s">
        <v>887</v>
      </c>
      <c r="C576" s="104" t="s">
        <v>827</v>
      </c>
      <c r="D576" s="129" t="s">
        <v>15303</v>
      </c>
    </row>
    <row r="577" spans="1:4">
      <c r="A577" s="105">
        <v>89877</v>
      </c>
      <c r="B577" s="104" t="s">
        <v>888</v>
      </c>
      <c r="C577" s="104" t="s">
        <v>827</v>
      </c>
      <c r="D577" s="129" t="s">
        <v>15304</v>
      </c>
    </row>
    <row r="578" spans="1:4">
      <c r="A578" s="105">
        <v>89884</v>
      </c>
      <c r="B578" s="104" t="s">
        <v>889</v>
      </c>
      <c r="C578" s="104" t="s">
        <v>827</v>
      </c>
      <c r="D578" s="129" t="s">
        <v>15305</v>
      </c>
    </row>
    <row r="579" spans="1:4">
      <c r="A579" s="105">
        <v>90587</v>
      </c>
      <c r="B579" s="104" t="s">
        <v>890</v>
      </c>
      <c r="C579" s="104" t="s">
        <v>827</v>
      </c>
      <c r="D579" s="129" t="s">
        <v>15306</v>
      </c>
    </row>
    <row r="580" spans="1:4">
      <c r="A580" s="105">
        <v>90626</v>
      </c>
      <c r="B580" s="104" t="s">
        <v>891</v>
      </c>
      <c r="C580" s="104" t="s">
        <v>827</v>
      </c>
      <c r="D580" s="129" t="s">
        <v>15307</v>
      </c>
    </row>
    <row r="581" spans="1:4">
      <c r="A581" s="105">
        <v>90632</v>
      </c>
      <c r="B581" s="104" t="s">
        <v>892</v>
      </c>
      <c r="C581" s="104" t="s">
        <v>827</v>
      </c>
      <c r="D581" s="129" t="s">
        <v>15308</v>
      </c>
    </row>
    <row r="582" spans="1:4">
      <c r="A582" s="105">
        <v>90638</v>
      </c>
      <c r="B582" s="104" t="s">
        <v>893</v>
      </c>
      <c r="C582" s="104" t="s">
        <v>827</v>
      </c>
      <c r="D582" s="129" t="s">
        <v>15023</v>
      </c>
    </row>
    <row r="583" spans="1:4">
      <c r="A583" s="105">
        <v>90644</v>
      </c>
      <c r="B583" s="104" t="s">
        <v>894</v>
      </c>
      <c r="C583" s="104" t="s">
        <v>827</v>
      </c>
      <c r="D583" s="129" t="s">
        <v>15309</v>
      </c>
    </row>
    <row r="584" spans="1:4">
      <c r="A584" s="105">
        <v>90651</v>
      </c>
      <c r="B584" s="104" t="s">
        <v>895</v>
      </c>
      <c r="C584" s="104" t="s">
        <v>827</v>
      </c>
      <c r="D584" s="129" t="s">
        <v>15310</v>
      </c>
    </row>
    <row r="585" spans="1:4">
      <c r="A585" s="105">
        <v>90657</v>
      </c>
      <c r="B585" s="104" t="s">
        <v>896</v>
      </c>
      <c r="C585" s="104" t="s">
        <v>827</v>
      </c>
      <c r="D585" s="129" t="s">
        <v>15311</v>
      </c>
    </row>
    <row r="586" spans="1:4">
      <c r="A586" s="105">
        <v>90663</v>
      </c>
      <c r="B586" s="104" t="s">
        <v>897</v>
      </c>
      <c r="C586" s="104" t="s">
        <v>827</v>
      </c>
      <c r="D586" s="129" t="s">
        <v>15312</v>
      </c>
    </row>
    <row r="587" spans="1:4">
      <c r="A587" s="105">
        <v>90669</v>
      </c>
      <c r="B587" s="104" t="s">
        <v>898</v>
      </c>
      <c r="C587" s="104" t="s">
        <v>827</v>
      </c>
      <c r="D587" s="129" t="s">
        <v>15313</v>
      </c>
    </row>
    <row r="588" spans="1:4">
      <c r="A588" s="105">
        <v>90675</v>
      </c>
      <c r="B588" s="104" t="s">
        <v>899</v>
      </c>
      <c r="C588" s="104" t="s">
        <v>827</v>
      </c>
      <c r="D588" s="129" t="s">
        <v>15314</v>
      </c>
    </row>
    <row r="589" spans="1:4">
      <c r="A589" s="105">
        <v>90681</v>
      </c>
      <c r="B589" s="104" t="s">
        <v>900</v>
      </c>
      <c r="C589" s="104" t="s">
        <v>827</v>
      </c>
      <c r="D589" s="129" t="s">
        <v>15315</v>
      </c>
    </row>
    <row r="590" spans="1:4">
      <c r="A590" s="105">
        <v>90687</v>
      </c>
      <c r="B590" s="104" t="s">
        <v>901</v>
      </c>
      <c r="C590" s="104" t="s">
        <v>827</v>
      </c>
      <c r="D590" s="129" t="s">
        <v>15316</v>
      </c>
    </row>
    <row r="591" spans="1:4">
      <c r="A591" s="105">
        <v>90693</v>
      </c>
      <c r="B591" s="104" t="s">
        <v>902</v>
      </c>
      <c r="C591" s="104" t="s">
        <v>827</v>
      </c>
      <c r="D591" s="129" t="s">
        <v>15317</v>
      </c>
    </row>
    <row r="592" spans="1:4">
      <c r="A592" s="105">
        <v>90965</v>
      </c>
      <c r="B592" s="104" t="s">
        <v>903</v>
      </c>
      <c r="C592" s="104" t="s">
        <v>827</v>
      </c>
      <c r="D592" s="129" t="s">
        <v>15318</v>
      </c>
    </row>
    <row r="593" spans="1:4">
      <c r="A593" s="105">
        <v>90973</v>
      </c>
      <c r="B593" s="104" t="s">
        <v>904</v>
      </c>
      <c r="C593" s="104" t="s">
        <v>827</v>
      </c>
      <c r="D593" s="129" t="s">
        <v>15319</v>
      </c>
    </row>
    <row r="594" spans="1:4">
      <c r="A594" s="105">
        <v>90982</v>
      </c>
      <c r="B594" s="104" t="s">
        <v>905</v>
      </c>
      <c r="C594" s="104" t="s">
        <v>827</v>
      </c>
      <c r="D594" s="129" t="s">
        <v>15320</v>
      </c>
    </row>
    <row r="595" spans="1:4">
      <c r="A595" s="105">
        <v>91001</v>
      </c>
      <c r="B595" s="104" t="s">
        <v>906</v>
      </c>
      <c r="C595" s="104" t="s">
        <v>827</v>
      </c>
      <c r="D595" s="129" t="s">
        <v>15321</v>
      </c>
    </row>
    <row r="596" spans="1:4">
      <c r="A596" s="105">
        <v>91032</v>
      </c>
      <c r="B596" s="104" t="s">
        <v>907</v>
      </c>
      <c r="C596" s="104" t="s">
        <v>827</v>
      </c>
      <c r="D596" s="129" t="s">
        <v>15322</v>
      </c>
    </row>
    <row r="597" spans="1:4">
      <c r="A597" s="105">
        <v>91278</v>
      </c>
      <c r="B597" s="104" t="s">
        <v>908</v>
      </c>
      <c r="C597" s="104" t="s">
        <v>827</v>
      </c>
      <c r="D597" s="129" t="s">
        <v>15323</v>
      </c>
    </row>
    <row r="598" spans="1:4">
      <c r="A598" s="105">
        <v>91285</v>
      </c>
      <c r="B598" s="104" t="s">
        <v>909</v>
      </c>
      <c r="C598" s="104" t="s">
        <v>827</v>
      </c>
      <c r="D598" s="129" t="s">
        <v>15324</v>
      </c>
    </row>
    <row r="599" spans="1:4">
      <c r="A599" s="105">
        <v>91387</v>
      </c>
      <c r="B599" s="104" t="s">
        <v>910</v>
      </c>
      <c r="C599" s="104" t="s">
        <v>827</v>
      </c>
      <c r="D599" s="129" t="s">
        <v>15325</v>
      </c>
    </row>
    <row r="600" spans="1:4">
      <c r="A600" s="105">
        <v>91395</v>
      </c>
      <c r="B600" s="104" t="s">
        <v>911</v>
      </c>
      <c r="C600" s="104" t="s">
        <v>827</v>
      </c>
      <c r="D600" s="129" t="s">
        <v>15326</v>
      </c>
    </row>
    <row r="601" spans="1:4">
      <c r="A601" s="105">
        <v>91486</v>
      </c>
      <c r="B601" s="104" t="s">
        <v>912</v>
      </c>
      <c r="C601" s="104" t="s">
        <v>827</v>
      </c>
      <c r="D601" s="129" t="s">
        <v>15327</v>
      </c>
    </row>
    <row r="602" spans="1:4">
      <c r="A602" s="105">
        <v>91534</v>
      </c>
      <c r="B602" s="104" t="s">
        <v>913</v>
      </c>
      <c r="C602" s="104" t="s">
        <v>827</v>
      </c>
      <c r="D602" s="129" t="s">
        <v>15328</v>
      </c>
    </row>
    <row r="603" spans="1:4">
      <c r="A603" s="105">
        <v>91635</v>
      </c>
      <c r="B603" s="104" t="s">
        <v>914</v>
      </c>
      <c r="C603" s="104" t="s">
        <v>827</v>
      </c>
      <c r="D603" s="129" t="s">
        <v>15329</v>
      </c>
    </row>
    <row r="604" spans="1:4">
      <c r="A604" s="105">
        <v>91646</v>
      </c>
      <c r="B604" s="104" t="s">
        <v>915</v>
      </c>
      <c r="C604" s="104" t="s">
        <v>827</v>
      </c>
      <c r="D604" s="129" t="s">
        <v>15330</v>
      </c>
    </row>
    <row r="605" spans="1:4">
      <c r="A605" s="105">
        <v>91693</v>
      </c>
      <c r="B605" s="104" t="s">
        <v>916</v>
      </c>
      <c r="C605" s="104" t="s">
        <v>827</v>
      </c>
      <c r="D605" s="129" t="s">
        <v>15331</v>
      </c>
    </row>
    <row r="606" spans="1:4">
      <c r="A606" s="105">
        <v>92044</v>
      </c>
      <c r="B606" s="104" t="s">
        <v>917</v>
      </c>
      <c r="C606" s="104" t="s">
        <v>827</v>
      </c>
      <c r="D606" s="129" t="s">
        <v>15332</v>
      </c>
    </row>
    <row r="607" spans="1:4">
      <c r="A607" s="105">
        <v>92107</v>
      </c>
      <c r="B607" s="104" t="s">
        <v>918</v>
      </c>
      <c r="C607" s="104" t="s">
        <v>827</v>
      </c>
      <c r="D607" s="129" t="s">
        <v>15129</v>
      </c>
    </row>
    <row r="608" spans="1:4">
      <c r="A608" s="105">
        <v>92113</v>
      </c>
      <c r="B608" s="104" t="s">
        <v>919</v>
      </c>
      <c r="C608" s="104" t="s">
        <v>827</v>
      </c>
      <c r="D608" s="129" t="s">
        <v>15333</v>
      </c>
    </row>
    <row r="609" spans="1:4">
      <c r="A609" s="105">
        <v>92119</v>
      </c>
      <c r="B609" s="104" t="s">
        <v>920</v>
      </c>
      <c r="C609" s="104" t="s">
        <v>827</v>
      </c>
      <c r="D609" s="129" t="s">
        <v>15334</v>
      </c>
    </row>
    <row r="610" spans="1:4">
      <c r="A610" s="105">
        <v>92139</v>
      </c>
      <c r="B610" s="104" t="s">
        <v>921</v>
      </c>
      <c r="C610" s="104" t="s">
        <v>827</v>
      </c>
      <c r="D610" s="129" t="s">
        <v>15335</v>
      </c>
    </row>
    <row r="611" spans="1:4">
      <c r="A611" s="105">
        <v>92146</v>
      </c>
      <c r="B611" s="104" t="s">
        <v>922</v>
      </c>
      <c r="C611" s="104" t="s">
        <v>827</v>
      </c>
      <c r="D611" s="129" t="s">
        <v>15336</v>
      </c>
    </row>
    <row r="612" spans="1:4">
      <c r="A612" s="105">
        <v>92243</v>
      </c>
      <c r="B612" s="104" t="s">
        <v>923</v>
      </c>
      <c r="C612" s="104" t="s">
        <v>827</v>
      </c>
      <c r="D612" s="129" t="s">
        <v>15337</v>
      </c>
    </row>
    <row r="613" spans="1:4">
      <c r="A613" s="105">
        <v>92717</v>
      </c>
      <c r="B613" s="104" t="s">
        <v>924</v>
      </c>
      <c r="C613" s="104" t="s">
        <v>827</v>
      </c>
      <c r="D613" s="129" t="s">
        <v>15338</v>
      </c>
    </row>
    <row r="614" spans="1:4">
      <c r="A614" s="105">
        <v>92961</v>
      </c>
      <c r="B614" s="104" t="s">
        <v>925</v>
      </c>
      <c r="C614" s="104" t="s">
        <v>827</v>
      </c>
      <c r="D614" s="129" t="s">
        <v>15339</v>
      </c>
    </row>
    <row r="615" spans="1:4">
      <c r="A615" s="105">
        <v>92967</v>
      </c>
      <c r="B615" s="104" t="s">
        <v>926</v>
      </c>
      <c r="C615" s="104" t="s">
        <v>827</v>
      </c>
      <c r="D615" s="129" t="s">
        <v>15340</v>
      </c>
    </row>
    <row r="616" spans="1:4">
      <c r="A616" s="105">
        <v>93225</v>
      </c>
      <c r="B616" s="104" t="s">
        <v>927</v>
      </c>
      <c r="C616" s="104" t="s">
        <v>827</v>
      </c>
      <c r="D616" s="129" t="s">
        <v>15341</v>
      </c>
    </row>
    <row r="617" spans="1:4">
      <c r="A617" s="105">
        <v>93234</v>
      </c>
      <c r="B617" s="104" t="s">
        <v>928</v>
      </c>
      <c r="C617" s="104" t="s">
        <v>827</v>
      </c>
      <c r="D617" s="129" t="s">
        <v>15342</v>
      </c>
    </row>
    <row r="618" spans="1:4">
      <c r="A618" s="105">
        <v>93244</v>
      </c>
      <c r="B618" s="104" t="s">
        <v>929</v>
      </c>
      <c r="C618" s="104" t="s">
        <v>827</v>
      </c>
      <c r="D618" s="129" t="s">
        <v>15343</v>
      </c>
    </row>
    <row r="619" spans="1:4">
      <c r="A619" s="105">
        <v>93274</v>
      </c>
      <c r="B619" s="104" t="s">
        <v>930</v>
      </c>
      <c r="C619" s="104" t="s">
        <v>827</v>
      </c>
      <c r="D619" s="129" t="s">
        <v>15344</v>
      </c>
    </row>
    <row r="620" spans="1:4">
      <c r="A620" s="105">
        <v>93282</v>
      </c>
      <c r="B620" s="104" t="s">
        <v>931</v>
      </c>
      <c r="C620" s="104" t="s">
        <v>827</v>
      </c>
      <c r="D620" s="129" t="s">
        <v>15345</v>
      </c>
    </row>
    <row r="621" spans="1:4">
      <c r="A621" s="105">
        <v>93288</v>
      </c>
      <c r="B621" s="104" t="s">
        <v>932</v>
      </c>
      <c r="C621" s="104" t="s">
        <v>827</v>
      </c>
      <c r="D621" s="129" t="s">
        <v>15079</v>
      </c>
    </row>
    <row r="622" spans="1:4">
      <c r="A622" s="105">
        <v>93403</v>
      </c>
      <c r="B622" s="104" t="s">
        <v>933</v>
      </c>
      <c r="C622" s="104" t="s">
        <v>827</v>
      </c>
      <c r="D622" s="129" t="s">
        <v>15329</v>
      </c>
    </row>
    <row r="623" spans="1:4">
      <c r="A623" s="105">
        <v>93409</v>
      </c>
      <c r="B623" s="104" t="s">
        <v>934</v>
      </c>
      <c r="C623" s="104" t="s">
        <v>827</v>
      </c>
      <c r="D623" s="129" t="s">
        <v>15346</v>
      </c>
    </row>
    <row r="624" spans="1:4">
      <c r="A624" s="105">
        <v>93416</v>
      </c>
      <c r="B624" s="104" t="s">
        <v>935</v>
      </c>
      <c r="C624" s="104" t="s">
        <v>827</v>
      </c>
      <c r="D624" s="129" t="s">
        <v>15347</v>
      </c>
    </row>
    <row r="625" spans="1:4">
      <c r="A625" s="105">
        <v>93422</v>
      </c>
      <c r="B625" s="104" t="s">
        <v>936</v>
      </c>
      <c r="C625" s="104" t="s">
        <v>827</v>
      </c>
      <c r="D625" s="129" t="s">
        <v>15348</v>
      </c>
    </row>
    <row r="626" spans="1:4">
      <c r="A626" s="105">
        <v>93428</v>
      </c>
      <c r="B626" s="104" t="s">
        <v>937</v>
      </c>
      <c r="C626" s="104" t="s">
        <v>827</v>
      </c>
      <c r="D626" s="129" t="s">
        <v>15349</v>
      </c>
    </row>
    <row r="627" spans="1:4">
      <c r="A627" s="105">
        <v>93434</v>
      </c>
      <c r="B627" s="104" t="s">
        <v>938</v>
      </c>
      <c r="C627" s="104" t="s">
        <v>827</v>
      </c>
      <c r="D627" s="129" t="s">
        <v>15350</v>
      </c>
    </row>
    <row r="628" spans="1:4">
      <c r="A628" s="105">
        <v>93440</v>
      </c>
      <c r="B628" s="104" t="s">
        <v>939</v>
      </c>
      <c r="C628" s="104" t="s">
        <v>827</v>
      </c>
      <c r="D628" s="129" t="s">
        <v>15351</v>
      </c>
    </row>
    <row r="629" spans="1:4">
      <c r="A629" s="105">
        <v>95122</v>
      </c>
      <c r="B629" s="104" t="s">
        <v>940</v>
      </c>
      <c r="C629" s="104" t="s">
        <v>827</v>
      </c>
      <c r="D629" s="129" t="s">
        <v>15352</v>
      </c>
    </row>
    <row r="630" spans="1:4">
      <c r="A630" s="105">
        <v>95128</v>
      </c>
      <c r="B630" s="104" t="s">
        <v>941</v>
      </c>
      <c r="C630" s="104" t="s">
        <v>827</v>
      </c>
      <c r="D630" s="129" t="s">
        <v>15353</v>
      </c>
    </row>
    <row r="631" spans="1:4">
      <c r="A631" s="105">
        <v>95140</v>
      </c>
      <c r="B631" s="104" t="s">
        <v>942</v>
      </c>
      <c r="C631" s="104" t="s">
        <v>827</v>
      </c>
      <c r="D631" s="129" t="s">
        <v>15354</v>
      </c>
    </row>
    <row r="632" spans="1:4">
      <c r="A632" s="105">
        <v>95213</v>
      </c>
      <c r="B632" s="104" t="s">
        <v>943</v>
      </c>
      <c r="C632" s="104" t="s">
        <v>827</v>
      </c>
      <c r="D632" s="129" t="s">
        <v>15355</v>
      </c>
    </row>
    <row r="633" spans="1:4">
      <c r="A633" s="105">
        <v>95259</v>
      </c>
      <c r="B633" s="104" t="s">
        <v>944</v>
      </c>
      <c r="C633" s="104" t="s">
        <v>827</v>
      </c>
      <c r="D633" s="129" t="s">
        <v>15356</v>
      </c>
    </row>
    <row r="634" spans="1:4">
      <c r="A634" s="105">
        <v>95265</v>
      </c>
      <c r="B634" s="104" t="s">
        <v>945</v>
      </c>
      <c r="C634" s="104" t="s">
        <v>827</v>
      </c>
      <c r="D634" s="129" t="s">
        <v>15357</v>
      </c>
    </row>
    <row r="635" spans="1:4">
      <c r="A635" s="105">
        <v>95271</v>
      </c>
      <c r="B635" s="104" t="s">
        <v>946</v>
      </c>
      <c r="C635" s="104" t="s">
        <v>827</v>
      </c>
      <c r="D635" s="129" t="s">
        <v>15358</v>
      </c>
    </row>
    <row r="636" spans="1:4">
      <c r="A636" s="105">
        <v>95277</v>
      </c>
      <c r="B636" s="104" t="s">
        <v>947</v>
      </c>
      <c r="C636" s="104" t="s">
        <v>827</v>
      </c>
      <c r="D636" s="129" t="s">
        <v>15358</v>
      </c>
    </row>
    <row r="637" spans="1:4">
      <c r="A637" s="105">
        <v>95283</v>
      </c>
      <c r="B637" s="104" t="s">
        <v>948</v>
      </c>
      <c r="C637" s="104" t="s">
        <v>827</v>
      </c>
      <c r="D637" s="129" t="s">
        <v>15359</v>
      </c>
    </row>
    <row r="638" spans="1:4">
      <c r="A638" s="105">
        <v>95621</v>
      </c>
      <c r="B638" s="104" t="s">
        <v>949</v>
      </c>
      <c r="C638" s="104" t="s">
        <v>827</v>
      </c>
      <c r="D638" s="129" t="s">
        <v>15360</v>
      </c>
    </row>
    <row r="639" spans="1:4">
      <c r="A639" s="105">
        <v>95632</v>
      </c>
      <c r="B639" s="104" t="s">
        <v>950</v>
      </c>
      <c r="C639" s="104" t="s">
        <v>827</v>
      </c>
      <c r="D639" s="129" t="s">
        <v>15361</v>
      </c>
    </row>
    <row r="640" spans="1:4">
      <c r="A640" s="105">
        <v>95703</v>
      </c>
      <c r="B640" s="104" t="s">
        <v>951</v>
      </c>
      <c r="C640" s="104" t="s">
        <v>827</v>
      </c>
      <c r="D640" s="129" t="s">
        <v>15362</v>
      </c>
    </row>
    <row r="641" spans="1:4">
      <c r="A641" s="105">
        <v>95709</v>
      </c>
      <c r="B641" s="104" t="s">
        <v>952</v>
      </c>
      <c r="C641" s="104" t="s">
        <v>827</v>
      </c>
      <c r="D641" s="129" t="s">
        <v>15363</v>
      </c>
    </row>
    <row r="642" spans="1:4">
      <c r="A642" s="105">
        <v>95715</v>
      </c>
      <c r="B642" s="104" t="s">
        <v>953</v>
      </c>
      <c r="C642" s="104" t="s">
        <v>827</v>
      </c>
      <c r="D642" s="129" t="s">
        <v>15364</v>
      </c>
    </row>
    <row r="643" spans="1:4">
      <c r="A643" s="105">
        <v>95721</v>
      </c>
      <c r="B643" s="104" t="s">
        <v>954</v>
      </c>
      <c r="C643" s="104" t="s">
        <v>827</v>
      </c>
      <c r="D643" s="129" t="s">
        <v>15365</v>
      </c>
    </row>
    <row r="644" spans="1:4">
      <c r="A644" s="105">
        <v>95873</v>
      </c>
      <c r="B644" s="104" t="s">
        <v>955</v>
      </c>
      <c r="C644" s="104" t="s">
        <v>827</v>
      </c>
      <c r="D644" s="129" t="s">
        <v>15366</v>
      </c>
    </row>
    <row r="645" spans="1:4">
      <c r="A645" s="105">
        <v>96014</v>
      </c>
      <c r="B645" s="104" t="s">
        <v>956</v>
      </c>
      <c r="C645" s="104" t="s">
        <v>827</v>
      </c>
      <c r="D645" s="129" t="s">
        <v>15367</v>
      </c>
    </row>
    <row r="646" spans="1:4">
      <c r="A646" s="105">
        <v>96021</v>
      </c>
      <c r="B646" s="104" t="s">
        <v>957</v>
      </c>
      <c r="C646" s="104" t="s">
        <v>827</v>
      </c>
      <c r="D646" s="129" t="s">
        <v>15368</v>
      </c>
    </row>
    <row r="647" spans="1:4">
      <c r="A647" s="105">
        <v>96029</v>
      </c>
      <c r="B647" s="104" t="s">
        <v>958</v>
      </c>
      <c r="C647" s="104" t="s">
        <v>827</v>
      </c>
      <c r="D647" s="129" t="s">
        <v>15369</v>
      </c>
    </row>
    <row r="648" spans="1:4">
      <c r="A648" s="105">
        <v>96036</v>
      </c>
      <c r="B648" s="104" t="s">
        <v>959</v>
      </c>
      <c r="C648" s="104" t="s">
        <v>827</v>
      </c>
      <c r="D648" s="129" t="s">
        <v>15370</v>
      </c>
    </row>
    <row r="649" spans="1:4">
      <c r="A649" s="105">
        <v>96155</v>
      </c>
      <c r="B649" s="104" t="s">
        <v>960</v>
      </c>
      <c r="C649" s="104" t="s">
        <v>827</v>
      </c>
      <c r="D649" s="129" t="s">
        <v>15371</v>
      </c>
    </row>
    <row r="650" spans="1:4">
      <c r="A650" s="105">
        <v>96156</v>
      </c>
      <c r="B650" s="104" t="s">
        <v>961</v>
      </c>
      <c r="C650" s="104" t="s">
        <v>827</v>
      </c>
      <c r="D650" s="129" t="s">
        <v>15372</v>
      </c>
    </row>
    <row r="651" spans="1:4">
      <c r="A651" s="105">
        <v>96159</v>
      </c>
      <c r="B651" s="104" t="s">
        <v>962</v>
      </c>
      <c r="C651" s="104" t="s">
        <v>827</v>
      </c>
      <c r="D651" s="129" t="s">
        <v>15373</v>
      </c>
    </row>
    <row r="652" spans="1:4">
      <c r="A652" s="105">
        <v>96246</v>
      </c>
      <c r="B652" s="104" t="s">
        <v>963</v>
      </c>
      <c r="C652" s="104" t="s">
        <v>827</v>
      </c>
      <c r="D652" s="129" t="s">
        <v>15374</v>
      </c>
    </row>
    <row r="653" spans="1:4">
      <c r="A653" s="105">
        <v>96464</v>
      </c>
      <c r="B653" s="104" t="s">
        <v>964</v>
      </c>
      <c r="C653" s="104" t="s">
        <v>827</v>
      </c>
      <c r="D653" s="129" t="s">
        <v>15375</v>
      </c>
    </row>
    <row r="654" spans="1:4">
      <c r="A654" s="105">
        <v>98765</v>
      </c>
      <c r="B654" s="104" t="s">
        <v>965</v>
      </c>
      <c r="C654" s="104" t="s">
        <v>827</v>
      </c>
      <c r="D654" s="129" t="s">
        <v>15376</v>
      </c>
    </row>
    <row r="655" spans="1:4">
      <c r="A655" s="105">
        <v>99834</v>
      </c>
      <c r="B655" s="104" t="s">
        <v>966</v>
      </c>
      <c r="C655" s="104" t="s">
        <v>827</v>
      </c>
      <c r="D655" s="129" t="s">
        <v>15377</v>
      </c>
    </row>
    <row r="656" spans="1:4">
      <c r="A656" s="105">
        <v>100642</v>
      </c>
      <c r="B656" s="104" t="s">
        <v>967</v>
      </c>
      <c r="C656" s="104" t="s">
        <v>827</v>
      </c>
      <c r="D656" s="129" t="s">
        <v>15378</v>
      </c>
    </row>
    <row r="657" spans="1:4">
      <c r="A657" s="105">
        <v>100648</v>
      </c>
      <c r="B657" s="104" t="s">
        <v>968</v>
      </c>
      <c r="C657" s="104" t="s">
        <v>827</v>
      </c>
      <c r="D657" s="129" t="s">
        <v>15379</v>
      </c>
    </row>
    <row r="658" spans="1:4">
      <c r="A658" s="105">
        <v>102274</v>
      </c>
      <c r="B658" s="104" t="s">
        <v>969</v>
      </c>
      <c r="C658" s="104" t="s">
        <v>827</v>
      </c>
      <c r="D658" s="129" t="s">
        <v>15380</v>
      </c>
    </row>
    <row r="659" spans="1:4">
      <c r="A659" s="105">
        <v>5089</v>
      </c>
      <c r="B659" s="104" t="s">
        <v>970</v>
      </c>
      <c r="C659" s="104" t="s">
        <v>16</v>
      </c>
      <c r="D659" s="129" t="s">
        <v>15381</v>
      </c>
    </row>
    <row r="660" spans="1:4">
      <c r="A660" s="105">
        <v>5627</v>
      </c>
      <c r="B660" s="104" t="s">
        <v>971</v>
      </c>
      <c r="C660" s="104" t="s">
        <v>16</v>
      </c>
      <c r="D660" s="129" t="s">
        <v>15382</v>
      </c>
    </row>
    <row r="661" spans="1:4">
      <c r="A661" s="105">
        <v>5628</v>
      </c>
      <c r="B661" s="104" t="s">
        <v>972</v>
      </c>
      <c r="C661" s="104" t="s">
        <v>16</v>
      </c>
      <c r="D661" s="129" t="s">
        <v>15383</v>
      </c>
    </row>
    <row r="662" spans="1:4">
      <c r="A662" s="105">
        <v>5629</v>
      </c>
      <c r="B662" s="104" t="s">
        <v>973</v>
      </c>
      <c r="C662" s="104" t="s">
        <v>16</v>
      </c>
      <c r="D662" s="129" t="s">
        <v>15384</v>
      </c>
    </row>
    <row r="663" spans="1:4">
      <c r="A663" s="105">
        <v>5630</v>
      </c>
      <c r="B663" s="104" t="s">
        <v>974</v>
      </c>
      <c r="C663" s="104" t="s">
        <v>16</v>
      </c>
      <c r="D663" s="129" t="s">
        <v>15385</v>
      </c>
    </row>
    <row r="664" spans="1:4">
      <c r="A664" s="105">
        <v>5658</v>
      </c>
      <c r="B664" s="104" t="s">
        <v>975</v>
      </c>
      <c r="C664" s="104" t="s">
        <v>16</v>
      </c>
      <c r="D664" s="129" t="s">
        <v>15386</v>
      </c>
    </row>
    <row r="665" spans="1:4">
      <c r="A665" s="105">
        <v>5664</v>
      </c>
      <c r="B665" s="104" t="s">
        <v>976</v>
      </c>
      <c r="C665" s="104" t="s">
        <v>16</v>
      </c>
      <c r="D665" s="129" t="s">
        <v>15387</v>
      </c>
    </row>
    <row r="666" spans="1:4">
      <c r="A666" s="105">
        <v>5667</v>
      </c>
      <c r="B666" s="104" t="s">
        <v>977</v>
      </c>
      <c r="C666" s="104" t="s">
        <v>16</v>
      </c>
      <c r="D666" s="129" t="s">
        <v>15388</v>
      </c>
    </row>
    <row r="667" spans="1:4">
      <c r="A667" s="105">
        <v>5668</v>
      </c>
      <c r="B667" s="104" t="s">
        <v>978</v>
      </c>
      <c r="C667" s="104" t="s">
        <v>16</v>
      </c>
      <c r="D667" s="129" t="s">
        <v>14773</v>
      </c>
    </row>
    <row r="668" spans="1:4">
      <c r="A668" s="105">
        <v>5674</v>
      </c>
      <c r="B668" s="104" t="s">
        <v>979</v>
      </c>
      <c r="C668" s="104" t="s">
        <v>16</v>
      </c>
      <c r="D668" s="129" t="s">
        <v>15389</v>
      </c>
    </row>
    <row r="669" spans="1:4">
      <c r="A669" s="105">
        <v>5692</v>
      </c>
      <c r="B669" s="104" t="s">
        <v>980</v>
      </c>
      <c r="C669" s="104" t="s">
        <v>16</v>
      </c>
      <c r="D669" s="129" t="s">
        <v>15248</v>
      </c>
    </row>
    <row r="670" spans="1:4">
      <c r="A670" s="105">
        <v>5693</v>
      </c>
      <c r="B670" s="104" t="s">
        <v>981</v>
      </c>
      <c r="C670" s="104" t="s">
        <v>16</v>
      </c>
      <c r="D670" s="129" t="s">
        <v>15390</v>
      </c>
    </row>
    <row r="671" spans="1:4">
      <c r="A671" s="105">
        <v>5695</v>
      </c>
      <c r="B671" s="104" t="s">
        <v>982</v>
      </c>
      <c r="C671" s="104" t="s">
        <v>16</v>
      </c>
      <c r="D671" s="129" t="s">
        <v>15391</v>
      </c>
    </row>
    <row r="672" spans="1:4">
      <c r="A672" s="105">
        <v>5703</v>
      </c>
      <c r="B672" s="104" t="s">
        <v>983</v>
      </c>
      <c r="C672" s="104" t="s">
        <v>16</v>
      </c>
      <c r="D672" s="129" t="s">
        <v>15392</v>
      </c>
    </row>
    <row r="673" spans="1:4">
      <c r="A673" s="105">
        <v>5705</v>
      </c>
      <c r="B673" s="104" t="s">
        <v>984</v>
      </c>
      <c r="C673" s="104" t="s">
        <v>16</v>
      </c>
      <c r="D673" s="129" t="s">
        <v>15393</v>
      </c>
    </row>
    <row r="674" spans="1:4">
      <c r="A674" s="105">
        <v>5707</v>
      </c>
      <c r="B674" s="104" t="s">
        <v>985</v>
      </c>
      <c r="C674" s="104" t="s">
        <v>16</v>
      </c>
      <c r="D674" s="129" t="s">
        <v>15394</v>
      </c>
    </row>
    <row r="675" spans="1:4">
      <c r="A675" s="105">
        <v>5710</v>
      </c>
      <c r="B675" s="104" t="s">
        <v>986</v>
      </c>
      <c r="C675" s="104" t="s">
        <v>16</v>
      </c>
      <c r="D675" s="129" t="s">
        <v>15395</v>
      </c>
    </row>
    <row r="676" spans="1:4">
      <c r="A676" s="105">
        <v>5711</v>
      </c>
      <c r="B676" s="104" t="s">
        <v>987</v>
      </c>
      <c r="C676" s="104" t="s">
        <v>16</v>
      </c>
      <c r="D676" s="129" t="s">
        <v>15396</v>
      </c>
    </row>
    <row r="677" spans="1:4">
      <c r="A677" s="105">
        <v>5714</v>
      </c>
      <c r="B677" s="104" t="s">
        <v>988</v>
      </c>
      <c r="C677" s="104" t="s">
        <v>16</v>
      </c>
      <c r="D677" s="129" t="s">
        <v>15397</v>
      </c>
    </row>
    <row r="678" spans="1:4">
      <c r="A678" s="105">
        <v>5715</v>
      </c>
      <c r="B678" s="104" t="s">
        <v>989</v>
      </c>
      <c r="C678" s="104" t="s">
        <v>16</v>
      </c>
      <c r="D678" s="129" t="s">
        <v>15398</v>
      </c>
    </row>
    <row r="679" spans="1:4">
      <c r="A679" s="105">
        <v>5718</v>
      </c>
      <c r="B679" s="104" t="s">
        <v>990</v>
      </c>
      <c r="C679" s="104" t="s">
        <v>16</v>
      </c>
      <c r="D679" s="129" t="s">
        <v>15399</v>
      </c>
    </row>
    <row r="680" spans="1:4">
      <c r="A680" s="105">
        <v>5721</v>
      </c>
      <c r="B680" s="104" t="s">
        <v>991</v>
      </c>
      <c r="C680" s="104" t="s">
        <v>16</v>
      </c>
      <c r="D680" s="129" t="s">
        <v>15400</v>
      </c>
    </row>
    <row r="681" spans="1:4">
      <c r="A681" s="105">
        <v>5722</v>
      </c>
      <c r="B681" s="104" t="s">
        <v>992</v>
      </c>
      <c r="C681" s="104" t="s">
        <v>16</v>
      </c>
      <c r="D681" s="129" t="s">
        <v>15401</v>
      </c>
    </row>
    <row r="682" spans="1:4">
      <c r="A682" s="105">
        <v>5724</v>
      </c>
      <c r="B682" s="104" t="s">
        <v>993</v>
      </c>
      <c r="C682" s="104" t="s">
        <v>16</v>
      </c>
      <c r="D682" s="129" t="s">
        <v>15402</v>
      </c>
    </row>
    <row r="683" spans="1:4">
      <c r="A683" s="105">
        <v>5727</v>
      </c>
      <c r="B683" s="104" t="s">
        <v>994</v>
      </c>
      <c r="C683" s="104" t="s">
        <v>16</v>
      </c>
      <c r="D683" s="129" t="s">
        <v>15403</v>
      </c>
    </row>
    <row r="684" spans="1:4">
      <c r="A684" s="105">
        <v>5729</v>
      </c>
      <c r="B684" s="104" t="s">
        <v>995</v>
      </c>
      <c r="C684" s="104" t="s">
        <v>16</v>
      </c>
      <c r="D684" s="129" t="s">
        <v>15404</v>
      </c>
    </row>
    <row r="685" spans="1:4">
      <c r="A685" s="105">
        <v>5730</v>
      </c>
      <c r="B685" s="104" t="s">
        <v>996</v>
      </c>
      <c r="C685" s="104" t="s">
        <v>16</v>
      </c>
      <c r="D685" s="129" t="s">
        <v>15405</v>
      </c>
    </row>
    <row r="686" spans="1:4">
      <c r="A686" s="105">
        <v>5735</v>
      </c>
      <c r="B686" s="104" t="s">
        <v>997</v>
      </c>
      <c r="C686" s="104" t="s">
        <v>16</v>
      </c>
      <c r="D686" s="129" t="s">
        <v>15406</v>
      </c>
    </row>
    <row r="687" spans="1:4">
      <c r="A687" s="105">
        <v>5736</v>
      </c>
      <c r="B687" s="104" t="s">
        <v>998</v>
      </c>
      <c r="C687" s="104" t="s">
        <v>16</v>
      </c>
      <c r="D687" s="129" t="s">
        <v>15279</v>
      </c>
    </row>
    <row r="688" spans="1:4">
      <c r="A688" s="105">
        <v>5738</v>
      </c>
      <c r="B688" s="104" t="s">
        <v>999</v>
      </c>
      <c r="C688" s="104" t="s">
        <v>16</v>
      </c>
      <c r="D688" s="129" t="s">
        <v>15407</v>
      </c>
    </row>
    <row r="689" spans="1:4">
      <c r="A689" s="105">
        <v>5739</v>
      </c>
      <c r="B689" s="104" t="s">
        <v>1000</v>
      </c>
      <c r="C689" s="104" t="s">
        <v>16</v>
      </c>
      <c r="D689" s="129" t="s">
        <v>15408</v>
      </c>
    </row>
    <row r="690" spans="1:4">
      <c r="A690" s="105">
        <v>5741</v>
      </c>
      <c r="B690" s="104" t="s">
        <v>1001</v>
      </c>
      <c r="C690" s="104" t="s">
        <v>16</v>
      </c>
      <c r="D690" s="129" t="s">
        <v>15409</v>
      </c>
    </row>
    <row r="691" spans="1:4">
      <c r="A691" s="105">
        <v>5742</v>
      </c>
      <c r="B691" s="104" t="s">
        <v>1002</v>
      </c>
      <c r="C691" s="104" t="s">
        <v>16</v>
      </c>
      <c r="D691" s="129" t="s">
        <v>15410</v>
      </c>
    </row>
    <row r="692" spans="1:4">
      <c r="A692" s="105">
        <v>5747</v>
      </c>
      <c r="B692" s="104" t="s">
        <v>1003</v>
      </c>
      <c r="C692" s="104" t="s">
        <v>16</v>
      </c>
      <c r="D692" s="129" t="s">
        <v>15411</v>
      </c>
    </row>
    <row r="693" spans="1:4">
      <c r="A693" s="105">
        <v>5751</v>
      </c>
      <c r="B693" s="104" t="s">
        <v>1004</v>
      </c>
      <c r="C693" s="104" t="s">
        <v>16</v>
      </c>
      <c r="D693" s="129" t="s">
        <v>15028</v>
      </c>
    </row>
    <row r="694" spans="1:4">
      <c r="A694" s="105">
        <v>5754</v>
      </c>
      <c r="B694" s="104" t="s">
        <v>1005</v>
      </c>
      <c r="C694" s="104" t="s">
        <v>16</v>
      </c>
      <c r="D694" s="129" t="s">
        <v>15412</v>
      </c>
    </row>
    <row r="695" spans="1:4">
      <c r="A695" s="105">
        <v>5763</v>
      </c>
      <c r="B695" s="104" t="s">
        <v>1006</v>
      </c>
      <c r="C695" s="104" t="s">
        <v>16</v>
      </c>
      <c r="D695" s="129" t="s">
        <v>15413</v>
      </c>
    </row>
    <row r="696" spans="1:4">
      <c r="A696" s="105">
        <v>5765</v>
      </c>
      <c r="B696" s="104" t="s">
        <v>1007</v>
      </c>
      <c r="C696" s="104" t="s">
        <v>16</v>
      </c>
      <c r="D696" s="129" t="s">
        <v>15414</v>
      </c>
    </row>
    <row r="697" spans="1:4">
      <c r="A697" s="105">
        <v>5766</v>
      </c>
      <c r="B697" s="104" t="s">
        <v>1008</v>
      </c>
      <c r="C697" s="104" t="s">
        <v>16</v>
      </c>
      <c r="D697" s="129" t="s">
        <v>15415</v>
      </c>
    </row>
    <row r="698" spans="1:4">
      <c r="A698" s="105">
        <v>5779</v>
      </c>
      <c r="B698" s="104" t="s">
        <v>1009</v>
      </c>
      <c r="C698" s="104" t="s">
        <v>16</v>
      </c>
      <c r="D698" s="129" t="s">
        <v>15416</v>
      </c>
    </row>
    <row r="699" spans="1:4">
      <c r="A699" s="105">
        <v>5787</v>
      </c>
      <c r="B699" s="104" t="s">
        <v>1010</v>
      </c>
      <c r="C699" s="104" t="s">
        <v>16</v>
      </c>
      <c r="D699" s="129" t="s">
        <v>15417</v>
      </c>
    </row>
    <row r="700" spans="1:4">
      <c r="A700" s="105">
        <v>5797</v>
      </c>
      <c r="B700" s="104" t="s">
        <v>1011</v>
      </c>
      <c r="C700" s="104" t="s">
        <v>16</v>
      </c>
      <c r="D700" s="129" t="s">
        <v>15418</v>
      </c>
    </row>
    <row r="701" spans="1:4">
      <c r="A701" s="105">
        <v>5800</v>
      </c>
      <c r="B701" s="104" t="s">
        <v>1012</v>
      </c>
      <c r="C701" s="104" t="s">
        <v>16</v>
      </c>
      <c r="D701" s="129" t="s">
        <v>15292</v>
      </c>
    </row>
    <row r="702" spans="1:4">
      <c r="A702" s="105">
        <v>7032</v>
      </c>
      <c r="B702" s="104" t="s">
        <v>1013</v>
      </c>
      <c r="C702" s="104" t="s">
        <v>16</v>
      </c>
      <c r="D702" s="129" t="s">
        <v>15418</v>
      </c>
    </row>
    <row r="703" spans="1:4">
      <c r="A703" s="105">
        <v>7033</v>
      </c>
      <c r="B703" s="104" t="s">
        <v>1014</v>
      </c>
      <c r="C703" s="104" t="s">
        <v>16</v>
      </c>
      <c r="D703" s="129" t="s">
        <v>15419</v>
      </c>
    </row>
    <row r="704" spans="1:4">
      <c r="A704" s="105">
        <v>7034</v>
      </c>
      <c r="B704" s="104" t="s">
        <v>1015</v>
      </c>
      <c r="C704" s="104" t="s">
        <v>16</v>
      </c>
      <c r="D704" s="129" t="s">
        <v>15420</v>
      </c>
    </row>
    <row r="705" spans="1:4">
      <c r="A705" s="105">
        <v>7035</v>
      </c>
      <c r="B705" s="104" t="s">
        <v>1016</v>
      </c>
      <c r="C705" s="104" t="s">
        <v>16</v>
      </c>
      <c r="D705" s="129" t="s">
        <v>15421</v>
      </c>
    </row>
    <row r="706" spans="1:4">
      <c r="A706" s="105">
        <v>7038</v>
      </c>
      <c r="B706" s="104" t="s">
        <v>1017</v>
      </c>
      <c r="C706" s="104" t="s">
        <v>16</v>
      </c>
      <c r="D706" s="129" t="s">
        <v>15422</v>
      </c>
    </row>
    <row r="707" spans="1:4">
      <c r="A707" s="105">
        <v>7039</v>
      </c>
      <c r="B707" s="104" t="s">
        <v>1018</v>
      </c>
      <c r="C707" s="104" t="s">
        <v>16</v>
      </c>
      <c r="D707" s="129" t="s">
        <v>15423</v>
      </c>
    </row>
    <row r="708" spans="1:4">
      <c r="A708" s="105">
        <v>7040</v>
      </c>
      <c r="B708" s="104" t="s">
        <v>1019</v>
      </c>
      <c r="C708" s="104" t="s">
        <v>16</v>
      </c>
      <c r="D708" s="129" t="s">
        <v>15424</v>
      </c>
    </row>
    <row r="709" spans="1:4">
      <c r="A709" s="105">
        <v>7044</v>
      </c>
      <c r="B709" s="104" t="s">
        <v>1020</v>
      </c>
      <c r="C709" s="104" t="s">
        <v>16</v>
      </c>
      <c r="D709" s="129" t="s">
        <v>15425</v>
      </c>
    </row>
    <row r="710" spans="1:4">
      <c r="A710" s="105">
        <v>7045</v>
      </c>
      <c r="B710" s="104" t="s">
        <v>1021</v>
      </c>
      <c r="C710" s="104" t="s">
        <v>16</v>
      </c>
      <c r="D710" s="129" t="s">
        <v>15426</v>
      </c>
    </row>
    <row r="711" spans="1:4">
      <c r="A711" s="105">
        <v>7046</v>
      </c>
      <c r="B711" s="104" t="s">
        <v>1022</v>
      </c>
      <c r="C711" s="104" t="s">
        <v>16</v>
      </c>
      <c r="D711" s="129" t="s">
        <v>15277</v>
      </c>
    </row>
    <row r="712" spans="1:4">
      <c r="A712" s="105">
        <v>7047</v>
      </c>
      <c r="B712" s="104" t="s">
        <v>1023</v>
      </c>
      <c r="C712" s="104" t="s">
        <v>16</v>
      </c>
      <c r="D712" s="129" t="s">
        <v>15427</v>
      </c>
    </row>
    <row r="713" spans="1:4">
      <c r="A713" s="105">
        <v>7051</v>
      </c>
      <c r="B713" s="104" t="s">
        <v>1024</v>
      </c>
      <c r="C713" s="104" t="s">
        <v>16</v>
      </c>
      <c r="D713" s="129" t="s">
        <v>15428</v>
      </c>
    </row>
    <row r="714" spans="1:4">
      <c r="A714" s="105">
        <v>7052</v>
      </c>
      <c r="B714" s="104" t="s">
        <v>1025</v>
      </c>
      <c r="C714" s="104" t="s">
        <v>16</v>
      </c>
      <c r="D714" s="129" t="s">
        <v>15429</v>
      </c>
    </row>
    <row r="715" spans="1:4">
      <c r="A715" s="105">
        <v>7053</v>
      </c>
      <c r="B715" s="104" t="s">
        <v>1026</v>
      </c>
      <c r="C715" s="104" t="s">
        <v>16</v>
      </c>
      <c r="D715" s="129" t="s">
        <v>15430</v>
      </c>
    </row>
    <row r="716" spans="1:4">
      <c r="A716" s="105">
        <v>7054</v>
      </c>
      <c r="B716" s="104" t="s">
        <v>1027</v>
      </c>
      <c r="C716" s="104" t="s">
        <v>16</v>
      </c>
      <c r="D716" s="129" t="s">
        <v>15431</v>
      </c>
    </row>
    <row r="717" spans="1:4">
      <c r="A717" s="105">
        <v>7058</v>
      </c>
      <c r="B717" s="104" t="s">
        <v>1028</v>
      </c>
      <c r="C717" s="104" t="s">
        <v>16</v>
      </c>
      <c r="D717" s="129" t="s">
        <v>15432</v>
      </c>
    </row>
    <row r="718" spans="1:4">
      <c r="A718" s="105">
        <v>7059</v>
      </c>
      <c r="B718" s="104" t="s">
        <v>1029</v>
      </c>
      <c r="C718" s="104" t="s">
        <v>16</v>
      </c>
      <c r="D718" s="129" t="s">
        <v>15266</v>
      </c>
    </row>
    <row r="719" spans="1:4">
      <c r="A719" s="105">
        <v>7060</v>
      </c>
      <c r="B719" s="104" t="s">
        <v>1030</v>
      </c>
      <c r="C719" s="104" t="s">
        <v>16</v>
      </c>
      <c r="D719" s="129" t="s">
        <v>15433</v>
      </c>
    </row>
    <row r="720" spans="1:4">
      <c r="A720" s="105">
        <v>7061</v>
      </c>
      <c r="B720" s="104" t="s">
        <v>1031</v>
      </c>
      <c r="C720" s="104" t="s">
        <v>16</v>
      </c>
      <c r="D720" s="129" t="s">
        <v>15434</v>
      </c>
    </row>
    <row r="721" spans="1:4">
      <c r="A721" s="105">
        <v>7063</v>
      </c>
      <c r="B721" s="104" t="s">
        <v>1032</v>
      </c>
      <c r="C721" s="104" t="s">
        <v>16</v>
      </c>
      <c r="D721" s="129" t="s">
        <v>15435</v>
      </c>
    </row>
    <row r="722" spans="1:4">
      <c r="A722" s="105">
        <v>7064</v>
      </c>
      <c r="B722" s="104" t="s">
        <v>1033</v>
      </c>
      <c r="C722" s="104" t="s">
        <v>16</v>
      </c>
      <c r="D722" s="129" t="s">
        <v>14831</v>
      </c>
    </row>
    <row r="723" spans="1:4">
      <c r="A723" s="105">
        <v>7065</v>
      </c>
      <c r="B723" s="104" t="s">
        <v>1034</v>
      </c>
      <c r="C723" s="104" t="s">
        <v>16</v>
      </c>
      <c r="D723" s="129" t="s">
        <v>15436</v>
      </c>
    </row>
    <row r="724" spans="1:4">
      <c r="A724" s="105">
        <v>7066</v>
      </c>
      <c r="B724" s="104" t="s">
        <v>1035</v>
      </c>
      <c r="C724" s="104" t="s">
        <v>16</v>
      </c>
      <c r="D724" s="129" t="s">
        <v>15437</v>
      </c>
    </row>
    <row r="725" spans="1:4">
      <c r="A725" s="105">
        <v>53786</v>
      </c>
      <c r="B725" s="104" t="s">
        <v>1036</v>
      </c>
      <c r="C725" s="104" t="s">
        <v>16</v>
      </c>
      <c r="D725" s="129" t="s">
        <v>15438</v>
      </c>
    </row>
    <row r="726" spans="1:4">
      <c r="A726" s="105">
        <v>53788</v>
      </c>
      <c r="B726" s="104" t="s">
        <v>1037</v>
      </c>
      <c r="C726" s="104" t="s">
        <v>16</v>
      </c>
      <c r="D726" s="129" t="s">
        <v>15439</v>
      </c>
    </row>
    <row r="727" spans="1:4">
      <c r="A727" s="105">
        <v>53792</v>
      </c>
      <c r="B727" s="104" t="s">
        <v>1038</v>
      </c>
      <c r="C727" s="104" t="s">
        <v>16</v>
      </c>
      <c r="D727" s="129" t="s">
        <v>15440</v>
      </c>
    </row>
    <row r="728" spans="1:4">
      <c r="A728" s="105">
        <v>53794</v>
      </c>
      <c r="B728" s="104" t="s">
        <v>1039</v>
      </c>
      <c r="C728" s="104" t="s">
        <v>16</v>
      </c>
      <c r="D728" s="129" t="s">
        <v>15441</v>
      </c>
    </row>
    <row r="729" spans="1:4">
      <c r="A729" s="105">
        <v>53797</v>
      </c>
      <c r="B729" s="104" t="s">
        <v>1040</v>
      </c>
      <c r="C729" s="104" t="s">
        <v>16</v>
      </c>
      <c r="D729" s="129" t="s">
        <v>15442</v>
      </c>
    </row>
    <row r="730" spans="1:4">
      <c r="A730" s="105">
        <v>53804</v>
      </c>
      <c r="B730" s="104" t="s">
        <v>1041</v>
      </c>
      <c r="C730" s="104" t="s">
        <v>16</v>
      </c>
      <c r="D730" s="129" t="s">
        <v>15349</v>
      </c>
    </row>
    <row r="731" spans="1:4">
      <c r="A731" s="105">
        <v>53806</v>
      </c>
      <c r="B731" s="104" t="s">
        <v>1042</v>
      </c>
      <c r="C731" s="104" t="s">
        <v>16</v>
      </c>
      <c r="D731" s="129" t="s">
        <v>15443</v>
      </c>
    </row>
    <row r="732" spans="1:4">
      <c r="A732" s="105">
        <v>53810</v>
      </c>
      <c r="B732" s="104" t="s">
        <v>1043</v>
      </c>
      <c r="C732" s="104" t="s">
        <v>16</v>
      </c>
      <c r="D732" s="129" t="s">
        <v>15444</v>
      </c>
    </row>
    <row r="733" spans="1:4">
      <c r="A733" s="105">
        <v>53814</v>
      </c>
      <c r="B733" s="104" t="s">
        <v>1044</v>
      </c>
      <c r="C733" s="104" t="s">
        <v>16</v>
      </c>
      <c r="D733" s="129" t="s">
        <v>15445</v>
      </c>
    </row>
    <row r="734" spans="1:4">
      <c r="A734" s="105">
        <v>53817</v>
      </c>
      <c r="B734" s="104" t="s">
        <v>1045</v>
      </c>
      <c r="C734" s="104" t="s">
        <v>16</v>
      </c>
      <c r="D734" s="129" t="s">
        <v>15446</v>
      </c>
    </row>
    <row r="735" spans="1:4">
      <c r="A735" s="105">
        <v>53818</v>
      </c>
      <c r="B735" s="104" t="s">
        <v>1046</v>
      </c>
      <c r="C735" s="104" t="s">
        <v>16</v>
      </c>
      <c r="D735" s="129" t="s">
        <v>15447</v>
      </c>
    </row>
    <row r="736" spans="1:4">
      <c r="A736" s="105">
        <v>53827</v>
      </c>
      <c r="B736" s="104" t="s">
        <v>1047</v>
      </c>
      <c r="C736" s="104" t="s">
        <v>16</v>
      </c>
      <c r="D736" s="129" t="s">
        <v>15448</v>
      </c>
    </row>
    <row r="737" spans="1:4">
      <c r="A737" s="105">
        <v>53829</v>
      </c>
      <c r="B737" s="104" t="s">
        <v>1048</v>
      </c>
      <c r="C737" s="104" t="s">
        <v>16</v>
      </c>
      <c r="D737" s="129" t="s">
        <v>15442</v>
      </c>
    </row>
    <row r="738" spans="1:4">
      <c r="A738" s="105">
        <v>53831</v>
      </c>
      <c r="B738" s="104" t="s">
        <v>1049</v>
      </c>
      <c r="C738" s="104" t="s">
        <v>16</v>
      </c>
      <c r="D738" s="129" t="s">
        <v>15449</v>
      </c>
    </row>
    <row r="739" spans="1:4">
      <c r="A739" s="105">
        <v>53840</v>
      </c>
      <c r="B739" s="104" t="s">
        <v>1050</v>
      </c>
      <c r="C739" s="104" t="s">
        <v>16</v>
      </c>
      <c r="D739" s="129" t="s">
        <v>15450</v>
      </c>
    </row>
    <row r="740" spans="1:4">
      <c r="A740" s="105">
        <v>53841</v>
      </c>
      <c r="B740" s="104" t="s">
        <v>1051</v>
      </c>
      <c r="C740" s="104" t="s">
        <v>16</v>
      </c>
      <c r="D740" s="129" t="s">
        <v>15451</v>
      </c>
    </row>
    <row r="741" spans="1:4">
      <c r="A741" s="105">
        <v>53849</v>
      </c>
      <c r="B741" s="104" t="s">
        <v>1052</v>
      </c>
      <c r="C741" s="104" t="s">
        <v>16</v>
      </c>
      <c r="D741" s="129" t="s">
        <v>15452</v>
      </c>
    </row>
    <row r="742" spans="1:4">
      <c r="A742" s="105">
        <v>53857</v>
      </c>
      <c r="B742" s="104" t="s">
        <v>1053</v>
      </c>
      <c r="C742" s="104" t="s">
        <v>16</v>
      </c>
      <c r="D742" s="129" t="s">
        <v>15453</v>
      </c>
    </row>
    <row r="743" spans="1:4">
      <c r="A743" s="105">
        <v>53858</v>
      </c>
      <c r="B743" s="104" t="s">
        <v>1054</v>
      </c>
      <c r="C743" s="104" t="s">
        <v>16</v>
      </c>
      <c r="D743" s="129" t="s">
        <v>15454</v>
      </c>
    </row>
    <row r="744" spans="1:4">
      <c r="A744" s="105">
        <v>53861</v>
      </c>
      <c r="B744" s="104" t="s">
        <v>1055</v>
      </c>
      <c r="C744" s="104" t="s">
        <v>16</v>
      </c>
      <c r="D744" s="129" t="s">
        <v>15455</v>
      </c>
    </row>
    <row r="745" spans="1:4">
      <c r="A745" s="105">
        <v>53863</v>
      </c>
      <c r="B745" s="104" t="s">
        <v>1056</v>
      </c>
      <c r="C745" s="104" t="s">
        <v>16</v>
      </c>
      <c r="D745" s="129" t="s">
        <v>15456</v>
      </c>
    </row>
    <row r="746" spans="1:4">
      <c r="A746" s="105">
        <v>53865</v>
      </c>
      <c r="B746" s="104" t="s">
        <v>1057</v>
      </c>
      <c r="C746" s="104" t="s">
        <v>16</v>
      </c>
      <c r="D746" s="129" t="s">
        <v>15457</v>
      </c>
    </row>
    <row r="747" spans="1:4">
      <c r="A747" s="105">
        <v>53866</v>
      </c>
      <c r="B747" s="104" t="s">
        <v>1058</v>
      </c>
      <c r="C747" s="104" t="s">
        <v>16</v>
      </c>
      <c r="D747" s="129" t="s">
        <v>15458</v>
      </c>
    </row>
    <row r="748" spans="1:4">
      <c r="A748" s="105">
        <v>53882</v>
      </c>
      <c r="B748" s="104" t="s">
        <v>1059</v>
      </c>
      <c r="C748" s="104" t="s">
        <v>16</v>
      </c>
      <c r="D748" s="129" t="s">
        <v>15459</v>
      </c>
    </row>
    <row r="749" spans="1:4">
      <c r="A749" s="105">
        <v>55263</v>
      </c>
      <c r="B749" s="104" t="s">
        <v>1060</v>
      </c>
      <c r="C749" s="104" t="s">
        <v>16</v>
      </c>
      <c r="D749" s="129" t="s">
        <v>15385</v>
      </c>
    </row>
    <row r="750" spans="1:4">
      <c r="A750" s="105">
        <v>73303</v>
      </c>
      <c r="B750" s="104" t="s">
        <v>1061</v>
      </c>
      <c r="C750" s="104" t="s">
        <v>16</v>
      </c>
      <c r="D750" s="129" t="s">
        <v>15460</v>
      </c>
    </row>
    <row r="751" spans="1:4">
      <c r="A751" s="105">
        <v>73307</v>
      </c>
      <c r="B751" s="104" t="s">
        <v>1062</v>
      </c>
      <c r="C751" s="104" t="s">
        <v>16</v>
      </c>
      <c r="D751" s="129" t="s">
        <v>15312</v>
      </c>
    </row>
    <row r="752" spans="1:4">
      <c r="A752" s="105">
        <v>73309</v>
      </c>
      <c r="B752" s="104" t="s">
        <v>1063</v>
      </c>
      <c r="C752" s="104" t="s">
        <v>16</v>
      </c>
      <c r="D752" s="129" t="s">
        <v>15461</v>
      </c>
    </row>
    <row r="753" spans="1:4">
      <c r="A753" s="105">
        <v>73311</v>
      </c>
      <c r="B753" s="104" t="s">
        <v>1064</v>
      </c>
      <c r="C753" s="104" t="s">
        <v>16</v>
      </c>
      <c r="D753" s="129" t="s">
        <v>15462</v>
      </c>
    </row>
    <row r="754" spans="1:4">
      <c r="A754" s="105">
        <v>73313</v>
      </c>
      <c r="B754" s="104" t="s">
        <v>1065</v>
      </c>
      <c r="C754" s="104" t="s">
        <v>16</v>
      </c>
      <c r="D754" s="129" t="s">
        <v>15463</v>
      </c>
    </row>
    <row r="755" spans="1:4">
      <c r="A755" s="105">
        <v>73315</v>
      </c>
      <c r="B755" s="104" t="s">
        <v>1066</v>
      </c>
      <c r="C755" s="104" t="s">
        <v>16</v>
      </c>
      <c r="D755" s="129" t="s">
        <v>15439</v>
      </c>
    </row>
    <row r="756" spans="1:4">
      <c r="A756" s="105">
        <v>73335</v>
      </c>
      <c r="B756" s="104" t="s">
        <v>1067</v>
      </c>
      <c r="C756" s="104" t="s">
        <v>16</v>
      </c>
      <c r="D756" s="129" t="s">
        <v>15464</v>
      </c>
    </row>
    <row r="757" spans="1:4">
      <c r="A757" s="105">
        <v>73340</v>
      </c>
      <c r="B757" s="104" t="s">
        <v>1068</v>
      </c>
      <c r="C757" s="104" t="s">
        <v>16</v>
      </c>
      <c r="D757" s="129" t="s">
        <v>15434</v>
      </c>
    </row>
    <row r="758" spans="1:4">
      <c r="A758" s="105">
        <v>83361</v>
      </c>
      <c r="B758" s="104" t="s">
        <v>1069</v>
      </c>
      <c r="C758" s="104" t="s">
        <v>16</v>
      </c>
      <c r="D758" s="129" t="s">
        <v>15465</v>
      </c>
    </row>
    <row r="759" spans="1:4">
      <c r="A759" s="105">
        <v>83761</v>
      </c>
      <c r="B759" s="104" t="s">
        <v>1070</v>
      </c>
      <c r="C759" s="104" t="s">
        <v>16</v>
      </c>
      <c r="D759" s="129" t="s">
        <v>15104</v>
      </c>
    </row>
    <row r="760" spans="1:4">
      <c r="A760" s="105">
        <v>83762</v>
      </c>
      <c r="B760" s="104" t="s">
        <v>1071</v>
      </c>
      <c r="C760" s="104" t="s">
        <v>16</v>
      </c>
      <c r="D760" s="129" t="s">
        <v>15466</v>
      </c>
    </row>
    <row r="761" spans="1:4">
      <c r="A761" s="105">
        <v>83763</v>
      </c>
      <c r="B761" s="104" t="s">
        <v>1072</v>
      </c>
      <c r="C761" s="104" t="s">
        <v>16</v>
      </c>
      <c r="D761" s="129" t="s">
        <v>15467</v>
      </c>
    </row>
    <row r="762" spans="1:4">
      <c r="A762" s="105">
        <v>83764</v>
      </c>
      <c r="B762" s="104" t="s">
        <v>1073</v>
      </c>
      <c r="C762" s="104" t="s">
        <v>16</v>
      </c>
      <c r="D762" s="129" t="s">
        <v>15468</v>
      </c>
    </row>
    <row r="763" spans="1:4">
      <c r="A763" s="105">
        <v>87026</v>
      </c>
      <c r="B763" s="104" t="s">
        <v>1074</v>
      </c>
      <c r="C763" s="104" t="s">
        <v>16</v>
      </c>
      <c r="D763" s="129" t="s">
        <v>15306</v>
      </c>
    </row>
    <row r="764" spans="1:4">
      <c r="A764" s="105">
        <v>87441</v>
      </c>
      <c r="B764" s="104" t="s">
        <v>13651</v>
      </c>
      <c r="C764" s="104" t="s">
        <v>16</v>
      </c>
      <c r="D764" s="129" t="s">
        <v>15469</v>
      </c>
    </row>
    <row r="765" spans="1:4">
      <c r="A765" s="105">
        <v>87442</v>
      </c>
      <c r="B765" s="104" t="s">
        <v>13652</v>
      </c>
      <c r="C765" s="104" t="s">
        <v>16</v>
      </c>
      <c r="D765" s="129" t="s">
        <v>15470</v>
      </c>
    </row>
    <row r="766" spans="1:4">
      <c r="A766" s="105">
        <v>87443</v>
      </c>
      <c r="B766" s="104" t="s">
        <v>13653</v>
      </c>
      <c r="C766" s="104" t="s">
        <v>16</v>
      </c>
      <c r="D766" s="129" t="s">
        <v>15359</v>
      </c>
    </row>
    <row r="767" spans="1:4">
      <c r="A767" s="105">
        <v>87444</v>
      </c>
      <c r="B767" s="104" t="s">
        <v>13654</v>
      </c>
      <c r="C767" s="104" t="s">
        <v>16</v>
      </c>
      <c r="D767" s="129" t="s">
        <v>15471</v>
      </c>
    </row>
    <row r="768" spans="1:4">
      <c r="A768" s="105">
        <v>88387</v>
      </c>
      <c r="B768" s="104" t="s">
        <v>1075</v>
      </c>
      <c r="C768" s="104" t="s">
        <v>16</v>
      </c>
      <c r="D768" s="129" t="s">
        <v>15472</v>
      </c>
    </row>
    <row r="769" spans="1:4">
      <c r="A769" s="105">
        <v>88389</v>
      </c>
      <c r="B769" s="104" t="s">
        <v>1076</v>
      </c>
      <c r="C769" s="104" t="s">
        <v>16</v>
      </c>
      <c r="D769" s="129" t="s">
        <v>15473</v>
      </c>
    </row>
    <row r="770" spans="1:4">
      <c r="A770" s="105">
        <v>88390</v>
      </c>
      <c r="B770" s="104" t="s">
        <v>1077</v>
      </c>
      <c r="C770" s="104" t="s">
        <v>16</v>
      </c>
      <c r="D770" s="129" t="s">
        <v>15474</v>
      </c>
    </row>
    <row r="771" spans="1:4">
      <c r="A771" s="105">
        <v>88391</v>
      </c>
      <c r="B771" s="104" t="s">
        <v>1078</v>
      </c>
      <c r="C771" s="104" t="s">
        <v>16</v>
      </c>
      <c r="D771" s="129" t="s">
        <v>15475</v>
      </c>
    </row>
    <row r="772" spans="1:4">
      <c r="A772" s="105">
        <v>88394</v>
      </c>
      <c r="B772" s="104" t="s">
        <v>1079</v>
      </c>
      <c r="C772" s="104" t="s">
        <v>16</v>
      </c>
      <c r="D772" s="129" t="s">
        <v>15476</v>
      </c>
    </row>
    <row r="773" spans="1:4">
      <c r="A773" s="105">
        <v>88395</v>
      </c>
      <c r="B773" s="104" t="s">
        <v>1080</v>
      </c>
      <c r="C773" s="104" t="s">
        <v>16</v>
      </c>
      <c r="D773" s="129" t="s">
        <v>15334</v>
      </c>
    </row>
    <row r="774" spans="1:4">
      <c r="A774" s="105">
        <v>88396</v>
      </c>
      <c r="B774" s="104" t="s">
        <v>1081</v>
      </c>
      <c r="C774" s="104" t="s">
        <v>16</v>
      </c>
      <c r="D774" s="129" t="s">
        <v>15477</v>
      </c>
    </row>
    <row r="775" spans="1:4">
      <c r="A775" s="105">
        <v>88397</v>
      </c>
      <c r="B775" s="104" t="s">
        <v>1082</v>
      </c>
      <c r="C775" s="104" t="s">
        <v>16</v>
      </c>
      <c r="D775" s="129" t="s">
        <v>15478</v>
      </c>
    </row>
    <row r="776" spans="1:4">
      <c r="A776" s="105">
        <v>88400</v>
      </c>
      <c r="B776" s="104" t="s">
        <v>1083</v>
      </c>
      <c r="C776" s="104" t="s">
        <v>16</v>
      </c>
      <c r="D776" s="129" t="s">
        <v>15479</v>
      </c>
    </row>
    <row r="777" spans="1:4">
      <c r="A777" s="105">
        <v>88401</v>
      </c>
      <c r="B777" s="104" t="s">
        <v>1084</v>
      </c>
      <c r="C777" s="104" t="s">
        <v>16</v>
      </c>
      <c r="D777" s="129" t="s">
        <v>15473</v>
      </c>
    </row>
    <row r="778" spans="1:4">
      <c r="A778" s="105">
        <v>88402</v>
      </c>
      <c r="B778" s="104" t="s">
        <v>1085</v>
      </c>
      <c r="C778" s="104" t="s">
        <v>16</v>
      </c>
      <c r="D778" s="129" t="s">
        <v>15480</v>
      </c>
    </row>
    <row r="779" spans="1:4">
      <c r="A779" s="105">
        <v>88403</v>
      </c>
      <c r="B779" s="104" t="s">
        <v>1086</v>
      </c>
      <c r="C779" s="104" t="s">
        <v>16</v>
      </c>
      <c r="D779" s="129" t="s">
        <v>15481</v>
      </c>
    </row>
    <row r="780" spans="1:4">
      <c r="A780" s="105">
        <v>88419</v>
      </c>
      <c r="B780" s="104" t="s">
        <v>1087</v>
      </c>
      <c r="C780" s="104" t="s">
        <v>16</v>
      </c>
      <c r="D780" s="129" t="s">
        <v>15482</v>
      </c>
    </row>
    <row r="781" spans="1:4">
      <c r="A781" s="105">
        <v>88422</v>
      </c>
      <c r="B781" s="104" t="s">
        <v>1088</v>
      </c>
      <c r="C781" s="104" t="s">
        <v>16</v>
      </c>
      <c r="D781" s="129" t="s">
        <v>15483</v>
      </c>
    </row>
    <row r="782" spans="1:4">
      <c r="A782" s="105">
        <v>88425</v>
      </c>
      <c r="B782" s="104" t="s">
        <v>1089</v>
      </c>
      <c r="C782" s="104" t="s">
        <v>16</v>
      </c>
      <c r="D782" s="129" t="s">
        <v>15484</v>
      </c>
    </row>
    <row r="783" spans="1:4">
      <c r="A783" s="105">
        <v>88427</v>
      </c>
      <c r="B783" s="104" t="s">
        <v>1090</v>
      </c>
      <c r="C783" s="104" t="s">
        <v>16</v>
      </c>
      <c r="D783" s="129" t="s">
        <v>15485</v>
      </c>
    </row>
    <row r="784" spans="1:4">
      <c r="A784" s="105">
        <v>88434</v>
      </c>
      <c r="B784" s="104" t="s">
        <v>1091</v>
      </c>
      <c r="C784" s="104" t="s">
        <v>16</v>
      </c>
      <c r="D784" s="129" t="s">
        <v>15486</v>
      </c>
    </row>
    <row r="785" spans="1:4">
      <c r="A785" s="105">
        <v>88435</v>
      </c>
      <c r="B785" s="104" t="s">
        <v>1092</v>
      </c>
      <c r="C785" s="104" t="s">
        <v>16</v>
      </c>
      <c r="D785" s="129" t="s">
        <v>15487</v>
      </c>
    </row>
    <row r="786" spans="1:4">
      <c r="A786" s="105">
        <v>88436</v>
      </c>
      <c r="B786" s="104" t="s">
        <v>1093</v>
      </c>
      <c r="C786" s="104" t="s">
        <v>16</v>
      </c>
      <c r="D786" s="129" t="s">
        <v>15488</v>
      </c>
    </row>
    <row r="787" spans="1:4">
      <c r="A787" s="105">
        <v>88437</v>
      </c>
      <c r="B787" s="104" t="s">
        <v>1094</v>
      </c>
      <c r="C787" s="104" t="s">
        <v>16</v>
      </c>
      <c r="D787" s="129" t="s">
        <v>15485</v>
      </c>
    </row>
    <row r="788" spans="1:4">
      <c r="A788" s="105">
        <v>88569</v>
      </c>
      <c r="B788" s="104" t="s">
        <v>1095</v>
      </c>
      <c r="C788" s="104" t="s">
        <v>16</v>
      </c>
      <c r="D788" s="129" t="s">
        <v>15489</v>
      </c>
    </row>
    <row r="789" spans="1:4">
      <c r="A789" s="105">
        <v>88570</v>
      </c>
      <c r="B789" s="104" t="s">
        <v>1096</v>
      </c>
      <c r="C789" s="104" t="s">
        <v>16</v>
      </c>
      <c r="D789" s="129" t="s">
        <v>15490</v>
      </c>
    </row>
    <row r="790" spans="1:4">
      <c r="A790" s="105">
        <v>88826</v>
      </c>
      <c r="B790" s="104" t="s">
        <v>1097</v>
      </c>
      <c r="C790" s="104" t="s">
        <v>16</v>
      </c>
      <c r="D790" s="129" t="s">
        <v>15491</v>
      </c>
    </row>
    <row r="791" spans="1:4">
      <c r="A791" s="105">
        <v>88827</v>
      </c>
      <c r="B791" s="104" t="s">
        <v>1098</v>
      </c>
      <c r="C791" s="104" t="s">
        <v>16</v>
      </c>
      <c r="D791" s="129" t="s">
        <v>15492</v>
      </c>
    </row>
    <row r="792" spans="1:4">
      <c r="A792" s="105">
        <v>88828</v>
      </c>
      <c r="B792" s="104" t="s">
        <v>1099</v>
      </c>
      <c r="C792" s="104" t="s">
        <v>16</v>
      </c>
      <c r="D792" s="129" t="s">
        <v>15289</v>
      </c>
    </row>
    <row r="793" spans="1:4">
      <c r="A793" s="105">
        <v>88829</v>
      </c>
      <c r="B793" s="104" t="s">
        <v>1100</v>
      </c>
      <c r="C793" s="104" t="s">
        <v>16</v>
      </c>
      <c r="D793" s="129" t="s">
        <v>15493</v>
      </c>
    </row>
    <row r="794" spans="1:4">
      <c r="A794" s="105">
        <v>88832</v>
      </c>
      <c r="B794" s="104" t="s">
        <v>1101</v>
      </c>
      <c r="C794" s="104" t="s">
        <v>16</v>
      </c>
      <c r="D794" s="129" t="s">
        <v>15494</v>
      </c>
    </row>
    <row r="795" spans="1:4">
      <c r="A795" s="105">
        <v>88834</v>
      </c>
      <c r="B795" s="104" t="s">
        <v>1102</v>
      </c>
      <c r="C795" s="104" t="s">
        <v>16</v>
      </c>
      <c r="D795" s="129" t="s">
        <v>15495</v>
      </c>
    </row>
    <row r="796" spans="1:4">
      <c r="A796" s="105">
        <v>88835</v>
      </c>
      <c r="B796" s="104" t="s">
        <v>1103</v>
      </c>
      <c r="C796" s="104" t="s">
        <v>16</v>
      </c>
      <c r="D796" s="129" t="s">
        <v>15496</v>
      </c>
    </row>
    <row r="797" spans="1:4">
      <c r="A797" s="105">
        <v>88836</v>
      </c>
      <c r="B797" s="104" t="s">
        <v>1104</v>
      </c>
      <c r="C797" s="104" t="s">
        <v>16</v>
      </c>
      <c r="D797" s="129" t="s">
        <v>15497</v>
      </c>
    </row>
    <row r="798" spans="1:4">
      <c r="A798" s="105">
        <v>88839</v>
      </c>
      <c r="B798" s="104" t="s">
        <v>1105</v>
      </c>
      <c r="C798" s="104" t="s">
        <v>16</v>
      </c>
      <c r="D798" s="129" t="s">
        <v>15498</v>
      </c>
    </row>
    <row r="799" spans="1:4">
      <c r="A799" s="105">
        <v>88840</v>
      </c>
      <c r="B799" s="104" t="s">
        <v>1106</v>
      </c>
      <c r="C799" s="104" t="s">
        <v>16</v>
      </c>
      <c r="D799" s="129" t="s">
        <v>15499</v>
      </c>
    </row>
    <row r="800" spans="1:4">
      <c r="A800" s="105">
        <v>88841</v>
      </c>
      <c r="B800" s="104" t="s">
        <v>1107</v>
      </c>
      <c r="C800" s="104" t="s">
        <v>16</v>
      </c>
      <c r="D800" s="129" t="s">
        <v>15500</v>
      </c>
    </row>
    <row r="801" spans="1:4">
      <c r="A801" s="105">
        <v>88842</v>
      </c>
      <c r="B801" s="104" t="s">
        <v>1108</v>
      </c>
      <c r="C801" s="104" t="s">
        <v>16</v>
      </c>
      <c r="D801" s="129" t="s">
        <v>15501</v>
      </c>
    </row>
    <row r="802" spans="1:4">
      <c r="A802" s="105">
        <v>88847</v>
      </c>
      <c r="B802" s="104" t="s">
        <v>1109</v>
      </c>
      <c r="C802" s="104" t="s">
        <v>16</v>
      </c>
      <c r="D802" s="129" t="s">
        <v>15502</v>
      </c>
    </row>
    <row r="803" spans="1:4">
      <c r="A803" s="105">
        <v>88848</v>
      </c>
      <c r="B803" s="104" t="s">
        <v>1110</v>
      </c>
      <c r="C803" s="104" t="s">
        <v>16</v>
      </c>
      <c r="D803" s="129" t="s">
        <v>15503</v>
      </c>
    </row>
    <row r="804" spans="1:4">
      <c r="A804" s="105">
        <v>88853</v>
      </c>
      <c r="B804" s="104" t="s">
        <v>1111</v>
      </c>
      <c r="C804" s="104" t="s">
        <v>16</v>
      </c>
      <c r="D804" s="129" t="s">
        <v>15504</v>
      </c>
    </row>
    <row r="805" spans="1:4">
      <c r="A805" s="105">
        <v>88854</v>
      </c>
      <c r="B805" s="104" t="s">
        <v>1112</v>
      </c>
      <c r="C805" s="104" t="s">
        <v>16</v>
      </c>
      <c r="D805" s="129" t="s">
        <v>15426</v>
      </c>
    </row>
    <row r="806" spans="1:4">
      <c r="A806" s="105">
        <v>88855</v>
      </c>
      <c r="B806" s="104" t="s">
        <v>1113</v>
      </c>
      <c r="C806" s="104" t="s">
        <v>16</v>
      </c>
      <c r="D806" s="129" t="s">
        <v>15505</v>
      </c>
    </row>
    <row r="807" spans="1:4">
      <c r="A807" s="105">
        <v>88856</v>
      </c>
      <c r="B807" s="104" t="s">
        <v>1114</v>
      </c>
      <c r="C807" s="104" t="s">
        <v>16</v>
      </c>
      <c r="D807" s="129" t="s">
        <v>15323</v>
      </c>
    </row>
    <row r="808" spans="1:4">
      <c r="A808" s="105">
        <v>88857</v>
      </c>
      <c r="B808" s="104" t="s">
        <v>1115</v>
      </c>
      <c r="C808" s="104" t="s">
        <v>16</v>
      </c>
      <c r="D808" s="129" t="s">
        <v>15506</v>
      </c>
    </row>
    <row r="809" spans="1:4">
      <c r="A809" s="105">
        <v>88858</v>
      </c>
      <c r="B809" s="104" t="s">
        <v>1116</v>
      </c>
      <c r="C809" s="104" t="s">
        <v>16</v>
      </c>
      <c r="D809" s="129" t="s">
        <v>15507</v>
      </c>
    </row>
    <row r="810" spans="1:4">
      <c r="A810" s="105">
        <v>88859</v>
      </c>
      <c r="B810" s="104" t="s">
        <v>1117</v>
      </c>
      <c r="C810" s="104" t="s">
        <v>16</v>
      </c>
      <c r="D810" s="129" t="s">
        <v>15508</v>
      </c>
    </row>
    <row r="811" spans="1:4">
      <c r="A811" s="105">
        <v>88860</v>
      </c>
      <c r="B811" s="104" t="s">
        <v>1118</v>
      </c>
      <c r="C811" s="104" t="s">
        <v>16</v>
      </c>
      <c r="D811" s="129" t="s">
        <v>15509</v>
      </c>
    </row>
    <row r="812" spans="1:4">
      <c r="A812" s="105">
        <v>88900</v>
      </c>
      <c r="B812" s="104" t="s">
        <v>1119</v>
      </c>
      <c r="C812" s="104" t="s">
        <v>16</v>
      </c>
      <c r="D812" s="129" t="s">
        <v>15510</v>
      </c>
    </row>
    <row r="813" spans="1:4">
      <c r="A813" s="105">
        <v>88902</v>
      </c>
      <c r="B813" s="104" t="s">
        <v>1120</v>
      </c>
      <c r="C813" s="104" t="s">
        <v>16</v>
      </c>
      <c r="D813" s="129" t="s">
        <v>15511</v>
      </c>
    </row>
    <row r="814" spans="1:4">
      <c r="A814" s="105">
        <v>88903</v>
      </c>
      <c r="B814" s="104" t="s">
        <v>1121</v>
      </c>
      <c r="C814" s="104" t="s">
        <v>16</v>
      </c>
      <c r="D814" s="129" t="s">
        <v>15512</v>
      </c>
    </row>
    <row r="815" spans="1:4">
      <c r="A815" s="105">
        <v>88904</v>
      </c>
      <c r="B815" s="104" t="s">
        <v>1122</v>
      </c>
      <c r="C815" s="104" t="s">
        <v>16</v>
      </c>
      <c r="D815" s="129" t="s">
        <v>15513</v>
      </c>
    </row>
    <row r="816" spans="1:4">
      <c r="A816" s="105">
        <v>89009</v>
      </c>
      <c r="B816" s="104" t="s">
        <v>1123</v>
      </c>
      <c r="C816" s="104" t="s">
        <v>16</v>
      </c>
      <c r="D816" s="129" t="s">
        <v>15514</v>
      </c>
    </row>
    <row r="817" spans="1:4">
      <c r="A817" s="105">
        <v>89010</v>
      </c>
      <c r="B817" s="104" t="s">
        <v>1124</v>
      </c>
      <c r="C817" s="104" t="s">
        <v>16</v>
      </c>
      <c r="D817" s="129" t="s">
        <v>15515</v>
      </c>
    </row>
    <row r="818" spans="1:4">
      <c r="A818" s="105">
        <v>89011</v>
      </c>
      <c r="B818" s="104" t="s">
        <v>1125</v>
      </c>
      <c r="C818" s="104" t="s">
        <v>16</v>
      </c>
      <c r="D818" s="129" t="s">
        <v>15516</v>
      </c>
    </row>
    <row r="819" spans="1:4">
      <c r="A819" s="105">
        <v>89012</v>
      </c>
      <c r="B819" s="104" t="s">
        <v>1126</v>
      </c>
      <c r="C819" s="104" t="s">
        <v>16</v>
      </c>
      <c r="D819" s="129" t="s">
        <v>15517</v>
      </c>
    </row>
    <row r="820" spans="1:4">
      <c r="A820" s="105">
        <v>89013</v>
      </c>
      <c r="B820" s="104" t="s">
        <v>1127</v>
      </c>
      <c r="C820" s="104" t="s">
        <v>16</v>
      </c>
      <c r="D820" s="129" t="s">
        <v>15518</v>
      </c>
    </row>
    <row r="821" spans="1:4">
      <c r="A821" s="105">
        <v>89014</v>
      </c>
      <c r="B821" s="104" t="s">
        <v>1128</v>
      </c>
      <c r="C821" s="104" t="s">
        <v>16</v>
      </c>
      <c r="D821" s="129" t="s">
        <v>15519</v>
      </c>
    </row>
    <row r="822" spans="1:4">
      <c r="A822" s="105">
        <v>89015</v>
      </c>
      <c r="B822" s="104" t="s">
        <v>1129</v>
      </c>
      <c r="C822" s="104" t="s">
        <v>16</v>
      </c>
      <c r="D822" s="129" t="s">
        <v>15520</v>
      </c>
    </row>
    <row r="823" spans="1:4">
      <c r="A823" s="105">
        <v>89016</v>
      </c>
      <c r="B823" s="104" t="s">
        <v>1130</v>
      </c>
      <c r="C823" s="104" t="s">
        <v>16</v>
      </c>
      <c r="D823" s="129" t="s">
        <v>15521</v>
      </c>
    </row>
    <row r="824" spans="1:4">
      <c r="A824" s="105">
        <v>89017</v>
      </c>
      <c r="B824" s="104" t="s">
        <v>1131</v>
      </c>
      <c r="C824" s="104" t="s">
        <v>16</v>
      </c>
      <c r="D824" s="129" t="s">
        <v>15522</v>
      </c>
    </row>
    <row r="825" spans="1:4">
      <c r="A825" s="105">
        <v>89018</v>
      </c>
      <c r="B825" s="104" t="s">
        <v>1132</v>
      </c>
      <c r="C825" s="104" t="s">
        <v>16</v>
      </c>
      <c r="D825" s="129" t="s">
        <v>15523</v>
      </c>
    </row>
    <row r="826" spans="1:4">
      <c r="A826" s="105">
        <v>89019</v>
      </c>
      <c r="B826" s="104" t="s">
        <v>1133</v>
      </c>
      <c r="C826" s="104" t="s">
        <v>16</v>
      </c>
      <c r="D826" s="129" t="s">
        <v>15524</v>
      </c>
    </row>
    <row r="827" spans="1:4">
      <c r="A827" s="105">
        <v>89020</v>
      </c>
      <c r="B827" s="104" t="s">
        <v>1134</v>
      </c>
      <c r="C827" s="104" t="s">
        <v>16</v>
      </c>
      <c r="D827" s="129" t="s">
        <v>15354</v>
      </c>
    </row>
    <row r="828" spans="1:4">
      <c r="A828" s="105">
        <v>89023</v>
      </c>
      <c r="B828" s="104" t="s">
        <v>1135</v>
      </c>
      <c r="C828" s="104" t="s">
        <v>16</v>
      </c>
      <c r="D828" s="129" t="s">
        <v>15525</v>
      </c>
    </row>
    <row r="829" spans="1:4">
      <c r="A829" s="105">
        <v>89024</v>
      </c>
      <c r="B829" s="104" t="s">
        <v>1136</v>
      </c>
      <c r="C829" s="104" t="s">
        <v>16</v>
      </c>
      <c r="D829" s="129" t="s">
        <v>15526</v>
      </c>
    </row>
    <row r="830" spans="1:4">
      <c r="A830" s="105">
        <v>89025</v>
      </c>
      <c r="B830" s="104" t="s">
        <v>1137</v>
      </c>
      <c r="C830" s="104" t="s">
        <v>16</v>
      </c>
      <c r="D830" s="129" t="s">
        <v>15527</v>
      </c>
    </row>
    <row r="831" spans="1:4">
      <c r="A831" s="105">
        <v>89026</v>
      </c>
      <c r="B831" s="104" t="s">
        <v>1138</v>
      </c>
      <c r="C831" s="104" t="s">
        <v>16</v>
      </c>
      <c r="D831" s="129" t="s">
        <v>15528</v>
      </c>
    </row>
    <row r="832" spans="1:4">
      <c r="A832" s="105">
        <v>89029</v>
      </c>
      <c r="B832" s="104" t="s">
        <v>1139</v>
      </c>
      <c r="C832" s="104" t="s">
        <v>16</v>
      </c>
      <c r="D832" s="129" t="s">
        <v>15529</v>
      </c>
    </row>
    <row r="833" spans="1:4">
      <c r="A833" s="105">
        <v>89030</v>
      </c>
      <c r="B833" s="104" t="s">
        <v>1140</v>
      </c>
      <c r="C833" s="104" t="s">
        <v>16</v>
      </c>
      <c r="D833" s="129" t="s">
        <v>15530</v>
      </c>
    </row>
    <row r="834" spans="1:4">
      <c r="A834" s="105">
        <v>89033</v>
      </c>
      <c r="B834" s="104" t="s">
        <v>1141</v>
      </c>
      <c r="C834" s="104" t="s">
        <v>16</v>
      </c>
      <c r="D834" s="129" t="s">
        <v>15531</v>
      </c>
    </row>
    <row r="835" spans="1:4">
      <c r="A835" s="105">
        <v>89034</v>
      </c>
      <c r="B835" s="104" t="s">
        <v>1142</v>
      </c>
      <c r="C835" s="104" t="s">
        <v>16</v>
      </c>
      <c r="D835" s="129" t="s">
        <v>15532</v>
      </c>
    </row>
    <row r="836" spans="1:4">
      <c r="A836" s="105">
        <v>89128</v>
      </c>
      <c r="B836" s="104" t="s">
        <v>1143</v>
      </c>
      <c r="C836" s="104" t="s">
        <v>16</v>
      </c>
      <c r="D836" s="129" t="s">
        <v>15533</v>
      </c>
    </row>
    <row r="837" spans="1:4">
      <c r="A837" s="105">
        <v>89129</v>
      </c>
      <c r="B837" s="104" t="s">
        <v>1144</v>
      </c>
      <c r="C837" s="104" t="s">
        <v>16</v>
      </c>
      <c r="D837" s="129" t="s">
        <v>15238</v>
      </c>
    </row>
    <row r="838" spans="1:4">
      <c r="A838" s="105">
        <v>89130</v>
      </c>
      <c r="B838" s="104" t="s">
        <v>1145</v>
      </c>
      <c r="C838" s="104" t="s">
        <v>16</v>
      </c>
      <c r="D838" s="129" t="s">
        <v>15534</v>
      </c>
    </row>
    <row r="839" spans="1:4">
      <c r="A839" s="105">
        <v>89131</v>
      </c>
      <c r="B839" s="104" t="s">
        <v>1146</v>
      </c>
      <c r="C839" s="104" t="s">
        <v>16</v>
      </c>
      <c r="D839" s="129" t="s">
        <v>15535</v>
      </c>
    </row>
    <row r="840" spans="1:4">
      <c r="A840" s="105">
        <v>89210</v>
      </c>
      <c r="B840" s="104" t="s">
        <v>1147</v>
      </c>
      <c r="C840" s="104" t="s">
        <v>16</v>
      </c>
      <c r="D840" s="129" t="s">
        <v>15536</v>
      </c>
    </row>
    <row r="841" spans="1:4">
      <c r="A841" s="105">
        <v>89211</v>
      </c>
      <c r="B841" s="104" t="s">
        <v>1148</v>
      </c>
      <c r="C841" s="104" t="s">
        <v>16</v>
      </c>
      <c r="D841" s="129" t="s">
        <v>15537</v>
      </c>
    </row>
    <row r="842" spans="1:4">
      <c r="A842" s="105">
        <v>89212</v>
      </c>
      <c r="B842" s="104" t="s">
        <v>1149</v>
      </c>
      <c r="C842" s="104" t="s">
        <v>16</v>
      </c>
      <c r="D842" s="129" t="s">
        <v>15538</v>
      </c>
    </row>
    <row r="843" spans="1:4">
      <c r="A843" s="105">
        <v>89213</v>
      </c>
      <c r="B843" s="104" t="s">
        <v>1150</v>
      </c>
      <c r="C843" s="104" t="s">
        <v>16</v>
      </c>
      <c r="D843" s="129" t="s">
        <v>15539</v>
      </c>
    </row>
    <row r="844" spans="1:4">
      <c r="A844" s="105">
        <v>89214</v>
      </c>
      <c r="B844" s="104" t="s">
        <v>1151</v>
      </c>
      <c r="C844" s="104" t="s">
        <v>16</v>
      </c>
      <c r="D844" s="129" t="s">
        <v>15540</v>
      </c>
    </row>
    <row r="845" spans="1:4">
      <c r="A845" s="105">
        <v>89215</v>
      </c>
      <c r="B845" s="104" t="s">
        <v>1152</v>
      </c>
      <c r="C845" s="104" t="s">
        <v>16</v>
      </c>
      <c r="D845" s="129" t="s">
        <v>15541</v>
      </c>
    </row>
    <row r="846" spans="1:4">
      <c r="A846" s="105">
        <v>89221</v>
      </c>
      <c r="B846" s="104" t="s">
        <v>1153</v>
      </c>
      <c r="C846" s="104" t="s">
        <v>16</v>
      </c>
      <c r="D846" s="129" t="s">
        <v>15542</v>
      </c>
    </row>
    <row r="847" spans="1:4">
      <c r="A847" s="105">
        <v>89222</v>
      </c>
      <c r="B847" s="104" t="s">
        <v>1154</v>
      </c>
      <c r="C847" s="104" t="s">
        <v>16</v>
      </c>
      <c r="D847" s="129" t="s">
        <v>15543</v>
      </c>
    </row>
    <row r="848" spans="1:4">
      <c r="A848" s="105">
        <v>89223</v>
      </c>
      <c r="B848" s="104" t="s">
        <v>1155</v>
      </c>
      <c r="C848" s="104" t="s">
        <v>16</v>
      </c>
      <c r="D848" s="129" t="s">
        <v>15544</v>
      </c>
    </row>
    <row r="849" spans="1:4">
      <c r="A849" s="105">
        <v>89224</v>
      </c>
      <c r="B849" s="104" t="s">
        <v>1156</v>
      </c>
      <c r="C849" s="104" t="s">
        <v>16</v>
      </c>
      <c r="D849" s="129" t="s">
        <v>15545</v>
      </c>
    </row>
    <row r="850" spans="1:4">
      <c r="A850" s="105">
        <v>89228</v>
      </c>
      <c r="B850" s="104" t="s">
        <v>1157</v>
      </c>
      <c r="C850" s="104" t="s">
        <v>16</v>
      </c>
      <c r="D850" s="129" t="s">
        <v>15546</v>
      </c>
    </row>
    <row r="851" spans="1:4">
      <c r="A851" s="105">
        <v>89229</v>
      </c>
      <c r="B851" s="104" t="s">
        <v>1158</v>
      </c>
      <c r="C851" s="104" t="s">
        <v>16</v>
      </c>
      <c r="D851" s="129" t="s">
        <v>15547</v>
      </c>
    </row>
    <row r="852" spans="1:4">
      <c r="A852" s="105">
        <v>89230</v>
      </c>
      <c r="B852" s="104" t="s">
        <v>1159</v>
      </c>
      <c r="C852" s="104" t="s">
        <v>16</v>
      </c>
      <c r="D852" s="129" t="s">
        <v>15548</v>
      </c>
    </row>
    <row r="853" spans="1:4">
      <c r="A853" s="105">
        <v>89231</v>
      </c>
      <c r="B853" s="104" t="s">
        <v>1160</v>
      </c>
      <c r="C853" s="104" t="s">
        <v>16</v>
      </c>
      <c r="D853" s="129" t="s">
        <v>15549</v>
      </c>
    </row>
    <row r="854" spans="1:4">
      <c r="A854" s="105">
        <v>89232</v>
      </c>
      <c r="B854" s="104" t="s">
        <v>1161</v>
      </c>
      <c r="C854" s="104" t="s">
        <v>16</v>
      </c>
      <c r="D854" s="129" t="s">
        <v>15550</v>
      </c>
    </row>
    <row r="855" spans="1:4">
      <c r="A855" s="105">
        <v>89233</v>
      </c>
      <c r="B855" s="104" t="s">
        <v>1162</v>
      </c>
      <c r="C855" s="104" t="s">
        <v>16</v>
      </c>
      <c r="D855" s="129" t="s">
        <v>15551</v>
      </c>
    </row>
    <row r="856" spans="1:4">
      <c r="A856" s="105">
        <v>89236</v>
      </c>
      <c r="B856" s="104" t="s">
        <v>1163</v>
      </c>
      <c r="C856" s="104" t="s">
        <v>16</v>
      </c>
      <c r="D856" s="129" t="s">
        <v>15552</v>
      </c>
    </row>
    <row r="857" spans="1:4">
      <c r="A857" s="105">
        <v>89237</v>
      </c>
      <c r="B857" s="104" t="s">
        <v>1164</v>
      </c>
      <c r="C857" s="104" t="s">
        <v>16</v>
      </c>
      <c r="D857" s="129" t="s">
        <v>15553</v>
      </c>
    </row>
    <row r="858" spans="1:4">
      <c r="A858" s="105">
        <v>89238</v>
      </c>
      <c r="B858" s="104" t="s">
        <v>1165</v>
      </c>
      <c r="C858" s="104" t="s">
        <v>16</v>
      </c>
      <c r="D858" s="129" t="s">
        <v>15554</v>
      </c>
    </row>
    <row r="859" spans="1:4">
      <c r="A859" s="105">
        <v>89239</v>
      </c>
      <c r="B859" s="104" t="s">
        <v>1166</v>
      </c>
      <c r="C859" s="104" t="s">
        <v>16</v>
      </c>
      <c r="D859" s="129" t="s">
        <v>15555</v>
      </c>
    </row>
    <row r="860" spans="1:4">
      <c r="A860" s="105">
        <v>89240</v>
      </c>
      <c r="B860" s="104" t="s">
        <v>1167</v>
      </c>
      <c r="C860" s="104" t="s">
        <v>16</v>
      </c>
      <c r="D860" s="129" t="s">
        <v>15556</v>
      </c>
    </row>
    <row r="861" spans="1:4">
      <c r="A861" s="105">
        <v>89241</v>
      </c>
      <c r="B861" s="104" t="s">
        <v>1168</v>
      </c>
      <c r="C861" s="104" t="s">
        <v>16</v>
      </c>
      <c r="D861" s="129" t="s">
        <v>15557</v>
      </c>
    </row>
    <row r="862" spans="1:4">
      <c r="A862" s="105">
        <v>89246</v>
      </c>
      <c r="B862" s="104" t="s">
        <v>1169</v>
      </c>
      <c r="C862" s="104" t="s">
        <v>16</v>
      </c>
      <c r="D862" s="129" t="s">
        <v>15558</v>
      </c>
    </row>
    <row r="863" spans="1:4">
      <c r="A863" s="105">
        <v>89247</v>
      </c>
      <c r="B863" s="104" t="s">
        <v>1170</v>
      </c>
      <c r="C863" s="104" t="s">
        <v>16</v>
      </c>
      <c r="D863" s="129" t="s">
        <v>15559</v>
      </c>
    </row>
    <row r="864" spans="1:4">
      <c r="A864" s="105">
        <v>89248</v>
      </c>
      <c r="B864" s="104" t="s">
        <v>1171</v>
      </c>
      <c r="C864" s="104" t="s">
        <v>16</v>
      </c>
      <c r="D864" s="129" t="s">
        <v>15560</v>
      </c>
    </row>
    <row r="865" spans="1:4">
      <c r="A865" s="105">
        <v>89249</v>
      </c>
      <c r="B865" s="104" t="s">
        <v>1172</v>
      </c>
      <c r="C865" s="104" t="s">
        <v>16</v>
      </c>
      <c r="D865" s="129" t="s">
        <v>15561</v>
      </c>
    </row>
    <row r="866" spans="1:4">
      <c r="A866" s="105">
        <v>89253</v>
      </c>
      <c r="B866" s="104" t="s">
        <v>1173</v>
      </c>
      <c r="C866" s="104" t="s">
        <v>16</v>
      </c>
      <c r="D866" s="129" t="s">
        <v>15562</v>
      </c>
    </row>
    <row r="867" spans="1:4">
      <c r="A867" s="105">
        <v>89254</v>
      </c>
      <c r="B867" s="104" t="s">
        <v>1174</v>
      </c>
      <c r="C867" s="104" t="s">
        <v>16</v>
      </c>
      <c r="D867" s="129" t="s">
        <v>15563</v>
      </c>
    </row>
    <row r="868" spans="1:4">
      <c r="A868" s="105">
        <v>89255</v>
      </c>
      <c r="B868" s="104" t="s">
        <v>1175</v>
      </c>
      <c r="C868" s="104" t="s">
        <v>16</v>
      </c>
      <c r="D868" s="129" t="s">
        <v>15564</v>
      </c>
    </row>
    <row r="869" spans="1:4">
      <c r="A869" s="105">
        <v>89256</v>
      </c>
      <c r="B869" s="104" t="s">
        <v>1176</v>
      </c>
      <c r="C869" s="104" t="s">
        <v>16</v>
      </c>
      <c r="D869" s="129" t="s">
        <v>15565</v>
      </c>
    </row>
    <row r="870" spans="1:4">
      <c r="A870" s="105">
        <v>89259</v>
      </c>
      <c r="B870" s="104" t="s">
        <v>1177</v>
      </c>
      <c r="C870" s="104" t="s">
        <v>16</v>
      </c>
      <c r="D870" s="129" t="s">
        <v>15566</v>
      </c>
    </row>
    <row r="871" spans="1:4">
      <c r="A871" s="105">
        <v>89260</v>
      </c>
      <c r="B871" s="104" t="s">
        <v>1178</v>
      </c>
      <c r="C871" s="104" t="s">
        <v>16</v>
      </c>
      <c r="D871" s="129" t="s">
        <v>14820</v>
      </c>
    </row>
    <row r="872" spans="1:4">
      <c r="A872" s="105">
        <v>89262</v>
      </c>
      <c r="B872" s="104" t="s">
        <v>1179</v>
      </c>
      <c r="C872" s="104" t="s">
        <v>16</v>
      </c>
      <c r="D872" s="129" t="s">
        <v>15567</v>
      </c>
    </row>
    <row r="873" spans="1:4">
      <c r="A873" s="105">
        <v>89264</v>
      </c>
      <c r="B873" s="104" t="s">
        <v>1180</v>
      </c>
      <c r="C873" s="104" t="s">
        <v>16</v>
      </c>
      <c r="D873" s="129" t="s">
        <v>15568</v>
      </c>
    </row>
    <row r="874" spans="1:4">
      <c r="A874" s="105">
        <v>89265</v>
      </c>
      <c r="B874" s="104" t="s">
        <v>1181</v>
      </c>
      <c r="C874" s="104" t="s">
        <v>16</v>
      </c>
      <c r="D874" s="129" t="s">
        <v>15569</v>
      </c>
    </row>
    <row r="875" spans="1:4">
      <c r="A875" s="105">
        <v>89266</v>
      </c>
      <c r="B875" s="104" t="s">
        <v>1182</v>
      </c>
      <c r="C875" s="104" t="s">
        <v>16</v>
      </c>
      <c r="D875" s="129" t="s">
        <v>15570</v>
      </c>
    </row>
    <row r="876" spans="1:4">
      <c r="A876" s="105">
        <v>89267</v>
      </c>
      <c r="B876" s="104" t="s">
        <v>1183</v>
      </c>
      <c r="C876" s="104" t="s">
        <v>16</v>
      </c>
      <c r="D876" s="129" t="s">
        <v>15571</v>
      </c>
    </row>
    <row r="877" spans="1:4">
      <c r="A877" s="105">
        <v>89268</v>
      </c>
      <c r="B877" s="104" t="s">
        <v>1184</v>
      </c>
      <c r="C877" s="104" t="s">
        <v>16</v>
      </c>
      <c r="D877" s="129" t="s">
        <v>15288</v>
      </c>
    </row>
    <row r="878" spans="1:4">
      <c r="A878" s="105">
        <v>89269</v>
      </c>
      <c r="B878" s="104" t="s">
        <v>1185</v>
      </c>
      <c r="C878" s="104" t="s">
        <v>16</v>
      </c>
      <c r="D878" s="129" t="s">
        <v>15572</v>
      </c>
    </row>
    <row r="879" spans="1:4">
      <c r="A879" s="105">
        <v>89270</v>
      </c>
      <c r="B879" s="104" t="s">
        <v>1186</v>
      </c>
      <c r="C879" s="104" t="s">
        <v>16</v>
      </c>
      <c r="D879" s="129" t="s">
        <v>15573</v>
      </c>
    </row>
    <row r="880" spans="1:4">
      <c r="A880" s="105">
        <v>89271</v>
      </c>
      <c r="B880" s="104" t="s">
        <v>1187</v>
      </c>
      <c r="C880" s="104" t="s">
        <v>16</v>
      </c>
      <c r="D880" s="129" t="s">
        <v>15574</v>
      </c>
    </row>
    <row r="881" spans="1:4">
      <c r="A881" s="105">
        <v>89274</v>
      </c>
      <c r="B881" s="104" t="s">
        <v>13655</v>
      </c>
      <c r="C881" s="104" t="s">
        <v>16</v>
      </c>
      <c r="D881" s="129" t="s">
        <v>15575</v>
      </c>
    </row>
    <row r="882" spans="1:4">
      <c r="A882" s="105">
        <v>89275</v>
      </c>
      <c r="B882" s="104" t="s">
        <v>13656</v>
      </c>
      <c r="C882" s="104" t="s">
        <v>16</v>
      </c>
      <c r="D882" s="129" t="s">
        <v>15576</v>
      </c>
    </row>
    <row r="883" spans="1:4">
      <c r="A883" s="105">
        <v>89276</v>
      </c>
      <c r="B883" s="104" t="s">
        <v>13657</v>
      </c>
      <c r="C883" s="104" t="s">
        <v>16</v>
      </c>
      <c r="D883" s="129" t="s">
        <v>15577</v>
      </c>
    </row>
    <row r="884" spans="1:4">
      <c r="A884" s="105">
        <v>89277</v>
      </c>
      <c r="B884" s="104" t="s">
        <v>13658</v>
      </c>
      <c r="C884" s="104" t="s">
        <v>16</v>
      </c>
      <c r="D884" s="129" t="s">
        <v>15578</v>
      </c>
    </row>
    <row r="885" spans="1:4">
      <c r="A885" s="105">
        <v>89280</v>
      </c>
      <c r="B885" s="104" t="s">
        <v>1188</v>
      </c>
      <c r="C885" s="104" t="s">
        <v>16</v>
      </c>
      <c r="D885" s="129" t="s">
        <v>15579</v>
      </c>
    </row>
    <row r="886" spans="1:4">
      <c r="A886" s="105">
        <v>89281</v>
      </c>
      <c r="B886" s="104" t="s">
        <v>1189</v>
      </c>
      <c r="C886" s="104" t="s">
        <v>16</v>
      </c>
      <c r="D886" s="129" t="s">
        <v>15580</v>
      </c>
    </row>
    <row r="887" spans="1:4">
      <c r="A887" s="105">
        <v>89870</v>
      </c>
      <c r="B887" s="104" t="s">
        <v>1190</v>
      </c>
      <c r="C887" s="104" t="s">
        <v>16</v>
      </c>
      <c r="D887" s="129" t="s">
        <v>15581</v>
      </c>
    </row>
    <row r="888" spans="1:4">
      <c r="A888" s="105">
        <v>89871</v>
      </c>
      <c r="B888" s="104" t="s">
        <v>1191</v>
      </c>
      <c r="C888" s="104" t="s">
        <v>16</v>
      </c>
      <c r="D888" s="129" t="s">
        <v>15582</v>
      </c>
    </row>
    <row r="889" spans="1:4">
      <c r="A889" s="105">
        <v>89872</v>
      </c>
      <c r="B889" s="104" t="s">
        <v>1192</v>
      </c>
      <c r="C889" s="104" t="s">
        <v>16</v>
      </c>
      <c r="D889" s="129" t="s">
        <v>14817</v>
      </c>
    </row>
    <row r="890" spans="1:4">
      <c r="A890" s="105">
        <v>89873</v>
      </c>
      <c r="B890" s="104" t="s">
        <v>1193</v>
      </c>
      <c r="C890" s="104" t="s">
        <v>16</v>
      </c>
      <c r="D890" s="129" t="s">
        <v>15583</v>
      </c>
    </row>
    <row r="891" spans="1:4">
      <c r="A891" s="105">
        <v>89874</v>
      </c>
      <c r="B891" s="104" t="s">
        <v>1194</v>
      </c>
      <c r="C891" s="104" t="s">
        <v>16</v>
      </c>
      <c r="D891" s="129" t="s">
        <v>15584</v>
      </c>
    </row>
    <row r="892" spans="1:4">
      <c r="A892" s="105">
        <v>89878</v>
      </c>
      <c r="B892" s="104" t="s">
        <v>1195</v>
      </c>
      <c r="C892" s="104" t="s">
        <v>16</v>
      </c>
      <c r="D892" s="129" t="s">
        <v>15585</v>
      </c>
    </row>
    <row r="893" spans="1:4">
      <c r="A893" s="105">
        <v>89879</v>
      </c>
      <c r="B893" s="104" t="s">
        <v>1196</v>
      </c>
      <c r="C893" s="104" t="s">
        <v>16</v>
      </c>
      <c r="D893" s="129" t="s">
        <v>15586</v>
      </c>
    </row>
    <row r="894" spans="1:4">
      <c r="A894" s="105">
        <v>89880</v>
      </c>
      <c r="B894" s="104" t="s">
        <v>1197</v>
      </c>
      <c r="C894" s="104" t="s">
        <v>16</v>
      </c>
      <c r="D894" s="129" t="s">
        <v>15587</v>
      </c>
    </row>
    <row r="895" spans="1:4">
      <c r="A895" s="105">
        <v>89881</v>
      </c>
      <c r="B895" s="104" t="s">
        <v>1198</v>
      </c>
      <c r="C895" s="104" t="s">
        <v>16</v>
      </c>
      <c r="D895" s="129" t="s">
        <v>15588</v>
      </c>
    </row>
    <row r="896" spans="1:4">
      <c r="A896" s="105">
        <v>89882</v>
      </c>
      <c r="B896" s="104" t="s">
        <v>1199</v>
      </c>
      <c r="C896" s="104" t="s">
        <v>16</v>
      </c>
      <c r="D896" s="129" t="s">
        <v>15589</v>
      </c>
    </row>
    <row r="897" spans="1:4">
      <c r="A897" s="105">
        <v>90582</v>
      </c>
      <c r="B897" s="104" t="s">
        <v>1200</v>
      </c>
      <c r="C897" s="104" t="s">
        <v>16</v>
      </c>
      <c r="D897" s="129" t="s">
        <v>15590</v>
      </c>
    </row>
    <row r="898" spans="1:4">
      <c r="A898" s="105">
        <v>90583</v>
      </c>
      <c r="B898" s="104" t="s">
        <v>1201</v>
      </c>
      <c r="C898" s="104" t="s">
        <v>16</v>
      </c>
      <c r="D898" s="129" t="s">
        <v>15492</v>
      </c>
    </row>
    <row r="899" spans="1:4">
      <c r="A899" s="105">
        <v>90584</v>
      </c>
      <c r="B899" s="104" t="s">
        <v>1202</v>
      </c>
      <c r="C899" s="104" t="s">
        <v>16</v>
      </c>
      <c r="D899" s="129" t="s">
        <v>15292</v>
      </c>
    </row>
    <row r="900" spans="1:4">
      <c r="A900" s="105">
        <v>90585</v>
      </c>
      <c r="B900" s="104" t="s">
        <v>1203</v>
      </c>
      <c r="C900" s="104" t="s">
        <v>16</v>
      </c>
      <c r="D900" s="129" t="s">
        <v>15342</v>
      </c>
    </row>
    <row r="901" spans="1:4">
      <c r="A901" s="105">
        <v>90621</v>
      </c>
      <c r="B901" s="104" t="s">
        <v>1204</v>
      </c>
      <c r="C901" s="104" t="s">
        <v>16</v>
      </c>
      <c r="D901" s="129" t="s">
        <v>15591</v>
      </c>
    </row>
    <row r="902" spans="1:4">
      <c r="A902" s="105">
        <v>90622</v>
      </c>
      <c r="B902" s="104" t="s">
        <v>1205</v>
      </c>
      <c r="C902" s="104" t="s">
        <v>16</v>
      </c>
      <c r="D902" s="129" t="s">
        <v>15377</v>
      </c>
    </row>
    <row r="903" spans="1:4">
      <c r="A903" s="105">
        <v>90623</v>
      </c>
      <c r="B903" s="104" t="s">
        <v>1206</v>
      </c>
      <c r="C903" s="104" t="s">
        <v>16</v>
      </c>
      <c r="D903" s="129" t="s">
        <v>15592</v>
      </c>
    </row>
    <row r="904" spans="1:4">
      <c r="A904" s="105">
        <v>90624</v>
      </c>
      <c r="B904" s="104" t="s">
        <v>1207</v>
      </c>
      <c r="C904" s="104" t="s">
        <v>16</v>
      </c>
      <c r="D904" s="129" t="s">
        <v>15475</v>
      </c>
    </row>
    <row r="905" spans="1:4">
      <c r="A905" s="105">
        <v>90627</v>
      </c>
      <c r="B905" s="104" t="s">
        <v>1208</v>
      </c>
      <c r="C905" s="104" t="s">
        <v>16</v>
      </c>
      <c r="D905" s="129" t="s">
        <v>15593</v>
      </c>
    </row>
    <row r="906" spans="1:4">
      <c r="A906" s="105">
        <v>90628</v>
      </c>
      <c r="B906" s="104" t="s">
        <v>1209</v>
      </c>
      <c r="C906" s="104" t="s">
        <v>16</v>
      </c>
      <c r="D906" s="129" t="s">
        <v>15594</v>
      </c>
    </row>
    <row r="907" spans="1:4">
      <c r="A907" s="105">
        <v>90629</v>
      </c>
      <c r="B907" s="104" t="s">
        <v>1210</v>
      </c>
      <c r="C907" s="104" t="s">
        <v>16</v>
      </c>
      <c r="D907" s="129" t="s">
        <v>15595</v>
      </c>
    </row>
    <row r="908" spans="1:4">
      <c r="A908" s="105">
        <v>90630</v>
      </c>
      <c r="B908" s="104" t="s">
        <v>1211</v>
      </c>
      <c r="C908" s="104" t="s">
        <v>16</v>
      </c>
      <c r="D908" s="129" t="s">
        <v>14845</v>
      </c>
    </row>
    <row r="909" spans="1:4">
      <c r="A909" s="105">
        <v>90633</v>
      </c>
      <c r="B909" s="104" t="s">
        <v>1212</v>
      </c>
      <c r="C909" s="104" t="s">
        <v>16</v>
      </c>
      <c r="D909" s="129" t="s">
        <v>14938</v>
      </c>
    </row>
    <row r="910" spans="1:4">
      <c r="A910" s="105">
        <v>90634</v>
      </c>
      <c r="B910" s="104" t="s">
        <v>1213</v>
      </c>
      <c r="C910" s="104" t="s">
        <v>16</v>
      </c>
      <c r="D910" s="129" t="s">
        <v>15596</v>
      </c>
    </row>
    <row r="911" spans="1:4">
      <c r="A911" s="105">
        <v>90635</v>
      </c>
      <c r="B911" s="104" t="s">
        <v>1214</v>
      </c>
      <c r="C911" s="104" t="s">
        <v>16</v>
      </c>
      <c r="D911" s="129" t="s">
        <v>15520</v>
      </c>
    </row>
    <row r="912" spans="1:4">
      <c r="A912" s="105">
        <v>90636</v>
      </c>
      <c r="B912" s="104" t="s">
        <v>1215</v>
      </c>
      <c r="C912" s="104" t="s">
        <v>16</v>
      </c>
      <c r="D912" s="129" t="s">
        <v>15597</v>
      </c>
    </row>
    <row r="913" spans="1:4">
      <c r="A913" s="105">
        <v>90639</v>
      </c>
      <c r="B913" s="104" t="s">
        <v>1216</v>
      </c>
      <c r="C913" s="104" t="s">
        <v>16</v>
      </c>
      <c r="D913" s="129" t="s">
        <v>15598</v>
      </c>
    </row>
    <row r="914" spans="1:4">
      <c r="A914" s="105">
        <v>90640</v>
      </c>
      <c r="B914" s="104" t="s">
        <v>1217</v>
      </c>
      <c r="C914" s="104" t="s">
        <v>16</v>
      </c>
      <c r="D914" s="129" t="s">
        <v>15357</v>
      </c>
    </row>
    <row r="915" spans="1:4">
      <c r="A915" s="105">
        <v>90641</v>
      </c>
      <c r="B915" s="104" t="s">
        <v>1218</v>
      </c>
      <c r="C915" s="104" t="s">
        <v>16</v>
      </c>
      <c r="D915" s="129" t="s">
        <v>15599</v>
      </c>
    </row>
    <row r="916" spans="1:4">
      <c r="A916" s="105">
        <v>90642</v>
      </c>
      <c r="B916" s="104" t="s">
        <v>1219</v>
      </c>
      <c r="C916" s="104" t="s">
        <v>16</v>
      </c>
      <c r="D916" s="129" t="s">
        <v>15600</v>
      </c>
    </row>
    <row r="917" spans="1:4">
      <c r="A917" s="105">
        <v>90646</v>
      </c>
      <c r="B917" s="104" t="s">
        <v>1220</v>
      </c>
      <c r="C917" s="104" t="s">
        <v>16</v>
      </c>
      <c r="D917" s="129" t="s">
        <v>15601</v>
      </c>
    </row>
    <row r="918" spans="1:4">
      <c r="A918" s="105">
        <v>90647</v>
      </c>
      <c r="B918" s="104" t="s">
        <v>1221</v>
      </c>
      <c r="C918" s="104" t="s">
        <v>16</v>
      </c>
      <c r="D918" s="129" t="s">
        <v>15602</v>
      </c>
    </row>
    <row r="919" spans="1:4">
      <c r="A919" s="105">
        <v>90648</v>
      </c>
      <c r="B919" s="104" t="s">
        <v>1222</v>
      </c>
      <c r="C919" s="104" t="s">
        <v>16</v>
      </c>
      <c r="D919" s="129" t="s">
        <v>15603</v>
      </c>
    </row>
    <row r="920" spans="1:4">
      <c r="A920" s="105">
        <v>90649</v>
      </c>
      <c r="B920" s="104" t="s">
        <v>1223</v>
      </c>
      <c r="C920" s="104" t="s">
        <v>16</v>
      </c>
      <c r="D920" s="129" t="s">
        <v>15604</v>
      </c>
    </row>
    <row r="921" spans="1:4">
      <c r="A921" s="105">
        <v>90652</v>
      </c>
      <c r="B921" s="104" t="s">
        <v>1224</v>
      </c>
      <c r="C921" s="104" t="s">
        <v>16</v>
      </c>
      <c r="D921" s="129" t="s">
        <v>15471</v>
      </c>
    </row>
    <row r="922" spans="1:4">
      <c r="A922" s="105">
        <v>90653</v>
      </c>
      <c r="B922" s="104" t="s">
        <v>1225</v>
      </c>
      <c r="C922" s="104" t="s">
        <v>16</v>
      </c>
      <c r="D922" s="129" t="s">
        <v>15605</v>
      </c>
    </row>
    <row r="923" spans="1:4">
      <c r="A923" s="105">
        <v>90654</v>
      </c>
      <c r="B923" s="104" t="s">
        <v>1226</v>
      </c>
      <c r="C923" s="104" t="s">
        <v>16</v>
      </c>
      <c r="D923" s="129" t="s">
        <v>15606</v>
      </c>
    </row>
    <row r="924" spans="1:4">
      <c r="A924" s="105">
        <v>90655</v>
      </c>
      <c r="B924" s="104" t="s">
        <v>1227</v>
      </c>
      <c r="C924" s="104" t="s">
        <v>16</v>
      </c>
      <c r="D924" s="129" t="s">
        <v>15349</v>
      </c>
    </row>
    <row r="925" spans="1:4">
      <c r="A925" s="105">
        <v>90658</v>
      </c>
      <c r="B925" s="104" t="s">
        <v>1228</v>
      </c>
      <c r="C925" s="104" t="s">
        <v>16</v>
      </c>
      <c r="D925" s="129" t="s">
        <v>15537</v>
      </c>
    </row>
    <row r="926" spans="1:4">
      <c r="A926" s="105">
        <v>90659</v>
      </c>
      <c r="B926" s="104" t="s">
        <v>1229</v>
      </c>
      <c r="C926" s="104" t="s">
        <v>16</v>
      </c>
      <c r="D926" s="129" t="s">
        <v>15607</v>
      </c>
    </row>
    <row r="927" spans="1:4">
      <c r="A927" s="105">
        <v>90660</v>
      </c>
      <c r="B927" s="104" t="s">
        <v>1230</v>
      </c>
      <c r="C927" s="104" t="s">
        <v>16</v>
      </c>
      <c r="D927" s="129" t="s">
        <v>15608</v>
      </c>
    </row>
    <row r="928" spans="1:4">
      <c r="A928" s="105">
        <v>90661</v>
      </c>
      <c r="B928" s="104" t="s">
        <v>1231</v>
      </c>
      <c r="C928" s="104" t="s">
        <v>16</v>
      </c>
      <c r="D928" s="129" t="s">
        <v>15349</v>
      </c>
    </row>
    <row r="929" spans="1:4">
      <c r="A929" s="105">
        <v>90664</v>
      </c>
      <c r="B929" s="104" t="s">
        <v>1232</v>
      </c>
      <c r="C929" s="104" t="s">
        <v>16</v>
      </c>
      <c r="D929" s="129" t="s">
        <v>15609</v>
      </c>
    </row>
    <row r="930" spans="1:4">
      <c r="A930" s="105">
        <v>90665</v>
      </c>
      <c r="B930" s="104" t="s">
        <v>1233</v>
      </c>
      <c r="C930" s="104" t="s">
        <v>16</v>
      </c>
      <c r="D930" s="129" t="s">
        <v>15610</v>
      </c>
    </row>
    <row r="931" spans="1:4">
      <c r="A931" s="105">
        <v>90666</v>
      </c>
      <c r="B931" s="104" t="s">
        <v>1234</v>
      </c>
      <c r="C931" s="104" t="s">
        <v>16</v>
      </c>
      <c r="D931" s="129" t="s">
        <v>15611</v>
      </c>
    </row>
    <row r="932" spans="1:4">
      <c r="A932" s="105">
        <v>90667</v>
      </c>
      <c r="B932" s="104" t="s">
        <v>1235</v>
      </c>
      <c r="C932" s="104" t="s">
        <v>16</v>
      </c>
      <c r="D932" s="129" t="s">
        <v>15612</v>
      </c>
    </row>
    <row r="933" spans="1:4">
      <c r="A933" s="105">
        <v>90670</v>
      </c>
      <c r="B933" s="104" t="s">
        <v>1236</v>
      </c>
      <c r="C933" s="104" t="s">
        <v>16</v>
      </c>
      <c r="D933" s="129" t="s">
        <v>15613</v>
      </c>
    </row>
    <row r="934" spans="1:4">
      <c r="A934" s="105">
        <v>90671</v>
      </c>
      <c r="B934" s="104" t="s">
        <v>1237</v>
      </c>
      <c r="C934" s="104" t="s">
        <v>16</v>
      </c>
      <c r="D934" s="129" t="s">
        <v>15614</v>
      </c>
    </row>
    <row r="935" spans="1:4">
      <c r="A935" s="105">
        <v>90672</v>
      </c>
      <c r="B935" s="104" t="s">
        <v>1238</v>
      </c>
      <c r="C935" s="104" t="s">
        <v>16</v>
      </c>
      <c r="D935" s="129" t="s">
        <v>15615</v>
      </c>
    </row>
    <row r="936" spans="1:4">
      <c r="A936" s="105">
        <v>90673</v>
      </c>
      <c r="B936" s="104" t="s">
        <v>1239</v>
      </c>
      <c r="C936" s="104" t="s">
        <v>16</v>
      </c>
      <c r="D936" s="129" t="s">
        <v>15616</v>
      </c>
    </row>
    <row r="937" spans="1:4">
      <c r="A937" s="105">
        <v>90676</v>
      </c>
      <c r="B937" s="104" t="s">
        <v>1240</v>
      </c>
      <c r="C937" s="104" t="s">
        <v>16</v>
      </c>
      <c r="D937" s="129" t="s">
        <v>15617</v>
      </c>
    </row>
    <row r="938" spans="1:4">
      <c r="A938" s="105">
        <v>90677</v>
      </c>
      <c r="B938" s="104" t="s">
        <v>1241</v>
      </c>
      <c r="C938" s="104" t="s">
        <v>16</v>
      </c>
      <c r="D938" s="129" t="s">
        <v>15618</v>
      </c>
    </row>
    <row r="939" spans="1:4">
      <c r="A939" s="105">
        <v>90678</v>
      </c>
      <c r="B939" s="104" t="s">
        <v>1242</v>
      </c>
      <c r="C939" s="104" t="s">
        <v>16</v>
      </c>
      <c r="D939" s="129" t="s">
        <v>15619</v>
      </c>
    </row>
    <row r="940" spans="1:4">
      <c r="A940" s="105">
        <v>90679</v>
      </c>
      <c r="B940" s="104" t="s">
        <v>1243</v>
      </c>
      <c r="C940" s="104" t="s">
        <v>16</v>
      </c>
      <c r="D940" s="129" t="s">
        <v>15620</v>
      </c>
    </row>
    <row r="941" spans="1:4">
      <c r="A941" s="105">
        <v>90682</v>
      </c>
      <c r="B941" s="104" t="s">
        <v>1244</v>
      </c>
      <c r="C941" s="104" t="s">
        <v>16</v>
      </c>
      <c r="D941" s="129" t="s">
        <v>15621</v>
      </c>
    </row>
    <row r="942" spans="1:4">
      <c r="A942" s="105">
        <v>90683</v>
      </c>
      <c r="B942" s="104" t="s">
        <v>1245</v>
      </c>
      <c r="C942" s="104" t="s">
        <v>16</v>
      </c>
      <c r="D942" s="129" t="s">
        <v>15622</v>
      </c>
    </row>
    <row r="943" spans="1:4">
      <c r="A943" s="105">
        <v>90684</v>
      </c>
      <c r="B943" s="104" t="s">
        <v>1246</v>
      </c>
      <c r="C943" s="104" t="s">
        <v>16</v>
      </c>
      <c r="D943" s="129" t="s">
        <v>15623</v>
      </c>
    </row>
    <row r="944" spans="1:4">
      <c r="A944" s="105">
        <v>90685</v>
      </c>
      <c r="B944" s="104" t="s">
        <v>1247</v>
      </c>
      <c r="C944" s="104" t="s">
        <v>16</v>
      </c>
      <c r="D944" s="129" t="s">
        <v>15624</v>
      </c>
    </row>
    <row r="945" spans="1:4">
      <c r="A945" s="105">
        <v>90688</v>
      </c>
      <c r="B945" s="104" t="s">
        <v>1248</v>
      </c>
      <c r="C945" s="104" t="s">
        <v>16</v>
      </c>
      <c r="D945" s="129" t="s">
        <v>15625</v>
      </c>
    </row>
    <row r="946" spans="1:4">
      <c r="A946" s="105">
        <v>90689</v>
      </c>
      <c r="B946" s="104" t="s">
        <v>1249</v>
      </c>
      <c r="C946" s="104" t="s">
        <v>16</v>
      </c>
      <c r="D946" s="129" t="s">
        <v>15297</v>
      </c>
    </row>
    <row r="947" spans="1:4">
      <c r="A947" s="105">
        <v>90690</v>
      </c>
      <c r="B947" s="104" t="s">
        <v>1250</v>
      </c>
      <c r="C947" s="104" t="s">
        <v>16</v>
      </c>
      <c r="D947" s="129" t="s">
        <v>15626</v>
      </c>
    </row>
    <row r="948" spans="1:4">
      <c r="A948" s="105">
        <v>90691</v>
      </c>
      <c r="B948" s="104" t="s">
        <v>1251</v>
      </c>
      <c r="C948" s="104" t="s">
        <v>16</v>
      </c>
      <c r="D948" s="129" t="s">
        <v>15627</v>
      </c>
    </row>
    <row r="949" spans="1:4">
      <c r="A949" s="105">
        <v>90957</v>
      </c>
      <c r="B949" s="104" t="s">
        <v>1252</v>
      </c>
      <c r="C949" s="104" t="s">
        <v>16</v>
      </c>
      <c r="D949" s="129" t="s">
        <v>15628</v>
      </c>
    </row>
    <row r="950" spans="1:4">
      <c r="A950" s="105">
        <v>90958</v>
      </c>
      <c r="B950" s="104" t="s">
        <v>1253</v>
      </c>
      <c r="C950" s="104" t="s">
        <v>16</v>
      </c>
      <c r="D950" s="129" t="s">
        <v>15359</v>
      </c>
    </row>
    <row r="951" spans="1:4">
      <c r="A951" s="105">
        <v>90960</v>
      </c>
      <c r="B951" s="104" t="s">
        <v>1254</v>
      </c>
      <c r="C951" s="104" t="s">
        <v>16</v>
      </c>
      <c r="D951" s="129" t="s">
        <v>15629</v>
      </c>
    </row>
    <row r="952" spans="1:4">
      <c r="A952" s="105">
        <v>90961</v>
      </c>
      <c r="B952" s="104" t="s">
        <v>1255</v>
      </c>
      <c r="C952" s="104" t="s">
        <v>16</v>
      </c>
      <c r="D952" s="129" t="s">
        <v>15610</v>
      </c>
    </row>
    <row r="953" spans="1:4">
      <c r="A953" s="105">
        <v>90962</v>
      </c>
      <c r="B953" s="104" t="s">
        <v>1256</v>
      </c>
      <c r="C953" s="104" t="s">
        <v>16</v>
      </c>
      <c r="D953" s="129" t="s">
        <v>15599</v>
      </c>
    </row>
    <row r="954" spans="1:4">
      <c r="A954" s="105">
        <v>90963</v>
      </c>
      <c r="B954" s="104" t="s">
        <v>1257</v>
      </c>
      <c r="C954" s="104" t="s">
        <v>16</v>
      </c>
      <c r="D954" s="129" t="s">
        <v>15612</v>
      </c>
    </row>
    <row r="955" spans="1:4">
      <c r="A955" s="105">
        <v>90968</v>
      </c>
      <c r="B955" s="104" t="s">
        <v>1258</v>
      </c>
      <c r="C955" s="104" t="s">
        <v>16</v>
      </c>
      <c r="D955" s="129" t="s">
        <v>15630</v>
      </c>
    </row>
    <row r="956" spans="1:4">
      <c r="A956" s="105">
        <v>90969</v>
      </c>
      <c r="B956" s="104" t="s">
        <v>1259</v>
      </c>
      <c r="C956" s="104" t="s">
        <v>16</v>
      </c>
      <c r="D956" s="129" t="s">
        <v>15610</v>
      </c>
    </row>
    <row r="957" spans="1:4">
      <c r="A957" s="105">
        <v>90970</v>
      </c>
      <c r="B957" s="104" t="s">
        <v>1260</v>
      </c>
      <c r="C957" s="104" t="s">
        <v>16</v>
      </c>
      <c r="D957" s="129" t="s">
        <v>15631</v>
      </c>
    </row>
    <row r="958" spans="1:4">
      <c r="A958" s="105">
        <v>90971</v>
      </c>
      <c r="B958" s="104" t="s">
        <v>1261</v>
      </c>
      <c r="C958" s="104" t="s">
        <v>16</v>
      </c>
      <c r="D958" s="129" t="s">
        <v>15632</v>
      </c>
    </row>
    <row r="959" spans="1:4">
      <c r="A959" s="105">
        <v>90975</v>
      </c>
      <c r="B959" s="104" t="s">
        <v>1262</v>
      </c>
      <c r="C959" s="104" t="s">
        <v>16</v>
      </c>
      <c r="D959" s="129" t="s">
        <v>15633</v>
      </c>
    </row>
    <row r="960" spans="1:4">
      <c r="A960" s="105">
        <v>90976</v>
      </c>
      <c r="B960" s="104" t="s">
        <v>1263</v>
      </c>
      <c r="C960" s="104" t="s">
        <v>16</v>
      </c>
      <c r="D960" s="129" t="s">
        <v>14937</v>
      </c>
    </row>
    <row r="961" spans="1:4">
      <c r="A961" s="105">
        <v>90977</v>
      </c>
      <c r="B961" s="104" t="s">
        <v>1264</v>
      </c>
      <c r="C961" s="104" t="s">
        <v>16</v>
      </c>
      <c r="D961" s="129" t="s">
        <v>15634</v>
      </c>
    </row>
    <row r="962" spans="1:4">
      <c r="A962" s="105">
        <v>90978</v>
      </c>
      <c r="B962" s="104" t="s">
        <v>1265</v>
      </c>
      <c r="C962" s="104" t="s">
        <v>16</v>
      </c>
      <c r="D962" s="129" t="s">
        <v>15635</v>
      </c>
    </row>
    <row r="963" spans="1:4">
      <c r="A963" s="105">
        <v>90992</v>
      </c>
      <c r="B963" s="104" t="s">
        <v>1266</v>
      </c>
      <c r="C963" s="104" t="s">
        <v>16</v>
      </c>
      <c r="D963" s="129" t="s">
        <v>15636</v>
      </c>
    </row>
    <row r="964" spans="1:4">
      <c r="A964" s="105">
        <v>90993</v>
      </c>
      <c r="B964" s="104" t="s">
        <v>1267</v>
      </c>
      <c r="C964" s="104" t="s">
        <v>16</v>
      </c>
      <c r="D964" s="129" t="s">
        <v>15637</v>
      </c>
    </row>
    <row r="965" spans="1:4">
      <c r="A965" s="105">
        <v>90994</v>
      </c>
      <c r="B965" s="104" t="s">
        <v>1268</v>
      </c>
      <c r="C965" s="104" t="s">
        <v>16</v>
      </c>
      <c r="D965" s="129" t="s">
        <v>15638</v>
      </c>
    </row>
    <row r="966" spans="1:4">
      <c r="A966" s="105">
        <v>90995</v>
      </c>
      <c r="B966" s="104" t="s">
        <v>1269</v>
      </c>
      <c r="C966" s="104" t="s">
        <v>16</v>
      </c>
      <c r="D966" s="129" t="s">
        <v>15639</v>
      </c>
    </row>
    <row r="967" spans="1:4">
      <c r="A967" s="105">
        <v>91021</v>
      </c>
      <c r="B967" s="104" t="s">
        <v>1270</v>
      </c>
      <c r="C967" s="104" t="s">
        <v>16</v>
      </c>
      <c r="D967" s="129" t="s">
        <v>15640</v>
      </c>
    </row>
    <row r="968" spans="1:4">
      <c r="A968" s="105">
        <v>91026</v>
      </c>
      <c r="B968" s="104" t="s">
        <v>1271</v>
      </c>
      <c r="C968" s="104" t="s">
        <v>16</v>
      </c>
      <c r="D968" s="129" t="s">
        <v>15641</v>
      </c>
    </row>
    <row r="969" spans="1:4">
      <c r="A969" s="105">
        <v>91027</v>
      </c>
      <c r="B969" s="104" t="s">
        <v>1272</v>
      </c>
      <c r="C969" s="104" t="s">
        <v>16</v>
      </c>
      <c r="D969" s="129" t="s">
        <v>15642</v>
      </c>
    </row>
    <row r="970" spans="1:4">
      <c r="A970" s="105">
        <v>91028</v>
      </c>
      <c r="B970" s="104" t="s">
        <v>1273</v>
      </c>
      <c r="C970" s="104" t="s">
        <v>16</v>
      </c>
      <c r="D970" s="129" t="s">
        <v>15643</v>
      </c>
    </row>
    <row r="971" spans="1:4">
      <c r="A971" s="105">
        <v>91029</v>
      </c>
      <c r="B971" s="104" t="s">
        <v>1274</v>
      </c>
      <c r="C971" s="104" t="s">
        <v>16</v>
      </c>
      <c r="D971" s="129" t="s">
        <v>15644</v>
      </c>
    </row>
    <row r="972" spans="1:4">
      <c r="A972" s="105">
        <v>91030</v>
      </c>
      <c r="B972" s="104" t="s">
        <v>1275</v>
      </c>
      <c r="C972" s="104" t="s">
        <v>16</v>
      </c>
      <c r="D972" s="129" t="s">
        <v>15645</v>
      </c>
    </row>
    <row r="973" spans="1:4">
      <c r="A973" s="105">
        <v>91273</v>
      </c>
      <c r="B973" s="104" t="s">
        <v>1276</v>
      </c>
      <c r="C973" s="104" t="s">
        <v>16</v>
      </c>
      <c r="D973" s="129" t="s">
        <v>15596</v>
      </c>
    </row>
    <row r="974" spans="1:4">
      <c r="A974" s="105">
        <v>91274</v>
      </c>
      <c r="B974" s="104" t="s">
        <v>1277</v>
      </c>
      <c r="C974" s="104" t="s">
        <v>16</v>
      </c>
      <c r="D974" s="129" t="s">
        <v>15216</v>
      </c>
    </row>
    <row r="975" spans="1:4">
      <c r="A975" s="105">
        <v>91275</v>
      </c>
      <c r="B975" s="104" t="s">
        <v>1278</v>
      </c>
      <c r="C975" s="104" t="s">
        <v>16</v>
      </c>
      <c r="D975" s="129" t="s">
        <v>15646</v>
      </c>
    </row>
    <row r="976" spans="1:4">
      <c r="A976" s="105">
        <v>91276</v>
      </c>
      <c r="B976" s="104" t="s">
        <v>1279</v>
      </c>
      <c r="C976" s="104" t="s">
        <v>16</v>
      </c>
      <c r="D976" s="129" t="s">
        <v>15647</v>
      </c>
    </row>
    <row r="977" spans="1:4">
      <c r="A977" s="105">
        <v>91279</v>
      </c>
      <c r="B977" s="104" t="s">
        <v>1280</v>
      </c>
      <c r="C977" s="104" t="s">
        <v>16</v>
      </c>
      <c r="D977" s="129" t="s">
        <v>15648</v>
      </c>
    </row>
    <row r="978" spans="1:4">
      <c r="A978" s="105">
        <v>91280</v>
      </c>
      <c r="B978" s="104" t="s">
        <v>1281</v>
      </c>
      <c r="C978" s="104" t="s">
        <v>16</v>
      </c>
      <c r="D978" s="129" t="s">
        <v>15334</v>
      </c>
    </row>
    <row r="979" spans="1:4">
      <c r="A979" s="105">
        <v>91281</v>
      </c>
      <c r="B979" s="104" t="s">
        <v>1282</v>
      </c>
      <c r="C979" s="104" t="s">
        <v>16</v>
      </c>
      <c r="D979" s="129" t="s">
        <v>15649</v>
      </c>
    </row>
    <row r="980" spans="1:4">
      <c r="A980" s="105">
        <v>91282</v>
      </c>
      <c r="B980" s="104" t="s">
        <v>1283</v>
      </c>
      <c r="C980" s="104" t="s">
        <v>16</v>
      </c>
      <c r="D980" s="129" t="s">
        <v>15650</v>
      </c>
    </row>
    <row r="981" spans="1:4">
      <c r="A981" s="105">
        <v>91354</v>
      </c>
      <c r="B981" s="104" t="s">
        <v>1284</v>
      </c>
      <c r="C981" s="104" t="s">
        <v>16</v>
      </c>
      <c r="D981" s="129" t="s">
        <v>15651</v>
      </c>
    </row>
    <row r="982" spans="1:4">
      <c r="A982" s="105">
        <v>91355</v>
      </c>
      <c r="B982" s="104" t="s">
        <v>1285</v>
      </c>
      <c r="C982" s="104" t="s">
        <v>16</v>
      </c>
      <c r="D982" s="129" t="s">
        <v>15652</v>
      </c>
    </row>
    <row r="983" spans="1:4">
      <c r="A983" s="105">
        <v>91356</v>
      </c>
      <c r="B983" s="104" t="s">
        <v>1286</v>
      </c>
      <c r="C983" s="104" t="s">
        <v>16</v>
      </c>
      <c r="D983" s="129" t="s">
        <v>15653</v>
      </c>
    </row>
    <row r="984" spans="1:4">
      <c r="A984" s="105">
        <v>91359</v>
      </c>
      <c r="B984" s="104" t="s">
        <v>1287</v>
      </c>
      <c r="C984" s="104" t="s">
        <v>16</v>
      </c>
      <c r="D984" s="129" t="s">
        <v>15654</v>
      </c>
    </row>
    <row r="985" spans="1:4">
      <c r="A985" s="105">
        <v>91360</v>
      </c>
      <c r="B985" s="104" t="s">
        <v>1288</v>
      </c>
      <c r="C985" s="104" t="s">
        <v>16</v>
      </c>
      <c r="D985" s="129" t="s">
        <v>15655</v>
      </c>
    </row>
    <row r="986" spans="1:4">
      <c r="A986" s="105">
        <v>91361</v>
      </c>
      <c r="B986" s="104" t="s">
        <v>1289</v>
      </c>
      <c r="C986" s="104" t="s">
        <v>16</v>
      </c>
      <c r="D986" s="129" t="s">
        <v>15656</v>
      </c>
    </row>
    <row r="987" spans="1:4">
      <c r="A987" s="105">
        <v>91367</v>
      </c>
      <c r="B987" s="104" t="s">
        <v>1290</v>
      </c>
      <c r="C987" s="104" t="s">
        <v>16</v>
      </c>
      <c r="D987" s="129" t="s">
        <v>15657</v>
      </c>
    </row>
    <row r="988" spans="1:4">
      <c r="A988" s="105">
        <v>91368</v>
      </c>
      <c r="B988" s="104" t="s">
        <v>1291</v>
      </c>
      <c r="C988" s="104" t="s">
        <v>16</v>
      </c>
      <c r="D988" s="129" t="s">
        <v>15658</v>
      </c>
    </row>
    <row r="989" spans="1:4">
      <c r="A989" s="105">
        <v>91369</v>
      </c>
      <c r="B989" s="104" t="s">
        <v>1292</v>
      </c>
      <c r="C989" s="104" t="s">
        <v>16</v>
      </c>
      <c r="D989" s="129" t="s">
        <v>15659</v>
      </c>
    </row>
    <row r="990" spans="1:4">
      <c r="A990" s="105">
        <v>91375</v>
      </c>
      <c r="B990" s="104" t="s">
        <v>1293</v>
      </c>
      <c r="C990" s="104" t="s">
        <v>16</v>
      </c>
      <c r="D990" s="129" t="s">
        <v>15660</v>
      </c>
    </row>
    <row r="991" spans="1:4">
      <c r="A991" s="105">
        <v>91376</v>
      </c>
      <c r="B991" s="104" t="s">
        <v>1294</v>
      </c>
      <c r="C991" s="104" t="s">
        <v>16</v>
      </c>
      <c r="D991" s="129" t="s">
        <v>14831</v>
      </c>
    </row>
    <row r="992" spans="1:4">
      <c r="A992" s="105">
        <v>91377</v>
      </c>
      <c r="B992" s="104" t="s">
        <v>1295</v>
      </c>
      <c r="C992" s="104" t="s">
        <v>16</v>
      </c>
      <c r="D992" s="129" t="s">
        <v>15661</v>
      </c>
    </row>
    <row r="993" spans="1:4">
      <c r="A993" s="105">
        <v>91380</v>
      </c>
      <c r="B993" s="104" t="s">
        <v>1296</v>
      </c>
      <c r="C993" s="104" t="s">
        <v>16</v>
      </c>
      <c r="D993" s="129" t="s">
        <v>15662</v>
      </c>
    </row>
    <row r="994" spans="1:4">
      <c r="A994" s="105">
        <v>91381</v>
      </c>
      <c r="B994" s="104" t="s">
        <v>1297</v>
      </c>
      <c r="C994" s="104" t="s">
        <v>16</v>
      </c>
      <c r="D994" s="129" t="s">
        <v>15663</v>
      </c>
    </row>
    <row r="995" spans="1:4">
      <c r="A995" s="105">
        <v>91382</v>
      </c>
      <c r="B995" s="104" t="s">
        <v>1298</v>
      </c>
      <c r="C995" s="104" t="s">
        <v>16</v>
      </c>
      <c r="D995" s="129" t="s">
        <v>15664</v>
      </c>
    </row>
    <row r="996" spans="1:4">
      <c r="A996" s="105">
        <v>91383</v>
      </c>
      <c r="B996" s="104" t="s">
        <v>1299</v>
      </c>
      <c r="C996" s="104" t="s">
        <v>16</v>
      </c>
      <c r="D996" s="129" t="s">
        <v>15665</v>
      </c>
    </row>
    <row r="997" spans="1:4">
      <c r="A997" s="105">
        <v>91384</v>
      </c>
      <c r="B997" s="104" t="s">
        <v>1300</v>
      </c>
      <c r="C997" s="104" t="s">
        <v>16</v>
      </c>
      <c r="D997" s="129" t="s">
        <v>15440</v>
      </c>
    </row>
    <row r="998" spans="1:4">
      <c r="A998" s="105">
        <v>91390</v>
      </c>
      <c r="B998" s="104" t="s">
        <v>1301</v>
      </c>
      <c r="C998" s="104" t="s">
        <v>16</v>
      </c>
      <c r="D998" s="129" t="s">
        <v>15666</v>
      </c>
    </row>
    <row r="999" spans="1:4">
      <c r="A999" s="105">
        <v>91391</v>
      </c>
      <c r="B999" s="104" t="s">
        <v>1302</v>
      </c>
      <c r="C999" s="104" t="s">
        <v>16</v>
      </c>
      <c r="D999" s="129" t="s">
        <v>15667</v>
      </c>
    </row>
    <row r="1000" spans="1:4">
      <c r="A1000" s="105">
        <v>91392</v>
      </c>
      <c r="B1000" s="104" t="s">
        <v>1303</v>
      </c>
      <c r="C1000" s="104" t="s">
        <v>16</v>
      </c>
      <c r="D1000" s="129" t="s">
        <v>14831</v>
      </c>
    </row>
    <row r="1001" spans="1:4">
      <c r="A1001" s="105">
        <v>91396</v>
      </c>
      <c r="B1001" s="104" t="s">
        <v>1304</v>
      </c>
      <c r="C1001" s="104" t="s">
        <v>16</v>
      </c>
      <c r="D1001" s="129" t="s">
        <v>15668</v>
      </c>
    </row>
    <row r="1002" spans="1:4">
      <c r="A1002" s="105">
        <v>91397</v>
      </c>
      <c r="B1002" s="104" t="s">
        <v>1305</v>
      </c>
      <c r="C1002" s="104" t="s">
        <v>16</v>
      </c>
      <c r="D1002" s="129" t="s">
        <v>15669</v>
      </c>
    </row>
    <row r="1003" spans="1:4">
      <c r="A1003" s="105">
        <v>91398</v>
      </c>
      <c r="B1003" s="104" t="s">
        <v>1306</v>
      </c>
      <c r="C1003" s="104" t="s">
        <v>16</v>
      </c>
      <c r="D1003" s="129" t="s">
        <v>15670</v>
      </c>
    </row>
    <row r="1004" spans="1:4">
      <c r="A1004" s="105">
        <v>91402</v>
      </c>
      <c r="B1004" s="104" t="s">
        <v>1307</v>
      </c>
      <c r="C1004" s="104" t="s">
        <v>16</v>
      </c>
      <c r="D1004" s="129" t="s">
        <v>14842</v>
      </c>
    </row>
    <row r="1005" spans="1:4">
      <c r="A1005" s="105">
        <v>91466</v>
      </c>
      <c r="B1005" s="104" t="s">
        <v>1308</v>
      </c>
      <c r="C1005" s="104" t="s">
        <v>16</v>
      </c>
      <c r="D1005" s="129" t="s">
        <v>15671</v>
      </c>
    </row>
    <row r="1006" spans="1:4">
      <c r="A1006" s="105">
        <v>91467</v>
      </c>
      <c r="B1006" s="104" t="s">
        <v>1309</v>
      </c>
      <c r="C1006" s="104" t="s">
        <v>16</v>
      </c>
      <c r="D1006" s="129" t="s">
        <v>15411</v>
      </c>
    </row>
    <row r="1007" spans="1:4">
      <c r="A1007" s="105">
        <v>91468</v>
      </c>
      <c r="B1007" s="104" t="s">
        <v>1310</v>
      </c>
      <c r="C1007" s="104" t="s">
        <v>16</v>
      </c>
      <c r="D1007" s="129" t="s">
        <v>15362</v>
      </c>
    </row>
    <row r="1008" spans="1:4">
      <c r="A1008" s="105">
        <v>91469</v>
      </c>
      <c r="B1008" s="104" t="s">
        <v>1311</v>
      </c>
      <c r="C1008" s="104" t="s">
        <v>16</v>
      </c>
      <c r="D1008" s="129" t="s">
        <v>15672</v>
      </c>
    </row>
    <row r="1009" spans="1:4">
      <c r="A1009" s="105">
        <v>91484</v>
      </c>
      <c r="B1009" s="104" t="s">
        <v>1312</v>
      </c>
      <c r="C1009" s="104" t="s">
        <v>16</v>
      </c>
      <c r="D1009" s="129" t="s">
        <v>15664</v>
      </c>
    </row>
    <row r="1010" spans="1:4">
      <c r="A1010" s="105">
        <v>91485</v>
      </c>
      <c r="B1010" s="104" t="s">
        <v>1313</v>
      </c>
      <c r="C1010" s="104" t="s">
        <v>16</v>
      </c>
      <c r="D1010" s="129" t="s">
        <v>15673</v>
      </c>
    </row>
    <row r="1011" spans="1:4">
      <c r="A1011" s="105">
        <v>91529</v>
      </c>
      <c r="B1011" s="104" t="s">
        <v>1314</v>
      </c>
      <c r="C1011" s="104" t="s">
        <v>16</v>
      </c>
      <c r="D1011" s="129" t="s">
        <v>15674</v>
      </c>
    </row>
    <row r="1012" spans="1:4">
      <c r="A1012" s="105">
        <v>91530</v>
      </c>
      <c r="B1012" s="104" t="s">
        <v>1315</v>
      </c>
      <c r="C1012" s="104" t="s">
        <v>16</v>
      </c>
      <c r="D1012" s="129" t="s">
        <v>15473</v>
      </c>
    </row>
    <row r="1013" spans="1:4">
      <c r="A1013" s="105">
        <v>91531</v>
      </c>
      <c r="B1013" s="104" t="s">
        <v>1316</v>
      </c>
      <c r="C1013" s="104" t="s">
        <v>16</v>
      </c>
      <c r="D1013" s="129" t="s">
        <v>15480</v>
      </c>
    </row>
    <row r="1014" spans="1:4">
      <c r="A1014" s="105">
        <v>91532</v>
      </c>
      <c r="B1014" s="104" t="s">
        <v>1317</v>
      </c>
      <c r="C1014" s="104" t="s">
        <v>16</v>
      </c>
      <c r="D1014" s="129" t="s">
        <v>15144</v>
      </c>
    </row>
    <row r="1015" spans="1:4">
      <c r="A1015" s="105">
        <v>91629</v>
      </c>
      <c r="B1015" s="104" t="s">
        <v>1318</v>
      </c>
      <c r="C1015" s="104" t="s">
        <v>16</v>
      </c>
      <c r="D1015" s="129" t="s">
        <v>15675</v>
      </c>
    </row>
    <row r="1016" spans="1:4">
      <c r="A1016" s="105">
        <v>91630</v>
      </c>
      <c r="B1016" s="104" t="s">
        <v>1319</v>
      </c>
      <c r="C1016" s="104" t="s">
        <v>16</v>
      </c>
      <c r="D1016" s="129" t="s">
        <v>15676</v>
      </c>
    </row>
    <row r="1017" spans="1:4">
      <c r="A1017" s="105">
        <v>91631</v>
      </c>
      <c r="B1017" s="104" t="s">
        <v>1320</v>
      </c>
      <c r="C1017" s="104" t="s">
        <v>16</v>
      </c>
      <c r="D1017" s="129" t="s">
        <v>15677</v>
      </c>
    </row>
    <row r="1018" spans="1:4">
      <c r="A1018" s="105">
        <v>91632</v>
      </c>
      <c r="B1018" s="104" t="s">
        <v>1321</v>
      </c>
      <c r="C1018" s="104" t="s">
        <v>16</v>
      </c>
      <c r="D1018" s="129" t="s">
        <v>15678</v>
      </c>
    </row>
    <row r="1019" spans="1:4">
      <c r="A1019" s="105">
        <v>91633</v>
      </c>
      <c r="B1019" s="104" t="s">
        <v>1322</v>
      </c>
      <c r="C1019" s="104" t="s">
        <v>16</v>
      </c>
      <c r="D1019" s="129" t="s">
        <v>15679</v>
      </c>
    </row>
    <row r="1020" spans="1:4">
      <c r="A1020" s="105">
        <v>91640</v>
      </c>
      <c r="B1020" s="104" t="s">
        <v>1323</v>
      </c>
      <c r="C1020" s="104" t="s">
        <v>16</v>
      </c>
      <c r="D1020" s="129" t="s">
        <v>15680</v>
      </c>
    </row>
    <row r="1021" spans="1:4">
      <c r="A1021" s="105">
        <v>91641</v>
      </c>
      <c r="B1021" s="104" t="s">
        <v>1324</v>
      </c>
      <c r="C1021" s="104" t="s">
        <v>16</v>
      </c>
      <c r="D1021" s="129" t="s">
        <v>15636</v>
      </c>
    </row>
    <row r="1022" spans="1:4">
      <c r="A1022" s="105">
        <v>91642</v>
      </c>
      <c r="B1022" s="104" t="s">
        <v>1325</v>
      </c>
      <c r="C1022" s="104" t="s">
        <v>16</v>
      </c>
      <c r="D1022" s="129" t="s">
        <v>15681</v>
      </c>
    </row>
    <row r="1023" spans="1:4">
      <c r="A1023" s="105">
        <v>91643</v>
      </c>
      <c r="B1023" s="104" t="s">
        <v>1326</v>
      </c>
      <c r="C1023" s="104" t="s">
        <v>16</v>
      </c>
      <c r="D1023" s="129" t="s">
        <v>15682</v>
      </c>
    </row>
    <row r="1024" spans="1:4">
      <c r="A1024" s="105">
        <v>91644</v>
      </c>
      <c r="B1024" s="104" t="s">
        <v>1327</v>
      </c>
      <c r="C1024" s="104" t="s">
        <v>16</v>
      </c>
      <c r="D1024" s="129" t="s">
        <v>15683</v>
      </c>
    </row>
    <row r="1025" spans="1:4">
      <c r="A1025" s="105">
        <v>91688</v>
      </c>
      <c r="B1025" s="104" t="s">
        <v>1328</v>
      </c>
      <c r="C1025" s="104" t="s">
        <v>16</v>
      </c>
      <c r="D1025" s="129" t="s">
        <v>15334</v>
      </c>
    </row>
    <row r="1026" spans="1:4">
      <c r="A1026" s="105">
        <v>91689</v>
      </c>
      <c r="B1026" s="104" t="s">
        <v>1329</v>
      </c>
      <c r="C1026" s="104" t="s">
        <v>16</v>
      </c>
      <c r="D1026" s="129" t="s">
        <v>15684</v>
      </c>
    </row>
    <row r="1027" spans="1:4">
      <c r="A1027" s="105">
        <v>91690</v>
      </c>
      <c r="B1027" s="104" t="s">
        <v>1330</v>
      </c>
      <c r="C1027" s="104" t="s">
        <v>16</v>
      </c>
      <c r="D1027" s="129" t="s">
        <v>15685</v>
      </c>
    </row>
    <row r="1028" spans="1:4">
      <c r="A1028" s="105">
        <v>91691</v>
      </c>
      <c r="B1028" s="104" t="s">
        <v>1331</v>
      </c>
      <c r="C1028" s="104" t="s">
        <v>16</v>
      </c>
      <c r="D1028" s="129" t="s">
        <v>15686</v>
      </c>
    </row>
    <row r="1029" spans="1:4">
      <c r="A1029" s="105">
        <v>92040</v>
      </c>
      <c r="B1029" s="104" t="s">
        <v>1332</v>
      </c>
      <c r="C1029" s="104" t="s">
        <v>16</v>
      </c>
      <c r="D1029" s="129" t="s">
        <v>15687</v>
      </c>
    </row>
    <row r="1030" spans="1:4">
      <c r="A1030" s="105">
        <v>92041</v>
      </c>
      <c r="B1030" s="104" t="s">
        <v>1333</v>
      </c>
      <c r="C1030" s="104" t="s">
        <v>16</v>
      </c>
      <c r="D1030" s="129" t="s">
        <v>15646</v>
      </c>
    </row>
    <row r="1031" spans="1:4">
      <c r="A1031" s="105">
        <v>92042</v>
      </c>
      <c r="B1031" s="104" t="s">
        <v>1334</v>
      </c>
      <c r="C1031" s="104" t="s">
        <v>16</v>
      </c>
      <c r="D1031" s="129" t="s">
        <v>15688</v>
      </c>
    </row>
    <row r="1032" spans="1:4">
      <c r="A1032" s="105">
        <v>92101</v>
      </c>
      <c r="B1032" s="104" t="s">
        <v>1335</v>
      </c>
      <c r="C1032" s="104" t="s">
        <v>16</v>
      </c>
      <c r="D1032" s="129" t="s">
        <v>15689</v>
      </c>
    </row>
    <row r="1033" spans="1:4">
      <c r="A1033" s="105">
        <v>92102</v>
      </c>
      <c r="B1033" s="104" t="s">
        <v>1336</v>
      </c>
      <c r="C1033" s="104" t="s">
        <v>16</v>
      </c>
      <c r="D1033" s="129" t="s">
        <v>15690</v>
      </c>
    </row>
    <row r="1034" spans="1:4">
      <c r="A1034" s="105">
        <v>92103</v>
      </c>
      <c r="B1034" s="104" t="s">
        <v>1337</v>
      </c>
      <c r="C1034" s="104" t="s">
        <v>16</v>
      </c>
      <c r="D1034" s="129" t="s">
        <v>15691</v>
      </c>
    </row>
    <row r="1035" spans="1:4">
      <c r="A1035" s="105">
        <v>92104</v>
      </c>
      <c r="B1035" s="104" t="s">
        <v>1338</v>
      </c>
      <c r="C1035" s="104" t="s">
        <v>16</v>
      </c>
      <c r="D1035" s="129" t="s">
        <v>15692</v>
      </c>
    </row>
    <row r="1036" spans="1:4">
      <c r="A1036" s="105">
        <v>92105</v>
      </c>
      <c r="B1036" s="104" t="s">
        <v>1339</v>
      </c>
      <c r="C1036" s="104" t="s">
        <v>16</v>
      </c>
      <c r="D1036" s="129" t="s">
        <v>15449</v>
      </c>
    </row>
    <row r="1037" spans="1:4">
      <c r="A1037" s="105">
        <v>92108</v>
      </c>
      <c r="B1037" s="104" t="s">
        <v>1340</v>
      </c>
      <c r="C1037" s="104" t="s">
        <v>16</v>
      </c>
      <c r="D1037" s="129" t="s">
        <v>15284</v>
      </c>
    </row>
    <row r="1038" spans="1:4">
      <c r="A1038" s="105">
        <v>92109</v>
      </c>
      <c r="B1038" s="104" t="s">
        <v>1341</v>
      </c>
      <c r="C1038" s="104" t="s">
        <v>16</v>
      </c>
      <c r="D1038" s="129" t="s">
        <v>15376</v>
      </c>
    </row>
    <row r="1039" spans="1:4">
      <c r="A1039" s="105">
        <v>92110</v>
      </c>
      <c r="B1039" s="104" t="s">
        <v>1342</v>
      </c>
      <c r="C1039" s="104" t="s">
        <v>16</v>
      </c>
      <c r="D1039" s="129" t="s">
        <v>15610</v>
      </c>
    </row>
    <row r="1040" spans="1:4">
      <c r="A1040" s="105">
        <v>92111</v>
      </c>
      <c r="B1040" s="104" t="s">
        <v>1343</v>
      </c>
      <c r="C1040" s="104" t="s">
        <v>16</v>
      </c>
      <c r="D1040" s="129" t="s">
        <v>15493</v>
      </c>
    </row>
    <row r="1041" spans="1:4">
      <c r="A1041" s="105">
        <v>92114</v>
      </c>
      <c r="B1041" s="104" t="s">
        <v>1344</v>
      </c>
      <c r="C1041" s="104" t="s">
        <v>16</v>
      </c>
      <c r="D1041" s="129" t="s">
        <v>15376</v>
      </c>
    </row>
    <row r="1042" spans="1:4">
      <c r="A1042" s="105">
        <v>92115</v>
      </c>
      <c r="B1042" s="104" t="s">
        <v>1345</v>
      </c>
      <c r="C1042" s="104" t="s">
        <v>16</v>
      </c>
      <c r="D1042" s="129" t="s">
        <v>15684</v>
      </c>
    </row>
    <row r="1043" spans="1:4">
      <c r="A1043" s="105">
        <v>92116</v>
      </c>
      <c r="B1043" s="104" t="s">
        <v>1346</v>
      </c>
      <c r="C1043" s="104" t="s">
        <v>16</v>
      </c>
      <c r="D1043" s="129" t="s">
        <v>15693</v>
      </c>
    </row>
    <row r="1044" spans="1:4">
      <c r="A1044" s="105">
        <v>92133</v>
      </c>
      <c r="B1044" s="104" t="s">
        <v>1347</v>
      </c>
      <c r="C1044" s="104" t="s">
        <v>16</v>
      </c>
      <c r="D1044" s="129" t="s">
        <v>15694</v>
      </c>
    </row>
    <row r="1045" spans="1:4">
      <c r="A1045" s="105">
        <v>92134</v>
      </c>
      <c r="B1045" s="104" t="s">
        <v>1348</v>
      </c>
      <c r="C1045" s="104" t="s">
        <v>16</v>
      </c>
      <c r="D1045" s="129" t="s">
        <v>15695</v>
      </c>
    </row>
    <row r="1046" spans="1:4">
      <c r="A1046" s="105">
        <v>92135</v>
      </c>
      <c r="B1046" s="104" t="s">
        <v>1349</v>
      </c>
      <c r="C1046" s="104" t="s">
        <v>16</v>
      </c>
      <c r="D1046" s="129" t="s">
        <v>15696</v>
      </c>
    </row>
    <row r="1047" spans="1:4">
      <c r="A1047" s="105">
        <v>92136</v>
      </c>
      <c r="B1047" s="104" t="s">
        <v>1350</v>
      </c>
      <c r="C1047" s="104" t="s">
        <v>16</v>
      </c>
      <c r="D1047" s="129" t="s">
        <v>15697</v>
      </c>
    </row>
    <row r="1048" spans="1:4">
      <c r="A1048" s="105">
        <v>92137</v>
      </c>
      <c r="B1048" s="104" t="s">
        <v>1351</v>
      </c>
      <c r="C1048" s="104" t="s">
        <v>16</v>
      </c>
      <c r="D1048" s="129" t="s">
        <v>15698</v>
      </c>
    </row>
    <row r="1049" spans="1:4">
      <c r="A1049" s="105">
        <v>92140</v>
      </c>
      <c r="B1049" s="104" t="s">
        <v>1352</v>
      </c>
      <c r="C1049" s="104" t="s">
        <v>16</v>
      </c>
      <c r="D1049" s="129" t="s">
        <v>15699</v>
      </c>
    </row>
    <row r="1050" spans="1:4">
      <c r="A1050" s="105">
        <v>92141</v>
      </c>
      <c r="B1050" s="104" t="s">
        <v>1353</v>
      </c>
      <c r="C1050" s="104" t="s">
        <v>16</v>
      </c>
      <c r="D1050" s="129" t="s">
        <v>15526</v>
      </c>
    </row>
    <row r="1051" spans="1:4">
      <c r="A1051" s="105">
        <v>92142</v>
      </c>
      <c r="B1051" s="104" t="s">
        <v>1354</v>
      </c>
      <c r="C1051" s="104" t="s">
        <v>16</v>
      </c>
      <c r="D1051" s="129" t="s">
        <v>15607</v>
      </c>
    </row>
    <row r="1052" spans="1:4">
      <c r="A1052" s="105">
        <v>92143</v>
      </c>
      <c r="B1052" s="104" t="s">
        <v>1355</v>
      </c>
      <c r="C1052" s="104" t="s">
        <v>16</v>
      </c>
      <c r="D1052" s="129" t="s">
        <v>14939</v>
      </c>
    </row>
    <row r="1053" spans="1:4">
      <c r="A1053" s="105">
        <v>92144</v>
      </c>
      <c r="B1053" s="104" t="s">
        <v>1356</v>
      </c>
      <c r="C1053" s="104" t="s">
        <v>16</v>
      </c>
      <c r="D1053" s="129" t="s">
        <v>15700</v>
      </c>
    </row>
    <row r="1054" spans="1:4">
      <c r="A1054" s="105">
        <v>92237</v>
      </c>
      <c r="B1054" s="104" t="s">
        <v>1357</v>
      </c>
      <c r="C1054" s="104" t="s">
        <v>16</v>
      </c>
      <c r="D1054" s="129" t="s">
        <v>15701</v>
      </c>
    </row>
    <row r="1055" spans="1:4">
      <c r="A1055" s="105">
        <v>92238</v>
      </c>
      <c r="B1055" s="104" t="s">
        <v>1358</v>
      </c>
      <c r="C1055" s="104" t="s">
        <v>16</v>
      </c>
      <c r="D1055" s="129" t="s">
        <v>15143</v>
      </c>
    </row>
    <row r="1056" spans="1:4">
      <c r="A1056" s="105">
        <v>92239</v>
      </c>
      <c r="B1056" s="104" t="s">
        <v>1359</v>
      </c>
      <c r="C1056" s="104" t="s">
        <v>16</v>
      </c>
      <c r="D1056" s="129" t="s">
        <v>15702</v>
      </c>
    </row>
    <row r="1057" spans="1:4">
      <c r="A1057" s="105">
        <v>92240</v>
      </c>
      <c r="B1057" s="104" t="s">
        <v>1360</v>
      </c>
      <c r="C1057" s="104" t="s">
        <v>16</v>
      </c>
      <c r="D1057" s="129" t="s">
        <v>15703</v>
      </c>
    </row>
    <row r="1058" spans="1:4">
      <c r="A1058" s="105">
        <v>92241</v>
      </c>
      <c r="B1058" s="104" t="s">
        <v>1361</v>
      </c>
      <c r="C1058" s="104" t="s">
        <v>16</v>
      </c>
      <c r="D1058" s="129" t="s">
        <v>15704</v>
      </c>
    </row>
    <row r="1059" spans="1:4">
      <c r="A1059" s="105">
        <v>92712</v>
      </c>
      <c r="B1059" s="104" t="s">
        <v>1362</v>
      </c>
      <c r="C1059" s="104" t="s">
        <v>16</v>
      </c>
      <c r="D1059" s="129" t="s">
        <v>15194</v>
      </c>
    </row>
    <row r="1060" spans="1:4">
      <c r="A1060" s="105">
        <v>92713</v>
      </c>
      <c r="B1060" s="104" t="s">
        <v>1363</v>
      </c>
      <c r="C1060" s="104" t="s">
        <v>16</v>
      </c>
      <c r="D1060" s="129" t="s">
        <v>15354</v>
      </c>
    </row>
    <row r="1061" spans="1:4">
      <c r="A1061" s="105">
        <v>92714</v>
      </c>
      <c r="B1061" s="104" t="s">
        <v>1364</v>
      </c>
      <c r="C1061" s="104" t="s">
        <v>16</v>
      </c>
      <c r="D1061" s="129" t="s">
        <v>15491</v>
      </c>
    </row>
    <row r="1062" spans="1:4">
      <c r="A1062" s="105">
        <v>92715</v>
      </c>
      <c r="B1062" s="104" t="s">
        <v>1365</v>
      </c>
      <c r="C1062" s="104" t="s">
        <v>16</v>
      </c>
      <c r="D1062" s="129" t="s">
        <v>15459</v>
      </c>
    </row>
    <row r="1063" spans="1:4">
      <c r="A1063" s="105">
        <v>92956</v>
      </c>
      <c r="B1063" s="104" t="s">
        <v>1366</v>
      </c>
      <c r="C1063" s="104" t="s">
        <v>16</v>
      </c>
      <c r="D1063" s="129" t="s">
        <v>15705</v>
      </c>
    </row>
    <row r="1064" spans="1:4">
      <c r="A1064" s="105">
        <v>92957</v>
      </c>
      <c r="B1064" s="104" t="s">
        <v>1367</v>
      </c>
      <c r="C1064" s="104" t="s">
        <v>16</v>
      </c>
      <c r="D1064" s="129" t="s">
        <v>15706</v>
      </c>
    </row>
    <row r="1065" spans="1:4">
      <c r="A1065" s="105">
        <v>92958</v>
      </c>
      <c r="B1065" s="104" t="s">
        <v>1368</v>
      </c>
      <c r="C1065" s="104" t="s">
        <v>16</v>
      </c>
      <c r="D1065" s="129" t="s">
        <v>15707</v>
      </c>
    </row>
    <row r="1066" spans="1:4">
      <c r="A1066" s="105">
        <v>92959</v>
      </c>
      <c r="B1066" s="104" t="s">
        <v>1369</v>
      </c>
      <c r="C1066" s="104" t="s">
        <v>16</v>
      </c>
      <c r="D1066" s="129" t="s">
        <v>15488</v>
      </c>
    </row>
    <row r="1067" spans="1:4">
      <c r="A1067" s="105">
        <v>92963</v>
      </c>
      <c r="B1067" s="104" t="s">
        <v>1370</v>
      </c>
      <c r="C1067" s="104" t="s">
        <v>16</v>
      </c>
      <c r="D1067" s="129" t="s">
        <v>15708</v>
      </c>
    </row>
    <row r="1068" spans="1:4">
      <c r="A1068" s="105">
        <v>92964</v>
      </c>
      <c r="B1068" s="104" t="s">
        <v>1371</v>
      </c>
      <c r="C1068" s="104" t="s">
        <v>16</v>
      </c>
      <c r="D1068" s="129" t="s">
        <v>15576</v>
      </c>
    </row>
    <row r="1069" spans="1:4">
      <c r="A1069" s="105">
        <v>92965</v>
      </c>
      <c r="B1069" s="104" t="s">
        <v>1372</v>
      </c>
      <c r="C1069" s="104" t="s">
        <v>16</v>
      </c>
      <c r="D1069" s="129" t="s">
        <v>15709</v>
      </c>
    </row>
    <row r="1070" spans="1:4">
      <c r="A1070" s="105">
        <v>93220</v>
      </c>
      <c r="B1070" s="104" t="s">
        <v>1373</v>
      </c>
      <c r="C1070" s="104" t="s">
        <v>16</v>
      </c>
      <c r="D1070" s="129" t="s">
        <v>15710</v>
      </c>
    </row>
    <row r="1071" spans="1:4">
      <c r="A1071" s="105">
        <v>93221</v>
      </c>
      <c r="B1071" s="104" t="s">
        <v>1374</v>
      </c>
      <c r="C1071" s="104" t="s">
        <v>16</v>
      </c>
      <c r="D1071" s="129" t="s">
        <v>15711</v>
      </c>
    </row>
    <row r="1072" spans="1:4">
      <c r="A1072" s="105">
        <v>93222</v>
      </c>
      <c r="B1072" s="104" t="s">
        <v>1375</v>
      </c>
      <c r="C1072" s="104" t="s">
        <v>16</v>
      </c>
      <c r="D1072" s="129" t="s">
        <v>15712</v>
      </c>
    </row>
    <row r="1073" spans="1:4">
      <c r="A1073" s="105">
        <v>93223</v>
      </c>
      <c r="B1073" s="104" t="s">
        <v>1376</v>
      </c>
      <c r="C1073" s="104" t="s">
        <v>16</v>
      </c>
      <c r="D1073" s="129" t="s">
        <v>15713</v>
      </c>
    </row>
    <row r="1074" spans="1:4">
      <c r="A1074" s="105">
        <v>93229</v>
      </c>
      <c r="B1074" s="104" t="s">
        <v>13659</v>
      </c>
      <c r="C1074" s="104" t="s">
        <v>16</v>
      </c>
      <c r="D1074" s="129" t="s">
        <v>15714</v>
      </c>
    </row>
    <row r="1075" spans="1:4">
      <c r="A1075" s="105">
        <v>93230</v>
      </c>
      <c r="B1075" s="104" t="s">
        <v>13660</v>
      </c>
      <c r="C1075" s="104" t="s">
        <v>16</v>
      </c>
      <c r="D1075" s="129" t="s">
        <v>15470</v>
      </c>
    </row>
    <row r="1076" spans="1:4">
      <c r="A1076" s="105">
        <v>93231</v>
      </c>
      <c r="B1076" s="104" t="s">
        <v>13661</v>
      </c>
      <c r="C1076" s="104" t="s">
        <v>16</v>
      </c>
      <c r="D1076" s="129" t="s">
        <v>15715</v>
      </c>
    </row>
    <row r="1077" spans="1:4">
      <c r="A1077" s="105">
        <v>93232</v>
      </c>
      <c r="B1077" s="104" t="s">
        <v>13662</v>
      </c>
      <c r="C1077" s="104" t="s">
        <v>16</v>
      </c>
      <c r="D1077" s="129" t="s">
        <v>15647</v>
      </c>
    </row>
    <row r="1078" spans="1:4">
      <c r="A1078" s="105">
        <v>93235</v>
      </c>
      <c r="B1078" s="104" t="s">
        <v>1377</v>
      </c>
      <c r="C1078" s="104" t="s">
        <v>16</v>
      </c>
      <c r="D1078" s="129" t="s">
        <v>15284</v>
      </c>
    </row>
    <row r="1079" spans="1:4">
      <c r="A1079" s="105">
        <v>93238</v>
      </c>
      <c r="B1079" s="104" t="s">
        <v>1378</v>
      </c>
      <c r="C1079" s="104" t="s">
        <v>16</v>
      </c>
      <c r="D1079" s="129" t="s">
        <v>15468</v>
      </c>
    </row>
    <row r="1080" spans="1:4">
      <c r="A1080" s="105">
        <v>93239</v>
      </c>
      <c r="B1080" s="104" t="s">
        <v>1379</v>
      </c>
      <c r="C1080" s="104" t="s">
        <v>16</v>
      </c>
      <c r="D1080" s="129" t="s">
        <v>15716</v>
      </c>
    </row>
    <row r="1081" spans="1:4">
      <c r="A1081" s="105">
        <v>93240</v>
      </c>
      <c r="B1081" s="104" t="s">
        <v>1380</v>
      </c>
      <c r="C1081" s="104" t="s">
        <v>16</v>
      </c>
      <c r="D1081" s="129" t="s">
        <v>15717</v>
      </c>
    </row>
    <row r="1082" spans="1:4">
      <c r="A1082" s="105">
        <v>93267</v>
      </c>
      <c r="B1082" s="104" t="s">
        <v>1381</v>
      </c>
      <c r="C1082" s="104" t="s">
        <v>16</v>
      </c>
      <c r="D1082" s="129" t="s">
        <v>15718</v>
      </c>
    </row>
    <row r="1083" spans="1:4">
      <c r="A1083" s="105">
        <v>93269</v>
      </c>
      <c r="B1083" s="104" t="s">
        <v>1382</v>
      </c>
      <c r="C1083" s="104" t="s">
        <v>16</v>
      </c>
      <c r="D1083" s="129" t="s">
        <v>15312</v>
      </c>
    </row>
    <row r="1084" spans="1:4">
      <c r="A1084" s="105">
        <v>93270</v>
      </c>
      <c r="B1084" s="104" t="s">
        <v>1383</v>
      </c>
      <c r="C1084" s="104" t="s">
        <v>16</v>
      </c>
      <c r="D1084" s="129" t="s">
        <v>15719</v>
      </c>
    </row>
    <row r="1085" spans="1:4">
      <c r="A1085" s="105">
        <v>93271</v>
      </c>
      <c r="B1085" s="104" t="s">
        <v>1384</v>
      </c>
      <c r="C1085" s="104" t="s">
        <v>16</v>
      </c>
      <c r="D1085" s="129" t="s">
        <v>15720</v>
      </c>
    </row>
    <row r="1086" spans="1:4">
      <c r="A1086" s="105">
        <v>93277</v>
      </c>
      <c r="B1086" s="104" t="s">
        <v>1385</v>
      </c>
      <c r="C1086" s="104" t="s">
        <v>16</v>
      </c>
      <c r="D1086" s="129" t="s">
        <v>15491</v>
      </c>
    </row>
    <row r="1087" spans="1:4">
      <c r="A1087" s="105">
        <v>93278</v>
      </c>
      <c r="B1087" s="104" t="s">
        <v>1386</v>
      </c>
      <c r="C1087" s="104" t="s">
        <v>16</v>
      </c>
      <c r="D1087" s="129" t="s">
        <v>15354</v>
      </c>
    </row>
    <row r="1088" spans="1:4">
      <c r="A1088" s="105">
        <v>93279</v>
      </c>
      <c r="B1088" s="104" t="s">
        <v>1387</v>
      </c>
      <c r="C1088" s="104" t="s">
        <v>16</v>
      </c>
      <c r="D1088" s="129" t="s">
        <v>15292</v>
      </c>
    </row>
    <row r="1089" spans="1:4">
      <c r="A1089" s="105">
        <v>93280</v>
      </c>
      <c r="B1089" s="104" t="s">
        <v>1388</v>
      </c>
      <c r="C1089" s="104" t="s">
        <v>16</v>
      </c>
      <c r="D1089" s="129" t="s">
        <v>15603</v>
      </c>
    </row>
    <row r="1090" spans="1:4">
      <c r="A1090" s="105">
        <v>93283</v>
      </c>
      <c r="B1090" s="104" t="s">
        <v>1389</v>
      </c>
      <c r="C1090" s="104" t="s">
        <v>16</v>
      </c>
      <c r="D1090" s="129" t="s">
        <v>15721</v>
      </c>
    </row>
    <row r="1091" spans="1:4">
      <c r="A1091" s="105">
        <v>93284</v>
      </c>
      <c r="B1091" s="104" t="s">
        <v>1390</v>
      </c>
      <c r="C1091" s="104" t="s">
        <v>16</v>
      </c>
      <c r="D1091" s="129" t="s">
        <v>15666</v>
      </c>
    </row>
    <row r="1092" spans="1:4">
      <c r="A1092" s="105">
        <v>93285</v>
      </c>
      <c r="B1092" s="104" t="s">
        <v>1391</v>
      </c>
      <c r="C1092" s="104" t="s">
        <v>16</v>
      </c>
      <c r="D1092" s="129" t="s">
        <v>15722</v>
      </c>
    </row>
    <row r="1093" spans="1:4">
      <c r="A1093" s="105">
        <v>93286</v>
      </c>
      <c r="B1093" s="104" t="s">
        <v>1392</v>
      </c>
      <c r="C1093" s="104" t="s">
        <v>16</v>
      </c>
      <c r="D1093" s="129" t="s">
        <v>15185</v>
      </c>
    </row>
    <row r="1094" spans="1:4">
      <c r="A1094" s="105">
        <v>93296</v>
      </c>
      <c r="B1094" s="104" t="s">
        <v>1393</v>
      </c>
      <c r="C1094" s="104" t="s">
        <v>16</v>
      </c>
      <c r="D1094" s="129" t="s">
        <v>15723</v>
      </c>
    </row>
    <row r="1095" spans="1:4">
      <c r="A1095" s="105">
        <v>93397</v>
      </c>
      <c r="B1095" s="104" t="s">
        <v>1394</v>
      </c>
      <c r="C1095" s="104" t="s">
        <v>16</v>
      </c>
      <c r="D1095" s="129" t="s">
        <v>15675</v>
      </c>
    </row>
    <row r="1096" spans="1:4">
      <c r="A1096" s="105">
        <v>93398</v>
      </c>
      <c r="B1096" s="104" t="s">
        <v>1395</v>
      </c>
      <c r="C1096" s="104" t="s">
        <v>16</v>
      </c>
      <c r="D1096" s="129" t="s">
        <v>15676</v>
      </c>
    </row>
    <row r="1097" spans="1:4">
      <c r="A1097" s="105">
        <v>93399</v>
      </c>
      <c r="B1097" s="104" t="s">
        <v>1396</v>
      </c>
      <c r="C1097" s="104" t="s">
        <v>16</v>
      </c>
      <c r="D1097" s="129" t="s">
        <v>15677</v>
      </c>
    </row>
    <row r="1098" spans="1:4">
      <c r="A1098" s="105">
        <v>93400</v>
      </c>
      <c r="B1098" s="104" t="s">
        <v>1397</v>
      </c>
      <c r="C1098" s="104" t="s">
        <v>16</v>
      </c>
      <c r="D1098" s="129" t="s">
        <v>15678</v>
      </c>
    </row>
    <row r="1099" spans="1:4">
      <c r="A1099" s="105">
        <v>93401</v>
      </c>
      <c r="B1099" s="104" t="s">
        <v>1398</v>
      </c>
      <c r="C1099" s="104" t="s">
        <v>16</v>
      </c>
      <c r="D1099" s="129" t="s">
        <v>15411</v>
      </c>
    </row>
    <row r="1100" spans="1:4">
      <c r="A1100" s="105">
        <v>93404</v>
      </c>
      <c r="B1100" s="104" t="s">
        <v>1399</v>
      </c>
      <c r="C1100" s="104" t="s">
        <v>16</v>
      </c>
      <c r="D1100" s="129" t="s">
        <v>15124</v>
      </c>
    </row>
    <row r="1101" spans="1:4">
      <c r="A1101" s="105">
        <v>93405</v>
      </c>
      <c r="B1101" s="104" t="s">
        <v>1400</v>
      </c>
      <c r="C1101" s="104" t="s">
        <v>16</v>
      </c>
      <c r="D1101" s="129" t="s">
        <v>15724</v>
      </c>
    </row>
    <row r="1102" spans="1:4">
      <c r="A1102" s="105">
        <v>93406</v>
      </c>
      <c r="B1102" s="104" t="s">
        <v>1401</v>
      </c>
      <c r="C1102" s="104" t="s">
        <v>16</v>
      </c>
      <c r="D1102" s="129" t="s">
        <v>15219</v>
      </c>
    </row>
    <row r="1103" spans="1:4">
      <c r="A1103" s="105">
        <v>93407</v>
      </c>
      <c r="B1103" s="104" t="s">
        <v>1402</v>
      </c>
      <c r="C1103" s="104" t="s">
        <v>16</v>
      </c>
      <c r="D1103" s="129" t="s">
        <v>15457</v>
      </c>
    </row>
    <row r="1104" spans="1:4">
      <c r="A1104" s="105">
        <v>93411</v>
      </c>
      <c r="B1104" s="104" t="s">
        <v>1403</v>
      </c>
      <c r="C1104" s="104" t="s">
        <v>16</v>
      </c>
      <c r="D1104" s="129" t="s">
        <v>15194</v>
      </c>
    </row>
    <row r="1105" spans="1:4">
      <c r="A1105" s="105">
        <v>93412</v>
      </c>
      <c r="B1105" s="104" t="s">
        <v>1404</v>
      </c>
      <c r="C1105" s="104" t="s">
        <v>16</v>
      </c>
      <c r="D1105" s="129" t="s">
        <v>15492</v>
      </c>
    </row>
    <row r="1106" spans="1:4">
      <c r="A1106" s="105">
        <v>93413</v>
      </c>
      <c r="B1106" s="104" t="s">
        <v>1405</v>
      </c>
      <c r="C1106" s="104" t="s">
        <v>16</v>
      </c>
      <c r="D1106" s="129" t="s">
        <v>15725</v>
      </c>
    </row>
    <row r="1107" spans="1:4">
      <c r="A1107" s="105">
        <v>93414</v>
      </c>
      <c r="B1107" s="104" t="s">
        <v>1406</v>
      </c>
      <c r="C1107" s="104" t="s">
        <v>16</v>
      </c>
      <c r="D1107" s="129" t="s">
        <v>15726</v>
      </c>
    </row>
    <row r="1108" spans="1:4">
      <c r="A1108" s="105">
        <v>93417</v>
      </c>
      <c r="B1108" s="104" t="s">
        <v>1407</v>
      </c>
      <c r="C1108" s="104" t="s">
        <v>16</v>
      </c>
      <c r="D1108" s="129" t="s">
        <v>15727</v>
      </c>
    </row>
    <row r="1109" spans="1:4">
      <c r="A1109" s="105">
        <v>93418</v>
      </c>
      <c r="B1109" s="104" t="s">
        <v>1408</v>
      </c>
      <c r="C1109" s="104" t="s">
        <v>16</v>
      </c>
      <c r="D1109" s="129" t="s">
        <v>15646</v>
      </c>
    </row>
    <row r="1110" spans="1:4">
      <c r="A1110" s="105">
        <v>93419</v>
      </c>
      <c r="B1110" s="104" t="s">
        <v>1409</v>
      </c>
      <c r="C1110" s="104" t="s">
        <v>16</v>
      </c>
      <c r="D1110" s="129" t="s">
        <v>15728</v>
      </c>
    </row>
    <row r="1111" spans="1:4">
      <c r="A1111" s="105">
        <v>93420</v>
      </c>
      <c r="B1111" s="104" t="s">
        <v>1410</v>
      </c>
      <c r="C1111" s="104" t="s">
        <v>16</v>
      </c>
      <c r="D1111" s="129" t="s">
        <v>15729</v>
      </c>
    </row>
    <row r="1112" spans="1:4">
      <c r="A1112" s="105">
        <v>93423</v>
      </c>
      <c r="B1112" s="104" t="s">
        <v>1411</v>
      </c>
      <c r="C1112" s="104" t="s">
        <v>16</v>
      </c>
      <c r="D1112" s="129" t="s">
        <v>15730</v>
      </c>
    </row>
    <row r="1113" spans="1:4">
      <c r="A1113" s="105">
        <v>93424</v>
      </c>
      <c r="B1113" s="104" t="s">
        <v>1412</v>
      </c>
      <c r="C1113" s="104" t="s">
        <v>16</v>
      </c>
      <c r="D1113" s="129" t="s">
        <v>15731</v>
      </c>
    </row>
    <row r="1114" spans="1:4">
      <c r="A1114" s="105">
        <v>93425</v>
      </c>
      <c r="B1114" s="104" t="s">
        <v>1413</v>
      </c>
      <c r="C1114" s="104" t="s">
        <v>16</v>
      </c>
      <c r="D1114" s="129" t="s">
        <v>15732</v>
      </c>
    </row>
    <row r="1115" spans="1:4">
      <c r="A1115" s="105">
        <v>93426</v>
      </c>
      <c r="B1115" s="104" t="s">
        <v>1414</v>
      </c>
      <c r="C1115" s="104" t="s">
        <v>16</v>
      </c>
      <c r="D1115" s="129" t="s">
        <v>15733</v>
      </c>
    </row>
    <row r="1116" spans="1:4">
      <c r="A1116" s="105">
        <v>93429</v>
      </c>
      <c r="B1116" s="104" t="s">
        <v>1415</v>
      </c>
      <c r="C1116" s="104" t="s">
        <v>16</v>
      </c>
      <c r="D1116" s="129" t="s">
        <v>15734</v>
      </c>
    </row>
    <row r="1117" spans="1:4">
      <c r="A1117" s="105">
        <v>93430</v>
      </c>
      <c r="B1117" s="104" t="s">
        <v>1416</v>
      </c>
      <c r="C1117" s="104" t="s">
        <v>16</v>
      </c>
      <c r="D1117" s="129" t="s">
        <v>15735</v>
      </c>
    </row>
    <row r="1118" spans="1:4">
      <c r="A1118" s="105">
        <v>93431</v>
      </c>
      <c r="B1118" s="104" t="s">
        <v>1417</v>
      </c>
      <c r="C1118" s="104" t="s">
        <v>16</v>
      </c>
      <c r="D1118" s="129" t="s">
        <v>15736</v>
      </c>
    </row>
    <row r="1119" spans="1:4">
      <c r="A1119" s="105">
        <v>93432</v>
      </c>
      <c r="B1119" s="104" t="s">
        <v>1418</v>
      </c>
      <c r="C1119" s="104" t="s">
        <v>16</v>
      </c>
      <c r="D1119" s="129" t="s">
        <v>15737</v>
      </c>
    </row>
    <row r="1120" spans="1:4">
      <c r="A1120" s="105">
        <v>93435</v>
      </c>
      <c r="B1120" s="104" t="s">
        <v>1419</v>
      </c>
      <c r="C1120" s="104" t="s">
        <v>16</v>
      </c>
      <c r="D1120" s="129" t="s">
        <v>15738</v>
      </c>
    </row>
    <row r="1121" spans="1:4">
      <c r="A1121" s="105">
        <v>93436</v>
      </c>
      <c r="B1121" s="104" t="s">
        <v>1420</v>
      </c>
      <c r="C1121" s="104" t="s">
        <v>16</v>
      </c>
      <c r="D1121" s="129" t="s">
        <v>15739</v>
      </c>
    </row>
    <row r="1122" spans="1:4">
      <c r="A1122" s="105">
        <v>93437</v>
      </c>
      <c r="B1122" s="104" t="s">
        <v>1421</v>
      </c>
      <c r="C1122" s="104" t="s">
        <v>16</v>
      </c>
      <c r="D1122" s="129" t="s">
        <v>15740</v>
      </c>
    </row>
    <row r="1123" spans="1:4">
      <c r="A1123" s="105">
        <v>93438</v>
      </c>
      <c r="B1123" s="104" t="s">
        <v>1422</v>
      </c>
      <c r="C1123" s="104" t="s">
        <v>16</v>
      </c>
      <c r="D1123" s="129" t="s">
        <v>15741</v>
      </c>
    </row>
    <row r="1124" spans="1:4">
      <c r="A1124" s="105">
        <v>95114</v>
      </c>
      <c r="B1124" s="104" t="s">
        <v>1423</v>
      </c>
      <c r="C1124" s="104" t="s">
        <v>16</v>
      </c>
      <c r="D1124" s="129" t="s">
        <v>15742</v>
      </c>
    </row>
    <row r="1125" spans="1:4">
      <c r="A1125" s="105">
        <v>95115</v>
      </c>
      <c r="B1125" s="104" t="s">
        <v>1424</v>
      </c>
      <c r="C1125" s="104" t="s">
        <v>16</v>
      </c>
      <c r="D1125" s="129" t="s">
        <v>15576</v>
      </c>
    </row>
    <row r="1126" spans="1:4">
      <c r="A1126" s="105">
        <v>95116</v>
      </c>
      <c r="B1126" s="104" t="s">
        <v>1425</v>
      </c>
      <c r="C1126" s="104" t="s">
        <v>16</v>
      </c>
      <c r="D1126" s="129" t="s">
        <v>15743</v>
      </c>
    </row>
    <row r="1127" spans="1:4">
      <c r="A1127" s="105">
        <v>95117</v>
      </c>
      <c r="B1127" s="104" t="s">
        <v>1426</v>
      </c>
      <c r="C1127" s="104" t="s">
        <v>16</v>
      </c>
      <c r="D1127" s="129" t="s">
        <v>15339</v>
      </c>
    </row>
    <row r="1128" spans="1:4">
      <c r="A1128" s="105">
        <v>95118</v>
      </c>
      <c r="B1128" s="104" t="s">
        <v>1427</v>
      </c>
      <c r="C1128" s="104" t="s">
        <v>16</v>
      </c>
      <c r="D1128" s="129" t="s">
        <v>15744</v>
      </c>
    </row>
    <row r="1129" spans="1:4">
      <c r="A1129" s="105">
        <v>95119</v>
      </c>
      <c r="B1129" s="104" t="s">
        <v>1428</v>
      </c>
      <c r="C1129" s="104" t="s">
        <v>16</v>
      </c>
      <c r="D1129" s="129" t="s">
        <v>15745</v>
      </c>
    </row>
    <row r="1130" spans="1:4">
      <c r="A1130" s="105">
        <v>95120</v>
      </c>
      <c r="B1130" s="104" t="s">
        <v>1429</v>
      </c>
      <c r="C1130" s="104" t="s">
        <v>16</v>
      </c>
      <c r="D1130" s="129" t="s">
        <v>15746</v>
      </c>
    </row>
    <row r="1131" spans="1:4">
      <c r="A1131" s="105">
        <v>95123</v>
      </c>
      <c r="B1131" s="104" t="s">
        <v>1430</v>
      </c>
      <c r="C1131" s="104" t="s">
        <v>16</v>
      </c>
      <c r="D1131" s="129" t="s">
        <v>15747</v>
      </c>
    </row>
    <row r="1132" spans="1:4">
      <c r="A1132" s="105">
        <v>95124</v>
      </c>
      <c r="B1132" s="104" t="s">
        <v>1431</v>
      </c>
      <c r="C1132" s="104" t="s">
        <v>16</v>
      </c>
      <c r="D1132" s="129" t="s">
        <v>15748</v>
      </c>
    </row>
    <row r="1133" spans="1:4">
      <c r="A1133" s="105">
        <v>95125</v>
      </c>
      <c r="B1133" s="104" t="s">
        <v>1432</v>
      </c>
      <c r="C1133" s="104" t="s">
        <v>16</v>
      </c>
      <c r="D1133" s="129" t="s">
        <v>15749</v>
      </c>
    </row>
    <row r="1134" spans="1:4">
      <c r="A1134" s="105">
        <v>95126</v>
      </c>
      <c r="B1134" s="104" t="s">
        <v>1433</v>
      </c>
      <c r="C1134" s="104" t="s">
        <v>16</v>
      </c>
      <c r="D1134" s="129" t="s">
        <v>15750</v>
      </c>
    </row>
    <row r="1135" spans="1:4">
      <c r="A1135" s="105">
        <v>95129</v>
      </c>
      <c r="B1135" s="104" t="s">
        <v>1434</v>
      </c>
      <c r="C1135" s="104" t="s">
        <v>16</v>
      </c>
      <c r="D1135" s="129" t="s">
        <v>15387</v>
      </c>
    </row>
    <row r="1136" spans="1:4">
      <c r="A1136" s="105">
        <v>95130</v>
      </c>
      <c r="B1136" s="104" t="s">
        <v>1435</v>
      </c>
      <c r="C1136" s="104" t="s">
        <v>16</v>
      </c>
      <c r="D1136" s="129" t="s">
        <v>15751</v>
      </c>
    </row>
    <row r="1137" spans="1:4">
      <c r="A1137" s="105">
        <v>95131</v>
      </c>
      <c r="B1137" s="104" t="s">
        <v>1436</v>
      </c>
      <c r="C1137" s="104" t="s">
        <v>16</v>
      </c>
      <c r="D1137" s="129" t="s">
        <v>15752</v>
      </c>
    </row>
    <row r="1138" spans="1:4">
      <c r="A1138" s="105">
        <v>95132</v>
      </c>
      <c r="B1138" s="104" t="s">
        <v>1437</v>
      </c>
      <c r="C1138" s="104" t="s">
        <v>16</v>
      </c>
      <c r="D1138" s="129" t="s">
        <v>15753</v>
      </c>
    </row>
    <row r="1139" spans="1:4">
      <c r="A1139" s="105">
        <v>95136</v>
      </c>
      <c r="B1139" s="104" t="s">
        <v>1438</v>
      </c>
      <c r="C1139" s="104" t="s">
        <v>16</v>
      </c>
      <c r="D1139" s="129" t="s">
        <v>15354</v>
      </c>
    </row>
    <row r="1140" spans="1:4">
      <c r="A1140" s="105">
        <v>95137</v>
      </c>
      <c r="B1140" s="104" t="s">
        <v>1439</v>
      </c>
      <c r="C1140" s="104" t="s">
        <v>16</v>
      </c>
      <c r="D1140" s="129" t="s">
        <v>15754</v>
      </c>
    </row>
    <row r="1141" spans="1:4">
      <c r="A1141" s="105">
        <v>95138</v>
      </c>
      <c r="B1141" s="104" t="s">
        <v>1440</v>
      </c>
      <c r="C1141" s="104" t="s">
        <v>16</v>
      </c>
      <c r="D1141" s="129" t="s">
        <v>15354</v>
      </c>
    </row>
    <row r="1142" spans="1:4">
      <c r="A1142" s="105">
        <v>95208</v>
      </c>
      <c r="B1142" s="104" t="s">
        <v>1441</v>
      </c>
      <c r="C1142" s="104" t="s">
        <v>16</v>
      </c>
      <c r="D1142" s="129" t="s">
        <v>15755</v>
      </c>
    </row>
    <row r="1143" spans="1:4">
      <c r="A1143" s="105">
        <v>95209</v>
      </c>
      <c r="B1143" s="104" t="s">
        <v>1442</v>
      </c>
      <c r="C1143" s="104" t="s">
        <v>16</v>
      </c>
      <c r="D1143" s="129" t="s">
        <v>15756</v>
      </c>
    </row>
    <row r="1144" spans="1:4">
      <c r="A1144" s="105">
        <v>95210</v>
      </c>
      <c r="B1144" s="104" t="s">
        <v>1443</v>
      </c>
      <c r="C1144" s="104" t="s">
        <v>16</v>
      </c>
      <c r="D1144" s="129" t="s">
        <v>15757</v>
      </c>
    </row>
    <row r="1145" spans="1:4">
      <c r="A1145" s="105">
        <v>95211</v>
      </c>
      <c r="B1145" s="104" t="s">
        <v>1444</v>
      </c>
      <c r="C1145" s="104" t="s">
        <v>16</v>
      </c>
      <c r="D1145" s="129" t="s">
        <v>15720</v>
      </c>
    </row>
    <row r="1146" spans="1:4">
      <c r="A1146" s="105">
        <v>95217</v>
      </c>
      <c r="B1146" s="104" t="s">
        <v>1445</v>
      </c>
      <c r="C1146" s="104" t="s">
        <v>16</v>
      </c>
      <c r="D1146" s="129" t="s">
        <v>15359</v>
      </c>
    </row>
    <row r="1147" spans="1:4">
      <c r="A1147" s="105">
        <v>95255</v>
      </c>
      <c r="B1147" s="104" t="s">
        <v>1446</v>
      </c>
      <c r="C1147" s="104" t="s">
        <v>16</v>
      </c>
      <c r="D1147" s="129" t="s">
        <v>15696</v>
      </c>
    </row>
    <row r="1148" spans="1:4">
      <c r="A1148" s="105">
        <v>95256</v>
      </c>
      <c r="B1148" s="104" t="s">
        <v>1447</v>
      </c>
      <c r="C1148" s="104" t="s">
        <v>16</v>
      </c>
      <c r="D1148" s="129" t="s">
        <v>15758</v>
      </c>
    </row>
    <row r="1149" spans="1:4">
      <c r="A1149" s="105">
        <v>95257</v>
      </c>
      <c r="B1149" s="104" t="s">
        <v>1448</v>
      </c>
      <c r="C1149" s="104" t="s">
        <v>16</v>
      </c>
      <c r="D1149" s="129" t="s">
        <v>15759</v>
      </c>
    </row>
    <row r="1150" spans="1:4">
      <c r="A1150" s="105">
        <v>95260</v>
      </c>
      <c r="B1150" s="104" t="s">
        <v>1449</v>
      </c>
      <c r="C1150" s="104" t="s">
        <v>16</v>
      </c>
      <c r="D1150" s="129" t="s">
        <v>15760</v>
      </c>
    </row>
    <row r="1151" spans="1:4">
      <c r="A1151" s="105">
        <v>95261</v>
      </c>
      <c r="B1151" s="104" t="s">
        <v>1450</v>
      </c>
      <c r="C1151" s="104" t="s">
        <v>16</v>
      </c>
      <c r="D1151" s="129" t="s">
        <v>15543</v>
      </c>
    </row>
    <row r="1152" spans="1:4">
      <c r="A1152" s="105">
        <v>95262</v>
      </c>
      <c r="B1152" s="104" t="s">
        <v>1451</v>
      </c>
      <c r="C1152" s="104" t="s">
        <v>16</v>
      </c>
      <c r="D1152" s="129" t="s">
        <v>15761</v>
      </c>
    </row>
    <row r="1153" spans="1:4">
      <c r="A1153" s="105">
        <v>95263</v>
      </c>
      <c r="B1153" s="104" t="s">
        <v>1452</v>
      </c>
      <c r="C1153" s="104" t="s">
        <v>16</v>
      </c>
      <c r="D1153" s="129" t="s">
        <v>15762</v>
      </c>
    </row>
    <row r="1154" spans="1:4">
      <c r="A1154" s="105">
        <v>95266</v>
      </c>
      <c r="B1154" s="104" t="s">
        <v>1453</v>
      </c>
      <c r="C1154" s="104" t="s">
        <v>16</v>
      </c>
      <c r="D1154" s="129" t="s">
        <v>15306</v>
      </c>
    </row>
    <row r="1155" spans="1:4">
      <c r="A1155" s="105">
        <v>95267</v>
      </c>
      <c r="B1155" s="104" t="s">
        <v>1454</v>
      </c>
      <c r="C1155" s="104" t="s">
        <v>16</v>
      </c>
      <c r="D1155" s="129" t="s">
        <v>15492</v>
      </c>
    </row>
    <row r="1156" spans="1:4">
      <c r="A1156" s="105">
        <v>95268</v>
      </c>
      <c r="B1156" s="104" t="s">
        <v>1455</v>
      </c>
      <c r="C1156" s="104" t="s">
        <v>16</v>
      </c>
      <c r="D1156" s="129" t="s">
        <v>15714</v>
      </c>
    </row>
    <row r="1157" spans="1:4">
      <c r="A1157" s="105">
        <v>95269</v>
      </c>
      <c r="B1157" s="104" t="s">
        <v>1456</v>
      </c>
      <c r="C1157" s="104" t="s">
        <v>16</v>
      </c>
      <c r="D1157" s="129" t="s">
        <v>15647</v>
      </c>
    </row>
    <row r="1158" spans="1:4">
      <c r="A1158" s="105">
        <v>95272</v>
      </c>
      <c r="B1158" s="104" t="s">
        <v>1457</v>
      </c>
      <c r="C1158" s="104" t="s">
        <v>16</v>
      </c>
      <c r="D1158" s="129" t="s">
        <v>15763</v>
      </c>
    </row>
    <row r="1159" spans="1:4">
      <c r="A1159" s="105">
        <v>95273</v>
      </c>
      <c r="B1159" s="104" t="s">
        <v>1458</v>
      </c>
      <c r="C1159" s="104" t="s">
        <v>16</v>
      </c>
      <c r="D1159" s="129" t="s">
        <v>15470</v>
      </c>
    </row>
    <row r="1160" spans="1:4">
      <c r="A1160" s="105">
        <v>95274</v>
      </c>
      <c r="B1160" s="104" t="s">
        <v>1459</v>
      </c>
      <c r="C1160" s="104" t="s">
        <v>16</v>
      </c>
      <c r="D1160" s="129" t="s">
        <v>15491</v>
      </c>
    </row>
    <row r="1161" spans="1:4">
      <c r="A1161" s="105">
        <v>95275</v>
      </c>
      <c r="B1161" s="104" t="s">
        <v>1460</v>
      </c>
      <c r="C1161" s="104" t="s">
        <v>16</v>
      </c>
      <c r="D1161" s="129" t="s">
        <v>15764</v>
      </c>
    </row>
    <row r="1162" spans="1:4">
      <c r="A1162" s="105">
        <v>95278</v>
      </c>
      <c r="B1162" s="104" t="s">
        <v>1461</v>
      </c>
      <c r="C1162" s="104" t="s">
        <v>16</v>
      </c>
      <c r="D1162" s="129" t="s">
        <v>15607</v>
      </c>
    </row>
    <row r="1163" spans="1:4">
      <c r="A1163" s="105">
        <v>95279</v>
      </c>
      <c r="B1163" s="104" t="s">
        <v>1462</v>
      </c>
      <c r="C1163" s="104" t="s">
        <v>16</v>
      </c>
      <c r="D1163" s="129" t="s">
        <v>15470</v>
      </c>
    </row>
    <row r="1164" spans="1:4">
      <c r="A1164" s="105">
        <v>95280</v>
      </c>
      <c r="B1164" s="104" t="s">
        <v>1463</v>
      </c>
      <c r="C1164" s="104" t="s">
        <v>16</v>
      </c>
      <c r="D1164" s="129" t="s">
        <v>15283</v>
      </c>
    </row>
    <row r="1165" spans="1:4">
      <c r="A1165" s="105">
        <v>95281</v>
      </c>
      <c r="B1165" s="104" t="s">
        <v>1464</v>
      </c>
      <c r="C1165" s="104" t="s">
        <v>16</v>
      </c>
      <c r="D1165" s="129" t="s">
        <v>15647</v>
      </c>
    </row>
    <row r="1166" spans="1:4">
      <c r="A1166" s="105">
        <v>95617</v>
      </c>
      <c r="B1166" s="104" t="s">
        <v>1465</v>
      </c>
      <c r="C1166" s="104" t="s">
        <v>16</v>
      </c>
      <c r="D1166" s="129" t="s">
        <v>15477</v>
      </c>
    </row>
    <row r="1167" spans="1:4">
      <c r="A1167" s="105">
        <v>95618</v>
      </c>
      <c r="B1167" s="104" t="s">
        <v>1466</v>
      </c>
      <c r="C1167" s="104" t="s">
        <v>16</v>
      </c>
      <c r="D1167" s="129" t="s">
        <v>15765</v>
      </c>
    </row>
    <row r="1168" spans="1:4">
      <c r="A1168" s="105">
        <v>95619</v>
      </c>
      <c r="B1168" s="104" t="s">
        <v>1467</v>
      </c>
      <c r="C1168" s="104" t="s">
        <v>16</v>
      </c>
      <c r="D1168" s="129" t="s">
        <v>15766</v>
      </c>
    </row>
    <row r="1169" spans="1:4">
      <c r="A1169" s="105">
        <v>95627</v>
      </c>
      <c r="B1169" s="104" t="s">
        <v>1468</v>
      </c>
      <c r="C1169" s="104" t="s">
        <v>16</v>
      </c>
      <c r="D1169" s="129" t="s">
        <v>15767</v>
      </c>
    </row>
    <row r="1170" spans="1:4">
      <c r="A1170" s="105">
        <v>95628</v>
      </c>
      <c r="B1170" s="104" t="s">
        <v>1469</v>
      </c>
      <c r="C1170" s="104" t="s">
        <v>16</v>
      </c>
      <c r="D1170" s="129" t="s">
        <v>15768</v>
      </c>
    </row>
    <row r="1171" spans="1:4">
      <c r="A1171" s="105">
        <v>95629</v>
      </c>
      <c r="B1171" s="104" t="s">
        <v>1470</v>
      </c>
      <c r="C1171" s="104" t="s">
        <v>16</v>
      </c>
      <c r="D1171" s="129" t="s">
        <v>15769</v>
      </c>
    </row>
    <row r="1172" spans="1:4">
      <c r="A1172" s="105">
        <v>95630</v>
      </c>
      <c r="B1172" s="104" t="s">
        <v>1471</v>
      </c>
      <c r="C1172" s="104" t="s">
        <v>16</v>
      </c>
      <c r="D1172" s="129" t="s">
        <v>15431</v>
      </c>
    </row>
    <row r="1173" spans="1:4">
      <c r="A1173" s="105">
        <v>95698</v>
      </c>
      <c r="B1173" s="104" t="s">
        <v>1472</v>
      </c>
      <c r="C1173" s="104" t="s">
        <v>16</v>
      </c>
      <c r="D1173" s="129" t="s">
        <v>15770</v>
      </c>
    </row>
    <row r="1174" spans="1:4">
      <c r="A1174" s="105">
        <v>95699</v>
      </c>
      <c r="B1174" s="104" t="s">
        <v>1473</v>
      </c>
      <c r="C1174" s="104" t="s">
        <v>16</v>
      </c>
      <c r="D1174" s="129" t="s">
        <v>15323</v>
      </c>
    </row>
    <row r="1175" spans="1:4">
      <c r="A1175" s="105">
        <v>95700</v>
      </c>
      <c r="B1175" s="104" t="s">
        <v>1474</v>
      </c>
      <c r="C1175" s="104" t="s">
        <v>16</v>
      </c>
      <c r="D1175" s="129" t="s">
        <v>15530</v>
      </c>
    </row>
    <row r="1176" spans="1:4">
      <c r="A1176" s="105">
        <v>95701</v>
      </c>
      <c r="B1176" s="104" t="s">
        <v>1475</v>
      </c>
      <c r="C1176" s="104" t="s">
        <v>16</v>
      </c>
      <c r="D1176" s="129" t="s">
        <v>15475</v>
      </c>
    </row>
    <row r="1177" spans="1:4">
      <c r="A1177" s="105">
        <v>95704</v>
      </c>
      <c r="B1177" s="104" t="s">
        <v>1476</v>
      </c>
      <c r="C1177" s="104" t="s">
        <v>16</v>
      </c>
      <c r="D1177" s="129" t="s">
        <v>15771</v>
      </c>
    </row>
    <row r="1178" spans="1:4">
      <c r="A1178" s="105">
        <v>95705</v>
      </c>
      <c r="B1178" s="104" t="s">
        <v>1477</v>
      </c>
      <c r="C1178" s="104" t="s">
        <v>16</v>
      </c>
      <c r="D1178" s="129" t="s">
        <v>15772</v>
      </c>
    </row>
    <row r="1179" spans="1:4">
      <c r="A1179" s="105">
        <v>95706</v>
      </c>
      <c r="B1179" s="104" t="s">
        <v>1478</v>
      </c>
      <c r="C1179" s="104" t="s">
        <v>16</v>
      </c>
      <c r="D1179" s="129" t="s">
        <v>15773</v>
      </c>
    </row>
    <row r="1180" spans="1:4">
      <c r="A1180" s="105">
        <v>95707</v>
      </c>
      <c r="B1180" s="104" t="s">
        <v>1479</v>
      </c>
      <c r="C1180" s="104" t="s">
        <v>16</v>
      </c>
      <c r="D1180" s="129" t="s">
        <v>15774</v>
      </c>
    </row>
    <row r="1181" spans="1:4">
      <c r="A1181" s="105">
        <v>95710</v>
      </c>
      <c r="B1181" s="104" t="s">
        <v>1480</v>
      </c>
      <c r="C1181" s="104" t="s">
        <v>16</v>
      </c>
      <c r="D1181" s="129" t="s">
        <v>15775</v>
      </c>
    </row>
    <row r="1182" spans="1:4">
      <c r="A1182" s="105">
        <v>95711</v>
      </c>
      <c r="B1182" s="104" t="s">
        <v>1481</v>
      </c>
      <c r="C1182" s="104" t="s">
        <v>16</v>
      </c>
      <c r="D1182" s="129" t="s">
        <v>15776</v>
      </c>
    </row>
    <row r="1183" spans="1:4">
      <c r="A1183" s="105">
        <v>95712</v>
      </c>
      <c r="B1183" s="104" t="s">
        <v>1482</v>
      </c>
      <c r="C1183" s="104" t="s">
        <v>16</v>
      </c>
      <c r="D1183" s="129" t="s">
        <v>15777</v>
      </c>
    </row>
    <row r="1184" spans="1:4">
      <c r="A1184" s="105">
        <v>95713</v>
      </c>
      <c r="B1184" s="104" t="s">
        <v>1483</v>
      </c>
      <c r="C1184" s="104" t="s">
        <v>16</v>
      </c>
      <c r="D1184" s="129" t="s">
        <v>15513</v>
      </c>
    </row>
    <row r="1185" spans="1:4">
      <c r="A1185" s="105">
        <v>95716</v>
      </c>
      <c r="B1185" s="104" t="s">
        <v>1484</v>
      </c>
      <c r="C1185" s="104" t="s">
        <v>16</v>
      </c>
      <c r="D1185" s="129" t="s">
        <v>15778</v>
      </c>
    </row>
    <row r="1186" spans="1:4">
      <c r="A1186" s="105">
        <v>95717</v>
      </c>
      <c r="B1186" s="104" t="s">
        <v>1485</v>
      </c>
      <c r="C1186" s="104" t="s">
        <v>16</v>
      </c>
      <c r="D1186" s="129" t="s">
        <v>15779</v>
      </c>
    </row>
    <row r="1187" spans="1:4">
      <c r="A1187" s="105">
        <v>95718</v>
      </c>
      <c r="B1187" s="104" t="s">
        <v>1486</v>
      </c>
      <c r="C1187" s="104" t="s">
        <v>16</v>
      </c>
      <c r="D1187" s="129" t="s">
        <v>15780</v>
      </c>
    </row>
    <row r="1188" spans="1:4">
      <c r="A1188" s="105">
        <v>95719</v>
      </c>
      <c r="B1188" s="104" t="s">
        <v>1487</v>
      </c>
      <c r="C1188" s="104" t="s">
        <v>16</v>
      </c>
      <c r="D1188" s="129" t="s">
        <v>15513</v>
      </c>
    </row>
    <row r="1189" spans="1:4">
      <c r="A1189" s="105">
        <v>95869</v>
      </c>
      <c r="B1189" s="104" t="s">
        <v>1488</v>
      </c>
      <c r="C1189" s="104" t="s">
        <v>16</v>
      </c>
      <c r="D1189" s="129" t="s">
        <v>15781</v>
      </c>
    </row>
    <row r="1190" spans="1:4">
      <c r="A1190" s="105">
        <v>95870</v>
      </c>
      <c r="B1190" s="104" t="s">
        <v>1489</v>
      </c>
      <c r="C1190" s="104" t="s">
        <v>16</v>
      </c>
      <c r="D1190" s="129" t="s">
        <v>15782</v>
      </c>
    </row>
    <row r="1191" spans="1:4">
      <c r="A1191" s="105">
        <v>95871</v>
      </c>
      <c r="B1191" s="104" t="s">
        <v>1490</v>
      </c>
      <c r="C1191" s="104" t="s">
        <v>16</v>
      </c>
      <c r="D1191" s="129" t="s">
        <v>15783</v>
      </c>
    </row>
    <row r="1192" spans="1:4">
      <c r="A1192" s="105">
        <v>95874</v>
      </c>
      <c r="B1192" s="104" t="s">
        <v>1491</v>
      </c>
      <c r="C1192" s="104" t="s">
        <v>16</v>
      </c>
      <c r="D1192" s="129" t="s">
        <v>15784</v>
      </c>
    </row>
    <row r="1193" spans="1:4">
      <c r="A1193" s="105">
        <v>96008</v>
      </c>
      <c r="B1193" s="104" t="s">
        <v>1492</v>
      </c>
      <c r="C1193" s="104" t="s">
        <v>16</v>
      </c>
      <c r="D1193" s="129" t="s">
        <v>15785</v>
      </c>
    </row>
    <row r="1194" spans="1:4">
      <c r="A1194" s="105">
        <v>96009</v>
      </c>
      <c r="B1194" s="104" t="s">
        <v>1493</v>
      </c>
      <c r="C1194" s="104" t="s">
        <v>16</v>
      </c>
      <c r="D1194" s="129" t="s">
        <v>15786</v>
      </c>
    </row>
    <row r="1195" spans="1:4">
      <c r="A1195" s="105">
        <v>96011</v>
      </c>
      <c r="B1195" s="104" t="s">
        <v>1494</v>
      </c>
      <c r="C1195" s="104" t="s">
        <v>16</v>
      </c>
      <c r="D1195" s="129" t="s">
        <v>15787</v>
      </c>
    </row>
    <row r="1196" spans="1:4">
      <c r="A1196" s="105">
        <v>96012</v>
      </c>
      <c r="B1196" s="104" t="s">
        <v>1495</v>
      </c>
      <c r="C1196" s="104" t="s">
        <v>16</v>
      </c>
      <c r="D1196" s="129" t="s">
        <v>15437</v>
      </c>
    </row>
    <row r="1197" spans="1:4">
      <c r="A1197" s="105">
        <v>96015</v>
      </c>
      <c r="B1197" s="104" t="s">
        <v>1496</v>
      </c>
      <c r="C1197" s="104" t="s">
        <v>16</v>
      </c>
      <c r="D1197" s="129" t="s">
        <v>15788</v>
      </c>
    </row>
    <row r="1198" spans="1:4">
      <c r="A1198" s="105">
        <v>96016</v>
      </c>
      <c r="B1198" s="104" t="s">
        <v>1497</v>
      </c>
      <c r="C1198" s="104" t="s">
        <v>16</v>
      </c>
      <c r="D1198" s="129" t="s">
        <v>15789</v>
      </c>
    </row>
    <row r="1199" spans="1:4">
      <c r="A1199" s="105">
        <v>96018</v>
      </c>
      <c r="B1199" s="104" t="s">
        <v>1498</v>
      </c>
      <c r="C1199" s="104" t="s">
        <v>16</v>
      </c>
      <c r="D1199" s="129" t="s">
        <v>15187</v>
      </c>
    </row>
    <row r="1200" spans="1:4">
      <c r="A1200" s="105">
        <v>96019</v>
      </c>
      <c r="B1200" s="104" t="s">
        <v>1499</v>
      </c>
      <c r="C1200" s="104" t="s">
        <v>16</v>
      </c>
      <c r="D1200" s="129" t="s">
        <v>15790</v>
      </c>
    </row>
    <row r="1201" spans="1:4">
      <c r="A1201" s="105">
        <v>96023</v>
      </c>
      <c r="B1201" s="104" t="s">
        <v>1500</v>
      </c>
      <c r="C1201" s="104" t="s">
        <v>16</v>
      </c>
      <c r="D1201" s="129" t="s">
        <v>15791</v>
      </c>
    </row>
    <row r="1202" spans="1:4">
      <c r="A1202" s="105">
        <v>96024</v>
      </c>
      <c r="B1202" s="104" t="s">
        <v>1501</v>
      </c>
      <c r="C1202" s="104" t="s">
        <v>16</v>
      </c>
      <c r="D1202" s="129" t="s">
        <v>15792</v>
      </c>
    </row>
    <row r="1203" spans="1:4">
      <c r="A1203" s="105">
        <v>96026</v>
      </c>
      <c r="B1203" s="104" t="s">
        <v>1502</v>
      </c>
      <c r="C1203" s="104" t="s">
        <v>16</v>
      </c>
      <c r="D1203" s="129" t="s">
        <v>15793</v>
      </c>
    </row>
    <row r="1204" spans="1:4">
      <c r="A1204" s="105">
        <v>96027</v>
      </c>
      <c r="B1204" s="104" t="s">
        <v>1503</v>
      </c>
      <c r="C1204" s="104" t="s">
        <v>16</v>
      </c>
      <c r="D1204" s="129" t="s">
        <v>15794</v>
      </c>
    </row>
    <row r="1205" spans="1:4">
      <c r="A1205" s="105">
        <v>96030</v>
      </c>
      <c r="B1205" s="104" t="s">
        <v>1504</v>
      </c>
      <c r="C1205" s="104" t="s">
        <v>16</v>
      </c>
      <c r="D1205" s="129" t="s">
        <v>15795</v>
      </c>
    </row>
    <row r="1206" spans="1:4">
      <c r="A1206" s="105">
        <v>96031</v>
      </c>
      <c r="B1206" s="104" t="s">
        <v>1505</v>
      </c>
      <c r="C1206" s="104" t="s">
        <v>16</v>
      </c>
      <c r="D1206" s="129" t="s">
        <v>15796</v>
      </c>
    </row>
    <row r="1207" spans="1:4">
      <c r="A1207" s="105">
        <v>96032</v>
      </c>
      <c r="B1207" s="104" t="s">
        <v>1506</v>
      </c>
      <c r="C1207" s="104" t="s">
        <v>16</v>
      </c>
      <c r="D1207" s="129" t="s">
        <v>15797</v>
      </c>
    </row>
    <row r="1208" spans="1:4">
      <c r="A1208" s="105">
        <v>96033</v>
      </c>
      <c r="B1208" s="104" t="s">
        <v>1507</v>
      </c>
      <c r="C1208" s="104" t="s">
        <v>16</v>
      </c>
      <c r="D1208" s="129" t="s">
        <v>15798</v>
      </c>
    </row>
    <row r="1209" spans="1:4">
      <c r="A1209" s="105">
        <v>96034</v>
      </c>
      <c r="B1209" s="104" t="s">
        <v>1508</v>
      </c>
      <c r="C1209" s="104" t="s">
        <v>16</v>
      </c>
      <c r="D1209" s="129" t="s">
        <v>15799</v>
      </c>
    </row>
    <row r="1210" spans="1:4">
      <c r="A1210" s="105">
        <v>96053</v>
      </c>
      <c r="B1210" s="104" t="s">
        <v>1509</v>
      </c>
      <c r="C1210" s="104" t="s">
        <v>16</v>
      </c>
      <c r="D1210" s="129" t="s">
        <v>15800</v>
      </c>
    </row>
    <row r="1211" spans="1:4">
      <c r="A1211" s="105">
        <v>96054</v>
      </c>
      <c r="B1211" s="104" t="s">
        <v>1510</v>
      </c>
      <c r="C1211" s="104" t="s">
        <v>16</v>
      </c>
      <c r="D1211" s="129" t="s">
        <v>15801</v>
      </c>
    </row>
    <row r="1212" spans="1:4">
      <c r="A1212" s="105">
        <v>96055</v>
      </c>
      <c r="B1212" s="104" t="s">
        <v>1511</v>
      </c>
      <c r="C1212" s="104" t="s">
        <v>16</v>
      </c>
      <c r="D1212" s="129" t="s">
        <v>15802</v>
      </c>
    </row>
    <row r="1213" spans="1:4">
      <c r="A1213" s="105">
        <v>96056</v>
      </c>
      <c r="B1213" s="104" t="s">
        <v>1512</v>
      </c>
      <c r="C1213" s="104" t="s">
        <v>16</v>
      </c>
      <c r="D1213" s="129" t="s">
        <v>15803</v>
      </c>
    </row>
    <row r="1214" spans="1:4">
      <c r="A1214" s="105">
        <v>96057</v>
      </c>
      <c r="B1214" s="104" t="s">
        <v>1513</v>
      </c>
      <c r="C1214" s="104" t="s">
        <v>16</v>
      </c>
      <c r="D1214" s="129" t="s">
        <v>15398</v>
      </c>
    </row>
    <row r="1215" spans="1:4">
      <c r="A1215" s="105">
        <v>96060</v>
      </c>
      <c r="B1215" s="104" t="s">
        <v>1514</v>
      </c>
      <c r="C1215" s="104" t="s">
        <v>16</v>
      </c>
      <c r="D1215" s="129" t="s">
        <v>15804</v>
      </c>
    </row>
    <row r="1216" spans="1:4">
      <c r="A1216" s="105">
        <v>96061</v>
      </c>
      <c r="B1216" s="104" t="s">
        <v>1515</v>
      </c>
      <c r="C1216" s="104" t="s">
        <v>16</v>
      </c>
      <c r="D1216" s="129" t="s">
        <v>15805</v>
      </c>
    </row>
    <row r="1217" spans="1:4">
      <c r="A1217" s="105">
        <v>96062</v>
      </c>
      <c r="B1217" s="104" t="s">
        <v>1516</v>
      </c>
      <c r="C1217" s="104" t="s">
        <v>16</v>
      </c>
      <c r="D1217" s="129" t="s">
        <v>15627</v>
      </c>
    </row>
    <row r="1218" spans="1:4">
      <c r="A1218" s="105">
        <v>96241</v>
      </c>
      <c r="B1218" s="104" t="s">
        <v>1517</v>
      </c>
      <c r="C1218" s="104" t="s">
        <v>16</v>
      </c>
      <c r="D1218" s="129" t="s">
        <v>15806</v>
      </c>
    </row>
    <row r="1219" spans="1:4">
      <c r="A1219" s="105">
        <v>96242</v>
      </c>
      <c r="B1219" s="104" t="s">
        <v>1518</v>
      </c>
      <c r="C1219" s="104" t="s">
        <v>16</v>
      </c>
      <c r="D1219" s="129" t="s">
        <v>15807</v>
      </c>
    </row>
    <row r="1220" spans="1:4">
      <c r="A1220" s="105">
        <v>96243</v>
      </c>
      <c r="B1220" s="104" t="s">
        <v>1519</v>
      </c>
      <c r="C1220" s="104" t="s">
        <v>16</v>
      </c>
      <c r="D1220" s="129" t="s">
        <v>15808</v>
      </c>
    </row>
    <row r="1221" spans="1:4">
      <c r="A1221" s="105">
        <v>96244</v>
      </c>
      <c r="B1221" s="104" t="s">
        <v>1520</v>
      </c>
      <c r="C1221" s="104" t="s">
        <v>16</v>
      </c>
      <c r="D1221" s="129" t="s">
        <v>15809</v>
      </c>
    </row>
    <row r="1222" spans="1:4">
      <c r="A1222" s="105">
        <v>96301</v>
      </c>
      <c r="B1222" s="104" t="s">
        <v>1521</v>
      </c>
      <c r="C1222" s="104" t="s">
        <v>16</v>
      </c>
      <c r="D1222" s="129" t="s">
        <v>15692</v>
      </c>
    </row>
    <row r="1223" spans="1:4">
      <c r="A1223" s="105">
        <v>96457</v>
      </c>
      <c r="B1223" s="104" t="s">
        <v>1522</v>
      </c>
      <c r="C1223" s="104" t="s">
        <v>16</v>
      </c>
      <c r="D1223" s="129" t="s">
        <v>15497</v>
      </c>
    </row>
    <row r="1224" spans="1:4">
      <c r="A1224" s="105">
        <v>96458</v>
      </c>
      <c r="B1224" s="104" t="s">
        <v>1523</v>
      </c>
      <c r="C1224" s="104" t="s">
        <v>16</v>
      </c>
      <c r="D1224" s="129" t="s">
        <v>15729</v>
      </c>
    </row>
    <row r="1225" spans="1:4">
      <c r="A1225" s="105">
        <v>96459</v>
      </c>
      <c r="B1225" s="104" t="s">
        <v>1524</v>
      </c>
      <c r="C1225" s="104" t="s">
        <v>16</v>
      </c>
      <c r="D1225" s="129" t="s">
        <v>15810</v>
      </c>
    </row>
    <row r="1226" spans="1:4">
      <c r="A1226" s="105">
        <v>96460</v>
      </c>
      <c r="B1226" s="104" t="s">
        <v>1525</v>
      </c>
      <c r="C1226" s="104" t="s">
        <v>16</v>
      </c>
      <c r="D1226" s="129" t="s">
        <v>15811</v>
      </c>
    </row>
    <row r="1227" spans="1:4">
      <c r="A1227" s="105">
        <v>98760</v>
      </c>
      <c r="B1227" s="104" t="s">
        <v>1526</v>
      </c>
      <c r="C1227" s="104" t="s">
        <v>16</v>
      </c>
      <c r="D1227" s="129" t="s">
        <v>15473</v>
      </c>
    </row>
    <row r="1228" spans="1:4">
      <c r="A1228" s="105">
        <v>98761</v>
      </c>
      <c r="B1228" s="104" t="s">
        <v>1527</v>
      </c>
      <c r="C1228" s="104" t="s">
        <v>16</v>
      </c>
      <c r="D1228" s="129" t="s">
        <v>15684</v>
      </c>
    </row>
    <row r="1229" spans="1:4">
      <c r="A1229" s="105">
        <v>98762</v>
      </c>
      <c r="B1229" s="104" t="s">
        <v>1528</v>
      </c>
      <c r="C1229" s="104" t="s">
        <v>16</v>
      </c>
      <c r="D1229" s="129" t="s">
        <v>15334</v>
      </c>
    </row>
    <row r="1230" spans="1:4">
      <c r="A1230" s="105">
        <v>98763</v>
      </c>
      <c r="B1230" s="104" t="s">
        <v>1529</v>
      </c>
      <c r="C1230" s="104" t="s">
        <v>16</v>
      </c>
      <c r="D1230" s="129" t="s">
        <v>15812</v>
      </c>
    </row>
    <row r="1231" spans="1:4">
      <c r="A1231" s="105">
        <v>99829</v>
      </c>
      <c r="B1231" s="104" t="s">
        <v>1530</v>
      </c>
      <c r="C1231" s="104" t="s">
        <v>16</v>
      </c>
      <c r="D1231" s="129" t="s">
        <v>15725</v>
      </c>
    </row>
    <row r="1232" spans="1:4">
      <c r="A1232" s="105">
        <v>99830</v>
      </c>
      <c r="B1232" s="104" t="s">
        <v>1531</v>
      </c>
      <c r="C1232" s="104" t="s">
        <v>16</v>
      </c>
      <c r="D1232" s="129" t="s">
        <v>15426</v>
      </c>
    </row>
    <row r="1233" spans="1:4">
      <c r="A1233" s="105">
        <v>99831</v>
      </c>
      <c r="B1233" s="104" t="s">
        <v>1532</v>
      </c>
      <c r="C1233" s="104" t="s">
        <v>16</v>
      </c>
      <c r="D1233" s="129" t="s">
        <v>15338</v>
      </c>
    </row>
    <row r="1234" spans="1:4">
      <c r="A1234" s="105">
        <v>99832</v>
      </c>
      <c r="B1234" s="104" t="s">
        <v>1533</v>
      </c>
      <c r="C1234" s="104" t="s">
        <v>16</v>
      </c>
      <c r="D1234" s="129" t="s">
        <v>15813</v>
      </c>
    </row>
    <row r="1235" spans="1:4">
      <c r="A1235" s="105">
        <v>100637</v>
      </c>
      <c r="B1235" s="104" t="s">
        <v>1534</v>
      </c>
      <c r="C1235" s="104" t="s">
        <v>16</v>
      </c>
      <c r="D1235" s="129" t="s">
        <v>15814</v>
      </c>
    </row>
    <row r="1236" spans="1:4">
      <c r="A1236" s="105">
        <v>100638</v>
      </c>
      <c r="B1236" s="104" t="s">
        <v>1535</v>
      </c>
      <c r="C1236" s="104" t="s">
        <v>16</v>
      </c>
      <c r="D1236" s="129" t="s">
        <v>15815</v>
      </c>
    </row>
    <row r="1237" spans="1:4">
      <c r="A1237" s="105">
        <v>100639</v>
      </c>
      <c r="B1237" s="104" t="s">
        <v>1536</v>
      </c>
      <c r="C1237" s="104" t="s">
        <v>16</v>
      </c>
      <c r="D1237" s="129" t="s">
        <v>15816</v>
      </c>
    </row>
    <row r="1238" spans="1:4">
      <c r="A1238" s="105">
        <v>100640</v>
      </c>
      <c r="B1238" s="104" t="s">
        <v>1537</v>
      </c>
      <c r="C1238" s="104" t="s">
        <v>16</v>
      </c>
      <c r="D1238" s="129" t="s">
        <v>15817</v>
      </c>
    </row>
    <row r="1239" spans="1:4">
      <c r="A1239" s="105">
        <v>100643</v>
      </c>
      <c r="B1239" s="104" t="s">
        <v>1538</v>
      </c>
      <c r="C1239" s="104" t="s">
        <v>16</v>
      </c>
      <c r="D1239" s="129" t="s">
        <v>15818</v>
      </c>
    </row>
    <row r="1240" spans="1:4">
      <c r="A1240" s="105">
        <v>100644</v>
      </c>
      <c r="B1240" s="104" t="s">
        <v>1539</v>
      </c>
      <c r="C1240" s="104" t="s">
        <v>16</v>
      </c>
      <c r="D1240" s="129" t="s">
        <v>15819</v>
      </c>
    </row>
    <row r="1241" spans="1:4">
      <c r="A1241" s="105">
        <v>100645</v>
      </c>
      <c r="B1241" s="104" t="s">
        <v>1540</v>
      </c>
      <c r="C1241" s="104" t="s">
        <v>16</v>
      </c>
      <c r="D1241" s="129" t="s">
        <v>15820</v>
      </c>
    </row>
    <row r="1242" spans="1:4">
      <c r="A1242" s="105">
        <v>100646</v>
      </c>
      <c r="B1242" s="104" t="s">
        <v>1541</v>
      </c>
      <c r="C1242" s="104" t="s">
        <v>16</v>
      </c>
      <c r="D1242" s="129" t="s">
        <v>15821</v>
      </c>
    </row>
    <row r="1243" spans="1:4">
      <c r="A1243" s="105">
        <v>102270</v>
      </c>
      <c r="B1243" s="104" t="s">
        <v>1542</v>
      </c>
      <c r="C1243" s="104" t="s">
        <v>16</v>
      </c>
      <c r="D1243" s="129" t="s">
        <v>15603</v>
      </c>
    </row>
    <row r="1244" spans="1:4">
      <c r="A1244" s="105">
        <v>102271</v>
      </c>
      <c r="B1244" s="104" t="s">
        <v>1543</v>
      </c>
      <c r="C1244" s="104" t="s">
        <v>16</v>
      </c>
      <c r="D1244" s="129" t="s">
        <v>15685</v>
      </c>
    </row>
    <row r="1245" spans="1:4">
      <c r="A1245" s="105">
        <v>102272</v>
      </c>
      <c r="B1245" s="104" t="s">
        <v>1544</v>
      </c>
      <c r="C1245" s="104" t="s">
        <v>16</v>
      </c>
      <c r="D1245" s="129" t="s">
        <v>15731</v>
      </c>
    </row>
    <row r="1246" spans="1:4">
      <c r="A1246" s="105">
        <v>102273</v>
      </c>
      <c r="B1246" s="104" t="s">
        <v>1545</v>
      </c>
      <c r="C1246" s="104" t="s">
        <v>16</v>
      </c>
      <c r="D1246" s="129" t="s">
        <v>15822</v>
      </c>
    </row>
    <row r="1247" spans="1:4">
      <c r="A1247" s="105">
        <v>102809</v>
      </c>
      <c r="B1247" s="104" t="s">
        <v>13663</v>
      </c>
      <c r="C1247" s="104" t="s">
        <v>16</v>
      </c>
      <c r="D1247" s="129" t="s">
        <v>15823</v>
      </c>
    </row>
    <row r="1248" spans="1:4">
      <c r="A1248" s="105">
        <v>102815</v>
      </c>
      <c r="B1248" s="104" t="s">
        <v>13664</v>
      </c>
      <c r="C1248" s="104" t="s">
        <v>16</v>
      </c>
      <c r="D1248" s="129" t="s">
        <v>14814</v>
      </c>
    </row>
    <row r="1249" spans="1:4">
      <c r="A1249" s="105">
        <v>102826</v>
      </c>
      <c r="B1249" s="104" t="s">
        <v>13665</v>
      </c>
      <c r="C1249" s="104" t="s">
        <v>16</v>
      </c>
      <c r="D1249" s="129" t="s">
        <v>15495</v>
      </c>
    </row>
    <row r="1250" spans="1:4">
      <c r="A1250" s="105">
        <v>102832</v>
      </c>
      <c r="B1250" s="104" t="s">
        <v>13666</v>
      </c>
      <c r="C1250" s="104" t="s">
        <v>16</v>
      </c>
      <c r="D1250" s="129" t="s">
        <v>15824</v>
      </c>
    </row>
    <row r="1251" spans="1:4">
      <c r="A1251" s="105">
        <v>102843</v>
      </c>
      <c r="B1251" s="104" t="s">
        <v>13667</v>
      </c>
      <c r="C1251" s="104" t="s">
        <v>16</v>
      </c>
      <c r="D1251" s="129" t="s">
        <v>15825</v>
      </c>
    </row>
    <row r="1252" spans="1:4">
      <c r="A1252" s="105">
        <v>102849</v>
      </c>
      <c r="B1252" s="104" t="s">
        <v>13668</v>
      </c>
      <c r="C1252" s="104" t="s">
        <v>16</v>
      </c>
      <c r="D1252" s="129" t="s">
        <v>15826</v>
      </c>
    </row>
    <row r="1253" spans="1:4">
      <c r="A1253" s="105">
        <v>102855</v>
      </c>
      <c r="B1253" s="104" t="s">
        <v>13669</v>
      </c>
      <c r="C1253" s="104" t="s">
        <v>16</v>
      </c>
      <c r="D1253" s="129" t="s">
        <v>15826</v>
      </c>
    </row>
    <row r="1254" spans="1:4">
      <c r="A1254" s="105">
        <v>102861</v>
      </c>
      <c r="B1254" s="104" t="s">
        <v>13670</v>
      </c>
      <c r="C1254" s="104" t="s">
        <v>16</v>
      </c>
      <c r="D1254" s="129" t="s">
        <v>15493</v>
      </c>
    </row>
    <row r="1255" spans="1:4">
      <c r="A1255" s="105">
        <v>102867</v>
      </c>
      <c r="B1255" s="104" t="s">
        <v>13671</v>
      </c>
      <c r="C1255" s="104" t="s">
        <v>16</v>
      </c>
      <c r="D1255" s="129" t="s">
        <v>15827</v>
      </c>
    </row>
    <row r="1256" spans="1:4">
      <c r="A1256" s="105">
        <v>102873</v>
      </c>
      <c r="B1256" s="104" t="s">
        <v>13672</v>
      </c>
      <c r="C1256" s="104" t="s">
        <v>16</v>
      </c>
      <c r="D1256" s="129" t="s">
        <v>15616</v>
      </c>
    </row>
    <row r="1257" spans="1:4">
      <c r="A1257" s="105">
        <v>102879</v>
      </c>
      <c r="B1257" s="104" t="s">
        <v>13673</v>
      </c>
      <c r="C1257" s="104" t="s">
        <v>16</v>
      </c>
      <c r="D1257" s="129" t="s">
        <v>15828</v>
      </c>
    </row>
    <row r="1258" spans="1:4">
      <c r="A1258" s="105">
        <v>102885</v>
      </c>
      <c r="B1258" s="104" t="s">
        <v>13674</v>
      </c>
      <c r="C1258" s="104" t="s">
        <v>16</v>
      </c>
      <c r="D1258" s="129" t="s">
        <v>15829</v>
      </c>
    </row>
    <row r="1259" spans="1:4">
      <c r="A1259" s="105">
        <v>102891</v>
      </c>
      <c r="B1259" s="104" t="s">
        <v>13675</v>
      </c>
      <c r="C1259" s="104" t="s">
        <v>16</v>
      </c>
      <c r="D1259" s="129" t="s">
        <v>15829</v>
      </c>
    </row>
    <row r="1260" spans="1:4">
      <c r="A1260" s="105">
        <v>102897</v>
      </c>
      <c r="B1260" s="104" t="s">
        <v>13676</v>
      </c>
      <c r="C1260" s="104" t="s">
        <v>16</v>
      </c>
      <c r="D1260" s="129" t="s">
        <v>15513</v>
      </c>
    </row>
    <row r="1261" spans="1:4">
      <c r="A1261" s="105">
        <v>102903</v>
      </c>
      <c r="B1261" s="104" t="s">
        <v>13677</v>
      </c>
      <c r="C1261" s="104" t="s">
        <v>16</v>
      </c>
      <c r="D1261" s="129" t="s">
        <v>15830</v>
      </c>
    </row>
    <row r="1262" spans="1:4">
      <c r="A1262" s="105">
        <v>102909</v>
      </c>
      <c r="B1262" s="104" t="s">
        <v>13678</v>
      </c>
      <c r="C1262" s="104" t="s">
        <v>16</v>
      </c>
      <c r="D1262" s="129" t="s">
        <v>15831</v>
      </c>
    </row>
    <row r="1263" spans="1:4">
      <c r="A1263" s="105">
        <v>102915</v>
      </c>
      <c r="B1263" s="104" t="s">
        <v>13679</v>
      </c>
      <c r="C1263" s="104" t="s">
        <v>16</v>
      </c>
      <c r="D1263" s="129" t="s">
        <v>15359</v>
      </c>
    </row>
    <row r="1264" spans="1:4">
      <c r="A1264" s="105">
        <v>102927</v>
      </c>
      <c r="B1264" s="104" t="s">
        <v>13680</v>
      </c>
      <c r="C1264" s="104" t="s">
        <v>16</v>
      </c>
      <c r="D1264" s="129" t="s">
        <v>15479</v>
      </c>
    </row>
    <row r="1265" spans="1:4">
      <c r="A1265" s="105">
        <v>102933</v>
      </c>
      <c r="B1265" s="104" t="s">
        <v>13681</v>
      </c>
      <c r="C1265" s="104" t="s">
        <v>16</v>
      </c>
      <c r="D1265" s="129" t="s">
        <v>15479</v>
      </c>
    </row>
    <row r="1266" spans="1:4">
      <c r="A1266" s="105">
        <v>102939</v>
      </c>
      <c r="B1266" s="104" t="s">
        <v>13682</v>
      </c>
      <c r="C1266" s="104" t="s">
        <v>16</v>
      </c>
      <c r="D1266" s="129" t="s">
        <v>15720</v>
      </c>
    </row>
    <row r="1267" spans="1:4">
      <c r="A1267" s="105">
        <v>102945</v>
      </c>
      <c r="B1267" s="104" t="s">
        <v>13683</v>
      </c>
      <c r="C1267" s="104" t="s">
        <v>16</v>
      </c>
      <c r="D1267" s="129" t="s">
        <v>15684</v>
      </c>
    </row>
    <row r="1268" spans="1:4">
      <c r="A1268" s="105">
        <v>102951</v>
      </c>
      <c r="B1268" s="104" t="s">
        <v>13684</v>
      </c>
      <c r="C1268" s="104" t="s">
        <v>16</v>
      </c>
      <c r="D1268" s="129" t="s">
        <v>15359</v>
      </c>
    </row>
    <row r="1269" spans="1:4">
      <c r="A1269" s="105">
        <v>102957</v>
      </c>
      <c r="B1269" s="104" t="s">
        <v>13685</v>
      </c>
      <c r="C1269" s="104" t="s">
        <v>16</v>
      </c>
      <c r="D1269" s="129" t="s">
        <v>15438</v>
      </c>
    </row>
    <row r="1270" spans="1:4">
      <c r="A1270" s="105">
        <v>102963</v>
      </c>
      <c r="B1270" s="104" t="s">
        <v>13686</v>
      </c>
      <c r="C1270" s="104" t="s">
        <v>16</v>
      </c>
      <c r="D1270" s="129" t="s">
        <v>15565</v>
      </c>
    </row>
    <row r="1271" spans="1:4">
      <c r="A1271" s="105">
        <v>102969</v>
      </c>
      <c r="B1271" s="104" t="s">
        <v>13687</v>
      </c>
      <c r="C1271" s="104" t="s">
        <v>16</v>
      </c>
      <c r="D1271" s="129" t="s">
        <v>15832</v>
      </c>
    </row>
    <row r="1272" spans="1:4">
      <c r="A1272" s="105">
        <v>102985</v>
      </c>
      <c r="B1272" s="104" t="s">
        <v>13688</v>
      </c>
      <c r="C1272" s="104" t="s">
        <v>16</v>
      </c>
      <c r="D1272" s="129" t="s">
        <v>15833</v>
      </c>
    </row>
    <row r="1273" spans="1:4">
      <c r="A1273" s="105">
        <v>103156</v>
      </c>
      <c r="B1273" s="104" t="s">
        <v>13689</v>
      </c>
      <c r="C1273" s="104" t="s">
        <v>16</v>
      </c>
      <c r="D1273" s="129" t="s">
        <v>15570</v>
      </c>
    </row>
    <row r="1274" spans="1:4">
      <c r="A1274" s="105">
        <v>103162</v>
      </c>
      <c r="B1274" s="104" t="s">
        <v>13690</v>
      </c>
      <c r="C1274" s="104" t="s">
        <v>16</v>
      </c>
      <c r="D1274" s="129" t="s">
        <v>15834</v>
      </c>
    </row>
    <row r="1275" spans="1:4">
      <c r="A1275" s="105">
        <v>103168</v>
      </c>
      <c r="B1275" s="104" t="s">
        <v>13691</v>
      </c>
      <c r="C1275" s="104" t="s">
        <v>16</v>
      </c>
      <c r="D1275" s="129" t="s">
        <v>14814</v>
      </c>
    </row>
    <row r="1276" spans="1:4">
      <c r="A1276" s="105">
        <v>103174</v>
      </c>
      <c r="B1276" s="104" t="s">
        <v>13692</v>
      </c>
      <c r="C1276" s="104" t="s">
        <v>16</v>
      </c>
      <c r="D1276" s="129" t="s">
        <v>15824</v>
      </c>
    </row>
    <row r="1277" spans="1:4">
      <c r="A1277" s="105">
        <v>103180</v>
      </c>
      <c r="B1277" s="104" t="s">
        <v>13693</v>
      </c>
      <c r="C1277" s="104" t="s">
        <v>16</v>
      </c>
      <c r="D1277" s="129" t="s">
        <v>15835</v>
      </c>
    </row>
    <row r="1278" spans="1:4">
      <c r="A1278" s="105">
        <v>103223</v>
      </c>
      <c r="B1278" s="104" t="s">
        <v>13694</v>
      </c>
      <c r="C1278" s="104" t="s">
        <v>16</v>
      </c>
      <c r="D1278" s="129" t="s">
        <v>15836</v>
      </c>
    </row>
    <row r="1279" spans="1:4">
      <c r="A1279" s="105">
        <v>103229</v>
      </c>
      <c r="B1279" s="104" t="s">
        <v>13695</v>
      </c>
      <c r="C1279" s="104" t="s">
        <v>16</v>
      </c>
      <c r="D1279" s="129" t="s">
        <v>15837</v>
      </c>
    </row>
    <row r="1280" spans="1:4">
      <c r="A1280" s="105">
        <v>103235</v>
      </c>
      <c r="B1280" s="104" t="s">
        <v>13696</v>
      </c>
      <c r="C1280" s="104" t="s">
        <v>16</v>
      </c>
      <c r="D1280" s="129" t="s">
        <v>15838</v>
      </c>
    </row>
    <row r="1281" spans="1:4">
      <c r="A1281" s="105">
        <v>103241</v>
      </c>
      <c r="B1281" s="104" t="s">
        <v>13697</v>
      </c>
      <c r="C1281" s="104" t="s">
        <v>16</v>
      </c>
      <c r="D1281" s="129" t="s">
        <v>15839</v>
      </c>
    </row>
    <row r="1282" spans="1:4">
      <c r="A1282" s="105">
        <v>103660</v>
      </c>
      <c r="B1282" s="104" t="s">
        <v>15840</v>
      </c>
      <c r="C1282" s="104" t="s">
        <v>16</v>
      </c>
      <c r="D1282" s="129" t="s">
        <v>15447</v>
      </c>
    </row>
    <row r="1283" spans="1:4">
      <c r="A1283" s="105">
        <v>103666</v>
      </c>
      <c r="B1283" s="104" t="s">
        <v>15841</v>
      </c>
      <c r="C1283" s="104" t="s">
        <v>16</v>
      </c>
      <c r="D1283" s="129" t="s">
        <v>15541</v>
      </c>
    </row>
    <row r="1284" spans="1:4">
      <c r="A1284" s="105">
        <v>92259</v>
      </c>
      <c r="B1284" s="104" t="s">
        <v>1546</v>
      </c>
      <c r="C1284" s="104" t="s">
        <v>183</v>
      </c>
      <c r="D1284" s="129" t="s">
        <v>15842</v>
      </c>
    </row>
    <row r="1285" spans="1:4">
      <c r="A1285" s="105">
        <v>92260</v>
      </c>
      <c r="B1285" s="104" t="s">
        <v>1547</v>
      </c>
      <c r="C1285" s="104" t="s">
        <v>183</v>
      </c>
      <c r="D1285" s="129" t="s">
        <v>15843</v>
      </c>
    </row>
    <row r="1286" spans="1:4">
      <c r="A1286" s="105">
        <v>92261</v>
      </c>
      <c r="B1286" s="104" t="s">
        <v>1548</v>
      </c>
      <c r="C1286" s="104" t="s">
        <v>183</v>
      </c>
      <c r="D1286" s="129" t="s">
        <v>15844</v>
      </c>
    </row>
    <row r="1287" spans="1:4">
      <c r="A1287" s="105">
        <v>92262</v>
      </c>
      <c r="B1287" s="104" t="s">
        <v>1549</v>
      </c>
      <c r="C1287" s="104" t="s">
        <v>183</v>
      </c>
      <c r="D1287" s="129" t="s">
        <v>15845</v>
      </c>
    </row>
    <row r="1288" spans="1:4">
      <c r="A1288" s="105">
        <v>92539</v>
      </c>
      <c r="B1288" s="104" t="s">
        <v>1550</v>
      </c>
      <c r="C1288" s="104" t="s">
        <v>12</v>
      </c>
      <c r="D1288" s="129" t="s">
        <v>15846</v>
      </c>
    </row>
    <row r="1289" spans="1:4">
      <c r="A1289" s="105">
        <v>92540</v>
      </c>
      <c r="B1289" s="104" t="s">
        <v>1551</v>
      </c>
      <c r="C1289" s="104" t="s">
        <v>12</v>
      </c>
      <c r="D1289" s="129" t="s">
        <v>15847</v>
      </c>
    </row>
    <row r="1290" spans="1:4">
      <c r="A1290" s="105">
        <v>92541</v>
      </c>
      <c r="B1290" s="104" t="s">
        <v>1552</v>
      </c>
      <c r="C1290" s="104" t="s">
        <v>12</v>
      </c>
      <c r="D1290" s="129" t="s">
        <v>15848</v>
      </c>
    </row>
    <row r="1291" spans="1:4">
      <c r="A1291" s="105">
        <v>92542</v>
      </c>
      <c r="B1291" s="104" t="s">
        <v>1553</v>
      </c>
      <c r="C1291" s="104" t="s">
        <v>12</v>
      </c>
      <c r="D1291" s="129" t="s">
        <v>15849</v>
      </c>
    </row>
    <row r="1292" spans="1:4">
      <c r="A1292" s="105">
        <v>92543</v>
      </c>
      <c r="B1292" s="104" t="s">
        <v>1554</v>
      </c>
      <c r="C1292" s="104" t="s">
        <v>12</v>
      </c>
      <c r="D1292" s="129" t="s">
        <v>15850</v>
      </c>
    </row>
    <row r="1293" spans="1:4">
      <c r="A1293" s="105">
        <v>92544</v>
      </c>
      <c r="B1293" s="104" t="s">
        <v>1555</v>
      </c>
      <c r="C1293" s="104" t="s">
        <v>12</v>
      </c>
      <c r="D1293" s="129" t="s">
        <v>15851</v>
      </c>
    </row>
    <row r="1294" spans="1:4">
      <c r="A1294" s="105">
        <v>92545</v>
      </c>
      <c r="B1294" s="104" t="s">
        <v>1556</v>
      </c>
      <c r="C1294" s="104" t="s">
        <v>183</v>
      </c>
      <c r="D1294" s="129" t="s">
        <v>15852</v>
      </c>
    </row>
    <row r="1295" spans="1:4">
      <c r="A1295" s="105">
        <v>92546</v>
      </c>
      <c r="B1295" s="104" t="s">
        <v>1557</v>
      </c>
      <c r="C1295" s="104" t="s">
        <v>183</v>
      </c>
      <c r="D1295" s="129" t="s">
        <v>15853</v>
      </c>
    </row>
    <row r="1296" spans="1:4">
      <c r="A1296" s="105">
        <v>92547</v>
      </c>
      <c r="B1296" s="104" t="s">
        <v>1558</v>
      </c>
      <c r="C1296" s="104" t="s">
        <v>183</v>
      </c>
      <c r="D1296" s="129" t="s">
        <v>15854</v>
      </c>
    </row>
    <row r="1297" spans="1:4">
      <c r="A1297" s="105">
        <v>92548</v>
      </c>
      <c r="B1297" s="104" t="s">
        <v>1559</v>
      </c>
      <c r="C1297" s="104" t="s">
        <v>183</v>
      </c>
      <c r="D1297" s="129" t="s">
        <v>15855</v>
      </c>
    </row>
    <row r="1298" spans="1:4">
      <c r="A1298" s="105">
        <v>92549</v>
      </c>
      <c r="B1298" s="104" t="s">
        <v>1560</v>
      </c>
      <c r="C1298" s="104" t="s">
        <v>183</v>
      </c>
      <c r="D1298" s="129" t="s">
        <v>15856</v>
      </c>
    </row>
    <row r="1299" spans="1:4">
      <c r="A1299" s="105">
        <v>92550</v>
      </c>
      <c r="B1299" s="104" t="s">
        <v>1561</v>
      </c>
      <c r="C1299" s="104" t="s">
        <v>183</v>
      </c>
      <c r="D1299" s="129" t="s">
        <v>15857</v>
      </c>
    </row>
    <row r="1300" spans="1:4">
      <c r="A1300" s="105">
        <v>92551</v>
      </c>
      <c r="B1300" s="104" t="s">
        <v>1562</v>
      </c>
      <c r="C1300" s="104" t="s">
        <v>183</v>
      </c>
      <c r="D1300" s="129" t="s">
        <v>15858</v>
      </c>
    </row>
    <row r="1301" spans="1:4">
      <c r="A1301" s="105">
        <v>92552</v>
      </c>
      <c r="B1301" s="104" t="s">
        <v>1563</v>
      </c>
      <c r="C1301" s="104" t="s">
        <v>183</v>
      </c>
      <c r="D1301" s="129" t="s">
        <v>15859</v>
      </c>
    </row>
    <row r="1302" spans="1:4">
      <c r="A1302" s="105">
        <v>92553</v>
      </c>
      <c r="B1302" s="104" t="s">
        <v>1564</v>
      </c>
      <c r="C1302" s="104" t="s">
        <v>183</v>
      </c>
      <c r="D1302" s="129" t="s">
        <v>15860</v>
      </c>
    </row>
    <row r="1303" spans="1:4">
      <c r="A1303" s="105">
        <v>92554</v>
      </c>
      <c r="B1303" s="104" t="s">
        <v>1565</v>
      </c>
      <c r="C1303" s="104" t="s">
        <v>183</v>
      </c>
      <c r="D1303" s="129" t="s">
        <v>15861</v>
      </c>
    </row>
    <row r="1304" spans="1:4">
      <c r="A1304" s="105">
        <v>92555</v>
      </c>
      <c r="B1304" s="104" t="s">
        <v>1566</v>
      </c>
      <c r="C1304" s="104" t="s">
        <v>183</v>
      </c>
      <c r="D1304" s="129" t="s">
        <v>15862</v>
      </c>
    </row>
    <row r="1305" spans="1:4">
      <c r="A1305" s="105">
        <v>92556</v>
      </c>
      <c r="B1305" s="104" t="s">
        <v>1567</v>
      </c>
      <c r="C1305" s="104" t="s">
        <v>183</v>
      </c>
      <c r="D1305" s="129" t="s">
        <v>15863</v>
      </c>
    </row>
    <row r="1306" spans="1:4">
      <c r="A1306" s="105">
        <v>92557</v>
      </c>
      <c r="B1306" s="104" t="s">
        <v>1568</v>
      </c>
      <c r="C1306" s="104" t="s">
        <v>183</v>
      </c>
      <c r="D1306" s="129" t="s">
        <v>15864</v>
      </c>
    </row>
    <row r="1307" spans="1:4">
      <c r="A1307" s="105">
        <v>92558</v>
      </c>
      <c r="B1307" s="104" t="s">
        <v>1569</v>
      </c>
      <c r="C1307" s="104" t="s">
        <v>183</v>
      </c>
      <c r="D1307" s="129" t="s">
        <v>15865</v>
      </c>
    </row>
    <row r="1308" spans="1:4">
      <c r="A1308" s="105">
        <v>92559</v>
      </c>
      <c r="B1308" s="104" t="s">
        <v>1570</v>
      </c>
      <c r="C1308" s="104" t="s">
        <v>183</v>
      </c>
      <c r="D1308" s="129" t="s">
        <v>15866</v>
      </c>
    </row>
    <row r="1309" spans="1:4">
      <c r="A1309" s="105">
        <v>92560</v>
      </c>
      <c r="B1309" s="104" t="s">
        <v>1571</v>
      </c>
      <c r="C1309" s="104" t="s">
        <v>183</v>
      </c>
      <c r="D1309" s="129" t="s">
        <v>15867</v>
      </c>
    </row>
    <row r="1310" spans="1:4">
      <c r="A1310" s="105">
        <v>92561</v>
      </c>
      <c r="B1310" s="104" t="s">
        <v>1572</v>
      </c>
      <c r="C1310" s="104" t="s">
        <v>183</v>
      </c>
      <c r="D1310" s="129" t="s">
        <v>15868</v>
      </c>
    </row>
    <row r="1311" spans="1:4">
      <c r="A1311" s="105">
        <v>92562</v>
      </c>
      <c r="B1311" s="104" t="s">
        <v>1573</v>
      </c>
      <c r="C1311" s="104" t="s">
        <v>183</v>
      </c>
      <c r="D1311" s="129" t="s">
        <v>15869</v>
      </c>
    </row>
    <row r="1312" spans="1:4">
      <c r="A1312" s="105">
        <v>92563</v>
      </c>
      <c r="B1312" s="104" t="s">
        <v>1574</v>
      </c>
      <c r="C1312" s="104" t="s">
        <v>183</v>
      </c>
      <c r="D1312" s="129" t="s">
        <v>15870</v>
      </c>
    </row>
    <row r="1313" spans="1:4">
      <c r="A1313" s="105">
        <v>92564</v>
      </c>
      <c r="B1313" s="104" t="s">
        <v>1575</v>
      </c>
      <c r="C1313" s="104" t="s">
        <v>183</v>
      </c>
      <c r="D1313" s="129" t="s">
        <v>15871</v>
      </c>
    </row>
    <row r="1314" spans="1:4">
      <c r="A1314" s="105">
        <v>92565</v>
      </c>
      <c r="B1314" s="104" t="s">
        <v>1576</v>
      </c>
      <c r="C1314" s="104" t="s">
        <v>12</v>
      </c>
      <c r="D1314" s="129" t="s">
        <v>15872</v>
      </c>
    </row>
    <row r="1315" spans="1:4">
      <c r="A1315" s="105">
        <v>92566</v>
      </c>
      <c r="B1315" s="104" t="s">
        <v>1577</v>
      </c>
      <c r="C1315" s="104" t="s">
        <v>12</v>
      </c>
      <c r="D1315" s="129" t="s">
        <v>15873</v>
      </c>
    </row>
    <row r="1316" spans="1:4">
      <c r="A1316" s="105">
        <v>92567</v>
      </c>
      <c r="B1316" s="104" t="s">
        <v>1578</v>
      </c>
      <c r="C1316" s="104" t="s">
        <v>12</v>
      </c>
      <c r="D1316" s="129" t="s">
        <v>15874</v>
      </c>
    </row>
    <row r="1317" spans="1:4">
      <c r="A1317" s="105">
        <v>100379</v>
      </c>
      <c r="B1317" s="104" t="s">
        <v>1579</v>
      </c>
      <c r="C1317" s="104" t="s">
        <v>12</v>
      </c>
      <c r="D1317" s="129" t="s">
        <v>15872</v>
      </c>
    </row>
    <row r="1318" spans="1:4">
      <c r="A1318" s="105">
        <v>100380</v>
      </c>
      <c r="B1318" s="104" t="s">
        <v>1580</v>
      </c>
      <c r="C1318" s="104" t="s">
        <v>12</v>
      </c>
      <c r="D1318" s="129" t="s">
        <v>15718</v>
      </c>
    </row>
    <row r="1319" spans="1:4">
      <c r="A1319" s="105">
        <v>100381</v>
      </c>
      <c r="B1319" s="104" t="s">
        <v>1581</v>
      </c>
      <c r="C1319" s="104" t="s">
        <v>12</v>
      </c>
      <c r="D1319" s="129" t="s">
        <v>15875</v>
      </c>
    </row>
    <row r="1320" spans="1:4">
      <c r="A1320" s="105">
        <v>100383</v>
      </c>
      <c r="B1320" s="104" t="s">
        <v>1582</v>
      </c>
      <c r="C1320" s="104" t="s">
        <v>12</v>
      </c>
      <c r="D1320" s="129" t="s">
        <v>15265</v>
      </c>
    </row>
    <row r="1321" spans="1:4">
      <c r="A1321" s="105">
        <v>100384</v>
      </c>
      <c r="B1321" s="104" t="s">
        <v>1583</v>
      </c>
      <c r="C1321" s="104" t="s">
        <v>12</v>
      </c>
      <c r="D1321" s="129" t="s">
        <v>15876</v>
      </c>
    </row>
    <row r="1322" spans="1:4">
      <c r="A1322" s="105">
        <v>100385</v>
      </c>
      <c r="B1322" s="104" t="s">
        <v>1584</v>
      </c>
      <c r="C1322" s="104" t="s">
        <v>12</v>
      </c>
      <c r="D1322" s="129" t="s">
        <v>15874</v>
      </c>
    </row>
    <row r="1323" spans="1:4">
      <c r="A1323" s="105">
        <v>100386</v>
      </c>
      <c r="B1323" s="104" t="s">
        <v>1585</v>
      </c>
      <c r="C1323" s="104" t="s">
        <v>12</v>
      </c>
      <c r="D1323" s="129" t="s">
        <v>15877</v>
      </c>
    </row>
    <row r="1324" spans="1:4">
      <c r="A1324" s="105">
        <v>100387</v>
      </c>
      <c r="B1324" s="104" t="s">
        <v>1586</v>
      </c>
      <c r="C1324" s="104" t="s">
        <v>12</v>
      </c>
      <c r="D1324" s="129" t="s">
        <v>15878</v>
      </c>
    </row>
    <row r="1325" spans="1:4">
      <c r="A1325" s="105">
        <v>100388</v>
      </c>
      <c r="B1325" s="104" t="s">
        <v>1587</v>
      </c>
      <c r="C1325" s="104" t="s">
        <v>12</v>
      </c>
      <c r="D1325" s="129" t="s">
        <v>15879</v>
      </c>
    </row>
    <row r="1326" spans="1:4">
      <c r="A1326" s="105">
        <v>100389</v>
      </c>
      <c r="B1326" s="104" t="s">
        <v>1588</v>
      </c>
      <c r="C1326" s="104" t="s">
        <v>12</v>
      </c>
      <c r="D1326" s="129" t="s">
        <v>15880</v>
      </c>
    </row>
    <row r="1327" spans="1:4">
      <c r="A1327" s="105">
        <v>100390</v>
      </c>
      <c r="B1327" s="104" t="s">
        <v>1589</v>
      </c>
      <c r="C1327" s="104" t="s">
        <v>12</v>
      </c>
      <c r="D1327" s="129" t="s">
        <v>15881</v>
      </c>
    </row>
    <row r="1328" spans="1:4">
      <c r="A1328" s="105">
        <v>100391</v>
      </c>
      <c r="B1328" s="104" t="s">
        <v>1590</v>
      </c>
      <c r="C1328" s="104" t="s">
        <v>12</v>
      </c>
      <c r="D1328" s="129" t="s">
        <v>15882</v>
      </c>
    </row>
    <row r="1329" spans="1:4">
      <c r="A1329" s="105">
        <v>100392</v>
      </c>
      <c r="B1329" s="104" t="s">
        <v>1591</v>
      </c>
      <c r="C1329" s="104" t="s">
        <v>12</v>
      </c>
      <c r="D1329" s="129" t="s">
        <v>15883</v>
      </c>
    </row>
    <row r="1330" spans="1:4">
      <c r="A1330" s="105">
        <v>100393</v>
      </c>
      <c r="B1330" s="104" t="s">
        <v>1592</v>
      </c>
      <c r="C1330" s="104" t="s">
        <v>12</v>
      </c>
      <c r="D1330" s="129" t="s">
        <v>15884</v>
      </c>
    </row>
    <row r="1331" spans="1:4">
      <c r="A1331" s="105">
        <v>100394</v>
      </c>
      <c r="B1331" s="104" t="s">
        <v>1593</v>
      </c>
      <c r="C1331" s="104" t="s">
        <v>12</v>
      </c>
      <c r="D1331" s="129" t="s">
        <v>15885</v>
      </c>
    </row>
    <row r="1332" spans="1:4">
      <c r="A1332" s="105">
        <v>100395</v>
      </c>
      <c r="B1332" s="104" t="s">
        <v>1594</v>
      </c>
      <c r="C1332" s="104" t="s">
        <v>12</v>
      </c>
      <c r="D1332" s="129" t="s">
        <v>15886</v>
      </c>
    </row>
    <row r="1333" spans="1:4">
      <c r="A1333" s="105">
        <v>94189</v>
      </c>
      <c r="B1333" s="104" t="s">
        <v>1595</v>
      </c>
      <c r="C1333" s="104" t="s">
        <v>12</v>
      </c>
      <c r="D1333" s="129" t="s">
        <v>15887</v>
      </c>
    </row>
    <row r="1334" spans="1:4">
      <c r="A1334" s="105">
        <v>94192</v>
      </c>
      <c r="B1334" s="104" t="s">
        <v>1596</v>
      </c>
      <c r="C1334" s="104" t="s">
        <v>12</v>
      </c>
      <c r="D1334" s="129" t="s">
        <v>15888</v>
      </c>
    </row>
    <row r="1335" spans="1:4">
      <c r="A1335" s="105">
        <v>94195</v>
      </c>
      <c r="B1335" s="104" t="s">
        <v>1597</v>
      </c>
      <c r="C1335" s="104" t="s">
        <v>12</v>
      </c>
      <c r="D1335" s="129" t="s">
        <v>15889</v>
      </c>
    </row>
    <row r="1336" spans="1:4">
      <c r="A1336" s="105">
        <v>94198</v>
      </c>
      <c r="B1336" s="104" t="s">
        <v>1598</v>
      </c>
      <c r="C1336" s="104" t="s">
        <v>12</v>
      </c>
      <c r="D1336" s="129" t="s">
        <v>15890</v>
      </c>
    </row>
    <row r="1337" spans="1:4">
      <c r="A1337" s="105">
        <v>94201</v>
      </c>
      <c r="B1337" s="104" t="s">
        <v>1599</v>
      </c>
      <c r="C1337" s="104" t="s">
        <v>12</v>
      </c>
      <c r="D1337" s="129" t="s">
        <v>15891</v>
      </c>
    </row>
    <row r="1338" spans="1:4">
      <c r="A1338" s="105">
        <v>94204</v>
      </c>
      <c r="B1338" s="104" t="s">
        <v>1600</v>
      </c>
      <c r="C1338" s="104" t="s">
        <v>12</v>
      </c>
      <c r="D1338" s="129" t="s">
        <v>15892</v>
      </c>
    </row>
    <row r="1339" spans="1:4">
      <c r="A1339" s="105">
        <v>94224</v>
      </c>
      <c r="B1339" s="104" t="s">
        <v>1601</v>
      </c>
      <c r="C1339" s="104" t="s">
        <v>40</v>
      </c>
      <c r="D1339" s="129" t="s">
        <v>15893</v>
      </c>
    </row>
    <row r="1340" spans="1:4">
      <c r="A1340" s="105">
        <v>94226</v>
      </c>
      <c r="B1340" s="104" t="s">
        <v>1602</v>
      </c>
      <c r="C1340" s="104" t="s">
        <v>12</v>
      </c>
      <c r="D1340" s="129" t="s">
        <v>15894</v>
      </c>
    </row>
    <row r="1341" spans="1:4">
      <c r="A1341" s="105">
        <v>94232</v>
      </c>
      <c r="B1341" s="104" t="s">
        <v>1603</v>
      </c>
      <c r="C1341" s="104" t="s">
        <v>183</v>
      </c>
      <c r="D1341" s="129" t="s">
        <v>14841</v>
      </c>
    </row>
    <row r="1342" spans="1:4">
      <c r="A1342" s="105">
        <v>94440</v>
      </c>
      <c r="B1342" s="104" t="s">
        <v>1604</v>
      </c>
      <c r="C1342" s="104" t="s">
        <v>12</v>
      </c>
      <c r="D1342" s="129" t="s">
        <v>15889</v>
      </c>
    </row>
    <row r="1343" spans="1:4">
      <c r="A1343" s="105">
        <v>94441</v>
      </c>
      <c r="B1343" s="104" t="s">
        <v>1605</v>
      </c>
      <c r="C1343" s="104" t="s">
        <v>12</v>
      </c>
      <c r="D1343" s="129" t="s">
        <v>15890</v>
      </c>
    </row>
    <row r="1344" spans="1:4">
      <c r="A1344" s="105">
        <v>94442</v>
      </c>
      <c r="B1344" s="104" t="s">
        <v>1606</v>
      </c>
      <c r="C1344" s="104" t="s">
        <v>12</v>
      </c>
      <c r="D1344" s="129" t="s">
        <v>15889</v>
      </c>
    </row>
    <row r="1345" spans="1:4">
      <c r="A1345" s="105">
        <v>94443</v>
      </c>
      <c r="B1345" s="104" t="s">
        <v>1607</v>
      </c>
      <c r="C1345" s="104" t="s">
        <v>12</v>
      </c>
      <c r="D1345" s="129" t="s">
        <v>15890</v>
      </c>
    </row>
    <row r="1346" spans="1:4">
      <c r="A1346" s="105">
        <v>94445</v>
      </c>
      <c r="B1346" s="104" t="s">
        <v>1608</v>
      </c>
      <c r="C1346" s="104" t="s">
        <v>12</v>
      </c>
      <c r="D1346" s="129" t="s">
        <v>15891</v>
      </c>
    </row>
    <row r="1347" spans="1:4">
      <c r="A1347" s="105">
        <v>94446</v>
      </c>
      <c r="B1347" s="104" t="s">
        <v>1609</v>
      </c>
      <c r="C1347" s="104" t="s">
        <v>12</v>
      </c>
      <c r="D1347" s="129" t="s">
        <v>15892</v>
      </c>
    </row>
    <row r="1348" spans="1:4">
      <c r="A1348" s="105">
        <v>94447</v>
      </c>
      <c r="B1348" s="104" t="s">
        <v>1610</v>
      </c>
      <c r="C1348" s="104" t="s">
        <v>12</v>
      </c>
      <c r="D1348" s="129" t="s">
        <v>15891</v>
      </c>
    </row>
    <row r="1349" spans="1:4">
      <c r="A1349" s="105">
        <v>94448</v>
      </c>
      <c r="B1349" s="104" t="s">
        <v>1611</v>
      </c>
      <c r="C1349" s="104" t="s">
        <v>12</v>
      </c>
      <c r="D1349" s="129" t="s">
        <v>15892</v>
      </c>
    </row>
    <row r="1350" spans="1:4">
      <c r="A1350" s="105">
        <v>94207</v>
      </c>
      <c r="B1350" s="104" t="s">
        <v>1612</v>
      </c>
      <c r="C1350" s="104" t="s">
        <v>12</v>
      </c>
      <c r="D1350" s="129" t="s">
        <v>15895</v>
      </c>
    </row>
    <row r="1351" spans="1:4">
      <c r="A1351" s="105">
        <v>94210</v>
      </c>
      <c r="B1351" s="104" t="s">
        <v>1613</v>
      </c>
      <c r="C1351" s="104" t="s">
        <v>12</v>
      </c>
      <c r="D1351" s="129" t="s">
        <v>15896</v>
      </c>
    </row>
    <row r="1352" spans="1:4">
      <c r="A1352" s="105">
        <v>94218</v>
      </c>
      <c r="B1352" s="104" t="s">
        <v>1614</v>
      </c>
      <c r="C1352" s="104" t="s">
        <v>12</v>
      </c>
      <c r="D1352" s="129" t="s">
        <v>15897</v>
      </c>
    </row>
    <row r="1353" spans="1:4">
      <c r="A1353" s="105">
        <v>94213</v>
      </c>
      <c r="B1353" s="104" t="s">
        <v>1615</v>
      </c>
      <c r="C1353" s="104" t="s">
        <v>12</v>
      </c>
      <c r="D1353" s="129" t="s">
        <v>15898</v>
      </c>
    </row>
    <row r="1354" spans="1:4">
      <c r="A1354" s="105">
        <v>94216</v>
      </c>
      <c r="B1354" s="104" t="s">
        <v>1616</v>
      </c>
      <c r="C1354" s="104" t="s">
        <v>12</v>
      </c>
      <c r="D1354" s="129" t="s">
        <v>15899</v>
      </c>
    </row>
    <row r="1355" spans="1:4">
      <c r="A1355" s="105">
        <v>94219</v>
      </c>
      <c r="B1355" s="104" t="s">
        <v>1617</v>
      </c>
      <c r="C1355" s="104" t="s">
        <v>40</v>
      </c>
      <c r="D1355" s="129" t="s">
        <v>15900</v>
      </c>
    </row>
    <row r="1356" spans="1:4">
      <c r="A1356" s="105">
        <v>94220</v>
      </c>
      <c r="B1356" s="104" t="s">
        <v>1618</v>
      </c>
      <c r="C1356" s="104" t="s">
        <v>40</v>
      </c>
      <c r="D1356" s="129" t="s">
        <v>15901</v>
      </c>
    </row>
    <row r="1357" spans="1:4">
      <c r="A1357" s="105">
        <v>94221</v>
      </c>
      <c r="B1357" s="104" t="s">
        <v>1619</v>
      </c>
      <c r="C1357" s="104" t="s">
        <v>40</v>
      </c>
      <c r="D1357" s="129" t="s">
        <v>15902</v>
      </c>
    </row>
    <row r="1358" spans="1:4">
      <c r="A1358" s="105">
        <v>94222</v>
      </c>
      <c r="B1358" s="104" t="s">
        <v>1620</v>
      </c>
      <c r="C1358" s="104" t="s">
        <v>40</v>
      </c>
      <c r="D1358" s="129" t="s">
        <v>15903</v>
      </c>
    </row>
    <row r="1359" spans="1:4">
      <c r="A1359" s="105">
        <v>94223</v>
      </c>
      <c r="B1359" s="104" t="s">
        <v>1621</v>
      </c>
      <c r="C1359" s="104" t="s">
        <v>40</v>
      </c>
      <c r="D1359" s="129" t="s">
        <v>15904</v>
      </c>
    </row>
    <row r="1360" spans="1:4">
      <c r="A1360" s="105">
        <v>94451</v>
      </c>
      <c r="B1360" s="104" t="s">
        <v>1622</v>
      </c>
      <c r="C1360" s="104" t="s">
        <v>40</v>
      </c>
      <c r="D1360" s="129" t="s">
        <v>15905</v>
      </c>
    </row>
    <row r="1361" spans="1:4">
      <c r="A1361" s="105">
        <v>100325</v>
      </c>
      <c r="B1361" s="104" t="s">
        <v>1623</v>
      </c>
      <c r="C1361" s="104" t="s">
        <v>40</v>
      </c>
      <c r="D1361" s="129" t="s">
        <v>15906</v>
      </c>
    </row>
    <row r="1362" spans="1:4">
      <c r="A1362" s="105">
        <v>100327</v>
      </c>
      <c r="B1362" s="104" t="s">
        <v>1624</v>
      </c>
      <c r="C1362" s="104" t="s">
        <v>40</v>
      </c>
      <c r="D1362" s="129" t="s">
        <v>15907</v>
      </c>
    </row>
    <row r="1363" spans="1:4">
      <c r="A1363" s="105">
        <v>100328</v>
      </c>
      <c r="B1363" s="104" t="s">
        <v>1625</v>
      </c>
      <c r="C1363" s="104" t="s">
        <v>12</v>
      </c>
      <c r="D1363" s="129" t="s">
        <v>15908</v>
      </c>
    </row>
    <row r="1364" spans="1:4">
      <c r="A1364" s="105">
        <v>100329</v>
      </c>
      <c r="B1364" s="104" t="s">
        <v>1626</v>
      </c>
      <c r="C1364" s="104" t="s">
        <v>12</v>
      </c>
      <c r="D1364" s="129" t="s">
        <v>15909</v>
      </c>
    </row>
    <row r="1365" spans="1:4">
      <c r="A1365" s="105">
        <v>100330</v>
      </c>
      <c r="B1365" s="104" t="s">
        <v>1627</v>
      </c>
      <c r="C1365" s="104" t="s">
        <v>12</v>
      </c>
      <c r="D1365" s="129" t="s">
        <v>15910</v>
      </c>
    </row>
    <row r="1366" spans="1:4">
      <c r="A1366" s="105">
        <v>100331</v>
      </c>
      <c r="B1366" s="104" t="s">
        <v>1628</v>
      </c>
      <c r="C1366" s="104" t="s">
        <v>12</v>
      </c>
      <c r="D1366" s="129" t="s">
        <v>15911</v>
      </c>
    </row>
    <row r="1367" spans="1:4">
      <c r="A1367" s="105">
        <v>100434</v>
      </c>
      <c r="B1367" s="104" t="s">
        <v>1629</v>
      </c>
      <c r="C1367" s="104" t="s">
        <v>40</v>
      </c>
      <c r="D1367" s="129" t="s">
        <v>15912</v>
      </c>
    </row>
    <row r="1368" spans="1:4">
      <c r="A1368" s="105">
        <v>100435</v>
      </c>
      <c r="B1368" s="104" t="s">
        <v>1630</v>
      </c>
      <c r="C1368" s="104" t="s">
        <v>40</v>
      </c>
      <c r="D1368" s="129" t="s">
        <v>15913</v>
      </c>
    </row>
    <row r="1369" spans="1:4">
      <c r="A1369" s="105">
        <v>94227</v>
      </c>
      <c r="B1369" s="104" t="s">
        <v>1631</v>
      </c>
      <c r="C1369" s="104" t="s">
        <v>40</v>
      </c>
      <c r="D1369" s="129" t="s">
        <v>15914</v>
      </c>
    </row>
    <row r="1370" spans="1:4">
      <c r="A1370" s="105">
        <v>94228</v>
      </c>
      <c r="B1370" s="104" t="s">
        <v>1632</v>
      </c>
      <c r="C1370" s="104" t="s">
        <v>40</v>
      </c>
      <c r="D1370" s="129" t="s">
        <v>15915</v>
      </c>
    </row>
    <row r="1371" spans="1:4">
      <c r="A1371" s="105">
        <v>94229</v>
      </c>
      <c r="B1371" s="104" t="s">
        <v>1633</v>
      </c>
      <c r="C1371" s="104" t="s">
        <v>40</v>
      </c>
      <c r="D1371" s="129" t="s">
        <v>15916</v>
      </c>
    </row>
    <row r="1372" spans="1:4">
      <c r="A1372" s="105">
        <v>94231</v>
      </c>
      <c r="B1372" s="104" t="s">
        <v>1634</v>
      </c>
      <c r="C1372" s="104" t="s">
        <v>40</v>
      </c>
      <c r="D1372" s="129" t="s">
        <v>15917</v>
      </c>
    </row>
    <row r="1373" spans="1:4">
      <c r="A1373" s="105">
        <v>94449</v>
      </c>
      <c r="B1373" s="104" t="s">
        <v>1635</v>
      </c>
      <c r="C1373" s="104" t="s">
        <v>12</v>
      </c>
      <c r="D1373" s="129" t="s">
        <v>15918</v>
      </c>
    </row>
    <row r="1374" spans="1:4">
      <c r="A1374" s="105">
        <v>92255</v>
      </c>
      <c r="B1374" s="104" t="s">
        <v>1636</v>
      </c>
      <c r="C1374" s="104" t="s">
        <v>183</v>
      </c>
      <c r="D1374" s="129" t="s">
        <v>15919</v>
      </c>
    </row>
    <row r="1375" spans="1:4">
      <c r="A1375" s="105">
        <v>92256</v>
      </c>
      <c r="B1375" s="104" t="s">
        <v>1637</v>
      </c>
      <c r="C1375" s="104" t="s">
        <v>183</v>
      </c>
      <c r="D1375" s="129" t="s">
        <v>15920</v>
      </c>
    </row>
    <row r="1376" spans="1:4">
      <c r="A1376" s="105">
        <v>92257</v>
      </c>
      <c r="B1376" s="104" t="s">
        <v>1638</v>
      </c>
      <c r="C1376" s="104" t="s">
        <v>183</v>
      </c>
      <c r="D1376" s="129" t="s">
        <v>15921</v>
      </c>
    </row>
    <row r="1377" spans="1:4">
      <c r="A1377" s="105">
        <v>92258</v>
      </c>
      <c r="B1377" s="104" t="s">
        <v>1639</v>
      </c>
      <c r="C1377" s="104" t="s">
        <v>183</v>
      </c>
      <c r="D1377" s="129" t="s">
        <v>15922</v>
      </c>
    </row>
    <row r="1378" spans="1:4">
      <c r="A1378" s="105">
        <v>92568</v>
      </c>
      <c r="B1378" s="104" t="s">
        <v>1640</v>
      </c>
      <c r="C1378" s="104" t="s">
        <v>12</v>
      </c>
      <c r="D1378" s="129" t="s">
        <v>15923</v>
      </c>
    </row>
    <row r="1379" spans="1:4">
      <c r="A1379" s="105">
        <v>92569</v>
      </c>
      <c r="B1379" s="104" t="s">
        <v>1641</v>
      </c>
      <c r="C1379" s="104" t="s">
        <v>12</v>
      </c>
      <c r="D1379" s="129" t="s">
        <v>15924</v>
      </c>
    </row>
    <row r="1380" spans="1:4">
      <c r="A1380" s="105">
        <v>92570</v>
      </c>
      <c r="B1380" s="104" t="s">
        <v>1642</v>
      </c>
      <c r="C1380" s="104" t="s">
        <v>12</v>
      </c>
      <c r="D1380" s="129" t="s">
        <v>15925</v>
      </c>
    </row>
    <row r="1381" spans="1:4">
      <c r="A1381" s="105">
        <v>92571</v>
      </c>
      <c r="B1381" s="104" t="s">
        <v>1643</v>
      </c>
      <c r="C1381" s="104" t="s">
        <v>12</v>
      </c>
      <c r="D1381" s="129" t="s">
        <v>15926</v>
      </c>
    </row>
    <row r="1382" spans="1:4">
      <c r="A1382" s="105">
        <v>92572</v>
      </c>
      <c r="B1382" s="104" t="s">
        <v>1644</v>
      </c>
      <c r="C1382" s="104" t="s">
        <v>12</v>
      </c>
      <c r="D1382" s="129" t="s">
        <v>15927</v>
      </c>
    </row>
    <row r="1383" spans="1:4">
      <c r="A1383" s="105">
        <v>92573</v>
      </c>
      <c r="B1383" s="104" t="s">
        <v>1645</v>
      </c>
      <c r="C1383" s="104" t="s">
        <v>12</v>
      </c>
      <c r="D1383" s="129" t="s">
        <v>15928</v>
      </c>
    </row>
    <row r="1384" spans="1:4">
      <c r="A1384" s="105">
        <v>92574</v>
      </c>
      <c r="B1384" s="104" t="s">
        <v>1646</v>
      </c>
      <c r="C1384" s="104" t="s">
        <v>12</v>
      </c>
      <c r="D1384" s="129" t="s">
        <v>15929</v>
      </c>
    </row>
    <row r="1385" spans="1:4">
      <c r="A1385" s="105">
        <v>92575</v>
      </c>
      <c r="B1385" s="104" t="s">
        <v>1647</v>
      </c>
      <c r="C1385" s="104" t="s">
        <v>12</v>
      </c>
      <c r="D1385" s="129" t="s">
        <v>15930</v>
      </c>
    </row>
    <row r="1386" spans="1:4">
      <c r="A1386" s="105">
        <v>92576</v>
      </c>
      <c r="B1386" s="104" t="s">
        <v>1648</v>
      </c>
      <c r="C1386" s="104" t="s">
        <v>12</v>
      </c>
      <c r="D1386" s="129" t="s">
        <v>15931</v>
      </c>
    </row>
    <row r="1387" spans="1:4">
      <c r="A1387" s="105">
        <v>92577</v>
      </c>
      <c r="B1387" s="104" t="s">
        <v>1649</v>
      </c>
      <c r="C1387" s="104" t="s">
        <v>12</v>
      </c>
      <c r="D1387" s="129" t="s">
        <v>15932</v>
      </c>
    </row>
    <row r="1388" spans="1:4">
      <c r="A1388" s="105">
        <v>92578</v>
      </c>
      <c r="B1388" s="104" t="s">
        <v>1650</v>
      </c>
      <c r="C1388" s="104" t="s">
        <v>12</v>
      </c>
      <c r="D1388" s="129" t="s">
        <v>15933</v>
      </c>
    </row>
    <row r="1389" spans="1:4">
      <c r="A1389" s="105">
        <v>92579</v>
      </c>
      <c r="B1389" s="104" t="s">
        <v>1651</v>
      </c>
      <c r="C1389" s="104" t="s">
        <v>12</v>
      </c>
      <c r="D1389" s="129" t="s">
        <v>15934</v>
      </c>
    </row>
    <row r="1390" spans="1:4">
      <c r="A1390" s="105">
        <v>92580</v>
      </c>
      <c r="B1390" s="104" t="s">
        <v>1652</v>
      </c>
      <c r="C1390" s="104" t="s">
        <v>12</v>
      </c>
      <c r="D1390" s="129" t="s">
        <v>15935</v>
      </c>
    </row>
    <row r="1391" spans="1:4">
      <c r="A1391" s="105">
        <v>92581</v>
      </c>
      <c r="B1391" s="104" t="s">
        <v>1653</v>
      </c>
      <c r="C1391" s="104" t="s">
        <v>12</v>
      </c>
      <c r="D1391" s="129" t="s">
        <v>15936</v>
      </c>
    </row>
    <row r="1392" spans="1:4">
      <c r="A1392" s="105">
        <v>92582</v>
      </c>
      <c r="B1392" s="104" t="s">
        <v>1654</v>
      </c>
      <c r="C1392" s="104" t="s">
        <v>183</v>
      </c>
      <c r="D1392" s="129" t="s">
        <v>15937</v>
      </c>
    </row>
    <row r="1393" spans="1:4">
      <c r="A1393" s="105">
        <v>92584</v>
      </c>
      <c r="B1393" s="104" t="s">
        <v>1655</v>
      </c>
      <c r="C1393" s="104" t="s">
        <v>183</v>
      </c>
      <c r="D1393" s="129" t="s">
        <v>15938</v>
      </c>
    </row>
    <row r="1394" spans="1:4">
      <c r="A1394" s="105">
        <v>92586</v>
      </c>
      <c r="B1394" s="104" t="s">
        <v>1656</v>
      </c>
      <c r="C1394" s="104" t="s">
        <v>183</v>
      </c>
      <c r="D1394" s="129" t="s">
        <v>15939</v>
      </c>
    </row>
    <row r="1395" spans="1:4">
      <c r="A1395" s="105">
        <v>92588</v>
      </c>
      <c r="B1395" s="104" t="s">
        <v>1657</v>
      </c>
      <c r="C1395" s="104" t="s">
        <v>183</v>
      </c>
      <c r="D1395" s="129" t="s">
        <v>15940</v>
      </c>
    </row>
    <row r="1396" spans="1:4">
      <c r="A1396" s="105">
        <v>92590</v>
      </c>
      <c r="B1396" s="104" t="s">
        <v>1658</v>
      </c>
      <c r="C1396" s="104" t="s">
        <v>183</v>
      </c>
      <c r="D1396" s="129" t="s">
        <v>15941</v>
      </c>
    </row>
    <row r="1397" spans="1:4">
      <c r="A1397" s="105">
        <v>92592</v>
      </c>
      <c r="B1397" s="104" t="s">
        <v>1659</v>
      </c>
      <c r="C1397" s="104" t="s">
        <v>183</v>
      </c>
      <c r="D1397" s="129" t="s">
        <v>15942</v>
      </c>
    </row>
    <row r="1398" spans="1:4">
      <c r="A1398" s="105">
        <v>92593</v>
      </c>
      <c r="B1398" s="104" t="s">
        <v>1660</v>
      </c>
      <c r="C1398" s="104" t="s">
        <v>41</v>
      </c>
      <c r="D1398" s="129" t="s">
        <v>15943</v>
      </c>
    </row>
    <row r="1399" spans="1:4">
      <c r="A1399" s="105">
        <v>92594</v>
      </c>
      <c r="B1399" s="104" t="s">
        <v>1661</v>
      </c>
      <c r="C1399" s="104" t="s">
        <v>183</v>
      </c>
      <c r="D1399" s="129" t="s">
        <v>15944</v>
      </c>
    </row>
    <row r="1400" spans="1:4">
      <c r="A1400" s="105">
        <v>92596</v>
      </c>
      <c r="B1400" s="104" t="s">
        <v>1662</v>
      </c>
      <c r="C1400" s="104" t="s">
        <v>183</v>
      </c>
      <c r="D1400" s="129" t="s">
        <v>15945</v>
      </c>
    </row>
    <row r="1401" spans="1:4">
      <c r="A1401" s="105">
        <v>92598</v>
      </c>
      <c r="B1401" s="104" t="s">
        <v>1663</v>
      </c>
      <c r="C1401" s="104" t="s">
        <v>183</v>
      </c>
      <c r="D1401" s="129" t="s">
        <v>15946</v>
      </c>
    </row>
    <row r="1402" spans="1:4">
      <c r="A1402" s="105">
        <v>92600</v>
      </c>
      <c r="B1402" s="104" t="s">
        <v>1664</v>
      </c>
      <c r="C1402" s="104" t="s">
        <v>183</v>
      </c>
      <c r="D1402" s="129" t="s">
        <v>15947</v>
      </c>
    </row>
    <row r="1403" spans="1:4">
      <c r="A1403" s="105">
        <v>92602</v>
      </c>
      <c r="B1403" s="104" t="s">
        <v>1665</v>
      </c>
      <c r="C1403" s="104" t="s">
        <v>183</v>
      </c>
      <c r="D1403" s="129" t="s">
        <v>15937</v>
      </c>
    </row>
    <row r="1404" spans="1:4">
      <c r="A1404" s="105">
        <v>92604</v>
      </c>
      <c r="B1404" s="104" t="s">
        <v>1666</v>
      </c>
      <c r="C1404" s="104" t="s">
        <v>183</v>
      </c>
      <c r="D1404" s="129" t="s">
        <v>15948</v>
      </c>
    </row>
    <row r="1405" spans="1:4">
      <c r="A1405" s="105">
        <v>92606</v>
      </c>
      <c r="B1405" s="104" t="s">
        <v>1667</v>
      </c>
      <c r="C1405" s="104" t="s">
        <v>183</v>
      </c>
      <c r="D1405" s="129" t="s">
        <v>15949</v>
      </c>
    </row>
    <row r="1406" spans="1:4">
      <c r="A1406" s="105">
        <v>92608</v>
      </c>
      <c r="B1406" s="104" t="s">
        <v>1668</v>
      </c>
      <c r="C1406" s="104" t="s">
        <v>183</v>
      </c>
      <c r="D1406" s="129" t="s">
        <v>15950</v>
      </c>
    </row>
    <row r="1407" spans="1:4">
      <c r="A1407" s="105">
        <v>92610</v>
      </c>
      <c r="B1407" s="104" t="s">
        <v>1669</v>
      </c>
      <c r="C1407" s="104" t="s">
        <v>183</v>
      </c>
      <c r="D1407" s="129" t="s">
        <v>15951</v>
      </c>
    </row>
    <row r="1408" spans="1:4">
      <c r="A1408" s="105">
        <v>92612</v>
      </c>
      <c r="B1408" s="104" t="s">
        <v>1670</v>
      </c>
      <c r="C1408" s="104" t="s">
        <v>183</v>
      </c>
      <c r="D1408" s="129" t="s">
        <v>15952</v>
      </c>
    </row>
    <row r="1409" spans="1:4">
      <c r="A1409" s="105">
        <v>92614</v>
      </c>
      <c r="B1409" s="104" t="s">
        <v>1671</v>
      </c>
      <c r="C1409" s="104" t="s">
        <v>183</v>
      </c>
      <c r="D1409" s="129" t="s">
        <v>15953</v>
      </c>
    </row>
    <row r="1410" spans="1:4">
      <c r="A1410" s="105">
        <v>92616</v>
      </c>
      <c r="B1410" s="104" t="s">
        <v>1672</v>
      </c>
      <c r="C1410" s="104" t="s">
        <v>183</v>
      </c>
      <c r="D1410" s="129" t="s">
        <v>15954</v>
      </c>
    </row>
    <row r="1411" spans="1:4">
      <c r="A1411" s="105">
        <v>92618</v>
      </c>
      <c r="B1411" s="104" t="s">
        <v>1673</v>
      </c>
      <c r="C1411" s="104" t="s">
        <v>183</v>
      </c>
      <c r="D1411" s="129" t="s">
        <v>15955</v>
      </c>
    </row>
    <row r="1412" spans="1:4">
      <c r="A1412" s="105">
        <v>92620</v>
      </c>
      <c r="B1412" s="104" t="s">
        <v>1674</v>
      </c>
      <c r="C1412" s="104" t="s">
        <v>183</v>
      </c>
      <c r="D1412" s="129" t="s">
        <v>15956</v>
      </c>
    </row>
    <row r="1413" spans="1:4">
      <c r="A1413" s="105">
        <v>100357</v>
      </c>
      <c r="B1413" s="104" t="s">
        <v>1675</v>
      </c>
      <c r="C1413" s="104" t="s">
        <v>183</v>
      </c>
      <c r="D1413" s="129" t="s">
        <v>15957</v>
      </c>
    </row>
    <row r="1414" spans="1:4">
      <c r="A1414" s="105">
        <v>100358</v>
      </c>
      <c r="B1414" s="104" t="s">
        <v>1676</v>
      </c>
      <c r="C1414" s="104" t="s">
        <v>183</v>
      </c>
      <c r="D1414" s="129" t="s">
        <v>15958</v>
      </c>
    </row>
    <row r="1415" spans="1:4">
      <c r="A1415" s="105">
        <v>100359</v>
      </c>
      <c r="B1415" s="104" t="s">
        <v>1677</v>
      </c>
      <c r="C1415" s="104" t="s">
        <v>183</v>
      </c>
      <c r="D1415" s="129" t="s">
        <v>15959</v>
      </c>
    </row>
    <row r="1416" spans="1:4">
      <c r="A1416" s="105">
        <v>100360</v>
      </c>
      <c r="B1416" s="104" t="s">
        <v>1678</v>
      </c>
      <c r="C1416" s="104" t="s">
        <v>183</v>
      </c>
      <c r="D1416" s="129" t="s">
        <v>15960</v>
      </c>
    </row>
    <row r="1417" spans="1:4">
      <c r="A1417" s="105">
        <v>100361</v>
      </c>
      <c r="B1417" s="104" t="s">
        <v>1679</v>
      </c>
      <c r="C1417" s="104" t="s">
        <v>183</v>
      </c>
      <c r="D1417" s="129" t="s">
        <v>15961</v>
      </c>
    </row>
    <row r="1418" spans="1:4">
      <c r="A1418" s="105">
        <v>100362</v>
      </c>
      <c r="B1418" s="104" t="s">
        <v>1680</v>
      </c>
      <c r="C1418" s="104" t="s">
        <v>183</v>
      </c>
      <c r="D1418" s="129" t="s">
        <v>15962</v>
      </c>
    </row>
    <row r="1419" spans="1:4">
      <c r="A1419" s="105">
        <v>100363</v>
      </c>
      <c r="B1419" s="104" t="s">
        <v>1681</v>
      </c>
      <c r="C1419" s="104" t="s">
        <v>183</v>
      </c>
      <c r="D1419" s="129" t="s">
        <v>15963</v>
      </c>
    </row>
    <row r="1420" spans="1:4">
      <c r="A1420" s="105">
        <v>100364</v>
      </c>
      <c r="B1420" s="104" t="s">
        <v>1682</v>
      </c>
      <c r="C1420" s="104" t="s">
        <v>183</v>
      </c>
      <c r="D1420" s="129" t="s">
        <v>15964</v>
      </c>
    </row>
    <row r="1421" spans="1:4">
      <c r="A1421" s="105">
        <v>100365</v>
      </c>
      <c r="B1421" s="104" t="s">
        <v>1683</v>
      </c>
      <c r="C1421" s="104" t="s">
        <v>183</v>
      </c>
      <c r="D1421" s="129" t="s">
        <v>15965</v>
      </c>
    </row>
    <row r="1422" spans="1:4">
      <c r="A1422" s="105">
        <v>100366</v>
      </c>
      <c r="B1422" s="104" t="s">
        <v>1684</v>
      </c>
      <c r="C1422" s="104" t="s">
        <v>183</v>
      </c>
      <c r="D1422" s="129" t="s">
        <v>15966</v>
      </c>
    </row>
    <row r="1423" spans="1:4">
      <c r="A1423" s="105">
        <v>100367</v>
      </c>
      <c r="B1423" s="104" t="s">
        <v>1685</v>
      </c>
      <c r="C1423" s="104" t="s">
        <v>183</v>
      </c>
      <c r="D1423" s="129" t="s">
        <v>15967</v>
      </c>
    </row>
    <row r="1424" spans="1:4">
      <c r="A1424" s="105">
        <v>100368</v>
      </c>
      <c r="B1424" s="104" t="s">
        <v>1686</v>
      </c>
      <c r="C1424" s="104" t="s">
        <v>183</v>
      </c>
      <c r="D1424" s="129" t="s">
        <v>15968</v>
      </c>
    </row>
    <row r="1425" spans="1:4">
      <c r="A1425" s="105">
        <v>100369</v>
      </c>
      <c r="B1425" s="104" t="s">
        <v>1687</v>
      </c>
      <c r="C1425" s="104" t="s">
        <v>183</v>
      </c>
      <c r="D1425" s="129" t="s">
        <v>15969</v>
      </c>
    </row>
    <row r="1426" spans="1:4">
      <c r="A1426" s="105">
        <v>100370</v>
      </c>
      <c r="B1426" s="104" t="s">
        <v>1688</v>
      </c>
      <c r="C1426" s="104" t="s">
        <v>183</v>
      </c>
      <c r="D1426" s="129" t="s">
        <v>15970</v>
      </c>
    </row>
    <row r="1427" spans="1:4">
      <c r="A1427" s="105">
        <v>100371</v>
      </c>
      <c r="B1427" s="104" t="s">
        <v>1689</v>
      </c>
      <c r="C1427" s="104" t="s">
        <v>183</v>
      </c>
      <c r="D1427" s="129" t="s">
        <v>15971</v>
      </c>
    </row>
    <row r="1428" spans="1:4">
      <c r="A1428" s="105">
        <v>100372</v>
      </c>
      <c r="B1428" s="104" t="s">
        <v>1690</v>
      </c>
      <c r="C1428" s="104" t="s">
        <v>183</v>
      </c>
      <c r="D1428" s="129" t="s">
        <v>15972</v>
      </c>
    </row>
    <row r="1429" spans="1:4">
      <c r="A1429" s="105">
        <v>100373</v>
      </c>
      <c r="B1429" s="104" t="s">
        <v>1691</v>
      </c>
      <c r="C1429" s="104" t="s">
        <v>183</v>
      </c>
      <c r="D1429" s="129" t="s">
        <v>15973</v>
      </c>
    </row>
    <row r="1430" spans="1:4">
      <c r="A1430" s="105">
        <v>100374</v>
      </c>
      <c r="B1430" s="104" t="s">
        <v>1692</v>
      </c>
      <c r="C1430" s="104" t="s">
        <v>183</v>
      </c>
      <c r="D1430" s="129" t="s">
        <v>15974</v>
      </c>
    </row>
    <row r="1431" spans="1:4">
      <c r="A1431" s="105">
        <v>100375</v>
      </c>
      <c r="B1431" s="104" t="s">
        <v>1693</v>
      </c>
      <c r="C1431" s="104" t="s">
        <v>183</v>
      </c>
      <c r="D1431" s="129" t="s">
        <v>15975</v>
      </c>
    </row>
    <row r="1432" spans="1:4">
      <c r="A1432" s="105">
        <v>100376</v>
      </c>
      <c r="B1432" s="104" t="s">
        <v>1694</v>
      </c>
      <c r="C1432" s="104" t="s">
        <v>183</v>
      </c>
      <c r="D1432" s="129" t="s">
        <v>15976</v>
      </c>
    </row>
    <row r="1433" spans="1:4">
      <c r="A1433" s="105">
        <v>100377</v>
      </c>
      <c r="B1433" s="104" t="s">
        <v>1695</v>
      </c>
      <c r="C1433" s="104" t="s">
        <v>41</v>
      </c>
      <c r="D1433" s="129" t="s">
        <v>15977</v>
      </c>
    </row>
    <row r="1434" spans="1:4">
      <c r="A1434" s="105">
        <v>100378</v>
      </c>
      <c r="B1434" s="104" t="s">
        <v>1696</v>
      </c>
      <c r="C1434" s="104" t="s">
        <v>41</v>
      </c>
      <c r="D1434" s="129" t="s">
        <v>15978</v>
      </c>
    </row>
    <row r="1435" spans="1:4">
      <c r="A1435" s="105">
        <v>100382</v>
      </c>
      <c r="B1435" s="104" t="s">
        <v>1697</v>
      </c>
      <c r="C1435" s="104" t="s">
        <v>12</v>
      </c>
      <c r="D1435" s="129" t="s">
        <v>15873</v>
      </c>
    </row>
    <row r="1436" spans="1:4">
      <c r="A1436" s="105">
        <v>94444</v>
      </c>
      <c r="B1436" s="104" t="s">
        <v>1698</v>
      </c>
      <c r="C1436" s="104" t="s">
        <v>12</v>
      </c>
      <c r="D1436" s="129" t="s">
        <v>15979</v>
      </c>
    </row>
    <row r="1437" spans="1:4">
      <c r="A1437" s="105">
        <v>102661</v>
      </c>
      <c r="B1437" s="104" t="s">
        <v>1699</v>
      </c>
      <c r="C1437" s="104" t="s">
        <v>40</v>
      </c>
      <c r="D1437" s="129" t="s">
        <v>15980</v>
      </c>
    </row>
    <row r="1438" spans="1:4">
      <c r="A1438" s="105">
        <v>102663</v>
      </c>
      <c r="B1438" s="104" t="s">
        <v>1700</v>
      </c>
      <c r="C1438" s="104" t="s">
        <v>40</v>
      </c>
      <c r="D1438" s="129" t="s">
        <v>15981</v>
      </c>
    </row>
    <row r="1439" spans="1:4">
      <c r="A1439" s="105">
        <v>102664</v>
      </c>
      <c r="B1439" s="104" t="s">
        <v>1701</v>
      </c>
      <c r="C1439" s="104" t="s">
        <v>40</v>
      </c>
      <c r="D1439" s="129" t="s">
        <v>15279</v>
      </c>
    </row>
    <row r="1440" spans="1:4">
      <c r="A1440" s="105">
        <v>102665</v>
      </c>
      <c r="B1440" s="104" t="s">
        <v>1702</v>
      </c>
      <c r="C1440" s="104" t="s">
        <v>40</v>
      </c>
      <c r="D1440" s="129" t="s">
        <v>15982</v>
      </c>
    </row>
    <row r="1441" spans="1:4">
      <c r="A1441" s="105">
        <v>102666</v>
      </c>
      <c r="B1441" s="104" t="s">
        <v>1703</v>
      </c>
      <c r="C1441" s="104" t="s">
        <v>40</v>
      </c>
      <c r="D1441" s="129" t="s">
        <v>15983</v>
      </c>
    </row>
    <row r="1442" spans="1:4">
      <c r="A1442" s="105">
        <v>102669</v>
      </c>
      <c r="B1442" s="104" t="s">
        <v>1704</v>
      </c>
      <c r="C1442" s="104" t="s">
        <v>40</v>
      </c>
      <c r="D1442" s="129" t="s">
        <v>15984</v>
      </c>
    </row>
    <row r="1443" spans="1:4">
      <c r="A1443" s="105">
        <v>102670</v>
      </c>
      <c r="B1443" s="104" t="s">
        <v>1705</v>
      </c>
      <c r="C1443" s="104" t="s">
        <v>40</v>
      </c>
      <c r="D1443" s="129" t="s">
        <v>15985</v>
      </c>
    </row>
    <row r="1444" spans="1:4">
      <c r="A1444" s="105">
        <v>102673</v>
      </c>
      <c r="B1444" s="104" t="s">
        <v>1706</v>
      </c>
      <c r="C1444" s="104" t="s">
        <v>40</v>
      </c>
      <c r="D1444" s="129" t="s">
        <v>15986</v>
      </c>
    </row>
    <row r="1445" spans="1:4">
      <c r="A1445" s="105">
        <v>102674</v>
      </c>
      <c r="B1445" s="104" t="s">
        <v>1707</v>
      </c>
      <c r="C1445" s="104" t="s">
        <v>40</v>
      </c>
      <c r="D1445" s="129" t="s">
        <v>15987</v>
      </c>
    </row>
    <row r="1446" spans="1:4">
      <c r="A1446" s="105">
        <v>102677</v>
      </c>
      <c r="B1446" s="104" t="s">
        <v>1708</v>
      </c>
      <c r="C1446" s="104" t="s">
        <v>40</v>
      </c>
      <c r="D1446" s="129" t="s">
        <v>15988</v>
      </c>
    </row>
    <row r="1447" spans="1:4">
      <c r="A1447" s="105">
        <v>102678</v>
      </c>
      <c r="B1447" s="104" t="s">
        <v>1709</v>
      </c>
      <c r="C1447" s="104" t="s">
        <v>40</v>
      </c>
      <c r="D1447" s="129" t="s">
        <v>15989</v>
      </c>
    </row>
    <row r="1448" spans="1:4">
      <c r="A1448" s="105">
        <v>102679</v>
      </c>
      <c r="B1448" s="104" t="s">
        <v>1710</v>
      </c>
      <c r="C1448" s="104" t="s">
        <v>40</v>
      </c>
      <c r="D1448" s="129" t="s">
        <v>15990</v>
      </c>
    </row>
    <row r="1449" spans="1:4">
      <c r="A1449" s="105">
        <v>102680</v>
      </c>
      <c r="B1449" s="104" t="s">
        <v>1711</v>
      </c>
      <c r="C1449" s="104" t="s">
        <v>40</v>
      </c>
      <c r="D1449" s="129" t="s">
        <v>15991</v>
      </c>
    </row>
    <row r="1450" spans="1:4">
      <c r="A1450" s="105">
        <v>102683</v>
      </c>
      <c r="B1450" s="104" t="s">
        <v>1712</v>
      </c>
      <c r="C1450" s="104" t="s">
        <v>40</v>
      </c>
      <c r="D1450" s="129" t="s">
        <v>15992</v>
      </c>
    </row>
    <row r="1451" spans="1:4">
      <c r="A1451" s="105">
        <v>102684</v>
      </c>
      <c r="B1451" s="104" t="s">
        <v>1713</v>
      </c>
      <c r="C1451" s="104" t="s">
        <v>40</v>
      </c>
      <c r="D1451" s="129" t="s">
        <v>15993</v>
      </c>
    </row>
    <row r="1452" spans="1:4">
      <c r="A1452" s="105">
        <v>102687</v>
      </c>
      <c r="B1452" s="104" t="s">
        <v>1714</v>
      </c>
      <c r="C1452" s="104" t="s">
        <v>40</v>
      </c>
      <c r="D1452" s="129" t="s">
        <v>15994</v>
      </c>
    </row>
    <row r="1453" spans="1:4">
      <c r="A1453" s="105">
        <v>102688</v>
      </c>
      <c r="B1453" s="104" t="s">
        <v>1715</v>
      </c>
      <c r="C1453" s="104" t="s">
        <v>40</v>
      </c>
      <c r="D1453" s="129" t="s">
        <v>15995</v>
      </c>
    </row>
    <row r="1454" spans="1:4">
      <c r="A1454" s="105">
        <v>102690</v>
      </c>
      <c r="B1454" s="104" t="s">
        <v>1716</v>
      </c>
      <c r="C1454" s="104" t="s">
        <v>40</v>
      </c>
      <c r="D1454" s="129" t="s">
        <v>15996</v>
      </c>
    </row>
    <row r="1455" spans="1:4">
      <c r="A1455" s="105">
        <v>102694</v>
      </c>
      <c r="B1455" s="104" t="s">
        <v>1717</v>
      </c>
      <c r="C1455" s="104" t="s">
        <v>40</v>
      </c>
      <c r="D1455" s="129" t="s">
        <v>15892</v>
      </c>
    </row>
    <row r="1456" spans="1:4">
      <c r="A1456" s="105">
        <v>102697</v>
      </c>
      <c r="B1456" s="104" t="s">
        <v>1718</v>
      </c>
      <c r="C1456" s="104" t="s">
        <v>40</v>
      </c>
      <c r="D1456" s="129" t="s">
        <v>15997</v>
      </c>
    </row>
    <row r="1457" spans="1:4">
      <c r="A1457" s="105">
        <v>102704</v>
      </c>
      <c r="B1457" s="104" t="s">
        <v>1719</v>
      </c>
      <c r="C1457" s="104" t="s">
        <v>40</v>
      </c>
      <c r="D1457" s="129" t="s">
        <v>15998</v>
      </c>
    </row>
    <row r="1458" spans="1:4">
      <c r="A1458" s="105">
        <v>102706</v>
      </c>
      <c r="B1458" s="104" t="s">
        <v>1720</v>
      </c>
      <c r="C1458" s="104" t="s">
        <v>40</v>
      </c>
      <c r="D1458" s="129" t="s">
        <v>15999</v>
      </c>
    </row>
    <row r="1459" spans="1:4">
      <c r="A1459" s="105">
        <v>102707</v>
      </c>
      <c r="B1459" s="104" t="s">
        <v>1721</v>
      </c>
      <c r="C1459" s="104" t="s">
        <v>40</v>
      </c>
      <c r="D1459" s="129" t="s">
        <v>16000</v>
      </c>
    </row>
    <row r="1460" spans="1:4">
      <c r="A1460" s="105">
        <v>102708</v>
      </c>
      <c r="B1460" s="104" t="s">
        <v>1722</v>
      </c>
      <c r="C1460" s="104" t="s">
        <v>183</v>
      </c>
      <c r="D1460" s="129" t="s">
        <v>16001</v>
      </c>
    </row>
    <row r="1461" spans="1:4">
      <c r="A1461" s="105">
        <v>102710</v>
      </c>
      <c r="B1461" s="104" t="s">
        <v>1723</v>
      </c>
      <c r="C1461" s="104" t="s">
        <v>183</v>
      </c>
      <c r="D1461" s="129" t="s">
        <v>16002</v>
      </c>
    </row>
    <row r="1462" spans="1:4">
      <c r="A1462" s="105">
        <v>102711</v>
      </c>
      <c r="B1462" s="104" t="s">
        <v>1724</v>
      </c>
      <c r="C1462" s="104" t="s">
        <v>183</v>
      </c>
      <c r="D1462" s="129" t="s">
        <v>16003</v>
      </c>
    </row>
    <row r="1463" spans="1:4">
      <c r="A1463" s="105">
        <v>102712</v>
      </c>
      <c r="B1463" s="104" t="s">
        <v>1725</v>
      </c>
      <c r="C1463" s="104" t="s">
        <v>12</v>
      </c>
      <c r="D1463" s="129" t="s">
        <v>15288</v>
      </c>
    </row>
    <row r="1464" spans="1:4">
      <c r="A1464" s="105">
        <v>102713</v>
      </c>
      <c r="B1464" s="104" t="s">
        <v>1726</v>
      </c>
      <c r="C1464" s="104" t="s">
        <v>12</v>
      </c>
      <c r="D1464" s="129" t="s">
        <v>16004</v>
      </c>
    </row>
    <row r="1465" spans="1:4">
      <c r="A1465" s="105">
        <v>102715</v>
      </c>
      <c r="B1465" s="104" t="s">
        <v>1727</v>
      </c>
      <c r="C1465" s="104" t="s">
        <v>12</v>
      </c>
      <c r="D1465" s="129" t="s">
        <v>16005</v>
      </c>
    </row>
    <row r="1466" spans="1:4">
      <c r="A1466" s="105">
        <v>102716</v>
      </c>
      <c r="B1466" s="104" t="s">
        <v>1728</v>
      </c>
      <c r="C1466" s="104" t="s">
        <v>28</v>
      </c>
      <c r="D1466" s="129" t="s">
        <v>16006</v>
      </c>
    </row>
    <row r="1467" spans="1:4">
      <c r="A1467" s="105">
        <v>102717</v>
      </c>
      <c r="B1467" s="104" t="s">
        <v>1729</v>
      </c>
      <c r="C1467" s="104" t="s">
        <v>28</v>
      </c>
      <c r="D1467" s="129" t="s">
        <v>16007</v>
      </c>
    </row>
    <row r="1468" spans="1:4">
      <c r="A1468" s="105">
        <v>102718</v>
      </c>
      <c r="B1468" s="104" t="s">
        <v>1730</v>
      </c>
      <c r="C1468" s="104" t="s">
        <v>28</v>
      </c>
      <c r="D1468" s="129" t="s">
        <v>16008</v>
      </c>
    </row>
    <row r="1469" spans="1:4">
      <c r="A1469" s="105">
        <v>102719</v>
      </c>
      <c r="B1469" s="104" t="s">
        <v>1731</v>
      </c>
      <c r="C1469" s="104" t="s">
        <v>28</v>
      </c>
      <c r="D1469" s="129" t="s">
        <v>16009</v>
      </c>
    </row>
    <row r="1470" spans="1:4">
      <c r="A1470" s="105">
        <v>102722</v>
      </c>
      <c r="B1470" s="104" t="s">
        <v>1732</v>
      </c>
      <c r="C1470" s="104" t="s">
        <v>40</v>
      </c>
      <c r="D1470" s="129" t="s">
        <v>16010</v>
      </c>
    </row>
    <row r="1471" spans="1:4">
      <c r="A1471" s="105">
        <v>102723</v>
      </c>
      <c r="B1471" s="104" t="s">
        <v>1733</v>
      </c>
      <c r="C1471" s="104" t="s">
        <v>40</v>
      </c>
      <c r="D1471" s="129" t="s">
        <v>16011</v>
      </c>
    </row>
    <row r="1472" spans="1:4">
      <c r="A1472" s="105">
        <v>102724</v>
      </c>
      <c r="B1472" s="104" t="s">
        <v>1734</v>
      </c>
      <c r="C1472" s="104" t="s">
        <v>183</v>
      </c>
      <c r="D1472" s="129" t="s">
        <v>16012</v>
      </c>
    </row>
    <row r="1473" spans="1:4">
      <c r="A1473" s="105">
        <v>102725</v>
      </c>
      <c r="B1473" s="104" t="s">
        <v>1735</v>
      </c>
      <c r="C1473" s="104" t="s">
        <v>183</v>
      </c>
      <c r="D1473" s="129" t="s">
        <v>16013</v>
      </c>
    </row>
    <row r="1474" spans="1:4">
      <c r="A1474" s="105">
        <v>102726</v>
      </c>
      <c r="B1474" s="104" t="s">
        <v>1736</v>
      </c>
      <c r="C1474" s="104" t="s">
        <v>183</v>
      </c>
      <c r="D1474" s="129" t="s">
        <v>16014</v>
      </c>
    </row>
    <row r="1475" spans="1:4">
      <c r="A1475" s="105">
        <v>103653</v>
      </c>
      <c r="B1475" s="104" t="s">
        <v>13698</v>
      </c>
      <c r="C1475" s="104" t="s">
        <v>12</v>
      </c>
      <c r="D1475" s="129" t="s">
        <v>16015</v>
      </c>
    </row>
    <row r="1476" spans="1:4">
      <c r="A1476" s="105">
        <v>92743</v>
      </c>
      <c r="B1476" s="104" t="s">
        <v>1737</v>
      </c>
      <c r="C1476" s="104" t="s">
        <v>28</v>
      </c>
      <c r="D1476" s="129" t="s">
        <v>16016</v>
      </c>
    </row>
    <row r="1477" spans="1:4">
      <c r="A1477" s="105">
        <v>92744</v>
      </c>
      <c r="B1477" s="104" t="s">
        <v>1738</v>
      </c>
      <c r="C1477" s="104" t="s">
        <v>28</v>
      </c>
      <c r="D1477" s="129" t="s">
        <v>16017</v>
      </c>
    </row>
    <row r="1478" spans="1:4">
      <c r="A1478" s="105">
        <v>92745</v>
      </c>
      <c r="B1478" s="104" t="s">
        <v>1739</v>
      </c>
      <c r="C1478" s="104" t="s">
        <v>28</v>
      </c>
      <c r="D1478" s="129" t="s">
        <v>16018</v>
      </c>
    </row>
    <row r="1479" spans="1:4">
      <c r="A1479" s="105">
        <v>92746</v>
      </c>
      <c r="B1479" s="104" t="s">
        <v>1740</v>
      </c>
      <c r="C1479" s="104" t="s">
        <v>28</v>
      </c>
      <c r="D1479" s="129" t="s">
        <v>16019</v>
      </c>
    </row>
    <row r="1480" spans="1:4">
      <c r="A1480" s="105">
        <v>92747</v>
      </c>
      <c r="B1480" s="104" t="s">
        <v>1741</v>
      </c>
      <c r="C1480" s="104" t="s">
        <v>28</v>
      </c>
      <c r="D1480" s="129" t="s">
        <v>16020</v>
      </c>
    </row>
    <row r="1481" spans="1:4">
      <c r="A1481" s="105">
        <v>92748</v>
      </c>
      <c r="B1481" s="104" t="s">
        <v>1742</v>
      </c>
      <c r="C1481" s="104" t="s">
        <v>28</v>
      </c>
      <c r="D1481" s="129" t="s">
        <v>16021</v>
      </c>
    </row>
    <row r="1482" spans="1:4">
      <c r="A1482" s="105">
        <v>92749</v>
      </c>
      <c r="B1482" s="104" t="s">
        <v>1743</v>
      </c>
      <c r="C1482" s="104" t="s">
        <v>28</v>
      </c>
      <c r="D1482" s="129" t="s">
        <v>16022</v>
      </c>
    </row>
    <row r="1483" spans="1:4">
      <c r="A1483" s="105">
        <v>92750</v>
      </c>
      <c r="B1483" s="104" t="s">
        <v>1744</v>
      </c>
      <c r="C1483" s="104" t="s">
        <v>28</v>
      </c>
      <c r="D1483" s="129" t="s">
        <v>16023</v>
      </c>
    </row>
    <row r="1484" spans="1:4">
      <c r="A1484" s="105">
        <v>92751</v>
      </c>
      <c r="B1484" s="104" t="s">
        <v>1745</v>
      </c>
      <c r="C1484" s="104" t="s">
        <v>28</v>
      </c>
      <c r="D1484" s="129" t="s">
        <v>16024</v>
      </c>
    </row>
    <row r="1485" spans="1:4">
      <c r="A1485" s="105">
        <v>92752</v>
      </c>
      <c r="B1485" s="104" t="s">
        <v>1746</v>
      </c>
      <c r="C1485" s="104" t="s">
        <v>28</v>
      </c>
      <c r="D1485" s="129" t="s">
        <v>16025</v>
      </c>
    </row>
    <row r="1486" spans="1:4">
      <c r="A1486" s="105">
        <v>92753</v>
      </c>
      <c r="B1486" s="104" t="s">
        <v>1747</v>
      </c>
      <c r="C1486" s="104" t="s">
        <v>28</v>
      </c>
      <c r="D1486" s="129" t="s">
        <v>16026</v>
      </c>
    </row>
    <row r="1487" spans="1:4">
      <c r="A1487" s="105">
        <v>92754</v>
      </c>
      <c r="B1487" s="104" t="s">
        <v>1748</v>
      </c>
      <c r="C1487" s="104" t="s">
        <v>28</v>
      </c>
      <c r="D1487" s="129" t="s">
        <v>16027</v>
      </c>
    </row>
    <row r="1488" spans="1:4">
      <c r="A1488" s="105">
        <v>92755</v>
      </c>
      <c r="B1488" s="104" t="s">
        <v>1749</v>
      </c>
      <c r="C1488" s="104" t="s">
        <v>12</v>
      </c>
      <c r="D1488" s="129" t="s">
        <v>16028</v>
      </c>
    </row>
    <row r="1489" spans="1:4">
      <c r="A1489" s="105">
        <v>92756</v>
      </c>
      <c r="B1489" s="104" t="s">
        <v>1750</v>
      </c>
      <c r="C1489" s="104" t="s">
        <v>12</v>
      </c>
      <c r="D1489" s="129" t="s">
        <v>16029</v>
      </c>
    </row>
    <row r="1490" spans="1:4">
      <c r="A1490" s="105">
        <v>92757</v>
      </c>
      <c r="B1490" s="104" t="s">
        <v>1751</v>
      </c>
      <c r="C1490" s="104" t="s">
        <v>12</v>
      </c>
      <c r="D1490" s="129" t="s">
        <v>16030</v>
      </c>
    </row>
    <row r="1491" spans="1:4">
      <c r="A1491" s="105">
        <v>92758</v>
      </c>
      <c r="B1491" s="104" t="s">
        <v>1752</v>
      </c>
      <c r="C1491" s="104" t="s">
        <v>28</v>
      </c>
      <c r="D1491" s="129" t="s">
        <v>16031</v>
      </c>
    </row>
    <row r="1492" spans="1:4">
      <c r="A1492" s="105">
        <v>91069</v>
      </c>
      <c r="B1492" s="104" t="s">
        <v>1753</v>
      </c>
      <c r="C1492" s="104" t="s">
        <v>12</v>
      </c>
      <c r="D1492" s="129" t="s">
        <v>16032</v>
      </c>
    </row>
    <row r="1493" spans="1:4">
      <c r="A1493" s="105">
        <v>91070</v>
      </c>
      <c r="B1493" s="104" t="s">
        <v>1754</v>
      </c>
      <c r="C1493" s="104" t="s">
        <v>12</v>
      </c>
      <c r="D1493" s="129" t="s">
        <v>16033</v>
      </c>
    </row>
    <row r="1494" spans="1:4">
      <c r="A1494" s="105">
        <v>91071</v>
      </c>
      <c r="B1494" s="104" t="s">
        <v>1755</v>
      </c>
      <c r="C1494" s="104" t="s">
        <v>12</v>
      </c>
      <c r="D1494" s="129" t="s">
        <v>16034</v>
      </c>
    </row>
    <row r="1495" spans="1:4">
      <c r="A1495" s="105">
        <v>91072</v>
      </c>
      <c r="B1495" s="104" t="s">
        <v>1756</v>
      </c>
      <c r="C1495" s="104" t="s">
        <v>12</v>
      </c>
      <c r="D1495" s="129" t="s">
        <v>16035</v>
      </c>
    </row>
    <row r="1496" spans="1:4">
      <c r="A1496" s="105">
        <v>91073</v>
      </c>
      <c r="B1496" s="104" t="s">
        <v>1757</v>
      </c>
      <c r="C1496" s="104" t="s">
        <v>12</v>
      </c>
      <c r="D1496" s="129" t="s">
        <v>16036</v>
      </c>
    </row>
    <row r="1497" spans="1:4">
      <c r="A1497" s="105">
        <v>91074</v>
      </c>
      <c r="B1497" s="104" t="s">
        <v>1758</v>
      </c>
      <c r="C1497" s="104" t="s">
        <v>12</v>
      </c>
      <c r="D1497" s="129" t="s">
        <v>16037</v>
      </c>
    </row>
    <row r="1498" spans="1:4">
      <c r="A1498" s="105">
        <v>91075</v>
      </c>
      <c r="B1498" s="104" t="s">
        <v>1759</v>
      </c>
      <c r="C1498" s="104" t="s">
        <v>12</v>
      </c>
      <c r="D1498" s="129" t="s">
        <v>16038</v>
      </c>
    </row>
    <row r="1499" spans="1:4">
      <c r="A1499" s="105">
        <v>91076</v>
      </c>
      <c r="B1499" s="104" t="s">
        <v>1760</v>
      </c>
      <c r="C1499" s="104" t="s">
        <v>12</v>
      </c>
      <c r="D1499" s="129" t="s">
        <v>16039</v>
      </c>
    </row>
    <row r="1500" spans="1:4">
      <c r="A1500" s="105">
        <v>91077</v>
      </c>
      <c r="B1500" s="104" t="s">
        <v>1761</v>
      </c>
      <c r="C1500" s="104" t="s">
        <v>12</v>
      </c>
      <c r="D1500" s="129" t="s">
        <v>16040</v>
      </c>
    </row>
    <row r="1501" spans="1:4">
      <c r="A1501" s="105">
        <v>91078</v>
      </c>
      <c r="B1501" s="104" t="s">
        <v>1762</v>
      </c>
      <c r="C1501" s="104" t="s">
        <v>12</v>
      </c>
      <c r="D1501" s="129" t="s">
        <v>16041</v>
      </c>
    </row>
    <row r="1502" spans="1:4">
      <c r="A1502" s="105">
        <v>91079</v>
      </c>
      <c r="B1502" s="104" t="s">
        <v>1763</v>
      </c>
      <c r="C1502" s="104" t="s">
        <v>12</v>
      </c>
      <c r="D1502" s="129" t="s">
        <v>16042</v>
      </c>
    </row>
    <row r="1503" spans="1:4">
      <c r="A1503" s="105">
        <v>91080</v>
      </c>
      <c r="B1503" s="104" t="s">
        <v>1764</v>
      </c>
      <c r="C1503" s="104" t="s">
        <v>12</v>
      </c>
      <c r="D1503" s="129" t="s">
        <v>16043</v>
      </c>
    </row>
    <row r="1504" spans="1:4">
      <c r="A1504" s="105">
        <v>91081</v>
      </c>
      <c r="B1504" s="104" t="s">
        <v>1765</v>
      </c>
      <c r="C1504" s="104" t="s">
        <v>12</v>
      </c>
      <c r="D1504" s="129" t="s">
        <v>16044</v>
      </c>
    </row>
    <row r="1505" spans="1:4">
      <c r="A1505" s="105">
        <v>91082</v>
      </c>
      <c r="B1505" s="104" t="s">
        <v>1766</v>
      </c>
      <c r="C1505" s="104" t="s">
        <v>12</v>
      </c>
      <c r="D1505" s="129" t="s">
        <v>16045</v>
      </c>
    </row>
    <row r="1506" spans="1:4">
      <c r="A1506" s="105">
        <v>91083</v>
      </c>
      <c r="B1506" s="104" t="s">
        <v>1767</v>
      </c>
      <c r="C1506" s="104" t="s">
        <v>12</v>
      </c>
      <c r="D1506" s="129" t="s">
        <v>16046</v>
      </c>
    </row>
    <row r="1507" spans="1:4">
      <c r="A1507" s="105">
        <v>91084</v>
      </c>
      <c r="B1507" s="104" t="s">
        <v>1768</v>
      </c>
      <c r="C1507" s="104" t="s">
        <v>12</v>
      </c>
      <c r="D1507" s="129" t="s">
        <v>16047</v>
      </c>
    </row>
    <row r="1508" spans="1:4">
      <c r="A1508" s="105">
        <v>91086</v>
      </c>
      <c r="B1508" s="104" t="s">
        <v>1769</v>
      </c>
      <c r="C1508" s="104" t="s">
        <v>12</v>
      </c>
      <c r="D1508" s="129" t="s">
        <v>16048</v>
      </c>
    </row>
    <row r="1509" spans="1:4">
      <c r="A1509" s="105">
        <v>91087</v>
      </c>
      <c r="B1509" s="104" t="s">
        <v>1770</v>
      </c>
      <c r="C1509" s="104" t="s">
        <v>12</v>
      </c>
      <c r="D1509" s="129" t="s">
        <v>16049</v>
      </c>
    </row>
    <row r="1510" spans="1:4">
      <c r="A1510" s="105">
        <v>91088</v>
      </c>
      <c r="B1510" s="104" t="s">
        <v>1771</v>
      </c>
      <c r="C1510" s="104" t="s">
        <v>12</v>
      </c>
      <c r="D1510" s="129" t="s">
        <v>16050</v>
      </c>
    </row>
    <row r="1511" spans="1:4">
      <c r="A1511" s="105">
        <v>91089</v>
      </c>
      <c r="B1511" s="104" t="s">
        <v>1772</v>
      </c>
      <c r="C1511" s="104" t="s">
        <v>12</v>
      </c>
      <c r="D1511" s="129" t="s">
        <v>16051</v>
      </c>
    </row>
    <row r="1512" spans="1:4">
      <c r="A1512" s="105">
        <v>91090</v>
      </c>
      <c r="B1512" s="104" t="s">
        <v>1773</v>
      </c>
      <c r="C1512" s="104" t="s">
        <v>12</v>
      </c>
      <c r="D1512" s="129" t="s">
        <v>16052</v>
      </c>
    </row>
    <row r="1513" spans="1:4">
      <c r="A1513" s="105">
        <v>91091</v>
      </c>
      <c r="B1513" s="104" t="s">
        <v>1774</v>
      </c>
      <c r="C1513" s="104" t="s">
        <v>12</v>
      </c>
      <c r="D1513" s="129" t="s">
        <v>16053</v>
      </c>
    </row>
    <row r="1514" spans="1:4">
      <c r="A1514" s="105">
        <v>91092</v>
      </c>
      <c r="B1514" s="104" t="s">
        <v>1775</v>
      </c>
      <c r="C1514" s="104" t="s">
        <v>12</v>
      </c>
      <c r="D1514" s="129" t="s">
        <v>16054</v>
      </c>
    </row>
    <row r="1515" spans="1:4">
      <c r="A1515" s="105">
        <v>91093</v>
      </c>
      <c r="B1515" s="104" t="s">
        <v>1776</v>
      </c>
      <c r="C1515" s="104" t="s">
        <v>12</v>
      </c>
      <c r="D1515" s="129" t="s">
        <v>16055</v>
      </c>
    </row>
    <row r="1516" spans="1:4">
      <c r="A1516" s="105">
        <v>91094</v>
      </c>
      <c r="B1516" s="104" t="s">
        <v>1777</v>
      </c>
      <c r="C1516" s="104" t="s">
        <v>12</v>
      </c>
      <c r="D1516" s="129" t="s">
        <v>16056</v>
      </c>
    </row>
    <row r="1517" spans="1:4">
      <c r="A1517" s="105">
        <v>91095</v>
      </c>
      <c r="B1517" s="104" t="s">
        <v>1778</v>
      </c>
      <c r="C1517" s="104" t="s">
        <v>12</v>
      </c>
      <c r="D1517" s="129" t="s">
        <v>16057</v>
      </c>
    </row>
    <row r="1518" spans="1:4">
      <c r="A1518" s="105">
        <v>91096</v>
      </c>
      <c r="B1518" s="104" t="s">
        <v>1779</v>
      </c>
      <c r="C1518" s="104" t="s">
        <v>12</v>
      </c>
      <c r="D1518" s="129" t="s">
        <v>16058</v>
      </c>
    </row>
    <row r="1519" spans="1:4">
      <c r="A1519" s="105">
        <v>91097</v>
      </c>
      <c r="B1519" s="104" t="s">
        <v>1780</v>
      </c>
      <c r="C1519" s="104" t="s">
        <v>12</v>
      </c>
      <c r="D1519" s="129" t="s">
        <v>16059</v>
      </c>
    </row>
    <row r="1520" spans="1:4">
      <c r="A1520" s="105">
        <v>91098</v>
      </c>
      <c r="B1520" s="104" t="s">
        <v>1781</v>
      </c>
      <c r="C1520" s="104" t="s">
        <v>12</v>
      </c>
      <c r="D1520" s="129" t="s">
        <v>16060</v>
      </c>
    </row>
    <row r="1521" spans="1:4">
      <c r="A1521" s="105">
        <v>91099</v>
      </c>
      <c r="B1521" s="104" t="s">
        <v>1782</v>
      </c>
      <c r="C1521" s="104" t="s">
        <v>12</v>
      </c>
      <c r="D1521" s="129" t="s">
        <v>16061</v>
      </c>
    </row>
    <row r="1522" spans="1:4">
      <c r="A1522" s="105">
        <v>91100</v>
      </c>
      <c r="B1522" s="104" t="s">
        <v>1783</v>
      </c>
      <c r="C1522" s="104" t="s">
        <v>12</v>
      </c>
      <c r="D1522" s="129" t="s">
        <v>16062</v>
      </c>
    </row>
    <row r="1523" spans="1:4">
      <c r="A1523" s="105">
        <v>91101</v>
      </c>
      <c r="B1523" s="104" t="s">
        <v>1784</v>
      </c>
      <c r="C1523" s="104" t="s">
        <v>12</v>
      </c>
      <c r="D1523" s="129" t="s">
        <v>16063</v>
      </c>
    </row>
    <row r="1524" spans="1:4">
      <c r="A1524" s="105">
        <v>93952</v>
      </c>
      <c r="B1524" s="104" t="s">
        <v>1785</v>
      </c>
      <c r="C1524" s="104" t="s">
        <v>40</v>
      </c>
      <c r="D1524" s="129" t="s">
        <v>16064</v>
      </c>
    </row>
    <row r="1525" spans="1:4">
      <c r="A1525" s="105">
        <v>93953</v>
      </c>
      <c r="B1525" s="104" t="s">
        <v>1786</v>
      </c>
      <c r="C1525" s="104" t="s">
        <v>40</v>
      </c>
      <c r="D1525" s="129" t="s">
        <v>16065</v>
      </c>
    </row>
    <row r="1526" spans="1:4">
      <c r="A1526" s="105">
        <v>93954</v>
      </c>
      <c r="B1526" s="104" t="s">
        <v>1787</v>
      </c>
      <c r="C1526" s="104" t="s">
        <v>40</v>
      </c>
      <c r="D1526" s="129" t="s">
        <v>16066</v>
      </c>
    </row>
    <row r="1527" spans="1:4">
      <c r="A1527" s="105">
        <v>93955</v>
      </c>
      <c r="B1527" s="104" t="s">
        <v>1788</v>
      </c>
      <c r="C1527" s="104" t="s">
        <v>40</v>
      </c>
      <c r="D1527" s="129" t="s">
        <v>16067</v>
      </c>
    </row>
    <row r="1528" spans="1:4">
      <c r="A1528" s="105">
        <v>93956</v>
      </c>
      <c r="B1528" s="104" t="s">
        <v>1789</v>
      </c>
      <c r="C1528" s="104" t="s">
        <v>40</v>
      </c>
      <c r="D1528" s="129" t="s">
        <v>15121</v>
      </c>
    </row>
    <row r="1529" spans="1:4">
      <c r="A1529" s="105">
        <v>93957</v>
      </c>
      <c r="B1529" s="104" t="s">
        <v>1790</v>
      </c>
      <c r="C1529" s="104" t="s">
        <v>40</v>
      </c>
      <c r="D1529" s="129" t="s">
        <v>16068</v>
      </c>
    </row>
    <row r="1530" spans="1:4">
      <c r="A1530" s="105">
        <v>93958</v>
      </c>
      <c r="B1530" s="104" t="s">
        <v>1791</v>
      </c>
      <c r="C1530" s="104" t="s">
        <v>40</v>
      </c>
      <c r="D1530" s="129" t="s">
        <v>16069</v>
      </c>
    </row>
    <row r="1531" spans="1:4">
      <c r="A1531" s="105">
        <v>93959</v>
      </c>
      <c r="B1531" s="104" t="s">
        <v>1792</v>
      </c>
      <c r="C1531" s="104" t="s">
        <v>40</v>
      </c>
      <c r="D1531" s="129" t="s">
        <v>16070</v>
      </c>
    </row>
    <row r="1532" spans="1:4">
      <c r="A1532" s="105">
        <v>93960</v>
      </c>
      <c r="B1532" s="104" t="s">
        <v>1793</v>
      </c>
      <c r="C1532" s="104" t="s">
        <v>40</v>
      </c>
      <c r="D1532" s="129" t="s">
        <v>16071</v>
      </c>
    </row>
    <row r="1533" spans="1:4">
      <c r="A1533" s="105">
        <v>93961</v>
      </c>
      <c r="B1533" s="104" t="s">
        <v>1794</v>
      </c>
      <c r="C1533" s="104" t="s">
        <v>40</v>
      </c>
      <c r="D1533" s="129" t="s">
        <v>15181</v>
      </c>
    </row>
    <row r="1534" spans="1:4">
      <c r="A1534" s="105">
        <v>93962</v>
      </c>
      <c r="B1534" s="104" t="s">
        <v>1795</v>
      </c>
      <c r="C1534" s="104" t="s">
        <v>40</v>
      </c>
      <c r="D1534" s="129" t="s">
        <v>16072</v>
      </c>
    </row>
    <row r="1535" spans="1:4">
      <c r="A1535" s="105">
        <v>93963</v>
      </c>
      <c r="B1535" s="104" t="s">
        <v>1796</v>
      </c>
      <c r="C1535" s="104" t="s">
        <v>40</v>
      </c>
      <c r="D1535" s="129" t="s">
        <v>16073</v>
      </c>
    </row>
    <row r="1536" spans="1:4">
      <c r="A1536" s="105">
        <v>93964</v>
      </c>
      <c r="B1536" s="104" t="s">
        <v>1797</v>
      </c>
      <c r="C1536" s="104" t="s">
        <v>40</v>
      </c>
      <c r="D1536" s="129" t="s">
        <v>16074</v>
      </c>
    </row>
    <row r="1537" spans="1:4">
      <c r="A1537" s="105">
        <v>93965</v>
      </c>
      <c r="B1537" s="104" t="s">
        <v>1798</v>
      </c>
      <c r="C1537" s="104" t="s">
        <v>40</v>
      </c>
      <c r="D1537" s="129" t="s">
        <v>16075</v>
      </c>
    </row>
    <row r="1538" spans="1:4">
      <c r="A1538" s="105">
        <v>93966</v>
      </c>
      <c r="B1538" s="104" t="s">
        <v>1799</v>
      </c>
      <c r="C1538" s="104" t="s">
        <v>40</v>
      </c>
      <c r="D1538" s="129" t="s">
        <v>16076</v>
      </c>
    </row>
    <row r="1539" spans="1:4">
      <c r="A1539" s="105">
        <v>93967</v>
      </c>
      <c r="B1539" s="104" t="s">
        <v>1800</v>
      </c>
      <c r="C1539" s="104" t="s">
        <v>40</v>
      </c>
      <c r="D1539" s="129" t="s">
        <v>16077</v>
      </c>
    </row>
    <row r="1540" spans="1:4">
      <c r="A1540" s="105">
        <v>93968</v>
      </c>
      <c r="B1540" s="104" t="s">
        <v>1801</v>
      </c>
      <c r="C1540" s="104" t="s">
        <v>40</v>
      </c>
      <c r="D1540" s="129" t="s">
        <v>16078</v>
      </c>
    </row>
    <row r="1541" spans="1:4">
      <c r="A1541" s="105">
        <v>93969</v>
      </c>
      <c r="B1541" s="104" t="s">
        <v>1802</v>
      </c>
      <c r="C1541" s="104" t="s">
        <v>40</v>
      </c>
      <c r="D1541" s="129" t="s">
        <v>16079</v>
      </c>
    </row>
    <row r="1542" spans="1:4">
      <c r="A1542" s="105">
        <v>93970</v>
      </c>
      <c r="B1542" s="104" t="s">
        <v>1803</v>
      </c>
      <c r="C1542" s="104" t="s">
        <v>40</v>
      </c>
      <c r="D1542" s="129" t="s">
        <v>16080</v>
      </c>
    </row>
    <row r="1543" spans="1:4">
      <c r="A1543" s="105">
        <v>93971</v>
      </c>
      <c r="B1543" s="104" t="s">
        <v>1804</v>
      </c>
      <c r="C1543" s="104" t="s">
        <v>40</v>
      </c>
      <c r="D1543" s="129" t="s">
        <v>16081</v>
      </c>
    </row>
    <row r="1544" spans="1:4">
      <c r="A1544" s="105">
        <v>95108</v>
      </c>
      <c r="B1544" s="104" t="s">
        <v>1805</v>
      </c>
      <c r="C1544" s="104" t="s">
        <v>183</v>
      </c>
      <c r="D1544" s="129" t="s">
        <v>16082</v>
      </c>
    </row>
    <row r="1545" spans="1:4">
      <c r="A1545" s="105">
        <v>100332</v>
      </c>
      <c r="B1545" s="104" t="s">
        <v>1806</v>
      </c>
      <c r="C1545" s="104" t="s">
        <v>12</v>
      </c>
      <c r="D1545" s="129" t="s">
        <v>16083</v>
      </c>
    </row>
    <row r="1546" spans="1:4">
      <c r="A1546" s="105">
        <v>100333</v>
      </c>
      <c r="B1546" s="104" t="s">
        <v>1807</v>
      </c>
      <c r="C1546" s="104" t="s">
        <v>12</v>
      </c>
      <c r="D1546" s="129" t="s">
        <v>16084</v>
      </c>
    </row>
    <row r="1547" spans="1:4">
      <c r="A1547" s="105">
        <v>100334</v>
      </c>
      <c r="B1547" s="104" t="s">
        <v>1808</v>
      </c>
      <c r="C1547" s="104" t="s">
        <v>12</v>
      </c>
      <c r="D1547" s="129" t="s">
        <v>16085</v>
      </c>
    </row>
    <row r="1548" spans="1:4">
      <c r="A1548" s="105">
        <v>100335</v>
      </c>
      <c r="B1548" s="104" t="s">
        <v>1809</v>
      </c>
      <c r="C1548" s="104" t="s">
        <v>12</v>
      </c>
      <c r="D1548" s="129" t="s">
        <v>16086</v>
      </c>
    </row>
    <row r="1549" spans="1:4">
      <c r="A1549" s="105">
        <v>100341</v>
      </c>
      <c r="B1549" s="104" t="s">
        <v>1810</v>
      </c>
      <c r="C1549" s="104" t="s">
        <v>12</v>
      </c>
      <c r="D1549" s="129" t="s">
        <v>16087</v>
      </c>
    </row>
    <row r="1550" spans="1:4">
      <c r="A1550" s="105">
        <v>100342</v>
      </c>
      <c r="B1550" s="104" t="s">
        <v>1811</v>
      </c>
      <c r="C1550" s="104" t="s">
        <v>41</v>
      </c>
      <c r="D1550" s="129" t="s">
        <v>16088</v>
      </c>
    </row>
    <row r="1551" spans="1:4">
      <c r="A1551" s="105">
        <v>100343</v>
      </c>
      <c r="B1551" s="104" t="s">
        <v>1812</v>
      </c>
      <c r="C1551" s="104" t="s">
        <v>41</v>
      </c>
      <c r="D1551" s="129" t="s">
        <v>16089</v>
      </c>
    </row>
    <row r="1552" spans="1:4">
      <c r="A1552" s="105">
        <v>100344</v>
      </c>
      <c r="B1552" s="104" t="s">
        <v>1813</v>
      </c>
      <c r="C1552" s="104" t="s">
        <v>41</v>
      </c>
      <c r="D1552" s="129" t="s">
        <v>15880</v>
      </c>
    </row>
    <row r="1553" spans="1:4">
      <c r="A1553" s="105">
        <v>100345</v>
      </c>
      <c r="B1553" s="104" t="s">
        <v>1814</v>
      </c>
      <c r="C1553" s="104" t="s">
        <v>41</v>
      </c>
      <c r="D1553" s="129" t="s">
        <v>15185</v>
      </c>
    </row>
    <row r="1554" spans="1:4">
      <c r="A1554" s="105">
        <v>100346</v>
      </c>
      <c r="B1554" s="104" t="s">
        <v>1815</v>
      </c>
      <c r="C1554" s="104" t="s">
        <v>41</v>
      </c>
      <c r="D1554" s="129" t="s">
        <v>14761</v>
      </c>
    </row>
    <row r="1555" spans="1:4">
      <c r="A1555" s="105">
        <v>100347</v>
      </c>
      <c r="B1555" s="104" t="s">
        <v>1816</v>
      </c>
      <c r="C1555" s="104" t="s">
        <v>41</v>
      </c>
      <c r="D1555" s="129" t="s">
        <v>16090</v>
      </c>
    </row>
    <row r="1556" spans="1:4">
      <c r="A1556" s="105">
        <v>100348</v>
      </c>
      <c r="B1556" s="104" t="s">
        <v>1817</v>
      </c>
      <c r="C1556" s="104" t="s">
        <v>41</v>
      </c>
      <c r="D1556" s="129" t="s">
        <v>16091</v>
      </c>
    </row>
    <row r="1557" spans="1:4">
      <c r="A1557" s="105">
        <v>100349</v>
      </c>
      <c r="B1557" s="104" t="s">
        <v>1818</v>
      </c>
      <c r="C1557" s="104" t="s">
        <v>28</v>
      </c>
      <c r="D1557" s="129" t="s">
        <v>16092</v>
      </c>
    </row>
    <row r="1558" spans="1:4">
      <c r="A1558" s="105">
        <v>102989</v>
      </c>
      <c r="B1558" s="104" t="s">
        <v>1819</v>
      </c>
      <c r="C1558" s="104" t="s">
        <v>40</v>
      </c>
      <c r="D1558" s="129" t="s">
        <v>16093</v>
      </c>
    </row>
    <row r="1559" spans="1:4">
      <c r="A1559" s="105">
        <v>102990</v>
      </c>
      <c r="B1559" s="104" t="s">
        <v>1820</v>
      </c>
      <c r="C1559" s="104" t="s">
        <v>40</v>
      </c>
      <c r="D1559" s="129" t="s">
        <v>16094</v>
      </c>
    </row>
    <row r="1560" spans="1:4">
      <c r="A1560" s="105">
        <v>102991</v>
      </c>
      <c r="B1560" s="104" t="s">
        <v>1821</v>
      </c>
      <c r="C1560" s="104" t="s">
        <v>40</v>
      </c>
      <c r="D1560" s="129" t="s">
        <v>16095</v>
      </c>
    </row>
    <row r="1561" spans="1:4">
      <c r="A1561" s="105">
        <v>102992</v>
      </c>
      <c r="B1561" s="104" t="s">
        <v>1822</v>
      </c>
      <c r="C1561" s="104" t="s">
        <v>40</v>
      </c>
      <c r="D1561" s="129" t="s">
        <v>16096</v>
      </c>
    </row>
    <row r="1562" spans="1:4">
      <c r="A1562" s="105">
        <v>102993</v>
      </c>
      <c r="B1562" s="104" t="s">
        <v>1823</v>
      </c>
      <c r="C1562" s="104" t="s">
        <v>40</v>
      </c>
      <c r="D1562" s="129" t="s">
        <v>16097</v>
      </c>
    </row>
    <row r="1563" spans="1:4">
      <c r="A1563" s="105">
        <v>102994</v>
      </c>
      <c r="B1563" s="104" t="s">
        <v>1824</v>
      </c>
      <c r="C1563" s="104" t="s">
        <v>40</v>
      </c>
      <c r="D1563" s="129" t="s">
        <v>16098</v>
      </c>
    </row>
    <row r="1564" spans="1:4">
      <c r="A1564" s="105">
        <v>102995</v>
      </c>
      <c r="B1564" s="104" t="s">
        <v>1825</v>
      </c>
      <c r="C1564" s="104" t="s">
        <v>40</v>
      </c>
      <c r="D1564" s="129" t="s">
        <v>16099</v>
      </c>
    </row>
    <row r="1565" spans="1:4">
      <c r="A1565" s="105">
        <v>102996</v>
      </c>
      <c r="B1565" s="104" t="s">
        <v>1826</v>
      </c>
      <c r="C1565" s="104" t="s">
        <v>40</v>
      </c>
      <c r="D1565" s="129" t="s">
        <v>16100</v>
      </c>
    </row>
    <row r="1566" spans="1:4">
      <c r="A1566" s="105">
        <v>102997</v>
      </c>
      <c r="B1566" s="104" t="s">
        <v>1827</v>
      </c>
      <c r="C1566" s="104" t="s">
        <v>40</v>
      </c>
      <c r="D1566" s="129" t="s">
        <v>16101</v>
      </c>
    </row>
    <row r="1567" spans="1:4">
      <c r="A1567" s="105">
        <v>102998</v>
      </c>
      <c r="B1567" s="104" t="s">
        <v>1828</v>
      </c>
      <c r="C1567" s="104" t="s">
        <v>40</v>
      </c>
      <c r="D1567" s="129" t="s">
        <v>16102</v>
      </c>
    </row>
    <row r="1568" spans="1:4">
      <c r="A1568" s="105">
        <v>102999</v>
      </c>
      <c r="B1568" s="104" t="s">
        <v>1829</v>
      </c>
      <c r="C1568" s="104" t="s">
        <v>40</v>
      </c>
      <c r="D1568" s="129" t="s">
        <v>16103</v>
      </c>
    </row>
    <row r="1569" spans="1:4">
      <c r="A1569" s="105">
        <v>103000</v>
      </c>
      <c r="B1569" s="104" t="s">
        <v>1830</v>
      </c>
      <c r="C1569" s="104" t="s">
        <v>40</v>
      </c>
      <c r="D1569" s="129" t="s">
        <v>16104</v>
      </c>
    </row>
    <row r="1570" spans="1:4">
      <c r="A1570" s="105">
        <v>103001</v>
      </c>
      <c r="B1570" s="104" t="s">
        <v>1831</v>
      </c>
      <c r="C1570" s="104" t="s">
        <v>183</v>
      </c>
      <c r="D1570" s="129" t="s">
        <v>16105</v>
      </c>
    </row>
    <row r="1571" spans="1:4">
      <c r="A1571" s="105">
        <v>103002</v>
      </c>
      <c r="B1571" s="104" t="s">
        <v>1832</v>
      </c>
      <c r="C1571" s="104" t="s">
        <v>183</v>
      </c>
      <c r="D1571" s="129" t="s">
        <v>16106</v>
      </c>
    </row>
    <row r="1572" spans="1:4">
      <c r="A1572" s="105">
        <v>103003</v>
      </c>
      <c r="B1572" s="104" t="s">
        <v>1833</v>
      </c>
      <c r="C1572" s="104" t="s">
        <v>183</v>
      </c>
      <c r="D1572" s="129" t="s">
        <v>16107</v>
      </c>
    </row>
    <row r="1573" spans="1:4">
      <c r="A1573" s="105">
        <v>103005</v>
      </c>
      <c r="B1573" s="104" t="s">
        <v>1834</v>
      </c>
      <c r="C1573" s="104" t="s">
        <v>183</v>
      </c>
      <c r="D1573" s="129" t="s">
        <v>16108</v>
      </c>
    </row>
    <row r="1574" spans="1:4">
      <c r="A1574" s="105">
        <v>103006</v>
      </c>
      <c r="B1574" s="104" t="s">
        <v>1835</v>
      </c>
      <c r="C1574" s="104" t="s">
        <v>183</v>
      </c>
      <c r="D1574" s="129" t="s">
        <v>16109</v>
      </c>
    </row>
    <row r="1575" spans="1:4">
      <c r="A1575" s="105">
        <v>103007</v>
      </c>
      <c r="B1575" s="104" t="s">
        <v>1836</v>
      </c>
      <c r="C1575" s="104" t="s">
        <v>183</v>
      </c>
      <c r="D1575" s="129" t="s">
        <v>16110</v>
      </c>
    </row>
    <row r="1576" spans="1:4">
      <c r="A1576" s="105">
        <v>97933</v>
      </c>
      <c r="B1576" s="104" t="s">
        <v>1837</v>
      </c>
      <c r="C1576" s="104" t="s">
        <v>183</v>
      </c>
      <c r="D1576" s="129" t="s">
        <v>16111</v>
      </c>
    </row>
    <row r="1577" spans="1:4">
      <c r="A1577" s="105">
        <v>97934</v>
      </c>
      <c r="B1577" s="104" t="s">
        <v>1838</v>
      </c>
      <c r="C1577" s="104" t="s">
        <v>183</v>
      </c>
      <c r="D1577" s="129" t="s">
        <v>16112</v>
      </c>
    </row>
    <row r="1578" spans="1:4">
      <c r="A1578" s="105">
        <v>97935</v>
      </c>
      <c r="B1578" s="104" t="s">
        <v>1839</v>
      </c>
      <c r="C1578" s="104" t="s">
        <v>183</v>
      </c>
      <c r="D1578" s="129" t="s">
        <v>16113</v>
      </c>
    </row>
    <row r="1579" spans="1:4">
      <c r="A1579" s="105">
        <v>97936</v>
      </c>
      <c r="B1579" s="104" t="s">
        <v>1840</v>
      </c>
      <c r="C1579" s="104" t="s">
        <v>183</v>
      </c>
      <c r="D1579" s="129" t="s">
        <v>16114</v>
      </c>
    </row>
    <row r="1580" spans="1:4">
      <c r="A1580" s="105">
        <v>97947</v>
      </c>
      <c r="B1580" s="104" t="s">
        <v>1841</v>
      </c>
      <c r="C1580" s="104" t="s">
        <v>183</v>
      </c>
      <c r="D1580" s="129" t="s">
        <v>16115</v>
      </c>
    </row>
    <row r="1581" spans="1:4">
      <c r="A1581" s="105">
        <v>97948</v>
      </c>
      <c r="B1581" s="104" t="s">
        <v>1842</v>
      </c>
      <c r="C1581" s="104" t="s">
        <v>183</v>
      </c>
      <c r="D1581" s="129" t="s">
        <v>16116</v>
      </c>
    </row>
    <row r="1582" spans="1:4">
      <c r="A1582" s="105">
        <v>97949</v>
      </c>
      <c r="B1582" s="104" t="s">
        <v>1843</v>
      </c>
      <c r="C1582" s="104" t="s">
        <v>183</v>
      </c>
      <c r="D1582" s="129" t="s">
        <v>16117</v>
      </c>
    </row>
    <row r="1583" spans="1:4">
      <c r="A1583" s="105">
        <v>97950</v>
      </c>
      <c r="B1583" s="104" t="s">
        <v>1844</v>
      </c>
      <c r="C1583" s="104" t="s">
        <v>183</v>
      </c>
      <c r="D1583" s="129" t="s">
        <v>16118</v>
      </c>
    </row>
    <row r="1584" spans="1:4">
      <c r="A1584" s="105">
        <v>97951</v>
      </c>
      <c r="B1584" s="104" t="s">
        <v>1845</v>
      </c>
      <c r="C1584" s="104" t="s">
        <v>183</v>
      </c>
      <c r="D1584" s="129" t="s">
        <v>16119</v>
      </c>
    </row>
    <row r="1585" spans="1:4">
      <c r="A1585" s="105">
        <v>97952</v>
      </c>
      <c r="B1585" s="104" t="s">
        <v>1846</v>
      </c>
      <c r="C1585" s="104" t="s">
        <v>183</v>
      </c>
      <c r="D1585" s="129" t="s">
        <v>16120</v>
      </c>
    </row>
    <row r="1586" spans="1:4">
      <c r="A1586" s="105">
        <v>97953</v>
      </c>
      <c r="B1586" s="104" t="s">
        <v>1847</v>
      </c>
      <c r="C1586" s="104" t="s">
        <v>183</v>
      </c>
      <c r="D1586" s="129" t="s">
        <v>16121</v>
      </c>
    </row>
    <row r="1587" spans="1:4">
      <c r="A1587" s="105">
        <v>97955</v>
      </c>
      <c r="B1587" s="104" t="s">
        <v>1848</v>
      </c>
      <c r="C1587" s="104" t="s">
        <v>183</v>
      </c>
      <c r="D1587" s="129" t="s">
        <v>16122</v>
      </c>
    </row>
    <row r="1588" spans="1:4">
      <c r="A1588" s="105">
        <v>97956</v>
      </c>
      <c r="B1588" s="104" t="s">
        <v>1849</v>
      </c>
      <c r="C1588" s="104" t="s">
        <v>183</v>
      </c>
      <c r="D1588" s="129" t="s">
        <v>16123</v>
      </c>
    </row>
    <row r="1589" spans="1:4">
      <c r="A1589" s="105">
        <v>97957</v>
      </c>
      <c r="B1589" s="104" t="s">
        <v>1850</v>
      </c>
      <c r="C1589" s="104" t="s">
        <v>183</v>
      </c>
      <c r="D1589" s="129" t="s">
        <v>16124</v>
      </c>
    </row>
    <row r="1590" spans="1:4">
      <c r="A1590" s="105">
        <v>97961</v>
      </c>
      <c r="B1590" s="104" t="s">
        <v>1851</v>
      </c>
      <c r="C1590" s="104" t="s">
        <v>183</v>
      </c>
      <c r="D1590" s="129" t="s">
        <v>16125</v>
      </c>
    </row>
    <row r="1591" spans="1:4">
      <c r="A1591" s="105">
        <v>97973</v>
      </c>
      <c r="B1591" s="104" t="s">
        <v>1852</v>
      </c>
      <c r="C1591" s="104" t="s">
        <v>183</v>
      </c>
      <c r="D1591" s="129" t="s">
        <v>16126</v>
      </c>
    </row>
    <row r="1592" spans="1:4">
      <c r="A1592" s="105">
        <v>97974</v>
      </c>
      <c r="B1592" s="104" t="s">
        <v>1853</v>
      </c>
      <c r="C1592" s="104" t="s">
        <v>183</v>
      </c>
      <c r="D1592" s="129" t="s">
        <v>16127</v>
      </c>
    </row>
    <row r="1593" spans="1:4">
      <c r="A1593" s="105">
        <v>97975</v>
      </c>
      <c r="B1593" s="104" t="s">
        <v>1854</v>
      </c>
      <c r="C1593" s="104" t="s">
        <v>183</v>
      </c>
      <c r="D1593" s="129" t="s">
        <v>16128</v>
      </c>
    </row>
    <row r="1594" spans="1:4">
      <c r="A1594" s="105">
        <v>97976</v>
      </c>
      <c r="B1594" s="104" t="s">
        <v>1855</v>
      </c>
      <c r="C1594" s="104" t="s">
        <v>183</v>
      </c>
      <c r="D1594" s="129" t="s">
        <v>16129</v>
      </c>
    </row>
    <row r="1595" spans="1:4">
      <c r="A1595" s="105">
        <v>97977</v>
      </c>
      <c r="B1595" s="104" t="s">
        <v>1856</v>
      </c>
      <c r="C1595" s="104" t="s">
        <v>183</v>
      </c>
      <c r="D1595" s="129" t="s">
        <v>16130</v>
      </c>
    </row>
    <row r="1596" spans="1:4">
      <c r="A1596" s="105">
        <v>97978</v>
      </c>
      <c r="B1596" s="104" t="s">
        <v>1857</v>
      </c>
      <c r="C1596" s="104" t="s">
        <v>183</v>
      </c>
      <c r="D1596" s="129" t="s">
        <v>16131</v>
      </c>
    </row>
    <row r="1597" spans="1:4">
      <c r="A1597" s="105">
        <v>97980</v>
      </c>
      <c r="B1597" s="104" t="s">
        <v>1858</v>
      </c>
      <c r="C1597" s="104" t="s">
        <v>183</v>
      </c>
      <c r="D1597" s="129" t="s">
        <v>16132</v>
      </c>
    </row>
    <row r="1598" spans="1:4">
      <c r="A1598" s="105">
        <v>97981</v>
      </c>
      <c r="B1598" s="104" t="s">
        <v>1859</v>
      </c>
      <c r="C1598" s="104" t="s">
        <v>40</v>
      </c>
      <c r="D1598" s="129" t="s">
        <v>16133</v>
      </c>
    </row>
    <row r="1599" spans="1:4">
      <c r="A1599" s="105">
        <v>97983</v>
      </c>
      <c r="B1599" s="104" t="s">
        <v>1860</v>
      </c>
      <c r="C1599" s="104" t="s">
        <v>40</v>
      </c>
      <c r="D1599" s="129" t="s">
        <v>16134</v>
      </c>
    </row>
    <row r="1600" spans="1:4">
      <c r="A1600" s="105">
        <v>97985</v>
      </c>
      <c r="B1600" s="104" t="s">
        <v>1861</v>
      </c>
      <c r="C1600" s="104" t="s">
        <v>40</v>
      </c>
      <c r="D1600" s="129" t="s">
        <v>16135</v>
      </c>
    </row>
    <row r="1601" spans="1:4">
      <c r="A1601" s="105">
        <v>97987</v>
      </c>
      <c r="B1601" s="104" t="s">
        <v>1862</v>
      </c>
      <c r="C1601" s="104" t="s">
        <v>40</v>
      </c>
      <c r="D1601" s="129" t="s">
        <v>16136</v>
      </c>
    </row>
    <row r="1602" spans="1:4">
      <c r="A1602" s="105">
        <v>97988</v>
      </c>
      <c r="B1602" s="104" t="s">
        <v>1863</v>
      </c>
      <c r="C1602" s="104" t="s">
        <v>183</v>
      </c>
      <c r="D1602" s="129" t="s">
        <v>16137</v>
      </c>
    </row>
    <row r="1603" spans="1:4">
      <c r="A1603" s="105">
        <v>97989</v>
      </c>
      <c r="B1603" s="104" t="s">
        <v>1864</v>
      </c>
      <c r="C1603" s="104" t="s">
        <v>40</v>
      </c>
      <c r="D1603" s="129" t="s">
        <v>16138</v>
      </c>
    </row>
    <row r="1604" spans="1:4">
      <c r="A1604" s="105">
        <v>97991</v>
      </c>
      <c r="B1604" s="104" t="s">
        <v>1865</v>
      </c>
      <c r="C1604" s="104" t="s">
        <v>40</v>
      </c>
      <c r="D1604" s="129" t="s">
        <v>16139</v>
      </c>
    </row>
    <row r="1605" spans="1:4">
      <c r="A1605" s="105">
        <v>97992</v>
      </c>
      <c r="B1605" s="104" t="s">
        <v>1866</v>
      </c>
      <c r="C1605" s="104" t="s">
        <v>183</v>
      </c>
      <c r="D1605" s="129" t="s">
        <v>16140</v>
      </c>
    </row>
    <row r="1606" spans="1:4">
      <c r="A1606" s="105">
        <v>97993</v>
      </c>
      <c r="B1606" s="104" t="s">
        <v>1867</v>
      </c>
      <c r="C1606" s="104" t="s">
        <v>40</v>
      </c>
      <c r="D1606" s="129" t="s">
        <v>16141</v>
      </c>
    </row>
    <row r="1607" spans="1:4">
      <c r="A1607" s="105">
        <v>97994</v>
      </c>
      <c r="B1607" s="104" t="s">
        <v>1868</v>
      </c>
      <c r="C1607" s="104" t="s">
        <v>183</v>
      </c>
      <c r="D1607" s="129" t="s">
        <v>16142</v>
      </c>
    </row>
    <row r="1608" spans="1:4">
      <c r="A1608" s="105">
        <v>97995</v>
      </c>
      <c r="B1608" s="104" t="s">
        <v>1869</v>
      </c>
      <c r="C1608" s="104" t="s">
        <v>40</v>
      </c>
      <c r="D1608" s="129" t="s">
        <v>16143</v>
      </c>
    </row>
    <row r="1609" spans="1:4">
      <c r="A1609" s="105">
        <v>97996</v>
      </c>
      <c r="B1609" s="104" t="s">
        <v>1870</v>
      </c>
      <c r="C1609" s="104" t="s">
        <v>183</v>
      </c>
      <c r="D1609" s="129" t="s">
        <v>16144</v>
      </c>
    </row>
    <row r="1610" spans="1:4">
      <c r="A1610" s="105">
        <v>97997</v>
      </c>
      <c r="B1610" s="104" t="s">
        <v>1871</v>
      </c>
      <c r="C1610" s="104" t="s">
        <v>40</v>
      </c>
      <c r="D1610" s="129" t="s">
        <v>16145</v>
      </c>
    </row>
    <row r="1611" spans="1:4">
      <c r="A1611" s="105">
        <v>97999</v>
      </c>
      <c r="B1611" s="104" t="s">
        <v>1872</v>
      </c>
      <c r="C1611" s="104" t="s">
        <v>40</v>
      </c>
      <c r="D1611" s="129" t="s">
        <v>16146</v>
      </c>
    </row>
    <row r="1612" spans="1:4">
      <c r="A1612" s="105">
        <v>98001</v>
      </c>
      <c r="B1612" s="104" t="s">
        <v>1873</v>
      </c>
      <c r="C1612" s="104" t="s">
        <v>40</v>
      </c>
      <c r="D1612" s="129" t="s">
        <v>16147</v>
      </c>
    </row>
    <row r="1613" spans="1:4">
      <c r="A1613" s="105">
        <v>98002</v>
      </c>
      <c r="B1613" s="104" t="s">
        <v>1874</v>
      </c>
      <c r="C1613" s="104" t="s">
        <v>183</v>
      </c>
      <c r="D1613" s="129" t="s">
        <v>16148</v>
      </c>
    </row>
    <row r="1614" spans="1:4">
      <c r="A1614" s="105">
        <v>98003</v>
      </c>
      <c r="B1614" s="104" t="s">
        <v>1875</v>
      </c>
      <c r="C1614" s="104" t="s">
        <v>40</v>
      </c>
      <c r="D1614" s="129" t="s">
        <v>16149</v>
      </c>
    </row>
    <row r="1615" spans="1:4">
      <c r="A1615" s="105">
        <v>98005</v>
      </c>
      <c r="B1615" s="104" t="s">
        <v>1876</v>
      </c>
      <c r="C1615" s="104" t="s">
        <v>40</v>
      </c>
      <c r="D1615" s="129" t="s">
        <v>16150</v>
      </c>
    </row>
    <row r="1616" spans="1:4">
      <c r="A1616" s="105">
        <v>98006</v>
      </c>
      <c r="B1616" s="104" t="s">
        <v>1877</v>
      </c>
      <c r="C1616" s="104" t="s">
        <v>183</v>
      </c>
      <c r="D1616" s="129" t="s">
        <v>16151</v>
      </c>
    </row>
    <row r="1617" spans="1:4">
      <c r="A1617" s="105">
        <v>98007</v>
      </c>
      <c r="B1617" s="104" t="s">
        <v>1878</v>
      </c>
      <c r="C1617" s="104" t="s">
        <v>40</v>
      </c>
      <c r="D1617" s="129" t="s">
        <v>16152</v>
      </c>
    </row>
    <row r="1618" spans="1:4">
      <c r="A1618" s="105">
        <v>98008</v>
      </c>
      <c r="B1618" s="104" t="s">
        <v>1879</v>
      </c>
      <c r="C1618" s="104" t="s">
        <v>183</v>
      </c>
      <c r="D1618" s="129" t="s">
        <v>16153</v>
      </c>
    </row>
    <row r="1619" spans="1:4">
      <c r="A1619" s="105">
        <v>98009</v>
      </c>
      <c r="B1619" s="104" t="s">
        <v>1880</v>
      </c>
      <c r="C1619" s="104" t="s">
        <v>40</v>
      </c>
      <c r="D1619" s="129" t="s">
        <v>16146</v>
      </c>
    </row>
    <row r="1620" spans="1:4">
      <c r="A1620" s="105">
        <v>98010</v>
      </c>
      <c r="B1620" s="104" t="s">
        <v>1881</v>
      </c>
      <c r="C1620" s="104" t="s">
        <v>183</v>
      </c>
      <c r="D1620" s="129" t="s">
        <v>16154</v>
      </c>
    </row>
    <row r="1621" spans="1:4">
      <c r="A1621" s="105">
        <v>98011</v>
      </c>
      <c r="B1621" s="104" t="s">
        <v>1882</v>
      </c>
      <c r="C1621" s="104" t="s">
        <v>40</v>
      </c>
      <c r="D1621" s="129" t="s">
        <v>16147</v>
      </c>
    </row>
    <row r="1622" spans="1:4">
      <c r="A1622" s="105">
        <v>98012</v>
      </c>
      <c r="B1622" s="104" t="s">
        <v>1883</v>
      </c>
      <c r="C1622" s="104" t="s">
        <v>183</v>
      </c>
      <c r="D1622" s="129" t="s">
        <v>16155</v>
      </c>
    </row>
    <row r="1623" spans="1:4">
      <c r="A1623" s="105">
        <v>98013</v>
      </c>
      <c r="B1623" s="104" t="s">
        <v>1884</v>
      </c>
      <c r="C1623" s="104" t="s">
        <v>40</v>
      </c>
      <c r="D1623" s="129" t="s">
        <v>16149</v>
      </c>
    </row>
    <row r="1624" spans="1:4">
      <c r="A1624" s="105">
        <v>98014</v>
      </c>
      <c r="B1624" s="104" t="s">
        <v>1885</v>
      </c>
      <c r="C1624" s="104" t="s">
        <v>183</v>
      </c>
      <c r="D1624" s="129" t="s">
        <v>16156</v>
      </c>
    </row>
    <row r="1625" spans="1:4">
      <c r="A1625" s="105">
        <v>98015</v>
      </c>
      <c r="B1625" s="104" t="s">
        <v>1886</v>
      </c>
      <c r="C1625" s="104" t="s">
        <v>40</v>
      </c>
      <c r="D1625" s="129" t="s">
        <v>16150</v>
      </c>
    </row>
    <row r="1626" spans="1:4">
      <c r="A1626" s="105">
        <v>98016</v>
      </c>
      <c r="B1626" s="104" t="s">
        <v>1887</v>
      </c>
      <c r="C1626" s="104" t="s">
        <v>183</v>
      </c>
      <c r="D1626" s="129" t="s">
        <v>16157</v>
      </c>
    </row>
    <row r="1627" spans="1:4">
      <c r="A1627" s="105">
        <v>98017</v>
      </c>
      <c r="B1627" s="104" t="s">
        <v>1888</v>
      </c>
      <c r="C1627" s="104" t="s">
        <v>40</v>
      </c>
      <c r="D1627" s="129" t="s">
        <v>16152</v>
      </c>
    </row>
    <row r="1628" spans="1:4">
      <c r="A1628" s="105">
        <v>98018</v>
      </c>
      <c r="B1628" s="104" t="s">
        <v>1889</v>
      </c>
      <c r="C1628" s="104" t="s">
        <v>183</v>
      </c>
      <c r="D1628" s="129" t="s">
        <v>16158</v>
      </c>
    </row>
    <row r="1629" spans="1:4">
      <c r="A1629" s="105">
        <v>98019</v>
      </c>
      <c r="B1629" s="104" t="s">
        <v>1890</v>
      </c>
      <c r="C1629" s="104" t="s">
        <v>40</v>
      </c>
      <c r="D1629" s="129" t="s">
        <v>16159</v>
      </c>
    </row>
    <row r="1630" spans="1:4">
      <c r="A1630" s="105">
        <v>98020</v>
      </c>
      <c r="B1630" s="104" t="s">
        <v>1891</v>
      </c>
      <c r="C1630" s="104" t="s">
        <v>183</v>
      </c>
      <c r="D1630" s="129" t="s">
        <v>16160</v>
      </c>
    </row>
    <row r="1631" spans="1:4">
      <c r="A1631" s="105">
        <v>98021</v>
      </c>
      <c r="B1631" s="104" t="s">
        <v>1892</v>
      </c>
      <c r="C1631" s="104" t="s">
        <v>40</v>
      </c>
      <c r="D1631" s="129" t="s">
        <v>16161</v>
      </c>
    </row>
    <row r="1632" spans="1:4">
      <c r="A1632" s="105">
        <v>98022</v>
      </c>
      <c r="B1632" s="104" t="s">
        <v>1893</v>
      </c>
      <c r="C1632" s="104" t="s">
        <v>183</v>
      </c>
      <c r="D1632" s="129" t="s">
        <v>16162</v>
      </c>
    </row>
    <row r="1633" spans="1:4">
      <c r="A1633" s="105">
        <v>98023</v>
      </c>
      <c r="B1633" s="104" t="s">
        <v>1894</v>
      </c>
      <c r="C1633" s="104" t="s">
        <v>40</v>
      </c>
      <c r="D1633" s="129" t="s">
        <v>16163</v>
      </c>
    </row>
    <row r="1634" spans="1:4">
      <c r="A1634" s="105">
        <v>98024</v>
      </c>
      <c r="B1634" s="104" t="s">
        <v>1895</v>
      </c>
      <c r="C1634" s="104" t="s">
        <v>183</v>
      </c>
      <c r="D1634" s="129" t="s">
        <v>16164</v>
      </c>
    </row>
    <row r="1635" spans="1:4">
      <c r="A1635" s="105">
        <v>98025</v>
      </c>
      <c r="B1635" s="104" t="s">
        <v>1896</v>
      </c>
      <c r="C1635" s="104" t="s">
        <v>40</v>
      </c>
      <c r="D1635" s="129" t="s">
        <v>16165</v>
      </c>
    </row>
    <row r="1636" spans="1:4">
      <c r="A1636" s="105">
        <v>98026</v>
      </c>
      <c r="B1636" s="104" t="s">
        <v>1897</v>
      </c>
      <c r="C1636" s="104" t="s">
        <v>183</v>
      </c>
      <c r="D1636" s="129" t="s">
        <v>16166</v>
      </c>
    </row>
    <row r="1637" spans="1:4">
      <c r="A1637" s="105">
        <v>98027</v>
      </c>
      <c r="B1637" s="104" t="s">
        <v>1898</v>
      </c>
      <c r="C1637" s="104" t="s">
        <v>40</v>
      </c>
      <c r="D1637" s="129" t="s">
        <v>16159</v>
      </c>
    </row>
    <row r="1638" spans="1:4">
      <c r="A1638" s="105">
        <v>98028</v>
      </c>
      <c r="B1638" s="104" t="s">
        <v>1899</v>
      </c>
      <c r="C1638" s="104" t="s">
        <v>183</v>
      </c>
      <c r="D1638" s="129" t="s">
        <v>16167</v>
      </c>
    </row>
    <row r="1639" spans="1:4">
      <c r="A1639" s="105">
        <v>98029</v>
      </c>
      <c r="B1639" s="104" t="s">
        <v>1900</v>
      </c>
      <c r="C1639" s="104" t="s">
        <v>40</v>
      </c>
      <c r="D1639" s="129" t="s">
        <v>16168</v>
      </c>
    </row>
    <row r="1640" spans="1:4">
      <c r="A1640" s="105">
        <v>98030</v>
      </c>
      <c r="B1640" s="104" t="s">
        <v>1901</v>
      </c>
      <c r="C1640" s="104" t="s">
        <v>183</v>
      </c>
      <c r="D1640" s="129" t="s">
        <v>16169</v>
      </c>
    </row>
    <row r="1641" spans="1:4">
      <c r="A1641" s="105">
        <v>98031</v>
      </c>
      <c r="B1641" s="104" t="s">
        <v>1902</v>
      </c>
      <c r="C1641" s="104" t="s">
        <v>40</v>
      </c>
      <c r="D1641" s="129" t="s">
        <v>16170</v>
      </c>
    </row>
    <row r="1642" spans="1:4">
      <c r="A1642" s="105">
        <v>98032</v>
      </c>
      <c r="B1642" s="104" t="s">
        <v>1903</v>
      </c>
      <c r="C1642" s="104" t="s">
        <v>183</v>
      </c>
      <c r="D1642" s="129" t="s">
        <v>16171</v>
      </c>
    </row>
    <row r="1643" spans="1:4">
      <c r="A1643" s="105">
        <v>98033</v>
      </c>
      <c r="B1643" s="104" t="s">
        <v>1904</v>
      </c>
      <c r="C1643" s="104" t="s">
        <v>40</v>
      </c>
      <c r="D1643" s="129" t="s">
        <v>16172</v>
      </c>
    </row>
    <row r="1644" spans="1:4">
      <c r="A1644" s="105">
        <v>98034</v>
      </c>
      <c r="B1644" s="104" t="s">
        <v>1905</v>
      </c>
      <c r="C1644" s="104" t="s">
        <v>183</v>
      </c>
      <c r="D1644" s="129" t="s">
        <v>16173</v>
      </c>
    </row>
    <row r="1645" spans="1:4">
      <c r="A1645" s="105">
        <v>98035</v>
      </c>
      <c r="B1645" s="104" t="s">
        <v>1906</v>
      </c>
      <c r="C1645" s="104" t="s">
        <v>40</v>
      </c>
      <c r="D1645" s="129" t="s">
        <v>16168</v>
      </c>
    </row>
    <row r="1646" spans="1:4">
      <c r="A1646" s="105">
        <v>98036</v>
      </c>
      <c r="B1646" s="104" t="s">
        <v>1907</v>
      </c>
      <c r="C1646" s="104" t="s">
        <v>183</v>
      </c>
      <c r="D1646" s="129" t="s">
        <v>16174</v>
      </c>
    </row>
    <row r="1647" spans="1:4">
      <c r="A1647" s="105">
        <v>98037</v>
      </c>
      <c r="B1647" s="104" t="s">
        <v>1908</v>
      </c>
      <c r="C1647" s="104" t="s">
        <v>40</v>
      </c>
      <c r="D1647" s="129" t="s">
        <v>16175</v>
      </c>
    </row>
    <row r="1648" spans="1:4">
      <c r="A1648" s="105">
        <v>98038</v>
      </c>
      <c r="B1648" s="104" t="s">
        <v>1909</v>
      </c>
      <c r="C1648" s="104" t="s">
        <v>183</v>
      </c>
      <c r="D1648" s="129" t="s">
        <v>16176</v>
      </c>
    </row>
    <row r="1649" spans="1:4">
      <c r="A1649" s="105">
        <v>98039</v>
      </c>
      <c r="B1649" s="104" t="s">
        <v>1910</v>
      </c>
      <c r="C1649" s="104" t="s">
        <v>40</v>
      </c>
      <c r="D1649" s="129" t="s">
        <v>16177</v>
      </c>
    </row>
    <row r="1650" spans="1:4">
      <c r="A1650" s="105">
        <v>98040</v>
      </c>
      <c r="B1650" s="104" t="s">
        <v>1911</v>
      </c>
      <c r="C1650" s="104" t="s">
        <v>183</v>
      </c>
      <c r="D1650" s="129" t="s">
        <v>16178</v>
      </c>
    </row>
    <row r="1651" spans="1:4">
      <c r="A1651" s="105">
        <v>98041</v>
      </c>
      <c r="B1651" s="104" t="s">
        <v>1912</v>
      </c>
      <c r="C1651" s="104" t="s">
        <v>40</v>
      </c>
      <c r="D1651" s="129" t="s">
        <v>16175</v>
      </c>
    </row>
    <row r="1652" spans="1:4">
      <c r="A1652" s="105">
        <v>98042</v>
      </c>
      <c r="B1652" s="104" t="s">
        <v>1913</v>
      </c>
      <c r="C1652" s="104" t="s">
        <v>183</v>
      </c>
      <c r="D1652" s="129" t="s">
        <v>16179</v>
      </c>
    </row>
    <row r="1653" spans="1:4">
      <c r="A1653" s="105">
        <v>98043</v>
      </c>
      <c r="B1653" s="104" t="s">
        <v>1914</v>
      </c>
      <c r="C1653" s="104" t="s">
        <v>40</v>
      </c>
      <c r="D1653" s="129" t="s">
        <v>16180</v>
      </c>
    </row>
    <row r="1654" spans="1:4">
      <c r="A1654" s="105">
        <v>98044</v>
      </c>
      <c r="B1654" s="104" t="s">
        <v>1915</v>
      </c>
      <c r="C1654" s="104" t="s">
        <v>183</v>
      </c>
      <c r="D1654" s="129" t="s">
        <v>16181</v>
      </c>
    </row>
    <row r="1655" spans="1:4">
      <c r="A1655" s="105">
        <v>98045</v>
      </c>
      <c r="B1655" s="104" t="s">
        <v>1916</v>
      </c>
      <c r="C1655" s="104" t="s">
        <v>40</v>
      </c>
      <c r="D1655" s="129" t="s">
        <v>16180</v>
      </c>
    </row>
    <row r="1656" spans="1:4">
      <c r="A1656" s="105">
        <v>98046</v>
      </c>
      <c r="B1656" s="104" t="s">
        <v>1917</v>
      </c>
      <c r="C1656" s="104" t="s">
        <v>183</v>
      </c>
      <c r="D1656" s="129" t="s">
        <v>16182</v>
      </c>
    </row>
    <row r="1657" spans="1:4">
      <c r="A1657" s="105">
        <v>98047</v>
      </c>
      <c r="B1657" s="104" t="s">
        <v>1918</v>
      </c>
      <c r="C1657" s="104" t="s">
        <v>40</v>
      </c>
      <c r="D1657" s="129" t="s">
        <v>16183</v>
      </c>
    </row>
    <row r="1658" spans="1:4">
      <c r="A1658" s="105">
        <v>98048</v>
      </c>
      <c r="B1658" s="104" t="s">
        <v>1919</v>
      </c>
      <c r="C1658" s="104" t="s">
        <v>183</v>
      </c>
      <c r="D1658" s="129" t="s">
        <v>16184</v>
      </c>
    </row>
    <row r="1659" spans="1:4">
      <c r="A1659" s="105">
        <v>98049</v>
      </c>
      <c r="B1659" s="104" t="s">
        <v>1920</v>
      </c>
      <c r="C1659" s="104" t="s">
        <v>40</v>
      </c>
      <c r="D1659" s="129" t="s">
        <v>16185</v>
      </c>
    </row>
    <row r="1660" spans="1:4">
      <c r="A1660" s="105">
        <v>98050</v>
      </c>
      <c r="B1660" s="104" t="s">
        <v>1921</v>
      </c>
      <c r="C1660" s="104" t="s">
        <v>40</v>
      </c>
      <c r="D1660" s="129" t="s">
        <v>16186</v>
      </c>
    </row>
    <row r="1661" spans="1:4">
      <c r="A1661" s="105">
        <v>98051</v>
      </c>
      <c r="B1661" s="104" t="s">
        <v>1922</v>
      </c>
      <c r="C1661" s="104" t="s">
        <v>40</v>
      </c>
      <c r="D1661" s="129" t="s">
        <v>16187</v>
      </c>
    </row>
    <row r="1662" spans="1:4">
      <c r="A1662" s="105">
        <v>98405</v>
      </c>
      <c r="B1662" s="104" t="s">
        <v>1923</v>
      </c>
      <c r="C1662" s="104" t="s">
        <v>183</v>
      </c>
      <c r="D1662" s="129" t="s">
        <v>16188</v>
      </c>
    </row>
    <row r="1663" spans="1:4">
      <c r="A1663" s="105">
        <v>98406</v>
      </c>
      <c r="B1663" s="104" t="s">
        <v>1924</v>
      </c>
      <c r="C1663" s="104" t="s">
        <v>183</v>
      </c>
      <c r="D1663" s="129" t="s">
        <v>16189</v>
      </c>
    </row>
    <row r="1664" spans="1:4">
      <c r="A1664" s="105">
        <v>98407</v>
      </c>
      <c r="B1664" s="104" t="s">
        <v>1925</v>
      </c>
      <c r="C1664" s="104" t="s">
        <v>183</v>
      </c>
      <c r="D1664" s="129" t="s">
        <v>16190</v>
      </c>
    </row>
    <row r="1665" spans="1:4">
      <c r="A1665" s="105">
        <v>98408</v>
      </c>
      <c r="B1665" s="104" t="s">
        <v>1926</v>
      </c>
      <c r="C1665" s="104" t="s">
        <v>183</v>
      </c>
      <c r="D1665" s="129" t="s">
        <v>16191</v>
      </c>
    </row>
    <row r="1666" spans="1:4">
      <c r="A1666" s="105">
        <v>98409</v>
      </c>
      <c r="B1666" s="104" t="s">
        <v>1927</v>
      </c>
      <c r="C1666" s="104" t="s">
        <v>40</v>
      </c>
      <c r="D1666" s="129" t="s">
        <v>16192</v>
      </c>
    </row>
    <row r="1667" spans="1:4">
      <c r="A1667" s="105">
        <v>98410</v>
      </c>
      <c r="B1667" s="104" t="s">
        <v>1928</v>
      </c>
      <c r="C1667" s="104" t="s">
        <v>183</v>
      </c>
      <c r="D1667" s="129" t="s">
        <v>16193</v>
      </c>
    </row>
    <row r="1668" spans="1:4">
      <c r="A1668" s="105">
        <v>98414</v>
      </c>
      <c r="B1668" s="104" t="s">
        <v>1929</v>
      </c>
      <c r="C1668" s="104" t="s">
        <v>183</v>
      </c>
      <c r="D1668" s="129" t="s">
        <v>16194</v>
      </c>
    </row>
    <row r="1669" spans="1:4">
      <c r="A1669" s="105">
        <v>98415</v>
      </c>
      <c r="B1669" s="104" t="s">
        <v>1930</v>
      </c>
      <c r="C1669" s="104" t="s">
        <v>183</v>
      </c>
      <c r="D1669" s="129" t="s">
        <v>16195</v>
      </c>
    </row>
    <row r="1670" spans="1:4">
      <c r="A1670" s="105">
        <v>98416</v>
      </c>
      <c r="B1670" s="104" t="s">
        <v>1931</v>
      </c>
      <c r="C1670" s="104" t="s">
        <v>183</v>
      </c>
      <c r="D1670" s="129" t="s">
        <v>16196</v>
      </c>
    </row>
    <row r="1671" spans="1:4">
      <c r="A1671" s="105">
        <v>98417</v>
      </c>
      <c r="B1671" s="104" t="s">
        <v>1932</v>
      </c>
      <c r="C1671" s="104" t="s">
        <v>183</v>
      </c>
      <c r="D1671" s="129" t="s">
        <v>16197</v>
      </c>
    </row>
    <row r="1672" spans="1:4">
      <c r="A1672" s="105">
        <v>98418</v>
      </c>
      <c r="B1672" s="104" t="s">
        <v>1933</v>
      </c>
      <c r="C1672" s="104" t="s">
        <v>183</v>
      </c>
      <c r="D1672" s="129" t="s">
        <v>16198</v>
      </c>
    </row>
    <row r="1673" spans="1:4">
      <c r="A1673" s="105">
        <v>98419</v>
      </c>
      <c r="B1673" s="104" t="s">
        <v>1934</v>
      </c>
      <c r="C1673" s="104" t="s">
        <v>183</v>
      </c>
      <c r="D1673" s="129" t="s">
        <v>16199</v>
      </c>
    </row>
    <row r="1674" spans="1:4">
      <c r="A1674" s="105">
        <v>98420</v>
      </c>
      <c r="B1674" s="104" t="s">
        <v>1935</v>
      </c>
      <c r="C1674" s="104" t="s">
        <v>183</v>
      </c>
      <c r="D1674" s="129" t="s">
        <v>16200</v>
      </c>
    </row>
    <row r="1675" spans="1:4">
      <c r="A1675" s="105">
        <v>98421</v>
      </c>
      <c r="B1675" s="104" t="s">
        <v>1936</v>
      </c>
      <c r="C1675" s="104" t="s">
        <v>183</v>
      </c>
      <c r="D1675" s="129" t="s">
        <v>16201</v>
      </c>
    </row>
    <row r="1676" spans="1:4">
      <c r="A1676" s="105">
        <v>98422</v>
      </c>
      <c r="B1676" s="104" t="s">
        <v>1937</v>
      </c>
      <c r="C1676" s="104" t="s">
        <v>183</v>
      </c>
      <c r="D1676" s="129" t="s">
        <v>16202</v>
      </c>
    </row>
    <row r="1677" spans="1:4">
      <c r="A1677" s="105">
        <v>98423</v>
      </c>
      <c r="B1677" s="104" t="s">
        <v>1938</v>
      </c>
      <c r="C1677" s="104" t="s">
        <v>183</v>
      </c>
      <c r="D1677" s="129" t="s">
        <v>16203</v>
      </c>
    </row>
    <row r="1678" spans="1:4">
      <c r="A1678" s="105">
        <v>98424</v>
      </c>
      <c r="B1678" s="104" t="s">
        <v>1939</v>
      </c>
      <c r="C1678" s="104" t="s">
        <v>183</v>
      </c>
      <c r="D1678" s="129" t="s">
        <v>16204</v>
      </c>
    </row>
    <row r="1679" spans="1:4">
      <c r="A1679" s="105">
        <v>98425</v>
      </c>
      <c r="B1679" s="104" t="s">
        <v>1940</v>
      </c>
      <c r="C1679" s="104" t="s">
        <v>183</v>
      </c>
      <c r="D1679" s="129" t="s">
        <v>16137</v>
      </c>
    </row>
    <row r="1680" spans="1:4">
      <c r="A1680" s="105">
        <v>98426</v>
      </c>
      <c r="B1680" s="104" t="s">
        <v>1941</v>
      </c>
      <c r="C1680" s="104" t="s">
        <v>183</v>
      </c>
      <c r="D1680" s="129" t="s">
        <v>16205</v>
      </c>
    </row>
    <row r="1681" spans="1:4">
      <c r="A1681" s="105">
        <v>98427</v>
      </c>
      <c r="B1681" s="104" t="s">
        <v>1942</v>
      </c>
      <c r="C1681" s="104" t="s">
        <v>183</v>
      </c>
      <c r="D1681" s="129" t="s">
        <v>16206</v>
      </c>
    </row>
    <row r="1682" spans="1:4">
      <c r="A1682" s="105">
        <v>98428</v>
      </c>
      <c r="B1682" s="104" t="s">
        <v>1943</v>
      </c>
      <c r="C1682" s="104" t="s">
        <v>183</v>
      </c>
      <c r="D1682" s="129" t="s">
        <v>16207</v>
      </c>
    </row>
    <row r="1683" spans="1:4">
      <c r="A1683" s="105">
        <v>98429</v>
      </c>
      <c r="B1683" s="104" t="s">
        <v>1944</v>
      </c>
      <c r="C1683" s="104" t="s">
        <v>183</v>
      </c>
      <c r="D1683" s="129" t="s">
        <v>16208</v>
      </c>
    </row>
    <row r="1684" spans="1:4">
      <c r="A1684" s="105">
        <v>98430</v>
      </c>
      <c r="B1684" s="104" t="s">
        <v>1945</v>
      </c>
      <c r="C1684" s="104" t="s">
        <v>183</v>
      </c>
      <c r="D1684" s="129" t="s">
        <v>16209</v>
      </c>
    </row>
    <row r="1685" spans="1:4">
      <c r="A1685" s="105">
        <v>98431</v>
      </c>
      <c r="B1685" s="104" t="s">
        <v>1946</v>
      </c>
      <c r="C1685" s="104" t="s">
        <v>183</v>
      </c>
      <c r="D1685" s="129" t="s">
        <v>16210</v>
      </c>
    </row>
    <row r="1686" spans="1:4">
      <c r="A1686" s="105">
        <v>98432</v>
      </c>
      <c r="B1686" s="104" t="s">
        <v>1947</v>
      </c>
      <c r="C1686" s="104" t="s">
        <v>183</v>
      </c>
      <c r="D1686" s="129" t="s">
        <v>16211</v>
      </c>
    </row>
    <row r="1687" spans="1:4">
      <c r="A1687" s="105">
        <v>98433</v>
      </c>
      <c r="B1687" s="104" t="s">
        <v>1948</v>
      </c>
      <c r="C1687" s="104" t="s">
        <v>183</v>
      </c>
      <c r="D1687" s="129" t="s">
        <v>16212</v>
      </c>
    </row>
    <row r="1688" spans="1:4">
      <c r="A1688" s="105">
        <v>98434</v>
      </c>
      <c r="B1688" s="104" t="s">
        <v>1949</v>
      </c>
      <c r="C1688" s="104" t="s">
        <v>183</v>
      </c>
      <c r="D1688" s="129" t="s">
        <v>16213</v>
      </c>
    </row>
    <row r="1689" spans="1:4">
      <c r="A1689" s="105">
        <v>99240</v>
      </c>
      <c r="B1689" s="104" t="s">
        <v>1950</v>
      </c>
      <c r="C1689" s="104" t="s">
        <v>40</v>
      </c>
      <c r="D1689" s="129" t="s">
        <v>16214</v>
      </c>
    </row>
    <row r="1690" spans="1:4">
      <c r="A1690" s="105">
        <v>99241</v>
      </c>
      <c r="B1690" s="104" t="s">
        <v>1951</v>
      </c>
      <c r="C1690" s="104" t="s">
        <v>40</v>
      </c>
      <c r="D1690" s="129" t="s">
        <v>16215</v>
      </c>
    </row>
    <row r="1691" spans="1:4">
      <c r="A1691" s="105">
        <v>99242</v>
      </c>
      <c r="B1691" s="104" t="s">
        <v>1952</v>
      </c>
      <c r="C1691" s="104" t="s">
        <v>183</v>
      </c>
      <c r="D1691" s="129" t="s">
        <v>16216</v>
      </c>
    </row>
    <row r="1692" spans="1:4">
      <c r="A1692" s="105">
        <v>99243</v>
      </c>
      <c r="B1692" s="104" t="s">
        <v>1953</v>
      </c>
      <c r="C1692" s="104" t="s">
        <v>40</v>
      </c>
      <c r="D1692" s="129" t="s">
        <v>16217</v>
      </c>
    </row>
    <row r="1693" spans="1:4">
      <c r="A1693" s="105">
        <v>99244</v>
      </c>
      <c r="B1693" s="104" t="s">
        <v>1954</v>
      </c>
      <c r="C1693" s="104" t="s">
        <v>183</v>
      </c>
      <c r="D1693" s="129" t="s">
        <v>16218</v>
      </c>
    </row>
    <row r="1694" spans="1:4">
      <c r="A1694" s="105">
        <v>99246</v>
      </c>
      <c r="B1694" s="104" t="s">
        <v>1955</v>
      </c>
      <c r="C1694" s="104" t="s">
        <v>40</v>
      </c>
      <c r="D1694" s="129" t="s">
        <v>16219</v>
      </c>
    </row>
    <row r="1695" spans="1:4">
      <c r="A1695" s="105">
        <v>99247</v>
      </c>
      <c r="B1695" s="104" t="s">
        <v>1956</v>
      </c>
      <c r="C1695" s="104" t="s">
        <v>40</v>
      </c>
      <c r="D1695" s="129" t="s">
        <v>16220</v>
      </c>
    </row>
    <row r="1696" spans="1:4">
      <c r="A1696" s="105">
        <v>99248</v>
      </c>
      <c r="B1696" s="104" t="s">
        <v>1957</v>
      </c>
      <c r="C1696" s="104" t="s">
        <v>183</v>
      </c>
      <c r="D1696" s="129" t="s">
        <v>16221</v>
      </c>
    </row>
    <row r="1697" spans="1:4">
      <c r="A1697" s="105">
        <v>99249</v>
      </c>
      <c r="B1697" s="104" t="s">
        <v>1958</v>
      </c>
      <c r="C1697" s="104" t="s">
        <v>40</v>
      </c>
      <c r="D1697" s="129" t="s">
        <v>16222</v>
      </c>
    </row>
    <row r="1698" spans="1:4">
      <c r="A1698" s="105">
        <v>99252</v>
      </c>
      <c r="B1698" s="104" t="s">
        <v>1959</v>
      </c>
      <c r="C1698" s="104" t="s">
        <v>183</v>
      </c>
      <c r="D1698" s="129" t="s">
        <v>16223</v>
      </c>
    </row>
    <row r="1699" spans="1:4">
      <c r="A1699" s="105">
        <v>99254</v>
      </c>
      <c r="B1699" s="104" t="s">
        <v>1960</v>
      </c>
      <c r="C1699" s="104" t="s">
        <v>40</v>
      </c>
      <c r="D1699" s="129" t="s">
        <v>16224</v>
      </c>
    </row>
    <row r="1700" spans="1:4">
      <c r="A1700" s="105">
        <v>99256</v>
      </c>
      <c r="B1700" s="104" t="s">
        <v>1961</v>
      </c>
      <c r="C1700" s="104" t="s">
        <v>183</v>
      </c>
      <c r="D1700" s="129" t="s">
        <v>16225</v>
      </c>
    </row>
    <row r="1701" spans="1:4">
      <c r="A1701" s="105">
        <v>99259</v>
      </c>
      <c r="B1701" s="104" t="s">
        <v>1962</v>
      </c>
      <c r="C1701" s="104" t="s">
        <v>183</v>
      </c>
      <c r="D1701" s="129" t="s">
        <v>16226</v>
      </c>
    </row>
    <row r="1702" spans="1:4">
      <c r="A1702" s="105">
        <v>99261</v>
      </c>
      <c r="B1702" s="104" t="s">
        <v>1963</v>
      </c>
      <c r="C1702" s="104" t="s">
        <v>40</v>
      </c>
      <c r="D1702" s="129" t="s">
        <v>16227</v>
      </c>
    </row>
    <row r="1703" spans="1:4">
      <c r="A1703" s="105">
        <v>99263</v>
      </c>
      <c r="B1703" s="104" t="s">
        <v>1964</v>
      </c>
      <c r="C1703" s="104" t="s">
        <v>40</v>
      </c>
      <c r="D1703" s="129" t="s">
        <v>16228</v>
      </c>
    </row>
    <row r="1704" spans="1:4">
      <c r="A1704" s="105">
        <v>99265</v>
      </c>
      <c r="B1704" s="104" t="s">
        <v>1965</v>
      </c>
      <c r="C1704" s="104" t="s">
        <v>183</v>
      </c>
      <c r="D1704" s="129" t="s">
        <v>16229</v>
      </c>
    </row>
    <row r="1705" spans="1:4">
      <c r="A1705" s="105">
        <v>99266</v>
      </c>
      <c r="B1705" s="104" t="s">
        <v>1966</v>
      </c>
      <c r="C1705" s="104" t="s">
        <v>40</v>
      </c>
      <c r="D1705" s="129" t="s">
        <v>16215</v>
      </c>
    </row>
    <row r="1706" spans="1:4">
      <c r="A1706" s="105">
        <v>99267</v>
      </c>
      <c r="B1706" s="104" t="s">
        <v>1967</v>
      </c>
      <c r="C1706" s="104" t="s">
        <v>183</v>
      </c>
      <c r="D1706" s="129" t="s">
        <v>16230</v>
      </c>
    </row>
    <row r="1707" spans="1:4">
      <c r="A1707" s="105">
        <v>99268</v>
      </c>
      <c r="B1707" s="104" t="s">
        <v>1968</v>
      </c>
      <c r="C1707" s="104" t="s">
        <v>183</v>
      </c>
      <c r="D1707" s="129" t="s">
        <v>16231</v>
      </c>
    </row>
    <row r="1708" spans="1:4">
      <c r="A1708" s="105">
        <v>99269</v>
      </c>
      <c r="B1708" s="104" t="s">
        <v>1969</v>
      </c>
      <c r="C1708" s="104" t="s">
        <v>40</v>
      </c>
      <c r="D1708" s="129" t="s">
        <v>16220</v>
      </c>
    </row>
    <row r="1709" spans="1:4">
      <c r="A1709" s="105">
        <v>99270</v>
      </c>
      <c r="B1709" s="104" t="s">
        <v>1970</v>
      </c>
      <c r="C1709" s="104" t="s">
        <v>183</v>
      </c>
      <c r="D1709" s="129" t="s">
        <v>16232</v>
      </c>
    </row>
    <row r="1710" spans="1:4">
      <c r="A1710" s="105">
        <v>99271</v>
      </c>
      <c r="B1710" s="104" t="s">
        <v>1971</v>
      </c>
      <c r="C1710" s="104" t="s">
        <v>183</v>
      </c>
      <c r="D1710" s="129" t="s">
        <v>16233</v>
      </c>
    </row>
    <row r="1711" spans="1:4">
      <c r="A1711" s="105">
        <v>99272</v>
      </c>
      <c r="B1711" s="104" t="s">
        <v>1972</v>
      </c>
      <c r="C1711" s="104" t="s">
        <v>183</v>
      </c>
      <c r="D1711" s="129" t="s">
        <v>16234</v>
      </c>
    </row>
    <row r="1712" spans="1:4">
      <c r="A1712" s="105">
        <v>99273</v>
      </c>
      <c r="B1712" s="104" t="s">
        <v>1973</v>
      </c>
      <c r="C1712" s="104" t="s">
        <v>183</v>
      </c>
      <c r="D1712" s="129" t="s">
        <v>16235</v>
      </c>
    </row>
    <row r="1713" spans="1:4">
      <c r="A1713" s="105">
        <v>99274</v>
      </c>
      <c r="B1713" s="104" t="s">
        <v>1974</v>
      </c>
      <c r="C1713" s="104" t="s">
        <v>183</v>
      </c>
      <c r="D1713" s="129" t="s">
        <v>16236</v>
      </c>
    </row>
    <row r="1714" spans="1:4">
      <c r="A1714" s="105">
        <v>99275</v>
      </c>
      <c r="B1714" s="104" t="s">
        <v>1975</v>
      </c>
      <c r="C1714" s="104" t="s">
        <v>183</v>
      </c>
      <c r="D1714" s="129" t="s">
        <v>16237</v>
      </c>
    </row>
    <row r="1715" spans="1:4">
      <c r="A1715" s="105">
        <v>99276</v>
      </c>
      <c r="B1715" s="104" t="s">
        <v>1976</v>
      </c>
      <c r="C1715" s="104" t="s">
        <v>40</v>
      </c>
      <c r="D1715" s="129" t="s">
        <v>16238</v>
      </c>
    </row>
    <row r="1716" spans="1:4">
      <c r="A1716" s="105">
        <v>99277</v>
      </c>
      <c r="B1716" s="104" t="s">
        <v>1977</v>
      </c>
      <c r="C1716" s="104" t="s">
        <v>40</v>
      </c>
      <c r="D1716" s="129" t="s">
        <v>16228</v>
      </c>
    </row>
    <row r="1717" spans="1:4">
      <c r="A1717" s="105">
        <v>99278</v>
      </c>
      <c r="B1717" s="104" t="s">
        <v>1978</v>
      </c>
      <c r="C1717" s="104" t="s">
        <v>40</v>
      </c>
      <c r="D1717" s="129" t="s">
        <v>16239</v>
      </c>
    </row>
    <row r="1718" spans="1:4">
      <c r="A1718" s="105">
        <v>99279</v>
      </c>
      <c r="B1718" s="104" t="s">
        <v>1979</v>
      </c>
      <c r="C1718" s="104" t="s">
        <v>183</v>
      </c>
      <c r="D1718" s="129" t="s">
        <v>16240</v>
      </c>
    </row>
    <row r="1719" spans="1:4">
      <c r="A1719" s="105">
        <v>99280</v>
      </c>
      <c r="B1719" s="104" t="s">
        <v>1980</v>
      </c>
      <c r="C1719" s="104" t="s">
        <v>183</v>
      </c>
      <c r="D1719" s="129" t="s">
        <v>16241</v>
      </c>
    </row>
    <row r="1720" spans="1:4">
      <c r="A1720" s="105">
        <v>99281</v>
      </c>
      <c r="B1720" s="104" t="s">
        <v>1981</v>
      </c>
      <c r="C1720" s="104" t="s">
        <v>40</v>
      </c>
      <c r="D1720" s="129" t="s">
        <v>16238</v>
      </c>
    </row>
    <row r="1721" spans="1:4">
      <c r="A1721" s="105">
        <v>99282</v>
      </c>
      <c r="B1721" s="104" t="s">
        <v>1982</v>
      </c>
      <c r="C1721" s="104" t="s">
        <v>40</v>
      </c>
      <c r="D1721" s="129" t="s">
        <v>16242</v>
      </c>
    </row>
    <row r="1722" spans="1:4">
      <c r="A1722" s="105">
        <v>99283</v>
      </c>
      <c r="B1722" s="104" t="s">
        <v>1983</v>
      </c>
      <c r="C1722" s="104" t="s">
        <v>40</v>
      </c>
      <c r="D1722" s="129" t="s">
        <v>16243</v>
      </c>
    </row>
    <row r="1723" spans="1:4">
      <c r="A1723" s="105">
        <v>99284</v>
      </c>
      <c r="B1723" s="104" t="s">
        <v>1984</v>
      </c>
      <c r="C1723" s="104" t="s">
        <v>183</v>
      </c>
      <c r="D1723" s="129" t="s">
        <v>16244</v>
      </c>
    </row>
    <row r="1724" spans="1:4">
      <c r="A1724" s="105">
        <v>99285</v>
      </c>
      <c r="B1724" s="104" t="s">
        <v>1985</v>
      </c>
      <c r="C1724" s="104" t="s">
        <v>183</v>
      </c>
      <c r="D1724" s="129" t="s">
        <v>16245</v>
      </c>
    </row>
    <row r="1725" spans="1:4">
      <c r="A1725" s="105">
        <v>99286</v>
      </c>
      <c r="B1725" s="104" t="s">
        <v>1986</v>
      </c>
      <c r="C1725" s="104" t="s">
        <v>183</v>
      </c>
      <c r="D1725" s="129" t="s">
        <v>16246</v>
      </c>
    </row>
    <row r="1726" spans="1:4">
      <c r="A1726" s="105">
        <v>99287</v>
      </c>
      <c r="B1726" s="104" t="s">
        <v>1987</v>
      </c>
      <c r="C1726" s="104" t="s">
        <v>183</v>
      </c>
      <c r="D1726" s="129" t="s">
        <v>16247</v>
      </c>
    </row>
    <row r="1727" spans="1:4">
      <c r="A1727" s="105">
        <v>99288</v>
      </c>
      <c r="B1727" s="104" t="s">
        <v>1988</v>
      </c>
      <c r="C1727" s="104" t="s">
        <v>40</v>
      </c>
      <c r="D1727" s="129" t="s">
        <v>16248</v>
      </c>
    </row>
    <row r="1728" spans="1:4">
      <c r="A1728" s="105">
        <v>99289</v>
      </c>
      <c r="B1728" s="104" t="s">
        <v>1989</v>
      </c>
      <c r="C1728" s="104" t="s">
        <v>40</v>
      </c>
      <c r="D1728" s="129" t="s">
        <v>16249</v>
      </c>
    </row>
    <row r="1729" spans="1:4">
      <c r="A1729" s="105">
        <v>99290</v>
      </c>
      <c r="B1729" s="104" t="s">
        <v>1990</v>
      </c>
      <c r="C1729" s="104" t="s">
        <v>183</v>
      </c>
      <c r="D1729" s="129" t="s">
        <v>16250</v>
      </c>
    </row>
    <row r="1730" spans="1:4">
      <c r="A1730" s="105">
        <v>99291</v>
      </c>
      <c r="B1730" s="104" t="s">
        <v>1991</v>
      </c>
      <c r="C1730" s="104" t="s">
        <v>40</v>
      </c>
      <c r="D1730" s="129" t="s">
        <v>16251</v>
      </c>
    </row>
    <row r="1731" spans="1:4">
      <c r="A1731" s="105">
        <v>99292</v>
      </c>
      <c r="B1731" s="104" t="s">
        <v>1992</v>
      </c>
      <c r="C1731" s="104" t="s">
        <v>183</v>
      </c>
      <c r="D1731" s="129" t="s">
        <v>16252</v>
      </c>
    </row>
    <row r="1732" spans="1:4">
      <c r="A1732" s="105">
        <v>99293</v>
      </c>
      <c r="B1732" s="104" t="s">
        <v>1993</v>
      </c>
      <c r="C1732" s="104" t="s">
        <v>40</v>
      </c>
      <c r="D1732" s="129" t="s">
        <v>16253</v>
      </c>
    </row>
    <row r="1733" spans="1:4">
      <c r="A1733" s="105">
        <v>99294</v>
      </c>
      <c r="B1733" s="104" t="s">
        <v>1994</v>
      </c>
      <c r="C1733" s="104" t="s">
        <v>183</v>
      </c>
      <c r="D1733" s="129" t="s">
        <v>16254</v>
      </c>
    </row>
    <row r="1734" spans="1:4">
      <c r="A1734" s="105">
        <v>99296</v>
      </c>
      <c r="B1734" s="104" t="s">
        <v>1995</v>
      </c>
      <c r="C1734" s="104" t="s">
        <v>40</v>
      </c>
      <c r="D1734" s="129" t="s">
        <v>16255</v>
      </c>
    </row>
    <row r="1735" spans="1:4">
      <c r="A1735" s="105">
        <v>99297</v>
      </c>
      <c r="B1735" s="104" t="s">
        <v>1996</v>
      </c>
      <c r="C1735" s="104" t="s">
        <v>40</v>
      </c>
      <c r="D1735" s="129" t="s">
        <v>16256</v>
      </c>
    </row>
    <row r="1736" spans="1:4">
      <c r="A1736" s="105">
        <v>99298</v>
      </c>
      <c r="B1736" s="104" t="s">
        <v>1997</v>
      </c>
      <c r="C1736" s="104" t="s">
        <v>183</v>
      </c>
      <c r="D1736" s="129" t="s">
        <v>16257</v>
      </c>
    </row>
    <row r="1737" spans="1:4">
      <c r="A1737" s="105">
        <v>99299</v>
      </c>
      <c r="B1737" s="104" t="s">
        <v>1998</v>
      </c>
      <c r="C1737" s="104" t="s">
        <v>40</v>
      </c>
      <c r="D1737" s="129" t="s">
        <v>16258</v>
      </c>
    </row>
    <row r="1738" spans="1:4">
      <c r="A1738" s="105">
        <v>99300</v>
      </c>
      <c r="B1738" s="104" t="s">
        <v>1999</v>
      </c>
      <c r="C1738" s="104" t="s">
        <v>183</v>
      </c>
      <c r="D1738" s="129" t="s">
        <v>16259</v>
      </c>
    </row>
    <row r="1739" spans="1:4">
      <c r="A1739" s="105">
        <v>99301</v>
      </c>
      <c r="B1739" s="104" t="s">
        <v>2000</v>
      </c>
      <c r="C1739" s="104" t="s">
        <v>183</v>
      </c>
      <c r="D1739" s="129" t="s">
        <v>16260</v>
      </c>
    </row>
    <row r="1740" spans="1:4">
      <c r="A1740" s="105">
        <v>99302</v>
      </c>
      <c r="B1740" s="104" t="s">
        <v>2001</v>
      </c>
      <c r="C1740" s="104" t="s">
        <v>40</v>
      </c>
      <c r="D1740" s="129" t="s">
        <v>16261</v>
      </c>
    </row>
    <row r="1741" spans="1:4">
      <c r="A1741" s="105">
        <v>99303</v>
      </c>
      <c r="B1741" s="104" t="s">
        <v>2002</v>
      </c>
      <c r="C1741" s="104" t="s">
        <v>183</v>
      </c>
      <c r="D1741" s="129" t="s">
        <v>16262</v>
      </c>
    </row>
    <row r="1742" spans="1:4">
      <c r="A1742" s="105">
        <v>99304</v>
      </c>
      <c r="B1742" s="104" t="s">
        <v>2003</v>
      </c>
      <c r="C1742" s="104" t="s">
        <v>40</v>
      </c>
      <c r="D1742" s="129" t="s">
        <v>16263</v>
      </c>
    </row>
    <row r="1743" spans="1:4">
      <c r="A1743" s="105">
        <v>99305</v>
      </c>
      <c r="B1743" s="104" t="s">
        <v>2004</v>
      </c>
      <c r="C1743" s="104" t="s">
        <v>183</v>
      </c>
      <c r="D1743" s="129" t="s">
        <v>16264</v>
      </c>
    </row>
    <row r="1744" spans="1:4">
      <c r="A1744" s="105">
        <v>99306</v>
      </c>
      <c r="B1744" s="104" t="s">
        <v>2005</v>
      </c>
      <c r="C1744" s="104" t="s">
        <v>40</v>
      </c>
      <c r="D1744" s="129" t="s">
        <v>16261</v>
      </c>
    </row>
    <row r="1745" spans="1:4">
      <c r="A1745" s="105">
        <v>99307</v>
      </c>
      <c r="B1745" s="104" t="s">
        <v>2006</v>
      </c>
      <c r="C1745" s="104" t="s">
        <v>40</v>
      </c>
      <c r="D1745" s="129" t="s">
        <v>16265</v>
      </c>
    </row>
    <row r="1746" spans="1:4">
      <c r="A1746" s="105">
        <v>99308</v>
      </c>
      <c r="B1746" s="104" t="s">
        <v>2007</v>
      </c>
      <c r="C1746" s="104" t="s">
        <v>183</v>
      </c>
      <c r="D1746" s="129" t="s">
        <v>16266</v>
      </c>
    </row>
    <row r="1747" spans="1:4">
      <c r="A1747" s="105">
        <v>99309</v>
      </c>
      <c r="B1747" s="104" t="s">
        <v>2008</v>
      </c>
      <c r="C1747" s="104" t="s">
        <v>40</v>
      </c>
      <c r="D1747" s="129" t="s">
        <v>16267</v>
      </c>
    </row>
    <row r="1748" spans="1:4">
      <c r="A1748" s="105">
        <v>99310</v>
      </c>
      <c r="B1748" s="104" t="s">
        <v>2009</v>
      </c>
      <c r="C1748" s="104" t="s">
        <v>183</v>
      </c>
      <c r="D1748" s="129" t="s">
        <v>16268</v>
      </c>
    </row>
    <row r="1749" spans="1:4">
      <c r="A1749" s="105">
        <v>99311</v>
      </c>
      <c r="B1749" s="104" t="s">
        <v>2010</v>
      </c>
      <c r="C1749" s="104" t="s">
        <v>40</v>
      </c>
      <c r="D1749" s="129" t="s">
        <v>16267</v>
      </c>
    </row>
    <row r="1750" spans="1:4">
      <c r="A1750" s="105">
        <v>99312</v>
      </c>
      <c r="B1750" s="104" t="s">
        <v>2011</v>
      </c>
      <c r="C1750" s="104" t="s">
        <v>183</v>
      </c>
      <c r="D1750" s="129" t="s">
        <v>16269</v>
      </c>
    </row>
    <row r="1751" spans="1:4">
      <c r="A1751" s="105">
        <v>99313</v>
      </c>
      <c r="B1751" s="104" t="s">
        <v>2012</v>
      </c>
      <c r="C1751" s="104" t="s">
        <v>183</v>
      </c>
      <c r="D1751" s="129" t="s">
        <v>16270</v>
      </c>
    </row>
    <row r="1752" spans="1:4">
      <c r="A1752" s="105">
        <v>99314</v>
      </c>
      <c r="B1752" s="104" t="s">
        <v>2013</v>
      </c>
      <c r="C1752" s="104" t="s">
        <v>40</v>
      </c>
      <c r="D1752" s="129" t="s">
        <v>16271</v>
      </c>
    </row>
    <row r="1753" spans="1:4">
      <c r="A1753" s="105">
        <v>99315</v>
      </c>
      <c r="B1753" s="104" t="s">
        <v>2014</v>
      </c>
      <c r="C1753" s="104" t="s">
        <v>183</v>
      </c>
      <c r="D1753" s="129" t="s">
        <v>16272</v>
      </c>
    </row>
    <row r="1754" spans="1:4">
      <c r="A1754" s="105">
        <v>99317</v>
      </c>
      <c r="B1754" s="104" t="s">
        <v>2015</v>
      </c>
      <c r="C1754" s="104" t="s">
        <v>40</v>
      </c>
      <c r="D1754" s="129" t="s">
        <v>16273</v>
      </c>
    </row>
    <row r="1755" spans="1:4">
      <c r="A1755" s="105">
        <v>99318</v>
      </c>
      <c r="B1755" s="104" t="s">
        <v>2016</v>
      </c>
      <c r="C1755" s="104" t="s">
        <v>40</v>
      </c>
      <c r="D1755" s="129" t="s">
        <v>16274</v>
      </c>
    </row>
    <row r="1756" spans="1:4">
      <c r="A1756" s="105">
        <v>99319</v>
      </c>
      <c r="B1756" s="104" t="s">
        <v>2017</v>
      </c>
      <c r="C1756" s="104" t="s">
        <v>40</v>
      </c>
      <c r="D1756" s="129" t="s">
        <v>16275</v>
      </c>
    </row>
    <row r="1757" spans="1:4">
      <c r="A1757" s="105">
        <v>99320</v>
      </c>
      <c r="B1757" s="104" t="s">
        <v>2018</v>
      </c>
      <c r="C1757" s="104" t="s">
        <v>183</v>
      </c>
      <c r="D1757" s="129" t="s">
        <v>16276</v>
      </c>
    </row>
    <row r="1758" spans="1:4">
      <c r="A1758" s="105">
        <v>99321</v>
      </c>
      <c r="B1758" s="104" t="s">
        <v>2019</v>
      </c>
      <c r="C1758" s="104" t="s">
        <v>40</v>
      </c>
      <c r="D1758" s="129" t="s">
        <v>16277</v>
      </c>
    </row>
    <row r="1759" spans="1:4">
      <c r="A1759" s="105">
        <v>99322</v>
      </c>
      <c r="B1759" s="104" t="s">
        <v>2020</v>
      </c>
      <c r="C1759" s="104" t="s">
        <v>183</v>
      </c>
      <c r="D1759" s="129" t="s">
        <v>16278</v>
      </c>
    </row>
    <row r="1760" spans="1:4">
      <c r="A1760" s="105">
        <v>99323</v>
      </c>
      <c r="B1760" s="104" t="s">
        <v>2021</v>
      </c>
      <c r="C1760" s="104" t="s">
        <v>40</v>
      </c>
      <c r="D1760" s="129" t="s">
        <v>16256</v>
      </c>
    </row>
    <row r="1761" spans="1:4">
      <c r="A1761" s="105">
        <v>99324</v>
      </c>
      <c r="B1761" s="104" t="s">
        <v>2022</v>
      </c>
      <c r="C1761" s="104" t="s">
        <v>183</v>
      </c>
      <c r="D1761" s="129" t="s">
        <v>16279</v>
      </c>
    </row>
    <row r="1762" spans="1:4">
      <c r="A1762" s="105">
        <v>99325</v>
      </c>
      <c r="B1762" s="104" t="s">
        <v>2023</v>
      </c>
      <c r="C1762" s="104" t="s">
        <v>40</v>
      </c>
      <c r="D1762" s="129" t="s">
        <v>16258</v>
      </c>
    </row>
    <row r="1763" spans="1:4">
      <c r="A1763" s="105">
        <v>99326</v>
      </c>
      <c r="B1763" s="104" t="s">
        <v>2024</v>
      </c>
      <c r="C1763" s="104" t="s">
        <v>183</v>
      </c>
      <c r="D1763" s="129" t="s">
        <v>16280</v>
      </c>
    </row>
    <row r="1764" spans="1:4">
      <c r="A1764" s="105">
        <v>99327</v>
      </c>
      <c r="B1764" s="104" t="s">
        <v>2025</v>
      </c>
      <c r="C1764" s="104" t="s">
        <v>40</v>
      </c>
      <c r="D1764" s="129" t="s">
        <v>16281</v>
      </c>
    </row>
    <row r="1765" spans="1:4">
      <c r="A1765" s="105">
        <v>101800</v>
      </c>
      <c r="B1765" s="104" t="s">
        <v>2026</v>
      </c>
      <c r="C1765" s="104" t="s">
        <v>183</v>
      </c>
      <c r="D1765" s="129" t="s">
        <v>16282</v>
      </c>
    </row>
    <row r="1766" spans="1:4">
      <c r="A1766" s="105">
        <v>101801</v>
      </c>
      <c r="B1766" s="104" t="s">
        <v>2027</v>
      </c>
      <c r="C1766" s="104" t="s">
        <v>183</v>
      </c>
      <c r="D1766" s="129" t="s">
        <v>16283</v>
      </c>
    </row>
    <row r="1767" spans="1:4">
      <c r="A1767" s="105">
        <v>101806</v>
      </c>
      <c r="B1767" s="104" t="s">
        <v>2028</v>
      </c>
      <c r="C1767" s="104" t="s">
        <v>183</v>
      </c>
      <c r="D1767" s="129" t="s">
        <v>16284</v>
      </c>
    </row>
    <row r="1768" spans="1:4">
      <c r="A1768" s="105">
        <v>101807</v>
      </c>
      <c r="B1768" s="104" t="s">
        <v>2029</v>
      </c>
      <c r="C1768" s="104" t="s">
        <v>183</v>
      </c>
      <c r="D1768" s="129" t="s">
        <v>16285</v>
      </c>
    </row>
    <row r="1769" spans="1:4">
      <c r="A1769" s="105">
        <v>101808</v>
      </c>
      <c r="B1769" s="104" t="s">
        <v>2030</v>
      </c>
      <c r="C1769" s="104" t="s">
        <v>183</v>
      </c>
      <c r="D1769" s="129" t="s">
        <v>16286</v>
      </c>
    </row>
    <row r="1770" spans="1:4">
      <c r="A1770" s="105">
        <v>101809</v>
      </c>
      <c r="B1770" s="104" t="s">
        <v>2031</v>
      </c>
      <c r="C1770" s="104" t="s">
        <v>183</v>
      </c>
      <c r="D1770" s="129" t="s">
        <v>16287</v>
      </c>
    </row>
    <row r="1771" spans="1:4">
      <c r="A1771" s="105">
        <v>102139</v>
      </c>
      <c r="B1771" s="104" t="s">
        <v>2032</v>
      </c>
      <c r="C1771" s="104" t="s">
        <v>183</v>
      </c>
      <c r="D1771" s="129" t="s">
        <v>16288</v>
      </c>
    </row>
    <row r="1772" spans="1:4">
      <c r="A1772" s="105">
        <v>102141</v>
      </c>
      <c r="B1772" s="104" t="s">
        <v>2033</v>
      </c>
      <c r="C1772" s="104" t="s">
        <v>183</v>
      </c>
      <c r="D1772" s="129" t="s">
        <v>16289</v>
      </c>
    </row>
    <row r="1773" spans="1:4">
      <c r="A1773" s="105">
        <v>102142</v>
      </c>
      <c r="B1773" s="104" t="s">
        <v>2034</v>
      </c>
      <c r="C1773" s="104" t="s">
        <v>183</v>
      </c>
      <c r="D1773" s="129" t="s">
        <v>16290</v>
      </c>
    </row>
    <row r="1774" spans="1:4">
      <c r="A1774" s="105">
        <v>102457</v>
      </c>
      <c r="B1774" s="104" t="s">
        <v>2035</v>
      </c>
      <c r="C1774" s="104" t="s">
        <v>183</v>
      </c>
      <c r="D1774" s="129" t="s">
        <v>16291</v>
      </c>
    </row>
    <row r="1775" spans="1:4">
      <c r="A1775" s="105">
        <v>94263</v>
      </c>
      <c r="B1775" s="104" t="s">
        <v>2036</v>
      </c>
      <c r="C1775" s="104" t="s">
        <v>40</v>
      </c>
      <c r="D1775" s="129" t="s">
        <v>16292</v>
      </c>
    </row>
    <row r="1776" spans="1:4">
      <c r="A1776" s="105">
        <v>94264</v>
      </c>
      <c r="B1776" s="104" t="s">
        <v>2037</v>
      </c>
      <c r="C1776" s="104" t="s">
        <v>40</v>
      </c>
      <c r="D1776" s="129" t="s">
        <v>16293</v>
      </c>
    </row>
    <row r="1777" spans="1:4">
      <c r="A1777" s="105">
        <v>94265</v>
      </c>
      <c r="B1777" s="104" t="s">
        <v>2038</v>
      </c>
      <c r="C1777" s="104" t="s">
        <v>40</v>
      </c>
      <c r="D1777" s="129" t="s">
        <v>16294</v>
      </c>
    </row>
    <row r="1778" spans="1:4">
      <c r="A1778" s="105">
        <v>94266</v>
      </c>
      <c r="B1778" s="104" t="s">
        <v>2039</v>
      </c>
      <c r="C1778" s="104" t="s">
        <v>40</v>
      </c>
      <c r="D1778" s="129" t="s">
        <v>16295</v>
      </c>
    </row>
    <row r="1779" spans="1:4">
      <c r="A1779" s="105">
        <v>94267</v>
      </c>
      <c r="B1779" s="104" t="s">
        <v>2040</v>
      </c>
      <c r="C1779" s="104" t="s">
        <v>40</v>
      </c>
      <c r="D1779" s="129" t="s">
        <v>16296</v>
      </c>
    </row>
    <row r="1780" spans="1:4">
      <c r="A1780" s="105">
        <v>94268</v>
      </c>
      <c r="B1780" s="104" t="s">
        <v>2041</v>
      </c>
      <c r="C1780" s="104" t="s">
        <v>40</v>
      </c>
      <c r="D1780" s="129" t="s">
        <v>16297</v>
      </c>
    </row>
    <row r="1781" spans="1:4">
      <c r="A1781" s="105">
        <v>94269</v>
      </c>
      <c r="B1781" s="104" t="s">
        <v>2042</v>
      </c>
      <c r="C1781" s="104" t="s">
        <v>40</v>
      </c>
      <c r="D1781" s="129" t="s">
        <v>16298</v>
      </c>
    </row>
    <row r="1782" spans="1:4">
      <c r="A1782" s="105">
        <v>94270</v>
      </c>
      <c r="B1782" s="104" t="s">
        <v>2043</v>
      </c>
      <c r="C1782" s="104" t="s">
        <v>40</v>
      </c>
      <c r="D1782" s="129" t="s">
        <v>16299</v>
      </c>
    </row>
    <row r="1783" spans="1:4">
      <c r="A1783" s="105">
        <v>94271</v>
      </c>
      <c r="B1783" s="104" t="s">
        <v>2044</v>
      </c>
      <c r="C1783" s="104" t="s">
        <v>40</v>
      </c>
      <c r="D1783" s="129" t="s">
        <v>16300</v>
      </c>
    </row>
    <row r="1784" spans="1:4">
      <c r="A1784" s="105">
        <v>94272</v>
      </c>
      <c r="B1784" s="104" t="s">
        <v>2045</v>
      </c>
      <c r="C1784" s="104" t="s">
        <v>40</v>
      </c>
      <c r="D1784" s="129" t="s">
        <v>16301</v>
      </c>
    </row>
    <row r="1785" spans="1:4">
      <c r="A1785" s="105">
        <v>94273</v>
      </c>
      <c r="B1785" s="104" t="s">
        <v>2046</v>
      </c>
      <c r="C1785" s="104" t="s">
        <v>40</v>
      </c>
      <c r="D1785" s="129" t="s">
        <v>16302</v>
      </c>
    </row>
    <row r="1786" spans="1:4">
      <c r="A1786" s="105">
        <v>94274</v>
      </c>
      <c r="B1786" s="104" t="s">
        <v>2047</v>
      </c>
      <c r="C1786" s="104" t="s">
        <v>40</v>
      </c>
      <c r="D1786" s="129" t="s">
        <v>16303</v>
      </c>
    </row>
    <row r="1787" spans="1:4">
      <c r="A1787" s="105">
        <v>94275</v>
      </c>
      <c r="B1787" s="104" t="s">
        <v>2048</v>
      </c>
      <c r="C1787" s="104" t="s">
        <v>40</v>
      </c>
      <c r="D1787" s="129" t="s">
        <v>16304</v>
      </c>
    </row>
    <row r="1788" spans="1:4">
      <c r="A1788" s="105">
        <v>94276</v>
      </c>
      <c r="B1788" s="104" t="s">
        <v>2049</v>
      </c>
      <c r="C1788" s="104" t="s">
        <v>40</v>
      </c>
      <c r="D1788" s="129" t="s">
        <v>16305</v>
      </c>
    </row>
    <row r="1789" spans="1:4">
      <c r="A1789" s="105">
        <v>94277</v>
      </c>
      <c r="B1789" s="104" t="s">
        <v>2050</v>
      </c>
      <c r="C1789" s="104" t="s">
        <v>40</v>
      </c>
      <c r="D1789" s="129" t="s">
        <v>16306</v>
      </c>
    </row>
    <row r="1790" spans="1:4">
      <c r="A1790" s="105">
        <v>94278</v>
      </c>
      <c r="B1790" s="104" t="s">
        <v>2051</v>
      </c>
      <c r="C1790" s="104" t="s">
        <v>40</v>
      </c>
      <c r="D1790" s="129" t="s">
        <v>16307</v>
      </c>
    </row>
    <row r="1791" spans="1:4">
      <c r="A1791" s="105">
        <v>94279</v>
      </c>
      <c r="B1791" s="104" t="s">
        <v>2052</v>
      </c>
      <c r="C1791" s="104" t="s">
        <v>40</v>
      </c>
      <c r="D1791" s="129" t="s">
        <v>15033</v>
      </c>
    </row>
    <row r="1792" spans="1:4">
      <c r="A1792" s="105">
        <v>94280</v>
      </c>
      <c r="B1792" s="104" t="s">
        <v>2053</v>
      </c>
      <c r="C1792" s="104" t="s">
        <v>40</v>
      </c>
      <c r="D1792" s="129" t="s">
        <v>15290</v>
      </c>
    </row>
    <row r="1793" spans="1:4">
      <c r="A1793" s="105">
        <v>94281</v>
      </c>
      <c r="B1793" s="104" t="s">
        <v>2054</v>
      </c>
      <c r="C1793" s="104" t="s">
        <v>40</v>
      </c>
      <c r="D1793" s="129" t="s">
        <v>16308</v>
      </c>
    </row>
    <row r="1794" spans="1:4">
      <c r="A1794" s="105">
        <v>94282</v>
      </c>
      <c r="B1794" s="104" t="s">
        <v>2055</v>
      </c>
      <c r="C1794" s="104" t="s">
        <v>40</v>
      </c>
      <c r="D1794" s="129" t="s">
        <v>15424</v>
      </c>
    </row>
    <row r="1795" spans="1:4">
      <c r="A1795" s="105">
        <v>94283</v>
      </c>
      <c r="B1795" s="104" t="s">
        <v>2056</v>
      </c>
      <c r="C1795" s="104" t="s">
        <v>40</v>
      </c>
      <c r="D1795" s="129" t="s">
        <v>16309</v>
      </c>
    </row>
    <row r="1796" spans="1:4">
      <c r="A1796" s="105">
        <v>94284</v>
      </c>
      <c r="B1796" s="104" t="s">
        <v>2057</v>
      </c>
      <c r="C1796" s="104" t="s">
        <v>40</v>
      </c>
      <c r="D1796" s="129" t="s">
        <v>16310</v>
      </c>
    </row>
    <row r="1797" spans="1:4">
      <c r="A1797" s="105">
        <v>94285</v>
      </c>
      <c r="B1797" s="104" t="s">
        <v>2058</v>
      </c>
      <c r="C1797" s="104" t="s">
        <v>40</v>
      </c>
      <c r="D1797" s="129" t="s">
        <v>16311</v>
      </c>
    </row>
    <row r="1798" spans="1:4">
      <c r="A1798" s="105">
        <v>94286</v>
      </c>
      <c r="B1798" s="104" t="s">
        <v>2059</v>
      </c>
      <c r="C1798" s="104" t="s">
        <v>40</v>
      </c>
      <c r="D1798" s="129" t="s">
        <v>16312</v>
      </c>
    </row>
    <row r="1799" spans="1:4">
      <c r="A1799" s="105">
        <v>94287</v>
      </c>
      <c r="B1799" s="104" t="s">
        <v>2060</v>
      </c>
      <c r="C1799" s="104" t="s">
        <v>40</v>
      </c>
      <c r="D1799" s="129" t="s">
        <v>16313</v>
      </c>
    </row>
    <row r="1800" spans="1:4">
      <c r="A1800" s="105">
        <v>94288</v>
      </c>
      <c r="B1800" s="104" t="s">
        <v>2061</v>
      </c>
      <c r="C1800" s="104" t="s">
        <v>40</v>
      </c>
      <c r="D1800" s="129" t="s">
        <v>15294</v>
      </c>
    </row>
    <row r="1801" spans="1:4">
      <c r="A1801" s="105">
        <v>94289</v>
      </c>
      <c r="B1801" s="104" t="s">
        <v>2062</v>
      </c>
      <c r="C1801" s="104" t="s">
        <v>40</v>
      </c>
      <c r="D1801" s="129" t="s">
        <v>16314</v>
      </c>
    </row>
    <row r="1802" spans="1:4">
      <c r="A1802" s="105">
        <v>94290</v>
      </c>
      <c r="B1802" s="104" t="s">
        <v>2063</v>
      </c>
      <c r="C1802" s="104" t="s">
        <v>40</v>
      </c>
      <c r="D1802" s="129" t="s">
        <v>16315</v>
      </c>
    </row>
    <row r="1803" spans="1:4">
      <c r="A1803" s="105">
        <v>94291</v>
      </c>
      <c r="B1803" s="104" t="s">
        <v>2064</v>
      </c>
      <c r="C1803" s="104" t="s">
        <v>40</v>
      </c>
      <c r="D1803" s="129" t="s">
        <v>15912</v>
      </c>
    </row>
    <row r="1804" spans="1:4">
      <c r="A1804" s="105">
        <v>94292</v>
      </c>
      <c r="B1804" s="104" t="s">
        <v>2065</v>
      </c>
      <c r="C1804" s="104" t="s">
        <v>40</v>
      </c>
      <c r="D1804" s="129" t="s">
        <v>16316</v>
      </c>
    </row>
    <row r="1805" spans="1:4">
      <c r="A1805" s="105">
        <v>94293</v>
      </c>
      <c r="B1805" s="104" t="s">
        <v>2066</v>
      </c>
      <c r="C1805" s="104" t="s">
        <v>40</v>
      </c>
      <c r="D1805" s="129" t="s">
        <v>16317</v>
      </c>
    </row>
    <row r="1806" spans="1:4">
      <c r="A1806" s="105">
        <v>94294</v>
      </c>
      <c r="B1806" s="104" t="s">
        <v>2067</v>
      </c>
      <c r="C1806" s="104" t="s">
        <v>40</v>
      </c>
      <c r="D1806" s="129" t="s">
        <v>16318</v>
      </c>
    </row>
    <row r="1807" spans="1:4">
      <c r="A1807" s="105">
        <v>102727</v>
      </c>
      <c r="B1807" s="104" t="s">
        <v>2068</v>
      </c>
      <c r="C1807" s="104" t="s">
        <v>12</v>
      </c>
      <c r="D1807" s="129" t="s">
        <v>16319</v>
      </c>
    </row>
    <row r="1808" spans="1:4">
      <c r="A1808" s="105">
        <v>102728</v>
      </c>
      <c r="B1808" s="104" t="s">
        <v>2069</v>
      </c>
      <c r="C1808" s="104" t="s">
        <v>41</v>
      </c>
      <c r="D1808" s="129" t="s">
        <v>16320</v>
      </c>
    </row>
    <row r="1809" spans="1:4">
      <c r="A1809" s="105">
        <v>102729</v>
      </c>
      <c r="B1809" s="104" t="s">
        <v>2070</v>
      </c>
      <c r="C1809" s="104" t="s">
        <v>41</v>
      </c>
      <c r="D1809" s="129" t="s">
        <v>16321</v>
      </c>
    </row>
    <row r="1810" spans="1:4">
      <c r="A1810" s="105">
        <v>102730</v>
      </c>
      <c r="B1810" s="104" t="s">
        <v>2071</v>
      </c>
      <c r="C1810" s="104" t="s">
        <v>41</v>
      </c>
      <c r="D1810" s="129" t="s">
        <v>16322</v>
      </c>
    </row>
    <row r="1811" spans="1:4">
      <c r="A1811" s="105">
        <v>102731</v>
      </c>
      <c r="B1811" s="104" t="s">
        <v>2072</v>
      </c>
      <c r="C1811" s="104" t="s">
        <v>41</v>
      </c>
      <c r="D1811" s="129" t="s">
        <v>16323</v>
      </c>
    </row>
    <row r="1812" spans="1:4">
      <c r="A1812" s="105">
        <v>102732</v>
      </c>
      <c r="B1812" s="104" t="s">
        <v>2073</v>
      </c>
      <c r="C1812" s="104" t="s">
        <v>41</v>
      </c>
      <c r="D1812" s="129" t="s">
        <v>16324</v>
      </c>
    </row>
    <row r="1813" spans="1:4">
      <c r="A1813" s="105">
        <v>102733</v>
      </c>
      <c r="B1813" s="104" t="s">
        <v>2074</v>
      </c>
      <c r="C1813" s="104" t="s">
        <v>41</v>
      </c>
      <c r="D1813" s="129" t="s">
        <v>16325</v>
      </c>
    </row>
    <row r="1814" spans="1:4">
      <c r="A1814" s="105">
        <v>102734</v>
      </c>
      <c r="B1814" s="104" t="s">
        <v>2075</v>
      </c>
      <c r="C1814" s="104" t="s">
        <v>41</v>
      </c>
      <c r="D1814" s="129" t="s">
        <v>16326</v>
      </c>
    </row>
    <row r="1815" spans="1:4">
      <c r="A1815" s="105">
        <v>102735</v>
      </c>
      <c r="B1815" s="104" t="s">
        <v>2076</v>
      </c>
      <c r="C1815" s="104" t="s">
        <v>41</v>
      </c>
      <c r="D1815" s="129" t="s">
        <v>16327</v>
      </c>
    </row>
    <row r="1816" spans="1:4">
      <c r="A1816" s="105">
        <v>102736</v>
      </c>
      <c r="B1816" s="104" t="s">
        <v>2077</v>
      </c>
      <c r="C1816" s="104" t="s">
        <v>28</v>
      </c>
      <c r="D1816" s="129" t="s">
        <v>16328</v>
      </c>
    </row>
    <row r="1817" spans="1:4">
      <c r="A1817" s="105">
        <v>102737</v>
      </c>
      <c r="B1817" s="104" t="s">
        <v>2078</v>
      </c>
      <c r="C1817" s="104" t="s">
        <v>183</v>
      </c>
      <c r="D1817" s="129" t="s">
        <v>16329</v>
      </c>
    </row>
    <row r="1818" spans="1:4">
      <c r="A1818" s="105">
        <v>102738</v>
      </c>
      <c r="B1818" s="104" t="s">
        <v>2079</v>
      </c>
      <c r="C1818" s="104" t="s">
        <v>183</v>
      </c>
      <c r="D1818" s="129" t="s">
        <v>16330</v>
      </c>
    </row>
    <row r="1819" spans="1:4">
      <c r="A1819" s="105">
        <v>102739</v>
      </c>
      <c r="B1819" s="104" t="s">
        <v>2080</v>
      </c>
      <c r="C1819" s="104" t="s">
        <v>183</v>
      </c>
      <c r="D1819" s="129" t="s">
        <v>16331</v>
      </c>
    </row>
    <row r="1820" spans="1:4">
      <c r="A1820" s="105">
        <v>102740</v>
      </c>
      <c r="B1820" s="104" t="s">
        <v>2081</v>
      </c>
      <c r="C1820" s="104" t="s">
        <v>183</v>
      </c>
      <c r="D1820" s="129" t="s">
        <v>16332</v>
      </c>
    </row>
    <row r="1821" spans="1:4">
      <c r="A1821" s="105">
        <v>102741</v>
      </c>
      <c r="B1821" s="104" t="s">
        <v>2082</v>
      </c>
      <c r="C1821" s="104" t="s">
        <v>183</v>
      </c>
      <c r="D1821" s="129" t="s">
        <v>16333</v>
      </c>
    </row>
    <row r="1822" spans="1:4">
      <c r="A1822" s="105">
        <v>102742</v>
      </c>
      <c r="B1822" s="104" t="s">
        <v>2083</v>
      </c>
      <c r="C1822" s="104" t="s">
        <v>183</v>
      </c>
      <c r="D1822" s="129" t="s">
        <v>16334</v>
      </c>
    </row>
    <row r="1823" spans="1:4">
      <c r="A1823" s="105">
        <v>102743</v>
      </c>
      <c r="B1823" s="104" t="s">
        <v>2084</v>
      </c>
      <c r="C1823" s="104" t="s">
        <v>183</v>
      </c>
      <c r="D1823" s="129" t="s">
        <v>16335</v>
      </c>
    </row>
    <row r="1824" spans="1:4">
      <c r="A1824" s="105">
        <v>102744</v>
      </c>
      <c r="B1824" s="104" t="s">
        <v>2085</v>
      </c>
      <c r="C1824" s="104" t="s">
        <v>183</v>
      </c>
      <c r="D1824" s="129" t="s">
        <v>16336</v>
      </c>
    </row>
    <row r="1825" spans="1:4">
      <c r="A1825" s="105">
        <v>102745</v>
      </c>
      <c r="B1825" s="104" t="s">
        <v>2086</v>
      </c>
      <c r="C1825" s="104" t="s">
        <v>183</v>
      </c>
      <c r="D1825" s="129" t="s">
        <v>16337</v>
      </c>
    </row>
    <row r="1826" spans="1:4">
      <c r="A1826" s="105">
        <v>102746</v>
      </c>
      <c r="B1826" s="104" t="s">
        <v>2087</v>
      </c>
      <c r="C1826" s="104" t="s">
        <v>183</v>
      </c>
      <c r="D1826" s="129" t="s">
        <v>16338</v>
      </c>
    </row>
    <row r="1827" spans="1:4">
      <c r="A1827" s="105">
        <v>102747</v>
      </c>
      <c r="B1827" s="104" t="s">
        <v>2088</v>
      </c>
      <c r="C1827" s="104" t="s">
        <v>183</v>
      </c>
      <c r="D1827" s="129" t="s">
        <v>16339</v>
      </c>
    </row>
    <row r="1828" spans="1:4">
      <c r="A1828" s="105">
        <v>102748</v>
      </c>
      <c r="B1828" s="104" t="s">
        <v>2089</v>
      </c>
      <c r="C1828" s="104" t="s">
        <v>183</v>
      </c>
      <c r="D1828" s="129" t="s">
        <v>16340</v>
      </c>
    </row>
    <row r="1829" spans="1:4">
      <c r="A1829" s="105">
        <v>102749</v>
      </c>
      <c r="B1829" s="104" t="s">
        <v>2090</v>
      </c>
      <c r="C1829" s="104" t="s">
        <v>183</v>
      </c>
      <c r="D1829" s="129" t="s">
        <v>16341</v>
      </c>
    </row>
    <row r="1830" spans="1:4">
      <c r="A1830" s="105">
        <v>102750</v>
      </c>
      <c r="B1830" s="104" t="s">
        <v>2091</v>
      </c>
      <c r="C1830" s="104" t="s">
        <v>183</v>
      </c>
      <c r="D1830" s="129" t="s">
        <v>16342</v>
      </c>
    </row>
    <row r="1831" spans="1:4">
      <c r="A1831" s="105">
        <v>102751</v>
      </c>
      <c r="B1831" s="104" t="s">
        <v>2092</v>
      </c>
      <c r="C1831" s="104" t="s">
        <v>183</v>
      </c>
      <c r="D1831" s="129" t="s">
        <v>16343</v>
      </c>
    </row>
    <row r="1832" spans="1:4">
      <c r="A1832" s="105">
        <v>102752</v>
      </c>
      <c r="B1832" s="104" t="s">
        <v>2093</v>
      </c>
      <c r="C1832" s="104" t="s">
        <v>183</v>
      </c>
      <c r="D1832" s="129" t="s">
        <v>16344</v>
      </c>
    </row>
    <row r="1833" spans="1:4">
      <c r="A1833" s="105">
        <v>102753</v>
      </c>
      <c r="B1833" s="104" t="s">
        <v>2094</v>
      </c>
      <c r="C1833" s="104" t="s">
        <v>183</v>
      </c>
      <c r="D1833" s="129" t="s">
        <v>16345</v>
      </c>
    </row>
    <row r="1834" spans="1:4">
      <c r="A1834" s="105">
        <v>102754</v>
      </c>
      <c r="B1834" s="104" t="s">
        <v>2095</v>
      </c>
      <c r="C1834" s="104" t="s">
        <v>183</v>
      </c>
      <c r="D1834" s="129" t="s">
        <v>16346</v>
      </c>
    </row>
    <row r="1835" spans="1:4">
      <c r="A1835" s="105">
        <v>102755</v>
      </c>
      <c r="B1835" s="104" t="s">
        <v>2096</v>
      </c>
      <c r="C1835" s="104" t="s">
        <v>183</v>
      </c>
      <c r="D1835" s="129" t="s">
        <v>16347</v>
      </c>
    </row>
    <row r="1836" spans="1:4">
      <c r="A1836" s="105">
        <v>102756</v>
      </c>
      <c r="B1836" s="104" t="s">
        <v>2097</v>
      </c>
      <c r="C1836" s="104" t="s">
        <v>183</v>
      </c>
      <c r="D1836" s="129" t="s">
        <v>16348</v>
      </c>
    </row>
    <row r="1837" spans="1:4">
      <c r="A1837" s="105">
        <v>102757</v>
      </c>
      <c r="B1837" s="104" t="s">
        <v>2098</v>
      </c>
      <c r="C1837" s="104" t="s">
        <v>183</v>
      </c>
      <c r="D1837" s="129" t="s">
        <v>16349</v>
      </c>
    </row>
    <row r="1838" spans="1:4">
      <c r="A1838" s="105">
        <v>102758</v>
      </c>
      <c r="B1838" s="104" t="s">
        <v>2099</v>
      </c>
      <c r="C1838" s="104" t="s">
        <v>183</v>
      </c>
      <c r="D1838" s="129" t="s">
        <v>16350</v>
      </c>
    </row>
    <row r="1839" spans="1:4">
      <c r="A1839" s="105">
        <v>102759</v>
      </c>
      <c r="B1839" s="104" t="s">
        <v>2100</v>
      </c>
      <c r="C1839" s="104" t="s">
        <v>183</v>
      </c>
      <c r="D1839" s="129" t="s">
        <v>16351</v>
      </c>
    </row>
    <row r="1840" spans="1:4">
      <c r="A1840" s="105">
        <v>102760</v>
      </c>
      <c r="B1840" s="104" t="s">
        <v>2101</v>
      </c>
      <c r="C1840" s="104" t="s">
        <v>183</v>
      </c>
      <c r="D1840" s="129" t="s">
        <v>16352</v>
      </c>
    </row>
    <row r="1841" spans="1:4">
      <c r="A1841" s="105">
        <v>102761</v>
      </c>
      <c r="B1841" s="104" t="s">
        <v>2102</v>
      </c>
      <c r="C1841" s="104" t="s">
        <v>183</v>
      </c>
      <c r="D1841" s="129" t="s">
        <v>16353</v>
      </c>
    </row>
    <row r="1842" spans="1:4">
      <c r="A1842" s="105">
        <v>102762</v>
      </c>
      <c r="B1842" s="104" t="s">
        <v>2103</v>
      </c>
      <c r="C1842" s="104" t="s">
        <v>183</v>
      </c>
      <c r="D1842" s="129" t="s">
        <v>16354</v>
      </c>
    </row>
    <row r="1843" spans="1:4">
      <c r="A1843" s="105">
        <v>102763</v>
      </c>
      <c r="B1843" s="104" t="s">
        <v>2104</v>
      </c>
      <c r="C1843" s="104" t="s">
        <v>183</v>
      </c>
      <c r="D1843" s="129" t="s">
        <v>16355</v>
      </c>
    </row>
    <row r="1844" spans="1:4">
      <c r="A1844" s="105">
        <v>102764</v>
      </c>
      <c r="B1844" s="104" t="s">
        <v>2105</v>
      </c>
      <c r="C1844" s="104" t="s">
        <v>183</v>
      </c>
      <c r="D1844" s="129" t="s">
        <v>16356</v>
      </c>
    </row>
    <row r="1845" spans="1:4">
      <c r="A1845" s="105">
        <v>102765</v>
      </c>
      <c r="B1845" s="104" t="s">
        <v>2106</v>
      </c>
      <c r="C1845" s="104" t="s">
        <v>183</v>
      </c>
      <c r="D1845" s="129" t="s">
        <v>16357</v>
      </c>
    </row>
    <row r="1846" spans="1:4">
      <c r="A1846" s="105">
        <v>102766</v>
      </c>
      <c r="B1846" s="104" t="s">
        <v>2107</v>
      </c>
      <c r="C1846" s="104" t="s">
        <v>183</v>
      </c>
      <c r="D1846" s="129" t="s">
        <v>16358</v>
      </c>
    </row>
    <row r="1847" spans="1:4">
      <c r="A1847" s="105">
        <v>102767</v>
      </c>
      <c r="B1847" s="104" t="s">
        <v>2108</v>
      </c>
      <c r="C1847" s="104" t="s">
        <v>183</v>
      </c>
      <c r="D1847" s="129" t="s">
        <v>16359</v>
      </c>
    </row>
    <row r="1848" spans="1:4">
      <c r="A1848" s="105">
        <v>102768</v>
      </c>
      <c r="B1848" s="104" t="s">
        <v>2109</v>
      </c>
      <c r="C1848" s="104" t="s">
        <v>183</v>
      </c>
      <c r="D1848" s="129" t="s">
        <v>16360</v>
      </c>
    </row>
    <row r="1849" spans="1:4">
      <c r="A1849" s="105">
        <v>102769</v>
      </c>
      <c r="B1849" s="104" t="s">
        <v>2110</v>
      </c>
      <c r="C1849" s="104" t="s">
        <v>183</v>
      </c>
      <c r="D1849" s="129" t="s">
        <v>16361</v>
      </c>
    </row>
    <row r="1850" spans="1:4">
      <c r="A1850" s="105">
        <v>102770</v>
      </c>
      <c r="B1850" s="104" t="s">
        <v>2111</v>
      </c>
      <c r="C1850" s="104" t="s">
        <v>183</v>
      </c>
      <c r="D1850" s="129" t="s">
        <v>16362</v>
      </c>
    </row>
    <row r="1851" spans="1:4">
      <c r="A1851" s="105">
        <v>102771</v>
      </c>
      <c r="B1851" s="104" t="s">
        <v>2112</v>
      </c>
      <c r="C1851" s="104" t="s">
        <v>183</v>
      </c>
      <c r="D1851" s="129" t="s">
        <v>16363</v>
      </c>
    </row>
    <row r="1852" spans="1:4">
      <c r="A1852" s="105">
        <v>102772</v>
      </c>
      <c r="B1852" s="104" t="s">
        <v>2113</v>
      </c>
      <c r="C1852" s="104" t="s">
        <v>183</v>
      </c>
      <c r="D1852" s="129" t="s">
        <v>16364</v>
      </c>
    </row>
    <row r="1853" spans="1:4">
      <c r="A1853" s="105">
        <v>102773</v>
      </c>
      <c r="B1853" s="104" t="s">
        <v>2114</v>
      </c>
      <c r="C1853" s="104" t="s">
        <v>183</v>
      </c>
      <c r="D1853" s="129" t="s">
        <v>16365</v>
      </c>
    </row>
    <row r="1854" spans="1:4">
      <c r="A1854" s="105">
        <v>102774</v>
      </c>
      <c r="B1854" s="104" t="s">
        <v>2115</v>
      </c>
      <c r="C1854" s="104" t="s">
        <v>183</v>
      </c>
      <c r="D1854" s="129" t="s">
        <v>16365</v>
      </c>
    </row>
    <row r="1855" spans="1:4">
      <c r="A1855" s="105">
        <v>102775</v>
      </c>
      <c r="B1855" s="104" t="s">
        <v>2116</v>
      </c>
      <c r="C1855" s="104" t="s">
        <v>183</v>
      </c>
      <c r="D1855" s="129" t="s">
        <v>16366</v>
      </c>
    </row>
    <row r="1856" spans="1:4">
      <c r="A1856" s="105">
        <v>102776</v>
      </c>
      <c r="B1856" s="104" t="s">
        <v>2117</v>
      </c>
      <c r="C1856" s="104" t="s">
        <v>183</v>
      </c>
      <c r="D1856" s="129" t="s">
        <v>16366</v>
      </c>
    </row>
    <row r="1857" spans="1:4">
      <c r="A1857" s="105">
        <v>102777</v>
      </c>
      <c r="B1857" s="104" t="s">
        <v>2118</v>
      </c>
      <c r="C1857" s="104" t="s">
        <v>183</v>
      </c>
      <c r="D1857" s="129" t="s">
        <v>16367</v>
      </c>
    </row>
    <row r="1858" spans="1:4">
      <c r="A1858" s="105">
        <v>102778</v>
      </c>
      <c r="B1858" s="104" t="s">
        <v>2119</v>
      </c>
      <c r="C1858" s="104" t="s">
        <v>183</v>
      </c>
      <c r="D1858" s="129" t="s">
        <v>16368</v>
      </c>
    </row>
    <row r="1859" spans="1:4">
      <c r="A1859" s="105">
        <v>102779</v>
      </c>
      <c r="B1859" s="104" t="s">
        <v>2120</v>
      </c>
      <c r="C1859" s="104" t="s">
        <v>183</v>
      </c>
      <c r="D1859" s="129" t="s">
        <v>16365</v>
      </c>
    </row>
    <row r="1860" spans="1:4">
      <c r="A1860" s="105">
        <v>102780</v>
      </c>
      <c r="B1860" s="104" t="s">
        <v>2121</v>
      </c>
      <c r="C1860" s="104" t="s">
        <v>183</v>
      </c>
      <c r="D1860" s="129" t="s">
        <v>16369</v>
      </c>
    </row>
    <row r="1861" spans="1:4">
      <c r="A1861" s="105">
        <v>102781</v>
      </c>
      <c r="B1861" s="104" t="s">
        <v>2122</v>
      </c>
      <c r="C1861" s="104" t="s">
        <v>183</v>
      </c>
      <c r="D1861" s="129" t="s">
        <v>16370</v>
      </c>
    </row>
    <row r="1862" spans="1:4">
      <c r="A1862" s="105">
        <v>102782</v>
      </c>
      <c r="B1862" s="104" t="s">
        <v>2123</v>
      </c>
      <c r="C1862" s="104" t="s">
        <v>183</v>
      </c>
      <c r="D1862" s="129" t="s">
        <v>16371</v>
      </c>
    </row>
    <row r="1863" spans="1:4">
      <c r="A1863" s="105">
        <v>102783</v>
      </c>
      <c r="B1863" s="104" t="s">
        <v>2124</v>
      </c>
      <c r="C1863" s="104" t="s">
        <v>183</v>
      </c>
      <c r="D1863" s="129" t="s">
        <v>16372</v>
      </c>
    </row>
    <row r="1864" spans="1:4">
      <c r="A1864" s="105">
        <v>102784</v>
      </c>
      <c r="B1864" s="104" t="s">
        <v>2125</v>
      </c>
      <c r="C1864" s="104" t="s">
        <v>183</v>
      </c>
      <c r="D1864" s="129" t="s">
        <v>16373</v>
      </c>
    </row>
    <row r="1865" spans="1:4">
      <c r="A1865" s="105">
        <v>102785</v>
      </c>
      <c r="B1865" s="104" t="s">
        <v>2126</v>
      </c>
      <c r="C1865" s="104" t="s">
        <v>183</v>
      </c>
      <c r="D1865" s="129" t="s">
        <v>16369</v>
      </c>
    </row>
    <row r="1866" spans="1:4">
      <c r="A1866" s="105">
        <v>102786</v>
      </c>
      <c r="B1866" s="104" t="s">
        <v>2127</v>
      </c>
      <c r="C1866" s="104" t="s">
        <v>183</v>
      </c>
      <c r="D1866" s="129" t="s">
        <v>16374</v>
      </c>
    </row>
    <row r="1867" spans="1:4">
      <c r="A1867" s="105">
        <v>102787</v>
      </c>
      <c r="B1867" s="104" t="s">
        <v>2128</v>
      </c>
      <c r="C1867" s="104" t="s">
        <v>183</v>
      </c>
      <c r="D1867" s="129" t="s">
        <v>16371</v>
      </c>
    </row>
    <row r="1868" spans="1:4">
      <c r="A1868" s="105">
        <v>102788</v>
      </c>
      <c r="B1868" s="104" t="s">
        <v>2129</v>
      </c>
      <c r="C1868" s="104" t="s">
        <v>183</v>
      </c>
      <c r="D1868" s="129" t="s">
        <v>16375</v>
      </c>
    </row>
    <row r="1869" spans="1:4">
      <c r="A1869" s="105">
        <v>102789</v>
      </c>
      <c r="B1869" s="104" t="s">
        <v>2130</v>
      </c>
      <c r="C1869" s="104" t="s">
        <v>183</v>
      </c>
      <c r="D1869" s="129" t="s">
        <v>16376</v>
      </c>
    </row>
    <row r="1870" spans="1:4">
      <c r="A1870" s="105">
        <v>102790</v>
      </c>
      <c r="B1870" s="104" t="s">
        <v>2131</v>
      </c>
      <c r="C1870" s="104" t="s">
        <v>183</v>
      </c>
      <c r="D1870" s="129" t="s">
        <v>16377</v>
      </c>
    </row>
    <row r="1871" spans="1:4">
      <c r="A1871" s="105">
        <v>102791</v>
      </c>
      <c r="B1871" s="104" t="s">
        <v>2132</v>
      </c>
      <c r="C1871" s="104" t="s">
        <v>183</v>
      </c>
      <c r="D1871" s="129" t="s">
        <v>16378</v>
      </c>
    </row>
    <row r="1872" spans="1:4">
      <c r="A1872" s="105">
        <v>102792</v>
      </c>
      <c r="B1872" s="104" t="s">
        <v>2133</v>
      </c>
      <c r="C1872" s="104" t="s">
        <v>183</v>
      </c>
      <c r="D1872" s="129" t="s">
        <v>16379</v>
      </c>
    </row>
    <row r="1873" spans="1:4">
      <c r="A1873" s="105">
        <v>102793</v>
      </c>
      <c r="B1873" s="104" t="s">
        <v>2134</v>
      </c>
      <c r="C1873" s="104" t="s">
        <v>183</v>
      </c>
      <c r="D1873" s="129" t="s">
        <v>16380</v>
      </c>
    </row>
    <row r="1874" spans="1:4">
      <c r="A1874" s="105">
        <v>102794</v>
      </c>
      <c r="B1874" s="104" t="s">
        <v>2135</v>
      </c>
      <c r="C1874" s="104" t="s">
        <v>183</v>
      </c>
      <c r="D1874" s="129" t="s">
        <v>16381</v>
      </c>
    </row>
    <row r="1875" spans="1:4">
      <c r="A1875" s="105">
        <v>102795</v>
      </c>
      <c r="B1875" s="104" t="s">
        <v>2136</v>
      </c>
      <c r="C1875" s="104" t="s">
        <v>183</v>
      </c>
      <c r="D1875" s="129" t="s">
        <v>16382</v>
      </c>
    </row>
    <row r="1876" spans="1:4">
      <c r="A1876" s="105">
        <v>102796</v>
      </c>
      <c r="B1876" s="104" t="s">
        <v>2137</v>
      </c>
      <c r="C1876" s="104" t="s">
        <v>183</v>
      </c>
      <c r="D1876" s="129" t="s">
        <v>16383</v>
      </c>
    </row>
    <row r="1877" spans="1:4">
      <c r="A1877" s="105">
        <v>102797</v>
      </c>
      <c r="B1877" s="104" t="s">
        <v>2138</v>
      </c>
      <c r="C1877" s="104" t="s">
        <v>183</v>
      </c>
      <c r="D1877" s="129" t="s">
        <v>16384</v>
      </c>
    </row>
    <row r="1878" spans="1:4">
      <c r="A1878" s="105">
        <v>102798</v>
      </c>
      <c r="B1878" s="104" t="s">
        <v>2139</v>
      </c>
      <c r="C1878" s="104" t="s">
        <v>183</v>
      </c>
      <c r="D1878" s="129" t="s">
        <v>16385</v>
      </c>
    </row>
    <row r="1879" spans="1:4">
      <c r="A1879" s="105">
        <v>102799</v>
      </c>
      <c r="B1879" s="104" t="s">
        <v>2140</v>
      </c>
      <c r="C1879" s="104" t="s">
        <v>183</v>
      </c>
      <c r="D1879" s="129" t="s">
        <v>16386</v>
      </c>
    </row>
    <row r="1880" spans="1:4">
      <c r="A1880" s="105">
        <v>102800</v>
      </c>
      <c r="B1880" s="104" t="s">
        <v>2141</v>
      </c>
      <c r="C1880" s="104" t="s">
        <v>183</v>
      </c>
      <c r="D1880" s="129" t="s">
        <v>16387</v>
      </c>
    </row>
    <row r="1881" spans="1:4">
      <c r="A1881" s="105">
        <v>102801</v>
      </c>
      <c r="B1881" s="104" t="s">
        <v>2142</v>
      </c>
      <c r="C1881" s="104" t="s">
        <v>183</v>
      </c>
      <c r="D1881" s="129" t="s">
        <v>16388</v>
      </c>
    </row>
    <row r="1882" spans="1:4">
      <c r="A1882" s="105">
        <v>102802</v>
      </c>
      <c r="B1882" s="104" t="s">
        <v>2143</v>
      </c>
      <c r="C1882" s="104" t="s">
        <v>183</v>
      </c>
      <c r="D1882" s="129" t="s">
        <v>16389</v>
      </c>
    </row>
    <row r="1883" spans="1:4">
      <c r="A1883" s="105">
        <v>101570</v>
      </c>
      <c r="B1883" s="104" t="s">
        <v>2144</v>
      </c>
      <c r="C1883" s="104" t="s">
        <v>12</v>
      </c>
      <c r="D1883" s="129" t="s">
        <v>16390</v>
      </c>
    </row>
    <row r="1884" spans="1:4">
      <c r="A1884" s="105">
        <v>101571</v>
      </c>
      <c r="B1884" s="104" t="s">
        <v>2145</v>
      </c>
      <c r="C1884" s="104" t="s">
        <v>12</v>
      </c>
      <c r="D1884" s="129" t="s">
        <v>14833</v>
      </c>
    </row>
    <row r="1885" spans="1:4">
      <c r="A1885" s="105">
        <v>101572</v>
      </c>
      <c r="B1885" s="104" t="s">
        <v>2146</v>
      </c>
      <c r="C1885" s="104" t="s">
        <v>12</v>
      </c>
      <c r="D1885" s="129" t="s">
        <v>16391</v>
      </c>
    </row>
    <row r="1886" spans="1:4">
      <c r="A1886" s="105">
        <v>101573</v>
      </c>
      <c r="B1886" s="104" t="s">
        <v>2147</v>
      </c>
      <c r="C1886" s="104" t="s">
        <v>12</v>
      </c>
      <c r="D1886" s="129" t="s">
        <v>16392</v>
      </c>
    </row>
    <row r="1887" spans="1:4">
      <c r="A1887" s="105">
        <v>101574</v>
      </c>
      <c r="B1887" s="104" t="s">
        <v>2148</v>
      </c>
      <c r="C1887" s="104" t="s">
        <v>12</v>
      </c>
      <c r="D1887" s="129" t="s">
        <v>16393</v>
      </c>
    </row>
    <row r="1888" spans="1:4">
      <c r="A1888" s="105">
        <v>101575</v>
      </c>
      <c r="B1888" s="104" t="s">
        <v>2149</v>
      </c>
      <c r="C1888" s="104" t="s">
        <v>12</v>
      </c>
      <c r="D1888" s="129" t="s">
        <v>16394</v>
      </c>
    </row>
    <row r="1889" spans="1:4">
      <c r="A1889" s="105">
        <v>101576</v>
      </c>
      <c r="B1889" s="104" t="s">
        <v>2150</v>
      </c>
      <c r="C1889" s="104" t="s">
        <v>12</v>
      </c>
      <c r="D1889" s="129" t="s">
        <v>16395</v>
      </c>
    </row>
    <row r="1890" spans="1:4">
      <c r="A1890" s="105">
        <v>101577</v>
      </c>
      <c r="B1890" s="104" t="s">
        <v>2151</v>
      </c>
      <c r="C1890" s="104" t="s">
        <v>12</v>
      </c>
      <c r="D1890" s="129" t="s">
        <v>16396</v>
      </c>
    </row>
    <row r="1891" spans="1:4">
      <c r="A1891" s="105">
        <v>101578</v>
      </c>
      <c r="B1891" s="104" t="s">
        <v>2152</v>
      </c>
      <c r="C1891" s="104" t="s">
        <v>12</v>
      </c>
      <c r="D1891" s="129" t="s">
        <v>16397</v>
      </c>
    </row>
    <row r="1892" spans="1:4">
      <c r="A1892" s="105">
        <v>101579</v>
      </c>
      <c r="B1892" s="104" t="s">
        <v>2153</v>
      </c>
      <c r="C1892" s="104" t="s">
        <v>12</v>
      </c>
      <c r="D1892" s="129" t="s">
        <v>16398</v>
      </c>
    </row>
    <row r="1893" spans="1:4">
      <c r="A1893" s="105">
        <v>101580</v>
      </c>
      <c r="B1893" s="104" t="s">
        <v>2154</v>
      </c>
      <c r="C1893" s="104" t="s">
        <v>12</v>
      </c>
      <c r="D1893" s="129" t="s">
        <v>16399</v>
      </c>
    </row>
    <row r="1894" spans="1:4">
      <c r="A1894" s="105">
        <v>101581</v>
      </c>
      <c r="B1894" s="104" t="s">
        <v>2155</v>
      </c>
      <c r="C1894" s="104" t="s">
        <v>12</v>
      </c>
      <c r="D1894" s="129" t="s">
        <v>16400</v>
      </c>
    </row>
    <row r="1895" spans="1:4">
      <c r="A1895" s="105">
        <v>101582</v>
      </c>
      <c r="B1895" s="104" t="s">
        <v>2156</v>
      </c>
      <c r="C1895" s="104" t="s">
        <v>12</v>
      </c>
      <c r="D1895" s="129" t="s">
        <v>16401</v>
      </c>
    </row>
    <row r="1896" spans="1:4">
      <c r="A1896" s="105">
        <v>101583</v>
      </c>
      <c r="B1896" s="104" t="s">
        <v>2157</v>
      </c>
      <c r="C1896" s="104" t="s">
        <v>12</v>
      </c>
      <c r="D1896" s="129" t="s">
        <v>16402</v>
      </c>
    </row>
    <row r="1897" spans="1:4">
      <c r="A1897" s="105">
        <v>101584</v>
      </c>
      <c r="B1897" s="104" t="s">
        <v>2158</v>
      </c>
      <c r="C1897" s="104" t="s">
        <v>12</v>
      </c>
      <c r="D1897" s="129" t="s">
        <v>16403</v>
      </c>
    </row>
    <row r="1898" spans="1:4">
      <c r="A1898" s="105">
        <v>101585</v>
      </c>
      <c r="B1898" s="104" t="s">
        <v>2159</v>
      </c>
      <c r="C1898" s="104" t="s">
        <v>12</v>
      </c>
      <c r="D1898" s="129" t="s">
        <v>15996</v>
      </c>
    </row>
    <row r="1899" spans="1:4">
      <c r="A1899" s="105">
        <v>101586</v>
      </c>
      <c r="B1899" s="104" t="s">
        <v>2160</v>
      </c>
      <c r="C1899" s="104" t="s">
        <v>12</v>
      </c>
      <c r="D1899" s="129" t="s">
        <v>16404</v>
      </c>
    </row>
    <row r="1900" spans="1:4">
      <c r="A1900" s="105">
        <v>101587</v>
      </c>
      <c r="B1900" s="104" t="s">
        <v>2161</v>
      </c>
      <c r="C1900" s="104" t="s">
        <v>12</v>
      </c>
      <c r="D1900" s="129" t="s">
        <v>16405</v>
      </c>
    </row>
    <row r="1901" spans="1:4">
      <c r="A1901" s="105">
        <v>101588</v>
      </c>
      <c r="B1901" s="104" t="s">
        <v>2162</v>
      </c>
      <c r="C1901" s="104" t="s">
        <v>12</v>
      </c>
      <c r="D1901" s="129" t="s">
        <v>16406</v>
      </c>
    </row>
    <row r="1902" spans="1:4">
      <c r="A1902" s="105">
        <v>101589</v>
      </c>
      <c r="B1902" s="104" t="s">
        <v>2163</v>
      </c>
      <c r="C1902" s="104" t="s">
        <v>12</v>
      </c>
      <c r="D1902" s="129" t="s">
        <v>16407</v>
      </c>
    </row>
    <row r="1903" spans="1:4">
      <c r="A1903" s="105">
        <v>101590</v>
      </c>
      <c r="B1903" s="104" t="s">
        <v>2164</v>
      </c>
      <c r="C1903" s="104" t="s">
        <v>12</v>
      </c>
      <c r="D1903" s="129" t="s">
        <v>16408</v>
      </c>
    </row>
    <row r="1904" spans="1:4">
      <c r="A1904" s="105">
        <v>101591</v>
      </c>
      <c r="B1904" s="104" t="s">
        <v>2165</v>
      </c>
      <c r="C1904" s="104" t="s">
        <v>12</v>
      </c>
      <c r="D1904" s="129" t="s">
        <v>16409</v>
      </c>
    </row>
    <row r="1905" spans="1:4">
      <c r="A1905" s="105">
        <v>101592</v>
      </c>
      <c r="B1905" s="104" t="s">
        <v>2166</v>
      </c>
      <c r="C1905" s="104" t="s">
        <v>12</v>
      </c>
      <c r="D1905" s="129" t="s">
        <v>16410</v>
      </c>
    </row>
    <row r="1906" spans="1:4">
      <c r="A1906" s="105">
        <v>101593</v>
      </c>
      <c r="B1906" s="104" t="s">
        <v>2167</v>
      </c>
      <c r="C1906" s="104" t="s">
        <v>12</v>
      </c>
      <c r="D1906" s="129" t="s">
        <v>16411</v>
      </c>
    </row>
    <row r="1907" spans="1:4">
      <c r="A1907" s="105">
        <v>101600</v>
      </c>
      <c r="B1907" s="104" t="s">
        <v>2168</v>
      </c>
      <c r="C1907" s="104" t="s">
        <v>12</v>
      </c>
      <c r="D1907" s="129" t="s">
        <v>16412</v>
      </c>
    </row>
    <row r="1908" spans="1:4">
      <c r="A1908" s="105">
        <v>101601</v>
      </c>
      <c r="B1908" s="104" t="s">
        <v>2169</v>
      </c>
      <c r="C1908" s="104" t="s">
        <v>12</v>
      </c>
      <c r="D1908" s="129" t="s">
        <v>16413</v>
      </c>
    </row>
    <row r="1909" spans="1:4">
      <c r="A1909" s="105">
        <v>101602</v>
      </c>
      <c r="B1909" s="104" t="s">
        <v>2170</v>
      </c>
      <c r="C1909" s="104" t="s">
        <v>12</v>
      </c>
      <c r="D1909" s="129" t="s">
        <v>16414</v>
      </c>
    </row>
    <row r="1910" spans="1:4">
      <c r="A1910" s="105">
        <v>101603</v>
      </c>
      <c r="B1910" s="104" t="s">
        <v>2171</v>
      </c>
      <c r="C1910" s="104" t="s">
        <v>12</v>
      </c>
      <c r="D1910" s="129" t="s">
        <v>16415</v>
      </c>
    </row>
    <row r="1911" spans="1:4">
      <c r="A1911" s="105">
        <v>101604</v>
      </c>
      <c r="B1911" s="104" t="s">
        <v>2172</v>
      </c>
      <c r="C1911" s="104" t="s">
        <v>12</v>
      </c>
      <c r="D1911" s="129" t="s">
        <v>14819</v>
      </c>
    </row>
    <row r="1912" spans="1:4">
      <c r="A1912" s="105">
        <v>101605</v>
      </c>
      <c r="B1912" s="104" t="s">
        <v>2173</v>
      </c>
      <c r="C1912" s="104" t="s">
        <v>12</v>
      </c>
      <c r="D1912" s="129" t="s">
        <v>16416</v>
      </c>
    </row>
    <row r="1913" spans="1:4">
      <c r="A1913" s="105">
        <v>90788</v>
      </c>
      <c r="B1913" s="104" t="s">
        <v>2174</v>
      </c>
      <c r="C1913" s="104" t="s">
        <v>183</v>
      </c>
      <c r="D1913" s="129" t="s">
        <v>16417</v>
      </c>
    </row>
    <row r="1914" spans="1:4">
      <c r="A1914" s="105">
        <v>90789</v>
      </c>
      <c r="B1914" s="104" t="s">
        <v>2175</v>
      </c>
      <c r="C1914" s="104" t="s">
        <v>183</v>
      </c>
      <c r="D1914" s="129" t="s">
        <v>16418</v>
      </c>
    </row>
    <row r="1915" spans="1:4">
      <c r="A1915" s="105">
        <v>90790</v>
      </c>
      <c r="B1915" s="104" t="s">
        <v>2176</v>
      </c>
      <c r="C1915" s="104" t="s">
        <v>183</v>
      </c>
      <c r="D1915" s="129" t="s">
        <v>16419</v>
      </c>
    </row>
    <row r="1916" spans="1:4">
      <c r="A1916" s="105">
        <v>90791</v>
      </c>
      <c r="B1916" s="104" t="s">
        <v>2177</v>
      </c>
      <c r="C1916" s="104" t="s">
        <v>183</v>
      </c>
      <c r="D1916" s="129" t="s">
        <v>16420</v>
      </c>
    </row>
    <row r="1917" spans="1:4">
      <c r="A1917" s="105">
        <v>90793</v>
      </c>
      <c r="B1917" s="104" t="s">
        <v>2178</v>
      </c>
      <c r="C1917" s="104" t="s">
        <v>183</v>
      </c>
      <c r="D1917" s="129" t="s">
        <v>16421</v>
      </c>
    </row>
    <row r="1918" spans="1:4">
      <c r="A1918" s="105">
        <v>90794</v>
      </c>
      <c r="B1918" s="104" t="s">
        <v>2179</v>
      </c>
      <c r="C1918" s="104" t="s">
        <v>183</v>
      </c>
      <c r="D1918" s="129" t="s">
        <v>16422</v>
      </c>
    </row>
    <row r="1919" spans="1:4">
      <c r="A1919" s="105">
        <v>90795</v>
      </c>
      <c r="B1919" s="104" t="s">
        <v>2180</v>
      </c>
      <c r="C1919" s="104" t="s">
        <v>183</v>
      </c>
      <c r="D1919" s="129" t="s">
        <v>16423</v>
      </c>
    </row>
    <row r="1920" spans="1:4">
      <c r="A1920" s="105">
        <v>90796</v>
      </c>
      <c r="B1920" s="104" t="s">
        <v>2181</v>
      </c>
      <c r="C1920" s="104" t="s">
        <v>183</v>
      </c>
      <c r="D1920" s="129" t="s">
        <v>16424</v>
      </c>
    </row>
    <row r="1921" spans="1:4">
      <c r="A1921" s="105">
        <v>90797</v>
      </c>
      <c r="B1921" s="104" t="s">
        <v>2182</v>
      </c>
      <c r="C1921" s="104" t="s">
        <v>183</v>
      </c>
      <c r="D1921" s="129" t="s">
        <v>16425</v>
      </c>
    </row>
    <row r="1922" spans="1:4">
      <c r="A1922" s="105">
        <v>90798</v>
      </c>
      <c r="B1922" s="104" t="s">
        <v>2183</v>
      </c>
      <c r="C1922" s="104" t="s">
        <v>183</v>
      </c>
      <c r="D1922" s="129" t="s">
        <v>16426</v>
      </c>
    </row>
    <row r="1923" spans="1:4">
      <c r="A1923" s="105">
        <v>90799</v>
      </c>
      <c r="B1923" s="104" t="s">
        <v>2184</v>
      </c>
      <c r="C1923" s="104" t="s">
        <v>183</v>
      </c>
      <c r="D1923" s="129" t="s">
        <v>15863</v>
      </c>
    </row>
    <row r="1924" spans="1:4">
      <c r="A1924" s="105">
        <v>90801</v>
      </c>
      <c r="B1924" s="104" t="s">
        <v>2185</v>
      </c>
      <c r="C1924" s="104" t="s">
        <v>183</v>
      </c>
      <c r="D1924" s="129" t="s">
        <v>16427</v>
      </c>
    </row>
    <row r="1925" spans="1:4">
      <c r="A1925" s="105">
        <v>90806</v>
      </c>
      <c r="B1925" s="104" t="s">
        <v>2186</v>
      </c>
      <c r="C1925" s="104" t="s">
        <v>183</v>
      </c>
      <c r="D1925" s="129" t="s">
        <v>16428</v>
      </c>
    </row>
    <row r="1926" spans="1:4">
      <c r="A1926" s="105">
        <v>90820</v>
      </c>
      <c r="B1926" s="104" t="s">
        <v>2187</v>
      </c>
      <c r="C1926" s="104" t="s">
        <v>183</v>
      </c>
      <c r="D1926" s="129" t="s">
        <v>16429</v>
      </c>
    </row>
    <row r="1927" spans="1:4">
      <c r="A1927" s="105">
        <v>90821</v>
      </c>
      <c r="B1927" s="104" t="s">
        <v>2188</v>
      </c>
      <c r="C1927" s="104" t="s">
        <v>183</v>
      </c>
      <c r="D1927" s="129" t="s">
        <v>16430</v>
      </c>
    </row>
    <row r="1928" spans="1:4">
      <c r="A1928" s="105">
        <v>90822</v>
      </c>
      <c r="B1928" s="104" t="s">
        <v>2189</v>
      </c>
      <c r="C1928" s="104" t="s">
        <v>183</v>
      </c>
      <c r="D1928" s="129" t="s">
        <v>16431</v>
      </c>
    </row>
    <row r="1929" spans="1:4">
      <c r="A1929" s="105">
        <v>90823</v>
      </c>
      <c r="B1929" s="104" t="s">
        <v>2190</v>
      </c>
      <c r="C1929" s="104" t="s">
        <v>183</v>
      </c>
      <c r="D1929" s="129" t="s">
        <v>16432</v>
      </c>
    </row>
    <row r="1930" spans="1:4">
      <c r="A1930" s="105">
        <v>90824</v>
      </c>
      <c r="B1930" s="104" t="s">
        <v>2191</v>
      </c>
      <c r="C1930" s="104" t="s">
        <v>183</v>
      </c>
      <c r="D1930" s="129" t="s">
        <v>16433</v>
      </c>
    </row>
    <row r="1931" spans="1:4">
      <c r="A1931" s="105">
        <v>90825</v>
      </c>
      <c r="B1931" s="104" t="s">
        <v>2192</v>
      </c>
      <c r="C1931" s="104" t="s">
        <v>183</v>
      </c>
      <c r="D1931" s="129" t="s">
        <v>16434</v>
      </c>
    </row>
    <row r="1932" spans="1:4">
      <c r="A1932" s="105">
        <v>90830</v>
      </c>
      <c r="B1932" s="104" t="s">
        <v>2193</v>
      </c>
      <c r="C1932" s="104" t="s">
        <v>183</v>
      </c>
      <c r="D1932" s="129" t="s">
        <v>16435</v>
      </c>
    </row>
    <row r="1933" spans="1:4">
      <c r="A1933" s="105">
        <v>90831</v>
      </c>
      <c r="B1933" s="104" t="s">
        <v>2194</v>
      </c>
      <c r="C1933" s="104" t="s">
        <v>183</v>
      </c>
      <c r="D1933" s="129" t="s">
        <v>16436</v>
      </c>
    </row>
    <row r="1934" spans="1:4">
      <c r="A1934" s="105">
        <v>90841</v>
      </c>
      <c r="B1934" s="104" t="s">
        <v>2195</v>
      </c>
      <c r="C1934" s="104" t="s">
        <v>183</v>
      </c>
      <c r="D1934" s="129" t="s">
        <v>16437</v>
      </c>
    </row>
    <row r="1935" spans="1:4">
      <c r="A1935" s="105">
        <v>90842</v>
      </c>
      <c r="B1935" s="104" t="s">
        <v>2196</v>
      </c>
      <c r="C1935" s="104" t="s">
        <v>183</v>
      </c>
      <c r="D1935" s="129" t="s">
        <v>16438</v>
      </c>
    </row>
    <row r="1936" spans="1:4">
      <c r="A1936" s="105">
        <v>90843</v>
      </c>
      <c r="B1936" s="104" t="s">
        <v>2197</v>
      </c>
      <c r="C1936" s="104" t="s">
        <v>183</v>
      </c>
      <c r="D1936" s="129" t="s">
        <v>16439</v>
      </c>
    </row>
    <row r="1937" spans="1:4">
      <c r="A1937" s="105">
        <v>90844</v>
      </c>
      <c r="B1937" s="104" t="s">
        <v>2198</v>
      </c>
      <c r="C1937" s="104" t="s">
        <v>183</v>
      </c>
      <c r="D1937" s="129" t="s">
        <v>16440</v>
      </c>
    </row>
    <row r="1938" spans="1:4">
      <c r="A1938" s="105">
        <v>90845</v>
      </c>
      <c r="B1938" s="104" t="s">
        <v>2199</v>
      </c>
      <c r="C1938" s="104" t="s">
        <v>183</v>
      </c>
      <c r="D1938" s="129" t="s">
        <v>16441</v>
      </c>
    </row>
    <row r="1939" spans="1:4">
      <c r="A1939" s="105">
        <v>90846</v>
      </c>
      <c r="B1939" s="104" t="s">
        <v>2200</v>
      </c>
      <c r="C1939" s="104" t="s">
        <v>183</v>
      </c>
      <c r="D1939" s="129" t="s">
        <v>16442</v>
      </c>
    </row>
    <row r="1940" spans="1:4">
      <c r="A1940" s="105">
        <v>90847</v>
      </c>
      <c r="B1940" s="104" t="s">
        <v>2201</v>
      </c>
      <c r="C1940" s="104" t="s">
        <v>183</v>
      </c>
      <c r="D1940" s="129" t="s">
        <v>16443</v>
      </c>
    </row>
    <row r="1941" spans="1:4">
      <c r="A1941" s="105">
        <v>90848</v>
      </c>
      <c r="B1941" s="104" t="s">
        <v>2202</v>
      </c>
      <c r="C1941" s="104" t="s">
        <v>183</v>
      </c>
      <c r="D1941" s="129" t="s">
        <v>16444</v>
      </c>
    </row>
    <row r="1942" spans="1:4">
      <c r="A1942" s="105">
        <v>90849</v>
      </c>
      <c r="B1942" s="104" t="s">
        <v>2203</v>
      </c>
      <c r="C1942" s="104" t="s">
        <v>183</v>
      </c>
      <c r="D1942" s="129" t="s">
        <v>16445</v>
      </c>
    </row>
    <row r="1943" spans="1:4">
      <c r="A1943" s="105">
        <v>90850</v>
      </c>
      <c r="B1943" s="104" t="s">
        <v>2204</v>
      </c>
      <c r="C1943" s="104" t="s">
        <v>183</v>
      </c>
      <c r="D1943" s="129" t="s">
        <v>16446</v>
      </c>
    </row>
    <row r="1944" spans="1:4">
      <c r="A1944" s="105">
        <v>90851</v>
      </c>
      <c r="B1944" s="104" t="s">
        <v>2205</v>
      </c>
      <c r="C1944" s="104" t="s">
        <v>183</v>
      </c>
      <c r="D1944" s="129" t="s">
        <v>16447</v>
      </c>
    </row>
    <row r="1945" spans="1:4">
      <c r="A1945" s="105">
        <v>90852</v>
      </c>
      <c r="B1945" s="104" t="s">
        <v>2206</v>
      </c>
      <c r="C1945" s="104" t="s">
        <v>183</v>
      </c>
      <c r="D1945" s="129" t="s">
        <v>16448</v>
      </c>
    </row>
    <row r="1946" spans="1:4">
      <c r="A1946" s="105">
        <v>91009</v>
      </c>
      <c r="B1946" s="104" t="s">
        <v>2207</v>
      </c>
      <c r="C1946" s="104" t="s">
        <v>183</v>
      </c>
      <c r="D1946" s="129" t="s">
        <v>16449</v>
      </c>
    </row>
    <row r="1947" spans="1:4">
      <c r="A1947" s="105">
        <v>91010</v>
      </c>
      <c r="B1947" s="104" t="s">
        <v>2208</v>
      </c>
      <c r="C1947" s="104" t="s">
        <v>183</v>
      </c>
      <c r="D1947" s="129" t="s">
        <v>16450</v>
      </c>
    </row>
    <row r="1948" spans="1:4">
      <c r="A1948" s="105">
        <v>91011</v>
      </c>
      <c r="B1948" s="104" t="s">
        <v>2209</v>
      </c>
      <c r="C1948" s="104" t="s">
        <v>183</v>
      </c>
      <c r="D1948" s="129" t="s">
        <v>16451</v>
      </c>
    </row>
    <row r="1949" spans="1:4">
      <c r="A1949" s="105">
        <v>91012</v>
      </c>
      <c r="B1949" s="104" t="s">
        <v>2210</v>
      </c>
      <c r="C1949" s="104" t="s">
        <v>183</v>
      </c>
      <c r="D1949" s="129" t="s">
        <v>16452</v>
      </c>
    </row>
    <row r="1950" spans="1:4">
      <c r="A1950" s="105">
        <v>91013</v>
      </c>
      <c r="B1950" s="104" t="s">
        <v>2211</v>
      </c>
      <c r="C1950" s="104" t="s">
        <v>183</v>
      </c>
      <c r="D1950" s="129" t="s">
        <v>16453</v>
      </c>
    </row>
    <row r="1951" spans="1:4">
      <c r="A1951" s="105">
        <v>91014</v>
      </c>
      <c r="B1951" s="104" t="s">
        <v>2212</v>
      </c>
      <c r="C1951" s="104" t="s">
        <v>183</v>
      </c>
      <c r="D1951" s="129" t="s">
        <v>16454</v>
      </c>
    </row>
    <row r="1952" spans="1:4">
      <c r="A1952" s="105">
        <v>91015</v>
      </c>
      <c r="B1952" s="104" t="s">
        <v>2213</v>
      </c>
      <c r="C1952" s="104" t="s">
        <v>183</v>
      </c>
      <c r="D1952" s="129" t="s">
        <v>16455</v>
      </c>
    </row>
    <row r="1953" spans="1:4">
      <c r="A1953" s="105">
        <v>91016</v>
      </c>
      <c r="B1953" s="104" t="s">
        <v>2214</v>
      </c>
      <c r="C1953" s="104" t="s">
        <v>183</v>
      </c>
      <c r="D1953" s="129" t="s">
        <v>16456</v>
      </c>
    </row>
    <row r="1954" spans="1:4">
      <c r="A1954" s="105">
        <v>91287</v>
      </c>
      <c r="B1954" s="104" t="s">
        <v>2215</v>
      </c>
      <c r="C1954" s="104" t="s">
        <v>183</v>
      </c>
      <c r="D1954" s="129" t="s">
        <v>16457</v>
      </c>
    </row>
    <row r="1955" spans="1:4">
      <c r="A1955" s="105">
        <v>91292</v>
      </c>
      <c r="B1955" s="104" t="s">
        <v>2216</v>
      </c>
      <c r="C1955" s="104" t="s">
        <v>183</v>
      </c>
      <c r="D1955" s="129" t="s">
        <v>16458</v>
      </c>
    </row>
    <row r="1956" spans="1:4">
      <c r="A1956" s="105">
        <v>91295</v>
      </c>
      <c r="B1956" s="104" t="s">
        <v>2217</v>
      </c>
      <c r="C1956" s="104" t="s">
        <v>183</v>
      </c>
      <c r="D1956" s="129" t="s">
        <v>16459</v>
      </c>
    </row>
    <row r="1957" spans="1:4">
      <c r="A1957" s="105">
        <v>91296</v>
      </c>
      <c r="B1957" s="104" t="s">
        <v>2218</v>
      </c>
      <c r="C1957" s="104" t="s">
        <v>183</v>
      </c>
      <c r="D1957" s="129" t="s">
        <v>16460</v>
      </c>
    </row>
    <row r="1958" spans="1:4">
      <c r="A1958" s="105">
        <v>91297</v>
      </c>
      <c r="B1958" s="104" t="s">
        <v>2219</v>
      </c>
      <c r="C1958" s="104" t="s">
        <v>183</v>
      </c>
      <c r="D1958" s="129" t="s">
        <v>16461</v>
      </c>
    </row>
    <row r="1959" spans="1:4">
      <c r="A1959" s="105">
        <v>91298</v>
      </c>
      <c r="B1959" s="104" t="s">
        <v>2220</v>
      </c>
      <c r="C1959" s="104" t="s">
        <v>183</v>
      </c>
      <c r="D1959" s="129" t="s">
        <v>16462</v>
      </c>
    </row>
    <row r="1960" spans="1:4">
      <c r="A1960" s="105">
        <v>91299</v>
      </c>
      <c r="B1960" s="104" t="s">
        <v>2221</v>
      </c>
      <c r="C1960" s="104" t="s">
        <v>183</v>
      </c>
      <c r="D1960" s="129" t="s">
        <v>16463</v>
      </c>
    </row>
    <row r="1961" spans="1:4">
      <c r="A1961" s="105">
        <v>91304</v>
      </c>
      <c r="B1961" s="104" t="s">
        <v>2222</v>
      </c>
      <c r="C1961" s="104" t="s">
        <v>183</v>
      </c>
      <c r="D1961" s="129" t="s">
        <v>16464</v>
      </c>
    </row>
    <row r="1962" spans="1:4">
      <c r="A1962" s="105">
        <v>91305</v>
      </c>
      <c r="B1962" s="104" t="s">
        <v>2223</v>
      </c>
      <c r="C1962" s="104" t="s">
        <v>183</v>
      </c>
      <c r="D1962" s="129" t="s">
        <v>16465</v>
      </c>
    </row>
    <row r="1963" spans="1:4">
      <c r="A1963" s="105">
        <v>91306</v>
      </c>
      <c r="B1963" s="104" t="s">
        <v>2224</v>
      </c>
      <c r="C1963" s="104" t="s">
        <v>183</v>
      </c>
      <c r="D1963" s="129" t="s">
        <v>16436</v>
      </c>
    </row>
    <row r="1964" spans="1:4">
      <c r="A1964" s="105">
        <v>91307</v>
      </c>
      <c r="B1964" s="104" t="s">
        <v>2225</v>
      </c>
      <c r="C1964" s="104" t="s">
        <v>183</v>
      </c>
      <c r="D1964" s="129" t="s">
        <v>16466</v>
      </c>
    </row>
    <row r="1965" spans="1:4">
      <c r="A1965" s="105">
        <v>91312</v>
      </c>
      <c r="B1965" s="104" t="s">
        <v>2226</v>
      </c>
      <c r="C1965" s="104" t="s">
        <v>183</v>
      </c>
      <c r="D1965" s="129" t="s">
        <v>16467</v>
      </c>
    </row>
    <row r="1966" spans="1:4">
      <c r="A1966" s="105">
        <v>91313</v>
      </c>
      <c r="B1966" s="104" t="s">
        <v>2227</v>
      </c>
      <c r="C1966" s="104" t="s">
        <v>183</v>
      </c>
      <c r="D1966" s="129" t="s">
        <v>16468</v>
      </c>
    </row>
    <row r="1967" spans="1:4">
      <c r="A1967" s="105">
        <v>91314</v>
      </c>
      <c r="B1967" s="104" t="s">
        <v>2228</v>
      </c>
      <c r="C1967" s="104" t="s">
        <v>183</v>
      </c>
      <c r="D1967" s="129" t="s">
        <v>16469</v>
      </c>
    </row>
    <row r="1968" spans="1:4">
      <c r="A1968" s="105">
        <v>91315</v>
      </c>
      <c r="B1968" s="104" t="s">
        <v>2229</v>
      </c>
      <c r="C1968" s="104" t="s">
        <v>183</v>
      </c>
      <c r="D1968" s="129" t="s">
        <v>16470</v>
      </c>
    </row>
    <row r="1969" spans="1:4">
      <c r="A1969" s="105">
        <v>91316</v>
      </c>
      <c r="B1969" s="104" t="s">
        <v>2230</v>
      </c>
      <c r="C1969" s="104" t="s">
        <v>183</v>
      </c>
      <c r="D1969" s="129" t="s">
        <v>16471</v>
      </c>
    </row>
    <row r="1970" spans="1:4">
      <c r="A1970" s="105">
        <v>91317</v>
      </c>
      <c r="B1970" s="104" t="s">
        <v>2231</v>
      </c>
      <c r="C1970" s="104" t="s">
        <v>183</v>
      </c>
      <c r="D1970" s="129" t="s">
        <v>16472</v>
      </c>
    </row>
    <row r="1971" spans="1:4">
      <c r="A1971" s="105">
        <v>91318</v>
      </c>
      <c r="B1971" s="104" t="s">
        <v>2232</v>
      </c>
      <c r="C1971" s="104" t="s">
        <v>183</v>
      </c>
      <c r="D1971" s="129" t="s">
        <v>16473</v>
      </c>
    </row>
    <row r="1972" spans="1:4">
      <c r="A1972" s="105">
        <v>91319</v>
      </c>
      <c r="B1972" s="104" t="s">
        <v>2233</v>
      </c>
      <c r="C1972" s="104" t="s">
        <v>183</v>
      </c>
      <c r="D1972" s="129" t="s">
        <v>16474</v>
      </c>
    </row>
    <row r="1973" spans="1:4">
      <c r="A1973" s="105">
        <v>91320</v>
      </c>
      <c r="B1973" s="104" t="s">
        <v>2234</v>
      </c>
      <c r="C1973" s="104" t="s">
        <v>183</v>
      </c>
      <c r="D1973" s="129" t="s">
        <v>14796</v>
      </c>
    </row>
    <row r="1974" spans="1:4">
      <c r="A1974" s="105">
        <v>91321</v>
      </c>
      <c r="B1974" s="104" t="s">
        <v>2235</v>
      </c>
      <c r="C1974" s="104" t="s">
        <v>183</v>
      </c>
      <c r="D1974" s="129" t="s">
        <v>16475</v>
      </c>
    </row>
    <row r="1975" spans="1:4">
      <c r="A1975" s="105">
        <v>91322</v>
      </c>
      <c r="B1975" s="104" t="s">
        <v>2236</v>
      </c>
      <c r="C1975" s="104" t="s">
        <v>183</v>
      </c>
      <c r="D1975" s="129" t="s">
        <v>16476</v>
      </c>
    </row>
    <row r="1976" spans="1:4">
      <c r="A1976" s="105">
        <v>91323</v>
      </c>
      <c r="B1976" s="104" t="s">
        <v>2237</v>
      </c>
      <c r="C1976" s="104" t="s">
        <v>183</v>
      </c>
      <c r="D1976" s="129" t="s">
        <v>16477</v>
      </c>
    </row>
    <row r="1977" spans="1:4">
      <c r="A1977" s="105">
        <v>91324</v>
      </c>
      <c r="B1977" s="104" t="s">
        <v>2238</v>
      </c>
      <c r="C1977" s="104" t="s">
        <v>183</v>
      </c>
      <c r="D1977" s="129" t="s">
        <v>16478</v>
      </c>
    </row>
    <row r="1978" spans="1:4">
      <c r="A1978" s="105">
        <v>91325</v>
      </c>
      <c r="B1978" s="104" t="s">
        <v>2239</v>
      </c>
      <c r="C1978" s="104" t="s">
        <v>183</v>
      </c>
      <c r="D1978" s="129" t="s">
        <v>16479</v>
      </c>
    </row>
    <row r="1979" spans="1:4">
      <c r="A1979" s="105">
        <v>91326</v>
      </c>
      <c r="B1979" s="104" t="s">
        <v>2240</v>
      </c>
      <c r="C1979" s="104" t="s">
        <v>183</v>
      </c>
      <c r="D1979" s="129" t="s">
        <v>16480</v>
      </c>
    </row>
    <row r="1980" spans="1:4">
      <c r="A1980" s="105">
        <v>91327</v>
      </c>
      <c r="B1980" s="104" t="s">
        <v>2241</v>
      </c>
      <c r="C1980" s="104" t="s">
        <v>183</v>
      </c>
      <c r="D1980" s="129" t="s">
        <v>16481</v>
      </c>
    </row>
    <row r="1981" spans="1:4">
      <c r="A1981" s="105">
        <v>91328</v>
      </c>
      <c r="B1981" s="104" t="s">
        <v>2242</v>
      </c>
      <c r="C1981" s="104" t="s">
        <v>183</v>
      </c>
      <c r="D1981" s="129" t="s">
        <v>16482</v>
      </c>
    </row>
    <row r="1982" spans="1:4">
      <c r="A1982" s="105">
        <v>91329</v>
      </c>
      <c r="B1982" s="104" t="s">
        <v>2243</v>
      </c>
      <c r="C1982" s="104" t="s">
        <v>183</v>
      </c>
      <c r="D1982" s="129" t="s">
        <v>16483</v>
      </c>
    </row>
    <row r="1983" spans="1:4">
      <c r="A1983" s="105">
        <v>91330</v>
      </c>
      <c r="B1983" s="104" t="s">
        <v>2244</v>
      </c>
      <c r="C1983" s="104" t="s">
        <v>183</v>
      </c>
      <c r="D1983" s="129" t="s">
        <v>16484</v>
      </c>
    </row>
    <row r="1984" spans="1:4">
      <c r="A1984" s="105">
        <v>91331</v>
      </c>
      <c r="B1984" s="104" t="s">
        <v>2245</v>
      </c>
      <c r="C1984" s="104" t="s">
        <v>183</v>
      </c>
      <c r="D1984" s="129" t="s">
        <v>16485</v>
      </c>
    </row>
    <row r="1985" spans="1:4">
      <c r="A1985" s="105">
        <v>91332</v>
      </c>
      <c r="B1985" s="104" t="s">
        <v>2246</v>
      </c>
      <c r="C1985" s="104" t="s">
        <v>183</v>
      </c>
      <c r="D1985" s="129" t="s">
        <v>16486</v>
      </c>
    </row>
    <row r="1986" spans="1:4">
      <c r="A1986" s="105">
        <v>91333</v>
      </c>
      <c r="B1986" s="104" t="s">
        <v>2247</v>
      </c>
      <c r="C1986" s="104" t="s">
        <v>183</v>
      </c>
      <c r="D1986" s="129" t="s">
        <v>16487</v>
      </c>
    </row>
    <row r="1987" spans="1:4">
      <c r="A1987" s="105">
        <v>91334</v>
      </c>
      <c r="B1987" s="104" t="s">
        <v>2248</v>
      </c>
      <c r="C1987" s="104" t="s">
        <v>183</v>
      </c>
      <c r="D1987" s="129" t="s">
        <v>16488</v>
      </c>
    </row>
    <row r="1988" spans="1:4">
      <c r="A1988" s="105">
        <v>91335</v>
      </c>
      <c r="B1988" s="104" t="s">
        <v>2249</v>
      </c>
      <c r="C1988" s="104" t="s">
        <v>183</v>
      </c>
      <c r="D1988" s="129" t="s">
        <v>16489</v>
      </c>
    </row>
    <row r="1989" spans="1:4">
      <c r="A1989" s="105">
        <v>91336</v>
      </c>
      <c r="B1989" s="104" t="s">
        <v>2250</v>
      </c>
      <c r="C1989" s="104" t="s">
        <v>183</v>
      </c>
      <c r="D1989" s="129" t="s">
        <v>16490</v>
      </c>
    </row>
    <row r="1990" spans="1:4">
      <c r="A1990" s="105">
        <v>91337</v>
      </c>
      <c r="B1990" s="104" t="s">
        <v>2251</v>
      </c>
      <c r="C1990" s="104" t="s">
        <v>183</v>
      </c>
      <c r="D1990" s="129" t="s">
        <v>16491</v>
      </c>
    </row>
    <row r="1991" spans="1:4">
      <c r="A1991" s="105">
        <v>100659</v>
      </c>
      <c r="B1991" s="104" t="s">
        <v>2252</v>
      </c>
      <c r="C1991" s="104" t="s">
        <v>40</v>
      </c>
      <c r="D1991" s="129" t="s">
        <v>16492</v>
      </c>
    </row>
    <row r="1992" spans="1:4">
      <c r="A1992" s="105">
        <v>100660</v>
      </c>
      <c r="B1992" s="104" t="s">
        <v>2253</v>
      </c>
      <c r="C1992" s="104" t="s">
        <v>40</v>
      </c>
      <c r="D1992" s="129" t="s">
        <v>16493</v>
      </c>
    </row>
    <row r="1993" spans="1:4">
      <c r="A1993" s="105">
        <v>100675</v>
      </c>
      <c r="B1993" s="104" t="s">
        <v>2254</v>
      </c>
      <c r="C1993" s="104" t="s">
        <v>183</v>
      </c>
      <c r="D1993" s="129" t="s">
        <v>16494</v>
      </c>
    </row>
    <row r="1994" spans="1:4">
      <c r="A1994" s="105">
        <v>100676</v>
      </c>
      <c r="B1994" s="104" t="s">
        <v>2255</v>
      </c>
      <c r="C1994" s="104" t="s">
        <v>183</v>
      </c>
      <c r="D1994" s="129" t="s">
        <v>16495</v>
      </c>
    </row>
    <row r="1995" spans="1:4">
      <c r="A1995" s="105">
        <v>100678</v>
      </c>
      <c r="B1995" s="104" t="s">
        <v>2256</v>
      </c>
      <c r="C1995" s="104" t="s">
        <v>183</v>
      </c>
      <c r="D1995" s="129" t="s">
        <v>16496</v>
      </c>
    </row>
    <row r="1996" spans="1:4">
      <c r="A1996" s="105">
        <v>100679</v>
      </c>
      <c r="B1996" s="104" t="s">
        <v>2257</v>
      </c>
      <c r="C1996" s="104" t="s">
        <v>183</v>
      </c>
      <c r="D1996" s="129" t="s">
        <v>16497</v>
      </c>
    </row>
    <row r="1997" spans="1:4">
      <c r="A1997" s="105">
        <v>100680</v>
      </c>
      <c r="B1997" s="104" t="s">
        <v>2258</v>
      </c>
      <c r="C1997" s="104" t="s">
        <v>183</v>
      </c>
      <c r="D1997" s="129" t="s">
        <v>16498</v>
      </c>
    </row>
    <row r="1998" spans="1:4">
      <c r="A1998" s="105">
        <v>100681</v>
      </c>
      <c r="B1998" s="104" t="s">
        <v>2259</v>
      </c>
      <c r="C1998" s="104" t="s">
        <v>183</v>
      </c>
      <c r="D1998" s="129" t="s">
        <v>16499</v>
      </c>
    </row>
    <row r="1999" spans="1:4">
      <c r="A1999" s="105">
        <v>100682</v>
      </c>
      <c r="B1999" s="104" t="s">
        <v>2260</v>
      </c>
      <c r="C1999" s="104" t="s">
        <v>183</v>
      </c>
      <c r="D1999" s="129" t="s">
        <v>16500</v>
      </c>
    </row>
    <row r="2000" spans="1:4">
      <c r="A2000" s="105">
        <v>100683</v>
      </c>
      <c r="B2000" s="104" t="s">
        <v>2261</v>
      </c>
      <c r="C2000" s="104" t="s">
        <v>183</v>
      </c>
      <c r="D2000" s="129" t="s">
        <v>16501</v>
      </c>
    </row>
    <row r="2001" spans="1:4">
      <c r="A2001" s="105">
        <v>100684</v>
      </c>
      <c r="B2001" s="104" t="s">
        <v>2262</v>
      </c>
      <c r="C2001" s="104" t="s">
        <v>183</v>
      </c>
      <c r="D2001" s="129" t="s">
        <v>16502</v>
      </c>
    </row>
    <row r="2002" spans="1:4">
      <c r="A2002" s="105">
        <v>100685</v>
      </c>
      <c r="B2002" s="104" t="s">
        <v>2263</v>
      </c>
      <c r="C2002" s="104" t="s">
        <v>183</v>
      </c>
      <c r="D2002" s="129" t="s">
        <v>16503</v>
      </c>
    </row>
    <row r="2003" spans="1:4">
      <c r="A2003" s="105">
        <v>100686</v>
      </c>
      <c r="B2003" s="104" t="s">
        <v>2264</v>
      </c>
      <c r="C2003" s="104" t="s">
        <v>183</v>
      </c>
      <c r="D2003" s="129" t="s">
        <v>16504</v>
      </c>
    </row>
    <row r="2004" spans="1:4">
      <c r="A2004" s="105">
        <v>100687</v>
      </c>
      <c r="B2004" s="104" t="s">
        <v>2265</v>
      </c>
      <c r="C2004" s="104" t="s">
        <v>183</v>
      </c>
      <c r="D2004" s="129" t="s">
        <v>16505</v>
      </c>
    </row>
    <row r="2005" spans="1:4">
      <c r="A2005" s="105">
        <v>100688</v>
      </c>
      <c r="B2005" s="104" t="s">
        <v>2266</v>
      </c>
      <c r="C2005" s="104" t="s">
        <v>183</v>
      </c>
      <c r="D2005" s="129" t="s">
        <v>16506</v>
      </c>
    </row>
    <row r="2006" spans="1:4">
      <c r="A2006" s="105">
        <v>100689</v>
      </c>
      <c r="B2006" s="104" t="s">
        <v>2267</v>
      </c>
      <c r="C2006" s="104" t="s">
        <v>183</v>
      </c>
      <c r="D2006" s="129" t="s">
        <v>16507</v>
      </c>
    </row>
    <row r="2007" spans="1:4">
      <c r="A2007" s="105">
        <v>100690</v>
      </c>
      <c r="B2007" s="104" t="s">
        <v>2268</v>
      </c>
      <c r="C2007" s="104" t="s">
        <v>183</v>
      </c>
      <c r="D2007" s="129" t="s">
        <v>16508</v>
      </c>
    </row>
    <row r="2008" spans="1:4">
      <c r="A2008" s="105">
        <v>100691</v>
      </c>
      <c r="B2008" s="104" t="s">
        <v>2269</v>
      </c>
      <c r="C2008" s="104" t="s">
        <v>183</v>
      </c>
      <c r="D2008" s="129" t="s">
        <v>16509</v>
      </c>
    </row>
    <row r="2009" spans="1:4">
      <c r="A2009" s="105">
        <v>100692</v>
      </c>
      <c r="B2009" s="104" t="s">
        <v>2270</v>
      </c>
      <c r="C2009" s="104" t="s">
        <v>183</v>
      </c>
      <c r="D2009" s="129" t="s">
        <v>16510</v>
      </c>
    </row>
    <row r="2010" spans="1:4">
      <c r="A2010" s="105">
        <v>100693</v>
      </c>
      <c r="B2010" s="104" t="s">
        <v>2271</v>
      </c>
      <c r="C2010" s="104" t="s">
        <v>183</v>
      </c>
      <c r="D2010" s="129" t="s">
        <v>16511</v>
      </c>
    </row>
    <row r="2011" spans="1:4">
      <c r="A2011" s="105">
        <v>100694</v>
      </c>
      <c r="B2011" s="104" t="s">
        <v>2272</v>
      </c>
      <c r="C2011" s="104" t="s">
        <v>183</v>
      </c>
      <c r="D2011" s="129" t="s">
        <v>16512</v>
      </c>
    </row>
    <row r="2012" spans="1:4">
      <c r="A2012" s="105">
        <v>100695</v>
      </c>
      <c r="B2012" s="104" t="s">
        <v>2273</v>
      </c>
      <c r="C2012" s="104" t="s">
        <v>183</v>
      </c>
      <c r="D2012" s="129" t="s">
        <v>16513</v>
      </c>
    </row>
    <row r="2013" spans="1:4">
      <c r="A2013" s="105">
        <v>100696</v>
      </c>
      <c r="B2013" s="104" t="s">
        <v>2274</v>
      </c>
      <c r="C2013" s="104" t="s">
        <v>183</v>
      </c>
      <c r="D2013" s="129" t="s">
        <v>16514</v>
      </c>
    </row>
    <row r="2014" spans="1:4">
      <c r="A2014" s="105">
        <v>100697</v>
      </c>
      <c r="B2014" s="104" t="s">
        <v>2275</v>
      </c>
      <c r="C2014" s="104" t="s">
        <v>183</v>
      </c>
      <c r="D2014" s="129" t="s">
        <v>16515</v>
      </c>
    </row>
    <row r="2015" spans="1:4">
      <c r="A2015" s="105">
        <v>100698</v>
      </c>
      <c r="B2015" s="104" t="s">
        <v>2276</v>
      </c>
      <c r="C2015" s="104" t="s">
        <v>183</v>
      </c>
      <c r="D2015" s="129" t="s">
        <v>15424</v>
      </c>
    </row>
    <row r="2016" spans="1:4">
      <c r="A2016" s="105">
        <v>100699</v>
      </c>
      <c r="B2016" s="104" t="s">
        <v>2277</v>
      </c>
      <c r="C2016" s="104" t="s">
        <v>183</v>
      </c>
      <c r="D2016" s="129" t="s">
        <v>16516</v>
      </c>
    </row>
    <row r="2017" spans="1:4">
      <c r="A2017" s="105">
        <v>100700</v>
      </c>
      <c r="B2017" s="104" t="s">
        <v>2278</v>
      </c>
      <c r="C2017" s="104" t="s">
        <v>183</v>
      </c>
      <c r="D2017" s="129" t="s">
        <v>16517</v>
      </c>
    </row>
    <row r="2018" spans="1:4">
      <c r="A2018" s="105">
        <v>100712</v>
      </c>
      <c r="B2018" s="104" t="s">
        <v>2279</v>
      </c>
      <c r="C2018" s="104" t="s">
        <v>183</v>
      </c>
      <c r="D2018" s="129" t="s">
        <v>16518</v>
      </c>
    </row>
    <row r="2019" spans="1:4">
      <c r="A2019" s="105">
        <v>100665</v>
      </c>
      <c r="B2019" s="104" t="s">
        <v>2280</v>
      </c>
      <c r="C2019" s="104" t="s">
        <v>12</v>
      </c>
      <c r="D2019" s="129" t="s">
        <v>16519</v>
      </c>
    </row>
    <row r="2020" spans="1:4">
      <c r="A2020" s="105">
        <v>100666</v>
      </c>
      <c r="B2020" s="104" t="s">
        <v>2281</v>
      </c>
      <c r="C2020" s="104" t="s">
        <v>12</v>
      </c>
      <c r="D2020" s="129" t="s">
        <v>16520</v>
      </c>
    </row>
    <row r="2021" spans="1:4">
      <c r="A2021" s="105">
        <v>100667</v>
      </c>
      <c r="B2021" s="104" t="s">
        <v>2282</v>
      </c>
      <c r="C2021" s="104" t="s">
        <v>12</v>
      </c>
      <c r="D2021" s="129" t="s">
        <v>16521</v>
      </c>
    </row>
    <row r="2022" spans="1:4">
      <c r="A2022" s="105">
        <v>100668</v>
      </c>
      <c r="B2022" s="104" t="s">
        <v>2283</v>
      </c>
      <c r="C2022" s="104" t="s">
        <v>12</v>
      </c>
      <c r="D2022" s="129" t="s">
        <v>16522</v>
      </c>
    </row>
    <row r="2023" spans="1:4">
      <c r="A2023" s="105">
        <v>100669</v>
      </c>
      <c r="B2023" s="104" t="s">
        <v>2284</v>
      </c>
      <c r="C2023" s="104" t="s">
        <v>12</v>
      </c>
      <c r="D2023" s="129" t="s">
        <v>16523</v>
      </c>
    </row>
    <row r="2024" spans="1:4">
      <c r="A2024" s="105">
        <v>100670</v>
      </c>
      <c r="B2024" s="104" t="s">
        <v>2285</v>
      </c>
      <c r="C2024" s="104" t="s">
        <v>12</v>
      </c>
      <c r="D2024" s="129" t="s">
        <v>16524</v>
      </c>
    </row>
    <row r="2025" spans="1:4">
      <c r="A2025" s="105">
        <v>100671</v>
      </c>
      <c r="B2025" s="104" t="s">
        <v>2286</v>
      </c>
      <c r="C2025" s="104" t="s">
        <v>12</v>
      </c>
      <c r="D2025" s="129" t="s">
        <v>16525</v>
      </c>
    </row>
    <row r="2026" spans="1:4">
      <c r="A2026" s="105">
        <v>100672</v>
      </c>
      <c r="B2026" s="104" t="s">
        <v>2287</v>
      </c>
      <c r="C2026" s="104" t="s">
        <v>12</v>
      </c>
      <c r="D2026" s="129" t="s">
        <v>16526</v>
      </c>
    </row>
    <row r="2027" spans="1:4">
      <c r="A2027" s="105">
        <v>100701</v>
      </c>
      <c r="B2027" s="104" t="s">
        <v>2288</v>
      </c>
      <c r="C2027" s="104" t="s">
        <v>12</v>
      </c>
      <c r="D2027" s="129" t="s">
        <v>16527</v>
      </c>
    </row>
    <row r="2028" spans="1:4">
      <c r="A2028" s="105">
        <v>94559</v>
      </c>
      <c r="B2028" s="104" t="s">
        <v>2289</v>
      </c>
      <c r="C2028" s="104" t="s">
        <v>12</v>
      </c>
      <c r="D2028" s="129" t="s">
        <v>16528</v>
      </c>
    </row>
    <row r="2029" spans="1:4">
      <c r="A2029" s="105">
        <v>94562</v>
      </c>
      <c r="B2029" s="104" t="s">
        <v>2290</v>
      </c>
      <c r="C2029" s="104" t="s">
        <v>12</v>
      </c>
      <c r="D2029" s="129" t="s">
        <v>16529</v>
      </c>
    </row>
    <row r="2030" spans="1:4">
      <c r="A2030" s="105">
        <v>94587</v>
      </c>
      <c r="B2030" s="104" t="s">
        <v>2291</v>
      </c>
      <c r="C2030" s="104" t="s">
        <v>40</v>
      </c>
      <c r="D2030" s="129" t="s">
        <v>16530</v>
      </c>
    </row>
    <row r="2031" spans="1:4">
      <c r="A2031" s="105">
        <v>94588</v>
      </c>
      <c r="B2031" s="104" t="s">
        <v>2292</v>
      </c>
      <c r="C2031" s="104" t="s">
        <v>40</v>
      </c>
      <c r="D2031" s="129" t="s">
        <v>16531</v>
      </c>
    </row>
    <row r="2032" spans="1:4">
      <c r="A2032" s="105">
        <v>99837</v>
      </c>
      <c r="B2032" s="104" t="s">
        <v>2293</v>
      </c>
      <c r="C2032" s="104" t="s">
        <v>40</v>
      </c>
      <c r="D2032" s="129" t="s">
        <v>16532</v>
      </c>
    </row>
    <row r="2033" spans="1:4">
      <c r="A2033" s="105">
        <v>99839</v>
      </c>
      <c r="B2033" s="104" t="s">
        <v>2294</v>
      </c>
      <c r="C2033" s="104" t="s">
        <v>40</v>
      </c>
      <c r="D2033" s="129" t="s">
        <v>16533</v>
      </c>
    </row>
    <row r="2034" spans="1:4">
      <c r="A2034" s="105">
        <v>99841</v>
      </c>
      <c r="B2034" s="104" t="s">
        <v>2295</v>
      </c>
      <c r="C2034" s="104" t="s">
        <v>40</v>
      </c>
      <c r="D2034" s="129" t="s">
        <v>16534</v>
      </c>
    </row>
    <row r="2035" spans="1:4">
      <c r="A2035" s="105">
        <v>99855</v>
      </c>
      <c r="B2035" s="104" t="s">
        <v>2296</v>
      </c>
      <c r="C2035" s="104" t="s">
        <v>40</v>
      </c>
      <c r="D2035" s="129" t="s">
        <v>16535</v>
      </c>
    </row>
    <row r="2036" spans="1:4">
      <c r="A2036" s="105">
        <v>99857</v>
      </c>
      <c r="B2036" s="104" t="s">
        <v>2297</v>
      </c>
      <c r="C2036" s="104" t="s">
        <v>40</v>
      </c>
      <c r="D2036" s="129" t="s">
        <v>16536</v>
      </c>
    </row>
    <row r="2037" spans="1:4">
      <c r="A2037" s="105">
        <v>99861</v>
      </c>
      <c r="B2037" s="104" t="s">
        <v>2298</v>
      </c>
      <c r="C2037" s="104" t="s">
        <v>12</v>
      </c>
      <c r="D2037" s="129" t="s">
        <v>16537</v>
      </c>
    </row>
    <row r="2038" spans="1:4">
      <c r="A2038" s="105">
        <v>99862</v>
      </c>
      <c r="B2038" s="104" t="s">
        <v>2299</v>
      </c>
      <c r="C2038" s="104" t="s">
        <v>12</v>
      </c>
      <c r="D2038" s="129" t="s">
        <v>16538</v>
      </c>
    </row>
    <row r="2039" spans="1:4">
      <c r="A2039" s="105">
        <v>90838</v>
      </c>
      <c r="B2039" s="104" t="s">
        <v>2300</v>
      </c>
      <c r="C2039" s="104" t="s">
        <v>183</v>
      </c>
      <c r="D2039" s="129" t="s">
        <v>16539</v>
      </c>
    </row>
    <row r="2040" spans="1:4">
      <c r="A2040" s="105">
        <v>91338</v>
      </c>
      <c r="B2040" s="104" t="s">
        <v>2301</v>
      </c>
      <c r="C2040" s="104" t="s">
        <v>12</v>
      </c>
      <c r="D2040" s="129" t="s">
        <v>16540</v>
      </c>
    </row>
    <row r="2041" spans="1:4">
      <c r="A2041" s="105">
        <v>91341</v>
      </c>
      <c r="B2041" s="104" t="s">
        <v>237</v>
      </c>
      <c r="C2041" s="104" t="s">
        <v>12</v>
      </c>
      <c r="D2041" s="129" t="s">
        <v>16541</v>
      </c>
    </row>
    <row r="2042" spans="1:4">
      <c r="A2042" s="105">
        <v>94805</v>
      </c>
      <c r="B2042" s="104" t="s">
        <v>2302</v>
      </c>
      <c r="C2042" s="104" t="s">
        <v>183</v>
      </c>
      <c r="D2042" s="129" t="s">
        <v>16542</v>
      </c>
    </row>
    <row r="2043" spans="1:4">
      <c r="A2043" s="105">
        <v>94806</v>
      </c>
      <c r="B2043" s="104" t="s">
        <v>2303</v>
      </c>
      <c r="C2043" s="104" t="s">
        <v>183</v>
      </c>
      <c r="D2043" s="129" t="s">
        <v>16543</v>
      </c>
    </row>
    <row r="2044" spans="1:4">
      <c r="A2044" s="105">
        <v>94807</v>
      </c>
      <c r="B2044" s="104" t="s">
        <v>2304</v>
      </c>
      <c r="C2044" s="104" t="s">
        <v>183</v>
      </c>
      <c r="D2044" s="129" t="s">
        <v>16544</v>
      </c>
    </row>
    <row r="2045" spans="1:4">
      <c r="A2045" s="105">
        <v>100702</v>
      </c>
      <c r="B2045" s="104" t="s">
        <v>2305</v>
      </c>
      <c r="C2045" s="104" t="s">
        <v>12</v>
      </c>
      <c r="D2045" s="129" t="s">
        <v>16545</v>
      </c>
    </row>
    <row r="2046" spans="1:4">
      <c r="A2046" s="105">
        <v>102188</v>
      </c>
      <c r="B2046" s="104" t="s">
        <v>2306</v>
      </c>
      <c r="C2046" s="104" t="s">
        <v>183</v>
      </c>
      <c r="D2046" s="129" t="s">
        <v>16546</v>
      </c>
    </row>
    <row r="2047" spans="1:4">
      <c r="A2047" s="105">
        <v>102189</v>
      </c>
      <c r="B2047" s="104" t="s">
        <v>2307</v>
      </c>
      <c r="C2047" s="104" t="s">
        <v>183</v>
      </c>
      <c r="D2047" s="129" t="s">
        <v>16547</v>
      </c>
    </row>
    <row r="2048" spans="1:4">
      <c r="A2048" s="105">
        <v>100703</v>
      </c>
      <c r="B2048" s="104" t="s">
        <v>2308</v>
      </c>
      <c r="C2048" s="104" t="s">
        <v>183</v>
      </c>
      <c r="D2048" s="129" t="s">
        <v>16548</v>
      </c>
    </row>
    <row r="2049" spans="1:4">
      <c r="A2049" s="105">
        <v>100704</v>
      </c>
      <c r="B2049" s="104" t="s">
        <v>2309</v>
      </c>
      <c r="C2049" s="104" t="s">
        <v>183</v>
      </c>
      <c r="D2049" s="129" t="s">
        <v>16549</v>
      </c>
    </row>
    <row r="2050" spans="1:4">
      <c r="A2050" s="105">
        <v>100705</v>
      </c>
      <c r="B2050" s="104" t="s">
        <v>2310</v>
      </c>
      <c r="C2050" s="104" t="s">
        <v>183</v>
      </c>
      <c r="D2050" s="129" t="s">
        <v>16550</v>
      </c>
    </row>
    <row r="2051" spans="1:4">
      <c r="A2051" s="105">
        <v>100706</v>
      </c>
      <c r="B2051" s="104" t="s">
        <v>2311</v>
      </c>
      <c r="C2051" s="104" t="s">
        <v>183</v>
      </c>
      <c r="D2051" s="129" t="s">
        <v>16551</v>
      </c>
    </row>
    <row r="2052" spans="1:4">
      <c r="A2052" s="105">
        <v>100707</v>
      </c>
      <c r="B2052" s="104" t="s">
        <v>2312</v>
      </c>
      <c r="C2052" s="104" t="s">
        <v>183</v>
      </c>
      <c r="D2052" s="129" t="s">
        <v>16552</v>
      </c>
    </row>
    <row r="2053" spans="1:4">
      <c r="A2053" s="105">
        <v>100708</v>
      </c>
      <c r="B2053" s="104" t="s">
        <v>2313</v>
      </c>
      <c r="C2053" s="104" t="s">
        <v>183</v>
      </c>
      <c r="D2053" s="129" t="s">
        <v>16553</v>
      </c>
    </row>
    <row r="2054" spans="1:4">
      <c r="A2054" s="105">
        <v>100709</v>
      </c>
      <c r="B2054" s="104" t="s">
        <v>2314</v>
      </c>
      <c r="C2054" s="104" t="s">
        <v>183</v>
      </c>
      <c r="D2054" s="129" t="s">
        <v>16554</v>
      </c>
    </row>
    <row r="2055" spans="1:4">
      <c r="A2055" s="105">
        <v>100710</v>
      </c>
      <c r="B2055" s="104" t="s">
        <v>2315</v>
      </c>
      <c r="C2055" s="104" t="s">
        <v>183</v>
      </c>
      <c r="D2055" s="129" t="s">
        <v>16555</v>
      </c>
    </row>
    <row r="2056" spans="1:4">
      <c r="A2056" s="105">
        <v>102151</v>
      </c>
      <c r="B2056" s="104" t="s">
        <v>2316</v>
      </c>
      <c r="C2056" s="104" t="s">
        <v>12</v>
      </c>
      <c r="D2056" s="129" t="s">
        <v>16556</v>
      </c>
    </row>
    <row r="2057" spans="1:4">
      <c r="A2057" s="105">
        <v>102152</v>
      </c>
      <c r="B2057" s="104" t="s">
        <v>2317</v>
      </c>
      <c r="C2057" s="104" t="s">
        <v>12</v>
      </c>
      <c r="D2057" s="129" t="s">
        <v>16557</v>
      </c>
    </row>
    <row r="2058" spans="1:4">
      <c r="A2058" s="105">
        <v>102153</v>
      </c>
      <c r="B2058" s="104" t="s">
        <v>2318</v>
      </c>
      <c r="C2058" s="104" t="s">
        <v>12</v>
      </c>
      <c r="D2058" s="129" t="s">
        <v>16558</v>
      </c>
    </row>
    <row r="2059" spans="1:4">
      <c r="A2059" s="105">
        <v>102154</v>
      </c>
      <c r="B2059" s="104" t="s">
        <v>2319</v>
      </c>
      <c r="C2059" s="104" t="s">
        <v>12</v>
      </c>
      <c r="D2059" s="129" t="s">
        <v>16559</v>
      </c>
    </row>
    <row r="2060" spans="1:4">
      <c r="A2060" s="105">
        <v>102155</v>
      </c>
      <c r="B2060" s="104" t="s">
        <v>2320</v>
      </c>
      <c r="C2060" s="104" t="s">
        <v>12</v>
      </c>
      <c r="D2060" s="129" t="s">
        <v>16560</v>
      </c>
    </row>
    <row r="2061" spans="1:4">
      <c r="A2061" s="105">
        <v>102156</v>
      </c>
      <c r="B2061" s="104" t="s">
        <v>2321</v>
      </c>
      <c r="C2061" s="104" t="s">
        <v>12</v>
      </c>
      <c r="D2061" s="129" t="s">
        <v>16561</v>
      </c>
    </row>
    <row r="2062" spans="1:4">
      <c r="A2062" s="105">
        <v>102157</v>
      </c>
      <c r="B2062" s="104" t="s">
        <v>2322</v>
      </c>
      <c r="C2062" s="104" t="s">
        <v>12</v>
      </c>
      <c r="D2062" s="129" t="s">
        <v>16562</v>
      </c>
    </row>
    <row r="2063" spans="1:4">
      <c r="A2063" s="105">
        <v>102158</v>
      </c>
      <c r="B2063" s="104" t="s">
        <v>2323</v>
      </c>
      <c r="C2063" s="104" t="s">
        <v>12</v>
      </c>
      <c r="D2063" s="129" t="s">
        <v>16563</v>
      </c>
    </row>
    <row r="2064" spans="1:4">
      <c r="A2064" s="105">
        <v>102159</v>
      </c>
      <c r="B2064" s="104" t="s">
        <v>2324</v>
      </c>
      <c r="C2064" s="104" t="s">
        <v>12</v>
      </c>
      <c r="D2064" s="129" t="s">
        <v>16564</v>
      </c>
    </row>
    <row r="2065" spans="1:4">
      <c r="A2065" s="105">
        <v>102160</v>
      </c>
      <c r="B2065" s="104" t="s">
        <v>2325</v>
      </c>
      <c r="C2065" s="104" t="s">
        <v>12</v>
      </c>
      <c r="D2065" s="129" t="s">
        <v>16565</v>
      </c>
    </row>
    <row r="2066" spans="1:4">
      <c r="A2066" s="105">
        <v>102161</v>
      </c>
      <c r="B2066" s="104" t="s">
        <v>2326</v>
      </c>
      <c r="C2066" s="104" t="s">
        <v>12</v>
      </c>
      <c r="D2066" s="129" t="s">
        <v>16566</v>
      </c>
    </row>
    <row r="2067" spans="1:4">
      <c r="A2067" s="105">
        <v>102162</v>
      </c>
      <c r="B2067" s="104" t="s">
        <v>2327</v>
      </c>
      <c r="C2067" s="104" t="s">
        <v>12</v>
      </c>
      <c r="D2067" s="129" t="s">
        <v>16567</v>
      </c>
    </row>
    <row r="2068" spans="1:4">
      <c r="A2068" s="105">
        <v>102163</v>
      </c>
      <c r="B2068" s="104" t="s">
        <v>2328</v>
      </c>
      <c r="C2068" s="104" t="s">
        <v>12</v>
      </c>
      <c r="D2068" s="129" t="s">
        <v>16568</v>
      </c>
    </row>
    <row r="2069" spans="1:4">
      <c r="A2069" s="105">
        <v>102164</v>
      </c>
      <c r="B2069" s="104" t="s">
        <v>2329</v>
      </c>
      <c r="C2069" s="104" t="s">
        <v>12</v>
      </c>
      <c r="D2069" s="129" t="s">
        <v>16569</v>
      </c>
    </row>
    <row r="2070" spans="1:4">
      <c r="A2070" s="105">
        <v>102165</v>
      </c>
      <c r="B2070" s="104" t="s">
        <v>2330</v>
      </c>
      <c r="C2070" s="104" t="s">
        <v>12</v>
      </c>
      <c r="D2070" s="129" t="s">
        <v>16570</v>
      </c>
    </row>
    <row r="2071" spans="1:4">
      <c r="A2071" s="105">
        <v>102166</v>
      </c>
      <c r="B2071" s="104" t="s">
        <v>2331</v>
      </c>
      <c r="C2071" s="104" t="s">
        <v>12</v>
      </c>
      <c r="D2071" s="129" t="s">
        <v>16571</v>
      </c>
    </row>
    <row r="2072" spans="1:4">
      <c r="A2072" s="105">
        <v>102167</v>
      </c>
      <c r="B2072" s="104" t="s">
        <v>2332</v>
      </c>
      <c r="C2072" s="104" t="s">
        <v>12</v>
      </c>
      <c r="D2072" s="129" t="s">
        <v>16572</v>
      </c>
    </row>
    <row r="2073" spans="1:4">
      <c r="A2073" s="105">
        <v>102168</v>
      </c>
      <c r="B2073" s="104" t="s">
        <v>2333</v>
      </c>
      <c r="C2073" s="104" t="s">
        <v>12</v>
      </c>
      <c r="D2073" s="129" t="s">
        <v>16573</v>
      </c>
    </row>
    <row r="2074" spans="1:4">
      <c r="A2074" s="105">
        <v>102169</v>
      </c>
      <c r="B2074" s="104" t="s">
        <v>2334</v>
      </c>
      <c r="C2074" s="104" t="s">
        <v>12</v>
      </c>
      <c r="D2074" s="129" t="s">
        <v>16574</v>
      </c>
    </row>
    <row r="2075" spans="1:4">
      <c r="A2075" s="105">
        <v>102170</v>
      </c>
      <c r="B2075" s="104" t="s">
        <v>2335</v>
      </c>
      <c r="C2075" s="104" t="s">
        <v>12</v>
      </c>
      <c r="D2075" s="129" t="s">
        <v>16575</v>
      </c>
    </row>
    <row r="2076" spans="1:4">
      <c r="A2076" s="105">
        <v>102171</v>
      </c>
      <c r="B2076" s="104" t="s">
        <v>2336</v>
      </c>
      <c r="C2076" s="104" t="s">
        <v>12</v>
      </c>
      <c r="D2076" s="129" t="s">
        <v>16576</v>
      </c>
    </row>
    <row r="2077" spans="1:4">
      <c r="A2077" s="105">
        <v>102172</v>
      </c>
      <c r="B2077" s="104" t="s">
        <v>2337</v>
      </c>
      <c r="C2077" s="104" t="s">
        <v>12</v>
      </c>
      <c r="D2077" s="129" t="s">
        <v>16577</v>
      </c>
    </row>
    <row r="2078" spans="1:4">
      <c r="A2078" s="105">
        <v>102176</v>
      </c>
      <c r="B2078" s="104" t="s">
        <v>2338</v>
      </c>
      <c r="C2078" s="104" t="s">
        <v>12</v>
      </c>
      <c r="D2078" s="129" t="s">
        <v>16578</v>
      </c>
    </row>
    <row r="2079" spans="1:4">
      <c r="A2079" s="105">
        <v>102177</v>
      </c>
      <c r="B2079" s="104" t="s">
        <v>2339</v>
      </c>
      <c r="C2079" s="104" t="s">
        <v>12</v>
      </c>
      <c r="D2079" s="129" t="s">
        <v>16579</v>
      </c>
    </row>
    <row r="2080" spans="1:4">
      <c r="A2080" s="105">
        <v>102178</v>
      </c>
      <c r="B2080" s="104" t="s">
        <v>2340</v>
      </c>
      <c r="C2080" s="104" t="s">
        <v>12</v>
      </c>
      <c r="D2080" s="129" t="s">
        <v>16580</v>
      </c>
    </row>
    <row r="2081" spans="1:4">
      <c r="A2081" s="105">
        <v>102179</v>
      </c>
      <c r="B2081" s="104" t="s">
        <v>2341</v>
      </c>
      <c r="C2081" s="104" t="s">
        <v>12</v>
      </c>
      <c r="D2081" s="129" t="s">
        <v>16581</v>
      </c>
    </row>
    <row r="2082" spans="1:4">
      <c r="A2082" s="105">
        <v>102180</v>
      </c>
      <c r="B2082" s="104" t="s">
        <v>2342</v>
      </c>
      <c r="C2082" s="104" t="s">
        <v>12</v>
      </c>
      <c r="D2082" s="129" t="s">
        <v>16582</v>
      </c>
    </row>
    <row r="2083" spans="1:4">
      <c r="A2083" s="105">
        <v>102181</v>
      </c>
      <c r="B2083" s="104" t="s">
        <v>2343</v>
      </c>
      <c r="C2083" s="104" t="s">
        <v>12</v>
      </c>
      <c r="D2083" s="129" t="s">
        <v>16583</v>
      </c>
    </row>
    <row r="2084" spans="1:4">
      <c r="A2084" s="105">
        <v>102182</v>
      </c>
      <c r="B2084" s="104" t="s">
        <v>2344</v>
      </c>
      <c r="C2084" s="104" t="s">
        <v>183</v>
      </c>
      <c r="D2084" s="129" t="s">
        <v>16584</v>
      </c>
    </row>
    <row r="2085" spans="1:4">
      <c r="A2085" s="105">
        <v>102183</v>
      </c>
      <c r="B2085" s="104" t="s">
        <v>241</v>
      </c>
      <c r="C2085" s="104" t="s">
        <v>183</v>
      </c>
      <c r="D2085" s="129" t="s">
        <v>16585</v>
      </c>
    </row>
    <row r="2086" spans="1:4">
      <c r="A2086" s="105">
        <v>102184</v>
      </c>
      <c r="B2086" s="104" t="s">
        <v>2345</v>
      </c>
      <c r="C2086" s="104" t="s">
        <v>183</v>
      </c>
      <c r="D2086" s="129" t="s">
        <v>16586</v>
      </c>
    </row>
    <row r="2087" spans="1:4">
      <c r="A2087" s="105">
        <v>102185</v>
      </c>
      <c r="B2087" s="104" t="s">
        <v>2346</v>
      </c>
      <c r="C2087" s="104" t="s">
        <v>183</v>
      </c>
      <c r="D2087" s="129" t="s">
        <v>16587</v>
      </c>
    </row>
    <row r="2088" spans="1:4">
      <c r="A2088" s="105">
        <v>102190</v>
      </c>
      <c r="B2088" s="104" t="s">
        <v>2347</v>
      </c>
      <c r="C2088" s="104" t="s">
        <v>12</v>
      </c>
      <c r="D2088" s="129" t="s">
        <v>16588</v>
      </c>
    </row>
    <row r="2089" spans="1:4">
      <c r="A2089" s="105">
        <v>102191</v>
      </c>
      <c r="B2089" s="104" t="s">
        <v>2348</v>
      </c>
      <c r="C2089" s="104" t="s">
        <v>12</v>
      </c>
      <c r="D2089" s="129" t="s">
        <v>16589</v>
      </c>
    </row>
    <row r="2090" spans="1:4">
      <c r="A2090" s="105">
        <v>102192</v>
      </c>
      <c r="B2090" s="104" t="s">
        <v>30</v>
      </c>
      <c r="C2090" s="104" t="s">
        <v>12</v>
      </c>
      <c r="D2090" s="129" t="s">
        <v>16590</v>
      </c>
    </row>
    <row r="2091" spans="1:4">
      <c r="A2091" s="105">
        <v>94569</v>
      </c>
      <c r="B2091" s="104" t="s">
        <v>2349</v>
      </c>
      <c r="C2091" s="104" t="s">
        <v>12</v>
      </c>
      <c r="D2091" s="129" t="s">
        <v>16591</v>
      </c>
    </row>
    <row r="2092" spans="1:4">
      <c r="A2092" s="105">
        <v>94570</v>
      </c>
      <c r="B2092" s="104" t="s">
        <v>2350</v>
      </c>
      <c r="C2092" s="104" t="s">
        <v>12</v>
      </c>
      <c r="D2092" s="129" t="s">
        <v>16592</v>
      </c>
    </row>
    <row r="2093" spans="1:4">
      <c r="A2093" s="105">
        <v>94572</v>
      </c>
      <c r="B2093" s="104" t="s">
        <v>2351</v>
      </c>
      <c r="C2093" s="104" t="s">
        <v>12</v>
      </c>
      <c r="D2093" s="129" t="s">
        <v>16593</v>
      </c>
    </row>
    <row r="2094" spans="1:4">
      <c r="A2094" s="105">
        <v>94573</v>
      </c>
      <c r="B2094" s="104" t="s">
        <v>2352</v>
      </c>
      <c r="C2094" s="104" t="s">
        <v>12</v>
      </c>
      <c r="D2094" s="129" t="s">
        <v>16594</v>
      </c>
    </row>
    <row r="2095" spans="1:4">
      <c r="A2095" s="105">
        <v>94580</v>
      </c>
      <c r="B2095" s="104" t="s">
        <v>2353</v>
      </c>
      <c r="C2095" s="104" t="s">
        <v>12</v>
      </c>
      <c r="D2095" s="129" t="s">
        <v>16595</v>
      </c>
    </row>
    <row r="2096" spans="1:4">
      <c r="A2096" s="105">
        <v>94589</v>
      </c>
      <c r="B2096" s="104" t="s">
        <v>12813</v>
      </c>
      <c r="C2096" s="104" t="s">
        <v>40</v>
      </c>
      <c r="D2096" s="129" t="s">
        <v>16596</v>
      </c>
    </row>
    <row r="2097" spans="1:4">
      <c r="A2097" s="105">
        <v>94590</v>
      </c>
      <c r="B2097" s="104" t="s">
        <v>12814</v>
      </c>
      <c r="C2097" s="104" t="s">
        <v>40</v>
      </c>
      <c r="D2097" s="129" t="s">
        <v>16597</v>
      </c>
    </row>
    <row r="2098" spans="1:4">
      <c r="A2098" s="105">
        <v>100674</v>
      </c>
      <c r="B2098" s="104" t="s">
        <v>2354</v>
      </c>
      <c r="C2098" s="104" t="s">
        <v>12</v>
      </c>
      <c r="D2098" s="129" t="s">
        <v>16598</v>
      </c>
    </row>
    <row r="2099" spans="1:4">
      <c r="A2099" s="105">
        <v>101096</v>
      </c>
      <c r="B2099" s="104" t="s">
        <v>2355</v>
      </c>
      <c r="C2099" s="104" t="s">
        <v>28</v>
      </c>
      <c r="D2099" s="129" t="s">
        <v>16599</v>
      </c>
    </row>
    <row r="2100" spans="1:4">
      <c r="A2100" s="105">
        <v>101097</v>
      </c>
      <c r="B2100" s="104" t="s">
        <v>2356</v>
      </c>
      <c r="C2100" s="104" t="s">
        <v>28</v>
      </c>
      <c r="D2100" s="129" t="s">
        <v>16600</v>
      </c>
    </row>
    <row r="2101" spans="1:4">
      <c r="A2101" s="105">
        <v>101098</v>
      </c>
      <c r="B2101" s="104" t="s">
        <v>2357</v>
      </c>
      <c r="C2101" s="104" t="s">
        <v>28</v>
      </c>
      <c r="D2101" s="129" t="s">
        <v>16601</v>
      </c>
    </row>
    <row r="2102" spans="1:4">
      <c r="A2102" s="105">
        <v>101099</v>
      </c>
      <c r="B2102" s="104" t="s">
        <v>2358</v>
      </c>
      <c r="C2102" s="104" t="s">
        <v>28</v>
      </c>
      <c r="D2102" s="129" t="s">
        <v>16602</v>
      </c>
    </row>
    <row r="2103" spans="1:4">
      <c r="A2103" s="105">
        <v>101100</v>
      </c>
      <c r="B2103" s="104" t="s">
        <v>2359</v>
      </c>
      <c r="C2103" s="104" t="s">
        <v>28</v>
      </c>
      <c r="D2103" s="129" t="s">
        <v>16603</v>
      </c>
    </row>
    <row r="2104" spans="1:4">
      <c r="A2104" s="105">
        <v>101101</v>
      </c>
      <c r="B2104" s="104" t="s">
        <v>2360</v>
      </c>
      <c r="C2104" s="104" t="s">
        <v>28</v>
      </c>
      <c r="D2104" s="129" t="s">
        <v>16604</v>
      </c>
    </row>
    <row r="2105" spans="1:4">
      <c r="A2105" s="105">
        <v>101102</v>
      </c>
      <c r="B2105" s="104" t="s">
        <v>2361</v>
      </c>
      <c r="C2105" s="104" t="s">
        <v>28</v>
      </c>
      <c r="D2105" s="129" t="s">
        <v>16605</v>
      </c>
    </row>
    <row r="2106" spans="1:4">
      <c r="A2106" s="105">
        <v>101103</v>
      </c>
      <c r="B2106" s="104" t="s">
        <v>2362</v>
      </c>
      <c r="C2106" s="104" t="s">
        <v>28</v>
      </c>
      <c r="D2106" s="129" t="s">
        <v>16606</v>
      </c>
    </row>
    <row r="2107" spans="1:4">
      <c r="A2107" s="105">
        <v>101104</v>
      </c>
      <c r="B2107" s="104" t="s">
        <v>2363</v>
      </c>
      <c r="C2107" s="104" t="s">
        <v>28</v>
      </c>
      <c r="D2107" s="129" t="s">
        <v>16607</v>
      </c>
    </row>
    <row r="2108" spans="1:4">
      <c r="A2108" s="105">
        <v>101105</v>
      </c>
      <c r="B2108" s="104" t="s">
        <v>2364</v>
      </c>
      <c r="C2108" s="104" t="s">
        <v>28</v>
      </c>
      <c r="D2108" s="129" t="s">
        <v>16608</v>
      </c>
    </row>
    <row r="2109" spans="1:4">
      <c r="A2109" s="105">
        <v>101106</v>
      </c>
      <c r="B2109" s="104" t="s">
        <v>2365</v>
      </c>
      <c r="C2109" s="104" t="s">
        <v>28</v>
      </c>
      <c r="D2109" s="129" t="s">
        <v>16609</v>
      </c>
    </row>
    <row r="2110" spans="1:4">
      <c r="A2110" s="105">
        <v>101107</v>
      </c>
      <c r="B2110" s="104" t="s">
        <v>2366</v>
      </c>
      <c r="C2110" s="104" t="s">
        <v>28</v>
      </c>
      <c r="D2110" s="129" t="s">
        <v>16610</v>
      </c>
    </row>
    <row r="2111" spans="1:4">
      <c r="A2111" s="105">
        <v>101108</v>
      </c>
      <c r="B2111" s="104" t="s">
        <v>2367</v>
      </c>
      <c r="C2111" s="104" t="s">
        <v>28</v>
      </c>
      <c r="D2111" s="129" t="s">
        <v>16611</v>
      </c>
    </row>
    <row r="2112" spans="1:4">
      <c r="A2112" s="105">
        <v>101109</v>
      </c>
      <c r="B2112" s="104" t="s">
        <v>2368</v>
      </c>
      <c r="C2112" s="104" t="s">
        <v>28</v>
      </c>
      <c r="D2112" s="129" t="s">
        <v>16612</v>
      </c>
    </row>
    <row r="2113" spans="1:4">
      <c r="A2113" s="105">
        <v>101110</v>
      </c>
      <c r="B2113" s="104" t="s">
        <v>2369</v>
      </c>
      <c r="C2113" s="104" t="s">
        <v>28</v>
      </c>
      <c r="D2113" s="129" t="s">
        <v>16613</v>
      </c>
    </row>
    <row r="2114" spans="1:4">
      <c r="A2114" s="105">
        <v>101111</v>
      </c>
      <c r="B2114" s="104" t="s">
        <v>2370</v>
      </c>
      <c r="C2114" s="104" t="s">
        <v>28</v>
      </c>
      <c r="D2114" s="129" t="s">
        <v>16614</v>
      </c>
    </row>
    <row r="2115" spans="1:4">
      <c r="A2115" s="105">
        <v>101112</v>
      </c>
      <c r="B2115" s="104" t="s">
        <v>2371</v>
      </c>
      <c r="C2115" s="104" t="s">
        <v>28</v>
      </c>
      <c r="D2115" s="129" t="s">
        <v>16615</v>
      </c>
    </row>
    <row r="2116" spans="1:4">
      <c r="A2116" s="105">
        <v>101113</v>
      </c>
      <c r="B2116" s="104" t="s">
        <v>2372</v>
      </c>
      <c r="C2116" s="104" t="s">
        <v>28</v>
      </c>
      <c r="D2116" s="129" t="s">
        <v>16616</v>
      </c>
    </row>
    <row r="2117" spans="1:4">
      <c r="A2117" s="105">
        <v>95601</v>
      </c>
      <c r="B2117" s="104" t="s">
        <v>2373</v>
      </c>
      <c r="C2117" s="104" t="s">
        <v>183</v>
      </c>
      <c r="D2117" s="129" t="s">
        <v>16617</v>
      </c>
    </row>
    <row r="2118" spans="1:4">
      <c r="A2118" s="105">
        <v>95602</v>
      </c>
      <c r="B2118" s="104" t="s">
        <v>2374</v>
      </c>
      <c r="C2118" s="104" t="s">
        <v>183</v>
      </c>
      <c r="D2118" s="129" t="s">
        <v>16618</v>
      </c>
    </row>
    <row r="2119" spans="1:4">
      <c r="A2119" s="105">
        <v>95603</v>
      </c>
      <c r="B2119" s="104" t="s">
        <v>2375</v>
      </c>
      <c r="C2119" s="104" t="s">
        <v>183</v>
      </c>
      <c r="D2119" s="129" t="s">
        <v>16619</v>
      </c>
    </row>
    <row r="2120" spans="1:4">
      <c r="A2120" s="105">
        <v>95604</v>
      </c>
      <c r="B2120" s="104" t="s">
        <v>2376</v>
      </c>
      <c r="C2120" s="104" t="s">
        <v>183</v>
      </c>
      <c r="D2120" s="129" t="s">
        <v>16620</v>
      </c>
    </row>
    <row r="2121" spans="1:4">
      <c r="A2121" s="105">
        <v>95605</v>
      </c>
      <c r="B2121" s="104" t="s">
        <v>2377</v>
      </c>
      <c r="C2121" s="104" t="s">
        <v>183</v>
      </c>
      <c r="D2121" s="129" t="s">
        <v>16621</v>
      </c>
    </row>
    <row r="2122" spans="1:4">
      <c r="A2122" s="105">
        <v>95607</v>
      </c>
      <c r="B2122" s="104" t="s">
        <v>2378</v>
      </c>
      <c r="C2122" s="104" t="s">
        <v>183</v>
      </c>
      <c r="D2122" s="129" t="s">
        <v>16622</v>
      </c>
    </row>
    <row r="2123" spans="1:4">
      <c r="A2123" s="105">
        <v>95608</v>
      </c>
      <c r="B2123" s="104" t="s">
        <v>2379</v>
      </c>
      <c r="C2123" s="104" t="s">
        <v>183</v>
      </c>
      <c r="D2123" s="129" t="s">
        <v>16623</v>
      </c>
    </row>
    <row r="2124" spans="1:4">
      <c r="A2124" s="105">
        <v>95609</v>
      </c>
      <c r="B2124" s="104" t="s">
        <v>2380</v>
      </c>
      <c r="C2124" s="104" t="s">
        <v>183</v>
      </c>
      <c r="D2124" s="129" t="s">
        <v>16624</v>
      </c>
    </row>
    <row r="2125" spans="1:4">
      <c r="A2125" s="105">
        <v>100651</v>
      </c>
      <c r="B2125" s="104" t="s">
        <v>2381</v>
      </c>
      <c r="C2125" s="104" t="s">
        <v>40</v>
      </c>
      <c r="D2125" s="129" t="s">
        <v>16625</v>
      </c>
    </row>
    <row r="2126" spans="1:4">
      <c r="A2126" s="105">
        <v>100652</v>
      </c>
      <c r="B2126" s="104" t="s">
        <v>2382</v>
      </c>
      <c r="C2126" s="104" t="s">
        <v>40</v>
      </c>
      <c r="D2126" s="129" t="s">
        <v>16626</v>
      </c>
    </row>
    <row r="2127" spans="1:4">
      <c r="A2127" s="105">
        <v>100653</v>
      </c>
      <c r="B2127" s="104" t="s">
        <v>2383</v>
      </c>
      <c r="C2127" s="104" t="s">
        <v>40</v>
      </c>
      <c r="D2127" s="129" t="s">
        <v>16627</v>
      </c>
    </row>
    <row r="2128" spans="1:4">
      <c r="A2128" s="105">
        <v>100654</v>
      </c>
      <c r="B2128" s="104" t="s">
        <v>2384</v>
      </c>
      <c r="C2128" s="104" t="s">
        <v>40</v>
      </c>
      <c r="D2128" s="129" t="s">
        <v>16628</v>
      </c>
    </row>
    <row r="2129" spans="1:4">
      <c r="A2129" s="105">
        <v>100655</v>
      </c>
      <c r="B2129" s="104" t="s">
        <v>2385</v>
      </c>
      <c r="C2129" s="104" t="s">
        <v>40</v>
      </c>
      <c r="D2129" s="129" t="s">
        <v>16629</v>
      </c>
    </row>
    <row r="2130" spans="1:4">
      <c r="A2130" s="105">
        <v>100656</v>
      </c>
      <c r="B2130" s="104" t="s">
        <v>2386</v>
      </c>
      <c r="C2130" s="104" t="s">
        <v>40</v>
      </c>
      <c r="D2130" s="129" t="s">
        <v>16630</v>
      </c>
    </row>
    <row r="2131" spans="1:4">
      <c r="A2131" s="105">
        <v>100657</v>
      </c>
      <c r="B2131" s="104" t="s">
        <v>2387</v>
      </c>
      <c r="C2131" s="104" t="s">
        <v>40</v>
      </c>
      <c r="D2131" s="129" t="s">
        <v>16631</v>
      </c>
    </row>
    <row r="2132" spans="1:4">
      <c r="A2132" s="105">
        <v>100658</v>
      </c>
      <c r="B2132" s="104" t="s">
        <v>2388</v>
      </c>
      <c r="C2132" s="104" t="s">
        <v>40</v>
      </c>
      <c r="D2132" s="129" t="s">
        <v>16632</v>
      </c>
    </row>
    <row r="2133" spans="1:4">
      <c r="A2133" s="105">
        <v>100889</v>
      </c>
      <c r="B2133" s="104" t="s">
        <v>2389</v>
      </c>
      <c r="C2133" s="104" t="s">
        <v>41</v>
      </c>
      <c r="D2133" s="129" t="s">
        <v>16633</v>
      </c>
    </row>
    <row r="2134" spans="1:4">
      <c r="A2134" s="105">
        <v>100890</v>
      </c>
      <c r="B2134" s="104" t="s">
        <v>2390</v>
      </c>
      <c r="C2134" s="104" t="s">
        <v>41</v>
      </c>
      <c r="D2134" s="129" t="s">
        <v>16634</v>
      </c>
    </row>
    <row r="2135" spans="1:4">
      <c r="A2135" s="105">
        <v>100892</v>
      </c>
      <c r="B2135" s="104" t="s">
        <v>2391</v>
      </c>
      <c r="C2135" s="104" t="s">
        <v>41</v>
      </c>
      <c r="D2135" s="129" t="s">
        <v>16635</v>
      </c>
    </row>
    <row r="2136" spans="1:4">
      <c r="A2136" s="105">
        <v>100893</v>
      </c>
      <c r="B2136" s="104" t="s">
        <v>2392</v>
      </c>
      <c r="C2136" s="104" t="s">
        <v>41</v>
      </c>
      <c r="D2136" s="129" t="s">
        <v>16636</v>
      </c>
    </row>
    <row r="2137" spans="1:4">
      <c r="A2137" s="105">
        <v>100894</v>
      </c>
      <c r="B2137" s="104" t="s">
        <v>2393</v>
      </c>
      <c r="C2137" s="104" t="s">
        <v>41</v>
      </c>
      <c r="D2137" s="129" t="s">
        <v>16637</v>
      </c>
    </row>
    <row r="2138" spans="1:4">
      <c r="A2138" s="105">
        <v>100896</v>
      </c>
      <c r="B2138" s="104" t="s">
        <v>2394</v>
      </c>
      <c r="C2138" s="104" t="s">
        <v>40</v>
      </c>
      <c r="D2138" s="129" t="s">
        <v>16638</v>
      </c>
    </row>
    <row r="2139" spans="1:4">
      <c r="A2139" s="105">
        <v>100897</v>
      </c>
      <c r="B2139" s="104" t="s">
        <v>2395</v>
      </c>
      <c r="C2139" s="104" t="s">
        <v>40</v>
      </c>
      <c r="D2139" s="129" t="s">
        <v>16639</v>
      </c>
    </row>
    <row r="2140" spans="1:4">
      <c r="A2140" s="105">
        <v>100898</v>
      </c>
      <c r="B2140" s="104" t="s">
        <v>2396</v>
      </c>
      <c r="C2140" s="104" t="s">
        <v>40</v>
      </c>
      <c r="D2140" s="129" t="s">
        <v>16640</v>
      </c>
    </row>
    <row r="2141" spans="1:4">
      <c r="A2141" s="105">
        <v>100899</v>
      </c>
      <c r="B2141" s="104" t="s">
        <v>2397</v>
      </c>
      <c r="C2141" s="104" t="s">
        <v>40</v>
      </c>
      <c r="D2141" s="129" t="s">
        <v>16641</v>
      </c>
    </row>
    <row r="2142" spans="1:4">
      <c r="A2142" s="105">
        <v>100900</v>
      </c>
      <c r="B2142" s="104" t="s">
        <v>2398</v>
      </c>
      <c r="C2142" s="104" t="s">
        <v>40</v>
      </c>
      <c r="D2142" s="129" t="s">
        <v>16642</v>
      </c>
    </row>
    <row r="2143" spans="1:4">
      <c r="A2143" s="105">
        <v>101173</v>
      </c>
      <c r="B2143" s="104" t="s">
        <v>2399</v>
      </c>
      <c r="C2143" s="104" t="s">
        <v>40</v>
      </c>
      <c r="D2143" s="129" t="s">
        <v>16643</v>
      </c>
    </row>
    <row r="2144" spans="1:4">
      <c r="A2144" s="105">
        <v>101174</v>
      </c>
      <c r="B2144" s="104" t="s">
        <v>2400</v>
      </c>
      <c r="C2144" s="104" t="s">
        <v>40</v>
      </c>
      <c r="D2144" s="129" t="s">
        <v>16644</v>
      </c>
    </row>
    <row r="2145" spans="1:4">
      <c r="A2145" s="105">
        <v>101175</v>
      </c>
      <c r="B2145" s="104" t="s">
        <v>2401</v>
      </c>
      <c r="C2145" s="104" t="s">
        <v>40</v>
      </c>
      <c r="D2145" s="129" t="s">
        <v>16645</v>
      </c>
    </row>
    <row r="2146" spans="1:4">
      <c r="A2146" s="105">
        <v>101176</v>
      </c>
      <c r="B2146" s="104" t="s">
        <v>2402</v>
      </c>
      <c r="C2146" s="104" t="s">
        <v>40</v>
      </c>
      <c r="D2146" s="129" t="s">
        <v>16646</v>
      </c>
    </row>
    <row r="2147" spans="1:4">
      <c r="A2147" s="105">
        <v>102521</v>
      </c>
      <c r="B2147" s="104" t="s">
        <v>2403</v>
      </c>
      <c r="C2147" s="104" t="s">
        <v>183</v>
      </c>
      <c r="D2147" s="129" t="s">
        <v>16647</v>
      </c>
    </row>
    <row r="2148" spans="1:4">
      <c r="A2148" s="105">
        <v>102522</v>
      </c>
      <c r="B2148" s="104" t="s">
        <v>2404</v>
      </c>
      <c r="C2148" s="104" t="s">
        <v>183</v>
      </c>
      <c r="D2148" s="129" t="s">
        <v>16648</v>
      </c>
    </row>
    <row r="2149" spans="1:4">
      <c r="A2149" s="105">
        <v>102523</v>
      </c>
      <c r="B2149" s="104" t="s">
        <v>2405</v>
      </c>
      <c r="C2149" s="104" t="s">
        <v>183</v>
      </c>
      <c r="D2149" s="129" t="s">
        <v>16649</v>
      </c>
    </row>
    <row r="2150" spans="1:4">
      <c r="A2150" s="105">
        <v>95240</v>
      </c>
      <c r="B2150" s="104" t="s">
        <v>2406</v>
      </c>
      <c r="C2150" s="104" t="s">
        <v>12</v>
      </c>
      <c r="D2150" s="129" t="s">
        <v>16650</v>
      </c>
    </row>
    <row r="2151" spans="1:4">
      <c r="A2151" s="105">
        <v>95241</v>
      </c>
      <c r="B2151" s="104" t="s">
        <v>2407</v>
      </c>
      <c r="C2151" s="104" t="s">
        <v>12</v>
      </c>
      <c r="D2151" s="129" t="s">
        <v>16651</v>
      </c>
    </row>
    <row r="2152" spans="1:4">
      <c r="A2152" s="105">
        <v>96616</v>
      </c>
      <c r="B2152" s="104" t="s">
        <v>2408</v>
      </c>
      <c r="C2152" s="104" t="s">
        <v>28</v>
      </c>
      <c r="D2152" s="129" t="s">
        <v>16652</v>
      </c>
    </row>
    <row r="2153" spans="1:4">
      <c r="A2153" s="105">
        <v>96617</v>
      </c>
      <c r="B2153" s="104" t="s">
        <v>2409</v>
      </c>
      <c r="C2153" s="104" t="s">
        <v>12</v>
      </c>
      <c r="D2153" s="129" t="s">
        <v>16653</v>
      </c>
    </row>
    <row r="2154" spans="1:4">
      <c r="A2154" s="105">
        <v>96619</v>
      </c>
      <c r="B2154" s="104" t="s">
        <v>2410</v>
      </c>
      <c r="C2154" s="104" t="s">
        <v>12</v>
      </c>
      <c r="D2154" s="129" t="s">
        <v>16654</v>
      </c>
    </row>
    <row r="2155" spans="1:4">
      <c r="A2155" s="105">
        <v>96620</v>
      </c>
      <c r="B2155" s="104" t="s">
        <v>2411</v>
      </c>
      <c r="C2155" s="104" t="s">
        <v>28</v>
      </c>
      <c r="D2155" s="129" t="s">
        <v>16655</v>
      </c>
    </row>
    <row r="2156" spans="1:4">
      <c r="A2156" s="105">
        <v>96621</v>
      </c>
      <c r="B2156" s="104" t="s">
        <v>2412</v>
      </c>
      <c r="C2156" s="104" t="s">
        <v>28</v>
      </c>
      <c r="D2156" s="129" t="s">
        <v>16656</v>
      </c>
    </row>
    <row r="2157" spans="1:4">
      <c r="A2157" s="105">
        <v>96622</v>
      </c>
      <c r="B2157" s="104" t="s">
        <v>2413</v>
      </c>
      <c r="C2157" s="104" t="s">
        <v>28</v>
      </c>
      <c r="D2157" s="129" t="s">
        <v>16657</v>
      </c>
    </row>
    <row r="2158" spans="1:4">
      <c r="A2158" s="105">
        <v>96623</v>
      </c>
      <c r="B2158" s="104" t="s">
        <v>2414</v>
      </c>
      <c r="C2158" s="104" t="s">
        <v>28</v>
      </c>
      <c r="D2158" s="129" t="s">
        <v>15232</v>
      </c>
    </row>
    <row r="2159" spans="1:4">
      <c r="A2159" s="105">
        <v>96624</v>
      </c>
      <c r="B2159" s="104" t="s">
        <v>2415</v>
      </c>
      <c r="C2159" s="104" t="s">
        <v>28</v>
      </c>
      <c r="D2159" s="129" t="s">
        <v>16658</v>
      </c>
    </row>
    <row r="2160" spans="1:4">
      <c r="A2160" s="105">
        <v>97082</v>
      </c>
      <c r="B2160" s="104" t="s">
        <v>12815</v>
      </c>
      <c r="C2160" s="104" t="s">
        <v>28</v>
      </c>
      <c r="D2160" s="129" t="s">
        <v>16659</v>
      </c>
    </row>
    <row r="2161" spans="1:4">
      <c r="A2161" s="105">
        <v>97083</v>
      </c>
      <c r="B2161" s="104" t="s">
        <v>12816</v>
      </c>
      <c r="C2161" s="104" t="s">
        <v>12</v>
      </c>
      <c r="D2161" s="129" t="s">
        <v>16660</v>
      </c>
    </row>
    <row r="2162" spans="1:4">
      <c r="A2162" s="105">
        <v>97084</v>
      </c>
      <c r="B2162" s="104" t="s">
        <v>12817</v>
      </c>
      <c r="C2162" s="104" t="s">
        <v>12</v>
      </c>
      <c r="D2162" s="129" t="s">
        <v>16661</v>
      </c>
    </row>
    <row r="2163" spans="1:4">
      <c r="A2163" s="105">
        <v>97086</v>
      </c>
      <c r="B2163" s="104" t="s">
        <v>12818</v>
      </c>
      <c r="C2163" s="104" t="s">
        <v>12</v>
      </c>
      <c r="D2163" s="129" t="s">
        <v>16662</v>
      </c>
    </row>
    <row r="2164" spans="1:4">
      <c r="A2164" s="105">
        <v>97087</v>
      </c>
      <c r="B2164" s="104" t="s">
        <v>12819</v>
      </c>
      <c r="C2164" s="104" t="s">
        <v>12</v>
      </c>
      <c r="D2164" s="129" t="s">
        <v>15303</v>
      </c>
    </row>
    <row r="2165" spans="1:4">
      <c r="A2165" s="105">
        <v>97088</v>
      </c>
      <c r="B2165" s="104" t="s">
        <v>12820</v>
      </c>
      <c r="C2165" s="104" t="s">
        <v>41</v>
      </c>
      <c r="D2165" s="129" t="s">
        <v>16663</v>
      </c>
    </row>
    <row r="2166" spans="1:4">
      <c r="A2166" s="105">
        <v>97089</v>
      </c>
      <c r="B2166" s="104" t="s">
        <v>12821</v>
      </c>
      <c r="C2166" s="104" t="s">
        <v>41</v>
      </c>
      <c r="D2166" s="129" t="s">
        <v>16664</v>
      </c>
    </row>
    <row r="2167" spans="1:4">
      <c r="A2167" s="105">
        <v>97090</v>
      </c>
      <c r="B2167" s="104" t="s">
        <v>12822</v>
      </c>
      <c r="C2167" s="104" t="s">
        <v>41</v>
      </c>
      <c r="D2167" s="129" t="s">
        <v>16665</v>
      </c>
    </row>
    <row r="2168" spans="1:4">
      <c r="A2168" s="105">
        <v>97091</v>
      </c>
      <c r="B2168" s="104" t="s">
        <v>12823</v>
      </c>
      <c r="C2168" s="104" t="s">
        <v>41</v>
      </c>
      <c r="D2168" s="129" t="s">
        <v>16666</v>
      </c>
    </row>
    <row r="2169" spans="1:4">
      <c r="A2169" s="105">
        <v>97092</v>
      </c>
      <c r="B2169" s="104" t="s">
        <v>12824</v>
      </c>
      <c r="C2169" s="104" t="s">
        <v>41</v>
      </c>
      <c r="D2169" s="129" t="s">
        <v>16667</v>
      </c>
    </row>
    <row r="2170" spans="1:4">
      <c r="A2170" s="105">
        <v>97093</v>
      </c>
      <c r="B2170" s="104" t="s">
        <v>12825</v>
      </c>
      <c r="C2170" s="104" t="s">
        <v>41</v>
      </c>
      <c r="D2170" s="129" t="s">
        <v>16668</v>
      </c>
    </row>
    <row r="2171" spans="1:4">
      <c r="A2171" s="105">
        <v>97096</v>
      </c>
      <c r="B2171" s="104" t="s">
        <v>12826</v>
      </c>
      <c r="C2171" s="104" t="s">
        <v>28</v>
      </c>
      <c r="D2171" s="129" t="s">
        <v>16669</v>
      </c>
    </row>
    <row r="2172" spans="1:4">
      <c r="A2172" s="105">
        <v>97097</v>
      </c>
      <c r="B2172" s="104" t="s">
        <v>12827</v>
      </c>
      <c r="C2172" s="104" t="s">
        <v>12</v>
      </c>
      <c r="D2172" s="129" t="s">
        <v>16670</v>
      </c>
    </row>
    <row r="2173" spans="1:4">
      <c r="A2173" s="105">
        <v>97101</v>
      </c>
      <c r="B2173" s="104" t="s">
        <v>12828</v>
      </c>
      <c r="C2173" s="104" t="s">
        <v>12</v>
      </c>
      <c r="D2173" s="129" t="s">
        <v>16671</v>
      </c>
    </row>
    <row r="2174" spans="1:4">
      <c r="A2174" s="105">
        <v>97102</v>
      </c>
      <c r="B2174" s="104" t="s">
        <v>12829</v>
      </c>
      <c r="C2174" s="104" t="s">
        <v>12</v>
      </c>
      <c r="D2174" s="129" t="s">
        <v>16672</v>
      </c>
    </row>
    <row r="2175" spans="1:4">
      <c r="A2175" s="105">
        <v>97103</v>
      </c>
      <c r="B2175" s="104" t="s">
        <v>12830</v>
      </c>
      <c r="C2175" s="104" t="s">
        <v>12</v>
      </c>
      <c r="D2175" s="129" t="s">
        <v>16673</v>
      </c>
    </row>
    <row r="2176" spans="1:4">
      <c r="A2176" s="105">
        <v>100322</v>
      </c>
      <c r="B2176" s="104" t="s">
        <v>2416</v>
      </c>
      <c r="C2176" s="104" t="s">
        <v>28</v>
      </c>
      <c r="D2176" s="129" t="s">
        <v>16674</v>
      </c>
    </row>
    <row r="2177" spans="1:4">
      <c r="A2177" s="105">
        <v>100323</v>
      </c>
      <c r="B2177" s="104" t="s">
        <v>2417</v>
      </c>
      <c r="C2177" s="104" t="s">
        <v>28</v>
      </c>
      <c r="D2177" s="129" t="s">
        <v>16675</v>
      </c>
    </row>
    <row r="2178" spans="1:4">
      <c r="A2178" s="105">
        <v>100324</v>
      </c>
      <c r="B2178" s="104" t="s">
        <v>2418</v>
      </c>
      <c r="C2178" s="104" t="s">
        <v>28</v>
      </c>
      <c r="D2178" s="129" t="s">
        <v>16676</v>
      </c>
    </row>
    <row r="2179" spans="1:4">
      <c r="A2179" s="105">
        <v>103072</v>
      </c>
      <c r="B2179" s="104" t="s">
        <v>12831</v>
      </c>
      <c r="C2179" s="104" t="s">
        <v>12</v>
      </c>
      <c r="D2179" s="129" t="s">
        <v>16677</v>
      </c>
    </row>
    <row r="2180" spans="1:4">
      <c r="A2180" s="105">
        <v>103073</v>
      </c>
      <c r="B2180" s="104" t="s">
        <v>12832</v>
      </c>
      <c r="C2180" s="104" t="s">
        <v>12</v>
      </c>
      <c r="D2180" s="129" t="s">
        <v>16678</v>
      </c>
    </row>
    <row r="2181" spans="1:4">
      <c r="A2181" s="105">
        <v>103074</v>
      </c>
      <c r="B2181" s="104" t="s">
        <v>12833</v>
      </c>
      <c r="C2181" s="104" t="s">
        <v>12</v>
      </c>
      <c r="D2181" s="129" t="s">
        <v>16679</v>
      </c>
    </row>
    <row r="2182" spans="1:4">
      <c r="A2182" s="105">
        <v>103075</v>
      </c>
      <c r="B2182" s="104" t="s">
        <v>12834</v>
      </c>
      <c r="C2182" s="104" t="s">
        <v>12</v>
      </c>
      <c r="D2182" s="129" t="s">
        <v>16680</v>
      </c>
    </row>
    <row r="2183" spans="1:4">
      <c r="A2183" s="105">
        <v>103076</v>
      </c>
      <c r="B2183" s="104" t="s">
        <v>12835</v>
      </c>
      <c r="C2183" s="104" t="s">
        <v>12</v>
      </c>
      <c r="D2183" s="129" t="s">
        <v>16681</v>
      </c>
    </row>
    <row r="2184" spans="1:4">
      <c r="A2184" s="105">
        <v>103077</v>
      </c>
      <c r="B2184" s="104" t="s">
        <v>12836</v>
      </c>
      <c r="C2184" s="104" t="s">
        <v>12</v>
      </c>
      <c r="D2184" s="129" t="s">
        <v>16682</v>
      </c>
    </row>
    <row r="2185" spans="1:4">
      <c r="A2185" s="105">
        <v>103078</v>
      </c>
      <c r="B2185" s="104" t="s">
        <v>12837</v>
      </c>
      <c r="C2185" s="104" t="s">
        <v>12</v>
      </c>
      <c r="D2185" s="129" t="s">
        <v>16683</v>
      </c>
    </row>
    <row r="2186" spans="1:4">
      <c r="A2186" s="105">
        <v>103079</v>
      </c>
      <c r="B2186" s="104" t="s">
        <v>12838</v>
      </c>
      <c r="C2186" s="104" t="s">
        <v>12</v>
      </c>
      <c r="D2186" s="129" t="s">
        <v>16684</v>
      </c>
    </row>
    <row r="2187" spans="1:4">
      <c r="A2187" s="105">
        <v>103080</v>
      </c>
      <c r="B2187" s="104" t="s">
        <v>12839</v>
      </c>
      <c r="C2187" s="104" t="s">
        <v>12</v>
      </c>
      <c r="D2187" s="129" t="s">
        <v>16685</v>
      </c>
    </row>
    <row r="2188" spans="1:4">
      <c r="A2188" s="105">
        <v>92263</v>
      </c>
      <c r="B2188" s="104" t="s">
        <v>2419</v>
      </c>
      <c r="C2188" s="104" t="s">
        <v>12</v>
      </c>
      <c r="D2188" s="129" t="s">
        <v>16686</v>
      </c>
    </row>
    <row r="2189" spans="1:4">
      <c r="A2189" s="105">
        <v>92264</v>
      </c>
      <c r="B2189" s="104" t="s">
        <v>2420</v>
      </c>
      <c r="C2189" s="104" t="s">
        <v>12</v>
      </c>
      <c r="D2189" s="129" t="s">
        <v>16687</v>
      </c>
    </row>
    <row r="2190" spans="1:4">
      <c r="A2190" s="105">
        <v>92265</v>
      </c>
      <c r="B2190" s="104" t="s">
        <v>305</v>
      </c>
      <c r="C2190" s="104" t="s">
        <v>12</v>
      </c>
      <c r="D2190" s="129" t="s">
        <v>16688</v>
      </c>
    </row>
    <row r="2191" spans="1:4">
      <c r="A2191" s="105">
        <v>92266</v>
      </c>
      <c r="B2191" s="104" t="s">
        <v>2421</v>
      </c>
      <c r="C2191" s="104" t="s">
        <v>12</v>
      </c>
      <c r="D2191" s="129" t="s">
        <v>16689</v>
      </c>
    </row>
    <row r="2192" spans="1:4">
      <c r="A2192" s="105">
        <v>92267</v>
      </c>
      <c r="B2192" s="104" t="s">
        <v>2422</v>
      </c>
      <c r="C2192" s="104" t="s">
        <v>12</v>
      </c>
      <c r="D2192" s="129" t="s">
        <v>16690</v>
      </c>
    </row>
    <row r="2193" spans="1:4">
      <c r="A2193" s="105">
        <v>92268</v>
      </c>
      <c r="B2193" s="104" t="s">
        <v>2423</v>
      </c>
      <c r="C2193" s="104" t="s">
        <v>12</v>
      </c>
      <c r="D2193" s="129" t="s">
        <v>16691</v>
      </c>
    </row>
    <row r="2194" spans="1:4">
      <c r="A2194" s="105">
        <v>92269</v>
      </c>
      <c r="B2194" s="104" t="s">
        <v>2424</v>
      </c>
      <c r="C2194" s="104" t="s">
        <v>12</v>
      </c>
      <c r="D2194" s="129" t="s">
        <v>16692</v>
      </c>
    </row>
    <row r="2195" spans="1:4">
      <c r="A2195" s="105">
        <v>92270</v>
      </c>
      <c r="B2195" s="104" t="s">
        <v>2425</v>
      </c>
      <c r="C2195" s="104" t="s">
        <v>12</v>
      </c>
      <c r="D2195" s="129" t="s">
        <v>16693</v>
      </c>
    </row>
    <row r="2196" spans="1:4">
      <c r="A2196" s="105">
        <v>92271</v>
      </c>
      <c r="B2196" s="104" t="s">
        <v>2426</v>
      </c>
      <c r="C2196" s="104" t="s">
        <v>12</v>
      </c>
      <c r="D2196" s="129" t="s">
        <v>16694</v>
      </c>
    </row>
    <row r="2197" spans="1:4">
      <c r="A2197" s="105">
        <v>92272</v>
      </c>
      <c r="B2197" s="104" t="s">
        <v>2427</v>
      </c>
      <c r="C2197" s="104" t="s">
        <v>40</v>
      </c>
      <c r="D2197" s="129" t="s">
        <v>16695</v>
      </c>
    </row>
    <row r="2198" spans="1:4">
      <c r="A2198" s="105">
        <v>92273</v>
      </c>
      <c r="B2198" s="104" t="s">
        <v>2428</v>
      </c>
      <c r="C2198" s="104" t="s">
        <v>40</v>
      </c>
      <c r="D2198" s="129" t="s">
        <v>16696</v>
      </c>
    </row>
    <row r="2199" spans="1:4">
      <c r="A2199" s="105">
        <v>92409</v>
      </c>
      <c r="B2199" s="104" t="s">
        <v>2429</v>
      </c>
      <c r="C2199" s="104" t="s">
        <v>12</v>
      </c>
      <c r="D2199" s="129" t="s">
        <v>16697</v>
      </c>
    </row>
    <row r="2200" spans="1:4">
      <c r="A2200" s="105">
        <v>92411</v>
      </c>
      <c r="B2200" s="104" t="s">
        <v>2430</v>
      </c>
      <c r="C2200" s="104" t="s">
        <v>12</v>
      </c>
      <c r="D2200" s="129" t="s">
        <v>16698</v>
      </c>
    </row>
    <row r="2201" spans="1:4">
      <c r="A2201" s="105">
        <v>92413</v>
      </c>
      <c r="B2201" s="104" t="s">
        <v>2431</v>
      </c>
      <c r="C2201" s="104" t="s">
        <v>12</v>
      </c>
      <c r="D2201" s="129" t="s">
        <v>16699</v>
      </c>
    </row>
    <row r="2202" spans="1:4">
      <c r="A2202" s="105">
        <v>92415</v>
      </c>
      <c r="B2202" s="104" t="s">
        <v>2432</v>
      </c>
      <c r="C2202" s="104" t="s">
        <v>12</v>
      </c>
      <c r="D2202" s="129" t="s">
        <v>16700</v>
      </c>
    </row>
    <row r="2203" spans="1:4">
      <c r="A2203" s="105">
        <v>92417</v>
      </c>
      <c r="B2203" s="104" t="s">
        <v>2433</v>
      </c>
      <c r="C2203" s="104" t="s">
        <v>12</v>
      </c>
      <c r="D2203" s="129" t="s">
        <v>16701</v>
      </c>
    </row>
    <row r="2204" spans="1:4">
      <c r="A2204" s="105">
        <v>92419</v>
      </c>
      <c r="B2204" s="104" t="s">
        <v>2434</v>
      </c>
      <c r="C2204" s="104" t="s">
        <v>12</v>
      </c>
      <c r="D2204" s="129" t="s">
        <v>16702</v>
      </c>
    </row>
    <row r="2205" spans="1:4">
      <c r="A2205" s="105">
        <v>92421</v>
      </c>
      <c r="B2205" s="104" t="s">
        <v>2435</v>
      </c>
      <c r="C2205" s="104" t="s">
        <v>12</v>
      </c>
      <c r="D2205" s="129" t="s">
        <v>16703</v>
      </c>
    </row>
    <row r="2206" spans="1:4">
      <c r="A2206" s="105">
        <v>92423</v>
      </c>
      <c r="B2206" s="104" t="s">
        <v>2436</v>
      </c>
      <c r="C2206" s="104" t="s">
        <v>12</v>
      </c>
      <c r="D2206" s="129" t="s">
        <v>16704</v>
      </c>
    </row>
    <row r="2207" spans="1:4">
      <c r="A2207" s="105">
        <v>92425</v>
      </c>
      <c r="B2207" s="104" t="s">
        <v>2437</v>
      </c>
      <c r="C2207" s="104" t="s">
        <v>12</v>
      </c>
      <c r="D2207" s="129" t="s">
        <v>16705</v>
      </c>
    </row>
    <row r="2208" spans="1:4">
      <c r="A2208" s="105">
        <v>92427</v>
      </c>
      <c r="B2208" s="104" t="s">
        <v>2438</v>
      </c>
      <c r="C2208" s="104" t="s">
        <v>12</v>
      </c>
      <c r="D2208" s="129" t="s">
        <v>16706</v>
      </c>
    </row>
    <row r="2209" spans="1:4">
      <c r="A2209" s="105">
        <v>92429</v>
      </c>
      <c r="B2209" s="104" t="s">
        <v>2439</v>
      </c>
      <c r="C2209" s="104" t="s">
        <v>12</v>
      </c>
      <c r="D2209" s="129" t="s">
        <v>16707</v>
      </c>
    </row>
    <row r="2210" spans="1:4">
      <c r="A2210" s="105">
        <v>92431</v>
      </c>
      <c r="B2210" s="104" t="s">
        <v>2440</v>
      </c>
      <c r="C2210" s="104" t="s">
        <v>12</v>
      </c>
      <c r="D2210" s="129" t="s">
        <v>16708</v>
      </c>
    </row>
    <row r="2211" spans="1:4">
      <c r="A2211" s="105">
        <v>92433</v>
      </c>
      <c r="B2211" s="104" t="s">
        <v>2441</v>
      </c>
      <c r="C2211" s="104" t="s">
        <v>12</v>
      </c>
      <c r="D2211" s="129" t="s">
        <v>16709</v>
      </c>
    </row>
    <row r="2212" spans="1:4">
      <c r="A2212" s="105">
        <v>92435</v>
      </c>
      <c r="B2212" s="104" t="s">
        <v>2442</v>
      </c>
      <c r="C2212" s="104" t="s">
        <v>12</v>
      </c>
      <c r="D2212" s="129" t="s">
        <v>16710</v>
      </c>
    </row>
    <row r="2213" spans="1:4">
      <c r="A2213" s="105">
        <v>92437</v>
      </c>
      <c r="B2213" s="104" t="s">
        <v>2443</v>
      </c>
      <c r="C2213" s="104" t="s">
        <v>12</v>
      </c>
      <c r="D2213" s="129" t="s">
        <v>16711</v>
      </c>
    </row>
    <row r="2214" spans="1:4">
      <c r="A2214" s="105">
        <v>92439</v>
      </c>
      <c r="B2214" s="104" t="s">
        <v>2444</v>
      </c>
      <c r="C2214" s="104" t="s">
        <v>12</v>
      </c>
      <c r="D2214" s="129" t="s">
        <v>16712</v>
      </c>
    </row>
    <row r="2215" spans="1:4">
      <c r="A2215" s="105">
        <v>92441</v>
      </c>
      <c r="B2215" s="104" t="s">
        <v>2445</v>
      </c>
      <c r="C2215" s="104" t="s">
        <v>12</v>
      </c>
      <c r="D2215" s="129" t="s">
        <v>16713</v>
      </c>
    </row>
    <row r="2216" spans="1:4">
      <c r="A2216" s="105">
        <v>92443</v>
      </c>
      <c r="B2216" s="104" t="s">
        <v>2446</v>
      </c>
      <c r="C2216" s="104" t="s">
        <v>12</v>
      </c>
      <c r="D2216" s="129" t="s">
        <v>16714</v>
      </c>
    </row>
    <row r="2217" spans="1:4">
      <c r="A2217" s="105">
        <v>92445</v>
      </c>
      <c r="B2217" s="104" t="s">
        <v>2447</v>
      </c>
      <c r="C2217" s="104" t="s">
        <v>12</v>
      </c>
      <c r="D2217" s="129" t="s">
        <v>16715</v>
      </c>
    </row>
    <row r="2218" spans="1:4">
      <c r="A2218" s="105">
        <v>92446</v>
      </c>
      <c r="B2218" s="104" t="s">
        <v>2448</v>
      </c>
      <c r="C2218" s="104" t="s">
        <v>12</v>
      </c>
      <c r="D2218" s="129" t="s">
        <v>16716</v>
      </c>
    </row>
    <row r="2219" spans="1:4">
      <c r="A2219" s="105">
        <v>92447</v>
      </c>
      <c r="B2219" s="104" t="s">
        <v>2449</v>
      </c>
      <c r="C2219" s="104" t="s">
        <v>12</v>
      </c>
      <c r="D2219" s="129" t="s">
        <v>16717</v>
      </c>
    </row>
    <row r="2220" spans="1:4">
      <c r="A2220" s="105">
        <v>92448</v>
      </c>
      <c r="B2220" s="104" t="s">
        <v>2450</v>
      </c>
      <c r="C2220" s="104" t="s">
        <v>12</v>
      </c>
      <c r="D2220" s="129" t="s">
        <v>16718</v>
      </c>
    </row>
    <row r="2221" spans="1:4">
      <c r="A2221" s="105">
        <v>92449</v>
      </c>
      <c r="B2221" s="104" t="s">
        <v>2451</v>
      </c>
      <c r="C2221" s="104" t="s">
        <v>12</v>
      </c>
      <c r="D2221" s="129" t="s">
        <v>16719</v>
      </c>
    </row>
    <row r="2222" spans="1:4">
      <c r="A2222" s="105">
        <v>92450</v>
      </c>
      <c r="B2222" s="104" t="s">
        <v>2452</v>
      </c>
      <c r="C2222" s="104" t="s">
        <v>12</v>
      </c>
      <c r="D2222" s="129" t="s">
        <v>16720</v>
      </c>
    </row>
    <row r="2223" spans="1:4">
      <c r="A2223" s="105">
        <v>92451</v>
      </c>
      <c r="B2223" s="104" t="s">
        <v>2453</v>
      </c>
      <c r="C2223" s="104" t="s">
        <v>12</v>
      </c>
      <c r="D2223" s="129" t="s">
        <v>16721</v>
      </c>
    </row>
    <row r="2224" spans="1:4">
      <c r="A2224" s="105">
        <v>92452</v>
      </c>
      <c r="B2224" s="104" t="s">
        <v>2454</v>
      </c>
      <c r="C2224" s="104" t="s">
        <v>12</v>
      </c>
      <c r="D2224" s="129" t="s">
        <v>16722</v>
      </c>
    </row>
    <row r="2225" spans="1:4">
      <c r="A2225" s="105">
        <v>92453</v>
      </c>
      <c r="B2225" s="104" t="s">
        <v>2455</v>
      </c>
      <c r="C2225" s="104" t="s">
        <v>12</v>
      </c>
      <c r="D2225" s="129" t="s">
        <v>16723</v>
      </c>
    </row>
    <row r="2226" spans="1:4">
      <c r="A2226" s="105">
        <v>92454</v>
      </c>
      <c r="B2226" s="104" t="s">
        <v>2456</v>
      </c>
      <c r="C2226" s="104" t="s">
        <v>12</v>
      </c>
      <c r="D2226" s="129" t="s">
        <v>16724</v>
      </c>
    </row>
    <row r="2227" spans="1:4">
      <c r="A2227" s="105">
        <v>92455</v>
      </c>
      <c r="B2227" s="104" t="s">
        <v>2457</v>
      </c>
      <c r="C2227" s="104" t="s">
        <v>12</v>
      </c>
      <c r="D2227" s="129" t="s">
        <v>16725</v>
      </c>
    </row>
    <row r="2228" spans="1:4">
      <c r="A2228" s="105">
        <v>92456</v>
      </c>
      <c r="B2228" s="104" t="s">
        <v>2458</v>
      </c>
      <c r="C2228" s="104" t="s">
        <v>12</v>
      </c>
      <c r="D2228" s="129" t="s">
        <v>16726</v>
      </c>
    </row>
    <row r="2229" spans="1:4">
      <c r="A2229" s="105">
        <v>92457</v>
      </c>
      <c r="B2229" s="104" t="s">
        <v>2459</v>
      </c>
      <c r="C2229" s="104" t="s">
        <v>12</v>
      </c>
      <c r="D2229" s="129" t="s">
        <v>16727</v>
      </c>
    </row>
    <row r="2230" spans="1:4">
      <c r="A2230" s="105">
        <v>92458</v>
      </c>
      <c r="B2230" s="104" t="s">
        <v>2460</v>
      </c>
      <c r="C2230" s="104" t="s">
        <v>12</v>
      </c>
      <c r="D2230" s="129" t="s">
        <v>16728</v>
      </c>
    </row>
    <row r="2231" spans="1:4">
      <c r="A2231" s="105">
        <v>92459</v>
      </c>
      <c r="B2231" s="104" t="s">
        <v>2461</v>
      </c>
      <c r="C2231" s="104" t="s">
        <v>12</v>
      </c>
      <c r="D2231" s="129" t="s">
        <v>16729</v>
      </c>
    </row>
    <row r="2232" spans="1:4">
      <c r="A2232" s="105">
        <v>92460</v>
      </c>
      <c r="B2232" s="104" t="s">
        <v>2462</v>
      </c>
      <c r="C2232" s="104" t="s">
        <v>12</v>
      </c>
      <c r="D2232" s="129" t="s">
        <v>16730</v>
      </c>
    </row>
    <row r="2233" spans="1:4">
      <c r="A2233" s="105">
        <v>92461</v>
      </c>
      <c r="B2233" s="104" t="s">
        <v>2463</v>
      </c>
      <c r="C2233" s="104" t="s">
        <v>12</v>
      </c>
      <c r="D2233" s="129" t="s">
        <v>16731</v>
      </c>
    </row>
    <row r="2234" spans="1:4">
      <c r="A2234" s="105">
        <v>92462</v>
      </c>
      <c r="B2234" s="104" t="s">
        <v>2464</v>
      </c>
      <c r="C2234" s="104" t="s">
        <v>12</v>
      </c>
      <c r="D2234" s="129" t="s">
        <v>16732</v>
      </c>
    </row>
    <row r="2235" spans="1:4">
      <c r="A2235" s="105">
        <v>92463</v>
      </c>
      <c r="B2235" s="104" t="s">
        <v>2465</v>
      </c>
      <c r="C2235" s="104" t="s">
        <v>12</v>
      </c>
      <c r="D2235" s="129" t="s">
        <v>16733</v>
      </c>
    </row>
    <row r="2236" spans="1:4">
      <c r="A2236" s="105">
        <v>92464</v>
      </c>
      <c r="B2236" s="104" t="s">
        <v>2466</v>
      </c>
      <c r="C2236" s="104" t="s">
        <v>12</v>
      </c>
      <c r="D2236" s="129" t="s">
        <v>16734</v>
      </c>
    </row>
    <row r="2237" spans="1:4">
      <c r="A2237" s="105">
        <v>92465</v>
      </c>
      <c r="B2237" s="104" t="s">
        <v>2467</v>
      </c>
      <c r="C2237" s="104" t="s">
        <v>12</v>
      </c>
      <c r="D2237" s="129" t="s">
        <v>16735</v>
      </c>
    </row>
    <row r="2238" spans="1:4">
      <c r="A2238" s="105">
        <v>92466</v>
      </c>
      <c r="B2238" s="104" t="s">
        <v>2468</v>
      </c>
      <c r="C2238" s="104" t="s">
        <v>12</v>
      </c>
      <c r="D2238" s="129" t="s">
        <v>16736</v>
      </c>
    </row>
    <row r="2239" spans="1:4">
      <c r="A2239" s="105">
        <v>92467</v>
      </c>
      <c r="B2239" s="104" t="s">
        <v>2469</v>
      </c>
      <c r="C2239" s="104" t="s">
        <v>12</v>
      </c>
      <c r="D2239" s="129" t="s">
        <v>16737</v>
      </c>
    </row>
    <row r="2240" spans="1:4">
      <c r="A2240" s="105">
        <v>92468</v>
      </c>
      <c r="B2240" s="104" t="s">
        <v>2470</v>
      </c>
      <c r="C2240" s="104" t="s">
        <v>12</v>
      </c>
      <c r="D2240" s="129" t="s">
        <v>16738</v>
      </c>
    </row>
    <row r="2241" spans="1:4">
      <c r="A2241" s="105">
        <v>92469</v>
      </c>
      <c r="B2241" s="104" t="s">
        <v>2471</v>
      </c>
      <c r="C2241" s="104" t="s">
        <v>12</v>
      </c>
      <c r="D2241" s="129" t="s">
        <v>16739</v>
      </c>
    </row>
    <row r="2242" spans="1:4">
      <c r="A2242" s="105">
        <v>92470</v>
      </c>
      <c r="B2242" s="104" t="s">
        <v>2472</v>
      </c>
      <c r="C2242" s="104" t="s">
        <v>12</v>
      </c>
      <c r="D2242" s="129" t="s">
        <v>16740</v>
      </c>
    </row>
    <row r="2243" spans="1:4">
      <c r="A2243" s="105">
        <v>92471</v>
      </c>
      <c r="B2243" s="104" t="s">
        <v>2473</v>
      </c>
      <c r="C2243" s="104" t="s">
        <v>12</v>
      </c>
      <c r="D2243" s="129" t="s">
        <v>16741</v>
      </c>
    </row>
    <row r="2244" spans="1:4">
      <c r="A2244" s="105">
        <v>92472</v>
      </c>
      <c r="B2244" s="104" t="s">
        <v>2474</v>
      </c>
      <c r="C2244" s="104" t="s">
        <v>12</v>
      </c>
      <c r="D2244" s="129" t="s">
        <v>16742</v>
      </c>
    </row>
    <row r="2245" spans="1:4">
      <c r="A2245" s="105">
        <v>92473</v>
      </c>
      <c r="B2245" s="104" t="s">
        <v>2475</v>
      </c>
      <c r="C2245" s="104" t="s">
        <v>12</v>
      </c>
      <c r="D2245" s="129" t="s">
        <v>16743</v>
      </c>
    </row>
    <row r="2246" spans="1:4">
      <c r="A2246" s="105">
        <v>92474</v>
      </c>
      <c r="B2246" s="104" t="s">
        <v>2476</v>
      </c>
      <c r="C2246" s="104" t="s">
        <v>12</v>
      </c>
      <c r="D2246" s="129" t="s">
        <v>16744</v>
      </c>
    </row>
    <row r="2247" spans="1:4">
      <c r="A2247" s="105">
        <v>92475</v>
      </c>
      <c r="B2247" s="104" t="s">
        <v>2477</v>
      </c>
      <c r="C2247" s="104" t="s">
        <v>12</v>
      </c>
      <c r="D2247" s="129" t="s">
        <v>16745</v>
      </c>
    </row>
    <row r="2248" spans="1:4">
      <c r="A2248" s="105">
        <v>92476</v>
      </c>
      <c r="B2248" s="104" t="s">
        <v>2478</v>
      </c>
      <c r="C2248" s="104" t="s">
        <v>12</v>
      </c>
      <c r="D2248" s="129" t="s">
        <v>16694</v>
      </c>
    </row>
    <row r="2249" spans="1:4">
      <c r="A2249" s="105">
        <v>92477</v>
      </c>
      <c r="B2249" s="104" t="s">
        <v>2479</v>
      </c>
      <c r="C2249" s="104" t="s">
        <v>12</v>
      </c>
      <c r="D2249" s="129" t="s">
        <v>16746</v>
      </c>
    </row>
    <row r="2250" spans="1:4">
      <c r="A2250" s="105">
        <v>92478</v>
      </c>
      <c r="B2250" s="104" t="s">
        <v>2480</v>
      </c>
      <c r="C2250" s="104" t="s">
        <v>12</v>
      </c>
      <c r="D2250" s="129" t="s">
        <v>16747</v>
      </c>
    </row>
    <row r="2251" spans="1:4">
      <c r="A2251" s="105">
        <v>92479</v>
      </c>
      <c r="B2251" s="104" t="s">
        <v>2481</v>
      </c>
      <c r="C2251" s="104" t="s">
        <v>12</v>
      </c>
      <c r="D2251" s="129" t="s">
        <v>16748</v>
      </c>
    </row>
    <row r="2252" spans="1:4">
      <c r="A2252" s="105">
        <v>92480</v>
      </c>
      <c r="B2252" s="104" t="s">
        <v>2482</v>
      </c>
      <c r="C2252" s="104" t="s">
        <v>12</v>
      </c>
      <c r="D2252" s="129" t="s">
        <v>16749</v>
      </c>
    </row>
    <row r="2253" spans="1:4">
      <c r="A2253" s="105">
        <v>92482</v>
      </c>
      <c r="B2253" s="104" t="s">
        <v>2483</v>
      </c>
      <c r="C2253" s="104" t="s">
        <v>12</v>
      </c>
      <c r="D2253" s="129" t="s">
        <v>16750</v>
      </c>
    </row>
    <row r="2254" spans="1:4">
      <c r="A2254" s="105">
        <v>92484</v>
      </c>
      <c r="B2254" s="104" t="s">
        <v>2484</v>
      </c>
      <c r="C2254" s="104" t="s">
        <v>12</v>
      </c>
      <c r="D2254" s="129" t="s">
        <v>16751</v>
      </c>
    </row>
    <row r="2255" spans="1:4">
      <c r="A2255" s="105">
        <v>92486</v>
      </c>
      <c r="B2255" s="104" t="s">
        <v>2485</v>
      </c>
      <c r="C2255" s="104" t="s">
        <v>12</v>
      </c>
      <c r="D2255" s="129" t="s">
        <v>16752</v>
      </c>
    </row>
    <row r="2256" spans="1:4">
      <c r="A2256" s="105">
        <v>92488</v>
      </c>
      <c r="B2256" s="104" t="s">
        <v>2486</v>
      </c>
      <c r="C2256" s="104" t="s">
        <v>12</v>
      </c>
      <c r="D2256" s="129" t="s">
        <v>16753</v>
      </c>
    </row>
    <row r="2257" spans="1:4">
      <c r="A2257" s="105">
        <v>92490</v>
      </c>
      <c r="B2257" s="104" t="s">
        <v>2487</v>
      </c>
      <c r="C2257" s="104" t="s">
        <v>12</v>
      </c>
      <c r="D2257" s="129" t="s">
        <v>16754</v>
      </c>
    </row>
    <row r="2258" spans="1:4">
      <c r="A2258" s="105">
        <v>92492</v>
      </c>
      <c r="B2258" s="104" t="s">
        <v>2488</v>
      </c>
      <c r="C2258" s="104" t="s">
        <v>12</v>
      </c>
      <c r="D2258" s="129" t="s">
        <v>16755</v>
      </c>
    </row>
    <row r="2259" spans="1:4">
      <c r="A2259" s="105">
        <v>92494</v>
      </c>
      <c r="B2259" s="104" t="s">
        <v>2489</v>
      </c>
      <c r="C2259" s="104" t="s">
        <v>12</v>
      </c>
      <c r="D2259" s="129" t="s">
        <v>16756</v>
      </c>
    </row>
    <row r="2260" spans="1:4">
      <c r="A2260" s="105">
        <v>92496</v>
      </c>
      <c r="B2260" s="104" t="s">
        <v>2490</v>
      </c>
      <c r="C2260" s="104" t="s">
        <v>12</v>
      </c>
      <c r="D2260" s="129" t="s">
        <v>16757</v>
      </c>
    </row>
    <row r="2261" spans="1:4">
      <c r="A2261" s="105">
        <v>92498</v>
      </c>
      <c r="B2261" s="104" t="s">
        <v>2491</v>
      </c>
      <c r="C2261" s="104" t="s">
        <v>12</v>
      </c>
      <c r="D2261" s="129" t="s">
        <v>16758</v>
      </c>
    </row>
    <row r="2262" spans="1:4">
      <c r="A2262" s="105">
        <v>92500</v>
      </c>
      <c r="B2262" s="104" t="s">
        <v>2492</v>
      </c>
      <c r="C2262" s="104" t="s">
        <v>12</v>
      </c>
      <c r="D2262" s="129" t="s">
        <v>16759</v>
      </c>
    </row>
    <row r="2263" spans="1:4">
      <c r="A2263" s="105">
        <v>92502</v>
      </c>
      <c r="B2263" s="104" t="s">
        <v>2493</v>
      </c>
      <c r="C2263" s="104" t="s">
        <v>12</v>
      </c>
      <c r="D2263" s="129" t="s">
        <v>16760</v>
      </c>
    </row>
    <row r="2264" spans="1:4">
      <c r="A2264" s="105">
        <v>92504</v>
      </c>
      <c r="B2264" s="104" t="s">
        <v>2494</v>
      </c>
      <c r="C2264" s="104" t="s">
        <v>12</v>
      </c>
      <c r="D2264" s="129" t="s">
        <v>16761</v>
      </c>
    </row>
    <row r="2265" spans="1:4">
      <c r="A2265" s="105">
        <v>92506</v>
      </c>
      <c r="B2265" s="104" t="s">
        <v>2495</v>
      </c>
      <c r="C2265" s="104" t="s">
        <v>12</v>
      </c>
      <c r="D2265" s="129" t="s">
        <v>16762</v>
      </c>
    </row>
    <row r="2266" spans="1:4">
      <c r="A2266" s="105">
        <v>92508</v>
      </c>
      <c r="B2266" s="104" t="s">
        <v>2496</v>
      </c>
      <c r="C2266" s="104" t="s">
        <v>12</v>
      </c>
      <c r="D2266" s="129" t="s">
        <v>16763</v>
      </c>
    </row>
    <row r="2267" spans="1:4">
      <c r="A2267" s="105">
        <v>92510</v>
      </c>
      <c r="B2267" s="104" t="s">
        <v>2497</v>
      </c>
      <c r="C2267" s="104" t="s">
        <v>12</v>
      </c>
      <c r="D2267" s="129" t="s">
        <v>16764</v>
      </c>
    </row>
    <row r="2268" spans="1:4">
      <c r="A2268" s="105">
        <v>92512</v>
      </c>
      <c r="B2268" s="104" t="s">
        <v>2498</v>
      </c>
      <c r="C2268" s="104" t="s">
        <v>12</v>
      </c>
      <c r="D2268" s="129" t="s">
        <v>16765</v>
      </c>
    </row>
    <row r="2269" spans="1:4">
      <c r="A2269" s="105">
        <v>92514</v>
      </c>
      <c r="B2269" s="104" t="s">
        <v>2499</v>
      </c>
      <c r="C2269" s="104" t="s">
        <v>12</v>
      </c>
      <c r="D2269" s="129" t="s">
        <v>15771</v>
      </c>
    </row>
    <row r="2270" spans="1:4">
      <c r="A2270" s="105">
        <v>92515</v>
      </c>
      <c r="B2270" s="104" t="s">
        <v>2500</v>
      </c>
      <c r="C2270" s="104" t="s">
        <v>12</v>
      </c>
      <c r="D2270" s="129" t="s">
        <v>16766</v>
      </c>
    </row>
    <row r="2271" spans="1:4">
      <c r="A2271" s="105">
        <v>92518</v>
      </c>
      <c r="B2271" s="104" t="s">
        <v>2501</v>
      </c>
      <c r="C2271" s="104" t="s">
        <v>12</v>
      </c>
      <c r="D2271" s="129" t="s">
        <v>16767</v>
      </c>
    </row>
    <row r="2272" spans="1:4">
      <c r="A2272" s="105">
        <v>92520</v>
      </c>
      <c r="B2272" s="104" t="s">
        <v>2502</v>
      </c>
      <c r="C2272" s="104" t="s">
        <v>12</v>
      </c>
      <c r="D2272" s="129" t="s">
        <v>16768</v>
      </c>
    </row>
    <row r="2273" spans="1:4">
      <c r="A2273" s="105">
        <v>92522</v>
      </c>
      <c r="B2273" s="104" t="s">
        <v>2503</v>
      </c>
      <c r="C2273" s="104" t="s">
        <v>12</v>
      </c>
      <c r="D2273" s="129" t="s">
        <v>16769</v>
      </c>
    </row>
    <row r="2274" spans="1:4">
      <c r="A2274" s="105">
        <v>92524</v>
      </c>
      <c r="B2274" s="104" t="s">
        <v>13699</v>
      </c>
      <c r="C2274" s="104" t="s">
        <v>12</v>
      </c>
      <c r="D2274" s="129" t="s">
        <v>16770</v>
      </c>
    </row>
    <row r="2275" spans="1:4">
      <c r="A2275" s="105">
        <v>92526</v>
      </c>
      <c r="B2275" s="104" t="s">
        <v>2504</v>
      </c>
      <c r="C2275" s="104" t="s">
        <v>12</v>
      </c>
      <c r="D2275" s="129" t="s">
        <v>16771</v>
      </c>
    </row>
    <row r="2276" spans="1:4">
      <c r="A2276" s="105">
        <v>92528</v>
      </c>
      <c r="B2276" s="104" t="s">
        <v>2505</v>
      </c>
      <c r="C2276" s="104" t="s">
        <v>12</v>
      </c>
      <c r="D2276" s="129" t="s">
        <v>16772</v>
      </c>
    </row>
    <row r="2277" spans="1:4">
      <c r="A2277" s="105">
        <v>92530</v>
      </c>
      <c r="B2277" s="104" t="s">
        <v>2506</v>
      </c>
      <c r="C2277" s="104" t="s">
        <v>12</v>
      </c>
      <c r="D2277" s="129" t="s">
        <v>16773</v>
      </c>
    </row>
    <row r="2278" spans="1:4">
      <c r="A2278" s="105">
        <v>92532</v>
      </c>
      <c r="B2278" s="104" t="s">
        <v>2507</v>
      </c>
      <c r="C2278" s="104" t="s">
        <v>12</v>
      </c>
      <c r="D2278" s="129" t="s">
        <v>16774</v>
      </c>
    </row>
    <row r="2279" spans="1:4">
      <c r="A2279" s="105">
        <v>92534</v>
      </c>
      <c r="B2279" s="104" t="s">
        <v>2508</v>
      </c>
      <c r="C2279" s="104" t="s">
        <v>12</v>
      </c>
      <c r="D2279" s="129" t="s">
        <v>16775</v>
      </c>
    </row>
    <row r="2280" spans="1:4">
      <c r="A2280" s="105">
        <v>92536</v>
      </c>
      <c r="B2280" s="104" t="s">
        <v>2509</v>
      </c>
      <c r="C2280" s="104" t="s">
        <v>12</v>
      </c>
      <c r="D2280" s="129" t="s">
        <v>16776</v>
      </c>
    </row>
    <row r="2281" spans="1:4">
      <c r="A2281" s="105">
        <v>92538</v>
      </c>
      <c r="B2281" s="104" t="s">
        <v>2510</v>
      </c>
      <c r="C2281" s="104" t="s">
        <v>12</v>
      </c>
      <c r="D2281" s="129" t="s">
        <v>16777</v>
      </c>
    </row>
    <row r="2282" spans="1:4">
      <c r="A2282" s="105">
        <v>96252</v>
      </c>
      <c r="B2282" s="104" t="s">
        <v>2511</v>
      </c>
      <c r="C2282" s="104" t="s">
        <v>12</v>
      </c>
      <c r="D2282" s="129" t="s">
        <v>16778</v>
      </c>
    </row>
    <row r="2283" spans="1:4">
      <c r="A2283" s="105">
        <v>96257</v>
      </c>
      <c r="B2283" s="104" t="s">
        <v>2512</v>
      </c>
      <c r="C2283" s="104" t="s">
        <v>12</v>
      </c>
      <c r="D2283" s="129" t="s">
        <v>16779</v>
      </c>
    </row>
    <row r="2284" spans="1:4">
      <c r="A2284" s="105">
        <v>96258</v>
      </c>
      <c r="B2284" s="104" t="s">
        <v>2513</v>
      </c>
      <c r="C2284" s="104" t="s">
        <v>12</v>
      </c>
      <c r="D2284" s="129" t="s">
        <v>16780</v>
      </c>
    </row>
    <row r="2285" spans="1:4">
      <c r="A2285" s="105">
        <v>96259</v>
      </c>
      <c r="B2285" s="104" t="s">
        <v>2514</v>
      </c>
      <c r="C2285" s="104" t="s">
        <v>12</v>
      </c>
      <c r="D2285" s="129" t="s">
        <v>16781</v>
      </c>
    </row>
    <row r="2286" spans="1:4">
      <c r="A2286" s="105">
        <v>96529</v>
      </c>
      <c r="B2286" s="104" t="s">
        <v>2515</v>
      </c>
      <c r="C2286" s="104" t="s">
        <v>12</v>
      </c>
      <c r="D2286" s="129" t="s">
        <v>16782</v>
      </c>
    </row>
    <row r="2287" spans="1:4">
      <c r="A2287" s="105">
        <v>96530</v>
      </c>
      <c r="B2287" s="104" t="s">
        <v>2516</v>
      </c>
      <c r="C2287" s="104" t="s">
        <v>12</v>
      </c>
      <c r="D2287" s="129" t="s">
        <v>16783</v>
      </c>
    </row>
    <row r="2288" spans="1:4">
      <c r="A2288" s="105">
        <v>96531</v>
      </c>
      <c r="B2288" s="104" t="s">
        <v>2517</v>
      </c>
      <c r="C2288" s="104" t="s">
        <v>12</v>
      </c>
      <c r="D2288" s="129" t="s">
        <v>16784</v>
      </c>
    </row>
    <row r="2289" spans="1:4">
      <c r="A2289" s="105">
        <v>96532</v>
      </c>
      <c r="B2289" s="104" t="s">
        <v>2518</v>
      </c>
      <c r="C2289" s="104" t="s">
        <v>12</v>
      </c>
      <c r="D2289" s="129" t="s">
        <v>16785</v>
      </c>
    </row>
    <row r="2290" spans="1:4">
      <c r="A2290" s="105">
        <v>96533</v>
      </c>
      <c r="B2290" s="104" t="s">
        <v>2519</v>
      </c>
      <c r="C2290" s="104" t="s">
        <v>12</v>
      </c>
      <c r="D2290" s="129" t="s">
        <v>16786</v>
      </c>
    </row>
    <row r="2291" spans="1:4">
      <c r="A2291" s="105">
        <v>96534</v>
      </c>
      <c r="B2291" s="104" t="s">
        <v>2520</v>
      </c>
      <c r="C2291" s="104" t="s">
        <v>12</v>
      </c>
      <c r="D2291" s="129" t="s">
        <v>16787</v>
      </c>
    </row>
    <row r="2292" spans="1:4">
      <c r="A2292" s="105">
        <v>96535</v>
      </c>
      <c r="B2292" s="104" t="s">
        <v>2521</v>
      </c>
      <c r="C2292" s="104" t="s">
        <v>12</v>
      </c>
      <c r="D2292" s="129" t="s">
        <v>16788</v>
      </c>
    </row>
    <row r="2293" spans="1:4">
      <c r="A2293" s="105">
        <v>96536</v>
      </c>
      <c r="B2293" s="104" t="s">
        <v>304</v>
      </c>
      <c r="C2293" s="104" t="s">
        <v>12</v>
      </c>
      <c r="D2293" s="129" t="s">
        <v>16789</v>
      </c>
    </row>
    <row r="2294" spans="1:4">
      <c r="A2294" s="105">
        <v>96537</v>
      </c>
      <c r="B2294" s="104" t="s">
        <v>2522</v>
      </c>
      <c r="C2294" s="104" t="s">
        <v>12</v>
      </c>
      <c r="D2294" s="129" t="s">
        <v>16790</v>
      </c>
    </row>
    <row r="2295" spans="1:4">
      <c r="A2295" s="105">
        <v>96538</v>
      </c>
      <c r="B2295" s="104" t="s">
        <v>2523</v>
      </c>
      <c r="C2295" s="104" t="s">
        <v>12</v>
      </c>
      <c r="D2295" s="129" t="s">
        <v>16791</v>
      </c>
    </row>
    <row r="2296" spans="1:4">
      <c r="A2296" s="105">
        <v>96539</v>
      </c>
      <c r="B2296" s="104" t="s">
        <v>2524</v>
      </c>
      <c r="C2296" s="104" t="s">
        <v>12</v>
      </c>
      <c r="D2296" s="129" t="s">
        <v>16792</v>
      </c>
    </row>
    <row r="2297" spans="1:4">
      <c r="A2297" s="105">
        <v>96540</v>
      </c>
      <c r="B2297" s="104" t="s">
        <v>2525</v>
      </c>
      <c r="C2297" s="104" t="s">
        <v>12</v>
      </c>
      <c r="D2297" s="129" t="s">
        <v>16793</v>
      </c>
    </row>
    <row r="2298" spans="1:4">
      <c r="A2298" s="105">
        <v>96541</v>
      </c>
      <c r="B2298" s="104" t="s">
        <v>2526</v>
      </c>
      <c r="C2298" s="104" t="s">
        <v>12</v>
      </c>
      <c r="D2298" s="129" t="s">
        <v>16794</v>
      </c>
    </row>
    <row r="2299" spans="1:4">
      <c r="A2299" s="105">
        <v>96542</v>
      </c>
      <c r="B2299" s="104" t="s">
        <v>2527</v>
      </c>
      <c r="C2299" s="104" t="s">
        <v>12</v>
      </c>
      <c r="D2299" s="129" t="s">
        <v>16795</v>
      </c>
    </row>
    <row r="2300" spans="1:4">
      <c r="A2300" s="105">
        <v>96543</v>
      </c>
      <c r="B2300" s="104" t="s">
        <v>303</v>
      </c>
      <c r="C2300" s="104" t="s">
        <v>41</v>
      </c>
      <c r="D2300" s="129" t="s">
        <v>16796</v>
      </c>
    </row>
    <row r="2301" spans="1:4">
      <c r="A2301" s="105">
        <v>97747</v>
      </c>
      <c r="B2301" s="104" t="s">
        <v>2528</v>
      </c>
      <c r="C2301" s="104" t="s">
        <v>12</v>
      </c>
      <c r="D2301" s="129" t="s">
        <v>16797</v>
      </c>
    </row>
    <row r="2302" spans="1:4">
      <c r="A2302" s="105">
        <v>101791</v>
      </c>
      <c r="B2302" s="104" t="s">
        <v>2529</v>
      </c>
      <c r="C2302" s="104" t="s">
        <v>40</v>
      </c>
      <c r="D2302" s="129" t="s">
        <v>16798</v>
      </c>
    </row>
    <row r="2303" spans="1:4">
      <c r="A2303" s="105">
        <v>101792</v>
      </c>
      <c r="B2303" s="104" t="s">
        <v>2530</v>
      </c>
      <c r="C2303" s="104" t="s">
        <v>28</v>
      </c>
      <c r="D2303" s="129" t="s">
        <v>16799</v>
      </c>
    </row>
    <row r="2304" spans="1:4">
      <c r="A2304" s="105">
        <v>101793</v>
      </c>
      <c r="B2304" s="104" t="s">
        <v>2531</v>
      </c>
      <c r="C2304" s="104" t="s">
        <v>28</v>
      </c>
      <c r="D2304" s="129" t="s">
        <v>16800</v>
      </c>
    </row>
    <row r="2305" spans="1:4">
      <c r="A2305" s="105">
        <v>101969</v>
      </c>
      <c r="B2305" s="104" t="s">
        <v>2532</v>
      </c>
      <c r="C2305" s="104" t="s">
        <v>12</v>
      </c>
      <c r="D2305" s="129" t="s">
        <v>16801</v>
      </c>
    </row>
    <row r="2306" spans="1:4">
      <c r="A2306" s="105">
        <v>101971</v>
      </c>
      <c r="B2306" s="104" t="s">
        <v>2533</v>
      </c>
      <c r="C2306" s="104" t="s">
        <v>12</v>
      </c>
      <c r="D2306" s="129" t="s">
        <v>16802</v>
      </c>
    </row>
    <row r="2307" spans="1:4">
      <c r="A2307" s="105">
        <v>101973</v>
      </c>
      <c r="B2307" s="104" t="s">
        <v>2534</v>
      </c>
      <c r="C2307" s="104" t="s">
        <v>12</v>
      </c>
      <c r="D2307" s="129" t="s">
        <v>16803</v>
      </c>
    </row>
    <row r="2308" spans="1:4">
      <c r="A2308" s="105">
        <v>101974</v>
      </c>
      <c r="B2308" s="104" t="s">
        <v>2535</v>
      </c>
      <c r="C2308" s="104" t="s">
        <v>12</v>
      </c>
      <c r="D2308" s="129" t="s">
        <v>16804</v>
      </c>
    </row>
    <row r="2309" spans="1:4">
      <c r="A2309" s="105">
        <v>101975</v>
      </c>
      <c r="B2309" s="104" t="s">
        <v>2536</v>
      </c>
      <c r="C2309" s="104" t="s">
        <v>12</v>
      </c>
      <c r="D2309" s="129" t="s">
        <v>16805</v>
      </c>
    </row>
    <row r="2310" spans="1:4">
      <c r="A2310" s="105">
        <v>101977</v>
      </c>
      <c r="B2310" s="104" t="s">
        <v>2537</v>
      </c>
      <c r="C2310" s="104" t="s">
        <v>12</v>
      </c>
      <c r="D2310" s="129" t="s">
        <v>16806</v>
      </c>
    </row>
    <row r="2311" spans="1:4">
      <c r="A2311" s="105">
        <v>101980</v>
      </c>
      <c r="B2311" s="104" t="s">
        <v>2538</v>
      </c>
      <c r="C2311" s="104" t="s">
        <v>12</v>
      </c>
      <c r="D2311" s="129" t="s">
        <v>16807</v>
      </c>
    </row>
    <row r="2312" spans="1:4">
      <c r="A2312" s="105">
        <v>101981</v>
      </c>
      <c r="B2312" s="104" t="s">
        <v>2539</v>
      </c>
      <c r="C2312" s="104" t="s">
        <v>12</v>
      </c>
      <c r="D2312" s="129" t="s">
        <v>16808</v>
      </c>
    </row>
    <row r="2313" spans="1:4">
      <c r="A2313" s="105">
        <v>101982</v>
      </c>
      <c r="B2313" s="104" t="s">
        <v>2540</v>
      </c>
      <c r="C2313" s="104" t="s">
        <v>12</v>
      </c>
      <c r="D2313" s="129" t="s">
        <v>16809</v>
      </c>
    </row>
    <row r="2314" spans="1:4">
      <c r="A2314" s="105">
        <v>101983</v>
      </c>
      <c r="B2314" s="104" t="s">
        <v>2541</v>
      </c>
      <c r="C2314" s="104" t="s">
        <v>12</v>
      </c>
      <c r="D2314" s="129" t="s">
        <v>16810</v>
      </c>
    </row>
    <row r="2315" spans="1:4">
      <c r="A2315" s="105">
        <v>101985</v>
      </c>
      <c r="B2315" s="104" t="s">
        <v>2542</v>
      </c>
      <c r="C2315" s="104" t="s">
        <v>12</v>
      </c>
      <c r="D2315" s="129" t="s">
        <v>16811</v>
      </c>
    </row>
    <row r="2316" spans="1:4">
      <c r="A2316" s="105">
        <v>101986</v>
      </c>
      <c r="B2316" s="104" t="s">
        <v>2543</v>
      </c>
      <c r="C2316" s="104" t="s">
        <v>12</v>
      </c>
      <c r="D2316" s="129" t="s">
        <v>16812</v>
      </c>
    </row>
    <row r="2317" spans="1:4">
      <c r="A2317" s="105">
        <v>101987</v>
      </c>
      <c r="B2317" s="104" t="s">
        <v>2544</v>
      </c>
      <c r="C2317" s="104" t="s">
        <v>12</v>
      </c>
      <c r="D2317" s="129" t="s">
        <v>16813</v>
      </c>
    </row>
    <row r="2318" spans="1:4">
      <c r="A2318" s="105">
        <v>101988</v>
      </c>
      <c r="B2318" s="104" t="s">
        <v>2545</v>
      </c>
      <c r="C2318" s="104" t="s">
        <v>12</v>
      </c>
      <c r="D2318" s="129" t="s">
        <v>16814</v>
      </c>
    </row>
    <row r="2319" spans="1:4">
      <c r="A2319" s="105">
        <v>101989</v>
      </c>
      <c r="B2319" s="104" t="s">
        <v>2546</v>
      </c>
      <c r="C2319" s="104" t="s">
        <v>12</v>
      </c>
      <c r="D2319" s="129" t="s">
        <v>16815</v>
      </c>
    </row>
    <row r="2320" spans="1:4">
      <c r="A2320" s="105">
        <v>101990</v>
      </c>
      <c r="B2320" s="104" t="s">
        <v>2547</v>
      </c>
      <c r="C2320" s="104" t="s">
        <v>12</v>
      </c>
      <c r="D2320" s="129" t="s">
        <v>16816</v>
      </c>
    </row>
    <row r="2321" spans="1:4">
      <c r="A2321" s="105">
        <v>101991</v>
      </c>
      <c r="B2321" s="104" t="s">
        <v>2548</v>
      </c>
      <c r="C2321" s="104" t="s">
        <v>12</v>
      </c>
      <c r="D2321" s="129" t="s">
        <v>16817</v>
      </c>
    </row>
    <row r="2322" spans="1:4">
      <c r="A2322" s="105">
        <v>101992</v>
      </c>
      <c r="B2322" s="104" t="s">
        <v>2549</v>
      </c>
      <c r="C2322" s="104" t="s">
        <v>12</v>
      </c>
      <c r="D2322" s="129" t="s">
        <v>16818</v>
      </c>
    </row>
    <row r="2323" spans="1:4">
      <c r="A2323" s="105">
        <v>101993</v>
      </c>
      <c r="B2323" s="104" t="s">
        <v>2550</v>
      </c>
      <c r="C2323" s="104" t="s">
        <v>12</v>
      </c>
      <c r="D2323" s="129" t="s">
        <v>16819</v>
      </c>
    </row>
    <row r="2324" spans="1:4">
      <c r="A2324" s="105">
        <v>101994</v>
      </c>
      <c r="B2324" s="104" t="s">
        <v>2551</v>
      </c>
      <c r="C2324" s="104" t="s">
        <v>12</v>
      </c>
      <c r="D2324" s="129" t="s">
        <v>16820</v>
      </c>
    </row>
    <row r="2325" spans="1:4">
      <c r="A2325" s="105">
        <v>101995</v>
      </c>
      <c r="B2325" s="104" t="s">
        <v>2552</v>
      </c>
      <c r="C2325" s="104" t="s">
        <v>12</v>
      </c>
      <c r="D2325" s="129" t="s">
        <v>16821</v>
      </c>
    </row>
    <row r="2326" spans="1:4">
      <c r="A2326" s="105">
        <v>101996</v>
      </c>
      <c r="B2326" s="104" t="s">
        <v>2553</v>
      </c>
      <c r="C2326" s="104" t="s">
        <v>12</v>
      </c>
      <c r="D2326" s="129" t="s">
        <v>16822</v>
      </c>
    </row>
    <row r="2327" spans="1:4">
      <c r="A2327" s="105">
        <v>101997</v>
      </c>
      <c r="B2327" s="104" t="s">
        <v>2554</v>
      </c>
      <c r="C2327" s="104" t="s">
        <v>12</v>
      </c>
      <c r="D2327" s="129" t="s">
        <v>16823</v>
      </c>
    </row>
    <row r="2328" spans="1:4">
      <c r="A2328" s="105">
        <v>101998</v>
      </c>
      <c r="B2328" s="104" t="s">
        <v>2555</v>
      </c>
      <c r="C2328" s="104" t="s">
        <v>12</v>
      </c>
      <c r="D2328" s="129" t="s">
        <v>16824</v>
      </c>
    </row>
    <row r="2329" spans="1:4">
      <c r="A2329" s="105">
        <v>101999</v>
      </c>
      <c r="B2329" s="104" t="s">
        <v>2556</v>
      </c>
      <c r="C2329" s="104" t="s">
        <v>12</v>
      </c>
      <c r="D2329" s="129" t="s">
        <v>16825</v>
      </c>
    </row>
    <row r="2330" spans="1:4">
      <c r="A2330" s="105">
        <v>102000</v>
      </c>
      <c r="B2330" s="104" t="s">
        <v>2557</v>
      </c>
      <c r="C2330" s="104" t="s">
        <v>12</v>
      </c>
      <c r="D2330" s="129" t="s">
        <v>16826</v>
      </c>
    </row>
    <row r="2331" spans="1:4">
      <c r="A2331" s="105">
        <v>102001</v>
      </c>
      <c r="B2331" s="104" t="s">
        <v>2558</v>
      </c>
      <c r="C2331" s="104" t="s">
        <v>12</v>
      </c>
      <c r="D2331" s="129" t="s">
        <v>16827</v>
      </c>
    </row>
    <row r="2332" spans="1:4">
      <c r="A2332" s="105">
        <v>102002</v>
      </c>
      <c r="B2332" s="104" t="s">
        <v>2559</v>
      </c>
      <c r="C2332" s="104" t="s">
        <v>12</v>
      </c>
      <c r="D2332" s="129" t="s">
        <v>16828</v>
      </c>
    </row>
    <row r="2333" spans="1:4">
      <c r="A2333" s="105">
        <v>102003</v>
      </c>
      <c r="B2333" s="104" t="s">
        <v>2560</v>
      </c>
      <c r="C2333" s="104" t="s">
        <v>12</v>
      </c>
      <c r="D2333" s="129" t="s">
        <v>16829</v>
      </c>
    </row>
    <row r="2334" spans="1:4">
      <c r="A2334" s="105">
        <v>102004</v>
      </c>
      <c r="B2334" s="104" t="s">
        <v>2561</v>
      </c>
      <c r="C2334" s="104" t="s">
        <v>12</v>
      </c>
      <c r="D2334" s="129" t="s">
        <v>16830</v>
      </c>
    </row>
    <row r="2335" spans="1:4">
      <c r="A2335" s="105">
        <v>102005</v>
      </c>
      <c r="B2335" s="104" t="s">
        <v>2562</v>
      </c>
      <c r="C2335" s="104" t="s">
        <v>12</v>
      </c>
      <c r="D2335" s="129" t="s">
        <v>16831</v>
      </c>
    </row>
    <row r="2336" spans="1:4">
      <c r="A2336" s="105">
        <v>102006</v>
      </c>
      <c r="B2336" s="104" t="s">
        <v>2563</v>
      </c>
      <c r="C2336" s="104" t="s">
        <v>12</v>
      </c>
      <c r="D2336" s="129" t="s">
        <v>16832</v>
      </c>
    </row>
    <row r="2337" spans="1:4">
      <c r="A2337" s="105">
        <v>102007</v>
      </c>
      <c r="B2337" s="104" t="s">
        <v>2564</v>
      </c>
      <c r="C2337" s="104" t="s">
        <v>12</v>
      </c>
      <c r="D2337" s="129" t="s">
        <v>16833</v>
      </c>
    </row>
    <row r="2338" spans="1:4">
      <c r="A2338" s="105">
        <v>102008</v>
      </c>
      <c r="B2338" s="104" t="s">
        <v>2565</v>
      </c>
      <c r="C2338" s="104" t="s">
        <v>12</v>
      </c>
      <c r="D2338" s="129" t="s">
        <v>16834</v>
      </c>
    </row>
    <row r="2339" spans="1:4">
      <c r="A2339" s="105">
        <v>102009</v>
      </c>
      <c r="B2339" s="104" t="s">
        <v>2566</v>
      </c>
      <c r="C2339" s="104" t="s">
        <v>12</v>
      </c>
      <c r="D2339" s="129" t="s">
        <v>16835</v>
      </c>
    </row>
    <row r="2340" spans="1:4">
      <c r="A2340" s="105">
        <v>102010</v>
      </c>
      <c r="B2340" s="104" t="s">
        <v>2567</v>
      </c>
      <c r="C2340" s="104" t="s">
        <v>12</v>
      </c>
      <c r="D2340" s="129" t="s">
        <v>16836</v>
      </c>
    </row>
    <row r="2341" spans="1:4">
      <c r="A2341" s="105">
        <v>102011</v>
      </c>
      <c r="B2341" s="104" t="s">
        <v>2568</v>
      </c>
      <c r="C2341" s="104" t="s">
        <v>12</v>
      </c>
      <c r="D2341" s="129" t="s">
        <v>16837</v>
      </c>
    </row>
    <row r="2342" spans="1:4">
      <c r="A2342" s="105">
        <v>102012</v>
      </c>
      <c r="B2342" s="104" t="s">
        <v>2569</v>
      </c>
      <c r="C2342" s="104" t="s">
        <v>12</v>
      </c>
      <c r="D2342" s="129" t="s">
        <v>16838</v>
      </c>
    </row>
    <row r="2343" spans="1:4">
      <c r="A2343" s="105">
        <v>102013</v>
      </c>
      <c r="B2343" s="104" t="s">
        <v>2570</v>
      </c>
      <c r="C2343" s="104" t="s">
        <v>12</v>
      </c>
      <c r="D2343" s="129" t="s">
        <v>16839</v>
      </c>
    </row>
    <row r="2344" spans="1:4">
      <c r="A2344" s="105">
        <v>102014</v>
      </c>
      <c r="B2344" s="104" t="s">
        <v>2571</v>
      </c>
      <c r="C2344" s="104" t="s">
        <v>12</v>
      </c>
      <c r="D2344" s="129" t="s">
        <v>16840</v>
      </c>
    </row>
    <row r="2345" spans="1:4">
      <c r="A2345" s="105">
        <v>102015</v>
      </c>
      <c r="B2345" s="104" t="s">
        <v>2572</v>
      </c>
      <c r="C2345" s="104" t="s">
        <v>12</v>
      </c>
      <c r="D2345" s="129" t="s">
        <v>16841</v>
      </c>
    </row>
    <row r="2346" spans="1:4">
      <c r="A2346" s="105">
        <v>102016</v>
      </c>
      <c r="B2346" s="104" t="s">
        <v>2573</v>
      </c>
      <c r="C2346" s="104" t="s">
        <v>12</v>
      </c>
      <c r="D2346" s="129" t="s">
        <v>16842</v>
      </c>
    </row>
    <row r="2347" spans="1:4">
      <c r="A2347" s="105">
        <v>102017</v>
      </c>
      <c r="B2347" s="104" t="s">
        <v>2574</v>
      </c>
      <c r="C2347" s="104" t="s">
        <v>12</v>
      </c>
      <c r="D2347" s="129" t="s">
        <v>16843</v>
      </c>
    </row>
    <row r="2348" spans="1:4">
      <c r="A2348" s="105">
        <v>102036</v>
      </c>
      <c r="B2348" s="104" t="s">
        <v>2575</v>
      </c>
      <c r="C2348" s="104" t="s">
        <v>12</v>
      </c>
      <c r="D2348" s="129" t="s">
        <v>16844</v>
      </c>
    </row>
    <row r="2349" spans="1:4">
      <c r="A2349" s="105">
        <v>102037</v>
      </c>
      <c r="B2349" s="104" t="s">
        <v>2576</v>
      </c>
      <c r="C2349" s="104" t="s">
        <v>12</v>
      </c>
      <c r="D2349" s="129" t="s">
        <v>16845</v>
      </c>
    </row>
    <row r="2350" spans="1:4">
      <c r="A2350" s="105">
        <v>102038</v>
      </c>
      <c r="B2350" s="104" t="s">
        <v>2577</v>
      </c>
      <c r="C2350" s="104" t="s">
        <v>12</v>
      </c>
      <c r="D2350" s="129" t="s">
        <v>16846</v>
      </c>
    </row>
    <row r="2351" spans="1:4">
      <c r="A2351" s="105">
        <v>102039</v>
      </c>
      <c r="B2351" s="104" t="s">
        <v>2578</v>
      </c>
      <c r="C2351" s="104" t="s">
        <v>12</v>
      </c>
      <c r="D2351" s="129" t="s">
        <v>16847</v>
      </c>
    </row>
    <row r="2352" spans="1:4">
      <c r="A2352" s="105">
        <v>102040</v>
      </c>
      <c r="B2352" s="104" t="s">
        <v>2579</v>
      </c>
      <c r="C2352" s="104" t="s">
        <v>12</v>
      </c>
      <c r="D2352" s="129" t="s">
        <v>16848</v>
      </c>
    </row>
    <row r="2353" spans="1:4">
      <c r="A2353" s="105">
        <v>102041</v>
      </c>
      <c r="B2353" s="104" t="s">
        <v>2580</v>
      </c>
      <c r="C2353" s="104" t="s">
        <v>12</v>
      </c>
      <c r="D2353" s="129" t="s">
        <v>16849</v>
      </c>
    </row>
    <row r="2354" spans="1:4">
      <c r="A2354" s="105">
        <v>102042</v>
      </c>
      <c r="B2354" s="104" t="s">
        <v>2581</v>
      </c>
      <c r="C2354" s="104" t="s">
        <v>12</v>
      </c>
      <c r="D2354" s="129" t="s">
        <v>16850</v>
      </c>
    </row>
    <row r="2355" spans="1:4">
      <c r="A2355" s="105">
        <v>102043</v>
      </c>
      <c r="B2355" s="104" t="s">
        <v>2582</v>
      </c>
      <c r="C2355" s="104" t="s">
        <v>12</v>
      </c>
      <c r="D2355" s="129" t="s">
        <v>16851</v>
      </c>
    </row>
    <row r="2356" spans="1:4">
      <c r="A2356" s="105">
        <v>102044</v>
      </c>
      <c r="B2356" s="104" t="s">
        <v>2583</v>
      </c>
      <c r="C2356" s="104" t="s">
        <v>12</v>
      </c>
      <c r="D2356" s="129" t="s">
        <v>16852</v>
      </c>
    </row>
    <row r="2357" spans="1:4">
      <c r="A2357" s="105">
        <v>102045</v>
      </c>
      <c r="B2357" s="104" t="s">
        <v>2584</v>
      </c>
      <c r="C2357" s="104" t="s">
        <v>12</v>
      </c>
      <c r="D2357" s="129" t="s">
        <v>16853</v>
      </c>
    </row>
    <row r="2358" spans="1:4">
      <c r="A2358" s="105">
        <v>102046</v>
      </c>
      <c r="B2358" s="104" t="s">
        <v>2585</v>
      </c>
      <c r="C2358" s="104" t="s">
        <v>12</v>
      </c>
      <c r="D2358" s="129" t="s">
        <v>16854</v>
      </c>
    </row>
    <row r="2359" spans="1:4">
      <c r="A2359" s="105">
        <v>102047</v>
      </c>
      <c r="B2359" s="104" t="s">
        <v>2586</v>
      </c>
      <c r="C2359" s="104" t="s">
        <v>12</v>
      </c>
      <c r="D2359" s="129" t="s">
        <v>16855</v>
      </c>
    </row>
    <row r="2360" spans="1:4">
      <c r="A2360" s="105">
        <v>102048</v>
      </c>
      <c r="B2360" s="104" t="s">
        <v>2587</v>
      </c>
      <c r="C2360" s="104" t="s">
        <v>12</v>
      </c>
      <c r="D2360" s="129" t="s">
        <v>16740</v>
      </c>
    </row>
    <row r="2361" spans="1:4">
      <c r="A2361" s="105">
        <v>102049</v>
      </c>
      <c r="B2361" s="104" t="s">
        <v>2588</v>
      </c>
      <c r="C2361" s="104" t="s">
        <v>12</v>
      </c>
      <c r="D2361" s="129" t="s">
        <v>16856</v>
      </c>
    </row>
    <row r="2362" spans="1:4">
      <c r="A2362" s="105">
        <v>102050</v>
      </c>
      <c r="B2362" s="104" t="s">
        <v>2589</v>
      </c>
      <c r="C2362" s="104" t="s">
        <v>12</v>
      </c>
      <c r="D2362" s="129" t="s">
        <v>16857</v>
      </c>
    </row>
    <row r="2363" spans="1:4">
      <c r="A2363" s="105">
        <v>102051</v>
      </c>
      <c r="B2363" s="104" t="s">
        <v>2590</v>
      </c>
      <c r="C2363" s="104" t="s">
        <v>12</v>
      </c>
      <c r="D2363" s="129" t="s">
        <v>16858</v>
      </c>
    </row>
    <row r="2364" spans="1:4">
      <c r="A2364" s="105">
        <v>102052</v>
      </c>
      <c r="B2364" s="104" t="s">
        <v>2591</v>
      </c>
      <c r="C2364" s="104" t="s">
        <v>12</v>
      </c>
      <c r="D2364" s="129" t="s">
        <v>16859</v>
      </c>
    </row>
    <row r="2365" spans="1:4">
      <c r="A2365" s="105">
        <v>102059</v>
      </c>
      <c r="B2365" s="104" t="s">
        <v>2592</v>
      </c>
      <c r="C2365" s="104" t="s">
        <v>12</v>
      </c>
      <c r="D2365" s="129" t="s">
        <v>16860</v>
      </c>
    </row>
    <row r="2366" spans="1:4">
      <c r="A2366" s="105">
        <v>102060</v>
      </c>
      <c r="B2366" s="104" t="s">
        <v>2593</v>
      </c>
      <c r="C2366" s="104" t="s">
        <v>12</v>
      </c>
      <c r="D2366" s="129" t="s">
        <v>16861</v>
      </c>
    </row>
    <row r="2367" spans="1:4">
      <c r="A2367" s="105">
        <v>102061</v>
      </c>
      <c r="B2367" s="104" t="s">
        <v>2594</v>
      </c>
      <c r="C2367" s="104" t="s">
        <v>12</v>
      </c>
      <c r="D2367" s="129" t="s">
        <v>16862</v>
      </c>
    </row>
    <row r="2368" spans="1:4">
      <c r="A2368" s="105">
        <v>102062</v>
      </c>
      <c r="B2368" s="104" t="s">
        <v>2595</v>
      </c>
      <c r="C2368" s="104" t="s">
        <v>12</v>
      </c>
      <c r="D2368" s="129" t="s">
        <v>16863</v>
      </c>
    </row>
    <row r="2369" spans="1:4">
      <c r="A2369" s="105">
        <v>102063</v>
      </c>
      <c r="B2369" s="104" t="s">
        <v>2596</v>
      </c>
      <c r="C2369" s="104" t="s">
        <v>12</v>
      </c>
      <c r="D2369" s="129" t="s">
        <v>16864</v>
      </c>
    </row>
    <row r="2370" spans="1:4">
      <c r="A2370" s="105">
        <v>102064</v>
      </c>
      <c r="B2370" s="104" t="s">
        <v>2597</v>
      </c>
      <c r="C2370" s="104" t="s">
        <v>12</v>
      </c>
      <c r="D2370" s="129" t="s">
        <v>15160</v>
      </c>
    </row>
    <row r="2371" spans="1:4">
      <c r="A2371" s="105">
        <v>102065</v>
      </c>
      <c r="B2371" s="104" t="s">
        <v>2598</v>
      </c>
      <c r="C2371" s="104" t="s">
        <v>12</v>
      </c>
      <c r="D2371" s="129" t="s">
        <v>16865</v>
      </c>
    </row>
    <row r="2372" spans="1:4">
      <c r="A2372" s="105">
        <v>102066</v>
      </c>
      <c r="B2372" s="104" t="s">
        <v>2599</v>
      </c>
      <c r="C2372" s="104" t="s">
        <v>12</v>
      </c>
      <c r="D2372" s="129" t="s">
        <v>16432</v>
      </c>
    </row>
    <row r="2373" spans="1:4">
      <c r="A2373" s="105">
        <v>102067</v>
      </c>
      <c r="B2373" s="104" t="s">
        <v>2600</v>
      </c>
      <c r="C2373" s="104" t="s">
        <v>12</v>
      </c>
      <c r="D2373" s="129" t="s">
        <v>16866</v>
      </c>
    </row>
    <row r="2374" spans="1:4">
      <c r="A2374" s="105">
        <v>102068</v>
      </c>
      <c r="B2374" s="104" t="s">
        <v>2601</v>
      </c>
      <c r="C2374" s="104" t="s">
        <v>12</v>
      </c>
      <c r="D2374" s="129" t="s">
        <v>16867</v>
      </c>
    </row>
    <row r="2375" spans="1:4">
      <c r="A2375" s="105">
        <v>102069</v>
      </c>
      <c r="B2375" s="104" t="s">
        <v>2602</v>
      </c>
      <c r="C2375" s="104" t="s">
        <v>12</v>
      </c>
      <c r="D2375" s="129" t="s">
        <v>16868</v>
      </c>
    </row>
    <row r="2376" spans="1:4">
      <c r="A2376" s="105">
        <v>102070</v>
      </c>
      <c r="B2376" s="104" t="s">
        <v>2603</v>
      </c>
      <c r="C2376" s="104" t="s">
        <v>12</v>
      </c>
      <c r="D2376" s="129" t="s">
        <v>16869</v>
      </c>
    </row>
    <row r="2377" spans="1:4">
      <c r="A2377" s="105">
        <v>102071</v>
      </c>
      <c r="B2377" s="104" t="s">
        <v>2604</v>
      </c>
      <c r="C2377" s="104" t="s">
        <v>12</v>
      </c>
      <c r="D2377" s="129" t="s">
        <v>16870</v>
      </c>
    </row>
    <row r="2378" spans="1:4">
      <c r="A2378" s="105">
        <v>102072</v>
      </c>
      <c r="B2378" s="104" t="s">
        <v>2605</v>
      </c>
      <c r="C2378" s="104" t="s">
        <v>12</v>
      </c>
      <c r="D2378" s="129" t="s">
        <v>16871</v>
      </c>
    </row>
    <row r="2379" spans="1:4">
      <c r="A2379" s="105">
        <v>102073</v>
      </c>
      <c r="B2379" s="104" t="s">
        <v>2606</v>
      </c>
      <c r="C2379" s="104" t="s">
        <v>28</v>
      </c>
      <c r="D2379" s="129" t="s">
        <v>16872</v>
      </c>
    </row>
    <row r="2380" spans="1:4">
      <c r="A2380" s="105">
        <v>102074</v>
      </c>
      <c r="B2380" s="104" t="s">
        <v>2607</v>
      </c>
      <c r="C2380" s="104" t="s">
        <v>28</v>
      </c>
      <c r="D2380" s="129" t="s">
        <v>16873</v>
      </c>
    </row>
    <row r="2381" spans="1:4">
      <c r="A2381" s="105">
        <v>102075</v>
      </c>
      <c r="B2381" s="104" t="s">
        <v>2608</v>
      </c>
      <c r="C2381" s="104" t="s">
        <v>28</v>
      </c>
      <c r="D2381" s="129" t="s">
        <v>16874</v>
      </c>
    </row>
    <row r="2382" spans="1:4">
      <c r="A2382" s="105">
        <v>102076</v>
      </c>
      <c r="B2382" s="104" t="s">
        <v>2609</v>
      </c>
      <c r="C2382" s="104" t="s">
        <v>28</v>
      </c>
      <c r="D2382" s="129" t="s">
        <v>16875</v>
      </c>
    </row>
    <row r="2383" spans="1:4">
      <c r="A2383" s="105">
        <v>102077</v>
      </c>
      <c r="B2383" s="104" t="s">
        <v>2610</v>
      </c>
      <c r="C2383" s="104" t="s">
        <v>28</v>
      </c>
      <c r="D2383" s="129" t="s">
        <v>16876</v>
      </c>
    </row>
    <row r="2384" spans="1:4">
      <c r="A2384" s="105">
        <v>102078</v>
      </c>
      <c r="B2384" s="104" t="s">
        <v>2611</v>
      </c>
      <c r="C2384" s="104" t="s">
        <v>28</v>
      </c>
      <c r="D2384" s="129" t="s">
        <v>16877</v>
      </c>
    </row>
    <row r="2385" spans="1:4">
      <c r="A2385" s="105">
        <v>102079</v>
      </c>
      <c r="B2385" s="104" t="s">
        <v>2612</v>
      </c>
      <c r="C2385" s="104" t="s">
        <v>28</v>
      </c>
      <c r="D2385" s="129" t="s">
        <v>16878</v>
      </c>
    </row>
    <row r="2386" spans="1:4">
      <c r="A2386" s="105">
        <v>102080</v>
      </c>
      <c r="B2386" s="104" t="s">
        <v>2613</v>
      </c>
      <c r="C2386" s="104" t="s">
        <v>28</v>
      </c>
      <c r="D2386" s="129" t="s">
        <v>16879</v>
      </c>
    </row>
    <row r="2387" spans="1:4">
      <c r="A2387" s="105">
        <v>102086</v>
      </c>
      <c r="B2387" s="104" t="s">
        <v>2614</v>
      </c>
      <c r="C2387" s="104" t="s">
        <v>12</v>
      </c>
      <c r="D2387" s="129" t="s">
        <v>16880</v>
      </c>
    </row>
    <row r="2388" spans="1:4">
      <c r="A2388" s="105">
        <v>102087</v>
      </c>
      <c r="B2388" s="104" t="s">
        <v>2615</v>
      </c>
      <c r="C2388" s="104" t="s">
        <v>12</v>
      </c>
      <c r="D2388" s="129" t="s">
        <v>16881</v>
      </c>
    </row>
    <row r="2389" spans="1:4">
      <c r="A2389" s="105">
        <v>102088</v>
      </c>
      <c r="B2389" s="104" t="s">
        <v>2616</v>
      </c>
      <c r="C2389" s="104" t="s">
        <v>12</v>
      </c>
      <c r="D2389" s="129" t="s">
        <v>16882</v>
      </c>
    </row>
    <row r="2390" spans="1:4">
      <c r="A2390" s="105">
        <v>102089</v>
      </c>
      <c r="B2390" s="104" t="s">
        <v>2617</v>
      </c>
      <c r="C2390" s="104" t="s">
        <v>12</v>
      </c>
      <c r="D2390" s="129" t="s">
        <v>16883</v>
      </c>
    </row>
    <row r="2391" spans="1:4">
      <c r="A2391" s="105">
        <v>102090</v>
      </c>
      <c r="B2391" s="104" t="s">
        <v>2618</v>
      </c>
      <c r="C2391" s="104" t="s">
        <v>12</v>
      </c>
      <c r="D2391" s="129" t="s">
        <v>16884</v>
      </c>
    </row>
    <row r="2392" spans="1:4">
      <c r="A2392" s="105">
        <v>102091</v>
      </c>
      <c r="B2392" s="104" t="s">
        <v>2619</v>
      </c>
      <c r="C2392" s="104" t="s">
        <v>12</v>
      </c>
      <c r="D2392" s="129" t="s">
        <v>16885</v>
      </c>
    </row>
    <row r="2393" spans="1:4">
      <c r="A2393" s="105">
        <v>89996</v>
      </c>
      <c r="B2393" s="104" t="s">
        <v>12840</v>
      </c>
      <c r="C2393" s="104" t="s">
        <v>41</v>
      </c>
      <c r="D2393" s="129" t="s">
        <v>16886</v>
      </c>
    </row>
    <row r="2394" spans="1:4">
      <c r="A2394" s="105">
        <v>89997</v>
      </c>
      <c r="B2394" s="104" t="s">
        <v>12841</v>
      </c>
      <c r="C2394" s="104" t="s">
        <v>41</v>
      </c>
      <c r="D2394" s="129" t="s">
        <v>16887</v>
      </c>
    </row>
    <row r="2395" spans="1:4">
      <c r="A2395" s="105">
        <v>89998</v>
      </c>
      <c r="B2395" s="104" t="s">
        <v>12842</v>
      </c>
      <c r="C2395" s="104" t="s">
        <v>41</v>
      </c>
      <c r="D2395" s="129" t="s">
        <v>16888</v>
      </c>
    </row>
    <row r="2396" spans="1:4">
      <c r="A2396" s="105">
        <v>89999</v>
      </c>
      <c r="B2396" s="104" t="s">
        <v>12843</v>
      </c>
      <c r="C2396" s="104" t="s">
        <v>41</v>
      </c>
      <c r="D2396" s="129" t="s">
        <v>16889</v>
      </c>
    </row>
    <row r="2397" spans="1:4">
      <c r="A2397" s="105">
        <v>90000</v>
      </c>
      <c r="B2397" s="104" t="s">
        <v>12844</v>
      </c>
      <c r="C2397" s="104" t="s">
        <v>41</v>
      </c>
      <c r="D2397" s="129" t="s">
        <v>16890</v>
      </c>
    </row>
    <row r="2398" spans="1:4">
      <c r="A2398" s="105">
        <v>91593</v>
      </c>
      <c r="B2398" s="104" t="s">
        <v>2620</v>
      </c>
      <c r="C2398" s="104" t="s">
        <v>41</v>
      </c>
      <c r="D2398" s="129" t="s">
        <v>15634</v>
      </c>
    </row>
    <row r="2399" spans="1:4">
      <c r="A2399" s="105">
        <v>91594</v>
      </c>
      <c r="B2399" s="104" t="s">
        <v>2621</v>
      </c>
      <c r="C2399" s="104" t="s">
        <v>41</v>
      </c>
      <c r="D2399" s="129" t="s">
        <v>16891</v>
      </c>
    </row>
    <row r="2400" spans="1:4">
      <c r="A2400" s="105">
        <v>91595</v>
      </c>
      <c r="B2400" s="104" t="s">
        <v>2622</v>
      </c>
      <c r="C2400" s="104" t="s">
        <v>41</v>
      </c>
      <c r="D2400" s="129" t="s">
        <v>16892</v>
      </c>
    </row>
    <row r="2401" spans="1:4">
      <c r="A2401" s="105">
        <v>91596</v>
      </c>
      <c r="B2401" s="104" t="s">
        <v>2623</v>
      </c>
      <c r="C2401" s="104" t="s">
        <v>41</v>
      </c>
      <c r="D2401" s="129" t="s">
        <v>16893</v>
      </c>
    </row>
    <row r="2402" spans="1:4">
      <c r="A2402" s="105">
        <v>91597</v>
      </c>
      <c r="B2402" s="104" t="s">
        <v>2624</v>
      </c>
      <c r="C2402" s="104" t="s">
        <v>41</v>
      </c>
      <c r="D2402" s="129" t="s">
        <v>15600</v>
      </c>
    </row>
    <row r="2403" spans="1:4">
      <c r="A2403" s="105">
        <v>91598</v>
      </c>
      <c r="B2403" s="104" t="s">
        <v>2625</v>
      </c>
      <c r="C2403" s="104" t="s">
        <v>41</v>
      </c>
      <c r="D2403" s="129" t="s">
        <v>16894</v>
      </c>
    </row>
    <row r="2404" spans="1:4">
      <c r="A2404" s="105">
        <v>91599</v>
      </c>
      <c r="B2404" s="104" t="s">
        <v>2626</v>
      </c>
      <c r="C2404" s="104" t="s">
        <v>41</v>
      </c>
      <c r="D2404" s="129" t="s">
        <v>16622</v>
      </c>
    </row>
    <row r="2405" spans="1:4">
      <c r="A2405" s="105">
        <v>91600</v>
      </c>
      <c r="B2405" s="104" t="s">
        <v>2627</v>
      </c>
      <c r="C2405" s="104" t="s">
        <v>41</v>
      </c>
      <c r="D2405" s="129" t="s">
        <v>16895</v>
      </c>
    </row>
    <row r="2406" spans="1:4">
      <c r="A2406" s="105">
        <v>91601</v>
      </c>
      <c r="B2406" s="104" t="s">
        <v>2628</v>
      </c>
      <c r="C2406" s="104" t="s">
        <v>41</v>
      </c>
      <c r="D2406" s="129" t="s">
        <v>16896</v>
      </c>
    </row>
    <row r="2407" spans="1:4">
      <c r="A2407" s="105">
        <v>91602</v>
      </c>
      <c r="B2407" s="104" t="s">
        <v>2629</v>
      </c>
      <c r="C2407" s="104" t="s">
        <v>41</v>
      </c>
      <c r="D2407" s="129" t="s">
        <v>16897</v>
      </c>
    </row>
    <row r="2408" spans="1:4">
      <c r="A2408" s="105">
        <v>91603</v>
      </c>
      <c r="B2408" s="104" t="s">
        <v>2630</v>
      </c>
      <c r="C2408" s="104" t="s">
        <v>41</v>
      </c>
      <c r="D2408" s="129" t="s">
        <v>16325</v>
      </c>
    </row>
    <row r="2409" spans="1:4">
      <c r="A2409" s="105">
        <v>92759</v>
      </c>
      <c r="B2409" s="104" t="s">
        <v>298</v>
      </c>
      <c r="C2409" s="104" t="s">
        <v>41</v>
      </c>
      <c r="D2409" s="129" t="s">
        <v>16898</v>
      </c>
    </row>
    <row r="2410" spans="1:4">
      <c r="A2410" s="105">
        <v>92760</v>
      </c>
      <c r="B2410" s="104" t="s">
        <v>2631</v>
      </c>
      <c r="C2410" s="104" t="s">
        <v>41</v>
      </c>
      <c r="D2410" s="129" t="s">
        <v>16899</v>
      </c>
    </row>
    <row r="2411" spans="1:4">
      <c r="A2411" s="105">
        <v>92761</v>
      </c>
      <c r="B2411" s="104" t="s">
        <v>2632</v>
      </c>
      <c r="C2411" s="104" t="s">
        <v>41</v>
      </c>
      <c r="D2411" s="129" t="s">
        <v>16900</v>
      </c>
    </row>
    <row r="2412" spans="1:4">
      <c r="A2412" s="105">
        <v>92762</v>
      </c>
      <c r="B2412" s="104" t="s">
        <v>299</v>
      </c>
      <c r="C2412" s="104" t="s">
        <v>41</v>
      </c>
      <c r="D2412" s="129" t="s">
        <v>16901</v>
      </c>
    </row>
    <row r="2413" spans="1:4">
      <c r="A2413" s="105">
        <v>92763</v>
      </c>
      <c r="B2413" s="104" t="s">
        <v>300</v>
      </c>
      <c r="C2413" s="104" t="s">
        <v>41</v>
      </c>
      <c r="D2413" s="129" t="s">
        <v>16902</v>
      </c>
    </row>
    <row r="2414" spans="1:4">
      <c r="A2414" s="105">
        <v>92764</v>
      </c>
      <c r="B2414" s="104" t="s">
        <v>2633</v>
      </c>
      <c r="C2414" s="104" t="s">
        <v>41</v>
      </c>
      <c r="D2414" s="129" t="s">
        <v>16903</v>
      </c>
    </row>
    <row r="2415" spans="1:4">
      <c r="A2415" s="105">
        <v>92765</v>
      </c>
      <c r="B2415" s="104" t="s">
        <v>2634</v>
      </c>
      <c r="C2415" s="104" t="s">
        <v>41</v>
      </c>
      <c r="D2415" s="129" t="s">
        <v>16904</v>
      </c>
    </row>
    <row r="2416" spans="1:4">
      <c r="A2416" s="105">
        <v>92766</v>
      </c>
      <c r="B2416" s="104" t="s">
        <v>2635</v>
      </c>
      <c r="C2416" s="104" t="s">
        <v>41</v>
      </c>
      <c r="D2416" s="129" t="s">
        <v>16905</v>
      </c>
    </row>
    <row r="2417" spans="1:4">
      <c r="A2417" s="105">
        <v>92767</v>
      </c>
      <c r="B2417" s="104" t="s">
        <v>2636</v>
      </c>
      <c r="C2417" s="104" t="s">
        <v>41</v>
      </c>
      <c r="D2417" s="129" t="s">
        <v>16320</v>
      </c>
    </row>
    <row r="2418" spans="1:4">
      <c r="A2418" s="105">
        <v>92768</v>
      </c>
      <c r="B2418" s="104" t="s">
        <v>2637</v>
      </c>
      <c r="C2418" s="104" t="s">
        <v>41</v>
      </c>
      <c r="D2418" s="129" t="s">
        <v>14946</v>
      </c>
    </row>
    <row r="2419" spans="1:4">
      <c r="A2419" s="105">
        <v>92769</v>
      </c>
      <c r="B2419" s="104" t="s">
        <v>2638</v>
      </c>
      <c r="C2419" s="104" t="s">
        <v>41</v>
      </c>
      <c r="D2419" s="129" t="s">
        <v>16906</v>
      </c>
    </row>
    <row r="2420" spans="1:4">
      <c r="A2420" s="105">
        <v>92770</v>
      </c>
      <c r="B2420" s="104" t="s">
        <v>2639</v>
      </c>
      <c r="C2420" s="104" t="s">
        <v>41</v>
      </c>
      <c r="D2420" s="129" t="s">
        <v>16907</v>
      </c>
    </row>
    <row r="2421" spans="1:4">
      <c r="A2421" s="105">
        <v>92771</v>
      </c>
      <c r="B2421" s="104" t="s">
        <v>2640</v>
      </c>
      <c r="C2421" s="104" t="s">
        <v>41</v>
      </c>
      <c r="D2421" s="129" t="s">
        <v>16908</v>
      </c>
    </row>
    <row r="2422" spans="1:4">
      <c r="A2422" s="105">
        <v>92772</v>
      </c>
      <c r="B2422" s="104" t="s">
        <v>2641</v>
      </c>
      <c r="C2422" s="104" t="s">
        <v>41</v>
      </c>
      <c r="D2422" s="129" t="s">
        <v>16909</v>
      </c>
    </row>
    <row r="2423" spans="1:4">
      <c r="A2423" s="105">
        <v>92773</v>
      </c>
      <c r="B2423" s="104" t="s">
        <v>2642</v>
      </c>
      <c r="C2423" s="104" t="s">
        <v>41</v>
      </c>
      <c r="D2423" s="129" t="s">
        <v>16910</v>
      </c>
    </row>
    <row r="2424" spans="1:4">
      <c r="A2424" s="105">
        <v>92774</v>
      </c>
      <c r="B2424" s="104" t="s">
        <v>2643</v>
      </c>
      <c r="C2424" s="104" t="s">
        <v>41</v>
      </c>
      <c r="D2424" s="129" t="s">
        <v>16911</v>
      </c>
    </row>
    <row r="2425" spans="1:4">
      <c r="A2425" s="105">
        <v>92775</v>
      </c>
      <c r="B2425" s="104" t="s">
        <v>2644</v>
      </c>
      <c r="C2425" s="104" t="s">
        <v>41</v>
      </c>
      <c r="D2425" s="129" t="s">
        <v>16912</v>
      </c>
    </row>
    <row r="2426" spans="1:4">
      <c r="A2426" s="105">
        <v>92776</v>
      </c>
      <c r="B2426" s="104" t="s">
        <v>2645</v>
      </c>
      <c r="C2426" s="104" t="s">
        <v>41</v>
      </c>
      <c r="D2426" s="129" t="s">
        <v>16913</v>
      </c>
    </row>
    <row r="2427" spans="1:4">
      <c r="A2427" s="105">
        <v>92777</v>
      </c>
      <c r="B2427" s="104" t="s">
        <v>2646</v>
      </c>
      <c r="C2427" s="104" t="s">
        <v>41</v>
      </c>
      <c r="D2427" s="129" t="s">
        <v>16914</v>
      </c>
    </row>
    <row r="2428" spans="1:4">
      <c r="A2428" s="105">
        <v>92778</v>
      </c>
      <c r="B2428" s="104" t="s">
        <v>2647</v>
      </c>
      <c r="C2428" s="104" t="s">
        <v>41</v>
      </c>
      <c r="D2428" s="129" t="s">
        <v>16915</v>
      </c>
    </row>
    <row r="2429" spans="1:4">
      <c r="A2429" s="105">
        <v>92779</v>
      </c>
      <c r="B2429" s="104" t="s">
        <v>2648</v>
      </c>
      <c r="C2429" s="104" t="s">
        <v>41</v>
      </c>
      <c r="D2429" s="129" t="s">
        <v>16886</v>
      </c>
    </row>
    <row r="2430" spans="1:4">
      <c r="A2430" s="105">
        <v>92780</v>
      </c>
      <c r="B2430" s="104" t="s">
        <v>2649</v>
      </c>
      <c r="C2430" s="104" t="s">
        <v>41</v>
      </c>
      <c r="D2430" s="129" t="s">
        <v>16916</v>
      </c>
    </row>
    <row r="2431" spans="1:4">
      <c r="A2431" s="105">
        <v>92781</v>
      </c>
      <c r="B2431" s="104" t="s">
        <v>2650</v>
      </c>
      <c r="C2431" s="104" t="s">
        <v>41</v>
      </c>
      <c r="D2431" s="129" t="s">
        <v>16917</v>
      </c>
    </row>
    <row r="2432" spans="1:4">
      <c r="A2432" s="105">
        <v>92782</v>
      </c>
      <c r="B2432" s="104" t="s">
        <v>2651</v>
      </c>
      <c r="C2432" s="104" t="s">
        <v>41</v>
      </c>
      <c r="D2432" s="129" t="s">
        <v>16918</v>
      </c>
    </row>
    <row r="2433" spans="1:4">
      <c r="A2433" s="105">
        <v>92783</v>
      </c>
      <c r="B2433" s="104" t="s">
        <v>2652</v>
      </c>
      <c r="C2433" s="104" t="s">
        <v>41</v>
      </c>
      <c r="D2433" s="129" t="s">
        <v>16919</v>
      </c>
    </row>
    <row r="2434" spans="1:4">
      <c r="A2434" s="105">
        <v>92784</v>
      </c>
      <c r="B2434" s="104" t="s">
        <v>2653</v>
      </c>
      <c r="C2434" s="104" t="s">
        <v>41</v>
      </c>
      <c r="D2434" s="129" t="s">
        <v>16920</v>
      </c>
    </row>
    <row r="2435" spans="1:4">
      <c r="A2435" s="105">
        <v>92785</v>
      </c>
      <c r="B2435" s="104" t="s">
        <v>2654</v>
      </c>
      <c r="C2435" s="104" t="s">
        <v>41</v>
      </c>
      <c r="D2435" s="129" t="s">
        <v>16898</v>
      </c>
    </row>
    <row r="2436" spans="1:4">
      <c r="A2436" s="105">
        <v>92786</v>
      </c>
      <c r="B2436" s="104" t="s">
        <v>2655</v>
      </c>
      <c r="C2436" s="104" t="s">
        <v>41</v>
      </c>
      <c r="D2436" s="129" t="s">
        <v>16921</v>
      </c>
    </row>
    <row r="2437" spans="1:4">
      <c r="A2437" s="105">
        <v>92787</v>
      </c>
      <c r="B2437" s="104" t="s">
        <v>2656</v>
      </c>
      <c r="C2437" s="104" t="s">
        <v>41</v>
      </c>
      <c r="D2437" s="129" t="s">
        <v>16922</v>
      </c>
    </row>
    <row r="2438" spans="1:4">
      <c r="A2438" s="105">
        <v>92788</v>
      </c>
      <c r="B2438" s="104" t="s">
        <v>2657</v>
      </c>
      <c r="C2438" s="104" t="s">
        <v>41</v>
      </c>
      <c r="D2438" s="129" t="s">
        <v>16923</v>
      </c>
    </row>
    <row r="2439" spans="1:4">
      <c r="A2439" s="105">
        <v>92789</v>
      </c>
      <c r="B2439" s="104" t="s">
        <v>2658</v>
      </c>
      <c r="C2439" s="104" t="s">
        <v>41</v>
      </c>
      <c r="D2439" s="129" t="s">
        <v>16909</v>
      </c>
    </row>
    <row r="2440" spans="1:4">
      <c r="A2440" s="105">
        <v>92790</v>
      </c>
      <c r="B2440" s="104" t="s">
        <v>2659</v>
      </c>
      <c r="C2440" s="104" t="s">
        <v>41</v>
      </c>
      <c r="D2440" s="129" t="s">
        <v>16924</v>
      </c>
    </row>
    <row r="2441" spans="1:4">
      <c r="A2441" s="105">
        <v>92791</v>
      </c>
      <c r="B2441" s="104" t="s">
        <v>2660</v>
      </c>
      <c r="C2441" s="104" t="s">
        <v>41</v>
      </c>
      <c r="D2441" s="129" t="s">
        <v>16925</v>
      </c>
    </row>
    <row r="2442" spans="1:4">
      <c r="A2442" s="105">
        <v>92792</v>
      </c>
      <c r="B2442" s="104" t="s">
        <v>2661</v>
      </c>
      <c r="C2442" s="104" t="s">
        <v>41</v>
      </c>
      <c r="D2442" s="129" t="s">
        <v>16926</v>
      </c>
    </row>
    <row r="2443" spans="1:4">
      <c r="A2443" s="105">
        <v>92793</v>
      </c>
      <c r="B2443" s="104" t="s">
        <v>2662</v>
      </c>
      <c r="C2443" s="104" t="s">
        <v>41</v>
      </c>
      <c r="D2443" s="129" t="s">
        <v>16927</v>
      </c>
    </row>
    <row r="2444" spans="1:4">
      <c r="A2444" s="105">
        <v>92794</v>
      </c>
      <c r="B2444" s="104" t="s">
        <v>2663</v>
      </c>
      <c r="C2444" s="104" t="s">
        <v>41</v>
      </c>
      <c r="D2444" s="129" t="s">
        <v>16928</v>
      </c>
    </row>
    <row r="2445" spans="1:4">
      <c r="A2445" s="105">
        <v>92795</v>
      </c>
      <c r="B2445" s="104" t="s">
        <v>2664</v>
      </c>
      <c r="C2445" s="104" t="s">
        <v>41</v>
      </c>
      <c r="D2445" s="129" t="s">
        <v>16929</v>
      </c>
    </row>
    <row r="2446" spans="1:4">
      <c r="A2446" s="105">
        <v>92796</v>
      </c>
      <c r="B2446" s="104" t="s">
        <v>2665</v>
      </c>
      <c r="C2446" s="104" t="s">
        <v>41</v>
      </c>
      <c r="D2446" s="129" t="s">
        <v>14943</v>
      </c>
    </row>
    <row r="2447" spans="1:4">
      <c r="A2447" s="105">
        <v>92797</v>
      </c>
      <c r="B2447" s="104" t="s">
        <v>2666</v>
      </c>
      <c r="C2447" s="104" t="s">
        <v>41</v>
      </c>
      <c r="D2447" s="129" t="s">
        <v>16930</v>
      </c>
    </row>
    <row r="2448" spans="1:4">
      <c r="A2448" s="105">
        <v>92798</v>
      </c>
      <c r="B2448" s="104" t="s">
        <v>2667</v>
      </c>
      <c r="C2448" s="104" t="s">
        <v>41</v>
      </c>
      <c r="D2448" s="129" t="s">
        <v>16931</v>
      </c>
    </row>
    <row r="2449" spans="1:4">
      <c r="A2449" s="105">
        <v>92799</v>
      </c>
      <c r="B2449" s="104" t="s">
        <v>2668</v>
      </c>
      <c r="C2449" s="104" t="s">
        <v>41</v>
      </c>
      <c r="D2449" s="129" t="s">
        <v>16932</v>
      </c>
    </row>
    <row r="2450" spans="1:4">
      <c r="A2450" s="105">
        <v>92800</v>
      </c>
      <c r="B2450" s="104" t="s">
        <v>2669</v>
      </c>
      <c r="C2450" s="104" t="s">
        <v>41</v>
      </c>
      <c r="D2450" s="129" t="s">
        <v>16931</v>
      </c>
    </row>
    <row r="2451" spans="1:4">
      <c r="A2451" s="105">
        <v>92801</v>
      </c>
      <c r="B2451" s="104" t="s">
        <v>2670</v>
      </c>
      <c r="C2451" s="104" t="s">
        <v>41</v>
      </c>
      <c r="D2451" s="129" t="s">
        <v>15943</v>
      </c>
    </row>
    <row r="2452" spans="1:4">
      <c r="A2452" s="105">
        <v>92802</v>
      </c>
      <c r="B2452" s="104" t="s">
        <v>2671</v>
      </c>
      <c r="C2452" s="104" t="s">
        <v>41</v>
      </c>
      <c r="D2452" s="129" t="s">
        <v>16933</v>
      </c>
    </row>
    <row r="2453" spans="1:4">
      <c r="A2453" s="105">
        <v>92803</v>
      </c>
      <c r="B2453" s="104" t="s">
        <v>2672</v>
      </c>
      <c r="C2453" s="104" t="s">
        <v>41</v>
      </c>
      <c r="D2453" s="129" t="s">
        <v>15717</v>
      </c>
    </row>
    <row r="2454" spans="1:4">
      <c r="A2454" s="105">
        <v>92804</v>
      </c>
      <c r="B2454" s="104" t="s">
        <v>2673</v>
      </c>
      <c r="C2454" s="104" t="s">
        <v>41</v>
      </c>
      <c r="D2454" s="129" t="s">
        <v>16934</v>
      </c>
    </row>
    <row r="2455" spans="1:4">
      <c r="A2455" s="105">
        <v>92805</v>
      </c>
      <c r="B2455" s="104" t="s">
        <v>2674</v>
      </c>
      <c r="C2455" s="104" t="s">
        <v>41</v>
      </c>
      <c r="D2455" s="129" t="s">
        <v>16935</v>
      </c>
    </row>
    <row r="2456" spans="1:4">
      <c r="A2456" s="105">
        <v>92806</v>
      </c>
      <c r="B2456" s="104" t="s">
        <v>2675</v>
      </c>
      <c r="C2456" s="104" t="s">
        <v>41</v>
      </c>
      <c r="D2456" s="129" t="s">
        <v>16931</v>
      </c>
    </row>
    <row r="2457" spans="1:4">
      <c r="A2457" s="105">
        <v>92875</v>
      </c>
      <c r="B2457" s="104" t="s">
        <v>2676</v>
      </c>
      <c r="C2457" s="104" t="s">
        <v>41</v>
      </c>
      <c r="D2457" s="129" t="s">
        <v>16936</v>
      </c>
    </row>
    <row r="2458" spans="1:4">
      <c r="A2458" s="105">
        <v>92876</v>
      </c>
      <c r="B2458" s="104" t="s">
        <v>2677</v>
      </c>
      <c r="C2458" s="104" t="s">
        <v>41</v>
      </c>
      <c r="D2458" s="129" t="s">
        <v>16617</v>
      </c>
    </row>
    <row r="2459" spans="1:4">
      <c r="A2459" s="105">
        <v>92877</v>
      </c>
      <c r="B2459" s="104" t="s">
        <v>2678</v>
      </c>
      <c r="C2459" s="104" t="s">
        <v>41</v>
      </c>
      <c r="D2459" s="129" t="s">
        <v>16932</v>
      </c>
    </row>
    <row r="2460" spans="1:4">
      <c r="A2460" s="105">
        <v>92878</v>
      </c>
      <c r="B2460" s="104" t="s">
        <v>2679</v>
      </c>
      <c r="C2460" s="104" t="s">
        <v>41</v>
      </c>
      <c r="D2460" s="129" t="s">
        <v>16937</v>
      </c>
    </row>
    <row r="2461" spans="1:4">
      <c r="A2461" s="105">
        <v>92879</v>
      </c>
      <c r="B2461" s="104" t="s">
        <v>2680</v>
      </c>
      <c r="C2461" s="104" t="s">
        <v>41</v>
      </c>
      <c r="D2461" s="129" t="s">
        <v>16938</v>
      </c>
    </row>
    <row r="2462" spans="1:4">
      <c r="A2462" s="105">
        <v>92880</v>
      </c>
      <c r="B2462" s="104" t="s">
        <v>2681</v>
      </c>
      <c r="C2462" s="104" t="s">
        <v>41</v>
      </c>
      <c r="D2462" s="129" t="s">
        <v>16939</v>
      </c>
    </row>
    <row r="2463" spans="1:4">
      <c r="A2463" s="105">
        <v>92881</v>
      </c>
      <c r="B2463" s="104" t="s">
        <v>2682</v>
      </c>
      <c r="C2463" s="104" t="s">
        <v>41</v>
      </c>
      <c r="D2463" s="129" t="s">
        <v>16927</v>
      </c>
    </row>
    <row r="2464" spans="1:4">
      <c r="A2464" s="105">
        <v>92882</v>
      </c>
      <c r="B2464" s="104" t="s">
        <v>2683</v>
      </c>
      <c r="C2464" s="104" t="s">
        <v>41</v>
      </c>
      <c r="D2464" s="129" t="s">
        <v>16940</v>
      </c>
    </row>
    <row r="2465" spans="1:4">
      <c r="A2465" s="105">
        <v>92883</v>
      </c>
      <c r="B2465" s="104" t="s">
        <v>2684</v>
      </c>
      <c r="C2465" s="104" t="s">
        <v>41</v>
      </c>
      <c r="D2465" s="129" t="s">
        <v>16941</v>
      </c>
    </row>
    <row r="2466" spans="1:4">
      <c r="A2466" s="105">
        <v>92884</v>
      </c>
      <c r="B2466" s="104" t="s">
        <v>2685</v>
      </c>
      <c r="C2466" s="104" t="s">
        <v>41</v>
      </c>
      <c r="D2466" s="129" t="s">
        <v>16942</v>
      </c>
    </row>
    <row r="2467" spans="1:4">
      <c r="A2467" s="105">
        <v>92885</v>
      </c>
      <c r="B2467" s="104" t="s">
        <v>2686</v>
      </c>
      <c r="C2467" s="104" t="s">
        <v>41</v>
      </c>
      <c r="D2467" s="129" t="s">
        <v>16322</v>
      </c>
    </row>
    <row r="2468" spans="1:4">
      <c r="A2468" s="105">
        <v>92886</v>
      </c>
      <c r="B2468" s="104" t="s">
        <v>2687</v>
      </c>
      <c r="C2468" s="104" t="s">
        <v>41</v>
      </c>
      <c r="D2468" s="129" t="s">
        <v>16943</v>
      </c>
    </row>
    <row r="2469" spans="1:4">
      <c r="A2469" s="105">
        <v>92887</v>
      </c>
      <c r="B2469" s="104" t="s">
        <v>2688</v>
      </c>
      <c r="C2469" s="104" t="s">
        <v>41</v>
      </c>
      <c r="D2469" s="129" t="s">
        <v>16944</v>
      </c>
    </row>
    <row r="2470" spans="1:4">
      <c r="A2470" s="105">
        <v>92888</v>
      </c>
      <c r="B2470" s="104" t="s">
        <v>2689</v>
      </c>
      <c r="C2470" s="104" t="s">
        <v>41</v>
      </c>
      <c r="D2470" s="129" t="s">
        <v>16945</v>
      </c>
    </row>
    <row r="2471" spans="1:4">
      <c r="A2471" s="105">
        <v>92915</v>
      </c>
      <c r="B2471" s="104" t="s">
        <v>2690</v>
      </c>
      <c r="C2471" s="104" t="s">
        <v>41</v>
      </c>
      <c r="D2471" s="129" t="s">
        <v>16946</v>
      </c>
    </row>
    <row r="2472" spans="1:4">
      <c r="A2472" s="105">
        <v>92916</v>
      </c>
      <c r="B2472" s="104" t="s">
        <v>2691</v>
      </c>
      <c r="C2472" s="104" t="s">
        <v>41</v>
      </c>
      <c r="D2472" s="129" t="s">
        <v>16947</v>
      </c>
    </row>
    <row r="2473" spans="1:4">
      <c r="A2473" s="105">
        <v>92917</v>
      </c>
      <c r="B2473" s="104" t="s">
        <v>2692</v>
      </c>
      <c r="C2473" s="104" t="s">
        <v>41</v>
      </c>
      <c r="D2473" s="129" t="s">
        <v>16948</v>
      </c>
    </row>
    <row r="2474" spans="1:4">
      <c r="A2474" s="105">
        <v>92919</v>
      </c>
      <c r="B2474" s="104" t="s">
        <v>2693</v>
      </c>
      <c r="C2474" s="104" t="s">
        <v>41</v>
      </c>
      <c r="D2474" s="129" t="s">
        <v>15651</v>
      </c>
    </row>
    <row r="2475" spans="1:4">
      <c r="A2475" s="105">
        <v>92921</v>
      </c>
      <c r="B2475" s="104" t="s">
        <v>2694</v>
      </c>
      <c r="C2475" s="104" t="s">
        <v>41</v>
      </c>
      <c r="D2475" s="129" t="s">
        <v>16949</v>
      </c>
    </row>
    <row r="2476" spans="1:4">
      <c r="A2476" s="105">
        <v>92922</v>
      </c>
      <c r="B2476" s="104" t="s">
        <v>2695</v>
      </c>
      <c r="C2476" s="104" t="s">
        <v>41</v>
      </c>
      <c r="D2476" s="129" t="s">
        <v>16950</v>
      </c>
    </row>
    <row r="2477" spans="1:4">
      <c r="A2477" s="105">
        <v>92923</v>
      </c>
      <c r="B2477" s="104" t="s">
        <v>2696</v>
      </c>
      <c r="C2477" s="104" t="s">
        <v>41</v>
      </c>
      <c r="D2477" s="129" t="s">
        <v>16951</v>
      </c>
    </row>
    <row r="2478" spans="1:4">
      <c r="A2478" s="105">
        <v>92924</v>
      </c>
      <c r="B2478" s="104" t="s">
        <v>2697</v>
      </c>
      <c r="C2478" s="104" t="s">
        <v>41</v>
      </c>
      <c r="D2478" s="129" t="s">
        <v>16952</v>
      </c>
    </row>
    <row r="2479" spans="1:4">
      <c r="A2479" s="105">
        <v>95445</v>
      </c>
      <c r="B2479" s="104" t="s">
        <v>12845</v>
      </c>
      <c r="C2479" s="104" t="s">
        <v>41</v>
      </c>
      <c r="D2479" s="129" t="s">
        <v>16953</v>
      </c>
    </row>
    <row r="2480" spans="1:4">
      <c r="A2480" s="105">
        <v>95446</v>
      </c>
      <c r="B2480" s="104" t="s">
        <v>12846</v>
      </c>
      <c r="C2480" s="104" t="s">
        <v>41</v>
      </c>
      <c r="D2480" s="129" t="s">
        <v>16954</v>
      </c>
    </row>
    <row r="2481" spans="1:4">
      <c r="A2481" s="105">
        <v>95448</v>
      </c>
      <c r="B2481" s="104" t="s">
        <v>2698</v>
      </c>
      <c r="C2481" s="104" t="s">
        <v>41</v>
      </c>
      <c r="D2481" s="129" t="s">
        <v>16955</v>
      </c>
    </row>
    <row r="2482" spans="1:4">
      <c r="A2482" s="105">
        <v>95576</v>
      </c>
      <c r="B2482" s="104" t="s">
        <v>12847</v>
      </c>
      <c r="C2482" s="104" t="s">
        <v>41</v>
      </c>
      <c r="D2482" s="129" t="s">
        <v>16956</v>
      </c>
    </row>
    <row r="2483" spans="1:4">
      <c r="A2483" s="105">
        <v>95577</v>
      </c>
      <c r="B2483" s="104" t="s">
        <v>12848</v>
      </c>
      <c r="C2483" s="104" t="s">
        <v>41</v>
      </c>
      <c r="D2483" s="129" t="s">
        <v>16957</v>
      </c>
    </row>
    <row r="2484" spans="1:4">
      <c r="A2484" s="105">
        <v>95578</v>
      </c>
      <c r="B2484" s="104" t="s">
        <v>12849</v>
      </c>
      <c r="C2484" s="104" t="s">
        <v>41</v>
      </c>
      <c r="D2484" s="129" t="s">
        <v>16958</v>
      </c>
    </row>
    <row r="2485" spans="1:4">
      <c r="A2485" s="105">
        <v>95579</v>
      </c>
      <c r="B2485" s="104" t="s">
        <v>12850</v>
      </c>
      <c r="C2485" s="104" t="s">
        <v>41</v>
      </c>
      <c r="D2485" s="129" t="s">
        <v>16959</v>
      </c>
    </row>
    <row r="2486" spans="1:4">
      <c r="A2486" s="105">
        <v>95580</v>
      </c>
      <c r="B2486" s="104" t="s">
        <v>12851</v>
      </c>
      <c r="C2486" s="104" t="s">
        <v>41</v>
      </c>
      <c r="D2486" s="129" t="s">
        <v>16938</v>
      </c>
    </row>
    <row r="2487" spans="1:4">
      <c r="A2487" s="105">
        <v>95581</v>
      </c>
      <c r="B2487" s="104" t="s">
        <v>12852</v>
      </c>
      <c r="C2487" s="104" t="s">
        <v>41</v>
      </c>
      <c r="D2487" s="129" t="s">
        <v>16960</v>
      </c>
    </row>
    <row r="2488" spans="1:4">
      <c r="A2488" s="105">
        <v>95582</v>
      </c>
      <c r="B2488" s="104" t="s">
        <v>12853</v>
      </c>
      <c r="C2488" s="104" t="s">
        <v>41</v>
      </c>
      <c r="D2488" s="129" t="s">
        <v>16961</v>
      </c>
    </row>
    <row r="2489" spans="1:4">
      <c r="A2489" s="105">
        <v>95583</v>
      </c>
      <c r="B2489" s="104" t="s">
        <v>12854</v>
      </c>
      <c r="C2489" s="104" t="s">
        <v>41</v>
      </c>
      <c r="D2489" s="129" t="s">
        <v>16962</v>
      </c>
    </row>
    <row r="2490" spans="1:4">
      <c r="A2490" s="105">
        <v>95584</v>
      </c>
      <c r="B2490" s="104" t="s">
        <v>12855</v>
      </c>
      <c r="C2490" s="104" t="s">
        <v>41</v>
      </c>
      <c r="D2490" s="129" t="s">
        <v>16963</v>
      </c>
    </row>
    <row r="2491" spans="1:4">
      <c r="A2491" s="105">
        <v>95592</v>
      </c>
      <c r="B2491" s="104" t="s">
        <v>12856</v>
      </c>
      <c r="C2491" s="104" t="s">
        <v>41</v>
      </c>
      <c r="D2491" s="129" t="s">
        <v>16964</v>
      </c>
    </row>
    <row r="2492" spans="1:4">
      <c r="A2492" s="105">
        <v>95593</v>
      </c>
      <c r="B2492" s="104" t="s">
        <v>12857</v>
      </c>
      <c r="C2492" s="104" t="s">
        <v>41</v>
      </c>
      <c r="D2492" s="129" t="s">
        <v>16965</v>
      </c>
    </row>
    <row r="2493" spans="1:4">
      <c r="A2493" s="105">
        <v>95943</v>
      </c>
      <c r="B2493" s="104" t="s">
        <v>2699</v>
      </c>
      <c r="C2493" s="104" t="s">
        <v>41</v>
      </c>
      <c r="D2493" s="129" t="s">
        <v>16966</v>
      </c>
    </row>
    <row r="2494" spans="1:4">
      <c r="A2494" s="105">
        <v>95944</v>
      </c>
      <c r="B2494" s="104" t="s">
        <v>2700</v>
      </c>
      <c r="C2494" s="104" t="s">
        <v>41</v>
      </c>
      <c r="D2494" s="129" t="s">
        <v>16967</v>
      </c>
    </row>
    <row r="2495" spans="1:4">
      <c r="A2495" s="105">
        <v>95945</v>
      </c>
      <c r="B2495" s="104" t="s">
        <v>2701</v>
      </c>
      <c r="C2495" s="104" t="s">
        <v>41</v>
      </c>
      <c r="D2495" s="129" t="s">
        <v>16968</v>
      </c>
    </row>
    <row r="2496" spans="1:4">
      <c r="A2496" s="105">
        <v>95946</v>
      </c>
      <c r="B2496" s="104" t="s">
        <v>2702</v>
      </c>
      <c r="C2496" s="104" t="s">
        <v>41</v>
      </c>
      <c r="D2496" s="129" t="s">
        <v>16969</v>
      </c>
    </row>
    <row r="2497" spans="1:4">
      <c r="A2497" s="105">
        <v>95947</v>
      </c>
      <c r="B2497" s="104" t="s">
        <v>2703</v>
      </c>
      <c r="C2497" s="104" t="s">
        <v>41</v>
      </c>
      <c r="D2497" s="129" t="s">
        <v>16936</v>
      </c>
    </row>
    <row r="2498" spans="1:4">
      <c r="A2498" s="105">
        <v>95948</v>
      </c>
      <c r="B2498" s="104" t="s">
        <v>2704</v>
      </c>
      <c r="C2498" s="104" t="s">
        <v>41</v>
      </c>
      <c r="D2498" s="129" t="s">
        <v>16970</v>
      </c>
    </row>
    <row r="2499" spans="1:4">
      <c r="A2499" s="105">
        <v>96544</v>
      </c>
      <c r="B2499" s="104" t="s">
        <v>2705</v>
      </c>
      <c r="C2499" s="104" t="s">
        <v>41</v>
      </c>
      <c r="D2499" s="129" t="s">
        <v>15654</v>
      </c>
    </row>
    <row r="2500" spans="1:4">
      <c r="A2500" s="105">
        <v>96545</v>
      </c>
      <c r="B2500" s="104" t="s">
        <v>2706</v>
      </c>
      <c r="C2500" s="104" t="s">
        <v>41</v>
      </c>
      <c r="D2500" s="129" t="s">
        <v>16971</v>
      </c>
    </row>
    <row r="2501" spans="1:4">
      <c r="A2501" s="105">
        <v>96546</v>
      </c>
      <c r="B2501" s="104" t="s">
        <v>301</v>
      </c>
      <c r="C2501" s="104" t="s">
        <v>41</v>
      </c>
      <c r="D2501" s="129" t="s">
        <v>16906</v>
      </c>
    </row>
    <row r="2502" spans="1:4">
      <c r="A2502" s="105">
        <v>96547</v>
      </c>
      <c r="B2502" s="104" t="s">
        <v>302</v>
      </c>
      <c r="C2502" s="104" t="s">
        <v>41</v>
      </c>
      <c r="D2502" s="129" t="s">
        <v>16972</v>
      </c>
    </row>
    <row r="2503" spans="1:4">
      <c r="A2503" s="105">
        <v>96548</v>
      </c>
      <c r="B2503" s="104" t="s">
        <v>2707</v>
      </c>
      <c r="C2503" s="104" t="s">
        <v>41</v>
      </c>
      <c r="D2503" s="129" t="s">
        <v>16930</v>
      </c>
    </row>
    <row r="2504" spans="1:4">
      <c r="A2504" s="105">
        <v>96549</v>
      </c>
      <c r="B2504" s="104" t="s">
        <v>2708</v>
      </c>
      <c r="C2504" s="104" t="s">
        <v>41</v>
      </c>
      <c r="D2504" s="129" t="s">
        <v>16973</v>
      </c>
    </row>
    <row r="2505" spans="1:4">
      <c r="A2505" s="105">
        <v>96550</v>
      </c>
      <c r="B2505" s="104" t="s">
        <v>2709</v>
      </c>
      <c r="C2505" s="104" t="s">
        <v>41</v>
      </c>
      <c r="D2505" s="129" t="s">
        <v>16974</v>
      </c>
    </row>
    <row r="2506" spans="1:4">
      <c r="A2506" s="105">
        <v>100064</v>
      </c>
      <c r="B2506" s="104" t="s">
        <v>2710</v>
      </c>
      <c r="C2506" s="104" t="s">
        <v>41</v>
      </c>
      <c r="D2506" s="129" t="s">
        <v>14863</v>
      </c>
    </row>
    <row r="2507" spans="1:4">
      <c r="A2507" s="105">
        <v>100066</v>
      </c>
      <c r="B2507" s="104" t="s">
        <v>2711</v>
      </c>
      <c r="C2507" s="104" t="s">
        <v>41</v>
      </c>
      <c r="D2507" s="129" t="s">
        <v>16975</v>
      </c>
    </row>
    <row r="2508" spans="1:4">
      <c r="A2508" s="105">
        <v>100067</v>
      </c>
      <c r="B2508" s="104" t="s">
        <v>2712</v>
      </c>
      <c r="C2508" s="104" t="s">
        <v>41</v>
      </c>
      <c r="D2508" s="129" t="s">
        <v>16901</v>
      </c>
    </row>
    <row r="2509" spans="1:4">
      <c r="A2509" s="105">
        <v>100068</v>
      </c>
      <c r="B2509" s="104" t="s">
        <v>2713</v>
      </c>
      <c r="C2509" s="104" t="s">
        <v>41</v>
      </c>
      <c r="D2509" s="129" t="s">
        <v>16393</v>
      </c>
    </row>
    <row r="2510" spans="1:4">
      <c r="A2510" s="105">
        <v>102920</v>
      </c>
      <c r="B2510" s="104" t="s">
        <v>12858</v>
      </c>
      <c r="C2510" s="104" t="s">
        <v>41</v>
      </c>
      <c r="D2510" s="129" t="s">
        <v>16976</v>
      </c>
    </row>
    <row r="2511" spans="1:4">
      <c r="A2511" s="105">
        <v>102921</v>
      </c>
      <c r="B2511" s="104" t="s">
        <v>12859</v>
      </c>
      <c r="C2511" s="104" t="s">
        <v>41</v>
      </c>
      <c r="D2511" s="129" t="s">
        <v>16977</v>
      </c>
    </row>
    <row r="2512" spans="1:4">
      <c r="A2512" s="105">
        <v>102922</v>
      </c>
      <c r="B2512" s="104" t="s">
        <v>12860</v>
      </c>
      <c r="C2512" s="104" t="s">
        <v>41</v>
      </c>
      <c r="D2512" s="129" t="s">
        <v>16978</v>
      </c>
    </row>
    <row r="2513" spans="1:4">
      <c r="A2513" s="105">
        <v>102923</v>
      </c>
      <c r="B2513" s="104" t="s">
        <v>12861</v>
      </c>
      <c r="C2513" s="104" t="s">
        <v>41</v>
      </c>
      <c r="D2513" s="129" t="s">
        <v>16979</v>
      </c>
    </row>
    <row r="2514" spans="1:4">
      <c r="A2514" s="105">
        <v>103088</v>
      </c>
      <c r="B2514" s="104" t="s">
        <v>12862</v>
      </c>
      <c r="C2514" s="104" t="s">
        <v>41</v>
      </c>
      <c r="D2514" s="129" t="s">
        <v>16980</v>
      </c>
    </row>
    <row r="2515" spans="1:4">
      <c r="A2515" s="105">
        <v>89993</v>
      </c>
      <c r="B2515" s="104" t="s">
        <v>12863</v>
      </c>
      <c r="C2515" s="104" t="s">
        <v>28</v>
      </c>
      <c r="D2515" s="129" t="s">
        <v>16981</v>
      </c>
    </row>
    <row r="2516" spans="1:4">
      <c r="A2516" s="105">
        <v>89994</v>
      </c>
      <c r="B2516" s="104" t="s">
        <v>12864</v>
      </c>
      <c r="C2516" s="104" t="s">
        <v>28</v>
      </c>
      <c r="D2516" s="129" t="s">
        <v>16982</v>
      </c>
    </row>
    <row r="2517" spans="1:4">
      <c r="A2517" s="105">
        <v>89995</v>
      </c>
      <c r="B2517" s="104" t="s">
        <v>12865</v>
      </c>
      <c r="C2517" s="104" t="s">
        <v>28</v>
      </c>
      <c r="D2517" s="129" t="s">
        <v>16983</v>
      </c>
    </row>
    <row r="2518" spans="1:4">
      <c r="A2518" s="105">
        <v>90278</v>
      </c>
      <c r="B2518" s="104" t="s">
        <v>12866</v>
      </c>
      <c r="C2518" s="104" t="s">
        <v>28</v>
      </c>
      <c r="D2518" s="129" t="s">
        <v>16984</v>
      </c>
    </row>
    <row r="2519" spans="1:4">
      <c r="A2519" s="105">
        <v>90279</v>
      </c>
      <c r="B2519" s="104" t="s">
        <v>12867</v>
      </c>
      <c r="C2519" s="104" t="s">
        <v>28</v>
      </c>
      <c r="D2519" s="129" t="s">
        <v>16985</v>
      </c>
    </row>
    <row r="2520" spans="1:4">
      <c r="A2520" s="105">
        <v>90280</v>
      </c>
      <c r="B2520" s="104" t="s">
        <v>12868</v>
      </c>
      <c r="C2520" s="104" t="s">
        <v>28</v>
      </c>
      <c r="D2520" s="129" t="s">
        <v>16986</v>
      </c>
    </row>
    <row r="2521" spans="1:4">
      <c r="A2521" s="105">
        <v>90281</v>
      </c>
      <c r="B2521" s="104" t="s">
        <v>12869</v>
      </c>
      <c r="C2521" s="104" t="s">
        <v>28</v>
      </c>
      <c r="D2521" s="129" t="s">
        <v>16987</v>
      </c>
    </row>
    <row r="2522" spans="1:4">
      <c r="A2522" s="105">
        <v>90282</v>
      </c>
      <c r="B2522" s="104" t="s">
        <v>12870</v>
      </c>
      <c r="C2522" s="104" t="s">
        <v>28</v>
      </c>
      <c r="D2522" s="129" t="s">
        <v>16988</v>
      </c>
    </row>
    <row r="2523" spans="1:4">
      <c r="A2523" s="105">
        <v>90283</v>
      </c>
      <c r="B2523" s="104" t="s">
        <v>12871</v>
      </c>
      <c r="C2523" s="104" t="s">
        <v>28</v>
      </c>
      <c r="D2523" s="129" t="s">
        <v>16989</v>
      </c>
    </row>
    <row r="2524" spans="1:4">
      <c r="A2524" s="105">
        <v>90284</v>
      </c>
      <c r="B2524" s="104" t="s">
        <v>12872</v>
      </c>
      <c r="C2524" s="104" t="s">
        <v>28</v>
      </c>
      <c r="D2524" s="129" t="s">
        <v>16990</v>
      </c>
    </row>
    <row r="2525" spans="1:4">
      <c r="A2525" s="105">
        <v>90285</v>
      </c>
      <c r="B2525" s="104" t="s">
        <v>12873</v>
      </c>
      <c r="C2525" s="104" t="s">
        <v>28</v>
      </c>
      <c r="D2525" s="129" t="s">
        <v>16991</v>
      </c>
    </row>
    <row r="2526" spans="1:4">
      <c r="A2526" s="105">
        <v>94962</v>
      </c>
      <c r="B2526" s="104" t="s">
        <v>2714</v>
      </c>
      <c r="C2526" s="104" t="s">
        <v>28</v>
      </c>
      <c r="D2526" s="129" t="s">
        <v>16992</v>
      </c>
    </row>
    <row r="2527" spans="1:4">
      <c r="A2527" s="105">
        <v>94963</v>
      </c>
      <c r="B2527" s="104" t="s">
        <v>2715</v>
      </c>
      <c r="C2527" s="104" t="s">
        <v>28</v>
      </c>
      <c r="D2527" s="129" t="s">
        <v>16993</v>
      </c>
    </row>
    <row r="2528" spans="1:4">
      <c r="A2528" s="105">
        <v>94964</v>
      </c>
      <c r="B2528" s="104" t="s">
        <v>2716</v>
      </c>
      <c r="C2528" s="104" t="s">
        <v>28</v>
      </c>
      <c r="D2528" s="129" t="s">
        <v>16994</v>
      </c>
    </row>
    <row r="2529" spans="1:4">
      <c r="A2529" s="105">
        <v>94965</v>
      </c>
      <c r="B2529" s="104" t="s">
        <v>2717</v>
      </c>
      <c r="C2529" s="104" t="s">
        <v>28</v>
      </c>
      <c r="D2529" s="129" t="s">
        <v>16995</v>
      </c>
    </row>
    <row r="2530" spans="1:4">
      <c r="A2530" s="105">
        <v>94966</v>
      </c>
      <c r="B2530" s="104" t="s">
        <v>2718</v>
      </c>
      <c r="C2530" s="104" t="s">
        <v>28</v>
      </c>
      <c r="D2530" s="129" t="s">
        <v>16996</v>
      </c>
    </row>
    <row r="2531" spans="1:4">
      <c r="A2531" s="105">
        <v>94967</v>
      </c>
      <c r="B2531" s="104" t="s">
        <v>2719</v>
      </c>
      <c r="C2531" s="104" t="s">
        <v>28</v>
      </c>
      <c r="D2531" s="129" t="s">
        <v>16997</v>
      </c>
    </row>
    <row r="2532" spans="1:4">
      <c r="A2532" s="105">
        <v>94968</v>
      </c>
      <c r="B2532" s="104" t="s">
        <v>2720</v>
      </c>
      <c r="C2532" s="104" t="s">
        <v>28</v>
      </c>
      <c r="D2532" s="129" t="s">
        <v>16998</v>
      </c>
    </row>
    <row r="2533" spans="1:4">
      <c r="A2533" s="105">
        <v>94969</v>
      </c>
      <c r="B2533" s="104" t="s">
        <v>2721</v>
      </c>
      <c r="C2533" s="104" t="s">
        <v>28</v>
      </c>
      <c r="D2533" s="129" t="s">
        <v>16999</v>
      </c>
    </row>
    <row r="2534" spans="1:4">
      <c r="A2534" s="105">
        <v>94970</v>
      </c>
      <c r="B2534" s="104" t="s">
        <v>2722</v>
      </c>
      <c r="C2534" s="104" t="s">
        <v>28</v>
      </c>
      <c r="D2534" s="129" t="s">
        <v>17000</v>
      </c>
    </row>
    <row r="2535" spans="1:4">
      <c r="A2535" s="105">
        <v>94971</v>
      </c>
      <c r="B2535" s="104" t="s">
        <v>2723</v>
      </c>
      <c r="C2535" s="104" t="s">
        <v>28</v>
      </c>
      <c r="D2535" s="129" t="s">
        <v>17001</v>
      </c>
    </row>
    <row r="2536" spans="1:4">
      <c r="A2536" s="105">
        <v>94972</v>
      </c>
      <c r="B2536" s="104" t="s">
        <v>2724</v>
      </c>
      <c r="C2536" s="104" t="s">
        <v>28</v>
      </c>
      <c r="D2536" s="129" t="s">
        <v>17002</v>
      </c>
    </row>
    <row r="2537" spans="1:4">
      <c r="A2537" s="105">
        <v>94973</v>
      </c>
      <c r="B2537" s="104" t="s">
        <v>2725</v>
      </c>
      <c r="C2537" s="104" t="s">
        <v>28</v>
      </c>
      <c r="D2537" s="129" t="s">
        <v>17003</v>
      </c>
    </row>
    <row r="2538" spans="1:4">
      <c r="A2538" s="105">
        <v>94974</v>
      </c>
      <c r="B2538" s="104" t="s">
        <v>2726</v>
      </c>
      <c r="C2538" s="104" t="s">
        <v>28</v>
      </c>
      <c r="D2538" s="129" t="s">
        <v>17004</v>
      </c>
    </row>
    <row r="2539" spans="1:4">
      <c r="A2539" s="105">
        <v>94975</v>
      </c>
      <c r="B2539" s="104" t="s">
        <v>2727</v>
      </c>
      <c r="C2539" s="104" t="s">
        <v>28</v>
      </c>
      <c r="D2539" s="129" t="s">
        <v>17005</v>
      </c>
    </row>
    <row r="2540" spans="1:4">
      <c r="A2540" s="105">
        <v>96555</v>
      </c>
      <c r="B2540" s="104" t="s">
        <v>2728</v>
      </c>
      <c r="C2540" s="104" t="s">
        <v>28</v>
      </c>
      <c r="D2540" s="129" t="s">
        <v>17006</v>
      </c>
    </row>
    <row r="2541" spans="1:4">
      <c r="A2541" s="105">
        <v>96556</v>
      </c>
      <c r="B2541" s="104" t="s">
        <v>2729</v>
      </c>
      <c r="C2541" s="104" t="s">
        <v>28</v>
      </c>
      <c r="D2541" s="129" t="s">
        <v>17007</v>
      </c>
    </row>
    <row r="2542" spans="1:4">
      <c r="A2542" s="105">
        <v>96557</v>
      </c>
      <c r="B2542" s="104" t="s">
        <v>2730</v>
      </c>
      <c r="C2542" s="104" t="s">
        <v>28</v>
      </c>
      <c r="D2542" s="129" t="s">
        <v>17008</v>
      </c>
    </row>
    <row r="2543" spans="1:4">
      <c r="A2543" s="105">
        <v>96558</v>
      </c>
      <c r="B2543" s="104" t="s">
        <v>2731</v>
      </c>
      <c r="C2543" s="104" t="s">
        <v>28</v>
      </c>
      <c r="D2543" s="129" t="s">
        <v>17009</v>
      </c>
    </row>
    <row r="2544" spans="1:4">
      <c r="A2544" s="105">
        <v>99235</v>
      </c>
      <c r="B2544" s="104" t="s">
        <v>12874</v>
      </c>
      <c r="C2544" s="104" t="s">
        <v>28</v>
      </c>
      <c r="D2544" s="129" t="s">
        <v>17010</v>
      </c>
    </row>
    <row r="2545" spans="1:4">
      <c r="A2545" s="105">
        <v>99431</v>
      </c>
      <c r="B2545" s="104" t="s">
        <v>12875</v>
      </c>
      <c r="C2545" s="104" t="s">
        <v>28</v>
      </c>
      <c r="D2545" s="129" t="s">
        <v>17011</v>
      </c>
    </row>
    <row r="2546" spans="1:4">
      <c r="A2546" s="105">
        <v>99432</v>
      </c>
      <c r="B2546" s="104" t="s">
        <v>12876</v>
      </c>
      <c r="C2546" s="104" t="s">
        <v>28</v>
      </c>
      <c r="D2546" s="129" t="s">
        <v>17012</v>
      </c>
    </row>
    <row r="2547" spans="1:4">
      <c r="A2547" s="105">
        <v>99433</v>
      </c>
      <c r="B2547" s="104" t="s">
        <v>12877</v>
      </c>
      <c r="C2547" s="104" t="s">
        <v>28</v>
      </c>
      <c r="D2547" s="129" t="s">
        <v>17013</v>
      </c>
    </row>
    <row r="2548" spans="1:4">
      <c r="A2548" s="105">
        <v>99434</v>
      </c>
      <c r="B2548" s="104" t="s">
        <v>12878</v>
      </c>
      <c r="C2548" s="104" t="s">
        <v>28</v>
      </c>
      <c r="D2548" s="129" t="s">
        <v>17014</v>
      </c>
    </row>
    <row r="2549" spans="1:4">
      <c r="A2549" s="105">
        <v>99435</v>
      </c>
      <c r="B2549" s="104" t="s">
        <v>12879</v>
      </c>
      <c r="C2549" s="104" t="s">
        <v>28</v>
      </c>
      <c r="D2549" s="129" t="s">
        <v>17015</v>
      </c>
    </row>
    <row r="2550" spans="1:4">
      <c r="A2550" s="105">
        <v>99436</v>
      </c>
      <c r="B2550" s="104" t="s">
        <v>12880</v>
      </c>
      <c r="C2550" s="104" t="s">
        <v>28</v>
      </c>
      <c r="D2550" s="129" t="s">
        <v>17016</v>
      </c>
    </row>
    <row r="2551" spans="1:4">
      <c r="A2551" s="105">
        <v>99437</v>
      </c>
      <c r="B2551" s="104" t="s">
        <v>12881</v>
      </c>
      <c r="C2551" s="104" t="s">
        <v>28</v>
      </c>
      <c r="D2551" s="129" t="s">
        <v>17017</v>
      </c>
    </row>
    <row r="2552" spans="1:4">
      <c r="A2552" s="105">
        <v>99438</v>
      </c>
      <c r="B2552" s="104" t="s">
        <v>12882</v>
      </c>
      <c r="C2552" s="104" t="s">
        <v>28</v>
      </c>
      <c r="D2552" s="129" t="s">
        <v>17018</v>
      </c>
    </row>
    <row r="2553" spans="1:4">
      <c r="A2553" s="105">
        <v>99439</v>
      </c>
      <c r="B2553" s="104" t="s">
        <v>12883</v>
      </c>
      <c r="C2553" s="104" t="s">
        <v>28</v>
      </c>
      <c r="D2553" s="129" t="s">
        <v>17019</v>
      </c>
    </row>
    <row r="2554" spans="1:4">
      <c r="A2554" s="105">
        <v>102473</v>
      </c>
      <c r="B2554" s="104" t="s">
        <v>2732</v>
      </c>
      <c r="C2554" s="104" t="s">
        <v>28</v>
      </c>
      <c r="D2554" s="129" t="s">
        <v>17020</v>
      </c>
    </row>
    <row r="2555" spans="1:4">
      <c r="A2555" s="105">
        <v>102474</v>
      </c>
      <c r="B2555" s="104" t="s">
        <v>2733</v>
      </c>
      <c r="C2555" s="104" t="s">
        <v>28</v>
      </c>
      <c r="D2555" s="129" t="s">
        <v>17021</v>
      </c>
    </row>
    <row r="2556" spans="1:4">
      <c r="A2556" s="105">
        <v>102475</v>
      </c>
      <c r="B2556" s="104" t="s">
        <v>2734</v>
      </c>
      <c r="C2556" s="104" t="s">
        <v>28</v>
      </c>
      <c r="D2556" s="129" t="s">
        <v>17022</v>
      </c>
    </row>
    <row r="2557" spans="1:4">
      <c r="A2557" s="105">
        <v>102476</v>
      </c>
      <c r="B2557" s="104" t="s">
        <v>2735</v>
      </c>
      <c r="C2557" s="104" t="s">
        <v>28</v>
      </c>
      <c r="D2557" s="129" t="s">
        <v>17023</v>
      </c>
    </row>
    <row r="2558" spans="1:4">
      <c r="A2558" s="105">
        <v>102477</v>
      </c>
      <c r="B2558" s="104" t="s">
        <v>2736</v>
      </c>
      <c r="C2558" s="104" t="s">
        <v>28</v>
      </c>
      <c r="D2558" s="129" t="s">
        <v>17024</v>
      </c>
    </row>
    <row r="2559" spans="1:4">
      <c r="A2559" s="105">
        <v>102478</v>
      </c>
      <c r="B2559" s="104" t="s">
        <v>2737</v>
      </c>
      <c r="C2559" s="104" t="s">
        <v>28</v>
      </c>
      <c r="D2559" s="129" t="s">
        <v>17025</v>
      </c>
    </row>
    <row r="2560" spans="1:4">
      <c r="A2560" s="105">
        <v>102479</v>
      </c>
      <c r="B2560" s="104" t="s">
        <v>2738</v>
      </c>
      <c r="C2560" s="104" t="s">
        <v>28</v>
      </c>
      <c r="D2560" s="129" t="s">
        <v>17026</v>
      </c>
    </row>
    <row r="2561" spans="1:4">
      <c r="A2561" s="105">
        <v>102480</v>
      </c>
      <c r="B2561" s="104" t="s">
        <v>2739</v>
      </c>
      <c r="C2561" s="104" t="s">
        <v>28</v>
      </c>
      <c r="D2561" s="129" t="s">
        <v>17027</v>
      </c>
    </row>
    <row r="2562" spans="1:4">
      <c r="A2562" s="105">
        <v>102481</v>
      </c>
      <c r="B2562" s="104" t="s">
        <v>306</v>
      </c>
      <c r="C2562" s="104" t="s">
        <v>28</v>
      </c>
      <c r="D2562" s="129" t="s">
        <v>17028</v>
      </c>
    </row>
    <row r="2563" spans="1:4">
      <c r="A2563" s="105">
        <v>102482</v>
      </c>
      <c r="B2563" s="104" t="s">
        <v>2740</v>
      </c>
      <c r="C2563" s="104" t="s">
        <v>28</v>
      </c>
      <c r="D2563" s="129" t="s">
        <v>17029</v>
      </c>
    </row>
    <row r="2564" spans="1:4">
      <c r="A2564" s="105">
        <v>102483</v>
      </c>
      <c r="B2564" s="104" t="s">
        <v>2741</v>
      </c>
      <c r="C2564" s="104" t="s">
        <v>28</v>
      </c>
      <c r="D2564" s="129" t="s">
        <v>17030</v>
      </c>
    </row>
    <row r="2565" spans="1:4">
      <c r="A2565" s="105">
        <v>102484</v>
      </c>
      <c r="B2565" s="104" t="s">
        <v>2742</v>
      </c>
      <c r="C2565" s="104" t="s">
        <v>28</v>
      </c>
      <c r="D2565" s="129" t="s">
        <v>17031</v>
      </c>
    </row>
    <row r="2566" spans="1:4">
      <c r="A2566" s="105">
        <v>102485</v>
      </c>
      <c r="B2566" s="104" t="s">
        <v>2743</v>
      </c>
      <c r="C2566" s="104" t="s">
        <v>28</v>
      </c>
      <c r="D2566" s="129" t="s">
        <v>17032</v>
      </c>
    </row>
    <row r="2567" spans="1:4">
      <c r="A2567" s="105">
        <v>102486</v>
      </c>
      <c r="B2567" s="104" t="s">
        <v>2744</v>
      </c>
      <c r="C2567" s="104" t="s">
        <v>28</v>
      </c>
      <c r="D2567" s="129" t="s">
        <v>17033</v>
      </c>
    </row>
    <row r="2568" spans="1:4">
      <c r="A2568" s="105">
        <v>102487</v>
      </c>
      <c r="B2568" s="104" t="s">
        <v>2745</v>
      </c>
      <c r="C2568" s="104" t="s">
        <v>28</v>
      </c>
      <c r="D2568" s="129" t="s">
        <v>17034</v>
      </c>
    </row>
    <row r="2569" spans="1:4">
      <c r="A2569" s="105">
        <v>103183</v>
      </c>
      <c r="B2569" s="104" t="s">
        <v>12884</v>
      </c>
      <c r="C2569" s="104" t="s">
        <v>28</v>
      </c>
      <c r="D2569" s="129" t="s">
        <v>17035</v>
      </c>
    </row>
    <row r="2570" spans="1:4">
      <c r="A2570" s="105">
        <v>103184</v>
      </c>
      <c r="B2570" s="104" t="s">
        <v>12885</v>
      </c>
      <c r="C2570" s="104" t="s">
        <v>28</v>
      </c>
      <c r="D2570" s="129" t="s">
        <v>17036</v>
      </c>
    </row>
    <row r="2571" spans="1:4">
      <c r="A2571" s="105">
        <v>103669</v>
      </c>
      <c r="B2571" s="104" t="s">
        <v>17037</v>
      </c>
      <c r="C2571" s="104" t="s">
        <v>28</v>
      </c>
      <c r="D2571" s="129" t="s">
        <v>17038</v>
      </c>
    </row>
    <row r="2572" spans="1:4">
      <c r="A2572" s="105">
        <v>103670</v>
      </c>
      <c r="B2572" s="104" t="s">
        <v>17039</v>
      </c>
      <c r="C2572" s="104" t="s">
        <v>28</v>
      </c>
      <c r="D2572" s="129" t="s">
        <v>17040</v>
      </c>
    </row>
    <row r="2573" spans="1:4">
      <c r="A2573" s="105">
        <v>103671</v>
      </c>
      <c r="B2573" s="104" t="s">
        <v>17041</v>
      </c>
      <c r="C2573" s="104" t="s">
        <v>28</v>
      </c>
      <c r="D2573" s="129" t="s">
        <v>17042</v>
      </c>
    </row>
    <row r="2574" spans="1:4">
      <c r="A2574" s="105">
        <v>103672</v>
      </c>
      <c r="B2574" s="104" t="s">
        <v>17043</v>
      </c>
      <c r="C2574" s="104" t="s">
        <v>28</v>
      </c>
      <c r="D2574" s="129" t="s">
        <v>17044</v>
      </c>
    </row>
    <row r="2575" spans="1:4">
      <c r="A2575" s="105">
        <v>103673</v>
      </c>
      <c r="B2575" s="104" t="s">
        <v>17045</v>
      </c>
      <c r="C2575" s="104" t="s">
        <v>28</v>
      </c>
      <c r="D2575" s="129" t="s">
        <v>17046</v>
      </c>
    </row>
    <row r="2576" spans="1:4">
      <c r="A2576" s="105">
        <v>103674</v>
      </c>
      <c r="B2576" s="104" t="s">
        <v>17047</v>
      </c>
      <c r="C2576" s="104" t="s">
        <v>28</v>
      </c>
      <c r="D2576" s="129" t="s">
        <v>17048</v>
      </c>
    </row>
    <row r="2577" spans="1:4">
      <c r="A2577" s="105">
        <v>103675</v>
      </c>
      <c r="B2577" s="104" t="s">
        <v>17049</v>
      </c>
      <c r="C2577" s="104" t="s">
        <v>28</v>
      </c>
      <c r="D2577" s="129" t="s">
        <v>17050</v>
      </c>
    </row>
    <row r="2578" spans="1:4">
      <c r="A2578" s="105">
        <v>103676</v>
      </c>
      <c r="B2578" s="104" t="s">
        <v>17051</v>
      </c>
      <c r="C2578" s="104" t="s">
        <v>28</v>
      </c>
      <c r="D2578" s="129" t="s">
        <v>17052</v>
      </c>
    </row>
    <row r="2579" spans="1:4">
      <c r="A2579" s="105">
        <v>103677</v>
      </c>
      <c r="B2579" s="104" t="s">
        <v>17053</v>
      </c>
      <c r="C2579" s="104" t="s">
        <v>28</v>
      </c>
      <c r="D2579" s="129" t="s">
        <v>17054</v>
      </c>
    </row>
    <row r="2580" spans="1:4">
      <c r="A2580" s="105">
        <v>103678</v>
      </c>
      <c r="B2580" s="104" t="s">
        <v>17055</v>
      </c>
      <c r="C2580" s="104" t="s">
        <v>28</v>
      </c>
      <c r="D2580" s="129" t="s">
        <v>17056</v>
      </c>
    </row>
    <row r="2581" spans="1:4">
      <c r="A2581" s="105">
        <v>103679</v>
      </c>
      <c r="B2581" s="104" t="s">
        <v>17057</v>
      </c>
      <c r="C2581" s="104" t="s">
        <v>28</v>
      </c>
      <c r="D2581" s="129" t="s">
        <v>17058</v>
      </c>
    </row>
    <row r="2582" spans="1:4">
      <c r="A2582" s="105">
        <v>103680</v>
      </c>
      <c r="B2582" s="104" t="s">
        <v>17059</v>
      </c>
      <c r="C2582" s="104" t="s">
        <v>28</v>
      </c>
      <c r="D2582" s="129" t="s">
        <v>17060</v>
      </c>
    </row>
    <row r="2583" spans="1:4">
      <c r="A2583" s="105">
        <v>103681</v>
      </c>
      <c r="B2583" s="104" t="s">
        <v>17061</v>
      </c>
      <c r="C2583" s="104" t="s">
        <v>28</v>
      </c>
      <c r="D2583" s="129" t="s">
        <v>17062</v>
      </c>
    </row>
    <row r="2584" spans="1:4">
      <c r="A2584" s="105">
        <v>103682</v>
      </c>
      <c r="B2584" s="104" t="s">
        <v>17063</v>
      </c>
      <c r="C2584" s="104" t="s">
        <v>28</v>
      </c>
      <c r="D2584" s="129" t="s">
        <v>17064</v>
      </c>
    </row>
    <row r="2585" spans="1:4">
      <c r="A2585" s="105">
        <v>103683</v>
      </c>
      <c r="B2585" s="104" t="s">
        <v>17065</v>
      </c>
      <c r="C2585" s="104" t="s">
        <v>28</v>
      </c>
      <c r="D2585" s="129" t="s">
        <v>17066</v>
      </c>
    </row>
    <row r="2586" spans="1:4">
      <c r="A2586" s="105">
        <v>103684</v>
      </c>
      <c r="B2586" s="104" t="s">
        <v>17067</v>
      </c>
      <c r="C2586" s="104" t="s">
        <v>28</v>
      </c>
      <c r="D2586" s="129" t="s">
        <v>17068</v>
      </c>
    </row>
    <row r="2587" spans="1:4">
      <c r="A2587" s="105">
        <v>103685</v>
      </c>
      <c r="B2587" s="104" t="s">
        <v>17069</v>
      </c>
      <c r="C2587" s="104" t="s">
        <v>28</v>
      </c>
      <c r="D2587" s="129" t="s">
        <v>17070</v>
      </c>
    </row>
    <row r="2588" spans="1:4">
      <c r="A2588" s="105">
        <v>103686</v>
      </c>
      <c r="B2588" s="104" t="s">
        <v>17071</v>
      </c>
      <c r="C2588" s="104" t="s">
        <v>28</v>
      </c>
      <c r="D2588" s="129" t="s">
        <v>17072</v>
      </c>
    </row>
    <row r="2589" spans="1:4">
      <c r="A2589" s="105">
        <v>103687</v>
      </c>
      <c r="B2589" s="104" t="s">
        <v>17073</v>
      </c>
      <c r="C2589" s="104" t="s">
        <v>28</v>
      </c>
      <c r="D2589" s="129" t="s">
        <v>17074</v>
      </c>
    </row>
    <row r="2590" spans="1:4">
      <c r="A2590" s="105">
        <v>103688</v>
      </c>
      <c r="B2590" s="104" t="s">
        <v>17075</v>
      </c>
      <c r="C2590" s="104" t="s">
        <v>28</v>
      </c>
      <c r="D2590" s="129" t="s">
        <v>17076</v>
      </c>
    </row>
    <row r="2591" spans="1:4">
      <c r="A2591" s="105">
        <v>101963</v>
      </c>
      <c r="B2591" s="104" t="s">
        <v>2746</v>
      </c>
      <c r="C2591" s="104" t="s">
        <v>12</v>
      </c>
      <c r="D2591" s="129" t="s">
        <v>17077</v>
      </c>
    </row>
    <row r="2592" spans="1:4">
      <c r="A2592" s="105">
        <v>101964</v>
      </c>
      <c r="B2592" s="104" t="s">
        <v>2747</v>
      </c>
      <c r="C2592" s="104" t="s">
        <v>12</v>
      </c>
      <c r="D2592" s="129" t="s">
        <v>17078</v>
      </c>
    </row>
    <row r="2593" spans="1:4">
      <c r="A2593" s="105">
        <v>101165</v>
      </c>
      <c r="B2593" s="104" t="s">
        <v>2748</v>
      </c>
      <c r="C2593" s="104" t="s">
        <v>28</v>
      </c>
      <c r="D2593" s="129" t="s">
        <v>17079</v>
      </c>
    </row>
    <row r="2594" spans="1:4">
      <c r="A2594" s="105">
        <v>101166</v>
      </c>
      <c r="B2594" s="104" t="s">
        <v>2749</v>
      </c>
      <c r="C2594" s="104" t="s">
        <v>28</v>
      </c>
      <c r="D2594" s="129" t="s">
        <v>17080</v>
      </c>
    </row>
    <row r="2595" spans="1:4">
      <c r="A2595" s="105">
        <v>98575</v>
      </c>
      <c r="B2595" s="104" t="s">
        <v>12886</v>
      </c>
      <c r="C2595" s="104" t="s">
        <v>40</v>
      </c>
      <c r="D2595" s="129" t="s">
        <v>17081</v>
      </c>
    </row>
    <row r="2596" spans="1:4">
      <c r="A2596" s="105">
        <v>98576</v>
      </c>
      <c r="B2596" s="104" t="s">
        <v>2750</v>
      </c>
      <c r="C2596" s="104" t="s">
        <v>40</v>
      </c>
      <c r="D2596" s="129" t="s">
        <v>17082</v>
      </c>
    </row>
    <row r="2597" spans="1:4">
      <c r="A2597" s="105">
        <v>98577</v>
      </c>
      <c r="B2597" s="104" t="s">
        <v>12887</v>
      </c>
      <c r="C2597" s="104" t="s">
        <v>40</v>
      </c>
      <c r="D2597" s="129" t="s">
        <v>17083</v>
      </c>
    </row>
    <row r="2598" spans="1:4">
      <c r="A2598" s="105">
        <v>93182</v>
      </c>
      <c r="B2598" s="104" t="s">
        <v>2751</v>
      </c>
      <c r="C2598" s="104" t="s">
        <v>40</v>
      </c>
      <c r="D2598" s="129" t="s">
        <v>17084</v>
      </c>
    </row>
    <row r="2599" spans="1:4">
      <c r="A2599" s="105">
        <v>93183</v>
      </c>
      <c r="B2599" s="104" t="s">
        <v>2752</v>
      </c>
      <c r="C2599" s="104" t="s">
        <v>40</v>
      </c>
      <c r="D2599" s="129" t="s">
        <v>17085</v>
      </c>
    </row>
    <row r="2600" spans="1:4">
      <c r="A2600" s="105">
        <v>93184</v>
      </c>
      <c r="B2600" s="104" t="s">
        <v>2753</v>
      </c>
      <c r="C2600" s="104" t="s">
        <v>40</v>
      </c>
      <c r="D2600" s="129" t="s">
        <v>17086</v>
      </c>
    </row>
    <row r="2601" spans="1:4">
      <c r="A2601" s="105">
        <v>93185</v>
      </c>
      <c r="B2601" s="104" t="s">
        <v>2754</v>
      </c>
      <c r="C2601" s="104" t="s">
        <v>40</v>
      </c>
      <c r="D2601" s="129" t="s">
        <v>17087</v>
      </c>
    </row>
    <row r="2602" spans="1:4">
      <c r="A2602" s="105">
        <v>93186</v>
      </c>
      <c r="B2602" s="104" t="s">
        <v>2755</v>
      </c>
      <c r="C2602" s="104" t="s">
        <v>40</v>
      </c>
      <c r="D2602" s="129" t="s">
        <v>17088</v>
      </c>
    </row>
    <row r="2603" spans="1:4">
      <c r="A2603" s="105">
        <v>93187</v>
      </c>
      <c r="B2603" s="104" t="s">
        <v>2756</v>
      </c>
      <c r="C2603" s="104" t="s">
        <v>40</v>
      </c>
      <c r="D2603" s="129" t="s">
        <v>17089</v>
      </c>
    </row>
    <row r="2604" spans="1:4">
      <c r="A2604" s="105">
        <v>93188</v>
      </c>
      <c r="B2604" s="104" t="s">
        <v>2757</v>
      </c>
      <c r="C2604" s="104" t="s">
        <v>40</v>
      </c>
      <c r="D2604" s="129" t="s">
        <v>15573</v>
      </c>
    </row>
    <row r="2605" spans="1:4">
      <c r="A2605" s="105">
        <v>93189</v>
      </c>
      <c r="B2605" s="104" t="s">
        <v>2758</v>
      </c>
      <c r="C2605" s="104" t="s">
        <v>40</v>
      </c>
      <c r="D2605" s="129" t="s">
        <v>17090</v>
      </c>
    </row>
    <row r="2606" spans="1:4">
      <c r="A2606" s="105">
        <v>93190</v>
      </c>
      <c r="B2606" s="104" t="s">
        <v>2759</v>
      </c>
      <c r="C2606" s="104" t="s">
        <v>40</v>
      </c>
      <c r="D2606" s="129" t="s">
        <v>15798</v>
      </c>
    </row>
    <row r="2607" spans="1:4">
      <c r="A2607" s="105">
        <v>93191</v>
      </c>
      <c r="B2607" s="104" t="s">
        <v>2760</v>
      </c>
      <c r="C2607" s="104" t="s">
        <v>40</v>
      </c>
      <c r="D2607" s="129" t="s">
        <v>17091</v>
      </c>
    </row>
    <row r="2608" spans="1:4">
      <c r="A2608" s="105">
        <v>93192</v>
      </c>
      <c r="B2608" s="104" t="s">
        <v>2761</v>
      </c>
      <c r="C2608" s="104" t="s">
        <v>40</v>
      </c>
      <c r="D2608" s="129" t="s">
        <v>17092</v>
      </c>
    </row>
    <row r="2609" spans="1:4">
      <c r="A2609" s="105">
        <v>93193</v>
      </c>
      <c r="B2609" s="104" t="s">
        <v>2762</v>
      </c>
      <c r="C2609" s="104" t="s">
        <v>40</v>
      </c>
      <c r="D2609" s="129" t="s">
        <v>17093</v>
      </c>
    </row>
    <row r="2610" spans="1:4">
      <c r="A2610" s="105">
        <v>93194</v>
      </c>
      <c r="B2610" s="104" t="s">
        <v>2763</v>
      </c>
      <c r="C2610" s="104" t="s">
        <v>40</v>
      </c>
      <c r="D2610" s="129" t="s">
        <v>17094</v>
      </c>
    </row>
    <row r="2611" spans="1:4">
      <c r="A2611" s="105">
        <v>93195</v>
      </c>
      <c r="B2611" s="104" t="s">
        <v>2764</v>
      </c>
      <c r="C2611" s="104" t="s">
        <v>40</v>
      </c>
      <c r="D2611" s="129" t="s">
        <v>16302</v>
      </c>
    </row>
    <row r="2612" spans="1:4">
      <c r="A2612" s="105">
        <v>93196</v>
      </c>
      <c r="B2612" s="104" t="s">
        <v>2765</v>
      </c>
      <c r="C2612" s="104" t="s">
        <v>40</v>
      </c>
      <c r="D2612" s="129" t="s">
        <v>16768</v>
      </c>
    </row>
    <row r="2613" spans="1:4">
      <c r="A2613" s="105">
        <v>93197</v>
      </c>
      <c r="B2613" s="104" t="s">
        <v>2766</v>
      </c>
      <c r="C2613" s="104" t="s">
        <v>40</v>
      </c>
      <c r="D2613" s="129" t="s">
        <v>17095</v>
      </c>
    </row>
    <row r="2614" spans="1:4">
      <c r="A2614" s="105">
        <v>93198</v>
      </c>
      <c r="B2614" s="104" t="s">
        <v>2767</v>
      </c>
      <c r="C2614" s="104" t="s">
        <v>40</v>
      </c>
      <c r="D2614" s="129" t="s">
        <v>14836</v>
      </c>
    </row>
    <row r="2615" spans="1:4">
      <c r="A2615" s="105">
        <v>93199</v>
      </c>
      <c r="B2615" s="104" t="s">
        <v>2768</v>
      </c>
      <c r="C2615" s="104" t="s">
        <v>40</v>
      </c>
      <c r="D2615" s="129" t="s">
        <v>17096</v>
      </c>
    </row>
    <row r="2616" spans="1:4">
      <c r="A2616" s="105">
        <v>93200</v>
      </c>
      <c r="B2616" s="104" t="s">
        <v>2769</v>
      </c>
      <c r="C2616" s="104" t="s">
        <v>40</v>
      </c>
      <c r="D2616" s="129" t="s">
        <v>17097</v>
      </c>
    </row>
    <row r="2617" spans="1:4">
      <c r="A2617" s="105">
        <v>93201</v>
      </c>
      <c r="B2617" s="104" t="s">
        <v>2770</v>
      </c>
      <c r="C2617" s="104" t="s">
        <v>40</v>
      </c>
      <c r="D2617" s="129" t="s">
        <v>15418</v>
      </c>
    </row>
    <row r="2618" spans="1:4">
      <c r="A2618" s="105">
        <v>93202</v>
      </c>
      <c r="B2618" s="104" t="s">
        <v>2771</v>
      </c>
      <c r="C2618" s="104" t="s">
        <v>40</v>
      </c>
      <c r="D2618" s="129" t="s">
        <v>17098</v>
      </c>
    </row>
    <row r="2619" spans="1:4">
      <c r="A2619" s="105">
        <v>93203</v>
      </c>
      <c r="B2619" s="104" t="s">
        <v>2772</v>
      </c>
      <c r="C2619" s="104" t="s">
        <v>40</v>
      </c>
      <c r="D2619" s="129" t="s">
        <v>14946</v>
      </c>
    </row>
    <row r="2620" spans="1:4">
      <c r="A2620" s="105">
        <v>93204</v>
      </c>
      <c r="B2620" s="104" t="s">
        <v>2773</v>
      </c>
      <c r="C2620" s="104" t="s">
        <v>40</v>
      </c>
      <c r="D2620" s="129" t="s">
        <v>17099</v>
      </c>
    </row>
    <row r="2621" spans="1:4">
      <c r="A2621" s="105">
        <v>93205</v>
      </c>
      <c r="B2621" s="104" t="s">
        <v>2774</v>
      </c>
      <c r="C2621" s="104" t="s">
        <v>40</v>
      </c>
      <c r="D2621" s="129" t="s">
        <v>17100</v>
      </c>
    </row>
    <row r="2622" spans="1:4">
      <c r="A2622" s="105">
        <v>95952</v>
      </c>
      <c r="B2622" s="104" t="s">
        <v>2775</v>
      </c>
      <c r="C2622" s="104" t="s">
        <v>28</v>
      </c>
      <c r="D2622" s="129" t="s">
        <v>17101</v>
      </c>
    </row>
    <row r="2623" spans="1:4">
      <c r="A2623" s="105">
        <v>95953</v>
      </c>
      <c r="B2623" s="104" t="s">
        <v>2776</v>
      </c>
      <c r="C2623" s="104" t="s">
        <v>28</v>
      </c>
      <c r="D2623" s="129" t="s">
        <v>17102</v>
      </c>
    </row>
    <row r="2624" spans="1:4">
      <c r="A2624" s="105">
        <v>95954</v>
      </c>
      <c r="B2624" s="104" t="s">
        <v>2777</v>
      </c>
      <c r="C2624" s="104" t="s">
        <v>28</v>
      </c>
      <c r="D2624" s="129" t="s">
        <v>17103</v>
      </c>
    </row>
    <row r="2625" spans="1:4">
      <c r="A2625" s="105">
        <v>95955</v>
      </c>
      <c r="B2625" s="104" t="s">
        <v>2778</v>
      </c>
      <c r="C2625" s="104" t="s">
        <v>28</v>
      </c>
      <c r="D2625" s="129" t="s">
        <v>17104</v>
      </c>
    </row>
    <row r="2626" spans="1:4">
      <c r="A2626" s="105">
        <v>95956</v>
      </c>
      <c r="B2626" s="104" t="s">
        <v>2779</v>
      </c>
      <c r="C2626" s="104" t="s">
        <v>28</v>
      </c>
      <c r="D2626" s="129" t="s">
        <v>17105</v>
      </c>
    </row>
    <row r="2627" spans="1:4">
      <c r="A2627" s="105">
        <v>95957</v>
      </c>
      <c r="B2627" s="104" t="s">
        <v>2780</v>
      </c>
      <c r="C2627" s="104" t="s">
        <v>28</v>
      </c>
      <c r="D2627" s="129" t="s">
        <v>17106</v>
      </c>
    </row>
    <row r="2628" spans="1:4">
      <c r="A2628" s="105">
        <v>95969</v>
      </c>
      <c r="B2628" s="104" t="s">
        <v>2781</v>
      </c>
      <c r="C2628" s="104" t="s">
        <v>28</v>
      </c>
      <c r="D2628" s="129" t="s">
        <v>17107</v>
      </c>
    </row>
    <row r="2629" spans="1:4">
      <c r="A2629" s="105">
        <v>97733</v>
      </c>
      <c r="B2629" s="104" t="s">
        <v>2782</v>
      </c>
      <c r="C2629" s="104" t="s">
        <v>28</v>
      </c>
      <c r="D2629" s="129" t="s">
        <v>17108</v>
      </c>
    </row>
    <row r="2630" spans="1:4">
      <c r="A2630" s="105">
        <v>97734</v>
      </c>
      <c r="B2630" s="104" t="s">
        <v>2783</v>
      </c>
      <c r="C2630" s="104" t="s">
        <v>28</v>
      </c>
      <c r="D2630" s="129" t="s">
        <v>17109</v>
      </c>
    </row>
    <row r="2631" spans="1:4">
      <c r="A2631" s="105">
        <v>97735</v>
      </c>
      <c r="B2631" s="104" t="s">
        <v>2784</v>
      </c>
      <c r="C2631" s="104" t="s">
        <v>28</v>
      </c>
      <c r="D2631" s="129" t="s">
        <v>17110</v>
      </c>
    </row>
    <row r="2632" spans="1:4">
      <c r="A2632" s="105">
        <v>97736</v>
      </c>
      <c r="B2632" s="104" t="s">
        <v>2785</v>
      </c>
      <c r="C2632" s="104" t="s">
        <v>28</v>
      </c>
      <c r="D2632" s="129" t="s">
        <v>17111</v>
      </c>
    </row>
    <row r="2633" spans="1:4">
      <c r="A2633" s="105">
        <v>97737</v>
      </c>
      <c r="B2633" s="104" t="s">
        <v>2786</v>
      </c>
      <c r="C2633" s="104" t="s">
        <v>28</v>
      </c>
      <c r="D2633" s="129" t="s">
        <v>17112</v>
      </c>
    </row>
    <row r="2634" spans="1:4">
      <c r="A2634" s="105">
        <v>97738</v>
      </c>
      <c r="B2634" s="104" t="s">
        <v>2787</v>
      </c>
      <c r="C2634" s="104" t="s">
        <v>28</v>
      </c>
      <c r="D2634" s="129" t="s">
        <v>17113</v>
      </c>
    </row>
    <row r="2635" spans="1:4">
      <c r="A2635" s="105">
        <v>97739</v>
      </c>
      <c r="B2635" s="104" t="s">
        <v>2788</v>
      </c>
      <c r="C2635" s="104" t="s">
        <v>28</v>
      </c>
      <c r="D2635" s="129" t="s">
        <v>17114</v>
      </c>
    </row>
    <row r="2636" spans="1:4">
      <c r="A2636" s="105">
        <v>97740</v>
      </c>
      <c r="B2636" s="104" t="s">
        <v>2789</v>
      </c>
      <c r="C2636" s="104" t="s">
        <v>28</v>
      </c>
      <c r="D2636" s="129" t="s">
        <v>17115</v>
      </c>
    </row>
    <row r="2637" spans="1:4">
      <c r="A2637" s="105">
        <v>98615</v>
      </c>
      <c r="B2637" s="104" t="s">
        <v>2790</v>
      </c>
      <c r="C2637" s="104" t="s">
        <v>12</v>
      </c>
      <c r="D2637" s="129" t="s">
        <v>17116</v>
      </c>
    </row>
    <row r="2638" spans="1:4">
      <c r="A2638" s="105">
        <v>98616</v>
      </c>
      <c r="B2638" s="104" t="s">
        <v>2791</v>
      </c>
      <c r="C2638" s="104" t="s">
        <v>12</v>
      </c>
      <c r="D2638" s="129" t="s">
        <v>17117</v>
      </c>
    </row>
    <row r="2639" spans="1:4">
      <c r="A2639" s="105">
        <v>98617</v>
      </c>
      <c r="B2639" s="104" t="s">
        <v>2792</v>
      </c>
      <c r="C2639" s="104" t="s">
        <v>12</v>
      </c>
      <c r="D2639" s="129" t="s">
        <v>17118</v>
      </c>
    </row>
    <row r="2640" spans="1:4">
      <c r="A2640" s="105">
        <v>98618</v>
      </c>
      <c r="B2640" s="104" t="s">
        <v>2793</v>
      </c>
      <c r="C2640" s="104" t="s">
        <v>12</v>
      </c>
      <c r="D2640" s="129" t="s">
        <v>17119</v>
      </c>
    </row>
    <row r="2641" spans="1:4">
      <c r="A2641" s="105">
        <v>98619</v>
      </c>
      <c r="B2641" s="104" t="s">
        <v>2794</v>
      </c>
      <c r="C2641" s="104" t="s">
        <v>12</v>
      </c>
      <c r="D2641" s="129" t="s">
        <v>17120</v>
      </c>
    </row>
    <row r="2642" spans="1:4">
      <c r="A2642" s="105">
        <v>98620</v>
      </c>
      <c r="B2642" s="104" t="s">
        <v>2795</v>
      </c>
      <c r="C2642" s="104" t="s">
        <v>12</v>
      </c>
      <c r="D2642" s="129" t="s">
        <v>17121</v>
      </c>
    </row>
    <row r="2643" spans="1:4">
      <c r="A2643" s="105">
        <v>98621</v>
      </c>
      <c r="B2643" s="104" t="s">
        <v>2796</v>
      </c>
      <c r="C2643" s="104" t="s">
        <v>12</v>
      </c>
      <c r="D2643" s="129" t="s">
        <v>17122</v>
      </c>
    </row>
    <row r="2644" spans="1:4">
      <c r="A2644" s="105">
        <v>98622</v>
      </c>
      <c r="B2644" s="104" t="s">
        <v>2797</v>
      </c>
      <c r="C2644" s="104" t="s">
        <v>12</v>
      </c>
      <c r="D2644" s="129" t="s">
        <v>17123</v>
      </c>
    </row>
    <row r="2645" spans="1:4">
      <c r="A2645" s="105">
        <v>98623</v>
      </c>
      <c r="B2645" s="104" t="s">
        <v>2798</v>
      </c>
      <c r="C2645" s="104" t="s">
        <v>12</v>
      </c>
      <c r="D2645" s="129" t="s">
        <v>17124</v>
      </c>
    </row>
    <row r="2646" spans="1:4">
      <c r="A2646" s="105">
        <v>98624</v>
      </c>
      <c r="B2646" s="104" t="s">
        <v>2799</v>
      </c>
      <c r="C2646" s="104" t="s">
        <v>12</v>
      </c>
      <c r="D2646" s="129" t="s">
        <v>16852</v>
      </c>
    </row>
    <row r="2647" spans="1:4">
      <c r="A2647" s="105">
        <v>98625</v>
      </c>
      <c r="B2647" s="104" t="s">
        <v>2800</v>
      </c>
      <c r="C2647" s="104" t="s">
        <v>12</v>
      </c>
      <c r="D2647" s="129" t="s">
        <v>17125</v>
      </c>
    </row>
    <row r="2648" spans="1:4">
      <c r="A2648" s="105">
        <v>98626</v>
      </c>
      <c r="B2648" s="104" t="s">
        <v>2801</v>
      </c>
      <c r="C2648" s="104" t="s">
        <v>12</v>
      </c>
      <c r="D2648" s="129" t="s">
        <v>17126</v>
      </c>
    </row>
    <row r="2649" spans="1:4">
      <c r="A2649" s="105">
        <v>98655</v>
      </c>
      <c r="B2649" s="104" t="s">
        <v>2802</v>
      </c>
      <c r="C2649" s="104" t="s">
        <v>40</v>
      </c>
      <c r="D2649" s="129" t="s">
        <v>17127</v>
      </c>
    </row>
    <row r="2650" spans="1:4">
      <c r="A2650" s="105">
        <v>98656</v>
      </c>
      <c r="B2650" s="104" t="s">
        <v>2803</v>
      </c>
      <c r="C2650" s="104" t="s">
        <v>40</v>
      </c>
      <c r="D2650" s="129" t="s">
        <v>17128</v>
      </c>
    </row>
    <row r="2651" spans="1:4">
      <c r="A2651" s="105">
        <v>98657</v>
      </c>
      <c r="B2651" s="104" t="s">
        <v>2804</v>
      </c>
      <c r="C2651" s="104" t="s">
        <v>40</v>
      </c>
      <c r="D2651" s="129" t="s">
        <v>17129</v>
      </c>
    </row>
    <row r="2652" spans="1:4">
      <c r="A2652" s="105">
        <v>98658</v>
      </c>
      <c r="B2652" s="104" t="s">
        <v>2805</v>
      </c>
      <c r="C2652" s="104" t="s">
        <v>40</v>
      </c>
      <c r="D2652" s="129" t="s">
        <v>17130</v>
      </c>
    </row>
    <row r="2653" spans="1:4">
      <c r="A2653" s="105">
        <v>98659</v>
      </c>
      <c r="B2653" s="104" t="s">
        <v>2806</v>
      </c>
      <c r="C2653" s="104" t="s">
        <v>40</v>
      </c>
      <c r="D2653" s="129" t="s">
        <v>17131</v>
      </c>
    </row>
    <row r="2654" spans="1:4">
      <c r="A2654" s="105">
        <v>98746</v>
      </c>
      <c r="B2654" s="104" t="s">
        <v>2807</v>
      </c>
      <c r="C2654" s="104" t="s">
        <v>40</v>
      </c>
      <c r="D2654" s="129" t="s">
        <v>17132</v>
      </c>
    </row>
    <row r="2655" spans="1:4">
      <c r="A2655" s="105">
        <v>98749</v>
      </c>
      <c r="B2655" s="104" t="s">
        <v>2808</v>
      </c>
      <c r="C2655" s="104" t="s">
        <v>40</v>
      </c>
      <c r="D2655" s="129" t="s">
        <v>17133</v>
      </c>
    </row>
    <row r="2656" spans="1:4">
      <c r="A2656" s="105">
        <v>98750</v>
      </c>
      <c r="B2656" s="104" t="s">
        <v>2809</v>
      </c>
      <c r="C2656" s="104" t="s">
        <v>40</v>
      </c>
      <c r="D2656" s="129" t="s">
        <v>17134</v>
      </c>
    </row>
    <row r="2657" spans="1:4">
      <c r="A2657" s="105">
        <v>98751</v>
      </c>
      <c r="B2657" s="104" t="s">
        <v>2810</v>
      </c>
      <c r="C2657" s="104" t="s">
        <v>40</v>
      </c>
      <c r="D2657" s="129" t="s">
        <v>17135</v>
      </c>
    </row>
    <row r="2658" spans="1:4">
      <c r="A2658" s="105">
        <v>98752</v>
      </c>
      <c r="B2658" s="104" t="s">
        <v>2811</v>
      </c>
      <c r="C2658" s="104" t="s">
        <v>40</v>
      </c>
      <c r="D2658" s="129" t="s">
        <v>17136</v>
      </c>
    </row>
    <row r="2659" spans="1:4">
      <c r="A2659" s="105">
        <v>98753</v>
      </c>
      <c r="B2659" s="104" t="s">
        <v>2812</v>
      </c>
      <c r="C2659" s="104" t="s">
        <v>40</v>
      </c>
      <c r="D2659" s="129" t="s">
        <v>16070</v>
      </c>
    </row>
    <row r="2660" spans="1:4">
      <c r="A2660" s="105">
        <v>100763</v>
      </c>
      <c r="B2660" s="104" t="s">
        <v>2813</v>
      </c>
      <c r="C2660" s="104" t="s">
        <v>41</v>
      </c>
      <c r="D2660" s="129" t="s">
        <v>17137</v>
      </c>
    </row>
    <row r="2661" spans="1:4">
      <c r="A2661" s="105">
        <v>100764</v>
      </c>
      <c r="B2661" s="104" t="s">
        <v>2814</v>
      </c>
      <c r="C2661" s="104" t="s">
        <v>41</v>
      </c>
      <c r="D2661" s="129" t="s">
        <v>16920</v>
      </c>
    </row>
    <row r="2662" spans="1:4">
      <c r="A2662" s="105">
        <v>100765</v>
      </c>
      <c r="B2662" s="104" t="s">
        <v>2815</v>
      </c>
      <c r="C2662" s="104" t="s">
        <v>41</v>
      </c>
      <c r="D2662" s="129" t="s">
        <v>17138</v>
      </c>
    </row>
    <row r="2663" spans="1:4">
      <c r="A2663" s="105">
        <v>100766</v>
      </c>
      <c r="B2663" s="104" t="s">
        <v>2816</v>
      </c>
      <c r="C2663" s="104" t="s">
        <v>41</v>
      </c>
      <c r="D2663" s="129" t="s">
        <v>17139</v>
      </c>
    </row>
    <row r="2664" spans="1:4">
      <c r="A2664" s="105">
        <v>100767</v>
      </c>
      <c r="B2664" s="104" t="s">
        <v>2817</v>
      </c>
      <c r="C2664" s="104" t="s">
        <v>41</v>
      </c>
      <c r="D2664" s="129" t="s">
        <v>17140</v>
      </c>
    </row>
    <row r="2665" spans="1:4">
      <c r="A2665" s="105">
        <v>100768</v>
      </c>
      <c r="B2665" s="104" t="s">
        <v>2818</v>
      </c>
      <c r="C2665" s="104" t="s">
        <v>41</v>
      </c>
      <c r="D2665" s="129" t="s">
        <v>17141</v>
      </c>
    </row>
    <row r="2666" spans="1:4">
      <c r="A2666" s="105">
        <v>100769</v>
      </c>
      <c r="B2666" s="104" t="s">
        <v>2819</v>
      </c>
      <c r="C2666" s="104" t="s">
        <v>41</v>
      </c>
      <c r="D2666" s="129" t="s">
        <v>17142</v>
      </c>
    </row>
    <row r="2667" spans="1:4">
      <c r="A2667" s="105">
        <v>100770</v>
      </c>
      <c r="B2667" s="104" t="s">
        <v>2820</v>
      </c>
      <c r="C2667" s="104" t="s">
        <v>41</v>
      </c>
      <c r="D2667" s="129" t="s">
        <v>17143</v>
      </c>
    </row>
    <row r="2668" spans="1:4">
      <c r="A2668" s="105">
        <v>100771</v>
      </c>
      <c r="B2668" s="104" t="s">
        <v>2821</v>
      </c>
      <c r="C2668" s="104" t="s">
        <v>41</v>
      </c>
      <c r="D2668" s="129" t="s">
        <v>17144</v>
      </c>
    </row>
    <row r="2669" spans="1:4">
      <c r="A2669" s="105">
        <v>100772</v>
      </c>
      <c r="B2669" s="104" t="s">
        <v>2822</v>
      </c>
      <c r="C2669" s="104" t="s">
        <v>41</v>
      </c>
      <c r="D2669" s="129" t="s">
        <v>17145</v>
      </c>
    </row>
    <row r="2670" spans="1:4">
      <c r="A2670" s="105">
        <v>100773</v>
      </c>
      <c r="B2670" s="104" t="s">
        <v>2823</v>
      </c>
      <c r="C2670" s="104" t="s">
        <v>41</v>
      </c>
      <c r="D2670" s="129" t="s">
        <v>17146</v>
      </c>
    </row>
    <row r="2671" spans="1:4">
      <c r="A2671" s="105">
        <v>100774</v>
      </c>
      <c r="B2671" s="104" t="s">
        <v>2824</v>
      </c>
      <c r="C2671" s="104" t="s">
        <v>41</v>
      </c>
      <c r="D2671" s="129" t="s">
        <v>16933</v>
      </c>
    </row>
    <row r="2672" spans="1:4">
      <c r="A2672" s="105">
        <v>100775</v>
      </c>
      <c r="B2672" s="104" t="s">
        <v>2825</v>
      </c>
      <c r="C2672" s="104" t="s">
        <v>41</v>
      </c>
      <c r="D2672" s="129" t="s">
        <v>17147</v>
      </c>
    </row>
    <row r="2673" spans="1:4">
      <c r="A2673" s="105">
        <v>100776</v>
      </c>
      <c r="B2673" s="104" t="s">
        <v>2826</v>
      </c>
      <c r="C2673" s="104" t="s">
        <v>41</v>
      </c>
      <c r="D2673" s="129" t="s">
        <v>17148</v>
      </c>
    </row>
    <row r="2674" spans="1:4">
      <c r="A2674" s="105">
        <v>100777</v>
      </c>
      <c r="B2674" s="104" t="s">
        <v>2827</v>
      </c>
      <c r="C2674" s="104" t="s">
        <v>41</v>
      </c>
      <c r="D2674" s="129" t="s">
        <v>14743</v>
      </c>
    </row>
    <row r="2675" spans="1:4">
      <c r="A2675" s="105">
        <v>100778</v>
      </c>
      <c r="B2675" s="104" t="s">
        <v>2828</v>
      </c>
      <c r="C2675" s="104" t="s">
        <v>41</v>
      </c>
      <c r="D2675" s="129" t="s">
        <v>17149</v>
      </c>
    </row>
    <row r="2676" spans="1:4">
      <c r="A2676" s="105">
        <v>98560</v>
      </c>
      <c r="B2676" s="104" t="s">
        <v>2829</v>
      </c>
      <c r="C2676" s="104" t="s">
        <v>12</v>
      </c>
      <c r="D2676" s="129" t="s">
        <v>17150</v>
      </c>
    </row>
    <row r="2677" spans="1:4">
      <c r="A2677" s="105">
        <v>98561</v>
      </c>
      <c r="B2677" s="104" t="s">
        <v>2830</v>
      </c>
      <c r="C2677" s="104" t="s">
        <v>12</v>
      </c>
      <c r="D2677" s="129" t="s">
        <v>17151</v>
      </c>
    </row>
    <row r="2678" spans="1:4">
      <c r="A2678" s="105">
        <v>98562</v>
      </c>
      <c r="B2678" s="104" t="s">
        <v>2831</v>
      </c>
      <c r="C2678" s="104" t="s">
        <v>12</v>
      </c>
      <c r="D2678" s="129" t="s">
        <v>17152</v>
      </c>
    </row>
    <row r="2679" spans="1:4">
      <c r="A2679" s="105">
        <v>98555</v>
      </c>
      <c r="B2679" s="104" t="s">
        <v>2832</v>
      </c>
      <c r="C2679" s="104" t="s">
        <v>12</v>
      </c>
      <c r="D2679" s="129" t="s">
        <v>17153</v>
      </c>
    </row>
    <row r="2680" spans="1:4">
      <c r="A2680" s="105">
        <v>98556</v>
      </c>
      <c r="B2680" s="104" t="s">
        <v>2833</v>
      </c>
      <c r="C2680" s="104" t="s">
        <v>12</v>
      </c>
      <c r="D2680" s="129" t="s">
        <v>17154</v>
      </c>
    </row>
    <row r="2681" spans="1:4">
      <c r="A2681" s="105">
        <v>98558</v>
      </c>
      <c r="B2681" s="104" t="s">
        <v>2834</v>
      </c>
      <c r="C2681" s="104" t="s">
        <v>183</v>
      </c>
      <c r="D2681" s="129" t="s">
        <v>17155</v>
      </c>
    </row>
    <row r="2682" spans="1:4">
      <c r="A2682" s="105">
        <v>98559</v>
      </c>
      <c r="B2682" s="104" t="s">
        <v>2835</v>
      </c>
      <c r="C2682" s="104" t="s">
        <v>40</v>
      </c>
      <c r="D2682" s="129" t="s">
        <v>17156</v>
      </c>
    </row>
    <row r="2683" spans="1:4">
      <c r="A2683" s="105">
        <v>98546</v>
      </c>
      <c r="B2683" s="104" t="s">
        <v>2836</v>
      </c>
      <c r="C2683" s="104" t="s">
        <v>12</v>
      </c>
      <c r="D2683" s="129" t="s">
        <v>17157</v>
      </c>
    </row>
    <row r="2684" spans="1:4">
      <c r="A2684" s="105">
        <v>98547</v>
      </c>
      <c r="B2684" s="104" t="s">
        <v>2837</v>
      </c>
      <c r="C2684" s="104" t="s">
        <v>12</v>
      </c>
      <c r="D2684" s="129" t="s">
        <v>17158</v>
      </c>
    </row>
    <row r="2685" spans="1:4">
      <c r="A2685" s="105">
        <v>98553</v>
      </c>
      <c r="B2685" s="104" t="s">
        <v>2838</v>
      </c>
      <c r="C2685" s="104" t="s">
        <v>12</v>
      </c>
      <c r="D2685" s="129" t="s">
        <v>17159</v>
      </c>
    </row>
    <row r="2686" spans="1:4">
      <c r="A2686" s="105">
        <v>98554</v>
      </c>
      <c r="B2686" s="104" t="s">
        <v>2839</v>
      </c>
      <c r="C2686" s="104" t="s">
        <v>12</v>
      </c>
      <c r="D2686" s="129" t="s">
        <v>17160</v>
      </c>
    </row>
    <row r="2687" spans="1:4">
      <c r="A2687" s="105">
        <v>98557</v>
      </c>
      <c r="B2687" s="104" t="s">
        <v>2840</v>
      </c>
      <c r="C2687" s="104" t="s">
        <v>12</v>
      </c>
      <c r="D2687" s="129" t="s">
        <v>17161</v>
      </c>
    </row>
    <row r="2688" spans="1:4">
      <c r="A2688" s="105">
        <v>98563</v>
      </c>
      <c r="B2688" s="104" t="s">
        <v>2841</v>
      </c>
      <c r="C2688" s="104" t="s">
        <v>12</v>
      </c>
      <c r="D2688" s="129" t="s">
        <v>17162</v>
      </c>
    </row>
    <row r="2689" spans="1:4">
      <c r="A2689" s="105">
        <v>98564</v>
      </c>
      <c r="B2689" s="104" t="s">
        <v>2842</v>
      </c>
      <c r="C2689" s="104" t="s">
        <v>12</v>
      </c>
      <c r="D2689" s="129" t="s">
        <v>17163</v>
      </c>
    </row>
    <row r="2690" spans="1:4">
      <c r="A2690" s="105">
        <v>98565</v>
      </c>
      <c r="B2690" s="104" t="s">
        <v>2843</v>
      </c>
      <c r="C2690" s="104" t="s">
        <v>12</v>
      </c>
      <c r="D2690" s="129" t="s">
        <v>17164</v>
      </c>
    </row>
    <row r="2691" spans="1:4">
      <c r="A2691" s="105">
        <v>98566</v>
      </c>
      <c r="B2691" s="104" t="s">
        <v>2844</v>
      </c>
      <c r="C2691" s="104" t="s">
        <v>12</v>
      </c>
      <c r="D2691" s="129" t="s">
        <v>17165</v>
      </c>
    </row>
    <row r="2692" spans="1:4">
      <c r="A2692" s="105">
        <v>98567</v>
      </c>
      <c r="B2692" s="104" t="s">
        <v>2845</v>
      </c>
      <c r="C2692" s="104" t="s">
        <v>12</v>
      </c>
      <c r="D2692" s="129" t="s">
        <v>17166</v>
      </c>
    </row>
    <row r="2693" spans="1:4">
      <c r="A2693" s="105">
        <v>98568</v>
      </c>
      <c r="B2693" s="104" t="s">
        <v>2846</v>
      </c>
      <c r="C2693" s="104" t="s">
        <v>12</v>
      </c>
      <c r="D2693" s="129" t="s">
        <v>17167</v>
      </c>
    </row>
    <row r="2694" spans="1:4">
      <c r="A2694" s="105">
        <v>98569</v>
      </c>
      <c r="B2694" s="104" t="s">
        <v>2847</v>
      </c>
      <c r="C2694" s="104" t="s">
        <v>12</v>
      </c>
      <c r="D2694" s="129" t="s">
        <v>17168</v>
      </c>
    </row>
    <row r="2695" spans="1:4">
      <c r="A2695" s="105">
        <v>98570</v>
      </c>
      <c r="B2695" s="104" t="s">
        <v>2848</v>
      </c>
      <c r="C2695" s="104" t="s">
        <v>12</v>
      </c>
      <c r="D2695" s="129" t="s">
        <v>17169</v>
      </c>
    </row>
    <row r="2696" spans="1:4">
      <c r="A2696" s="105">
        <v>98571</v>
      </c>
      <c r="B2696" s="104" t="s">
        <v>2849</v>
      </c>
      <c r="C2696" s="104" t="s">
        <v>12</v>
      </c>
      <c r="D2696" s="129" t="s">
        <v>17170</v>
      </c>
    </row>
    <row r="2697" spans="1:4">
      <c r="A2697" s="105">
        <v>98572</v>
      </c>
      <c r="B2697" s="104" t="s">
        <v>2850</v>
      </c>
      <c r="C2697" s="104" t="s">
        <v>12</v>
      </c>
      <c r="D2697" s="129" t="s">
        <v>17171</v>
      </c>
    </row>
    <row r="2698" spans="1:4">
      <c r="A2698" s="105">
        <v>98573</v>
      </c>
      <c r="B2698" s="104" t="s">
        <v>2851</v>
      </c>
      <c r="C2698" s="104" t="s">
        <v>12</v>
      </c>
      <c r="D2698" s="129" t="s">
        <v>17172</v>
      </c>
    </row>
    <row r="2699" spans="1:4">
      <c r="A2699" s="105">
        <v>91831</v>
      </c>
      <c r="B2699" s="104" t="s">
        <v>2852</v>
      </c>
      <c r="C2699" s="104" t="s">
        <v>40</v>
      </c>
      <c r="D2699" s="129" t="s">
        <v>17173</v>
      </c>
    </row>
    <row r="2700" spans="1:4">
      <c r="A2700" s="105">
        <v>91833</v>
      </c>
      <c r="B2700" s="104" t="s">
        <v>2853</v>
      </c>
      <c r="C2700" s="104" t="s">
        <v>40</v>
      </c>
      <c r="D2700" s="129" t="s">
        <v>17174</v>
      </c>
    </row>
    <row r="2701" spans="1:4">
      <c r="A2701" s="105">
        <v>91834</v>
      </c>
      <c r="B2701" s="104" t="s">
        <v>2854</v>
      </c>
      <c r="C2701" s="104" t="s">
        <v>40</v>
      </c>
      <c r="D2701" s="129" t="s">
        <v>17175</v>
      </c>
    </row>
    <row r="2702" spans="1:4">
      <c r="A2702" s="105">
        <v>91835</v>
      </c>
      <c r="B2702" s="104" t="s">
        <v>2855</v>
      </c>
      <c r="C2702" s="104" t="s">
        <v>40</v>
      </c>
      <c r="D2702" s="129" t="s">
        <v>17176</v>
      </c>
    </row>
    <row r="2703" spans="1:4">
      <c r="A2703" s="105">
        <v>91836</v>
      </c>
      <c r="B2703" s="104" t="s">
        <v>2856</v>
      </c>
      <c r="C2703" s="104" t="s">
        <v>40</v>
      </c>
      <c r="D2703" s="129" t="s">
        <v>17177</v>
      </c>
    </row>
    <row r="2704" spans="1:4">
      <c r="A2704" s="105">
        <v>91837</v>
      </c>
      <c r="B2704" s="104" t="s">
        <v>2857</v>
      </c>
      <c r="C2704" s="104" t="s">
        <v>40</v>
      </c>
      <c r="D2704" s="129" t="s">
        <v>17178</v>
      </c>
    </row>
    <row r="2705" spans="1:4">
      <c r="A2705" s="105">
        <v>91839</v>
      </c>
      <c r="B2705" s="104" t="s">
        <v>2858</v>
      </c>
      <c r="C2705" s="104" t="s">
        <v>40</v>
      </c>
      <c r="D2705" s="129" t="s">
        <v>17179</v>
      </c>
    </row>
    <row r="2706" spans="1:4">
      <c r="A2706" s="105">
        <v>91840</v>
      </c>
      <c r="B2706" s="104" t="s">
        <v>2859</v>
      </c>
      <c r="C2706" s="104" t="s">
        <v>40</v>
      </c>
      <c r="D2706" s="129" t="s">
        <v>17180</v>
      </c>
    </row>
    <row r="2707" spans="1:4">
      <c r="A2707" s="105">
        <v>91841</v>
      </c>
      <c r="B2707" s="104" t="s">
        <v>2860</v>
      </c>
      <c r="C2707" s="104" t="s">
        <v>40</v>
      </c>
      <c r="D2707" s="129" t="s">
        <v>17181</v>
      </c>
    </row>
    <row r="2708" spans="1:4">
      <c r="A2708" s="105">
        <v>91842</v>
      </c>
      <c r="B2708" s="104" t="s">
        <v>2861</v>
      </c>
      <c r="C2708" s="104" t="s">
        <v>40</v>
      </c>
      <c r="D2708" s="129" t="s">
        <v>17182</v>
      </c>
    </row>
    <row r="2709" spans="1:4">
      <c r="A2709" s="105">
        <v>91843</v>
      </c>
      <c r="B2709" s="104" t="s">
        <v>2862</v>
      </c>
      <c r="C2709" s="104" t="s">
        <v>40</v>
      </c>
      <c r="D2709" s="129" t="s">
        <v>17183</v>
      </c>
    </row>
    <row r="2710" spans="1:4">
      <c r="A2710" s="105">
        <v>91844</v>
      </c>
      <c r="B2710" s="104" t="s">
        <v>2863</v>
      </c>
      <c r="C2710" s="104" t="s">
        <v>40</v>
      </c>
      <c r="D2710" s="129" t="s">
        <v>17184</v>
      </c>
    </row>
    <row r="2711" spans="1:4">
      <c r="A2711" s="105">
        <v>91845</v>
      </c>
      <c r="B2711" s="104" t="s">
        <v>2864</v>
      </c>
      <c r="C2711" s="104" t="s">
        <v>40</v>
      </c>
      <c r="D2711" s="129" t="s">
        <v>17185</v>
      </c>
    </row>
    <row r="2712" spans="1:4">
      <c r="A2712" s="105">
        <v>91846</v>
      </c>
      <c r="B2712" s="104" t="s">
        <v>2865</v>
      </c>
      <c r="C2712" s="104" t="s">
        <v>40</v>
      </c>
      <c r="D2712" s="129" t="s">
        <v>14931</v>
      </c>
    </row>
    <row r="2713" spans="1:4">
      <c r="A2713" s="105">
        <v>91847</v>
      </c>
      <c r="B2713" s="104" t="s">
        <v>2866</v>
      </c>
      <c r="C2713" s="104" t="s">
        <v>40</v>
      </c>
      <c r="D2713" s="129" t="s">
        <v>17186</v>
      </c>
    </row>
    <row r="2714" spans="1:4">
      <c r="A2714" s="105">
        <v>91849</v>
      </c>
      <c r="B2714" s="104" t="s">
        <v>2867</v>
      </c>
      <c r="C2714" s="104" t="s">
        <v>40</v>
      </c>
      <c r="D2714" s="129" t="s">
        <v>17187</v>
      </c>
    </row>
    <row r="2715" spans="1:4">
      <c r="A2715" s="105">
        <v>91850</v>
      </c>
      <c r="B2715" s="104" t="s">
        <v>2868</v>
      </c>
      <c r="C2715" s="104" t="s">
        <v>40</v>
      </c>
      <c r="D2715" s="129" t="s">
        <v>17188</v>
      </c>
    </row>
    <row r="2716" spans="1:4">
      <c r="A2716" s="105">
        <v>91851</v>
      </c>
      <c r="B2716" s="104" t="s">
        <v>2869</v>
      </c>
      <c r="C2716" s="104" t="s">
        <v>40</v>
      </c>
      <c r="D2716" s="129" t="s">
        <v>17189</v>
      </c>
    </row>
    <row r="2717" spans="1:4">
      <c r="A2717" s="105">
        <v>91852</v>
      </c>
      <c r="B2717" s="104" t="s">
        <v>2870</v>
      </c>
      <c r="C2717" s="104" t="s">
        <v>40</v>
      </c>
      <c r="D2717" s="129" t="s">
        <v>17190</v>
      </c>
    </row>
    <row r="2718" spans="1:4">
      <c r="A2718" s="105">
        <v>91853</v>
      </c>
      <c r="B2718" s="104" t="s">
        <v>2871</v>
      </c>
      <c r="C2718" s="104" t="s">
        <v>40</v>
      </c>
      <c r="D2718" s="129" t="s">
        <v>15810</v>
      </c>
    </row>
    <row r="2719" spans="1:4">
      <c r="A2719" s="105">
        <v>91854</v>
      </c>
      <c r="B2719" s="104" t="s">
        <v>2872</v>
      </c>
      <c r="C2719" s="104" t="s">
        <v>40</v>
      </c>
      <c r="D2719" s="129" t="s">
        <v>17191</v>
      </c>
    </row>
    <row r="2720" spans="1:4">
      <c r="A2720" s="105">
        <v>91855</v>
      </c>
      <c r="B2720" s="104" t="s">
        <v>2873</v>
      </c>
      <c r="C2720" s="104" t="s">
        <v>40</v>
      </c>
      <c r="D2720" s="129" t="s">
        <v>17192</v>
      </c>
    </row>
    <row r="2721" spans="1:4">
      <c r="A2721" s="105">
        <v>91856</v>
      </c>
      <c r="B2721" s="104" t="s">
        <v>2874</v>
      </c>
      <c r="C2721" s="104" t="s">
        <v>40</v>
      </c>
      <c r="D2721" s="129" t="s">
        <v>17193</v>
      </c>
    </row>
    <row r="2722" spans="1:4">
      <c r="A2722" s="105">
        <v>91857</v>
      </c>
      <c r="B2722" s="104" t="s">
        <v>2875</v>
      </c>
      <c r="C2722" s="104" t="s">
        <v>40</v>
      </c>
      <c r="D2722" s="129" t="s">
        <v>17194</v>
      </c>
    </row>
    <row r="2723" spans="1:4">
      <c r="A2723" s="105">
        <v>91859</v>
      </c>
      <c r="B2723" s="104" t="s">
        <v>2876</v>
      </c>
      <c r="C2723" s="104" t="s">
        <v>40</v>
      </c>
      <c r="D2723" s="129" t="s">
        <v>17195</v>
      </c>
    </row>
    <row r="2724" spans="1:4">
      <c r="A2724" s="105">
        <v>91860</v>
      </c>
      <c r="B2724" s="104" t="s">
        <v>2877</v>
      </c>
      <c r="C2724" s="104" t="s">
        <v>40</v>
      </c>
      <c r="D2724" s="129" t="s">
        <v>17196</v>
      </c>
    </row>
    <row r="2725" spans="1:4">
      <c r="A2725" s="105">
        <v>91861</v>
      </c>
      <c r="B2725" s="104" t="s">
        <v>2878</v>
      </c>
      <c r="C2725" s="104" t="s">
        <v>40</v>
      </c>
      <c r="D2725" s="129" t="s">
        <v>17197</v>
      </c>
    </row>
    <row r="2726" spans="1:4">
      <c r="A2726" s="105">
        <v>91862</v>
      </c>
      <c r="B2726" s="104" t="s">
        <v>2879</v>
      </c>
      <c r="C2726" s="104" t="s">
        <v>40</v>
      </c>
      <c r="D2726" s="129" t="s">
        <v>17198</v>
      </c>
    </row>
    <row r="2727" spans="1:4">
      <c r="A2727" s="105">
        <v>91863</v>
      </c>
      <c r="B2727" s="104" t="s">
        <v>2880</v>
      </c>
      <c r="C2727" s="104" t="s">
        <v>40</v>
      </c>
      <c r="D2727" s="129" t="s">
        <v>17199</v>
      </c>
    </row>
    <row r="2728" spans="1:4">
      <c r="A2728" s="105">
        <v>91864</v>
      </c>
      <c r="B2728" s="104" t="s">
        <v>2881</v>
      </c>
      <c r="C2728" s="104" t="s">
        <v>40</v>
      </c>
      <c r="D2728" s="129" t="s">
        <v>17200</v>
      </c>
    </row>
    <row r="2729" spans="1:4">
      <c r="A2729" s="105">
        <v>91865</v>
      </c>
      <c r="B2729" s="104" t="s">
        <v>2882</v>
      </c>
      <c r="C2729" s="104" t="s">
        <v>40</v>
      </c>
      <c r="D2729" s="129" t="s">
        <v>17201</v>
      </c>
    </row>
    <row r="2730" spans="1:4">
      <c r="A2730" s="105">
        <v>91866</v>
      </c>
      <c r="B2730" s="104" t="s">
        <v>2883</v>
      </c>
      <c r="C2730" s="104" t="s">
        <v>40</v>
      </c>
      <c r="D2730" s="129" t="s">
        <v>15332</v>
      </c>
    </row>
    <row r="2731" spans="1:4">
      <c r="A2731" s="105">
        <v>91867</v>
      </c>
      <c r="B2731" s="104" t="s">
        <v>2884</v>
      </c>
      <c r="C2731" s="104" t="s">
        <v>40</v>
      </c>
      <c r="D2731" s="129" t="s">
        <v>17175</v>
      </c>
    </row>
    <row r="2732" spans="1:4">
      <c r="A2732" s="105">
        <v>91868</v>
      </c>
      <c r="B2732" s="104" t="s">
        <v>2885</v>
      </c>
      <c r="C2732" s="104" t="s">
        <v>40</v>
      </c>
      <c r="D2732" s="129" t="s">
        <v>17202</v>
      </c>
    </row>
    <row r="2733" spans="1:4">
      <c r="A2733" s="105">
        <v>91869</v>
      </c>
      <c r="B2733" s="104" t="s">
        <v>2886</v>
      </c>
      <c r="C2733" s="104" t="s">
        <v>40</v>
      </c>
      <c r="D2733" s="129" t="s">
        <v>17203</v>
      </c>
    </row>
    <row r="2734" spans="1:4">
      <c r="A2734" s="105">
        <v>91870</v>
      </c>
      <c r="B2734" s="104" t="s">
        <v>2887</v>
      </c>
      <c r="C2734" s="104" t="s">
        <v>40</v>
      </c>
      <c r="D2734" s="129" t="s">
        <v>17204</v>
      </c>
    </row>
    <row r="2735" spans="1:4">
      <c r="A2735" s="105">
        <v>91871</v>
      </c>
      <c r="B2735" s="104" t="s">
        <v>2888</v>
      </c>
      <c r="C2735" s="104" t="s">
        <v>40</v>
      </c>
      <c r="D2735" s="129" t="s">
        <v>17205</v>
      </c>
    </row>
    <row r="2736" spans="1:4">
      <c r="A2736" s="105">
        <v>91872</v>
      </c>
      <c r="B2736" s="104" t="s">
        <v>322</v>
      </c>
      <c r="C2736" s="104" t="s">
        <v>40</v>
      </c>
      <c r="D2736" s="129" t="s">
        <v>15908</v>
      </c>
    </row>
    <row r="2737" spans="1:4">
      <c r="A2737" s="105">
        <v>91873</v>
      </c>
      <c r="B2737" s="104" t="s">
        <v>2889</v>
      </c>
      <c r="C2737" s="104" t="s">
        <v>40</v>
      </c>
      <c r="D2737" s="129" t="s">
        <v>14763</v>
      </c>
    </row>
    <row r="2738" spans="1:4">
      <c r="A2738" s="105">
        <v>93008</v>
      </c>
      <c r="B2738" s="104" t="s">
        <v>13700</v>
      </c>
      <c r="C2738" s="104" t="s">
        <v>40</v>
      </c>
      <c r="D2738" s="129" t="s">
        <v>17206</v>
      </c>
    </row>
    <row r="2739" spans="1:4">
      <c r="A2739" s="105">
        <v>93009</v>
      </c>
      <c r="B2739" s="104" t="s">
        <v>13701</v>
      </c>
      <c r="C2739" s="104" t="s">
        <v>40</v>
      </c>
      <c r="D2739" s="129" t="s">
        <v>17207</v>
      </c>
    </row>
    <row r="2740" spans="1:4">
      <c r="A2740" s="105">
        <v>93010</v>
      </c>
      <c r="B2740" s="104" t="s">
        <v>13702</v>
      </c>
      <c r="C2740" s="104" t="s">
        <v>40</v>
      </c>
      <c r="D2740" s="129" t="s">
        <v>17208</v>
      </c>
    </row>
    <row r="2741" spans="1:4">
      <c r="A2741" s="105">
        <v>93011</v>
      </c>
      <c r="B2741" s="104" t="s">
        <v>13703</v>
      </c>
      <c r="C2741" s="104" t="s">
        <v>40</v>
      </c>
      <c r="D2741" s="129" t="s">
        <v>17209</v>
      </c>
    </row>
    <row r="2742" spans="1:4">
      <c r="A2742" s="105">
        <v>93012</v>
      </c>
      <c r="B2742" s="104" t="s">
        <v>13704</v>
      </c>
      <c r="C2742" s="104" t="s">
        <v>40</v>
      </c>
      <c r="D2742" s="129" t="s">
        <v>17210</v>
      </c>
    </row>
    <row r="2743" spans="1:4">
      <c r="A2743" s="105">
        <v>95726</v>
      </c>
      <c r="B2743" s="104" t="s">
        <v>2890</v>
      </c>
      <c r="C2743" s="104" t="s">
        <v>40</v>
      </c>
      <c r="D2743" s="129" t="s">
        <v>17211</v>
      </c>
    </row>
    <row r="2744" spans="1:4">
      <c r="A2744" s="105">
        <v>95727</v>
      </c>
      <c r="B2744" s="104" t="s">
        <v>2891</v>
      </c>
      <c r="C2744" s="104" t="s">
        <v>40</v>
      </c>
      <c r="D2744" s="129" t="s">
        <v>17212</v>
      </c>
    </row>
    <row r="2745" spans="1:4">
      <c r="A2745" s="105">
        <v>95728</v>
      </c>
      <c r="B2745" s="104" t="s">
        <v>2892</v>
      </c>
      <c r="C2745" s="104" t="s">
        <v>40</v>
      </c>
      <c r="D2745" s="129" t="s">
        <v>17213</v>
      </c>
    </row>
    <row r="2746" spans="1:4">
      <c r="A2746" s="105">
        <v>95729</v>
      </c>
      <c r="B2746" s="104" t="s">
        <v>2893</v>
      </c>
      <c r="C2746" s="104" t="s">
        <v>40</v>
      </c>
      <c r="D2746" s="129" t="s">
        <v>15515</v>
      </c>
    </row>
    <row r="2747" spans="1:4">
      <c r="A2747" s="105">
        <v>95730</v>
      </c>
      <c r="B2747" s="104" t="s">
        <v>2894</v>
      </c>
      <c r="C2747" s="104" t="s">
        <v>40</v>
      </c>
      <c r="D2747" s="129" t="s">
        <v>17214</v>
      </c>
    </row>
    <row r="2748" spans="1:4">
      <c r="A2748" s="105">
        <v>95731</v>
      </c>
      <c r="B2748" s="104" t="s">
        <v>2895</v>
      </c>
      <c r="C2748" s="104" t="s">
        <v>40</v>
      </c>
      <c r="D2748" s="129" t="s">
        <v>17215</v>
      </c>
    </row>
    <row r="2749" spans="1:4">
      <c r="A2749" s="105">
        <v>95732</v>
      </c>
      <c r="B2749" s="104" t="s">
        <v>2896</v>
      </c>
      <c r="C2749" s="104" t="s">
        <v>183</v>
      </c>
      <c r="D2749" s="129" t="s">
        <v>15702</v>
      </c>
    </row>
    <row r="2750" spans="1:4">
      <c r="A2750" s="105">
        <v>95745</v>
      </c>
      <c r="B2750" s="104" t="s">
        <v>2897</v>
      </c>
      <c r="C2750" s="104" t="s">
        <v>40</v>
      </c>
      <c r="D2750" s="129" t="s">
        <v>17216</v>
      </c>
    </row>
    <row r="2751" spans="1:4">
      <c r="A2751" s="105">
        <v>95746</v>
      </c>
      <c r="B2751" s="104" t="s">
        <v>2898</v>
      </c>
      <c r="C2751" s="104" t="s">
        <v>40</v>
      </c>
      <c r="D2751" s="129" t="s">
        <v>17217</v>
      </c>
    </row>
    <row r="2752" spans="1:4">
      <c r="A2752" s="105">
        <v>95747</v>
      </c>
      <c r="B2752" s="104" t="s">
        <v>2899</v>
      </c>
      <c r="C2752" s="104" t="s">
        <v>40</v>
      </c>
      <c r="D2752" s="129" t="s">
        <v>17218</v>
      </c>
    </row>
    <row r="2753" spans="1:4">
      <c r="A2753" s="105">
        <v>95748</v>
      </c>
      <c r="B2753" s="104" t="s">
        <v>2900</v>
      </c>
      <c r="C2753" s="104" t="s">
        <v>40</v>
      </c>
      <c r="D2753" s="129" t="s">
        <v>17219</v>
      </c>
    </row>
    <row r="2754" spans="1:4">
      <c r="A2754" s="105">
        <v>95749</v>
      </c>
      <c r="B2754" s="104" t="s">
        <v>2901</v>
      </c>
      <c r="C2754" s="104" t="s">
        <v>40</v>
      </c>
      <c r="D2754" s="129" t="s">
        <v>17220</v>
      </c>
    </row>
    <row r="2755" spans="1:4">
      <c r="A2755" s="105">
        <v>95750</v>
      </c>
      <c r="B2755" s="104" t="s">
        <v>2902</v>
      </c>
      <c r="C2755" s="104" t="s">
        <v>40</v>
      </c>
      <c r="D2755" s="129" t="s">
        <v>17221</v>
      </c>
    </row>
    <row r="2756" spans="1:4">
      <c r="A2756" s="105">
        <v>95751</v>
      </c>
      <c r="B2756" s="104" t="s">
        <v>2903</v>
      </c>
      <c r="C2756" s="104" t="s">
        <v>40</v>
      </c>
      <c r="D2756" s="129" t="s">
        <v>17222</v>
      </c>
    </row>
    <row r="2757" spans="1:4">
      <c r="A2757" s="105">
        <v>95752</v>
      </c>
      <c r="B2757" s="104" t="s">
        <v>2904</v>
      </c>
      <c r="C2757" s="104" t="s">
        <v>40</v>
      </c>
      <c r="D2757" s="129" t="s">
        <v>17223</v>
      </c>
    </row>
    <row r="2758" spans="1:4">
      <c r="A2758" s="105">
        <v>97667</v>
      </c>
      <c r="B2758" s="104" t="s">
        <v>13705</v>
      </c>
      <c r="C2758" s="104" t="s">
        <v>40</v>
      </c>
      <c r="D2758" s="129" t="s">
        <v>17224</v>
      </c>
    </row>
    <row r="2759" spans="1:4">
      <c r="A2759" s="105">
        <v>97668</v>
      </c>
      <c r="B2759" s="104" t="s">
        <v>13706</v>
      </c>
      <c r="C2759" s="104" t="s">
        <v>40</v>
      </c>
      <c r="D2759" s="129" t="s">
        <v>15488</v>
      </c>
    </row>
    <row r="2760" spans="1:4">
      <c r="A2760" s="105">
        <v>97669</v>
      </c>
      <c r="B2760" s="104" t="s">
        <v>13707</v>
      </c>
      <c r="C2760" s="104" t="s">
        <v>40</v>
      </c>
      <c r="D2760" s="129" t="s">
        <v>17225</v>
      </c>
    </row>
    <row r="2761" spans="1:4">
      <c r="A2761" s="105">
        <v>97670</v>
      </c>
      <c r="B2761" s="104" t="s">
        <v>13708</v>
      </c>
      <c r="C2761" s="104" t="s">
        <v>40</v>
      </c>
      <c r="D2761" s="129" t="s">
        <v>17226</v>
      </c>
    </row>
    <row r="2762" spans="1:4">
      <c r="A2762" s="105">
        <v>91874</v>
      </c>
      <c r="B2762" s="104" t="s">
        <v>2905</v>
      </c>
      <c r="C2762" s="104" t="s">
        <v>183</v>
      </c>
      <c r="D2762" s="129" t="s">
        <v>17227</v>
      </c>
    </row>
    <row r="2763" spans="1:4">
      <c r="A2763" s="105">
        <v>91875</v>
      </c>
      <c r="B2763" s="104" t="s">
        <v>2906</v>
      </c>
      <c r="C2763" s="104" t="s">
        <v>183</v>
      </c>
      <c r="D2763" s="129" t="s">
        <v>17228</v>
      </c>
    </row>
    <row r="2764" spans="1:4">
      <c r="A2764" s="105">
        <v>91876</v>
      </c>
      <c r="B2764" s="104" t="s">
        <v>2907</v>
      </c>
      <c r="C2764" s="104" t="s">
        <v>183</v>
      </c>
      <c r="D2764" s="129" t="s">
        <v>17190</v>
      </c>
    </row>
    <row r="2765" spans="1:4">
      <c r="A2765" s="105">
        <v>91877</v>
      </c>
      <c r="B2765" s="104" t="s">
        <v>2908</v>
      </c>
      <c r="C2765" s="104" t="s">
        <v>183</v>
      </c>
      <c r="D2765" s="129" t="s">
        <v>17229</v>
      </c>
    </row>
    <row r="2766" spans="1:4">
      <c r="A2766" s="105">
        <v>91878</v>
      </c>
      <c r="B2766" s="104" t="s">
        <v>2909</v>
      </c>
      <c r="C2766" s="104" t="s">
        <v>183</v>
      </c>
      <c r="D2766" s="129" t="s">
        <v>17230</v>
      </c>
    </row>
    <row r="2767" spans="1:4">
      <c r="A2767" s="105">
        <v>91879</v>
      </c>
      <c r="B2767" s="104" t="s">
        <v>2910</v>
      </c>
      <c r="C2767" s="104" t="s">
        <v>183</v>
      </c>
      <c r="D2767" s="129" t="s">
        <v>15313</v>
      </c>
    </row>
    <row r="2768" spans="1:4">
      <c r="A2768" s="105">
        <v>91880</v>
      </c>
      <c r="B2768" s="104" t="s">
        <v>2911</v>
      </c>
      <c r="C2768" s="104" t="s">
        <v>183</v>
      </c>
      <c r="D2768" s="129" t="s">
        <v>17231</v>
      </c>
    </row>
    <row r="2769" spans="1:4">
      <c r="A2769" s="105">
        <v>91881</v>
      </c>
      <c r="B2769" s="104" t="s">
        <v>2912</v>
      </c>
      <c r="C2769" s="104" t="s">
        <v>183</v>
      </c>
      <c r="D2769" s="129" t="s">
        <v>17196</v>
      </c>
    </row>
    <row r="2770" spans="1:4">
      <c r="A2770" s="105">
        <v>91882</v>
      </c>
      <c r="B2770" s="104" t="s">
        <v>2913</v>
      </c>
      <c r="C2770" s="104" t="s">
        <v>183</v>
      </c>
      <c r="D2770" s="129" t="s">
        <v>17232</v>
      </c>
    </row>
    <row r="2771" spans="1:4">
      <c r="A2771" s="105">
        <v>91884</v>
      </c>
      <c r="B2771" s="104" t="s">
        <v>2914</v>
      </c>
      <c r="C2771" s="104" t="s">
        <v>183</v>
      </c>
      <c r="D2771" s="129" t="s">
        <v>17233</v>
      </c>
    </row>
    <row r="2772" spans="1:4">
      <c r="A2772" s="105">
        <v>91885</v>
      </c>
      <c r="B2772" s="104" t="s">
        <v>2915</v>
      </c>
      <c r="C2772" s="104" t="s">
        <v>183</v>
      </c>
      <c r="D2772" s="129" t="s">
        <v>17234</v>
      </c>
    </row>
    <row r="2773" spans="1:4">
      <c r="A2773" s="105">
        <v>91886</v>
      </c>
      <c r="B2773" s="104" t="s">
        <v>2916</v>
      </c>
      <c r="C2773" s="104" t="s">
        <v>183</v>
      </c>
      <c r="D2773" s="129" t="s">
        <v>17235</v>
      </c>
    </row>
    <row r="2774" spans="1:4">
      <c r="A2774" s="105">
        <v>91887</v>
      </c>
      <c r="B2774" s="104" t="s">
        <v>2917</v>
      </c>
      <c r="C2774" s="104" t="s">
        <v>183</v>
      </c>
      <c r="D2774" s="129" t="s">
        <v>17236</v>
      </c>
    </row>
    <row r="2775" spans="1:4">
      <c r="A2775" s="105">
        <v>91889</v>
      </c>
      <c r="B2775" s="104" t="s">
        <v>2918</v>
      </c>
      <c r="C2775" s="104" t="s">
        <v>183</v>
      </c>
      <c r="D2775" s="129" t="s">
        <v>15309</v>
      </c>
    </row>
    <row r="2776" spans="1:4">
      <c r="A2776" s="105">
        <v>91890</v>
      </c>
      <c r="B2776" s="104" t="s">
        <v>2919</v>
      </c>
      <c r="C2776" s="104" t="s">
        <v>183</v>
      </c>
      <c r="D2776" s="129" t="s">
        <v>17192</v>
      </c>
    </row>
    <row r="2777" spans="1:4">
      <c r="A2777" s="105">
        <v>91892</v>
      </c>
      <c r="B2777" s="104" t="s">
        <v>2920</v>
      </c>
      <c r="C2777" s="104" t="s">
        <v>183</v>
      </c>
      <c r="D2777" s="129" t="s">
        <v>14945</v>
      </c>
    </row>
    <row r="2778" spans="1:4">
      <c r="A2778" s="105">
        <v>91893</v>
      </c>
      <c r="B2778" s="104" t="s">
        <v>2921</v>
      </c>
      <c r="C2778" s="104" t="s">
        <v>183</v>
      </c>
      <c r="D2778" s="129" t="s">
        <v>17237</v>
      </c>
    </row>
    <row r="2779" spans="1:4">
      <c r="A2779" s="105">
        <v>91895</v>
      </c>
      <c r="B2779" s="104" t="s">
        <v>2922</v>
      </c>
      <c r="C2779" s="104" t="s">
        <v>183</v>
      </c>
      <c r="D2779" s="129" t="s">
        <v>16922</v>
      </c>
    </row>
    <row r="2780" spans="1:4">
      <c r="A2780" s="105">
        <v>91896</v>
      </c>
      <c r="B2780" s="104" t="s">
        <v>2923</v>
      </c>
      <c r="C2780" s="104" t="s">
        <v>183</v>
      </c>
      <c r="D2780" s="129" t="s">
        <v>16942</v>
      </c>
    </row>
    <row r="2781" spans="1:4">
      <c r="A2781" s="105">
        <v>91898</v>
      </c>
      <c r="B2781" s="104" t="s">
        <v>2924</v>
      </c>
      <c r="C2781" s="104" t="s">
        <v>183</v>
      </c>
      <c r="D2781" s="129" t="s">
        <v>16947</v>
      </c>
    </row>
    <row r="2782" spans="1:4">
      <c r="A2782" s="105">
        <v>91899</v>
      </c>
      <c r="B2782" s="104" t="s">
        <v>2925</v>
      </c>
      <c r="C2782" s="104" t="s">
        <v>183</v>
      </c>
      <c r="D2782" s="129" t="s">
        <v>17238</v>
      </c>
    </row>
    <row r="2783" spans="1:4">
      <c r="A2783" s="105">
        <v>91901</v>
      </c>
      <c r="B2783" s="104" t="s">
        <v>2926</v>
      </c>
      <c r="C2783" s="104" t="s">
        <v>183</v>
      </c>
      <c r="D2783" s="129" t="s">
        <v>17239</v>
      </c>
    </row>
    <row r="2784" spans="1:4">
      <c r="A2784" s="105">
        <v>91902</v>
      </c>
      <c r="B2784" s="104" t="s">
        <v>2927</v>
      </c>
      <c r="C2784" s="104" t="s">
        <v>183</v>
      </c>
      <c r="D2784" s="129" t="s">
        <v>17240</v>
      </c>
    </row>
    <row r="2785" spans="1:4">
      <c r="A2785" s="105">
        <v>91904</v>
      </c>
      <c r="B2785" s="104" t="s">
        <v>2928</v>
      </c>
      <c r="C2785" s="104" t="s">
        <v>183</v>
      </c>
      <c r="D2785" s="129" t="s">
        <v>17241</v>
      </c>
    </row>
    <row r="2786" spans="1:4">
      <c r="A2786" s="105">
        <v>91905</v>
      </c>
      <c r="B2786" s="104" t="s">
        <v>2929</v>
      </c>
      <c r="C2786" s="104" t="s">
        <v>183</v>
      </c>
      <c r="D2786" s="129" t="s">
        <v>17242</v>
      </c>
    </row>
    <row r="2787" spans="1:4">
      <c r="A2787" s="105">
        <v>91907</v>
      </c>
      <c r="B2787" s="104" t="s">
        <v>2930</v>
      </c>
      <c r="C2787" s="104" t="s">
        <v>183</v>
      </c>
      <c r="D2787" s="129" t="s">
        <v>17243</v>
      </c>
    </row>
    <row r="2788" spans="1:4">
      <c r="A2788" s="105">
        <v>91908</v>
      </c>
      <c r="B2788" s="104" t="s">
        <v>2931</v>
      </c>
      <c r="C2788" s="104" t="s">
        <v>183</v>
      </c>
      <c r="D2788" s="129" t="s">
        <v>17145</v>
      </c>
    </row>
    <row r="2789" spans="1:4">
      <c r="A2789" s="105">
        <v>91910</v>
      </c>
      <c r="B2789" s="104" t="s">
        <v>2932</v>
      </c>
      <c r="C2789" s="104" t="s">
        <v>183</v>
      </c>
      <c r="D2789" s="129" t="s">
        <v>17244</v>
      </c>
    </row>
    <row r="2790" spans="1:4">
      <c r="A2790" s="105">
        <v>91911</v>
      </c>
      <c r="B2790" s="104" t="s">
        <v>2933</v>
      </c>
      <c r="C2790" s="104" t="s">
        <v>183</v>
      </c>
      <c r="D2790" s="129" t="s">
        <v>17245</v>
      </c>
    </row>
    <row r="2791" spans="1:4">
      <c r="A2791" s="105">
        <v>91913</v>
      </c>
      <c r="B2791" s="104" t="s">
        <v>2934</v>
      </c>
      <c r="C2791" s="104" t="s">
        <v>183</v>
      </c>
      <c r="D2791" s="129" t="s">
        <v>17246</v>
      </c>
    </row>
    <row r="2792" spans="1:4">
      <c r="A2792" s="105">
        <v>91914</v>
      </c>
      <c r="B2792" s="104" t="s">
        <v>2935</v>
      </c>
      <c r="C2792" s="104" t="s">
        <v>183</v>
      </c>
      <c r="D2792" s="129" t="s">
        <v>15717</v>
      </c>
    </row>
    <row r="2793" spans="1:4">
      <c r="A2793" s="105">
        <v>91916</v>
      </c>
      <c r="B2793" s="104" t="s">
        <v>2936</v>
      </c>
      <c r="C2793" s="104" t="s">
        <v>183</v>
      </c>
      <c r="D2793" s="129" t="s">
        <v>17247</v>
      </c>
    </row>
    <row r="2794" spans="1:4">
      <c r="A2794" s="105">
        <v>91917</v>
      </c>
      <c r="B2794" s="104" t="s">
        <v>2937</v>
      </c>
      <c r="C2794" s="104" t="s">
        <v>183</v>
      </c>
      <c r="D2794" s="129" t="s">
        <v>16907</v>
      </c>
    </row>
    <row r="2795" spans="1:4">
      <c r="A2795" s="105">
        <v>91919</v>
      </c>
      <c r="B2795" s="104" t="s">
        <v>2938</v>
      </c>
      <c r="C2795" s="104" t="s">
        <v>183</v>
      </c>
      <c r="D2795" s="129" t="s">
        <v>16320</v>
      </c>
    </row>
    <row r="2796" spans="1:4">
      <c r="A2796" s="105">
        <v>91920</v>
      </c>
      <c r="B2796" s="104" t="s">
        <v>2939</v>
      </c>
      <c r="C2796" s="104" t="s">
        <v>183</v>
      </c>
      <c r="D2796" s="129" t="s">
        <v>17201</v>
      </c>
    </row>
    <row r="2797" spans="1:4">
      <c r="A2797" s="105">
        <v>91922</v>
      </c>
      <c r="B2797" s="104" t="s">
        <v>2940</v>
      </c>
      <c r="C2797" s="104" t="s">
        <v>183</v>
      </c>
      <c r="D2797" s="129" t="s">
        <v>17248</v>
      </c>
    </row>
    <row r="2798" spans="1:4">
      <c r="A2798" s="105">
        <v>93013</v>
      </c>
      <c r="B2798" s="104" t="s">
        <v>13709</v>
      </c>
      <c r="C2798" s="104" t="s">
        <v>183</v>
      </c>
      <c r="D2798" s="129" t="s">
        <v>17249</v>
      </c>
    </row>
    <row r="2799" spans="1:4">
      <c r="A2799" s="105">
        <v>93014</v>
      </c>
      <c r="B2799" s="104" t="s">
        <v>13710</v>
      </c>
      <c r="C2799" s="104" t="s">
        <v>183</v>
      </c>
      <c r="D2799" s="129" t="s">
        <v>17250</v>
      </c>
    </row>
    <row r="2800" spans="1:4">
      <c r="A2800" s="105">
        <v>93015</v>
      </c>
      <c r="B2800" s="104" t="s">
        <v>13711</v>
      </c>
      <c r="C2800" s="104" t="s">
        <v>183</v>
      </c>
      <c r="D2800" s="129" t="s">
        <v>17251</v>
      </c>
    </row>
    <row r="2801" spans="1:4">
      <c r="A2801" s="105">
        <v>93016</v>
      </c>
      <c r="B2801" s="104" t="s">
        <v>13712</v>
      </c>
      <c r="C2801" s="104" t="s">
        <v>183</v>
      </c>
      <c r="D2801" s="129" t="s">
        <v>17252</v>
      </c>
    </row>
    <row r="2802" spans="1:4">
      <c r="A2802" s="105">
        <v>93017</v>
      </c>
      <c r="B2802" s="104" t="s">
        <v>13713</v>
      </c>
      <c r="C2802" s="104" t="s">
        <v>183</v>
      </c>
      <c r="D2802" s="129" t="s">
        <v>15703</v>
      </c>
    </row>
    <row r="2803" spans="1:4">
      <c r="A2803" s="105">
        <v>93018</v>
      </c>
      <c r="B2803" s="104" t="s">
        <v>13714</v>
      </c>
      <c r="C2803" s="104" t="s">
        <v>183</v>
      </c>
      <c r="D2803" s="129" t="s">
        <v>17253</v>
      </c>
    </row>
    <row r="2804" spans="1:4">
      <c r="A2804" s="105">
        <v>93020</v>
      </c>
      <c r="B2804" s="104" t="s">
        <v>13715</v>
      </c>
      <c r="C2804" s="104" t="s">
        <v>183</v>
      </c>
      <c r="D2804" s="129" t="s">
        <v>17254</v>
      </c>
    </row>
    <row r="2805" spans="1:4">
      <c r="A2805" s="105">
        <v>93022</v>
      </c>
      <c r="B2805" s="104" t="s">
        <v>13716</v>
      </c>
      <c r="C2805" s="104" t="s">
        <v>183</v>
      </c>
      <c r="D2805" s="129" t="s">
        <v>17255</v>
      </c>
    </row>
    <row r="2806" spans="1:4">
      <c r="A2806" s="105">
        <v>93024</v>
      </c>
      <c r="B2806" s="104" t="s">
        <v>13717</v>
      </c>
      <c r="C2806" s="104" t="s">
        <v>183</v>
      </c>
      <c r="D2806" s="129" t="s">
        <v>17256</v>
      </c>
    </row>
    <row r="2807" spans="1:4">
      <c r="A2807" s="105">
        <v>93026</v>
      </c>
      <c r="B2807" s="104" t="s">
        <v>13718</v>
      </c>
      <c r="C2807" s="104" t="s">
        <v>183</v>
      </c>
      <c r="D2807" s="129" t="s">
        <v>17257</v>
      </c>
    </row>
    <row r="2808" spans="1:4">
      <c r="A2808" s="105">
        <v>95733</v>
      </c>
      <c r="B2808" s="104" t="s">
        <v>2941</v>
      </c>
      <c r="C2808" s="104" t="s">
        <v>183</v>
      </c>
      <c r="D2808" s="129" t="s">
        <v>17258</v>
      </c>
    </row>
    <row r="2809" spans="1:4">
      <c r="A2809" s="105">
        <v>95734</v>
      </c>
      <c r="B2809" s="104" t="s">
        <v>2942</v>
      </c>
      <c r="C2809" s="104" t="s">
        <v>183</v>
      </c>
      <c r="D2809" s="129" t="s">
        <v>17259</v>
      </c>
    </row>
    <row r="2810" spans="1:4">
      <c r="A2810" s="105">
        <v>95735</v>
      </c>
      <c r="B2810" s="104" t="s">
        <v>2943</v>
      </c>
      <c r="C2810" s="104" t="s">
        <v>183</v>
      </c>
      <c r="D2810" s="129" t="s">
        <v>17260</v>
      </c>
    </row>
    <row r="2811" spans="1:4">
      <c r="A2811" s="105">
        <v>95736</v>
      </c>
      <c r="B2811" s="104" t="s">
        <v>2944</v>
      </c>
      <c r="C2811" s="104" t="s">
        <v>183</v>
      </c>
      <c r="D2811" s="129" t="s">
        <v>17261</v>
      </c>
    </row>
    <row r="2812" spans="1:4">
      <c r="A2812" s="105">
        <v>95738</v>
      </c>
      <c r="B2812" s="104" t="s">
        <v>2945</v>
      </c>
      <c r="C2812" s="104" t="s">
        <v>183</v>
      </c>
      <c r="D2812" s="129" t="s">
        <v>17262</v>
      </c>
    </row>
    <row r="2813" spans="1:4">
      <c r="A2813" s="105">
        <v>95753</v>
      </c>
      <c r="B2813" s="104" t="s">
        <v>2946</v>
      </c>
      <c r="C2813" s="104" t="s">
        <v>183</v>
      </c>
      <c r="D2813" s="129" t="s">
        <v>17263</v>
      </c>
    </row>
    <row r="2814" spans="1:4">
      <c r="A2814" s="105">
        <v>95754</v>
      </c>
      <c r="B2814" s="104" t="s">
        <v>2947</v>
      </c>
      <c r="C2814" s="104" t="s">
        <v>183</v>
      </c>
      <c r="D2814" s="129" t="s">
        <v>17264</v>
      </c>
    </row>
    <row r="2815" spans="1:4">
      <c r="A2815" s="105">
        <v>95755</v>
      </c>
      <c r="B2815" s="104" t="s">
        <v>2948</v>
      </c>
      <c r="C2815" s="104" t="s">
        <v>183</v>
      </c>
      <c r="D2815" s="129" t="s">
        <v>17265</v>
      </c>
    </row>
    <row r="2816" spans="1:4">
      <c r="A2816" s="105">
        <v>95756</v>
      </c>
      <c r="B2816" s="104" t="s">
        <v>2949</v>
      </c>
      <c r="C2816" s="104" t="s">
        <v>183</v>
      </c>
      <c r="D2816" s="129" t="s">
        <v>16969</v>
      </c>
    </row>
    <row r="2817" spans="1:4">
      <c r="A2817" s="105">
        <v>95757</v>
      </c>
      <c r="B2817" s="104" t="s">
        <v>2950</v>
      </c>
      <c r="C2817" s="104" t="s">
        <v>183</v>
      </c>
      <c r="D2817" s="129" t="s">
        <v>17266</v>
      </c>
    </row>
    <row r="2818" spans="1:4">
      <c r="A2818" s="105">
        <v>95758</v>
      </c>
      <c r="B2818" s="104" t="s">
        <v>2951</v>
      </c>
      <c r="C2818" s="104" t="s">
        <v>183</v>
      </c>
      <c r="D2818" s="129" t="s">
        <v>16934</v>
      </c>
    </row>
    <row r="2819" spans="1:4">
      <c r="A2819" s="105">
        <v>95759</v>
      </c>
      <c r="B2819" s="104" t="s">
        <v>2952</v>
      </c>
      <c r="C2819" s="104" t="s">
        <v>183</v>
      </c>
      <c r="D2819" s="129" t="s">
        <v>17267</v>
      </c>
    </row>
    <row r="2820" spans="1:4">
      <c r="A2820" s="105">
        <v>95760</v>
      </c>
      <c r="B2820" s="104" t="s">
        <v>2953</v>
      </c>
      <c r="C2820" s="104" t="s">
        <v>183</v>
      </c>
      <c r="D2820" s="129" t="s">
        <v>17268</v>
      </c>
    </row>
    <row r="2821" spans="1:4">
      <c r="A2821" s="105">
        <v>97559</v>
      </c>
      <c r="B2821" s="104" t="s">
        <v>2954</v>
      </c>
      <c r="C2821" s="104" t="s">
        <v>183</v>
      </c>
      <c r="D2821" s="129" t="s">
        <v>17269</v>
      </c>
    </row>
    <row r="2822" spans="1:4">
      <c r="A2822" s="105">
        <v>97562</v>
      </c>
      <c r="B2822" s="104" t="s">
        <v>2955</v>
      </c>
      <c r="C2822" s="104" t="s">
        <v>183</v>
      </c>
      <c r="D2822" s="129" t="s">
        <v>17181</v>
      </c>
    </row>
    <row r="2823" spans="1:4">
      <c r="A2823" s="105">
        <v>97564</v>
      </c>
      <c r="B2823" s="104" t="s">
        <v>2956</v>
      </c>
      <c r="C2823" s="104" t="s">
        <v>183</v>
      </c>
      <c r="D2823" s="129" t="s">
        <v>17270</v>
      </c>
    </row>
    <row r="2824" spans="1:4">
      <c r="A2824" s="105">
        <v>91924</v>
      </c>
      <c r="B2824" s="104" t="s">
        <v>2957</v>
      </c>
      <c r="C2824" s="104" t="s">
        <v>40</v>
      </c>
      <c r="D2824" s="129" t="s">
        <v>17271</v>
      </c>
    </row>
    <row r="2825" spans="1:4">
      <c r="A2825" s="105">
        <v>91925</v>
      </c>
      <c r="B2825" s="104" t="s">
        <v>2958</v>
      </c>
      <c r="C2825" s="104" t="s">
        <v>40</v>
      </c>
      <c r="D2825" s="129" t="s">
        <v>17272</v>
      </c>
    </row>
    <row r="2826" spans="1:4">
      <c r="A2826" s="105">
        <v>91926</v>
      </c>
      <c r="B2826" s="104" t="s">
        <v>2959</v>
      </c>
      <c r="C2826" s="104" t="s">
        <v>40</v>
      </c>
      <c r="D2826" s="129" t="s">
        <v>15348</v>
      </c>
    </row>
    <row r="2827" spans="1:4">
      <c r="A2827" s="105">
        <v>91927</v>
      </c>
      <c r="B2827" s="104" t="s">
        <v>2960</v>
      </c>
      <c r="C2827" s="104" t="s">
        <v>40</v>
      </c>
      <c r="D2827" s="129" t="s">
        <v>15629</v>
      </c>
    </row>
    <row r="2828" spans="1:4">
      <c r="A2828" s="105">
        <v>91928</v>
      </c>
      <c r="B2828" s="104" t="s">
        <v>2961</v>
      </c>
      <c r="C2828" s="104" t="s">
        <v>40</v>
      </c>
      <c r="D2828" s="129" t="s">
        <v>17273</v>
      </c>
    </row>
    <row r="2829" spans="1:4">
      <c r="A2829" s="105">
        <v>91929</v>
      </c>
      <c r="B2829" s="104" t="s">
        <v>2962</v>
      </c>
      <c r="C2829" s="104" t="s">
        <v>40</v>
      </c>
      <c r="D2829" s="129" t="s">
        <v>17274</v>
      </c>
    </row>
    <row r="2830" spans="1:4">
      <c r="A2830" s="105">
        <v>91930</v>
      </c>
      <c r="B2830" s="104" t="s">
        <v>2963</v>
      </c>
      <c r="C2830" s="104" t="s">
        <v>40</v>
      </c>
      <c r="D2830" s="129" t="s">
        <v>17275</v>
      </c>
    </row>
    <row r="2831" spans="1:4">
      <c r="A2831" s="105">
        <v>91931</v>
      </c>
      <c r="B2831" s="104" t="s">
        <v>2964</v>
      </c>
      <c r="C2831" s="104" t="s">
        <v>40</v>
      </c>
      <c r="D2831" s="129" t="s">
        <v>17276</v>
      </c>
    </row>
    <row r="2832" spans="1:4">
      <c r="A2832" s="105">
        <v>91932</v>
      </c>
      <c r="B2832" s="104" t="s">
        <v>2965</v>
      </c>
      <c r="C2832" s="104" t="s">
        <v>40</v>
      </c>
      <c r="D2832" s="129" t="s">
        <v>17277</v>
      </c>
    </row>
    <row r="2833" spans="1:4">
      <c r="A2833" s="105">
        <v>91933</v>
      </c>
      <c r="B2833" s="104" t="s">
        <v>2966</v>
      </c>
      <c r="C2833" s="104" t="s">
        <v>40</v>
      </c>
      <c r="D2833" s="129" t="s">
        <v>17278</v>
      </c>
    </row>
    <row r="2834" spans="1:4">
      <c r="A2834" s="105">
        <v>91934</v>
      </c>
      <c r="B2834" s="104" t="s">
        <v>2967</v>
      </c>
      <c r="C2834" s="104" t="s">
        <v>40</v>
      </c>
      <c r="D2834" s="129" t="s">
        <v>17279</v>
      </c>
    </row>
    <row r="2835" spans="1:4">
      <c r="A2835" s="105">
        <v>91935</v>
      </c>
      <c r="B2835" s="104" t="s">
        <v>2968</v>
      </c>
      <c r="C2835" s="104" t="s">
        <v>40</v>
      </c>
      <c r="D2835" s="129" t="s">
        <v>17280</v>
      </c>
    </row>
    <row r="2836" spans="1:4">
      <c r="A2836" s="105">
        <v>92979</v>
      </c>
      <c r="B2836" s="104" t="s">
        <v>2969</v>
      </c>
      <c r="C2836" s="104" t="s">
        <v>40</v>
      </c>
      <c r="D2836" s="129" t="s">
        <v>17281</v>
      </c>
    </row>
    <row r="2837" spans="1:4">
      <c r="A2837" s="105">
        <v>92980</v>
      </c>
      <c r="B2837" s="104" t="s">
        <v>2970</v>
      </c>
      <c r="C2837" s="104" t="s">
        <v>40</v>
      </c>
      <c r="D2837" s="129" t="s">
        <v>17282</v>
      </c>
    </row>
    <row r="2838" spans="1:4">
      <c r="A2838" s="105">
        <v>92981</v>
      </c>
      <c r="B2838" s="104" t="s">
        <v>2971</v>
      </c>
      <c r="C2838" s="104" t="s">
        <v>40</v>
      </c>
      <c r="D2838" s="129" t="s">
        <v>17283</v>
      </c>
    </row>
    <row r="2839" spans="1:4">
      <c r="A2839" s="105">
        <v>92982</v>
      </c>
      <c r="B2839" s="104" t="s">
        <v>2972</v>
      </c>
      <c r="C2839" s="104" t="s">
        <v>40</v>
      </c>
      <c r="D2839" s="129" t="s">
        <v>16618</v>
      </c>
    </row>
    <row r="2840" spans="1:4">
      <c r="A2840" s="105">
        <v>92984</v>
      </c>
      <c r="B2840" s="104" t="s">
        <v>13719</v>
      </c>
      <c r="C2840" s="104" t="s">
        <v>40</v>
      </c>
      <c r="D2840" s="129" t="s">
        <v>17284</v>
      </c>
    </row>
    <row r="2841" spans="1:4">
      <c r="A2841" s="105">
        <v>92986</v>
      </c>
      <c r="B2841" s="104" t="s">
        <v>13720</v>
      </c>
      <c r="C2841" s="104" t="s">
        <v>40</v>
      </c>
      <c r="D2841" s="129" t="s">
        <v>15405</v>
      </c>
    </row>
    <row r="2842" spans="1:4">
      <c r="A2842" s="105">
        <v>92988</v>
      </c>
      <c r="B2842" s="104" t="s">
        <v>13721</v>
      </c>
      <c r="C2842" s="104" t="s">
        <v>40</v>
      </c>
      <c r="D2842" s="129" t="s">
        <v>17285</v>
      </c>
    </row>
    <row r="2843" spans="1:4">
      <c r="A2843" s="105">
        <v>92990</v>
      </c>
      <c r="B2843" s="104" t="s">
        <v>13722</v>
      </c>
      <c r="C2843" s="104" t="s">
        <v>40</v>
      </c>
      <c r="D2843" s="129" t="s">
        <v>17286</v>
      </c>
    </row>
    <row r="2844" spans="1:4">
      <c r="A2844" s="105">
        <v>92992</v>
      </c>
      <c r="B2844" s="104" t="s">
        <v>13723</v>
      </c>
      <c r="C2844" s="104" t="s">
        <v>40</v>
      </c>
      <c r="D2844" s="129" t="s">
        <v>17287</v>
      </c>
    </row>
    <row r="2845" spans="1:4">
      <c r="A2845" s="105">
        <v>92994</v>
      </c>
      <c r="B2845" s="104" t="s">
        <v>13724</v>
      </c>
      <c r="C2845" s="104" t="s">
        <v>40</v>
      </c>
      <c r="D2845" s="129" t="s">
        <v>17288</v>
      </c>
    </row>
    <row r="2846" spans="1:4">
      <c r="A2846" s="105">
        <v>92996</v>
      </c>
      <c r="B2846" s="104" t="s">
        <v>13725</v>
      </c>
      <c r="C2846" s="104" t="s">
        <v>40</v>
      </c>
      <c r="D2846" s="129" t="s">
        <v>17289</v>
      </c>
    </row>
    <row r="2847" spans="1:4">
      <c r="A2847" s="105">
        <v>92998</v>
      </c>
      <c r="B2847" s="104" t="s">
        <v>13726</v>
      </c>
      <c r="C2847" s="104" t="s">
        <v>40</v>
      </c>
      <c r="D2847" s="129" t="s">
        <v>17290</v>
      </c>
    </row>
    <row r="2848" spans="1:4">
      <c r="A2848" s="105">
        <v>93000</v>
      </c>
      <c r="B2848" s="104" t="s">
        <v>13727</v>
      </c>
      <c r="C2848" s="104" t="s">
        <v>40</v>
      </c>
      <c r="D2848" s="129" t="s">
        <v>17291</v>
      </c>
    </row>
    <row r="2849" spans="1:4">
      <c r="A2849" s="105">
        <v>93002</v>
      </c>
      <c r="B2849" s="104" t="s">
        <v>13728</v>
      </c>
      <c r="C2849" s="104" t="s">
        <v>40</v>
      </c>
      <c r="D2849" s="129" t="s">
        <v>17292</v>
      </c>
    </row>
    <row r="2850" spans="1:4">
      <c r="A2850" s="105">
        <v>101884</v>
      </c>
      <c r="B2850" s="104" t="s">
        <v>2973</v>
      </c>
      <c r="C2850" s="104" t="s">
        <v>40</v>
      </c>
      <c r="D2850" s="129" t="s">
        <v>17293</v>
      </c>
    </row>
    <row r="2851" spans="1:4">
      <c r="A2851" s="105">
        <v>101885</v>
      </c>
      <c r="B2851" s="104" t="s">
        <v>2974</v>
      </c>
      <c r="C2851" s="104" t="s">
        <v>40</v>
      </c>
      <c r="D2851" s="129" t="s">
        <v>17294</v>
      </c>
    </row>
    <row r="2852" spans="1:4">
      <c r="A2852" s="105">
        <v>101886</v>
      </c>
      <c r="B2852" s="104" t="s">
        <v>2975</v>
      </c>
      <c r="C2852" s="104" t="s">
        <v>40</v>
      </c>
      <c r="D2852" s="129" t="s">
        <v>17295</v>
      </c>
    </row>
    <row r="2853" spans="1:4">
      <c r="A2853" s="105">
        <v>101887</v>
      </c>
      <c r="B2853" s="104" t="s">
        <v>2976</v>
      </c>
      <c r="C2853" s="104" t="s">
        <v>40</v>
      </c>
      <c r="D2853" s="129" t="s">
        <v>15850</v>
      </c>
    </row>
    <row r="2854" spans="1:4">
      <c r="A2854" s="105">
        <v>101888</v>
      </c>
      <c r="B2854" s="104" t="s">
        <v>2977</v>
      </c>
      <c r="C2854" s="104" t="s">
        <v>40</v>
      </c>
      <c r="D2854" s="129" t="s">
        <v>17296</v>
      </c>
    </row>
    <row r="2855" spans="1:4">
      <c r="A2855" s="105">
        <v>101889</v>
      </c>
      <c r="B2855" s="104" t="s">
        <v>2978</v>
      </c>
      <c r="C2855" s="104" t="s">
        <v>40</v>
      </c>
      <c r="D2855" s="129" t="s">
        <v>17297</v>
      </c>
    </row>
    <row r="2856" spans="1:4">
      <c r="A2856" s="105">
        <v>91936</v>
      </c>
      <c r="B2856" s="104" t="s">
        <v>2979</v>
      </c>
      <c r="C2856" s="104" t="s">
        <v>183</v>
      </c>
      <c r="D2856" s="129" t="s">
        <v>16903</v>
      </c>
    </row>
    <row r="2857" spans="1:4">
      <c r="A2857" s="105">
        <v>91937</v>
      </c>
      <c r="B2857" s="104" t="s">
        <v>2980</v>
      </c>
      <c r="C2857" s="104" t="s">
        <v>183</v>
      </c>
      <c r="D2857" s="129" t="s">
        <v>17298</v>
      </c>
    </row>
    <row r="2858" spans="1:4">
      <c r="A2858" s="105">
        <v>91939</v>
      </c>
      <c r="B2858" s="104" t="s">
        <v>2981</v>
      </c>
      <c r="C2858" s="104" t="s">
        <v>183</v>
      </c>
      <c r="D2858" s="129" t="s">
        <v>17299</v>
      </c>
    </row>
    <row r="2859" spans="1:4">
      <c r="A2859" s="105">
        <v>91940</v>
      </c>
      <c r="B2859" s="104" t="s">
        <v>2982</v>
      </c>
      <c r="C2859" s="104" t="s">
        <v>183</v>
      </c>
      <c r="D2859" s="129" t="s">
        <v>17300</v>
      </c>
    </row>
    <row r="2860" spans="1:4">
      <c r="A2860" s="105">
        <v>91941</v>
      </c>
      <c r="B2860" s="104" t="s">
        <v>2983</v>
      </c>
      <c r="C2860" s="104" t="s">
        <v>183</v>
      </c>
      <c r="D2860" s="129" t="s">
        <v>17301</v>
      </c>
    </row>
    <row r="2861" spans="1:4">
      <c r="A2861" s="105">
        <v>91942</v>
      </c>
      <c r="B2861" s="104" t="s">
        <v>2984</v>
      </c>
      <c r="C2861" s="104" t="s">
        <v>183</v>
      </c>
      <c r="D2861" s="129" t="s">
        <v>17302</v>
      </c>
    </row>
    <row r="2862" spans="1:4">
      <c r="A2862" s="105">
        <v>91943</v>
      </c>
      <c r="B2862" s="104" t="s">
        <v>2985</v>
      </c>
      <c r="C2862" s="104" t="s">
        <v>183</v>
      </c>
      <c r="D2862" s="129" t="s">
        <v>16634</v>
      </c>
    </row>
    <row r="2863" spans="1:4">
      <c r="A2863" s="105">
        <v>91944</v>
      </c>
      <c r="B2863" s="104" t="s">
        <v>2986</v>
      </c>
      <c r="C2863" s="104" t="s">
        <v>183</v>
      </c>
      <c r="D2863" s="129" t="s">
        <v>15008</v>
      </c>
    </row>
    <row r="2864" spans="1:4">
      <c r="A2864" s="105">
        <v>92865</v>
      </c>
      <c r="B2864" s="104" t="s">
        <v>2987</v>
      </c>
      <c r="C2864" s="104" t="s">
        <v>183</v>
      </c>
      <c r="D2864" s="129" t="s">
        <v>17303</v>
      </c>
    </row>
    <row r="2865" spans="1:4">
      <c r="A2865" s="105">
        <v>92866</v>
      </c>
      <c r="B2865" s="104" t="s">
        <v>2988</v>
      </c>
      <c r="C2865" s="104" t="s">
        <v>183</v>
      </c>
      <c r="D2865" s="129" t="s">
        <v>17236</v>
      </c>
    </row>
    <row r="2866" spans="1:4">
      <c r="A2866" s="105">
        <v>92867</v>
      </c>
      <c r="B2866" s="104" t="s">
        <v>2989</v>
      </c>
      <c r="C2866" s="104" t="s">
        <v>183</v>
      </c>
      <c r="D2866" s="129" t="s">
        <v>17304</v>
      </c>
    </row>
    <row r="2867" spans="1:4">
      <c r="A2867" s="105">
        <v>92868</v>
      </c>
      <c r="B2867" s="104" t="s">
        <v>2990</v>
      </c>
      <c r="C2867" s="104" t="s">
        <v>183</v>
      </c>
      <c r="D2867" s="129" t="s">
        <v>17237</v>
      </c>
    </row>
    <row r="2868" spans="1:4">
      <c r="A2868" s="105">
        <v>92869</v>
      </c>
      <c r="B2868" s="104" t="s">
        <v>2991</v>
      </c>
      <c r="C2868" s="104" t="s">
        <v>183</v>
      </c>
      <c r="D2868" s="129" t="s">
        <v>17231</v>
      </c>
    </row>
    <row r="2869" spans="1:4">
      <c r="A2869" s="105">
        <v>92870</v>
      </c>
      <c r="B2869" s="104" t="s">
        <v>2992</v>
      </c>
      <c r="C2869" s="104" t="s">
        <v>183</v>
      </c>
      <c r="D2869" s="129" t="s">
        <v>17305</v>
      </c>
    </row>
    <row r="2870" spans="1:4">
      <c r="A2870" s="105">
        <v>92871</v>
      </c>
      <c r="B2870" s="104" t="s">
        <v>2993</v>
      </c>
      <c r="C2870" s="104" t="s">
        <v>183</v>
      </c>
      <c r="D2870" s="129" t="s">
        <v>17140</v>
      </c>
    </row>
    <row r="2871" spans="1:4">
      <c r="A2871" s="105">
        <v>92872</v>
      </c>
      <c r="B2871" s="104" t="s">
        <v>2994</v>
      </c>
      <c r="C2871" s="104" t="s">
        <v>183</v>
      </c>
      <c r="D2871" s="129" t="s">
        <v>17306</v>
      </c>
    </row>
    <row r="2872" spans="1:4">
      <c r="A2872" s="105">
        <v>95777</v>
      </c>
      <c r="B2872" s="104" t="s">
        <v>2995</v>
      </c>
      <c r="C2872" s="104" t="s">
        <v>183</v>
      </c>
      <c r="D2872" s="129" t="s">
        <v>17254</v>
      </c>
    </row>
    <row r="2873" spans="1:4">
      <c r="A2873" s="105">
        <v>95778</v>
      </c>
      <c r="B2873" s="104" t="s">
        <v>2996</v>
      </c>
      <c r="C2873" s="104" t="s">
        <v>183</v>
      </c>
      <c r="D2873" s="129" t="s">
        <v>17307</v>
      </c>
    </row>
    <row r="2874" spans="1:4">
      <c r="A2874" s="105">
        <v>95779</v>
      </c>
      <c r="B2874" s="104" t="s">
        <v>2997</v>
      </c>
      <c r="C2874" s="104" t="s">
        <v>183</v>
      </c>
      <c r="D2874" s="129" t="s">
        <v>17308</v>
      </c>
    </row>
    <row r="2875" spans="1:4">
      <c r="A2875" s="105">
        <v>95780</v>
      </c>
      <c r="B2875" s="104" t="s">
        <v>2998</v>
      </c>
      <c r="C2875" s="104" t="s">
        <v>183</v>
      </c>
      <c r="D2875" s="129" t="s">
        <v>17309</v>
      </c>
    </row>
    <row r="2876" spans="1:4">
      <c r="A2876" s="105">
        <v>95781</v>
      </c>
      <c r="B2876" s="104" t="s">
        <v>2999</v>
      </c>
      <c r="C2876" s="104" t="s">
        <v>183</v>
      </c>
      <c r="D2876" s="129" t="s">
        <v>17310</v>
      </c>
    </row>
    <row r="2877" spans="1:4">
      <c r="A2877" s="105">
        <v>95782</v>
      </c>
      <c r="B2877" s="104" t="s">
        <v>3000</v>
      </c>
      <c r="C2877" s="104" t="s">
        <v>183</v>
      </c>
      <c r="D2877" s="129" t="s">
        <v>17311</v>
      </c>
    </row>
    <row r="2878" spans="1:4">
      <c r="A2878" s="105">
        <v>95785</v>
      </c>
      <c r="B2878" s="104" t="s">
        <v>3001</v>
      </c>
      <c r="C2878" s="104" t="s">
        <v>183</v>
      </c>
      <c r="D2878" s="129" t="s">
        <v>17312</v>
      </c>
    </row>
    <row r="2879" spans="1:4">
      <c r="A2879" s="105">
        <v>95787</v>
      </c>
      <c r="B2879" s="104" t="s">
        <v>3002</v>
      </c>
      <c r="C2879" s="104" t="s">
        <v>183</v>
      </c>
      <c r="D2879" s="129" t="s">
        <v>17313</v>
      </c>
    </row>
    <row r="2880" spans="1:4">
      <c r="A2880" s="105">
        <v>95789</v>
      </c>
      <c r="B2880" s="104" t="s">
        <v>3003</v>
      </c>
      <c r="C2880" s="104" t="s">
        <v>183</v>
      </c>
      <c r="D2880" s="129" t="s">
        <v>17314</v>
      </c>
    </row>
    <row r="2881" spans="1:4">
      <c r="A2881" s="105">
        <v>95791</v>
      </c>
      <c r="B2881" s="104" t="s">
        <v>3004</v>
      </c>
      <c r="C2881" s="104" t="s">
        <v>183</v>
      </c>
      <c r="D2881" s="129" t="s">
        <v>17315</v>
      </c>
    </row>
    <row r="2882" spans="1:4">
      <c r="A2882" s="105">
        <v>95795</v>
      </c>
      <c r="B2882" s="104" t="s">
        <v>3005</v>
      </c>
      <c r="C2882" s="104" t="s">
        <v>183</v>
      </c>
      <c r="D2882" s="129" t="s">
        <v>17316</v>
      </c>
    </row>
    <row r="2883" spans="1:4">
      <c r="A2883" s="105">
        <v>95796</v>
      </c>
      <c r="B2883" s="104" t="s">
        <v>3006</v>
      </c>
      <c r="C2883" s="104" t="s">
        <v>183</v>
      </c>
      <c r="D2883" s="129" t="s">
        <v>15353</v>
      </c>
    </row>
    <row r="2884" spans="1:4">
      <c r="A2884" s="105">
        <v>95797</v>
      </c>
      <c r="B2884" s="104" t="s">
        <v>3007</v>
      </c>
      <c r="C2884" s="104" t="s">
        <v>183</v>
      </c>
      <c r="D2884" s="129" t="s">
        <v>17317</v>
      </c>
    </row>
    <row r="2885" spans="1:4">
      <c r="A2885" s="105">
        <v>95801</v>
      </c>
      <c r="B2885" s="104" t="s">
        <v>3008</v>
      </c>
      <c r="C2885" s="104" t="s">
        <v>183</v>
      </c>
      <c r="D2885" s="129" t="s">
        <v>17318</v>
      </c>
    </row>
    <row r="2886" spans="1:4">
      <c r="A2886" s="105">
        <v>95802</v>
      </c>
      <c r="B2886" s="104" t="s">
        <v>3009</v>
      </c>
      <c r="C2886" s="104" t="s">
        <v>183</v>
      </c>
      <c r="D2886" s="129" t="s">
        <v>17319</v>
      </c>
    </row>
    <row r="2887" spans="1:4">
      <c r="A2887" s="105">
        <v>95803</v>
      </c>
      <c r="B2887" s="104" t="s">
        <v>3010</v>
      </c>
      <c r="C2887" s="104" t="s">
        <v>183</v>
      </c>
      <c r="D2887" s="129" t="s">
        <v>17320</v>
      </c>
    </row>
    <row r="2888" spans="1:4">
      <c r="A2888" s="105">
        <v>95804</v>
      </c>
      <c r="B2888" s="104" t="s">
        <v>3011</v>
      </c>
      <c r="C2888" s="104" t="s">
        <v>183</v>
      </c>
      <c r="D2888" s="129" t="s">
        <v>17321</v>
      </c>
    </row>
    <row r="2889" spans="1:4">
      <c r="A2889" s="105">
        <v>95805</v>
      </c>
      <c r="B2889" s="104" t="s">
        <v>3012</v>
      </c>
      <c r="C2889" s="104" t="s">
        <v>183</v>
      </c>
      <c r="D2889" s="129" t="s">
        <v>17322</v>
      </c>
    </row>
    <row r="2890" spans="1:4">
      <c r="A2890" s="105">
        <v>95806</v>
      </c>
      <c r="B2890" s="104" t="s">
        <v>3013</v>
      </c>
      <c r="C2890" s="104" t="s">
        <v>183</v>
      </c>
      <c r="D2890" s="129" t="s">
        <v>17323</v>
      </c>
    </row>
    <row r="2891" spans="1:4">
      <c r="A2891" s="105">
        <v>95807</v>
      </c>
      <c r="B2891" s="104" t="s">
        <v>3014</v>
      </c>
      <c r="C2891" s="104" t="s">
        <v>183</v>
      </c>
      <c r="D2891" s="129" t="s">
        <v>17324</v>
      </c>
    </row>
    <row r="2892" spans="1:4">
      <c r="A2892" s="105">
        <v>95808</v>
      </c>
      <c r="B2892" s="104" t="s">
        <v>3015</v>
      </c>
      <c r="C2892" s="104" t="s">
        <v>183</v>
      </c>
      <c r="D2892" s="129" t="s">
        <v>17325</v>
      </c>
    </row>
    <row r="2893" spans="1:4">
      <c r="A2893" s="105">
        <v>95809</v>
      </c>
      <c r="B2893" s="104" t="s">
        <v>3016</v>
      </c>
      <c r="C2893" s="104" t="s">
        <v>183</v>
      </c>
      <c r="D2893" s="129" t="s">
        <v>17326</v>
      </c>
    </row>
    <row r="2894" spans="1:4">
      <c r="A2894" s="105">
        <v>95810</v>
      </c>
      <c r="B2894" s="104" t="s">
        <v>3017</v>
      </c>
      <c r="C2894" s="104" t="s">
        <v>183</v>
      </c>
      <c r="D2894" s="129" t="s">
        <v>17327</v>
      </c>
    </row>
    <row r="2895" spans="1:4">
      <c r="A2895" s="105">
        <v>95811</v>
      </c>
      <c r="B2895" s="104" t="s">
        <v>3018</v>
      </c>
      <c r="C2895" s="104" t="s">
        <v>183</v>
      </c>
      <c r="D2895" s="129" t="s">
        <v>17328</v>
      </c>
    </row>
    <row r="2896" spans="1:4">
      <c r="A2896" s="105">
        <v>95812</v>
      </c>
      <c r="B2896" s="104" t="s">
        <v>3019</v>
      </c>
      <c r="C2896" s="104" t="s">
        <v>183</v>
      </c>
      <c r="D2896" s="129" t="s">
        <v>17329</v>
      </c>
    </row>
    <row r="2897" spans="1:4">
      <c r="A2897" s="105">
        <v>95813</v>
      </c>
      <c r="B2897" s="104" t="s">
        <v>3020</v>
      </c>
      <c r="C2897" s="104" t="s">
        <v>183</v>
      </c>
      <c r="D2897" s="129" t="s">
        <v>15320</v>
      </c>
    </row>
    <row r="2898" spans="1:4">
      <c r="A2898" s="105">
        <v>95814</v>
      </c>
      <c r="B2898" s="104" t="s">
        <v>3021</v>
      </c>
      <c r="C2898" s="104" t="s">
        <v>183</v>
      </c>
      <c r="D2898" s="129" t="s">
        <v>17330</v>
      </c>
    </row>
    <row r="2899" spans="1:4">
      <c r="A2899" s="105">
        <v>95815</v>
      </c>
      <c r="B2899" s="104" t="s">
        <v>3022</v>
      </c>
      <c r="C2899" s="104" t="s">
        <v>183</v>
      </c>
      <c r="D2899" s="129" t="s">
        <v>17331</v>
      </c>
    </row>
    <row r="2900" spans="1:4">
      <c r="A2900" s="105">
        <v>95816</v>
      </c>
      <c r="B2900" s="104" t="s">
        <v>3023</v>
      </c>
      <c r="C2900" s="104" t="s">
        <v>183</v>
      </c>
      <c r="D2900" s="129" t="s">
        <v>17332</v>
      </c>
    </row>
    <row r="2901" spans="1:4">
      <c r="A2901" s="105">
        <v>95817</v>
      </c>
      <c r="B2901" s="104" t="s">
        <v>3024</v>
      </c>
      <c r="C2901" s="104" t="s">
        <v>183</v>
      </c>
      <c r="D2901" s="129" t="s">
        <v>17333</v>
      </c>
    </row>
    <row r="2902" spans="1:4">
      <c r="A2902" s="105">
        <v>95818</v>
      </c>
      <c r="B2902" s="104" t="s">
        <v>3025</v>
      </c>
      <c r="C2902" s="104" t="s">
        <v>183</v>
      </c>
      <c r="D2902" s="129" t="s">
        <v>17334</v>
      </c>
    </row>
    <row r="2903" spans="1:4">
      <c r="A2903" s="105">
        <v>97881</v>
      </c>
      <c r="B2903" s="104" t="s">
        <v>3026</v>
      </c>
      <c r="C2903" s="104" t="s">
        <v>183</v>
      </c>
      <c r="D2903" s="129" t="s">
        <v>17335</v>
      </c>
    </row>
    <row r="2904" spans="1:4">
      <c r="A2904" s="105">
        <v>97882</v>
      </c>
      <c r="B2904" s="104" t="s">
        <v>3027</v>
      </c>
      <c r="C2904" s="104" t="s">
        <v>183</v>
      </c>
      <c r="D2904" s="129" t="s">
        <v>16039</v>
      </c>
    </row>
    <row r="2905" spans="1:4">
      <c r="A2905" s="105">
        <v>97883</v>
      </c>
      <c r="B2905" s="104" t="s">
        <v>3028</v>
      </c>
      <c r="C2905" s="104" t="s">
        <v>183</v>
      </c>
      <c r="D2905" s="129" t="s">
        <v>17336</v>
      </c>
    </row>
    <row r="2906" spans="1:4">
      <c r="A2906" s="105">
        <v>97884</v>
      </c>
      <c r="B2906" s="104" t="s">
        <v>3029</v>
      </c>
      <c r="C2906" s="104" t="s">
        <v>183</v>
      </c>
      <c r="D2906" s="129" t="s">
        <v>17337</v>
      </c>
    </row>
    <row r="2907" spans="1:4">
      <c r="A2907" s="105">
        <v>97885</v>
      </c>
      <c r="B2907" s="104" t="s">
        <v>3030</v>
      </c>
      <c r="C2907" s="104" t="s">
        <v>183</v>
      </c>
      <c r="D2907" s="129" t="s">
        <v>17338</v>
      </c>
    </row>
    <row r="2908" spans="1:4">
      <c r="A2908" s="105">
        <v>97886</v>
      </c>
      <c r="B2908" s="104" t="s">
        <v>3031</v>
      </c>
      <c r="C2908" s="104" t="s">
        <v>183</v>
      </c>
      <c r="D2908" s="129" t="s">
        <v>17339</v>
      </c>
    </row>
    <row r="2909" spans="1:4">
      <c r="A2909" s="105">
        <v>97887</v>
      </c>
      <c r="B2909" s="104" t="s">
        <v>3032</v>
      </c>
      <c r="C2909" s="104" t="s">
        <v>183</v>
      </c>
      <c r="D2909" s="129" t="s">
        <v>17340</v>
      </c>
    </row>
    <row r="2910" spans="1:4">
      <c r="A2910" s="105">
        <v>97888</v>
      </c>
      <c r="B2910" s="104" t="s">
        <v>3033</v>
      </c>
      <c r="C2910" s="104" t="s">
        <v>183</v>
      </c>
      <c r="D2910" s="129" t="s">
        <v>17341</v>
      </c>
    </row>
    <row r="2911" spans="1:4">
      <c r="A2911" s="105">
        <v>97889</v>
      </c>
      <c r="B2911" s="104" t="s">
        <v>3034</v>
      </c>
      <c r="C2911" s="104" t="s">
        <v>183</v>
      </c>
      <c r="D2911" s="129" t="s">
        <v>17342</v>
      </c>
    </row>
    <row r="2912" spans="1:4">
      <c r="A2912" s="105">
        <v>97890</v>
      </c>
      <c r="B2912" s="104" t="s">
        <v>3035</v>
      </c>
      <c r="C2912" s="104" t="s">
        <v>183</v>
      </c>
      <c r="D2912" s="129" t="s">
        <v>17343</v>
      </c>
    </row>
    <row r="2913" spans="1:4">
      <c r="A2913" s="105">
        <v>97891</v>
      </c>
      <c r="B2913" s="104" t="s">
        <v>3036</v>
      </c>
      <c r="C2913" s="104" t="s">
        <v>183</v>
      </c>
      <c r="D2913" s="129" t="s">
        <v>17344</v>
      </c>
    </row>
    <row r="2914" spans="1:4">
      <c r="A2914" s="105">
        <v>97892</v>
      </c>
      <c r="B2914" s="104" t="s">
        <v>3037</v>
      </c>
      <c r="C2914" s="104" t="s">
        <v>183</v>
      </c>
      <c r="D2914" s="129" t="s">
        <v>17345</v>
      </c>
    </row>
    <row r="2915" spans="1:4">
      <c r="A2915" s="105">
        <v>97893</v>
      </c>
      <c r="B2915" s="104" t="s">
        <v>3038</v>
      </c>
      <c r="C2915" s="104" t="s">
        <v>183</v>
      </c>
      <c r="D2915" s="129" t="s">
        <v>17346</v>
      </c>
    </row>
    <row r="2916" spans="1:4">
      <c r="A2916" s="105">
        <v>97894</v>
      </c>
      <c r="B2916" s="104" t="s">
        <v>3039</v>
      </c>
      <c r="C2916" s="104" t="s">
        <v>183</v>
      </c>
      <c r="D2916" s="129" t="s">
        <v>17347</v>
      </c>
    </row>
    <row r="2917" spans="1:4">
      <c r="A2917" s="105">
        <v>93653</v>
      </c>
      <c r="B2917" s="104" t="s">
        <v>3040</v>
      </c>
      <c r="C2917" s="104" t="s">
        <v>183</v>
      </c>
      <c r="D2917" s="129" t="s">
        <v>16923</v>
      </c>
    </row>
    <row r="2918" spans="1:4">
      <c r="A2918" s="105">
        <v>93654</v>
      </c>
      <c r="B2918" s="104" t="s">
        <v>3041</v>
      </c>
      <c r="C2918" s="104" t="s">
        <v>183</v>
      </c>
      <c r="D2918" s="129" t="s">
        <v>17241</v>
      </c>
    </row>
    <row r="2919" spans="1:4">
      <c r="A2919" s="105">
        <v>93655</v>
      </c>
      <c r="B2919" s="104" t="s">
        <v>3042</v>
      </c>
      <c r="C2919" s="104" t="s">
        <v>183</v>
      </c>
      <c r="D2919" s="129" t="s">
        <v>17348</v>
      </c>
    </row>
    <row r="2920" spans="1:4">
      <c r="A2920" s="105">
        <v>93656</v>
      </c>
      <c r="B2920" s="104" t="s">
        <v>3043</v>
      </c>
      <c r="C2920" s="104" t="s">
        <v>183</v>
      </c>
      <c r="D2920" s="129" t="s">
        <v>17348</v>
      </c>
    </row>
    <row r="2921" spans="1:4">
      <c r="A2921" s="105">
        <v>93657</v>
      </c>
      <c r="B2921" s="104" t="s">
        <v>3044</v>
      </c>
      <c r="C2921" s="104" t="s">
        <v>183</v>
      </c>
      <c r="D2921" s="129" t="s">
        <v>17147</v>
      </c>
    </row>
    <row r="2922" spans="1:4">
      <c r="A2922" s="105">
        <v>93658</v>
      </c>
      <c r="B2922" s="104" t="s">
        <v>3045</v>
      </c>
      <c r="C2922" s="104" t="s">
        <v>183</v>
      </c>
      <c r="D2922" s="129" t="s">
        <v>17349</v>
      </c>
    </row>
    <row r="2923" spans="1:4">
      <c r="A2923" s="105">
        <v>93659</v>
      </c>
      <c r="B2923" s="104" t="s">
        <v>3046</v>
      </c>
      <c r="C2923" s="104" t="s">
        <v>183</v>
      </c>
      <c r="D2923" s="129" t="s">
        <v>17350</v>
      </c>
    </row>
    <row r="2924" spans="1:4">
      <c r="A2924" s="105">
        <v>93660</v>
      </c>
      <c r="B2924" s="104" t="s">
        <v>3047</v>
      </c>
      <c r="C2924" s="104" t="s">
        <v>183</v>
      </c>
      <c r="D2924" s="129" t="s">
        <v>17351</v>
      </c>
    </row>
    <row r="2925" spans="1:4">
      <c r="A2925" s="105">
        <v>93661</v>
      </c>
      <c r="B2925" s="104" t="s">
        <v>3048</v>
      </c>
      <c r="C2925" s="104" t="s">
        <v>183</v>
      </c>
      <c r="D2925" s="129" t="s">
        <v>17352</v>
      </c>
    </row>
    <row r="2926" spans="1:4">
      <c r="A2926" s="105">
        <v>93662</v>
      </c>
      <c r="B2926" s="104" t="s">
        <v>3049</v>
      </c>
      <c r="C2926" s="104" t="s">
        <v>183</v>
      </c>
      <c r="D2926" s="129" t="s">
        <v>17353</v>
      </c>
    </row>
    <row r="2927" spans="1:4">
      <c r="A2927" s="105">
        <v>93663</v>
      </c>
      <c r="B2927" s="104" t="s">
        <v>3050</v>
      </c>
      <c r="C2927" s="104" t="s">
        <v>183</v>
      </c>
      <c r="D2927" s="129" t="s">
        <v>17353</v>
      </c>
    </row>
    <row r="2928" spans="1:4">
      <c r="A2928" s="105">
        <v>93664</v>
      </c>
      <c r="B2928" s="104" t="s">
        <v>3051</v>
      </c>
      <c r="C2928" s="104" t="s">
        <v>183</v>
      </c>
      <c r="D2928" s="129" t="s">
        <v>17354</v>
      </c>
    </row>
    <row r="2929" spans="1:4">
      <c r="A2929" s="105">
        <v>93665</v>
      </c>
      <c r="B2929" s="104" t="s">
        <v>3052</v>
      </c>
      <c r="C2929" s="104" t="s">
        <v>183</v>
      </c>
      <c r="D2929" s="129" t="s">
        <v>17355</v>
      </c>
    </row>
    <row r="2930" spans="1:4">
      <c r="A2930" s="105">
        <v>93666</v>
      </c>
      <c r="B2930" s="104" t="s">
        <v>3053</v>
      </c>
      <c r="C2930" s="104" t="s">
        <v>183</v>
      </c>
      <c r="D2930" s="129" t="s">
        <v>17356</v>
      </c>
    </row>
    <row r="2931" spans="1:4">
      <c r="A2931" s="105">
        <v>93667</v>
      </c>
      <c r="B2931" s="104" t="s">
        <v>3054</v>
      </c>
      <c r="C2931" s="104" t="s">
        <v>183</v>
      </c>
      <c r="D2931" s="129" t="s">
        <v>17357</v>
      </c>
    </row>
    <row r="2932" spans="1:4">
      <c r="A2932" s="105">
        <v>93668</v>
      </c>
      <c r="B2932" s="104" t="s">
        <v>3055</v>
      </c>
      <c r="C2932" s="104" t="s">
        <v>183</v>
      </c>
      <c r="D2932" s="129" t="s">
        <v>17358</v>
      </c>
    </row>
    <row r="2933" spans="1:4">
      <c r="A2933" s="105">
        <v>93669</v>
      </c>
      <c r="B2933" s="104" t="s">
        <v>3056</v>
      </c>
      <c r="C2933" s="104" t="s">
        <v>183</v>
      </c>
      <c r="D2933" s="129" t="s">
        <v>17359</v>
      </c>
    </row>
    <row r="2934" spans="1:4">
      <c r="A2934" s="105">
        <v>93670</v>
      </c>
      <c r="B2934" s="104" t="s">
        <v>3057</v>
      </c>
      <c r="C2934" s="104" t="s">
        <v>183</v>
      </c>
      <c r="D2934" s="129" t="s">
        <v>17359</v>
      </c>
    </row>
    <row r="2935" spans="1:4">
      <c r="A2935" s="105">
        <v>93671</v>
      </c>
      <c r="B2935" s="104" t="s">
        <v>3058</v>
      </c>
      <c r="C2935" s="104" t="s">
        <v>183</v>
      </c>
      <c r="D2935" s="129" t="s">
        <v>17360</v>
      </c>
    </row>
    <row r="2936" spans="1:4">
      <c r="A2936" s="105">
        <v>93672</v>
      </c>
      <c r="B2936" s="104" t="s">
        <v>3059</v>
      </c>
      <c r="C2936" s="104" t="s">
        <v>183</v>
      </c>
      <c r="D2936" s="129" t="s">
        <v>17361</v>
      </c>
    </row>
    <row r="2937" spans="1:4">
      <c r="A2937" s="105">
        <v>93673</v>
      </c>
      <c r="B2937" s="104" t="s">
        <v>3060</v>
      </c>
      <c r="C2937" s="104" t="s">
        <v>183</v>
      </c>
      <c r="D2937" s="129" t="s">
        <v>17362</v>
      </c>
    </row>
    <row r="2938" spans="1:4">
      <c r="A2938" s="105">
        <v>97359</v>
      </c>
      <c r="B2938" s="104" t="s">
        <v>3061</v>
      </c>
      <c r="C2938" s="104" t="s">
        <v>183</v>
      </c>
      <c r="D2938" s="129" t="s">
        <v>17363</v>
      </c>
    </row>
    <row r="2939" spans="1:4">
      <c r="A2939" s="105">
        <v>97360</v>
      </c>
      <c r="B2939" s="104" t="s">
        <v>3062</v>
      </c>
      <c r="C2939" s="104" t="s">
        <v>183</v>
      </c>
      <c r="D2939" s="129" t="s">
        <v>17364</v>
      </c>
    </row>
    <row r="2940" spans="1:4">
      <c r="A2940" s="105">
        <v>97361</v>
      </c>
      <c r="B2940" s="104" t="s">
        <v>3063</v>
      </c>
      <c r="C2940" s="104" t="s">
        <v>183</v>
      </c>
      <c r="D2940" s="129" t="s">
        <v>17365</v>
      </c>
    </row>
    <row r="2941" spans="1:4">
      <c r="A2941" s="105">
        <v>97362</v>
      </c>
      <c r="B2941" s="104" t="s">
        <v>3064</v>
      </c>
      <c r="C2941" s="104" t="s">
        <v>183</v>
      </c>
      <c r="D2941" s="129" t="s">
        <v>17366</v>
      </c>
    </row>
    <row r="2942" spans="1:4">
      <c r="A2942" s="105">
        <v>101875</v>
      </c>
      <c r="B2942" s="104" t="s">
        <v>3065</v>
      </c>
      <c r="C2942" s="104" t="s">
        <v>183</v>
      </c>
      <c r="D2942" s="129" t="s">
        <v>17367</v>
      </c>
    </row>
    <row r="2943" spans="1:4">
      <c r="A2943" s="105">
        <v>101876</v>
      </c>
      <c r="B2943" s="104" t="s">
        <v>3066</v>
      </c>
      <c r="C2943" s="104" t="s">
        <v>183</v>
      </c>
      <c r="D2943" s="129" t="s">
        <v>17368</v>
      </c>
    </row>
    <row r="2944" spans="1:4">
      <c r="A2944" s="105">
        <v>101877</v>
      </c>
      <c r="B2944" s="104" t="s">
        <v>3067</v>
      </c>
      <c r="C2944" s="104" t="s">
        <v>183</v>
      </c>
      <c r="D2944" s="129" t="s">
        <v>17369</v>
      </c>
    </row>
    <row r="2945" spans="1:4">
      <c r="A2945" s="105">
        <v>101878</v>
      </c>
      <c r="B2945" s="104" t="s">
        <v>3068</v>
      </c>
      <c r="C2945" s="104" t="s">
        <v>183</v>
      </c>
      <c r="D2945" s="129" t="s">
        <v>17370</v>
      </c>
    </row>
    <row r="2946" spans="1:4">
      <c r="A2946" s="105">
        <v>101879</v>
      </c>
      <c r="B2946" s="104" t="s">
        <v>3069</v>
      </c>
      <c r="C2946" s="104" t="s">
        <v>183</v>
      </c>
      <c r="D2946" s="129" t="s">
        <v>17371</v>
      </c>
    </row>
    <row r="2947" spans="1:4">
      <c r="A2947" s="105">
        <v>101880</v>
      </c>
      <c r="B2947" s="104" t="s">
        <v>3070</v>
      </c>
      <c r="C2947" s="104" t="s">
        <v>183</v>
      </c>
      <c r="D2947" s="129" t="s">
        <v>17372</v>
      </c>
    </row>
    <row r="2948" spans="1:4">
      <c r="A2948" s="105">
        <v>101881</v>
      </c>
      <c r="B2948" s="104" t="s">
        <v>3071</v>
      </c>
      <c r="C2948" s="104" t="s">
        <v>183</v>
      </c>
      <c r="D2948" s="129" t="s">
        <v>17373</v>
      </c>
    </row>
    <row r="2949" spans="1:4">
      <c r="A2949" s="105">
        <v>101882</v>
      </c>
      <c r="B2949" s="104" t="s">
        <v>3072</v>
      </c>
      <c r="C2949" s="104" t="s">
        <v>183</v>
      </c>
      <c r="D2949" s="129" t="s">
        <v>17374</v>
      </c>
    </row>
    <row r="2950" spans="1:4">
      <c r="A2950" s="105">
        <v>101883</v>
      </c>
      <c r="B2950" s="104" t="s">
        <v>3073</v>
      </c>
      <c r="C2950" s="104" t="s">
        <v>183</v>
      </c>
      <c r="D2950" s="129" t="s">
        <v>17375</v>
      </c>
    </row>
    <row r="2951" spans="1:4">
      <c r="A2951" s="105">
        <v>101890</v>
      </c>
      <c r="B2951" s="104" t="s">
        <v>3074</v>
      </c>
      <c r="C2951" s="104" t="s">
        <v>183</v>
      </c>
      <c r="D2951" s="129" t="s">
        <v>17376</v>
      </c>
    </row>
    <row r="2952" spans="1:4">
      <c r="A2952" s="105">
        <v>101891</v>
      </c>
      <c r="B2952" s="104" t="s">
        <v>3075</v>
      </c>
      <c r="C2952" s="104" t="s">
        <v>183</v>
      </c>
      <c r="D2952" s="129" t="s">
        <v>17377</v>
      </c>
    </row>
    <row r="2953" spans="1:4">
      <c r="A2953" s="105">
        <v>101892</v>
      </c>
      <c r="B2953" s="104" t="s">
        <v>3076</v>
      </c>
      <c r="C2953" s="104" t="s">
        <v>183</v>
      </c>
      <c r="D2953" s="129" t="s">
        <v>17378</v>
      </c>
    </row>
    <row r="2954" spans="1:4">
      <c r="A2954" s="105">
        <v>101893</v>
      </c>
      <c r="B2954" s="104" t="s">
        <v>3077</v>
      </c>
      <c r="C2954" s="104" t="s">
        <v>183</v>
      </c>
      <c r="D2954" s="129" t="s">
        <v>17379</v>
      </c>
    </row>
    <row r="2955" spans="1:4">
      <c r="A2955" s="105">
        <v>101894</v>
      </c>
      <c r="B2955" s="104" t="s">
        <v>3078</v>
      </c>
      <c r="C2955" s="104" t="s">
        <v>183</v>
      </c>
      <c r="D2955" s="129" t="s">
        <v>17380</v>
      </c>
    </row>
    <row r="2956" spans="1:4">
      <c r="A2956" s="105">
        <v>101895</v>
      </c>
      <c r="B2956" s="104" t="s">
        <v>3079</v>
      </c>
      <c r="C2956" s="104" t="s">
        <v>183</v>
      </c>
      <c r="D2956" s="129" t="s">
        <v>17381</v>
      </c>
    </row>
    <row r="2957" spans="1:4">
      <c r="A2957" s="105">
        <v>101896</v>
      </c>
      <c r="B2957" s="104" t="s">
        <v>3080</v>
      </c>
      <c r="C2957" s="104" t="s">
        <v>183</v>
      </c>
      <c r="D2957" s="129" t="s">
        <v>17382</v>
      </c>
    </row>
    <row r="2958" spans="1:4">
      <c r="A2958" s="105">
        <v>101897</v>
      </c>
      <c r="B2958" s="104" t="s">
        <v>3081</v>
      </c>
      <c r="C2958" s="104" t="s">
        <v>183</v>
      </c>
      <c r="D2958" s="129" t="s">
        <v>17383</v>
      </c>
    </row>
    <row r="2959" spans="1:4">
      <c r="A2959" s="105">
        <v>101898</v>
      </c>
      <c r="B2959" s="104" t="s">
        <v>3082</v>
      </c>
      <c r="C2959" s="104" t="s">
        <v>183</v>
      </c>
      <c r="D2959" s="129" t="s">
        <v>17384</v>
      </c>
    </row>
    <row r="2960" spans="1:4">
      <c r="A2960" s="105">
        <v>101899</v>
      </c>
      <c r="B2960" s="104" t="s">
        <v>3083</v>
      </c>
      <c r="C2960" s="104" t="s">
        <v>183</v>
      </c>
      <c r="D2960" s="129" t="s">
        <v>17385</v>
      </c>
    </row>
    <row r="2961" spans="1:4">
      <c r="A2961" s="105">
        <v>101900</v>
      </c>
      <c r="B2961" s="104" t="s">
        <v>3084</v>
      </c>
      <c r="C2961" s="104" t="s">
        <v>183</v>
      </c>
      <c r="D2961" s="129" t="s">
        <v>17386</v>
      </c>
    </row>
    <row r="2962" spans="1:4">
      <c r="A2962" s="105">
        <v>101901</v>
      </c>
      <c r="B2962" s="104" t="s">
        <v>3085</v>
      </c>
      <c r="C2962" s="104" t="s">
        <v>183</v>
      </c>
      <c r="D2962" s="129" t="s">
        <v>17387</v>
      </c>
    </row>
    <row r="2963" spans="1:4">
      <c r="A2963" s="105">
        <v>101902</v>
      </c>
      <c r="B2963" s="104" t="s">
        <v>3086</v>
      </c>
      <c r="C2963" s="104" t="s">
        <v>183</v>
      </c>
      <c r="D2963" s="129" t="s">
        <v>17388</v>
      </c>
    </row>
    <row r="2964" spans="1:4">
      <c r="A2964" s="105">
        <v>101903</v>
      </c>
      <c r="B2964" s="104" t="s">
        <v>3087</v>
      </c>
      <c r="C2964" s="104" t="s">
        <v>183</v>
      </c>
      <c r="D2964" s="129" t="s">
        <v>17389</v>
      </c>
    </row>
    <row r="2965" spans="1:4">
      <c r="A2965" s="105">
        <v>101904</v>
      </c>
      <c r="B2965" s="104" t="s">
        <v>3088</v>
      </c>
      <c r="C2965" s="104" t="s">
        <v>183</v>
      </c>
      <c r="D2965" s="129" t="s">
        <v>17390</v>
      </c>
    </row>
    <row r="2966" spans="1:4">
      <c r="A2966" s="105">
        <v>101938</v>
      </c>
      <c r="B2966" s="104" t="s">
        <v>3089</v>
      </c>
      <c r="C2966" s="104" t="s">
        <v>183</v>
      </c>
      <c r="D2966" s="129" t="s">
        <v>17391</v>
      </c>
    </row>
    <row r="2967" spans="1:4">
      <c r="A2967" s="105">
        <v>101946</v>
      </c>
      <c r="B2967" s="104" t="s">
        <v>3090</v>
      </c>
      <c r="C2967" s="104" t="s">
        <v>183</v>
      </c>
      <c r="D2967" s="129" t="s">
        <v>17392</v>
      </c>
    </row>
    <row r="2968" spans="1:4">
      <c r="A2968" s="105">
        <v>91945</v>
      </c>
      <c r="B2968" s="104" t="s">
        <v>3091</v>
      </c>
      <c r="C2968" s="104" t="s">
        <v>183</v>
      </c>
      <c r="D2968" s="129" t="s">
        <v>17393</v>
      </c>
    </row>
    <row r="2969" spans="1:4">
      <c r="A2969" s="105">
        <v>91946</v>
      </c>
      <c r="B2969" s="104" t="s">
        <v>3092</v>
      </c>
      <c r="C2969" s="104" t="s">
        <v>183</v>
      </c>
      <c r="D2969" s="129" t="s">
        <v>17394</v>
      </c>
    </row>
    <row r="2970" spans="1:4">
      <c r="A2970" s="105">
        <v>91947</v>
      </c>
      <c r="B2970" s="104" t="s">
        <v>3093</v>
      </c>
      <c r="C2970" s="104" t="s">
        <v>183</v>
      </c>
      <c r="D2970" s="129" t="s">
        <v>15738</v>
      </c>
    </row>
    <row r="2971" spans="1:4">
      <c r="A2971" s="105">
        <v>91949</v>
      </c>
      <c r="B2971" s="104" t="s">
        <v>3094</v>
      </c>
      <c r="C2971" s="104" t="s">
        <v>183</v>
      </c>
      <c r="D2971" s="129" t="s">
        <v>17395</v>
      </c>
    </row>
    <row r="2972" spans="1:4">
      <c r="A2972" s="105">
        <v>91950</v>
      </c>
      <c r="B2972" s="104" t="s">
        <v>3095</v>
      </c>
      <c r="C2972" s="104" t="s">
        <v>183</v>
      </c>
      <c r="D2972" s="129" t="s">
        <v>17240</v>
      </c>
    </row>
    <row r="2973" spans="1:4">
      <c r="A2973" s="105">
        <v>91951</v>
      </c>
      <c r="B2973" s="104" t="s">
        <v>3096</v>
      </c>
      <c r="C2973" s="104" t="s">
        <v>183</v>
      </c>
      <c r="D2973" s="129" t="s">
        <v>17396</v>
      </c>
    </row>
    <row r="2974" spans="1:4">
      <c r="A2974" s="105">
        <v>91952</v>
      </c>
      <c r="B2974" s="104" t="s">
        <v>3097</v>
      </c>
      <c r="C2974" s="104" t="s">
        <v>183</v>
      </c>
      <c r="D2974" s="129" t="s">
        <v>17397</v>
      </c>
    </row>
    <row r="2975" spans="1:4">
      <c r="A2975" s="105">
        <v>91953</v>
      </c>
      <c r="B2975" s="104" t="s">
        <v>3098</v>
      </c>
      <c r="C2975" s="104" t="s">
        <v>183</v>
      </c>
      <c r="D2975" s="129" t="s">
        <v>17398</v>
      </c>
    </row>
    <row r="2976" spans="1:4">
      <c r="A2976" s="105">
        <v>91954</v>
      </c>
      <c r="B2976" s="104" t="s">
        <v>3099</v>
      </c>
      <c r="C2976" s="104" t="s">
        <v>183</v>
      </c>
      <c r="D2976" s="129" t="s">
        <v>17399</v>
      </c>
    </row>
    <row r="2977" spans="1:4">
      <c r="A2977" s="105">
        <v>91955</v>
      </c>
      <c r="B2977" s="104" t="s">
        <v>3100</v>
      </c>
      <c r="C2977" s="104" t="s">
        <v>183</v>
      </c>
      <c r="D2977" s="129" t="s">
        <v>17400</v>
      </c>
    </row>
    <row r="2978" spans="1:4">
      <c r="A2978" s="105">
        <v>91956</v>
      </c>
      <c r="B2978" s="104" t="s">
        <v>3101</v>
      </c>
      <c r="C2978" s="104" t="s">
        <v>183</v>
      </c>
      <c r="D2978" s="129" t="s">
        <v>16619</v>
      </c>
    </row>
    <row r="2979" spans="1:4">
      <c r="A2979" s="105">
        <v>91957</v>
      </c>
      <c r="B2979" s="104" t="s">
        <v>3102</v>
      </c>
      <c r="C2979" s="104" t="s">
        <v>183</v>
      </c>
      <c r="D2979" s="129" t="s">
        <v>17401</v>
      </c>
    </row>
    <row r="2980" spans="1:4">
      <c r="A2980" s="105">
        <v>91958</v>
      </c>
      <c r="B2980" s="104" t="s">
        <v>3103</v>
      </c>
      <c r="C2980" s="104" t="s">
        <v>183</v>
      </c>
      <c r="D2980" s="129" t="s">
        <v>17402</v>
      </c>
    </row>
    <row r="2981" spans="1:4">
      <c r="A2981" s="105">
        <v>91959</v>
      </c>
      <c r="B2981" s="104" t="s">
        <v>3104</v>
      </c>
      <c r="C2981" s="104" t="s">
        <v>183</v>
      </c>
      <c r="D2981" s="129" t="s">
        <v>17403</v>
      </c>
    </row>
    <row r="2982" spans="1:4">
      <c r="A2982" s="105">
        <v>91960</v>
      </c>
      <c r="B2982" s="104" t="s">
        <v>3105</v>
      </c>
      <c r="C2982" s="104" t="s">
        <v>183</v>
      </c>
      <c r="D2982" s="129" t="s">
        <v>17404</v>
      </c>
    </row>
    <row r="2983" spans="1:4">
      <c r="A2983" s="105">
        <v>91961</v>
      </c>
      <c r="B2983" s="104" t="s">
        <v>3106</v>
      </c>
      <c r="C2983" s="104" t="s">
        <v>183</v>
      </c>
      <c r="D2983" s="129" t="s">
        <v>17405</v>
      </c>
    </row>
    <row r="2984" spans="1:4">
      <c r="A2984" s="105">
        <v>91962</v>
      </c>
      <c r="B2984" s="104" t="s">
        <v>3107</v>
      </c>
      <c r="C2984" s="104" t="s">
        <v>183</v>
      </c>
      <c r="D2984" s="129" t="s">
        <v>17406</v>
      </c>
    </row>
    <row r="2985" spans="1:4">
      <c r="A2985" s="105">
        <v>91963</v>
      </c>
      <c r="B2985" s="104" t="s">
        <v>3108</v>
      </c>
      <c r="C2985" s="104" t="s">
        <v>183</v>
      </c>
      <c r="D2985" s="129" t="s">
        <v>17407</v>
      </c>
    </row>
    <row r="2986" spans="1:4">
      <c r="A2986" s="105">
        <v>91964</v>
      </c>
      <c r="B2986" s="104" t="s">
        <v>3109</v>
      </c>
      <c r="C2986" s="104" t="s">
        <v>183</v>
      </c>
      <c r="D2986" s="129" t="s">
        <v>17408</v>
      </c>
    </row>
    <row r="2987" spans="1:4">
      <c r="A2987" s="105">
        <v>91965</v>
      </c>
      <c r="B2987" s="104" t="s">
        <v>3110</v>
      </c>
      <c r="C2987" s="104" t="s">
        <v>183</v>
      </c>
      <c r="D2987" s="129" t="s">
        <v>17409</v>
      </c>
    </row>
    <row r="2988" spans="1:4">
      <c r="A2988" s="105">
        <v>91966</v>
      </c>
      <c r="B2988" s="104" t="s">
        <v>3111</v>
      </c>
      <c r="C2988" s="104" t="s">
        <v>183</v>
      </c>
      <c r="D2988" s="129" t="s">
        <v>17410</v>
      </c>
    </row>
    <row r="2989" spans="1:4">
      <c r="A2989" s="105">
        <v>91967</v>
      </c>
      <c r="B2989" s="104" t="s">
        <v>3112</v>
      </c>
      <c r="C2989" s="104" t="s">
        <v>183</v>
      </c>
      <c r="D2989" s="129" t="s">
        <v>17411</v>
      </c>
    </row>
    <row r="2990" spans="1:4">
      <c r="A2990" s="105">
        <v>91968</v>
      </c>
      <c r="B2990" s="104" t="s">
        <v>3113</v>
      </c>
      <c r="C2990" s="104" t="s">
        <v>183</v>
      </c>
      <c r="D2990" s="129" t="s">
        <v>17412</v>
      </c>
    </row>
    <row r="2991" spans="1:4">
      <c r="A2991" s="105">
        <v>91969</v>
      </c>
      <c r="B2991" s="104" t="s">
        <v>3114</v>
      </c>
      <c r="C2991" s="104" t="s">
        <v>183</v>
      </c>
      <c r="D2991" s="129" t="s">
        <v>17413</v>
      </c>
    </row>
    <row r="2992" spans="1:4">
      <c r="A2992" s="105">
        <v>91970</v>
      </c>
      <c r="B2992" s="104" t="s">
        <v>3115</v>
      </c>
      <c r="C2992" s="104" t="s">
        <v>183</v>
      </c>
      <c r="D2992" s="129" t="s">
        <v>17414</v>
      </c>
    </row>
    <row r="2993" spans="1:4">
      <c r="A2993" s="105">
        <v>91971</v>
      </c>
      <c r="B2993" s="104" t="s">
        <v>3116</v>
      </c>
      <c r="C2993" s="104" t="s">
        <v>183</v>
      </c>
      <c r="D2993" s="129" t="s">
        <v>17415</v>
      </c>
    </row>
    <row r="2994" spans="1:4">
      <c r="A2994" s="105">
        <v>91972</v>
      </c>
      <c r="B2994" s="104" t="s">
        <v>3117</v>
      </c>
      <c r="C2994" s="104" t="s">
        <v>183</v>
      </c>
      <c r="D2994" s="129" t="s">
        <v>17416</v>
      </c>
    </row>
    <row r="2995" spans="1:4">
      <c r="A2995" s="105">
        <v>91973</v>
      </c>
      <c r="B2995" s="104" t="s">
        <v>3118</v>
      </c>
      <c r="C2995" s="104" t="s">
        <v>183</v>
      </c>
      <c r="D2995" s="129" t="s">
        <v>17417</v>
      </c>
    </row>
    <row r="2996" spans="1:4">
      <c r="A2996" s="105">
        <v>91974</v>
      </c>
      <c r="B2996" s="104" t="s">
        <v>3119</v>
      </c>
      <c r="C2996" s="104" t="s">
        <v>183</v>
      </c>
      <c r="D2996" s="129" t="s">
        <v>15757</v>
      </c>
    </row>
    <row r="2997" spans="1:4">
      <c r="A2997" s="105">
        <v>91975</v>
      </c>
      <c r="B2997" s="104" t="s">
        <v>3120</v>
      </c>
      <c r="C2997" s="104" t="s">
        <v>183</v>
      </c>
      <c r="D2997" s="129" t="s">
        <v>17418</v>
      </c>
    </row>
    <row r="2998" spans="1:4">
      <c r="A2998" s="105">
        <v>91976</v>
      </c>
      <c r="B2998" s="104" t="s">
        <v>3121</v>
      </c>
      <c r="C2998" s="104" t="s">
        <v>183</v>
      </c>
      <c r="D2998" s="129" t="s">
        <v>15375</v>
      </c>
    </row>
    <row r="2999" spans="1:4">
      <c r="A2999" s="105">
        <v>91977</v>
      </c>
      <c r="B2999" s="104" t="s">
        <v>3122</v>
      </c>
      <c r="C2999" s="104" t="s">
        <v>183</v>
      </c>
      <c r="D2999" s="129" t="s">
        <v>17419</v>
      </c>
    </row>
    <row r="3000" spans="1:4">
      <c r="A3000" s="105">
        <v>91978</v>
      </c>
      <c r="B3000" s="104" t="s">
        <v>3123</v>
      </c>
      <c r="C3000" s="104" t="s">
        <v>183</v>
      </c>
      <c r="D3000" s="129" t="s">
        <v>17420</v>
      </c>
    </row>
    <row r="3001" spans="1:4">
      <c r="A3001" s="105">
        <v>91979</v>
      </c>
      <c r="B3001" s="104" t="s">
        <v>3124</v>
      </c>
      <c r="C3001" s="104" t="s">
        <v>183</v>
      </c>
      <c r="D3001" s="129" t="s">
        <v>17421</v>
      </c>
    </row>
    <row r="3002" spans="1:4">
      <c r="A3002" s="105">
        <v>91980</v>
      </c>
      <c r="B3002" s="104" t="s">
        <v>3125</v>
      </c>
      <c r="C3002" s="104" t="s">
        <v>183</v>
      </c>
      <c r="D3002" s="129" t="s">
        <v>17422</v>
      </c>
    </row>
    <row r="3003" spans="1:4">
      <c r="A3003" s="105">
        <v>91981</v>
      </c>
      <c r="B3003" s="104" t="s">
        <v>3126</v>
      </c>
      <c r="C3003" s="104" t="s">
        <v>183</v>
      </c>
      <c r="D3003" s="129" t="s">
        <v>17423</v>
      </c>
    </row>
    <row r="3004" spans="1:4">
      <c r="A3004" s="105">
        <v>91982</v>
      </c>
      <c r="B3004" s="104" t="s">
        <v>3127</v>
      </c>
      <c r="C3004" s="104" t="s">
        <v>183</v>
      </c>
      <c r="D3004" s="129" t="s">
        <v>17424</v>
      </c>
    </row>
    <row r="3005" spans="1:4">
      <c r="A3005" s="105">
        <v>91983</v>
      </c>
      <c r="B3005" s="104" t="s">
        <v>3128</v>
      </c>
      <c r="C3005" s="104" t="s">
        <v>183</v>
      </c>
      <c r="D3005" s="129" t="s">
        <v>17425</v>
      </c>
    </row>
    <row r="3006" spans="1:4">
      <c r="A3006" s="105">
        <v>91984</v>
      </c>
      <c r="B3006" s="104" t="s">
        <v>3129</v>
      </c>
      <c r="C3006" s="104" t="s">
        <v>183</v>
      </c>
      <c r="D3006" s="129" t="s">
        <v>15568</v>
      </c>
    </row>
    <row r="3007" spans="1:4">
      <c r="A3007" s="105">
        <v>91985</v>
      </c>
      <c r="B3007" s="104" t="s">
        <v>3130</v>
      </c>
      <c r="C3007" s="104" t="s">
        <v>183</v>
      </c>
      <c r="D3007" s="129" t="s">
        <v>17426</v>
      </c>
    </row>
    <row r="3008" spans="1:4">
      <c r="A3008" s="105">
        <v>91986</v>
      </c>
      <c r="B3008" s="104" t="s">
        <v>3131</v>
      </c>
      <c r="C3008" s="104" t="s">
        <v>183</v>
      </c>
      <c r="D3008" s="129" t="s">
        <v>17427</v>
      </c>
    </row>
    <row r="3009" spans="1:4">
      <c r="A3009" s="105">
        <v>91987</v>
      </c>
      <c r="B3009" s="104" t="s">
        <v>3132</v>
      </c>
      <c r="C3009" s="104" t="s">
        <v>183</v>
      </c>
      <c r="D3009" s="129" t="s">
        <v>17428</v>
      </c>
    </row>
    <row r="3010" spans="1:4">
      <c r="A3010" s="105">
        <v>91988</v>
      </c>
      <c r="B3010" s="104" t="s">
        <v>3133</v>
      </c>
      <c r="C3010" s="104" t="s">
        <v>183</v>
      </c>
      <c r="D3010" s="129" t="s">
        <v>17429</v>
      </c>
    </row>
    <row r="3011" spans="1:4">
      <c r="A3011" s="105">
        <v>91989</v>
      </c>
      <c r="B3011" s="104" t="s">
        <v>3134</v>
      </c>
      <c r="C3011" s="104" t="s">
        <v>183</v>
      </c>
      <c r="D3011" s="129" t="s">
        <v>17430</v>
      </c>
    </row>
    <row r="3012" spans="1:4">
      <c r="A3012" s="105">
        <v>91990</v>
      </c>
      <c r="B3012" s="104" t="s">
        <v>3135</v>
      </c>
      <c r="C3012" s="104" t="s">
        <v>183</v>
      </c>
      <c r="D3012" s="129" t="s">
        <v>17431</v>
      </c>
    </row>
    <row r="3013" spans="1:4">
      <c r="A3013" s="105">
        <v>91991</v>
      </c>
      <c r="B3013" s="104" t="s">
        <v>3136</v>
      </c>
      <c r="C3013" s="104" t="s">
        <v>183</v>
      </c>
      <c r="D3013" s="129" t="s">
        <v>17432</v>
      </c>
    </row>
    <row r="3014" spans="1:4">
      <c r="A3014" s="105">
        <v>91992</v>
      </c>
      <c r="B3014" s="104" t="s">
        <v>3137</v>
      </c>
      <c r="C3014" s="104" t="s">
        <v>183</v>
      </c>
      <c r="D3014" s="129" t="s">
        <v>17433</v>
      </c>
    </row>
    <row r="3015" spans="1:4">
      <c r="A3015" s="105">
        <v>91993</v>
      </c>
      <c r="B3015" s="104" t="s">
        <v>3138</v>
      </c>
      <c r="C3015" s="104" t="s">
        <v>183</v>
      </c>
      <c r="D3015" s="129" t="s">
        <v>17434</v>
      </c>
    </row>
    <row r="3016" spans="1:4">
      <c r="A3016" s="105">
        <v>91994</v>
      </c>
      <c r="B3016" s="104" t="s">
        <v>3139</v>
      </c>
      <c r="C3016" s="104" t="s">
        <v>183</v>
      </c>
      <c r="D3016" s="129" t="s">
        <v>17435</v>
      </c>
    </row>
    <row r="3017" spans="1:4">
      <c r="A3017" s="105">
        <v>91995</v>
      </c>
      <c r="B3017" s="104" t="s">
        <v>3140</v>
      </c>
      <c r="C3017" s="104" t="s">
        <v>183</v>
      </c>
      <c r="D3017" s="129" t="s">
        <v>17436</v>
      </c>
    </row>
    <row r="3018" spans="1:4">
      <c r="A3018" s="105">
        <v>91996</v>
      </c>
      <c r="B3018" s="104" t="s">
        <v>3141</v>
      </c>
      <c r="C3018" s="104" t="s">
        <v>183</v>
      </c>
      <c r="D3018" s="129" t="s">
        <v>17437</v>
      </c>
    </row>
    <row r="3019" spans="1:4">
      <c r="A3019" s="105">
        <v>91997</v>
      </c>
      <c r="B3019" s="104" t="s">
        <v>3142</v>
      </c>
      <c r="C3019" s="104" t="s">
        <v>183</v>
      </c>
      <c r="D3019" s="129" t="s">
        <v>17438</v>
      </c>
    </row>
    <row r="3020" spans="1:4">
      <c r="A3020" s="105">
        <v>91998</v>
      </c>
      <c r="B3020" s="104" t="s">
        <v>3143</v>
      </c>
      <c r="C3020" s="104" t="s">
        <v>183</v>
      </c>
      <c r="D3020" s="129" t="s">
        <v>17439</v>
      </c>
    </row>
    <row r="3021" spans="1:4">
      <c r="A3021" s="105">
        <v>91999</v>
      </c>
      <c r="B3021" s="104" t="s">
        <v>3144</v>
      </c>
      <c r="C3021" s="104" t="s">
        <v>183</v>
      </c>
      <c r="D3021" s="129" t="s">
        <v>15634</v>
      </c>
    </row>
    <row r="3022" spans="1:4">
      <c r="A3022" s="105">
        <v>92000</v>
      </c>
      <c r="B3022" s="104" t="s">
        <v>3145</v>
      </c>
      <c r="C3022" s="104" t="s">
        <v>183</v>
      </c>
      <c r="D3022" s="129" t="s">
        <v>17440</v>
      </c>
    </row>
    <row r="3023" spans="1:4">
      <c r="A3023" s="105">
        <v>92001</v>
      </c>
      <c r="B3023" s="104" t="s">
        <v>3146</v>
      </c>
      <c r="C3023" s="104" t="s">
        <v>183</v>
      </c>
      <c r="D3023" s="129" t="s">
        <v>17217</v>
      </c>
    </row>
    <row r="3024" spans="1:4">
      <c r="A3024" s="105">
        <v>92002</v>
      </c>
      <c r="B3024" s="104" t="s">
        <v>3147</v>
      </c>
      <c r="C3024" s="104" t="s">
        <v>183</v>
      </c>
      <c r="D3024" s="129" t="s">
        <v>17441</v>
      </c>
    </row>
    <row r="3025" spans="1:4">
      <c r="A3025" s="105">
        <v>92003</v>
      </c>
      <c r="B3025" s="104" t="s">
        <v>3148</v>
      </c>
      <c r="C3025" s="104" t="s">
        <v>183</v>
      </c>
      <c r="D3025" s="129" t="s">
        <v>17442</v>
      </c>
    </row>
    <row r="3026" spans="1:4">
      <c r="A3026" s="105">
        <v>92004</v>
      </c>
      <c r="B3026" s="104" t="s">
        <v>3149</v>
      </c>
      <c r="C3026" s="104" t="s">
        <v>183</v>
      </c>
      <c r="D3026" s="129" t="s">
        <v>17443</v>
      </c>
    </row>
    <row r="3027" spans="1:4">
      <c r="A3027" s="105">
        <v>92005</v>
      </c>
      <c r="B3027" s="104" t="s">
        <v>3150</v>
      </c>
      <c r="C3027" s="104" t="s">
        <v>183</v>
      </c>
      <c r="D3027" s="129" t="s">
        <v>17444</v>
      </c>
    </row>
    <row r="3028" spans="1:4">
      <c r="A3028" s="105">
        <v>92006</v>
      </c>
      <c r="B3028" s="104" t="s">
        <v>3151</v>
      </c>
      <c r="C3028" s="104" t="s">
        <v>183</v>
      </c>
      <c r="D3028" s="129" t="s">
        <v>17445</v>
      </c>
    </row>
    <row r="3029" spans="1:4">
      <c r="A3029" s="105">
        <v>92007</v>
      </c>
      <c r="B3029" s="104" t="s">
        <v>3152</v>
      </c>
      <c r="C3029" s="104" t="s">
        <v>183</v>
      </c>
      <c r="D3029" s="129" t="s">
        <v>17446</v>
      </c>
    </row>
    <row r="3030" spans="1:4">
      <c r="A3030" s="105">
        <v>92008</v>
      </c>
      <c r="B3030" s="104" t="s">
        <v>3153</v>
      </c>
      <c r="C3030" s="104" t="s">
        <v>183</v>
      </c>
      <c r="D3030" s="129" t="s">
        <v>17447</v>
      </c>
    </row>
    <row r="3031" spans="1:4">
      <c r="A3031" s="105">
        <v>92009</v>
      </c>
      <c r="B3031" s="104" t="s">
        <v>3154</v>
      </c>
      <c r="C3031" s="104" t="s">
        <v>183</v>
      </c>
      <c r="D3031" s="129" t="s">
        <v>17448</v>
      </c>
    </row>
    <row r="3032" spans="1:4">
      <c r="A3032" s="105">
        <v>92010</v>
      </c>
      <c r="B3032" s="104" t="s">
        <v>3155</v>
      </c>
      <c r="C3032" s="104" t="s">
        <v>183</v>
      </c>
      <c r="D3032" s="129" t="s">
        <v>17449</v>
      </c>
    </row>
    <row r="3033" spans="1:4">
      <c r="A3033" s="105">
        <v>92011</v>
      </c>
      <c r="B3033" s="104" t="s">
        <v>3156</v>
      </c>
      <c r="C3033" s="104" t="s">
        <v>183</v>
      </c>
      <c r="D3033" s="129" t="s">
        <v>17450</v>
      </c>
    </row>
    <row r="3034" spans="1:4">
      <c r="A3034" s="105">
        <v>92012</v>
      </c>
      <c r="B3034" s="104" t="s">
        <v>3157</v>
      </c>
      <c r="C3034" s="104" t="s">
        <v>183</v>
      </c>
      <c r="D3034" s="129" t="s">
        <v>17451</v>
      </c>
    </row>
    <row r="3035" spans="1:4">
      <c r="A3035" s="105">
        <v>92013</v>
      </c>
      <c r="B3035" s="104" t="s">
        <v>3158</v>
      </c>
      <c r="C3035" s="104" t="s">
        <v>183</v>
      </c>
      <c r="D3035" s="129" t="s">
        <v>17452</v>
      </c>
    </row>
    <row r="3036" spans="1:4">
      <c r="A3036" s="105">
        <v>92014</v>
      </c>
      <c r="B3036" s="104" t="s">
        <v>3159</v>
      </c>
      <c r="C3036" s="104" t="s">
        <v>183</v>
      </c>
      <c r="D3036" s="129" t="s">
        <v>17453</v>
      </c>
    </row>
    <row r="3037" spans="1:4">
      <c r="A3037" s="105">
        <v>92015</v>
      </c>
      <c r="B3037" s="104" t="s">
        <v>3160</v>
      </c>
      <c r="C3037" s="104" t="s">
        <v>183</v>
      </c>
      <c r="D3037" s="129" t="s">
        <v>17454</v>
      </c>
    </row>
    <row r="3038" spans="1:4">
      <c r="A3038" s="105">
        <v>92016</v>
      </c>
      <c r="B3038" s="104" t="s">
        <v>3161</v>
      </c>
      <c r="C3038" s="104" t="s">
        <v>183</v>
      </c>
      <c r="D3038" s="129" t="s">
        <v>17455</v>
      </c>
    </row>
    <row r="3039" spans="1:4">
      <c r="A3039" s="105">
        <v>92017</v>
      </c>
      <c r="B3039" s="104" t="s">
        <v>3162</v>
      </c>
      <c r="C3039" s="104" t="s">
        <v>183</v>
      </c>
      <c r="D3039" s="129" t="s">
        <v>17456</v>
      </c>
    </row>
    <row r="3040" spans="1:4">
      <c r="A3040" s="105">
        <v>92018</v>
      </c>
      <c r="B3040" s="104" t="s">
        <v>3163</v>
      </c>
      <c r="C3040" s="104" t="s">
        <v>183</v>
      </c>
      <c r="D3040" s="129" t="s">
        <v>17457</v>
      </c>
    </row>
    <row r="3041" spans="1:4">
      <c r="A3041" s="105">
        <v>92019</v>
      </c>
      <c r="B3041" s="104" t="s">
        <v>3164</v>
      </c>
      <c r="C3041" s="104" t="s">
        <v>183</v>
      </c>
      <c r="D3041" s="129" t="s">
        <v>17458</v>
      </c>
    </row>
    <row r="3042" spans="1:4">
      <c r="A3042" s="105">
        <v>92020</v>
      </c>
      <c r="B3042" s="104" t="s">
        <v>3165</v>
      </c>
      <c r="C3042" s="104" t="s">
        <v>183</v>
      </c>
      <c r="D3042" s="129" t="s">
        <v>17459</v>
      </c>
    </row>
    <row r="3043" spans="1:4">
      <c r="A3043" s="105">
        <v>92021</v>
      </c>
      <c r="B3043" s="104" t="s">
        <v>3166</v>
      </c>
      <c r="C3043" s="104" t="s">
        <v>183</v>
      </c>
      <c r="D3043" s="129" t="s">
        <v>17460</v>
      </c>
    </row>
    <row r="3044" spans="1:4">
      <c r="A3044" s="105">
        <v>92022</v>
      </c>
      <c r="B3044" s="104" t="s">
        <v>3167</v>
      </c>
      <c r="C3044" s="104" t="s">
        <v>183</v>
      </c>
      <c r="D3044" s="129" t="s">
        <v>17461</v>
      </c>
    </row>
    <row r="3045" spans="1:4">
      <c r="A3045" s="105">
        <v>92023</v>
      </c>
      <c r="B3045" s="104" t="s">
        <v>3168</v>
      </c>
      <c r="C3045" s="104" t="s">
        <v>183</v>
      </c>
      <c r="D3045" s="129" t="s">
        <v>17462</v>
      </c>
    </row>
    <row r="3046" spans="1:4">
      <c r="A3046" s="105">
        <v>92024</v>
      </c>
      <c r="B3046" s="104" t="s">
        <v>3169</v>
      </c>
      <c r="C3046" s="104" t="s">
        <v>183</v>
      </c>
      <c r="D3046" s="129" t="s">
        <v>17463</v>
      </c>
    </row>
    <row r="3047" spans="1:4">
      <c r="A3047" s="105">
        <v>92025</v>
      </c>
      <c r="B3047" s="104" t="s">
        <v>3170</v>
      </c>
      <c r="C3047" s="104" t="s">
        <v>183</v>
      </c>
      <c r="D3047" s="129" t="s">
        <v>17464</v>
      </c>
    </row>
    <row r="3048" spans="1:4">
      <c r="A3048" s="105">
        <v>92026</v>
      </c>
      <c r="B3048" s="104" t="s">
        <v>3171</v>
      </c>
      <c r="C3048" s="104" t="s">
        <v>183</v>
      </c>
      <c r="D3048" s="129" t="s">
        <v>17465</v>
      </c>
    </row>
    <row r="3049" spans="1:4">
      <c r="A3049" s="105">
        <v>92027</v>
      </c>
      <c r="B3049" s="104" t="s">
        <v>3172</v>
      </c>
      <c r="C3049" s="104" t="s">
        <v>183</v>
      </c>
      <c r="D3049" s="129" t="s">
        <v>17466</v>
      </c>
    </row>
    <row r="3050" spans="1:4">
      <c r="A3050" s="105">
        <v>92028</v>
      </c>
      <c r="B3050" s="104" t="s">
        <v>3173</v>
      </c>
      <c r="C3050" s="104" t="s">
        <v>183</v>
      </c>
      <c r="D3050" s="129" t="s">
        <v>17467</v>
      </c>
    </row>
    <row r="3051" spans="1:4">
      <c r="A3051" s="105">
        <v>92029</v>
      </c>
      <c r="B3051" s="104" t="s">
        <v>3174</v>
      </c>
      <c r="C3051" s="104" t="s">
        <v>183</v>
      </c>
      <c r="D3051" s="129" t="s">
        <v>15244</v>
      </c>
    </row>
    <row r="3052" spans="1:4">
      <c r="A3052" s="105">
        <v>92030</v>
      </c>
      <c r="B3052" s="104" t="s">
        <v>3175</v>
      </c>
      <c r="C3052" s="104" t="s">
        <v>183</v>
      </c>
      <c r="D3052" s="129" t="s">
        <v>16308</v>
      </c>
    </row>
    <row r="3053" spans="1:4">
      <c r="A3053" s="105">
        <v>92031</v>
      </c>
      <c r="B3053" s="104" t="s">
        <v>3176</v>
      </c>
      <c r="C3053" s="104" t="s">
        <v>183</v>
      </c>
      <c r="D3053" s="129" t="s">
        <v>17468</v>
      </c>
    </row>
    <row r="3054" spans="1:4">
      <c r="A3054" s="105">
        <v>92032</v>
      </c>
      <c r="B3054" s="104" t="s">
        <v>3177</v>
      </c>
      <c r="C3054" s="104" t="s">
        <v>183</v>
      </c>
      <c r="D3054" s="129" t="s">
        <v>17469</v>
      </c>
    </row>
    <row r="3055" spans="1:4">
      <c r="A3055" s="105">
        <v>92033</v>
      </c>
      <c r="B3055" s="104" t="s">
        <v>3178</v>
      </c>
      <c r="C3055" s="104" t="s">
        <v>183</v>
      </c>
      <c r="D3055" s="129" t="s">
        <v>17470</v>
      </c>
    </row>
    <row r="3056" spans="1:4">
      <c r="A3056" s="105">
        <v>92034</v>
      </c>
      <c r="B3056" s="104" t="s">
        <v>3179</v>
      </c>
      <c r="C3056" s="104" t="s">
        <v>183</v>
      </c>
      <c r="D3056" s="129" t="s">
        <v>17471</v>
      </c>
    </row>
    <row r="3057" spans="1:4">
      <c r="A3057" s="105">
        <v>92035</v>
      </c>
      <c r="B3057" s="104" t="s">
        <v>3180</v>
      </c>
      <c r="C3057" s="104" t="s">
        <v>183</v>
      </c>
      <c r="D3057" s="129" t="s">
        <v>17472</v>
      </c>
    </row>
    <row r="3058" spans="1:4">
      <c r="A3058" s="105">
        <v>97583</v>
      </c>
      <c r="B3058" s="104" t="s">
        <v>3181</v>
      </c>
      <c r="C3058" s="104" t="s">
        <v>183</v>
      </c>
      <c r="D3058" s="129" t="s">
        <v>17473</v>
      </c>
    </row>
    <row r="3059" spans="1:4">
      <c r="A3059" s="105">
        <v>97584</v>
      </c>
      <c r="B3059" s="104" t="s">
        <v>3182</v>
      </c>
      <c r="C3059" s="104" t="s">
        <v>183</v>
      </c>
      <c r="D3059" s="129" t="s">
        <v>17474</v>
      </c>
    </row>
    <row r="3060" spans="1:4">
      <c r="A3060" s="105">
        <v>97585</v>
      </c>
      <c r="B3060" s="104" t="s">
        <v>3183</v>
      </c>
      <c r="C3060" s="104" t="s">
        <v>183</v>
      </c>
      <c r="D3060" s="129" t="s">
        <v>17475</v>
      </c>
    </row>
    <row r="3061" spans="1:4">
      <c r="A3061" s="105">
        <v>97586</v>
      </c>
      <c r="B3061" s="104" t="s">
        <v>3184</v>
      </c>
      <c r="C3061" s="104" t="s">
        <v>183</v>
      </c>
      <c r="D3061" s="129" t="s">
        <v>16068</v>
      </c>
    </row>
    <row r="3062" spans="1:4">
      <c r="A3062" s="105">
        <v>97587</v>
      </c>
      <c r="B3062" s="104" t="s">
        <v>3185</v>
      </c>
      <c r="C3062" s="104" t="s">
        <v>183</v>
      </c>
      <c r="D3062" s="129" t="s">
        <v>17476</v>
      </c>
    </row>
    <row r="3063" spans="1:4">
      <c r="A3063" s="105">
        <v>97589</v>
      </c>
      <c r="B3063" s="104" t="s">
        <v>3186</v>
      </c>
      <c r="C3063" s="104" t="s">
        <v>183</v>
      </c>
      <c r="D3063" s="129" t="s">
        <v>17477</v>
      </c>
    </row>
    <row r="3064" spans="1:4">
      <c r="A3064" s="105">
        <v>97590</v>
      </c>
      <c r="B3064" s="104" t="s">
        <v>3187</v>
      </c>
      <c r="C3064" s="104" t="s">
        <v>183</v>
      </c>
      <c r="D3064" s="129" t="s">
        <v>17478</v>
      </c>
    </row>
    <row r="3065" spans="1:4">
      <c r="A3065" s="105">
        <v>97591</v>
      </c>
      <c r="B3065" s="104" t="s">
        <v>3188</v>
      </c>
      <c r="C3065" s="104" t="s">
        <v>183</v>
      </c>
      <c r="D3065" s="129" t="s">
        <v>17479</v>
      </c>
    </row>
    <row r="3066" spans="1:4">
      <c r="A3066" s="105">
        <v>97592</v>
      </c>
      <c r="B3066" s="104" t="s">
        <v>3189</v>
      </c>
      <c r="C3066" s="104" t="s">
        <v>183</v>
      </c>
      <c r="D3066" s="129" t="s">
        <v>16400</v>
      </c>
    </row>
    <row r="3067" spans="1:4">
      <c r="A3067" s="105">
        <v>97593</v>
      </c>
      <c r="B3067" s="104" t="s">
        <v>3190</v>
      </c>
      <c r="C3067" s="104" t="s">
        <v>183</v>
      </c>
      <c r="D3067" s="129" t="s">
        <v>17480</v>
      </c>
    </row>
    <row r="3068" spans="1:4">
      <c r="A3068" s="105">
        <v>97594</v>
      </c>
      <c r="B3068" s="104" t="s">
        <v>3191</v>
      </c>
      <c r="C3068" s="104" t="s">
        <v>183</v>
      </c>
      <c r="D3068" s="129" t="s">
        <v>17481</v>
      </c>
    </row>
    <row r="3069" spans="1:4">
      <c r="A3069" s="105">
        <v>97595</v>
      </c>
      <c r="B3069" s="104" t="s">
        <v>3192</v>
      </c>
      <c r="C3069" s="104" t="s">
        <v>183</v>
      </c>
      <c r="D3069" s="129" t="s">
        <v>17482</v>
      </c>
    </row>
    <row r="3070" spans="1:4">
      <c r="A3070" s="105">
        <v>97596</v>
      </c>
      <c r="B3070" s="104" t="s">
        <v>3193</v>
      </c>
      <c r="C3070" s="104" t="s">
        <v>183</v>
      </c>
      <c r="D3070" s="129" t="s">
        <v>17483</v>
      </c>
    </row>
    <row r="3071" spans="1:4">
      <c r="A3071" s="105">
        <v>97597</v>
      </c>
      <c r="B3071" s="104" t="s">
        <v>3194</v>
      </c>
      <c r="C3071" s="104" t="s">
        <v>183</v>
      </c>
      <c r="D3071" s="129" t="s">
        <v>17484</v>
      </c>
    </row>
    <row r="3072" spans="1:4">
      <c r="A3072" s="105">
        <v>97598</v>
      </c>
      <c r="B3072" s="104" t="s">
        <v>3195</v>
      </c>
      <c r="C3072" s="104" t="s">
        <v>183</v>
      </c>
      <c r="D3072" s="129" t="s">
        <v>17485</v>
      </c>
    </row>
    <row r="3073" spans="1:4">
      <c r="A3073" s="105">
        <v>97599</v>
      </c>
      <c r="B3073" s="104" t="s">
        <v>3196</v>
      </c>
      <c r="C3073" s="104" t="s">
        <v>183</v>
      </c>
      <c r="D3073" s="129" t="s">
        <v>17486</v>
      </c>
    </row>
    <row r="3074" spans="1:4">
      <c r="A3074" s="105">
        <v>97609</v>
      </c>
      <c r="B3074" s="104" t="s">
        <v>3197</v>
      </c>
      <c r="C3074" s="104" t="s">
        <v>183</v>
      </c>
      <c r="D3074" s="129" t="s">
        <v>17487</v>
      </c>
    </row>
    <row r="3075" spans="1:4">
      <c r="A3075" s="105">
        <v>97610</v>
      </c>
      <c r="B3075" s="104" t="s">
        <v>3198</v>
      </c>
      <c r="C3075" s="104" t="s">
        <v>183</v>
      </c>
      <c r="D3075" s="129" t="s">
        <v>17488</v>
      </c>
    </row>
    <row r="3076" spans="1:4">
      <c r="A3076" s="105">
        <v>97611</v>
      </c>
      <c r="B3076" s="104" t="s">
        <v>3199</v>
      </c>
      <c r="C3076" s="104" t="s">
        <v>183</v>
      </c>
      <c r="D3076" s="129" t="s">
        <v>17489</v>
      </c>
    </row>
    <row r="3077" spans="1:4">
      <c r="A3077" s="105">
        <v>97612</v>
      </c>
      <c r="B3077" s="104" t="s">
        <v>3200</v>
      </c>
      <c r="C3077" s="104" t="s">
        <v>183</v>
      </c>
      <c r="D3077" s="129" t="s">
        <v>15566</v>
      </c>
    </row>
    <row r="3078" spans="1:4">
      <c r="A3078" s="105">
        <v>97613</v>
      </c>
      <c r="B3078" s="104" t="s">
        <v>3201</v>
      </c>
      <c r="C3078" s="104" t="s">
        <v>183</v>
      </c>
      <c r="D3078" s="129" t="s">
        <v>17490</v>
      </c>
    </row>
    <row r="3079" spans="1:4">
      <c r="A3079" s="105">
        <v>97614</v>
      </c>
      <c r="B3079" s="104" t="s">
        <v>3202</v>
      </c>
      <c r="C3079" s="104" t="s">
        <v>183</v>
      </c>
      <c r="D3079" s="129" t="s">
        <v>17491</v>
      </c>
    </row>
    <row r="3080" spans="1:4">
      <c r="A3080" s="105">
        <v>97615</v>
      </c>
      <c r="B3080" s="104" t="s">
        <v>3203</v>
      </c>
      <c r="C3080" s="104" t="s">
        <v>183</v>
      </c>
      <c r="D3080" s="129" t="s">
        <v>17492</v>
      </c>
    </row>
    <row r="3081" spans="1:4">
      <c r="A3081" s="105">
        <v>97616</v>
      </c>
      <c r="B3081" s="104" t="s">
        <v>3204</v>
      </c>
      <c r="C3081" s="104" t="s">
        <v>183</v>
      </c>
      <c r="D3081" s="129" t="s">
        <v>17493</v>
      </c>
    </row>
    <row r="3082" spans="1:4">
      <c r="A3082" s="105">
        <v>97617</v>
      </c>
      <c r="B3082" s="104" t="s">
        <v>3205</v>
      </c>
      <c r="C3082" s="104" t="s">
        <v>183</v>
      </c>
      <c r="D3082" s="129" t="s">
        <v>17494</v>
      </c>
    </row>
    <row r="3083" spans="1:4">
      <c r="A3083" s="105">
        <v>97618</v>
      </c>
      <c r="B3083" s="104" t="s">
        <v>3206</v>
      </c>
      <c r="C3083" s="104" t="s">
        <v>183</v>
      </c>
      <c r="D3083" s="129" t="s">
        <v>17495</v>
      </c>
    </row>
    <row r="3084" spans="1:4">
      <c r="A3084" s="105">
        <v>100902</v>
      </c>
      <c r="B3084" s="104" t="s">
        <v>3207</v>
      </c>
      <c r="C3084" s="104" t="s">
        <v>183</v>
      </c>
      <c r="D3084" s="129" t="s">
        <v>17496</v>
      </c>
    </row>
    <row r="3085" spans="1:4">
      <c r="A3085" s="105">
        <v>100903</v>
      </c>
      <c r="B3085" s="104" t="s">
        <v>3208</v>
      </c>
      <c r="C3085" s="104" t="s">
        <v>183</v>
      </c>
      <c r="D3085" s="129" t="s">
        <v>17252</v>
      </c>
    </row>
    <row r="3086" spans="1:4">
      <c r="A3086" s="105">
        <v>100904</v>
      </c>
      <c r="B3086" s="104" t="s">
        <v>3209</v>
      </c>
      <c r="C3086" s="104" t="s">
        <v>183</v>
      </c>
      <c r="D3086" s="129" t="s">
        <v>17473</v>
      </c>
    </row>
    <row r="3087" spans="1:4">
      <c r="A3087" s="105">
        <v>100905</v>
      </c>
      <c r="B3087" s="104" t="s">
        <v>3210</v>
      </c>
      <c r="C3087" s="104" t="s">
        <v>183</v>
      </c>
      <c r="D3087" s="129" t="s">
        <v>17497</v>
      </c>
    </row>
    <row r="3088" spans="1:4">
      <c r="A3088" s="105">
        <v>100906</v>
      </c>
      <c r="B3088" s="104" t="s">
        <v>3211</v>
      </c>
      <c r="C3088" s="104" t="s">
        <v>183</v>
      </c>
      <c r="D3088" s="129" t="s">
        <v>17498</v>
      </c>
    </row>
    <row r="3089" spans="1:4">
      <c r="A3089" s="105">
        <v>100919</v>
      </c>
      <c r="B3089" s="104" t="s">
        <v>3212</v>
      </c>
      <c r="C3089" s="104" t="s">
        <v>183</v>
      </c>
      <c r="D3089" s="129" t="s">
        <v>17499</v>
      </c>
    </row>
    <row r="3090" spans="1:4">
      <c r="A3090" s="105">
        <v>100920</v>
      </c>
      <c r="B3090" s="104" t="s">
        <v>3213</v>
      </c>
      <c r="C3090" s="104" t="s">
        <v>183</v>
      </c>
      <c r="D3090" s="129" t="s">
        <v>17500</v>
      </c>
    </row>
    <row r="3091" spans="1:4">
      <c r="A3091" s="105">
        <v>100921</v>
      </c>
      <c r="B3091" s="104" t="s">
        <v>3214</v>
      </c>
      <c r="C3091" s="104" t="s">
        <v>183</v>
      </c>
      <c r="D3091" s="129" t="s">
        <v>17501</v>
      </c>
    </row>
    <row r="3092" spans="1:4">
      <c r="A3092" s="105">
        <v>100922</v>
      </c>
      <c r="B3092" s="104" t="s">
        <v>3215</v>
      </c>
      <c r="C3092" s="104" t="s">
        <v>183</v>
      </c>
      <c r="D3092" s="129" t="s">
        <v>17502</v>
      </c>
    </row>
    <row r="3093" spans="1:4">
      <c r="A3093" s="105">
        <v>100923</v>
      </c>
      <c r="B3093" s="104" t="s">
        <v>3216</v>
      </c>
      <c r="C3093" s="104" t="s">
        <v>183</v>
      </c>
      <c r="D3093" s="129" t="s">
        <v>17503</v>
      </c>
    </row>
    <row r="3094" spans="1:4">
      <c r="A3094" s="105">
        <v>101489</v>
      </c>
      <c r="B3094" s="104" t="s">
        <v>3217</v>
      </c>
      <c r="C3094" s="104" t="s">
        <v>183</v>
      </c>
      <c r="D3094" s="129" t="s">
        <v>17504</v>
      </c>
    </row>
    <row r="3095" spans="1:4">
      <c r="A3095" s="105">
        <v>101490</v>
      </c>
      <c r="B3095" s="104" t="s">
        <v>3218</v>
      </c>
      <c r="C3095" s="104" t="s">
        <v>183</v>
      </c>
      <c r="D3095" s="129" t="s">
        <v>17505</v>
      </c>
    </row>
    <row r="3096" spans="1:4">
      <c r="A3096" s="105">
        <v>101491</v>
      </c>
      <c r="B3096" s="104" t="s">
        <v>3219</v>
      </c>
      <c r="C3096" s="104" t="s">
        <v>183</v>
      </c>
      <c r="D3096" s="129" t="s">
        <v>17506</v>
      </c>
    </row>
    <row r="3097" spans="1:4">
      <c r="A3097" s="105">
        <v>101492</v>
      </c>
      <c r="B3097" s="104" t="s">
        <v>3220</v>
      </c>
      <c r="C3097" s="104" t="s">
        <v>183</v>
      </c>
      <c r="D3097" s="129" t="s">
        <v>17507</v>
      </c>
    </row>
    <row r="3098" spans="1:4">
      <c r="A3098" s="105">
        <v>101493</v>
      </c>
      <c r="B3098" s="104" t="s">
        <v>3221</v>
      </c>
      <c r="C3098" s="104" t="s">
        <v>183</v>
      </c>
      <c r="D3098" s="129" t="s">
        <v>17508</v>
      </c>
    </row>
    <row r="3099" spans="1:4">
      <c r="A3099" s="105">
        <v>101494</v>
      </c>
      <c r="B3099" s="104" t="s">
        <v>3222</v>
      </c>
      <c r="C3099" s="104" t="s">
        <v>183</v>
      </c>
      <c r="D3099" s="129" t="s">
        <v>17509</v>
      </c>
    </row>
    <row r="3100" spans="1:4">
      <c r="A3100" s="105">
        <v>101495</v>
      </c>
      <c r="B3100" s="104" t="s">
        <v>3223</v>
      </c>
      <c r="C3100" s="104" t="s">
        <v>183</v>
      </c>
      <c r="D3100" s="129" t="s">
        <v>17510</v>
      </c>
    </row>
    <row r="3101" spans="1:4">
      <c r="A3101" s="105">
        <v>101496</v>
      </c>
      <c r="B3101" s="104" t="s">
        <v>3224</v>
      </c>
      <c r="C3101" s="104" t="s">
        <v>183</v>
      </c>
      <c r="D3101" s="129" t="s">
        <v>17511</v>
      </c>
    </row>
    <row r="3102" spans="1:4">
      <c r="A3102" s="105">
        <v>101497</v>
      </c>
      <c r="B3102" s="104" t="s">
        <v>3225</v>
      </c>
      <c r="C3102" s="104" t="s">
        <v>183</v>
      </c>
      <c r="D3102" s="129" t="s">
        <v>17512</v>
      </c>
    </row>
    <row r="3103" spans="1:4">
      <c r="A3103" s="105">
        <v>101498</v>
      </c>
      <c r="B3103" s="104" t="s">
        <v>3226</v>
      </c>
      <c r="C3103" s="104" t="s">
        <v>183</v>
      </c>
      <c r="D3103" s="129" t="s">
        <v>17513</v>
      </c>
    </row>
    <row r="3104" spans="1:4">
      <c r="A3104" s="105">
        <v>101499</v>
      </c>
      <c r="B3104" s="104" t="s">
        <v>3227</v>
      </c>
      <c r="C3104" s="104" t="s">
        <v>183</v>
      </c>
      <c r="D3104" s="129" t="s">
        <v>17514</v>
      </c>
    </row>
    <row r="3105" spans="1:4">
      <c r="A3105" s="105">
        <v>101500</v>
      </c>
      <c r="B3105" s="104" t="s">
        <v>3228</v>
      </c>
      <c r="C3105" s="104" t="s">
        <v>183</v>
      </c>
      <c r="D3105" s="129" t="s">
        <v>17515</v>
      </c>
    </row>
    <row r="3106" spans="1:4">
      <c r="A3106" s="105">
        <v>101501</v>
      </c>
      <c r="B3106" s="104" t="s">
        <v>3229</v>
      </c>
      <c r="C3106" s="104" t="s">
        <v>183</v>
      </c>
      <c r="D3106" s="129" t="s">
        <v>17516</v>
      </c>
    </row>
    <row r="3107" spans="1:4">
      <c r="A3107" s="105">
        <v>101502</v>
      </c>
      <c r="B3107" s="104" t="s">
        <v>3230</v>
      </c>
      <c r="C3107" s="104" t="s">
        <v>183</v>
      </c>
      <c r="D3107" s="129" t="s">
        <v>17517</v>
      </c>
    </row>
    <row r="3108" spans="1:4">
      <c r="A3108" s="105">
        <v>101503</v>
      </c>
      <c r="B3108" s="104" t="s">
        <v>3231</v>
      </c>
      <c r="C3108" s="104" t="s">
        <v>183</v>
      </c>
      <c r="D3108" s="129" t="s">
        <v>17518</v>
      </c>
    </row>
    <row r="3109" spans="1:4">
      <c r="A3109" s="105">
        <v>101504</v>
      </c>
      <c r="B3109" s="104" t="s">
        <v>3232</v>
      </c>
      <c r="C3109" s="104" t="s">
        <v>183</v>
      </c>
      <c r="D3109" s="129" t="s">
        <v>17519</v>
      </c>
    </row>
    <row r="3110" spans="1:4">
      <c r="A3110" s="105">
        <v>101505</v>
      </c>
      <c r="B3110" s="104" t="s">
        <v>3233</v>
      </c>
      <c r="C3110" s="104" t="s">
        <v>183</v>
      </c>
      <c r="D3110" s="129" t="s">
        <v>17520</v>
      </c>
    </row>
    <row r="3111" spans="1:4">
      <c r="A3111" s="105">
        <v>101506</v>
      </c>
      <c r="B3111" s="104" t="s">
        <v>3234</v>
      </c>
      <c r="C3111" s="104" t="s">
        <v>183</v>
      </c>
      <c r="D3111" s="129" t="s">
        <v>17521</v>
      </c>
    </row>
    <row r="3112" spans="1:4">
      <c r="A3112" s="105">
        <v>101507</v>
      </c>
      <c r="B3112" s="104" t="s">
        <v>3235</v>
      </c>
      <c r="C3112" s="104" t="s">
        <v>183</v>
      </c>
      <c r="D3112" s="129" t="s">
        <v>17522</v>
      </c>
    </row>
    <row r="3113" spans="1:4">
      <c r="A3113" s="105">
        <v>101508</v>
      </c>
      <c r="B3113" s="104" t="s">
        <v>3236</v>
      </c>
      <c r="C3113" s="104" t="s">
        <v>183</v>
      </c>
      <c r="D3113" s="129" t="s">
        <v>17523</v>
      </c>
    </row>
    <row r="3114" spans="1:4">
      <c r="A3114" s="105">
        <v>101509</v>
      </c>
      <c r="B3114" s="104" t="s">
        <v>3237</v>
      </c>
      <c r="C3114" s="104" t="s">
        <v>183</v>
      </c>
      <c r="D3114" s="129" t="s">
        <v>17524</v>
      </c>
    </row>
    <row r="3115" spans="1:4">
      <c r="A3115" s="105">
        <v>101510</v>
      </c>
      <c r="B3115" s="104" t="s">
        <v>3238</v>
      </c>
      <c r="C3115" s="104" t="s">
        <v>183</v>
      </c>
      <c r="D3115" s="129" t="s">
        <v>17525</v>
      </c>
    </row>
    <row r="3116" spans="1:4">
      <c r="A3116" s="105">
        <v>101511</v>
      </c>
      <c r="B3116" s="104" t="s">
        <v>3239</v>
      </c>
      <c r="C3116" s="104" t="s">
        <v>183</v>
      </c>
      <c r="D3116" s="129" t="s">
        <v>17526</v>
      </c>
    </row>
    <row r="3117" spans="1:4">
      <c r="A3117" s="105">
        <v>101512</v>
      </c>
      <c r="B3117" s="104" t="s">
        <v>3240</v>
      </c>
      <c r="C3117" s="104" t="s">
        <v>183</v>
      </c>
      <c r="D3117" s="129" t="s">
        <v>17527</v>
      </c>
    </row>
    <row r="3118" spans="1:4">
      <c r="A3118" s="105">
        <v>101513</v>
      </c>
      <c r="B3118" s="104" t="s">
        <v>3241</v>
      </c>
      <c r="C3118" s="104" t="s">
        <v>183</v>
      </c>
      <c r="D3118" s="129" t="s">
        <v>17528</v>
      </c>
    </row>
    <row r="3119" spans="1:4">
      <c r="A3119" s="105">
        <v>101514</v>
      </c>
      <c r="B3119" s="104" t="s">
        <v>3242</v>
      </c>
      <c r="C3119" s="104" t="s">
        <v>183</v>
      </c>
      <c r="D3119" s="129" t="s">
        <v>17529</v>
      </c>
    </row>
    <row r="3120" spans="1:4">
      <c r="A3120" s="105">
        <v>101515</v>
      </c>
      <c r="B3120" s="104" t="s">
        <v>3243</v>
      </c>
      <c r="C3120" s="104" t="s">
        <v>183</v>
      </c>
      <c r="D3120" s="129" t="s">
        <v>17530</v>
      </c>
    </row>
    <row r="3121" spans="1:4">
      <c r="A3121" s="105">
        <v>101516</v>
      </c>
      <c r="B3121" s="104" t="s">
        <v>3244</v>
      </c>
      <c r="C3121" s="104" t="s">
        <v>183</v>
      </c>
      <c r="D3121" s="129" t="s">
        <v>17531</v>
      </c>
    </row>
    <row r="3122" spans="1:4">
      <c r="A3122" s="105">
        <v>101517</v>
      </c>
      <c r="B3122" s="104" t="s">
        <v>3245</v>
      </c>
      <c r="C3122" s="104" t="s">
        <v>183</v>
      </c>
      <c r="D3122" s="129" t="s">
        <v>17532</v>
      </c>
    </row>
    <row r="3123" spans="1:4">
      <c r="A3123" s="105">
        <v>101518</v>
      </c>
      <c r="B3123" s="104" t="s">
        <v>3246</v>
      </c>
      <c r="C3123" s="104" t="s">
        <v>183</v>
      </c>
      <c r="D3123" s="129" t="s">
        <v>17533</v>
      </c>
    </row>
    <row r="3124" spans="1:4">
      <c r="A3124" s="105">
        <v>101519</v>
      </c>
      <c r="B3124" s="104" t="s">
        <v>3247</v>
      </c>
      <c r="C3124" s="104" t="s">
        <v>183</v>
      </c>
      <c r="D3124" s="129" t="s">
        <v>17534</v>
      </c>
    </row>
    <row r="3125" spans="1:4">
      <c r="A3125" s="105">
        <v>101520</v>
      </c>
      <c r="B3125" s="104" t="s">
        <v>3248</v>
      </c>
      <c r="C3125" s="104" t="s">
        <v>183</v>
      </c>
      <c r="D3125" s="129" t="s">
        <v>17535</v>
      </c>
    </row>
    <row r="3126" spans="1:4">
      <c r="A3126" s="105">
        <v>101521</v>
      </c>
      <c r="B3126" s="104" t="s">
        <v>3249</v>
      </c>
      <c r="C3126" s="104" t="s">
        <v>183</v>
      </c>
      <c r="D3126" s="129" t="s">
        <v>17536</v>
      </c>
    </row>
    <row r="3127" spans="1:4">
      <c r="A3127" s="105">
        <v>101522</v>
      </c>
      <c r="B3127" s="104" t="s">
        <v>3250</v>
      </c>
      <c r="C3127" s="104" t="s">
        <v>183</v>
      </c>
      <c r="D3127" s="129" t="s">
        <v>17537</v>
      </c>
    </row>
    <row r="3128" spans="1:4">
      <c r="A3128" s="105">
        <v>101523</v>
      </c>
      <c r="B3128" s="104" t="s">
        <v>3251</v>
      </c>
      <c r="C3128" s="104" t="s">
        <v>183</v>
      </c>
      <c r="D3128" s="129" t="s">
        <v>17538</v>
      </c>
    </row>
    <row r="3129" spans="1:4">
      <c r="A3129" s="105">
        <v>101524</v>
      </c>
      <c r="B3129" s="104" t="s">
        <v>3252</v>
      </c>
      <c r="C3129" s="104" t="s">
        <v>183</v>
      </c>
      <c r="D3129" s="129" t="s">
        <v>17539</v>
      </c>
    </row>
    <row r="3130" spans="1:4">
      <c r="A3130" s="105">
        <v>101525</v>
      </c>
      <c r="B3130" s="104" t="s">
        <v>3253</v>
      </c>
      <c r="C3130" s="104" t="s">
        <v>183</v>
      </c>
      <c r="D3130" s="129" t="s">
        <v>17540</v>
      </c>
    </row>
    <row r="3131" spans="1:4">
      <c r="A3131" s="105">
        <v>101526</v>
      </c>
      <c r="B3131" s="104" t="s">
        <v>3254</v>
      </c>
      <c r="C3131" s="104" t="s">
        <v>183</v>
      </c>
      <c r="D3131" s="129" t="s">
        <v>17541</v>
      </c>
    </row>
    <row r="3132" spans="1:4">
      <c r="A3132" s="105">
        <v>101527</v>
      </c>
      <c r="B3132" s="104" t="s">
        <v>3255</v>
      </c>
      <c r="C3132" s="104" t="s">
        <v>183</v>
      </c>
      <c r="D3132" s="129" t="s">
        <v>17542</v>
      </c>
    </row>
    <row r="3133" spans="1:4">
      <c r="A3133" s="105">
        <v>101528</v>
      </c>
      <c r="B3133" s="104" t="s">
        <v>3256</v>
      </c>
      <c r="C3133" s="104" t="s">
        <v>183</v>
      </c>
      <c r="D3133" s="129" t="s">
        <v>17543</v>
      </c>
    </row>
    <row r="3134" spans="1:4">
      <c r="A3134" s="105">
        <v>101529</v>
      </c>
      <c r="B3134" s="104" t="s">
        <v>3257</v>
      </c>
      <c r="C3134" s="104" t="s">
        <v>183</v>
      </c>
      <c r="D3134" s="129" t="s">
        <v>17544</v>
      </c>
    </row>
    <row r="3135" spans="1:4">
      <c r="A3135" s="105">
        <v>101530</v>
      </c>
      <c r="B3135" s="104" t="s">
        <v>3258</v>
      </c>
      <c r="C3135" s="104" t="s">
        <v>183</v>
      </c>
      <c r="D3135" s="129" t="s">
        <v>17545</v>
      </c>
    </row>
    <row r="3136" spans="1:4">
      <c r="A3136" s="105">
        <v>101531</v>
      </c>
      <c r="B3136" s="104" t="s">
        <v>3259</v>
      </c>
      <c r="C3136" s="104" t="s">
        <v>183</v>
      </c>
      <c r="D3136" s="129" t="s">
        <v>17546</v>
      </c>
    </row>
    <row r="3137" spans="1:4">
      <c r="A3137" s="105">
        <v>101532</v>
      </c>
      <c r="B3137" s="104" t="s">
        <v>3260</v>
      </c>
      <c r="C3137" s="104" t="s">
        <v>183</v>
      </c>
      <c r="D3137" s="129" t="s">
        <v>17547</v>
      </c>
    </row>
    <row r="3138" spans="1:4">
      <c r="A3138" s="105">
        <v>101533</v>
      </c>
      <c r="B3138" s="104" t="s">
        <v>3261</v>
      </c>
      <c r="C3138" s="104" t="s">
        <v>183</v>
      </c>
      <c r="D3138" s="129" t="s">
        <v>17548</v>
      </c>
    </row>
    <row r="3139" spans="1:4">
      <c r="A3139" s="105">
        <v>101534</v>
      </c>
      <c r="B3139" s="104" t="s">
        <v>3262</v>
      </c>
      <c r="C3139" s="104" t="s">
        <v>183</v>
      </c>
      <c r="D3139" s="129" t="s">
        <v>17549</v>
      </c>
    </row>
    <row r="3140" spans="1:4">
      <c r="A3140" s="105">
        <v>101535</v>
      </c>
      <c r="B3140" s="104" t="s">
        <v>3263</v>
      </c>
      <c r="C3140" s="104" t="s">
        <v>183</v>
      </c>
      <c r="D3140" s="129" t="s">
        <v>17550</v>
      </c>
    </row>
    <row r="3141" spans="1:4">
      <c r="A3141" s="105">
        <v>101536</v>
      </c>
      <c r="B3141" s="104" t="s">
        <v>3264</v>
      </c>
      <c r="C3141" s="104" t="s">
        <v>183</v>
      </c>
      <c r="D3141" s="129" t="s">
        <v>17551</v>
      </c>
    </row>
    <row r="3142" spans="1:4">
      <c r="A3142" s="105">
        <v>101537</v>
      </c>
      <c r="B3142" s="104" t="s">
        <v>3265</v>
      </c>
      <c r="C3142" s="104" t="s">
        <v>183</v>
      </c>
      <c r="D3142" s="129" t="s">
        <v>17552</v>
      </c>
    </row>
    <row r="3143" spans="1:4">
      <c r="A3143" s="105">
        <v>101538</v>
      </c>
      <c r="B3143" s="104" t="s">
        <v>3266</v>
      </c>
      <c r="C3143" s="104" t="s">
        <v>183</v>
      </c>
      <c r="D3143" s="129" t="s">
        <v>17553</v>
      </c>
    </row>
    <row r="3144" spans="1:4">
      <c r="A3144" s="105">
        <v>101539</v>
      </c>
      <c r="B3144" s="104" t="s">
        <v>3267</v>
      </c>
      <c r="C3144" s="104" t="s">
        <v>183</v>
      </c>
      <c r="D3144" s="129" t="s">
        <v>17554</v>
      </c>
    </row>
    <row r="3145" spans="1:4">
      <c r="A3145" s="105">
        <v>101540</v>
      </c>
      <c r="B3145" s="104" t="s">
        <v>3268</v>
      </c>
      <c r="C3145" s="104" t="s">
        <v>183</v>
      </c>
      <c r="D3145" s="129" t="s">
        <v>17555</v>
      </c>
    </row>
    <row r="3146" spans="1:4">
      <c r="A3146" s="105">
        <v>101541</v>
      </c>
      <c r="B3146" s="104" t="s">
        <v>3269</v>
      </c>
      <c r="C3146" s="104" t="s">
        <v>183</v>
      </c>
      <c r="D3146" s="129" t="s">
        <v>17556</v>
      </c>
    </row>
    <row r="3147" spans="1:4">
      <c r="A3147" s="105">
        <v>101542</v>
      </c>
      <c r="B3147" s="104" t="s">
        <v>3270</v>
      </c>
      <c r="C3147" s="104" t="s">
        <v>183</v>
      </c>
      <c r="D3147" s="129" t="s">
        <v>17557</v>
      </c>
    </row>
    <row r="3148" spans="1:4">
      <c r="A3148" s="105">
        <v>101543</v>
      </c>
      <c r="B3148" s="104" t="s">
        <v>3271</v>
      </c>
      <c r="C3148" s="104" t="s">
        <v>183</v>
      </c>
      <c r="D3148" s="129" t="s">
        <v>17558</v>
      </c>
    </row>
    <row r="3149" spans="1:4">
      <c r="A3149" s="105">
        <v>101544</v>
      </c>
      <c r="B3149" s="104" t="s">
        <v>3272</v>
      </c>
      <c r="C3149" s="104" t="s">
        <v>183</v>
      </c>
      <c r="D3149" s="129" t="s">
        <v>17559</v>
      </c>
    </row>
    <row r="3150" spans="1:4">
      <c r="A3150" s="105">
        <v>101545</v>
      </c>
      <c r="B3150" s="104" t="s">
        <v>3273</v>
      </c>
      <c r="C3150" s="104" t="s">
        <v>183</v>
      </c>
      <c r="D3150" s="129" t="s">
        <v>17560</v>
      </c>
    </row>
    <row r="3151" spans="1:4">
      <c r="A3151" s="105">
        <v>101546</v>
      </c>
      <c r="B3151" s="104" t="s">
        <v>3274</v>
      </c>
      <c r="C3151" s="104" t="s">
        <v>183</v>
      </c>
      <c r="D3151" s="129" t="s">
        <v>17561</v>
      </c>
    </row>
    <row r="3152" spans="1:4">
      <c r="A3152" s="105">
        <v>101547</v>
      </c>
      <c r="B3152" s="104" t="s">
        <v>3275</v>
      </c>
      <c r="C3152" s="104" t="s">
        <v>183</v>
      </c>
      <c r="D3152" s="129" t="s">
        <v>17562</v>
      </c>
    </row>
    <row r="3153" spans="1:4">
      <c r="A3153" s="105">
        <v>101548</v>
      </c>
      <c r="B3153" s="104" t="s">
        <v>3276</v>
      </c>
      <c r="C3153" s="104" t="s">
        <v>183</v>
      </c>
      <c r="D3153" s="129" t="s">
        <v>15309</v>
      </c>
    </row>
    <row r="3154" spans="1:4">
      <c r="A3154" s="105">
        <v>101549</v>
      </c>
      <c r="B3154" s="104" t="s">
        <v>3277</v>
      </c>
      <c r="C3154" s="104" t="s">
        <v>183</v>
      </c>
      <c r="D3154" s="129" t="s">
        <v>16956</v>
      </c>
    </row>
    <row r="3155" spans="1:4">
      <c r="A3155" s="105">
        <v>101553</v>
      </c>
      <c r="B3155" s="104" t="s">
        <v>3278</v>
      </c>
      <c r="C3155" s="104" t="s">
        <v>183</v>
      </c>
      <c r="D3155" s="129" t="s">
        <v>17563</v>
      </c>
    </row>
    <row r="3156" spans="1:4">
      <c r="A3156" s="105">
        <v>101554</v>
      </c>
      <c r="B3156" s="104" t="s">
        <v>3279</v>
      </c>
      <c r="C3156" s="104" t="s">
        <v>183</v>
      </c>
      <c r="D3156" s="129" t="s">
        <v>16980</v>
      </c>
    </row>
    <row r="3157" spans="1:4">
      <c r="A3157" s="105">
        <v>101555</v>
      </c>
      <c r="B3157" s="104" t="s">
        <v>3280</v>
      </c>
      <c r="C3157" s="104" t="s">
        <v>183</v>
      </c>
      <c r="D3157" s="129" t="s">
        <v>17564</v>
      </c>
    </row>
    <row r="3158" spans="1:4">
      <c r="A3158" s="105">
        <v>101556</v>
      </c>
      <c r="B3158" s="104" t="s">
        <v>3281</v>
      </c>
      <c r="C3158" s="104" t="s">
        <v>183</v>
      </c>
      <c r="D3158" s="129" t="s">
        <v>15383</v>
      </c>
    </row>
    <row r="3159" spans="1:4">
      <c r="A3159" s="105">
        <v>101560</v>
      </c>
      <c r="B3159" s="104" t="s">
        <v>3282</v>
      </c>
      <c r="C3159" s="104" t="s">
        <v>40</v>
      </c>
      <c r="D3159" s="129" t="s">
        <v>17565</v>
      </c>
    </row>
    <row r="3160" spans="1:4">
      <c r="A3160" s="105">
        <v>101561</v>
      </c>
      <c r="B3160" s="104" t="s">
        <v>3283</v>
      </c>
      <c r="C3160" s="104" t="s">
        <v>40</v>
      </c>
      <c r="D3160" s="129" t="s">
        <v>15850</v>
      </c>
    </row>
    <row r="3161" spans="1:4">
      <c r="A3161" s="105">
        <v>101562</v>
      </c>
      <c r="B3161" s="104" t="s">
        <v>3284</v>
      </c>
      <c r="C3161" s="104" t="s">
        <v>40</v>
      </c>
      <c r="D3161" s="129" t="s">
        <v>17566</v>
      </c>
    </row>
    <row r="3162" spans="1:4">
      <c r="A3162" s="105">
        <v>101563</v>
      </c>
      <c r="B3162" s="104" t="s">
        <v>3285</v>
      </c>
      <c r="C3162" s="104" t="s">
        <v>40</v>
      </c>
      <c r="D3162" s="129" t="s">
        <v>17567</v>
      </c>
    </row>
    <row r="3163" spans="1:4">
      <c r="A3163" s="105">
        <v>101564</v>
      </c>
      <c r="B3163" s="104" t="s">
        <v>3286</v>
      </c>
      <c r="C3163" s="104" t="s">
        <v>40</v>
      </c>
      <c r="D3163" s="129" t="s">
        <v>17568</v>
      </c>
    </row>
    <row r="3164" spans="1:4">
      <c r="A3164" s="105">
        <v>101565</v>
      </c>
      <c r="B3164" s="104" t="s">
        <v>3287</v>
      </c>
      <c r="C3164" s="104" t="s">
        <v>40</v>
      </c>
      <c r="D3164" s="129" t="s">
        <v>17569</v>
      </c>
    </row>
    <row r="3165" spans="1:4">
      <c r="A3165" s="105">
        <v>101567</v>
      </c>
      <c r="B3165" s="104" t="s">
        <v>3288</v>
      </c>
      <c r="C3165" s="104" t="s">
        <v>40</v>
      </c>
      <c r="D3165" s="129" t="s">
        <v>17570</v>
      </c>
    </row>
    <row r="3166" spans="1:4">
      <c r="A3166" s="105">
        <v>101568</v>
      </c>
      <c r="B3166" s="104" t="s">
        <v>3289</v>
      </c>
      <c r="C3166" s="104" t="s">
        <v>40</v>
      </c>
      <c r="D3166" s="129" t="s">
        <v>17571</v>
      </c>
    </row>
    <row r="3167" spans="1:4">
      <c r="A3167" s="105">
        <v>101626</v>
      </c>
      <c r="B3167" s="104" t="s">
        <v>3290</v>
      </c>
      <c r="C3167" s="104" t="s">
        <v>183</v>
      </c>
      <c r="D3167" s="129" t="s">
        <v>17572</v>
      </c>
    </row>
    <row r="3168" spans="1:4">
      <c r="A3168" s="105">
        <v>101627</v>
      </c>
      <c r="B3168" s="104" t="s">
        <v>3291</v>
      </c>
      <c r="C3168" s="104" t="s">
        <v>183</v>
      </c>
      <c r="D3168" s="129" t="s">
        <v>17573</v>
      </c>
    </row>
    <row r="3169" spans="1:4">
      <c r="A3169" s="105">
        <v>101628</v>
      </c>
      <c r="B3169" s="104" t="s">
        <v>3292</v>
      </c>
      <c r="C3169" s="104" t="s">
        <v>183</v>
      </c>
      <c r="D3169" s="129" t="s">
        <v>17574</v>
      </c>
    </row>
    <row r="3170" spans="1:4">
      <c r="A3170" s="105">
        <v>101629</v>
      </c>
      <c r="B3170" s="104" t="s">
        <v>3293</v>
      </c>
      <c r="C3170" s="104" t="s">
        <v>183</v>
      </c>
      <c r="D3170" s="129" t="s">
        <v>17575</v>
      </c>
    </row>
    <row r="3171" spans="1:4">
      <c r="A3171" s="105">
        <v>101630</v>
      </c>
      <c r="B3171" s="104" t="s">
        <v>3294</v>
      </c>
      <c r="C3171" s="104" t="s">
        <v>183</v>
      </c>
      <c r="D3171" s="129" t="s">
        <v>17576</v>
      </c>
    </row>
    <row r="3172" spans="1:4">
      <c r="A3172" s="105">
        <v>101631</v>
      </c>
      <c r="B3172" s="104" t="s">
        <v>3295</v>
      </c>
      <c r="C3172" s="104" t="s">
        <v>183</v>
      </c>
      <c r="D3172" s="129" t="s">
        <v>15902</v>
      </c>
    </row>
    <row r="3173" spans="1:4">
      <c r="A3173" s="105">
        <v>101632</v>
      </c>
      <c r="B3173" s="104" t="s">
        <v>3296</v>
      </c>
      <c r="C3173" s="104" t="s">
        <v>183</v>
      </c>
      <c r="D3173" s="129" t="s">
        <v>17577</v>
      </c>
    </row>
    <row r="3174" spans="1:4">
      <c r="A3174" s="105">
        <v>101633</v>
      </c>
      <c r="B3174" s="104" t="s">
        <v>3297</v>
      </c>
      <c r="C3174" s="104" t="s">
        <v>183</v>
      </c>
      <c r="D3174" s="129" t="s">
        <v>17578</v>
      </c>
    </row>
    <row r="3175" spans="1:4">
      <c r="A3175" s="105">
        <v>101636</v>
      </c>
      <c r="B3175" s="104" t="s">
        <v>3298</v>
      </c>
      <c r="C3175" s="104" t="s">
        <v>183</v>
      </c>
      <c r="D3175" s="129" t="s">
        <v>17579</v>
      </c>
    </row>
    <row r="3176" spans="1:4">
      <c r="A3176" s="105">
        <v>101637</v>
      </c>
      <c r="B3176" s="104" t="s">
        <v>3299</v>
      </c>
      <c r="C3176" s="104" t="s">
        <v>183</v>
      </c>
      <c r="D3176" s="129" t="s">
        <v>17580</v>
      </c>
    </row>
    <row r="3177" spans="1:4">
      <c r="A3177" s="105">
        <v>101640</v>
      </c>
      <c r="B3177" s="104" t="s">
        <v>3300</v>
      </c>
      <c r="C3177" s="104" t="s">
        <v>183</v>
      </c>
      <c r="D3177" s="129" t="s">
        <v>17581</v>
      </c>
    </row>
    <row r="3178" spans="1:4">
      <c r="A3178" s="105">
        <v>101641</v>
      </c>
      <c r="B3178" s="104" t="s">
        <v>3301</v>
      </c>
      <c r="C3178" s="104" t="s">
        <v>183</v>
      </c>
      <c r="D3178" s="129" t="s">
        <v>17582</v>
      </c>
    </row>
    <row r="3179" spans="1:4">
      <c r="A3179" s="105">
        <v>101642</v>
      </c>
      <c r="B3179" s="104" t="s">
        <v>3302</v>
      </c>
      <c r="C3179" s="104" t="s">
        <v>183</v>
      </c>
      <c r="D3179" s="129" t="s">
        <v>17278</v>
      </c>
    </row>
    <row r="3180" spans="1:4">
      <c r="A3180" s="105">
        <v>101643</v>
      </c>
      <c r="B3180" s="104" t="s">
        <v>3303</v>
      </c>
      <c r="C3180" s="104" t="s">
        <v>183</v>
      </c>
      <c r="D3180" s="129" t="s">
        <v>17583</v>
      </c>
    </row>
    <row r="3181" spans="1:4">
      <c r="A3181" s="105">
        <v>101644</v>
      </c>
      <c r="B3181" s="104" t="s">
        <v>3304</v>
      </c>
      <c r="C3181" s="104" t="s">
        <v>183</v>
      </c>
      <c r="D3181" s="129" t="s">
        <v>17584</v>
      </c>
    </row>
    <row r="3182" spans="1:4">
      <c r="A3182" s="105">
        <v>101645</v>
      </c>
      <c r="B3182" s="104" t="s">
        <v>3305</v>
      </c>
      <c r="C3182" s="104" t="s">
        <v>183</v>
      </c>
      <c r="D3182" s="129" t="s">
        <v>17585</v>
      </c>
    </row>
    <row r="3183" spans="1:4">
      <c r="A3183" s="105">
        <v>101646</v>
      </c>
      <c r="B3183" s="104" t="s">
        <v>3306</v>
      </c>
      <c r="C3183" s="104" t="s">
        <v>183</v>
      </c>
      <c r="D3183" s="129" t="s">
        <v>17586</v>
      </c>
    </row>
    <row r="3184" spans="1:4">
      <c r="A3184" s="105">
        <v>101647</v>
      </c>
      <c r="B3184" s="104" t="s">
        <v>3307</v>
      </c>
      <c r="C3184" s="104" t="s">
        <v>183</v>
      </c>
      <c r="D3184" s="129" t="s">
        <v>15454</v>
      </c>
    </row>
    <row r="3185" spans="1:4">
      <c r="A3185" s="105">
        <v>101648</v>
      </c>
      <c r="B3185" s="104" t="s">
        <v>3308</v>
      </c>
      <c r="C3185" s="104" t="s">
        <v>183</v>
      </c>
      <c r="D3185" s="129" t="s">
        <v>17587</v>
      </c>
    </row>
    <row r="3186" spans="1:4">
      <c r="A3186" s="105">
        <v>101649</v>
      </c>
      <c r="B3186" s="104" t="s">
        <v>3309</v>
      </c>
      <c r="C3186" s="104" t="s">
        <v>183</v>
      </c>
      <c r="D3186" s="129" t="s">
        <v>17588</v>
      </c>
    </row>
    <row r="3187" spans="1:4">
      <c r="A3187" s="105">
        <v>101650</v>
      </c>
      <c r="B3187" s="104" t="s">
        <v>3310</v>
      </c>
      <c r="C3187" s="104" t="s">
        <v>183</v>
      </c>
      <c r="D3187" s="129" t="s">
        <v>17589</v>
      </c>
    </row>
    <row r="3188" spans="1:4">
      <c r="A3188" s="105">
        <v>101651</v>
      </c>
      <c r="B3188" s="104" t="s">
        <v>3311</v>
      </c>
      <c r="C3188" s="104" t="s">
        <v>183</v>
      </c>
      <c r="D3188" s="129" t="s">
        <v>17590</v>
      </c>
    </row>
    <row r="3189" spans="1:4">
      <c r="A3189" s="105">
        <v>101652</v>
      </c>
      <c r="B3189" s="104" t="s">
        <v>3312</v>
      </c>
      <c r="C3189" s="104" t="s">
        <v>183</v>
      </c>
      <c r="D3189" s="129" t="s">
        <v>17591</v>
      </c>
    </row>
    <row r="3190" spans="1:4">
      <c r="A3190" s="105">
        <v>101653</v>
      </c>
      <c r="B3190" s="104" t="s">
        <v>3313</v>
      </c>
      <c r="C3190" s="104" t="s">
        <v>183</v>
      </c>
      <c r="D3190" s="129" t="s">
        <v>17592</v>
      </c>
    </row>
    <row r="3191" spans="1:4">
      <c r="A3191" s="105">
        <v>101654</v>
      </c>
      <c r="B3191" s="104" t="s">
        <v>3314</v>
      </c>
      <c r="C3191" s="104" t="s">
        <v>183</v>
      </c>
      <c r="D3191" s="129" t="s">
        <v>17593</v>
      </c>
    </row>
    <row r="3192" spans="1:4">
      <c r="A3192" s="105">
        <v>101655</v>
      </c>
      <c r="B3192" s="104" t="s">
        <v>3315</v>
      </c>
      <c r="C3192" s="104" t="s">
        <v>183</v>
      </c>
      <c r="D3192" s="129" t="s">
        <v>17594</v>
      </c>
    </row>
    <row r="3193" spans="1:4">
      <c r="A3193" s="105">
        <v>101656</v>
      </c>
      <c r="B3193" s="104" t="s">
        <v>3316</v>
      </c>
      <c r="C3193" s="104" t="s">
        <v>183</v>
      </c>
      <c r="D3193" s="129" t="s">
        <v>17595</v>
      </c>
    </row>
    <row r="3194" spans="1:4">
      <c r="A3194" s="105">
        <v>101657</v>
      </c>
      <c r="B3194" s="104" t="s">
        <v>3317</v>
      </c>
      <c r="C3194" s="104" t="s">
        <v>183</v>
      </c>
      <c r="D3194" s="129" t="s">
        <v>17596</v>
      </c>
    </row>
    <row r="3195" spans="1:4">
      <c r="A3195" s="105">
        <v>101658</v>
      </c>
      <c r="B3195" s="104" t="s">
        <v>3318</v>
      </c>
      <c r="C3195" s="104" t="s">
        <v>183</v>
      </c>
      <c r="D3195" s="129" t="s">
        <v>17597</v>
      </c>
    </row>
    <row r="3196" spans="1:4">
      <c r="A3196" s="105">
        <v>101659</v>
      </c>
      <c r="B3196" s="104" t="s">
        <v>3319</v>
      </c>
      <c r="C3196" s="104" t="s">
        <v>183</v>
      </c>
      <c r="D3196" s="129" t="s">
        <v>17598</v>
      </c>
    </row>
    <row r="3197" spans="1:4">
      <c r="A3197" s="105">
        <v>101660</v>
      </c>
      <c r="B3197" s="104" t="s">
        <v>3320</v>
      </c>
      <c r="C3197" s="104" t="s">
        <v>183</v>
      </c>
      <c r="D3197" s="129" t="s">
        <v>17599</v>
      </c>
    </row>
    <row r="3198" spans="1:4">
      <c r="A3198" s="105">
        <v>101661</v>
      </c>
      <c r="B3198" s="104" t="s">
        <v>3321</v>
      </c>
      <c r="C3198" s="104" t="s">
        <v>183</v>
      </c>
      <c r="D3198" s="129" t="s">
        <v>17600</v>
      </c>
    </row>
    <row r="3199" spans="1:4">
      <c r="A3199" s="105">
        <v>101662</v>
      </c>
      <c r="B3199" s="104" t="s">
        <v>3322</v>
      </c>
      <c r="C3199" s="104" t="s">
        <v>183</v>
      </c>
      <c r="D3199" s="129" t="s">
        <v>17601</v>
      </c>
    </row>
    <row r="3200" spans="1:4">
      <c r="A3200" s="105">
        <v>101663</v>
      </c>
      <c r="B3200" s="104" t="s">
        <v>3323</v>
      </c>
      <c r="C3200" s="104" t="s">
        <v>183</v>
      </c>
      <c r="D3200" s="129" t="s">
        <v>17602</v>
      </c>
    </row>
    <row r="3201" spans="1:4">
      <c r="A3201" s="105">
        <v>101664</v>
      </c>
      <c r="B3201" s="104" t="s">
        <v>3324</v>
      </c>
      <c r="C3201" s="104" t="s">
        <v>183</v>
      </c>
      <c r="D3201" s="129" t="s">
        <v>17603</v>
      </c>
    </row>
    <row r="3202" spans="1:4">
      <c r="A3202" s="105">
        <v>101665</v>
      </c>
      <c r="B3202" s="104" t="s">
        <v>3325</v>
      </c>
      <c r="C3202" s="104" t="s">
        <v>183</v>
      </c>
      <c r="D3202" s="129" t="s">
        <v>17604</v>
      </c>
    </row>
    <row r="3203" spans="1:4">
      <c r="A3203" s="105">
        <v>101666</v>
      </c>
      <c r="B3203" s="104" t="s">
        <v>3326</v>
      </c>
      <c r="C3203" s="104" t="s">
        <v>183</v>
      </c>
      <c r="D3203" s="129" t="s">
        <v>17605</v>
      </c>
    </row>
    <row r="3204" spans="1:4">
      <c r="A3204" s="105">
        <v>102085</v>
      </c>
      <c r="B3204" s="104" t="s">
        <v>3327</v>
      </c>
      <c r="C3204" s="104" t="s">
        <v>183</v>
      </c>
      <c r="D3204" s="129" t="s">
        <v>17606</v>
      </c>
    </row>
    <row r="3205" spans="1:4">
      <c r="A3205" s="105">
        <v>100578</v>
      </c>
      <c r="B3205" s="104" t="s">
        <v>3328</v>
      </c>
      <c r="C3205" s="104" t="s">
        <v>183</v>
      </c>
      <c r="D3205" s="129" t="s">
        <v>17607</v>
      </c>
    </row>
    <row r="3206" spans="1:4">
      <c r="A3206" s="105">
        <v>100579</v>
      </c>
      <c r="B3206" s="104" t="s">
        <v>3329</v>
      </c>
      <c r="C3206" s="104" t="s">
        <v>183</v>
      </c>
      <c r="D3206" s="129" t="s">
        <v>17608</v>
      </c>
    </row>
    <row r="3207" spans="1:4">
      <c r="A3207" s="105">
        <v>100580</v>
      </c>
      <c r="B3207" s="104" t="s">
        <v>3330</v>
      </c>
      <c r="C3207" s="104" t="s">
        <v>183</v>
      </c>
      <c r="D3207" s="129" t="s">
        <v>17609</v>
      </c>
    </row>
    <row r="3208" spans="1:4">
      <c r="A3208" s="105">
        <v>100581</v>
      </c>
      <c r="B3208" s="104" t="s">
        <v>3331</v>
      </c>
      <c r="C3208" s="104" t="s">
        <v>183</v>
      </c>
      <c r="D3208" s="129" t="s">
        <v>17610</v>
      </c>
    </row>
    <row r="3209" spans="1:4">
      <c r="A3209" s="105">
        <v>100582</v>
      </c>
      <c r="B3209" s="104" t="s">
        <v>3332</v>
      </c>
      <c r="C3209" s="104" t="s">
        <v>183</v>
      </c>
      <c r="D3209" s="129" t="s">
        <v>17611</v>
      </c>
    </row>
    <row r="3210" spans="1:4">
      <c r="A3210" s="105">
        <v>100583</v>
      </c>
      <c r="B3210" s="104" t="s">
        <v>3333</v>
      </c>
      <c r="C3210" s="104" t="s">
        <v>183</v>
      </c>
      <c r="D3210" s="129" t="s">
        <v>17612</v>
      </c>
    </row>
    <row r="3211" spans="1:4">
      <c r="A3211" s="105">
        <v>100584</v>
      </c>
      <c r="B3211" s="104" t="s">
        <v>3334</v>
      </c>
      <c r="C3211" s="104" t="s">
        <v>183</v>
      </c>
      <c r="D3211" s="129" t="s">
        <v>17613</v>
      </c>
    </row>
    <row r="3212" spans="1:4">
      <c r="A3212" s="105">
        <v>100585</v>
      </c>
      <c r="B3212" s="104" t="s">
        <v>3335</v>
      </c>
      <c r="C3212" s="104" t="s">
        <v>183</v>
      </c>
      <c r="D3212" s="129" t="s">
        <v>17614</v>
      </c>
    </row>
    <row r="3213" spans="1:4">
      <c r="A3213" s="105">
        <v>100586</v>
      </c>
      <c r="B3213" s="104" t="s">
        <v>3336</v>
      </c>
      <c r="C3213" s="104" t="s">
        <v>183</v>
      </c>
      <c r="D3213" s="129" t="s">
        <v>17615</v>
      </c>
    </row>
    <row r="3214" spans="1:4">
      <c r="A3214" s="105">
        <v>100587</v>
      </c>
      <c r="B3214" s="104" t="s">
        <v>3337</v>
      </c>
      <c r="C3214" s="104" t="s">
        <v>183</v>
      </c>
      <c r="D3214" s="129" t="s">
        <v>17616</v>
      </c>
    </row>
    <row r="3215" spans="1:4">
      <c r="A3215" s="105">
        <v>100588</v>
      </c>
      <c r="B3215" s="104" t="s">
        <v>3338</v>
      </c>
      <c r="C3215" s="104" t="s">
        <v>183</v>
      </c>
      <c r="D3215" s="129" t="s">
        <v>17617</v>
      </c>
    </row>
    <row r="3216" spans="1:4">
      <c r="A3216" s="105">
        <v>100589</v>
      </c>
      <c r="B3216" s="104" t="s">
        <v>3339</v>
      </c>
      <c r="C3216" s="104" t="s">
        <v>183</v>
      </c>
      <c r="D3216" s="129" t="s">
        <v>17618</v>
      </c>
    </row>
    <row r="3217" spans="1:4">
      <c r="A3217" s="105">
        <v>100590</v>
      </c>
      <c r="B3217" s="104" t="s">
        <v>3340</v>
      </c>
      <c r="C3217" s="104" t="s">
        <v>183</v>
      </c>
      <c r="D3217" s="129" t="s">
        <v>17619</v>
      </c>
    </row>
    <row r="3218" spans="1:4">
      <c r="A3218" s="105">
        <v>100591</v>
      </c>
      <c r="B3218" s="104" t="s">
        <v>3341</v>
      </c>
      <c r="C3218" s="104" t="s">
        <v>183</v>
      </c>
      <c r="D3218" s="129" t="s">
        <v>17620</v>
      </c>
    </row>
    <row r="3219" spans="1:4">
      <c r="A3219" s="105">
        <v>100592</v>
      </c>
      <c r="B3219" s="104" t="s">
        <v>3342</v>
      </c>
      <c r="C3219" s="104" t="s">
        <v>183</v>
      </c>
      <c r="D3219" s="129" t="s">
        <v>17621</v>
      </c>
    </row>
    <row r="3220" spans="1:4">
      <c r="A3220" s="105">
        <v>100593</v>
      </c>
      <c r="B3220" s="104" t="s">
        <v>3343</v>
      </c>
      <c r="C3220" s="104" t="s">
        <v>183</v>
      </c>
      <c r="D3220" s="129" t="s">
        <v>17622</v>
      </c>
    </row>
    <row r="3221" spans="1:4">
      <c r="A3221" s="105">
        <v>100594</v>
      </c>
      <c r="B3221" s="104" t="s">
        <v>3344</v>
      </c>
      <c r="C3221" s="104" t="s">
        <v>183</v>
      </c>
      <c r="D3221" s="129" t="s">
        <v>17623</v>
      </c>
    </row>
    <row r="3222" spans="1:4">
      <c r="A3222" s="105">
        <v>100595</v>
      </c>
      <c r="B3222" s="104" t="s">
        <v>3345</v>
      </c>
      <c r="C3222" s="104" t="s">
        <v>183</v>
      </c>
      <c r="D3222" s="129" t="s">
        <v>17624</v>
      </c>
    </row>
    <row r="3223" spans="1:4">
      <c r="A3223" s="105">
        <v>100596</v>
      </c>
      <c r="B3223" s="104" t="s">
        <v>3346</v>
      </c>
      <c r="C3223" s="104" t="s">
        <v>183</v>
      </c>
      <c r="D3223" s="129" t="s">
        <v>17625</v>
      </c>
    </row>
    <row r="3224" spans="1:4">
      <c r="A3224" s="105">
        <v>100597</v>
      </c>
      <c r="B3224" s="104" t="s">
        <v>3347</v>
      </c>
      <c r="C3224" s="104" t="s">
        <v>183</v>
      </c>
      <c r="D3224" s="129" t="s">
        <v>17626</v>
      </c>
    </row>
    <row r="3225" spans="1:4">
      <c r="A3225" s="105">
        <v>100598</v>
      </c>
      <c r="B3225" s="104" t="s">
        <v>3348</v>
      </c>
      <c r="C3225" s="104" t="s">
        <v>183</v>
      </c>
      <c r="D3225" s="129" t="s">
        <v>17627</v>
      </c>
    </row>
    <row r="3226" spans="1:4">
      <c r="A3226" s="105">
        <v>100599</v>
      </c>
      <c r="B3226" s="104" t="s">
        <v>3349</v>
      </c>
      <c r="C3226" s="104" t="s">
        <v>183</v>
      </c>
      <c r="D3226" s="129" t="s">
        <v>17628</v>
      </c>
    </row>
    <row r="3227" spans="1:4">
      <c r="A3227" s="105">
        <v>100600</v>
      </c>
      <c r="B3227" s="104" t="s">
        <v>3350</v>
      </c>
      <c r="C3227" s="104" t="s">
        <v>183</v>
      </c>
      <c r="D3227" s="129" t="s">
        <v>17629</v>
      </c>
    </row>
    <row r="3228" spans="1:4">
      <c r="A3228" s="105">
        <v>100601</v>
      </c>
      <c r="B3228" s="104" t="s">
        <v>3351</v>
      </c>
      <c r="C3228" s="104" t="s">
        <v>183</v>
      </c>
      <c r="D3228" s="129" t="s">
        <v>17630</v>
      </c>
    </row>
    <row r="3229" spans="1:4">
      <c r="A3229" s="105">
        <v>100602</v>
      </c>
      <c r="B3229" s="104" t="s">
        <v>3352</v>
      </c>
      <c r="C3229" s="104" t="s">
        <v>183</v>
      </c>
      <c r="D3229" s="129" t="s">
        <v>17631</v>
      </c>
    </row>
    <row r="3230" spans="1:4">
      <c r="A3230" s="105">
        <v>100603</v>
      </c>
      <c r="B3230" s="104" t="s">
        <v>3353</v>
      </c>
      <c r="C3230" s="104" t="s">
        <v>183</v>
      </c>
      <c r="D3230" s="129" t="s">
        <v>17632</v>
      </c>
    </row>
    <row r="3231" spans="1:4">
      <c r="A3231" s="105">
        <v>100604</v>
      </c>
      <c r="B3231" s="104" t="s">
        <v>3354</v>
      </c>
      <c r="C3231" s="104" t="s">
        <v>183</v>
      </c>
      <c r="D3231" s="129" t="s">
        <v>17633</v>
      </c>
    </row>
    <row r="3232" spans="1:4">
      <c r="A3232" s="105">
        <v>100605</v>
      </c>
      <c r="B3232" s="104" t="s">
        <v>3355</v>
      </c>
      <c r="C3232" s="104" t="s">
        <v>183</v>
      </c>
      <c r="D3232" s="129" t="s">
        <v>17634</v>
      </c>
    </row>
    <row r="3233" spans="1:4">
      <c r="A3233" s="105">
        <v>100606</v>
      </c>
      <c r="B3233" s="104" t="s">
        <v>3356</v>
      </c>
      <c r="C3233" s="104" t="s">
        <v>183</v>
      </c>
      <c r="D3233" s="129" t="s">
        <v>17635</v>
      </c>
    </row>
    <row r="3234" spans="1:4">
      <c r="A3234" s="105">
        <v>100607</v>
      </c>
      <c r="B3234" s="104" t="s">
        <v>3357</v>
      </c>
      <c r="C3234" s="104" t="s">
        <v>183</v>
      </c>
      <c r="D3234" s="129" t="s">
        <v>17636</v>
      </c>
    </row>
    <row r="3235" spans="1:4">
      <c r="A3235" s="105">
        <v>100608</v>
      </c>
      <c r="B3235" s="104" t="s">
        <v>3358</v>
      </c>
      <c r="C3235" s="104" t="s">
        <v>183</v>
      </c>
      <c r="D3235" s="129" t="s">
        <v>17637</v>
      </c>
    </row>
    <row r="3236" spans="1:4">
      <c r="A3236" s="105">
        <v>100609</v>
      </c>
      <c r="B3236" s="104" t="s">
        <v>3359</v>
      </c>
      <c r="C3236" s="104" t="s">
        <v>183</v>
      </c>
      <c r="D3236" s="129" t="s">
        <v>17638</v>
      </c>
    </row>
    <row r="3237" spans="1:4">
      <c r="A3237" s="105">
        <v>100610</v>
      </c>
      <c r="B3237" s="104" t="s">
        <v>3360</v>
      </c>
      <c r="C3237" s="104" t="s">
        <v>183</v>
      </c>
      <c r="D3237" s="129" t="s">
        <v>17639</v>
      </c>
    </row>
    <row r="3238" spans="1:4">
      <c r="A3238" s="105">
        <v>100611</v>
      </c>
      <c r="B3238" s="104" t="s">
        <v>3361</v>
      </c>
      <c r="C3238" s="104" t="s">
        <v>183</v>
      </c>
      <c r="D3238" s="129" t="s">
        <v>17640</v>
      </c>
    </row>
    <row r="3239" spans="1:4">
      <c r="A3239" s="105">
        <v>100612</v>
      </c>
      <c r="B3239" s="104" t="s">
        <v>3362</v>
      </c>
      <c r="C3239" s="104" t="s">
        <v>183</v>
      </c>
      <c r="D3239" s="129" t="s">
        <v>17641</v>
      </c>
    </row>
    <row r="3240" spans="1:4">
      <c r="A3240" s="105">
        <v>100613</v>
      </c>
      <c r="B3240" s="104" t="s">
        <v>3363</v>
      </c>
      <c r="C3240" s="104" t="s">
        <v>183</v>
      </c>
      <c r="D3240" s="129" t="s">
        <v>17642</v>
      </c>
    </row>
    <row r="3241" spans="1:4">
      <c r="A3241" s="105">
        <v>100614</v>
      </c>
      <c r="B3241" s="104" t="s">
        <v>3364</v>
      </c>
      <c r="C3241" s="104" t="s">
        <v>183</v>
      </c>
      <c r="D3241" s="129" t="s">
        <v>17643</v>
      </c>
    </row>
    <row r="3242" spans="1:4">
      <c r="A3242" s="105">
        <v>100615</v>
      </c>
      <c r="B3242" s="104" t="s">
        <v>3365</v>
      </c>
      <c r="C3242" s="104" t="s">
        <v>183</v>
      </c>
      <c r="D3242" s="129" t="s">
        <v>17644</v>
      </c>
    </row>
    <row r="3243" spans="1:4">
      <c r="A3243" s="105">
        <v>100616</v>
      </c>
      <c r="B3243" s="104" t="s">
        <v>3366</v>
      </c>
      <c r="C3243" s="104" t="s">
        <v>183</v>
      </c>
      <c r="D3243" s="129" t="s">
        <v>17645</v>
      </c>
    </row>
    <row r="3244" spans="1:4">
      <c r="A3244" s="105">
        <v>100617</v>
      </c>
      <c r="B3244" s="104" t="s">
        <v>3367</v>
      </c>
      <c r="C3244" s="104" t="s">
        <v>183</v>
      </c>
      <c r="D3244" s="129" t="s">
        <v>17646</v>
      </c>
    </row>
    <row r="3245" spans="1:4">
      <c r="A3245" s="105">
        <v>100618</v>
      </c>
      <c r="B3245" s="104" t="s">
        <v>3368</v>
      </c>
      <c r="C3245" s="104" t="s">
        <v>183</v>
      </c>
      <c r="D3245" s="129" t="s">
        <v>17647</v>
      </c>
    </row>
    <row r="3246" spans="1:4">
      <c r="A3246" s="105">
        <v>100619</v>
      </c>
      <c r="B3246" s="104" t="s">
        <v>3369</v>
      </c>
      <c r="C3246" s="104" t="s">
        <v>183</v>
      </c>
      <c r="D3246" s="129" t="s">
        <v>17648</v>
      </c>
    </row>
    <row r="3247" spans="1:4">
      <c r="A3247" s="105">
        <v>100620</v>
      </c>
      <c r="B3247" s="104" t="s">
        <v>3370</v>
      </c>
      <c r="C3247" s="104" t="s">
        <v>183</v>
      </c>
      <c r="D3247" s="129" t="s">
        <v>17649</v>
      </c>
    </row>
    <row r="3248" spans="1:4">
      <c r="A3248" s="105">
        <v>100621</v>
      </c>
      <c r="B3248" s="104" t="s">
        <v>3371</v>
      </c>
      <c r="C3248" s="104" t="s">
        <v>183</v>
      </c>
      <c r="D3248" s="129" t="s">
        <v>17650</v>
      </c>
    </row>
    <row r="3249" spans="1:4">
      <c r="A3249" s="105">
        <v>100622</v>
      </c>
      <c r="B3249" s="104" t="s">
        <v>3372</v>
      </c>
      <c r="C3249" s="104" t="s">
        <v>183</v>
      </c>
      <c r="D3249" s="129" t="s">
        <v>17651</v>
      </c>
    </row>
    <row r="3250" spans="1:4">
      <c r="A3250" s="105">
        <v>100623</v>
      </c>
      <c r="B3250" s="104" t="s">
        <v>3373</v>
      </c>
      <c r="C3250" s="104" t="s">
        <v>183</v>
      </c>
      <c r="D3250" s="129" t="s">
        <v>17652</v>
      </c>
    </row>
    <row r="3251" spans="1:4">
      <c r="A3251" s="105">
        <v>97600</v>
      </c>
      <c r="B3251" s="104" t="s">
        <v>3374</v>
      </c>
      <c r="C3251" s="104" t="s">
        <v>183</v>
      </c>
      <c r="D3251" s="129" t="s">
        <v>17653</v>
      </c>
    </row>
    <row r="3252" spans="1:4">
      <c r="A3252" s="105">
        <v>97601</v>
      </c>
      <c r="B3252" s="104" t="s">
        <v>3375</v>
      </c>
      <c r="C3252" s="104" t="s">
        <v>183</v>
      </c>
      <c r="D3252" s="129" t="s">
        <v>17654</v>
      </c>
    </row>
    <row r="3253" spans="1:4">
      <c r="A3253" s="105">
        <v>97605</v>
      </c>
      <c r="B3253" s="104" t="s">
        <v>3376</v>
      </c>
      <c r="C3253" s="104" t="s">
        <v>183</v>
      </c>
      <c r="D3253" s="129" t="s">
        <v>17655</v>
      </c>
    </row>
    <row r="3254" spans="1:4">
      <c r="A3254" s="105">
        <v>97606</v>
      </c>
      <c r="B3254" s="104" t="s">
        <v>3377</v>
      </c>
      <c r="C3254" s="104" t="s">
        <v>183</v>
      </c>
      <c r="D3254" s="129" t="s">
        <v>17656</v>
      </c>
    </row>
    <row r="3255" spans="1:4">
      <c r="A3255" s="105">
        <v>97607</v>
      </c>
      <c r="B3255" s="104" t="s">
        <v>3378</v>
      </c>
      <c r="C3255" s="104" t="s">
        <v>183</v>
      </c>
      <c r="D3255" s="129" t="s">
        <v>17657</v>
      </c>
    </row>
    <row r="3256" spans="1:4">
      <c r="A3256" s="105">
        <v>97608</v>
      </c>
      <c r="B3256" s="104" t="s">
        <v>3379</v>
      </c>
      <c r="C3256" s="104" t="s">
        <v>183</v>
      </c>
      <c r="D3256" s="129" t="s">
        <v>17658</v>
      </c>
    </row>
    <row r="3257" spans="1:4">
      <c r="A3257" s="105">
        <v>102102</v>
      </c>
      <c r="B3257" s="104" t="s">
        <v>3380</v>
      </c>
      <c r="C3257" s="104" t="s">
        <v>183</v>
      </c>
      <c r="D3257" s="129" t="s">
        <v>17659</v>
      </c>
    </row>
    <row r="3258" spans="1:4">
      <c r="A3258" s="105">
        <v>102103</v>
      </c>
      <c r="B3258" s="104" t="s">
        <v>3381</v>
      </c>
      <c r="C3258" s="104" t="s">
        <v>183</v>
      </c>
      <c r="D3258" s="129" t="s">
        <v>17660</v>
      </c>
    </row>
    <row r="3259" spans="1:4">
      <c r="A3259" s="105">
        <v>102104</v>
      </c>
      <c r="B3259" s="104" t="s">
        <v>3382</v>
      </c>
      <c r="C3259" s="104" t="s">
        <v>183</v>
      </c>
      <c r="D3259" s="129" t="s">
        <v>17661</v>
      </c>
    </row>
    <row r="3260" spans="1:4">
      <c r="A3260" s="105">
        <v>102105</v>
      </c>
      <c r="B3260" s="104" t="s">
        <v>3383</v>
      </c>
      <c r="C3260" s="104" t="s">
        <v>183</v>
      </c>
      <c r="D3260" s="129" t="s">
        <v>17662</v>
      </c>
    </row>
    <row r="3261" spans="1:4">
      <c r="A3261" s="105">
        <v>102106</v>
      </c>
      <c r="B3261" s="104" t="s">
        <v>3384</v>
      </c>
      <c r="C3261" s="104" t="s">
        <v>183</v>
      </c>
      <c r="D3261" s="129" t="s">
        <v>17663</v>
      </c>
    </row>
    <row r="3262" spans="1:4">
      <c r="A3262" s="105">
        <v>102107</v>
      </c>
      <c r="B3262" s="104" t="s">
        <v>3385</v>
      </c>
      <c r="C3262" s="104" t="s">
        <v>183</v>
      </c>
      <c r="D3262" s="129" t="s">
        <v>17664</v>
      </c>
    </row>
    <row r="3263" spans="1:4">
      <c r="A3263" s="105">
        <v>102108</v>
      </c>
      <c r="B3263" s="104" t="s">
        <v>3386</v>
      </c>
      <c r="C3263" s="104" t="s">
        <v>183</v>
      </c>
      <c r="D3263" s="129" t="s">
        <v>17665</v>
      </c>
    </row>
    <row r="3264" spans="1:4">
      <c r="A3264" s="105">
        <v>102109</v>
      </c>
      <c r="B3264" s="104" t="s">
        <v>3387</v>
      </c>
      <c r="C3264" s="104" t="s">
        <v>183</v>
      </c>
      <c r="D3264" s="129" t="s">
        <v>17666</v>
      </c>
    </row>
    <row r="3265" spans="1:4">
      <c r="A3265" s="105">
        <v>102110</v>
      </c>
      <c r="B3265" s="104" t="s">
        <v>3388</v>
      </c>
      <c r="C3265" s="104" t="s">
        <v>183</v>
      </c>
      <c r="D3265" s="129" t="s">
        <v>17667</v>
      </c>
    </row>
    <row r="3266" spans="1:4">
      <c r="A3266" s="105">
        <v>103654</v>
      </c>
      <c r="B3266" s="104" t="s">
        <v>17668</v>
      </c>
      <c r="C3266" s="104" t="s">
        <v>183</v>
      </c>
      <c r="D3266" s="129" t="s">
        <v>17669</v>
      </c>
    </row>
    <row r="3267" spans="1:4">
      <c r="A3267" s="105">
        <v>103655</v>
      </c>
      <c r="B3267" s="104" t="s">
        <v>17670</v>
      </c>
      <c r="C3267" s="104" t="s">
        <v>183</v>
      </c>
      <c r="D3267" s="129" t="s">
        <v>17671</v>
      </c>
    </row>
    <row r="3268" spans="1:4">
      <c r="A3268" s="105">
        <v>103656</v>
      </c>
      <c r="B3268" s="104" t="s">
        <v>17672</v>
      </c>
      <c r="C3268" s="104" t="s">
        <v>183</v>
      </c>
      <c r="D3268" s="129" t="s">
        <v>17673</v>
      </c>
    </row>
    <row r="3269" spans="1:4">
      <c r="A3269" s="105">
        <v>93128</v>
      </c>
      <c r="B3269" s="104" t="s">
        <v>3389</v>
      </c>
      <c r="C3269" s="104" t="s">
        <v>183</v>
      </c>
      <c r="D3269" s="129" t="s">
        <v>17674</v>
      </c>
    </row>
    <row r="3270" spans="1:4">
      <c r="A3270" s="105">
        <v>93137</v>
      </c>
      <c r="B3270" s="104" t="s">
        <v>3390</v>
      </c>
      <c r="C3270" s="104" t="s">
        <v>183</v>
      </c>
      <c r="D3270" s="129" t="s">
        <v>17675</v>
      </c>
    </row>
    <row r="3271" spans="1:4">
      <c r="A3271" s="105">
        <v>93138</v>
      </c>
      <c r="B3271" s="104" t="s">
        <v>3391</v>
      </c>
      <c r="C3271" s="104" t="s">
        <v>183</v>
      </c>
      <c r="D3271" s="129" t="s">
        <v>17676</v>
      </c>
    </row>
    <row r="3272" spans="1:4">
      <c r="A3272" s="105">
        <v>93139</v>
      </c>
      <c r="B3272" s="104" t="s">
        <v>3392</v>
      </c>
      <c r="C3272" s="104" t="s">
        <v>183</v>
      </c>
      <c r="D3272" s="129" t="s">
        <v>17677</v>
      </c>
    </row>
    <row r="3273" spans="1:4">
      <c r="A3273" s="105">
        <v>93140</v>
      </c>
      <c r="B3273" s="104" t="s">
        <v>3393</v>
      </c>
      <c r="C3273" s="104" t="s">
        <v>183</v>
      </c>
      <c r="D3273" s="129" t="s">
        <v>17678</v>
      </c>
    </row>
    <row r="3274" spans="1:4">
      <c r="A3274" s="105">
        <v>93141</v>
      </c>
      <c r="B3274" s="104" t="s">
        <v>3394</v>
      </c>
      <c r="C3274" s="104" t="s">
        <v>183</v>
      </c>
      <c r="D3274" s="129" t="s">
        <v>17679</v>
      </c>
    </row>
    <row r="3275" spans="1:4">
      <c r="A3275" s="105">
        <v>93142</v>
      </c>
      <c r="B3275" s="104" t="s">
        <v>3395</v>
      </c>
      <c r="C3275" s="104" t="s">
        <v>183</v>
      </c>
      <c r="D3275" s="129" t="s">
        <v>17680</v>
      </c>
    </row>
    <row r="3276" spans="1:4">
      <c r="A3276" s="105">
        <v>93143</v>
      </c>
      <c r="B3276" s="104" t="s">
        <v>3396</v>
      </c>
      <c r="C3276" s="104" t="s">
        <v>183</v>
      </c>
      <c r="D3276" s="129" t="s">
        <v>17681</v>
      </c>
    </row>
    <row r="3277" spans="1:4">
      <c r="A3277" s="105">
        <v>93144</v>
      </c>
      <c r="B3277" s="104" t="s">
        <v>3397</v>
      </c>
      <c r="C3277" s="104" t="s">
        <v>183</v>
      </c>
      <c r="D3277" s="129" t="s">
        <v>17682</v>
      </c>
    </row>
    <row r="3278" spans="1:4">
      <c r="A3278" s="105">
        <v>93145</v>
      </c>
      <c r="B3278" s="104" t="s">
        <v>3398</v>
      </c>
      <c r="C3278" s="104" t="s">
        <v>183</v>
      </c>
      <c r="D3278" s="129" t="s">
        <v>17683</v>
      </c>
    </row>
    <row r="3279" spans="1:4">
      <c r="A3279" s="105">
        <v>93146</v>
      </c>
      <c r="B3279" s="104" t="s">
        <v>3399</v>
      </c>
      <c r="C3279" s="104" t="s">
        <v>183</v>
      </c>
      <c r="D3279" s="129" t="s">
        <v>17684</v>
      </c>
    </row>
    <row r="3280" spans="1:4">
      <c r="A3280" s="105">
        <v>93147</v>
      </c>
      <c r="B3280" s="104" t="s">
        <v>3400</v>
      </c>
      <c r="C3280" s="104" t="s">
        <v>183</v>
      </c>
      <c r="D3280" s="129" t="s">
        <v>17685</v>
      </c>
    </row>
    <row r="3281" spans="1:4">
      <c r="A3281" s="105">
        <v>96971</v>
      </c>
      <c r="B3281" s="104" t="s">
        <v>3401</v>
      </c>
      <c r="C3281" s="104" t="s">
        <v>40</v>
      </c>
      <c r="D3281" s="129" t="s">
        <v>15574</v>
      </c>
    </row>
    <row r="3282" spans="1:4">
      <c r="A3282" s="105">
        <v>96972</v>
      </c>
      <c r="B3282" s="104" t="s">
        <v>3402</v>
      </c>
      <c r="C3282" s="104" t="s">
        <v>40</v>
      </c>
      <c r="D3282" s="129" t="s">
        <v>17686</v>
      </c>
    </row>
    <row r="3283" spans="1:4">
      <c r="A3283" s="105">
        <v>96973</v>
      </c>
      <c r="B3283" s="104" t="s">
        <v>3403</v>
      </c>
      <c r="C3283" s="104" t="s">
        <v>40</v>
      </c>
      <c r="D3283" s="129" t="s">
        <v>15896</v>
      </c>
    </row>
    <row r="3284" spans="1:4">
      <c r="A3284" s="105">
        <v>96974</v>
      </c>
      <c r="B3284" s="104" t="s">
        <v>323</v>
      </c>
      <c r="C3284" s="104" t="s">
        <v>40</v>
      </c>
      <c r="D3284" s="129" t="s">
        <v>17687</v>
      </c>
    </row>
    <row r="3285" spans="1:4">
      <c r="A3285" s="105">
        <v>96975</v>
      </c>
      <c r="B3285" s="104" t="s">
        <v>3404</v>
      </c>
      <c r="C3285" s="104" t="s">
        <v>40</v>
      </c>
      <c r="D3285" s="129" t="s">
        <v>17688</v>
      </c>
    </row>
    <row r="3286" spans="1:4">
      <c r="A3286" s="105">
        <v>96976</v>
      </c>
      <c r="B3286" s="104" t="s">
        <v>3405</v>
      </c>
      <c r="C3286" s="104" t="s">
        <v>40</v>
      </c>
      <c r="D3286" s="129" t="s">
        <v>17689</v>
      </c>
    </row>
    <row r="3287" spans="1:4">
      <c r="A3287" s="105">
        <v>96977</v>
      </c>
      <c r="B3287" s="104" t="s">
        <v>3406</v>
      </c>
      <c r="C3287" s="104" t="s">
        <v>40</v>
      </c>
      <c r="D3287" s="129" t="s">
        <v>17690</v>
      </c>
    </row>
    <row r="3288" spans="1:4">
      <c r="A3288" s="105">
        <v>96978</v>
      </c>
      <c r="B3288" s="104" t="s">
        <v>3407</v>
      </c>
      <c r="C3288" s="104" t="s">
        <v>40</v>
      </c>
      <c r="D3288" s="129" t="s">
        <v>15363</v>
      </c>
    </row>
    <row r="3289" spans="1:4">
      <c r="A3289" s="105">
        <v>96979</v>
      </c>
      <c r="B3289" s="104" t="s">
        <v>3408</v>
      </c>
      <c r="C3289" s="104" t="s">
        <v>40</v>
      </c>
      <c r="D3289" s="129" t="s">
        <v>17691</v>
      </c>
    </row>
    <row r="3290" spans="1:4">
      <c r="A3290" s="105">
        <v>96984</v>
      </c>
      <c r="B3290" s="104" t="s">
        <v>3409</v>
      </c>
      <c r="C3290" s="104" t="s">
        <v>183</v>
      </c>
      <c r="D3290" s="129" t="s">
        <v>17692</v>
      </c>
    </row>
    <row r="3291" spans="1:4">
      <c r="A3291" s="105">
        <v>96985</v>
      </c>
      <c r="B3291" s="104" t="s">
        <v>3410</v>
      </c>
      <c r="C3291" s="104" t="s">
        <v>183</v>
      </c>
      <c r="D3291" s="129" t="s">
        <v>17693</v>
      </c>
    </row>
    <row r="3292" spans="1:4">
      <c r="A3292" s="105">
        <v>96986</v>
      </c>
      <c r="B3292" s="104" t="s">
        <v>3411</v>
      </c>
      <c r="C3292" s="104" t="s">
        <v>183</v>
      </c>
      <c r="D3292" s="129" t="s">
        <v>17694</v>
      </c>
    </row>
    <row r="3293" spans="1:4">
      <c r="A3293" s="105">
        <v>96987</v>
      </c>
      <c r="B3293" s="104" t="s">
        <v>3412</v>
      </c>
      <c r="C3293" s="104" t="s">
        <v>183</v>
      </c>
      <c r="D3293" s="129" t="s">
        <v>17695</v>
      </c>
    </row>
    <row r="3294" spans="1:4">
      <c r="A3294" s="105">
        <v>96988</v>
      </c>
      <c r="B3294" s="104" t="s">
        <v>3413</v>
      </c>
      <c r="C3294" s="104" t="s">
        <v>183</v>
      </c>
      <c r="D3294" s="129" t="s">
        <v>17696</v>
      </c>
    </row>
    <row r="3295" spans="1:4">
      <c r="A3295" s="105">
        <v>96989</v>
      </c>
      <c r="B3295" s="104" t="s">
        <v>3414</v>
      </c>
      <c r="C3295" s="104" t="s">
        <v>183</v>
      </c>
      <c r="D3295" s="129" t="s">
        <v>17697</v>
      </c>
    </row>
    <row r="3296" spans="1:4">
      <c r="A3296" s="105">
        <v>98463</v>
      </c>
      <c r="B3296" s="104" t="s">
        <v>3415</v>
      </c>
      <c r="C3296" s="104" t="s">
        <v>183</v>
      </c>
      <c r="D3296" s="129" t="s">
        <v>17698</v>
      </c>
    </row>
    <row r="3297" spans="1:4">
      <c r="A3297" s="105">
        <v>103490</v>
      </c>
      <c r="B3297" s="104" t="s">
        <v>13729</v>
      </c>
      <c r="C3297" s="104" t="s">
        <v>28</v>
      </c>
      <c r="D3297" s="129" t="s">
        <v>17699</v>
      </c>
    </row>
    <row r="3298" spans="1:4">
      <c r="A3298" s="105">
        <v>103491</v>
      </c>
      <c r="B3298" s="104" t="s">
        <v>13730</v>
      </c>
      <c r="C3298" s="104" t="s">
        <v>28</v>
      </c>
      <c r="D3298" s="129" t="s">
        <v>17700</v>
      </c>
    </row>
    <row r="3299" spans="1:4">
      <c r="A3299" s="105">
        <v>96765</v>
      </c>
      <c r="B3299" s="104" t="s">
        <v>3416</v>
      </c>
      <c r="C3299" s="104" t="s">
        <v>183</v>
      </c>
      <c r="D3299" s="129" t="s">
        <v>17701</v>
      </c>
    </row>
    <row r="3300" spans="1:4">
      <c r="A3300" s="105">
        <v>101905</v>
      </c>
      <c r="B3300" s="104" t="s">
        <v>143</v>
      </c>
      <c r="C3300" s="104" t="s">
        <v>183</v>
      </c>
      <c r="D3300" s="129" t="s">
        <v>17702</v>
      </c>
    </row>
    <row r="3301" spans="1:4">
      <c r="A3301" s="105">
        <v>101906</v>
      </c>
      <c r="B3301" s="104" t="s">
        <v>142</v>
      </c>
      <c r="C3301" s="104" t="s">
        <v>183</v>
      </c>
      <c r="D3301" s="129" t="s">
        <v>17703</v>
      </c>
    </row>
    <row r="3302" spans="1:4">
      <c r="A3302" s="105">
        <v>101907</v>
      </c>
      <c r="B3302" s="104" t="s">
        <v>3417</v>
      </c>
      <c r="C3302" s="104" t="s">
        <v>183</v>
      </c>
      <c r="D3302" s="129" t="s">
        <v>17704</v>
      </c>
    </row>
    <row r="3303" spans="1:4">
      <c r="A3303" s="105">
        <v>101908</v>
      </c>
      <c r="B3303" s="104" t="s">
        <v>311</v>
      </c>
      <c r="C3303" s="104" t="s">
        <v>183</v>
      </c>
      <c r="D3303" s="129" t="s">
        <v>17705</v>
      </c>
    </row>
    <row r="3304" spans="1:4">
      <c r="A3304" s="105">
        <v>101909</v>
      </c>
      <c r="B3304" s="104" t="s">
        <v>3418</v>
      </c>
      <c r="C3304" s="104" t="s">
        <v>183</v>
      </c>
      <c r="D3304" s="129" t="s">
        <v>17706</v>
      </c>
    </row>
    <row r="3305" spans="1:4">
      <c r="A3305" s="105">
        <v>101910</v>
      </c>
      <c r="B3305" s="104" t="s">
        <v>3419</v>
      </c>
      <c r="C3305" s="104" t="s">
        <v>183</v>
      </c>
      <c r="D3305" s="129" t="s">
        <v>17707</v>
      </c>
    </row>
    <row r="3306" spans="1:4">
      <c r="A3306" s="105">
        <v>101911</v>
      </c>
      <c r="B3306" s="104" t="s">
        <v>3420</v>
      </c>
      <c r="C3306" s="104" t="s">
        <v>183</v>
      </c>
      <c r="D3306" s="129" t="s">
        <v>17708</v>
      </c>
    </row>
    <row r="3307" spans="1:4">
      <c r="A3307" s="105">
        <v>101912</v>
      </c>
      <c r="B3307" s="104" t="s">
        <v>3421</v>
      </c>
      <c r="C3307" s="104" t="s">
        <v>183</v>
      </c>
      <c r="D3307" s="129" t="s">
        <v>17709</v>
      </c>
    </row>
    <row r="3308" spans="1:4">
      <c r="A3308" s="105">
        <v>101913</v>
      </c>
      <c r="B3308" s="104" t="s">
        <v>3422</v>
      </c>
      <c r="C3308" s="104" t="s">
        <v>183</v>
      </c>
      <c r="D3308" s="129" t="s">
        <v>17710</v>
      </c>
    </row>
    <row r="3309" spans="1:4">
      <c r="A3309" s="105">
        <v>101914</v>
      </c>
      <c r="B3309" s="104" t="s">
        <v>3423</v>
      </c>
      <c r="C3309" s="104" t="s">
        <v>183</v>
      </c>
      <c r="D3309" s="129" t="s">
        <v>17711</v>
      </c>
    </row>
    <row r="3310" spans="1:4">
      <c r="A3310" s="105">
        <v>101915</v>
      </c>
      <c r="B3310" s="104" t="s">
        <v>259</v>
      </c>
      <c r="C3310" s="104" t="s">
        <v>183</v>
      </c>
      <c r="D3310" s="129" t="s">
        <v>17712</v>
      </c>
    </row>
    <row r="3311" spans="1:4">
      <c r="A3311" s="105">
        <v>101916</v>
      </c>
      <c r="B3311" s="104" t="s">
        <v>3424</v>
      </c>
      <c r="C3311" s="104" t="s">
        <v>183</v>
      </c>
      <c r="D3311" s="129" t="s">
        <v>17713</v>
      </c>
    </row>
    <row r="3312" spans="1:4">
      <c r="A3312" s="105">
        <v>101917</v>
      </c>
      <c r="B3312" s="104" t="s">
        <v>3425</v>
      </c>
      <c r="C3312" s="104" t="s">
        <v>183</v>
      </c>
      <c r="D3312" s="129" t="s">
        <v>17714</v>
      </c>
    </row>
    <row r="3313" spans="1:4">
      <c r="A3313" s="105">
        <v>98261</v>
      </c>
      <c r="B3313" s="104" t="s">
        <v>3426</v>
      </c>
      <c r="C3313" s="104" t="s">
        <v>40</v>
      </c>
      <c r="D3313" s="129" t="s">
        <v>17715</v>
      </c>
    </row>
    <row r="3314" spans="1:4">
      <c r="A3314" s="105">
        <v>98262</v>
      </c>
      <c r="B3314" s="104" t="s">
        <v>3427</v>
      </c>
      <c r="C3314" s="104" t="s">
        <v>40</v>
      </c>
      <c r="D3314" s="129" t="s">
        <v>15663</v>
      </c>
    </row>
    <row r="3315" spans="1:4">
      <c r="A3315" s="105">
        <v>98263</v>
      </c>
      <c r="B3315" s="104" t="s">
        <v>3428</v>
      </c>
      <c r="C3315" s="104" t="s">
        <v>40</v>
      </c>
      <c r="D3315" s="129" t="s">
        <v>14824</v>
      </c>
    </row>
    <row r="3316" spans="1:4">
      <c r="A3316" s="105">
        <v>98264</v>
      </c>
      <c r="B3316" s="104" t="s">
        <v>3429</v>
      </c>
      <c r="C3316" s="104" t="s">
        <v>40</v>
      </c>
      <c r="D3316" s="129" t="s">
        <v>17716</v>
      </c>
    </row>
    <row r="3317" spans="1:4">
      <c r="A3317" s="105">
        <v>98265</v>
      </c>
      <c r="B3317" s="104" t="s">
        <v>3430</v>
      </c>
      <c r="C3317" s="104" t="s">
        <v>40</v>
      </c>
      <c r="D3317" s="129" t="s">
        <v>15321</v>
      </c>
    </row>
    <row r="3318" spans="1:4">
      <c r="A3318" s="105">
        <v>98266</v>
      </c>
      <c r="B3318" s="104" t="s">
        <v>3431</v>
      </c>
      <c r="C3318" s="104" t="s">
        <v>40</v>
      </c>
      <c r="D3318" s="129" t="s">
        <v>15638</v>
      </c>
    </row>
    <row r="3319" spans="1:4">
      <c r="A3319" s="105">
        <v>98267</v>
      </c>
      <c r="B3319" s="104" t="s">
        <v>3432</v>
      </c>
      <c r="C3319" s="104" t="s">
        <v>40</v>
      </c>
      <c r="D3319" s="129" t="s">
        <v>17717</v>
      </c>
    </row>
    <row r="3320" spans="1:4">
      <c r="A3320" s="105">
        <v>98268</v>
      </c>
      <c r="B3320" s="104" t="s">
        <v>3433</v>
      </c>
      <c r="C3320" s="104" t="s">
        <v>40</v>
      </c>
      <c r="D3320" s="129" t="s">
        <v>17718</v>
      </c>
    </row>
    <row r="3321" spans="1:4">
      <c r="A3321" s="105">
        <v>98269</v>
      </c>
      <c r="B3321" s="104" t="s">
        <v>3434</v>
      </c>
      <c r="C3321" s="104" t="s">
        <v>40</v>
      </c>
      <c r="D3321" s="129" t="s">
        <v>16771</v>
      </c>
    </row>
    <row r="3322" spans="1:4">
      <c r="A3322" s="105">
        <v>98270</v>
      </c>
      <c r="B3322" s="104" t="s">
        <v>3435</v>
      </c>
      <c r="C3322" s="104" t="s">
        <v>40</v>
      </c>
      <c r="D3322" s="129" t="s">
        <v>17719</v>
      </c>
    </row>
    <row r="3323" spans="1:4">
      <c r="A3323" s="105">
        <v>98271</v>
      </c>
      <c r="B3323" s="104" t="s">
        <v>3436</v>
      </c>
      <c r="C3323" s="104" t="s">
        <v>40</v>
      </c>
      <c r="D3323" s="129" t="s">
        <v>15431</v>
      </c>
    </row>
    <row r="3324" spans="1:4">
      <c r="A3324" s="105">
        <v>98272</v>
      </c>
      <c r="B3324" s="104" t="s">
        <v>3437</v>
      </c>
      <c r="C3324" s="104" t="s">
        <v>40</v>
      </c>
      <c r="D3324" s="129" t="s">
        <v>17720</v>
      </c>
    </row>
    <row r="3325" spans="1:4">
      <c r="A3325" s="105">
        <v>98273</v>
      </c>
      <c r="B3325" s="104" t="s">
        <v>3438</v>
      </c>
      <c r="C3325" s="104" t="s">
        <v>40</v>
      </c>
      <c r="D3325" s="129" t="s">
        <v>17721</v>
      </c>
    </row>
    <row r="3326" spans="1:4">
      <c r="A3326" s="105">
        <v>98274</v>
      </c>
      <c r="B3326" s="104" t="s">
        <v>3439</v>
      </c>
      <c r="C3326" s="104" t="s">
        <v>40</v>
      </c>
      <c r="D3326" s="129" t="s">
        <v>16493</v>
      </c>
    </row>
    <row r="3327" spans="1:4">
      <c r="A3327" s="105">
        <v>98275</v>
      </c>
      <c r="B3327" s="104" t="s">
        <v>3440</v>
      </c>
      <c r="C3327" s="104" t="s">
        <v>40</v>
      </c>
      <c r="D3327" s="129" t="s">
        <v>17722</v>
      </c>
    </row>
    <row r="3328" spans="1:4">
      <c r="A3328" s="105">
        <v>98276</v>
      </c>
      <c r="B3328" s="104" t="s">
        <v>3441</v>
      </c>
      <c r="C3328" s="104" t="s">
        <v>40</v>
      </c>
      <c r="D3328" s="129" t="s">
        <v>17565</v>
      </c>
    </row>
    <row r="3329" spans="1:4">
      <c r="A3329" s="105">
        <v>98277</v>
      </c>
      <c r="B3329" s="104" t="s">
        <v>3442</v>
      </c>
      <c r="C3329" s="104" t="s">
        <v>40</v>
      </c>
      <c r="D3329" s="129" t="s">
        <v>17723</v>
      </c>
    </row>
    <row r="3330" spans="1:4">
      <c r="A3330" s="105">
        <v>98278</v>
      </c>
      <c r="B3330" s="104" t="s">
        <v>3443</v>
      </c>
      <c r="C3330" s="104" t="s">
        <v>40</v>
      </c>
      <c r="D3330" s="129" t="s">
        <v>17724</v>
      </c>
    </row>
    <row r="3331" spans="1:4">
      <c r="A3331" s="105">
        <v>98279</v>
      </c>
      <c r="B3331" s="104" t="s">
        <v>3444</v>
      </c>
      <c r="C3331" s="104" t="s">
        <v>40</v>
      </c>
      <c r="D3331" s="129" t="s">
        <v>17725</v>
      </c>
    </row>
    <row r="3332" spans="1:4">
      <c r="A3332" s="105">
        <v>98280</v>
      </c>
      <c r="B3332" s="104" t="s">
        <v>3445</v>
      </c>
      <c r="C3332" s="104" t="s">
        <v>40</v>
      </c>
      <c r="D3332" s="129" t="s">
        <v>17187</v>
      </c>
    </row>
    <row r="3333" spans="1:4">
      <c r="A3333" s="105">
        <v>98281</v>
      </c>
      <c r="B3333" s="104" t="s">
        <v>3446</v>
      </c>
      <c r="C3333" s="104" t="s">
        <v>40</v>
      </c>
      <c r="D3333" s="129" t="s">
        <v>17726</v>
      </c>
    </row>
    <row r="3334" spans="1:4">
      <c r="A3334" s="105">
        <v>98282</v>
      </c>
      <c r="B3334" s="104" t="s">
        <v>3447</v>
      </c>
      <c r="C3334" s="104" t="s">
        <v>40</v>
      </c>
      <c r="D3334" s="129" t="s">
        <v>17301</v>
      </c>
    </row>
    <row r="3335" spans="1:4">
      <c r="A3335" s="105">
        <v>98283</v>
      </c>
      <c r="B3335" s="104" t="s">
        <v>3448</v>
      </c>
      <c r="C3335" s="104" t="s">
        <v>40</v>
      </c>
      <c r="D3335" s="129" t="s">
        <v>17727</v>
      </c>
    </row>
    <row r="3336" spans="1:4">
      <c r="A3336" s="105">
        <v>98284</v>
      </c>
      <c r="B3336" s="104" t="s">
        <v>3449</v>
      </c>
      <c r="C3336" s="104" t="s">
        <v>40</v>
      </c>
      <c r="D3336" s="129" t="s">
        <v>17728</v>
      </c>
    </row>
    <row r="3337" spans="1:4">
      <c r="A3337" s="105">
        <v>98285</v>
      </c>
      <c r="B3337" s="104" t="s">
        <v>3450</v>
      </c>
      <c r="C3337" s="104" t="s">
        <v>40</v>
      </c>
      <c r="D3337" s="129" t="s">
        <v>17729</v>
      </c>
    </row>
    <row r="3338" spans="1:4">
      <c r="A3338" s="105">
        <v>98286</v>
      </c>
      <c r="B3338" s="104" t="s">
        <v>3451</v>
      </c>
      <c r="C3338" s="104" t="s">
        <v>40</v>
      </c>
      <c r="D3338" s="129" t="s">
        <v>17730</v>
      </c>
    </row>
    <row r="3339" spans="1:4">
      <c r="A3339" s="105">
        <v>98287</v>
      </c>
      <c r="B3339" s="104" t="s">
        <v>3452</v>
      </c>
      <c r="C3339" s="104" t="s">
        <v>40</v>
      </c>
      <c r="D3339" s="129" t="s">
        <v>14840</v>
      </c>
    </row>
    <row r="3340" spans="1:4">
      <c r="A3340" s="105">
        <v>98288</v>
      </c>
      <c r="B3340" s="104" t="s">
        <v>3453</v>
      </c>
      <c r="C3340" s="104" t="s">
        <v>40</v>
      </c>
      <c r="D3340" s="129" t="s">
        <v>17731</v>
      </c>
    </row>
    <row r="3341" spans="1:4">
      <c r="A3341" s="105">
        <v>98289</v>
      </c>
      <c r="B3341" s="104" t="s">
        <v>3454</v>
      </c>
      <c r="C3341" s="104" t="s">
        <v>40</v>
      </c>
      <c r="D3341" s="129" t="s">
        <v>17732</v>
      </c>
    </row>
    <row r="3342" spans="1:4">
      <c r="A3342" s="105">
        <v>98290</v>
      </c>
      <c r="B3342" s="104" t="s">
        <v>3455</v>
      </c>
      <c r="C3342" s="104" t="s">
        <v>40</v>
      </c>
      <c r="D3342" s="129" t="s">
        <v>15238</v>
      </c>
    </row>
    <row r="3343" spans="1:4">
      <c r="A3343" s="105">
        <v>98291</v>
      </c>
      <c r="B3343" s="104" t="s">
        <v>3456</v>
      </c>
      <c r="C3343" s="104" t="s">
        <v>40</v>
      </c>
      <c r="D3343" s="129" t="s">
        <v>15582</v>
      </c>
    </row>
    <row r="3344" spans="1:4">
      <c r="A3344" s="105">
        <v>98292</v>
      </c>
      <c r="B3344" s="104" t="s">
        <v>3457</v>
      </c>
      <c r="C3344" s="104" t="s">
        <v>40</v>
      </c>
      <c r="D3344" s="129" t="s">
        <v>14738</v>
      </c>
    </row>
    <row r="3345" spans="1:4">
      <c r="A3345" s="105">
        <v>98293</v>
      </c>
      <c r="B3345" s="104" t="s">
        <v>3458</v>
      </c>
      <c r="C3345" s="104" t="s">
        <v>40</v>
      </c>
      <c r="D3345" s="129" t="s">
        <v>14762</v>
      </c>
    </row>
    <row r="3346" spans="1:4">
      <c r="A3346" s="105">
        <v>98400</v>
      </c>
      <c r="B3346" s="104" t="s">
        <v>3459</v>
      </c>
      <c r="C3346" s="104" t="s">
        <v>40</v>
      </c>
      <c r="D3346" s="129" t="s">
        <v>17733</v>
      </c>
    </row>
    <row r="3347" spans="1:4">
      <c r="A3347" s="105">
        <v>98401</v>
      </c>
      <c r="B3347" s="104" t="s">
        <v>3460</v>
      </c>
      <c r="C3347" s="104" t="s">
        <v>40</v>
      </c>
      <c r="D3347" s="129" t="s">
        <v>17734</v>
      </c>
    </row>
    <row r="3348" spans="1:4">
      <c r="A3348" s="105">
        <v>98402</v>
      </c>
      <c r="B3348" s="104" t="s">
        <v>3461</v>
      </c>
      <c r="C3348" s="104" t="s">
        <v>40</v>
      </c>
      <c r="D3348" s="129" t="s">
        <v>17735</v>
      </c>
    </row>
    <row r="3349" spans="1:4">
      <c r="A3349" s="105">
        <v>100556</v>
      </c>
      <c r="B3349" s="104" t="s">
        <v>3462</v>
      </c>
      <c r="C3349" s="104" t="s">
        <v>183</v>
      </c>
      <c r="D3349" s="129" t="s">
        <v>17736</v>
      </c>
    </row>
    <row r="3350" spans="1:4">
      <c r="A3350" s="105">
        <v>100557</v>
      </c>
      <c r="B3350" s="104" t="s">
        <v>3463</v>
      </c>
      <c r="C3350" s="104" t="s">
        <v>183</v>
      </c>
      <c r="D3350" s="129" t="s">
        <v>17737</v>
      </c>
    </row>
    <row r="3351" spans="1:4">
      <c r="A3351" s="105">
        <v>100560</v>
      </c>
      <c r="B3351" s="104" t="s">
        <v>3464</v>
      </c>
      <c r="C3351" s="104" t="s">
        <v>183</v>
      </c>
      <c r="D3351" s="129" t="s">
        <v>17738</v>
      </c>
    </row>
    <row r="3352" spans="1:4">
      <c r="A3352" s="105">
        <v>100561</v>
      </c>
      <c r="B3352" s="104" t="s">
        <v>3465</v>
      </c>
      <c r="C3352" s="104" t="s">
        <v>183</v>
      </c>
      <c r="D3352" s="129" t="s">
        <v>17739</v>
      </c>
    </row>
    <row r="3353" spans="1:4">
      <c r="A3353" s="105">
        <v>100562</v>
      </c>
      <c r="B3353" s="104" t="s">
        <v>3466</v>
      </c>
      <c r="C3353" s="104" t="s">
        <v>183</v>
      </c>
      <c r="D3353" s="129" t="s">
        <v>17740</v>
      </c>
    </row>
    <row r="3354" spans="1:4">
      <c r="A3354" s="105">
        <v>100563</v>
      </c>
      <c r="B3354" s="104" t="s">
        <v>3467</v>
      </c>
      <c r="C3354" s="104" t="s">
        <v>183</v>
      </c>
      <c r="D3354" s="129" t="s">
        <v>17741</v>
      </c>
    </row>
    <row r="3355" spans="1:4">
      <c r="A3355" s="105">
        <v>101795</v>
      </c>
      <c r="B3355" s="104" t="s">
        <v>3468</v>
      </c>
      <c r="C3355" s="104" t="s">
        <v>183</v>
      </c>
      <c r="D3355" s="129" t="s">
        <v>17742</v>
      </c>
    </row>
    <row r="3356" spans="1:4">
      <c r="A3356" s="105">
        <v>101798</v>
      </c>
      <c r="B3356" s="104" t="s">
        <v>3469</v>
      </c>
      <c r="C3356" s="104" t="s">
        <v>183</v>
      </c>
      <c r="D3356" s="129" t="s">
        <v>17743</v>
      </c>
    </row>
    <row r="3357" spans="1:4">
      <c r="A3357" s="105">
        <v>101799</v>
      </c>
      <c r="B3357" s="104" t="s">
        <v>3470</v>
      </c>
      <c r="C3357" s="104" t="s">
        <v>183</v>
      </c>
      <c r="D3357" s="129" t="s">
        <v>17744</v>
      </c>
    </row>
    <row r="3358" spans="1:4">
      <c r="A3358" s="105">
        <v>98397</v>
      </c>
      <c r="B3358" s="104" t="s">
        <v>3471</v>
      </c>
      <c r="C3358" s="104" t="s">
        <v>12</v>
      </c>
      <c r="D3358" s="129" t="s">
        <v>17745</v>
      </c>
    </row>
    <row r="3359" spans="1:4">
      <c r="A3359" s="105">
        <v>103244</v>
      </c>
      <c r="B3359" s="104" t="s">
        <v>13731</v>
      </c>
      <c r="C3359" s="104" t="s">
        <v>183</v>
      </c>
      <c r="D3359" s="129" t="s">
        <v>17746</v>
      </c>
    </row>
    <row r="3360" spans="1:4">
      <c r="A3360" s="105">
        <v>103245</v>
      </c>
      <c r="B3360" s="104" t="s">
        <v>13732</v>
      </c>
      <c r="C3360" s="104" t="s">
        <v>183</v>
      </c>
      <c r="D3360" s="129" t="s">
        <v>17747</v>
      </c>
    </row>
    <row r="3361" spans="1:4">
      <c r="A3361" s="105">
        <v>103246</v>
      </c>
      <c r="B3361" s="104" t="s">
        <v>13733</v>
      </c>
      <c r="C3361" s="104" t="s">
        <v>183</v>
      </c>
      <c r="D3361" s="129" t="s">
        <v>17748</v>
      </c>
    </row>
    <row r="3362" spans="1:4">
      <c r="A3362" s="105">
        <v>103247</v>
      </c>
      <c r="B3362" s="104" t="s">
        <v>13734</v>
      </c>
      <c r="C3362" s="104" t="s">
        <v>183</v>
      </c>
      <c r="D3362" s="129" t="s">
        <v>17749</v>
      </c>
    </row>
    <row r="3363" spans="1:4">
      <c r="A3363" s="105">
        <v>103248</v>
      </c>
      <c r="B3363" s="104" t="s">
        <v>13735</v>
      </c>
      <c r="C3363" s="104" t="s">
        <v>183</v>
      </c>
      <c r="D3363" s="129" t="s">
        <v>17750</v>
      </c>
    </row>
    <row r="3364" spans="1:4">
      <c r="A3364" s="105">
        <v>103249</v>
      </c>
      <c r="B3364" s="104" t="s">
        <v>13736</v>
      </c>
      <c r="C3364" s="104" t="s">
        <v>183</v>
      </c>
      <c r="D3364" s="129" t="s">
        <v>17751</v>
      </c>
    </row>
    <row r="3365" spans="1:4">
      <c r="A3365" s="105">
        <v>103250</v>
      </c>
      <c r="B3365" s="104" t="s">
        <v>13737</v>
      </c>
      <c r="C3365" s="104" t="s">
        <v>183</v>
      </c>
      <c r="D3365" s="129" t="s">
        <v>17752</v>
      </c>
    </row>
    <row r="3366" spans="1:4">
      <c r="A3366" s="105">
        <v>103251</v>
      </c>
      <c r="B3366" s="104" t="s">
        <v>13738</v>
      </c>
      <c r="C3366" s="104" t="s">
        <v>183</v>
      </c>
      <c r="D3366" s="129" t="s">
        <v>17753</v>
      </c>
    </row>
    <row r="3367" spans="1:4">
      <c r="A3367" s="105">
        <v>103252</v>
      </c>
      <c r="B3367" s="104" t="s">
        <v>13739</v>
      </c>
      <c r="C3367" s="104" t="s">
        <v>183</v>
      </c>
      <c r="D3367" s="129" t="s">
        <v>17754</v>
      </c>
    </row>
    <row r="3368" spans="1:4">
      <c r="A3368" s="105">
        <v>103253</v>
      </c>
      <c r="B3368" s="104" t="s">
        <v>13740</v>
      </c>
      <c r="C3368" s="104" t="s">
        <v>183</v>
      </c>
      <c r="D3368" s="129" t="s">
        <v>17755</v>
      </c>
    </row>
    <row r="3369" spans="1:4">
      <c r="A3369" s="105">
        <v>103254</v>
      </c>
      <c r="B3369" s="104" t="s">
        <v>13741</v>
      </c>
      <c r="C3369" s="104" t="s">
        <v>183</v>
      </c>
      <c r="D3369" s="129" t="s">
        <v>17756</v>
      </c>
    </row>
    <row r="3370" spans="1:4">
      <c r="A3370" s="105">
        <v>103255</v>
      </c>
      <c r="B3370" s="104" t="s">
        <v>13742</v>
      </c>
      <c r="C3370" s="104" t="s">
        <v>183</v>
      </c>
      <c r="D3370" s="129" t="s">
        <v>17757</v>
      </c>
    </row>
    <row r="3371" spans="1:4">
      <c r="A3371" s="105">
        <v>103256</v>
      </c>
      <c r="B3371" s="104" t="s">
        <v>13743</v>
      </c>
      <c r="C3371" s="104" t="s">
        <v>183</v>
      </c>
      <c r="D3371" s="129" t="s">
        <v>17758</v>
      </c>
    </row>
    <row r="3372" spans="1:4">
      <c r="A3372" s="105">
        <v>103257</v>
      </c>
      <c r="B3372" s="104" t="s">
        <v>13744</v>
      </c>
      <c r="C3372" s="104" t="s">
        <v>183</v>
      </c>
      <c r="D3372" s="129" t="s">
        <v>17759</v>
      </c>
    </row>
    <row r="3373" spans="1:4">
      <c r="A3373" s="105">
        <v>103258</v>
      </c>
      <c r="B3373" s="104" t="s">
        <v>13745</v>
      </c>
      <c r="C3373" s="104" t="s">
        <v>183</v>
      </c>
      <c r="D3373" s="129" t="s">
        <v>17760</v>
      </c>
    </row>
    <row r="3374" spans="1:4">
      <c r="A3374" s="105">
        <v>103259</v>
      </c>
      <c r="B3374" s="104" t="s">
        <v>13746</v>
      </c>
      <c r="C3374" s="104" t="s">
        <v>183</v>
      </c>
      <c r="D3374" s="129" t="s">
        <v>17761</v>
      </c>
    </row>
    <row r="3375" spans="1:4">
      <c r="A3375" s="105">
        <v>103260</v>
      </c>
      <c r="B3375" s="104" t="s">
        <v>13747</v>
      </c>
      <c r="C3375" s="104" t="s">
        <v>183</v>
      </c>
      <c r="D3375" s="129" t="s">
        <v>17762</v>
      </c>
    </row>
    <row r="3376" spans="1:4">
      <c r="A3376" s="105">
        <v>103261</v>
      </c>
      <c r="B3376" s="104" t="s">
        <v>13748</v>
      </c>
      <c r="C3376" s="104" t="s">
        <v>183</v>
      </c>
      <c r="D3376" s="129" t="s">
        <v>17763</v>
      </c>
    </row>
    <row r="3377" spans="1:4">
      <c r="A3377" s="105">
        <v>103262</v>
      </c>
      <c r="B3377" s="104" t="s">
        <v>13749</v>
      </c>
      <c r="C3377" s="104" t="s">
        <v>183</v>
      </c>
      <c r="D3377" s="129" t="s">
        <v>17764</v>
      </c>
    </row>
    <row r="3378" spans="1:4">
      <c r="A3378" s="105">
        <v>103263</v>
      </c>
      <c r="B3378" s="104" t="s">
        <v>13750</v>
      </c>
      <c r="C3378" s="104" t="s">
        <v>183</v>
      </c>
      <c r="D3378" s="129" t="s">
        <v>17765</v>
      </c>
    </row>
    <row r="3379" spans="1:4">
      <c r="A3379" s="105">
        <v>103264</v>
      </c>
      <c r="B3379" s="104" t="s">
        <v>13751</v>
      </c>
      <c r="C3379" s="104" t="s">
        <v>183</v>
      </c>
      <c r="D3379" s="129" t="s">
        <v>17766</v>
      </c>
    </row>
    <row r="3380" spans="1:4">
      <c r="A3380" s="105">
        <v>103265</v>
      </c>
      <c r="B3380" s="104" t="s">
        <v>13752</v>
      </c>
      <c r="C3380" s="104" t="s">
        <v>183</v>
      </c>
      <c r="D3380" s="129" t="s">
        <v>17767</v>
      </c>
    </row>
    <row r="3381" spans="1:4">
      <c r="A3381" s="105">
        <v>103266</v>
      </c>
      <c r="B3381" s="104" t="s">
        <v>13753</v>
      </c>
      <c r="C3381" s="104" t="s">
        <v>183</v>
      </c>
      <c r="D3381" s="129" t="s">
        <v>17768</v>
      </c>
    </row>
    <row r="3382" spans="1:4">
      <c r="A3382" s="105">
        <v>103267</v>
      </c>
      <c r="B3382" s="104" t="s">
        <v>13754</v>
      </c>
      <c r="C3382" s="104" t="s">
        <v>183</v>
      </c>
      <c r="D3382" s="129" t="s">
        <v>17769</v>
      </c>
    </row>
    <row r="3383" spans="1:4">
      <c r="A3383" s="105">
        <v>103268</v>
      </c>
      <c r="B3383" s="104" t="s">
        <v>13755</v>
      </c>
      <c r="C3383" s="104" t="s">
        <v>183</v>
      </c>
      <c r="D3383" s="129" t="s">
        <v>17770</v>
      </c>
    </row>
    <row r="3384" spans="1:4">
      <c r="A3384" s="105">
        <v>103269</v>
      </c>
      <c r="B3384" s="104" t="s">
        <v>13756</v>
      </c>
      <c r="C3384" s="104" t="s">
        <v>183</v>
      </c>
      <c r="D3384" s="129" t="s">
        <v>17771</v>
      </c>
    </row>
    <row r="3385" spans="1:4">
      <c r="A3385" s="105">
        <v>103270</v>
      </c>
      <c r="B3385" s="104" t="s">
        <v>13757</v>
      </c>
      <c r="C3385" s="104" t="s">
        <v>183</v>
      </c>
      <c r="D3385" s="129" t="s">
        <v>17772</v>
      </c>
    </row>
    <row r="3386" spans="1:4">
      <c r="A3386" s="105">
        <v>103271</v>
      </c>
      <c r="B3386" s="104" t="s">
        <v>13758</v>
      </c>
      <c r="C3386" s="104" t="s">
        <v>183</v>
      </c>
      <c r="D3386" s="129" t="s">
        <v>17773</v>
      </c>
    </row>
    <row r="3387" spans="1:4">
      <c r="A3387" s="105">
        <v>103272</v>
      </c>
      <c r="B3387" s="104" t="s">
        <v>13759</v>
      </c>
      <c r="C3387" s="104" t="s">
        <v>183</v>
      </c>
      <c r="D3387" s="129" t="s">
        <v>17774</v>
      </c>
    </row>
    <row r="3388" spans="1:4">
      <c r="A3388" s="105">
        <v>103273</v>
      </c>
      <c r="B3388" s="104" t="s">
        <v>13760</v>
      </c>
      <c r="C3388" s="104" t="s">
        <v>183</v>
      </c>
      <c r="D3388" s="129" t="s">
        <v>17775</v>
      </c>
    </row>
    <row r="3389" spans="1:4">
      <c r="A3389" s="105">
        <v>103274</v>
      </c>
      <c r="B3389" s="104" t="s">
        <v>13761</v>
      </c>
      <c r="C3389" s="104" t="s">
        <v>183</v>
      </c>
      <c r="D3389" s="129" t="s">
        <v>17776</v>
      </c>
    </row>
    <row r="3390" spans="1:4">
      <c r="A3390" s="105">
        <v>103275</v>
      </c>
      <c r="B3390" s="104" t="s">
        <v>13762</v>
      </c>
      <c r="C3390" s="104" t="s">
        <v>183</v>
      </c>
      <c r="D3390" s="129" t="s">
        <v>17777</v>
      </c>
    </row>
    <row r="3391" spans="1:4">
      <c r="A3391" s="105">
        <v>103276</v>
      </c>
      <c r="B3391" s="104" t="s">
        <v>13763</v>
      </c>
      <c r="C3391" s="104" t="s">
        <v>183</v>
      </c>
      <c r="D3391" s="129" t="s">
        <v>17778</v>
      </c>
    </row>
    <row r="3392" spans="1:4">
      <c r="A3392" s="105">
        <v>103277</v>
      </c>
      <c r="B3392" s="104" t="s">
        <v>13764</v>
      </c>
      <c r="C3392" s="104" t="s">
        <v>183</v>
      </c>
      <c r="D3392" s="129" t="s">
        <v>17779</v>
      </c>
    </row>
    <row r="3393" spans="1:4">
      <c r="A3393" s="105">
        <v>103278</v>
      </c>
      <c r="B3393" s="104" t="s">
        <v>13765</v>
      </c>
      <c r="C3393" s="104" t="s">
        <v>183</v>
      </c>
      <c r="D3393" s="129" t="s">
        <v>17780</v>
      </c>
    </row>
    <row r="3394" spans="1:4">
      <c r="A3394" s="105">
        <v>103288</v>
      </c>
      <c r="B3394" s="104" t="s">
        <v>13766</v>
      </c>
      <c r="C3394" s="104" t="s">
        <v>183</v>
      </c>
      <c r="D3394" s="129" t="s">
        <v>17781</v>
      </c>
    </row>
    <row r="3395" spans="1:4">
      <c r="A3395" s="105">
        <v>103289</v>
      </c>
      <c r="B3395" s="104" t="s">
        <v>13767</v>
      </c>
      <c r="C3395" s="104" t="s">
        <v>40</v>
      </c>
      <c r="D3395" s="129" t="s">
        <v>17782</v>
      </c>
    </row>
    <row r="3396" spans="1:4">
      <c r="A3396" s="105">
        <v>103290</v>
      </c>
      <c r="B3396" s="104" t="s">
        <v>13768</v>
      </c>
      <c r="C3396" s="104" t="s">
        <v>40</v>
      </c>
      <c r="D3396" s="129" t="s">
        <v>17783</v>
      </c>
    </row>
    <row r="3397" spans="1:4">
      <c r="A3397" s="105">
        <v>103291</v>
      </c>
      <c r="B3397" s="104" t="s">
        <v>13769</v>
      </c>
      <c r="C3397" s="104" t="s">
        <v>40</v>
      </c>
      <c r="D3397" s="129" t="s">
        <v>17784</v>
      </c>
    </row>
    <row r="3398" spans="1:4">
      <c r="A3398" s="105">
        <v>103292</v>
      </c>
      <c r="B3398" s="104" t="s">
        <v>13770</v>
      </c>
      <c r="C3398" s="104" t="s">
        <v>40</v>
      </c>
      <c r="D3398" s="129" t="s">
        <v>17785</v>
      </c>
    </row>
    <row r="3399" spans="1:4">
      <c r="A3399" s="105">
        <v>101936</v>
      </c>
      <c r="B3399" s="104" t="s">
        <v>3472</v>
      </c>
      <c r="C3399" s="104" t="s">
        <v>183</v>
      </c>
      <c r="D3399" s="129" t="s">
        <v>17786</v>
      </c>
    </row>
    <row r="3400" spans="1:4">
      <c r="A3400" s="105">
        <v>101937</v>
      </c>
      <c r="B3400" s="104" t="s">
        <v>3473</v>
      </c>
      <c r="C3400" s="104" t="s">
        <v>183</v>
      </c>
      <c r="D3400" s="129" t="s">
        <v>17787</v>
      </c>
    </row>
    <row r="3401" spans="1:4">
      <c r="A3401" s="105">
        <v>98294</v>
      </c>
      <c r="B3401" s="104" t="s">
        <v>3474</v>
      </c>
      <c r="C3401" s="104" t="s">
        <v>40</v>
      </c>
      <c r="D3401" s="129" t="s">
        <v>15307</v>
      </c>
    </row>
    <row r="3402" spans="1:4">
      <c r="A3402" s="105">
        <v>98295</v>
      </c>
      <c r="B3402" s="104" t="s">
        <v>3475</v>
      </c>
      <c r="C3402" s="104" t="s">
        <v>40</v>
      </c>
      <c r="D3402" s="129" t="s">
        <v>15303</v>
      </c>
    </row>
    <row r="3403" spans="1:4">
      <c r="A3403" s="105">
        <v>98296</v>
      </c>
      <c r="B3403" s="104" t="s">
        <v>3476</v>
      </c>
      <c r="C3403" s="104" t="s">
        <v>40</v>
      </c>
      <c r="D3403" s="129" t="s">
        <v>17788</v>
      </c>
    </row>
    <row r="3404" spans="1:4">
      <c r="A3404" s="105">
        <v>98297</v>
      </c>
      <c r="B3404" s="104" t="s">
        <v>3477</v>
      </c>
      <c r="C3404" s="104" t="s">
        <v>40</v>
      </c>
      <c r="D3404" s="129" t="s">
        <v>14826</v>
      </c>
    </row>
    <row r="3405" spans="1:4">
      <c r="A3405" s="105">
        <v>98301</v>
      </c>
      <c r="B3405" s="104" t="s">
        <v>3478</v>
      </c>
      <c r="C3405" s="104" t="s">
        <v>183</v>
      </c>
      <c r="D3405" s="129" t="s">
        <v>17789</v>
      </c>
    </row>
    <row r="3406" spans="1:4">
      <c r="A3406" s="105">
        <v>98302</v>
      </c>
      <c r="B3406" s="104" t="s">
        <v>3479</v>
      </c>
      <c r="C3406" s="104" t="s">
        <v>183</v>
      </c>
      <c r="D3406" s="129" t="s">
        <v>17790</v>
      </c>
    </row>
    <row r="3407" spans="1:4">
      <c r="A3407" s="105">
        <v>98304</v>
      </c>
      <c r="B3407" s="104" t="s">
        <v>3480</v>
      </c>
      <c r="C3407" s="104" t="s">
        <v>183</v>
      </c>
      <c r="D3407" s="129" t="s">
        <v>17791</v>
      </c>
    </row>
    <row r="3408" spans="1:4">
      <c r="A3408" s="105">
        <v>98307</v>
      </c>
      <c r="B3408" s="104" t="s">
        <v>3481</v>
      </c>
      <c r="C3408" s="104" t="s">
        <v>183</v>
      </c>
      <c r="D3408" s="129" t="s">
        <v>17792</v>
      </c>
    </row>
    <row r="3409" spans="1:4">
      <c r="A3409" s="105">
        <v>98308</v>
      </c>
      <c r="B3409" s="104" t="s">
        <v>3482</v>
      </c>
      <c r="C3409" s="104" t="s">
        <v>183</v>
      </c>
      <c r="D3409" s="129" t="s">
        <v>15519</v>
      </c>
    </row>
    <row r="3410" spans="1:4">
      <c r="A3410" s="105">
        <v>98593</v>
      </c>
      <c r="B3410" s="104" t="s">
        <v>3483</v>
      </c>
      <c r="C3410" s="104" t="s">
        <v>183</v>
      </c>
      <c r="D3410" s="129" t="s">
        <v>17793</v>
      </c>
    </row>
    <row r="3411" spans="1:4">
      <c r="A3411" s="105">
        <v>89355</v>
      </c>
      <c r="B3411" s="104" t="s">
        <v>3484</v>
      </c>
      <c r="C3411" s="104" t="s">
        <v>40</v>
      </c>
      <c r="D3411" s="129" t="s">
        <v>17794</v>
      </c>
    </row>
    <row r="3412" spans="1:4">
      <c r="A3412" s="105">
        <v>89356</v>
      </c>
      <c r="B3412" s="104" t="s">
        <v>3485</v>
      </c>
      <c r="C3412" s="104" t="s">
        <v>40</v>
      </c>
      <c r="D3412" s="129" t="s">
        <v>16618</v>
      </c>
    </row>
    <row r="3413" spans="1:4">
      <c r="A3413" s="105">
        <v>89357</v>
      </c>
      <c r="B3413" s="104" t="s">
        <v>3486</v>
      </c>
      <c r="C3413" s="104" t="s">
        <v>40</v>
      </c>
      <c r="D3413" s="129" t="s">
        <v>17795</v>
      </c>
    </row>
    <row r="3414" spans="1:4">
      <c r="A3414" s="105">
        <v>89401</v>
      </c>
      <c r="B3414" s="104" t="s">
        <v>3487</v>
      </c>
      <c r="C3414" s="104" t="s">
        <v>40</v>
      </c>
      <c r="D3414" s="129" t="s">
        <v>17796</v>
      </c>
    </row>
    <row r="3415" spans="1:4">
      <c r="A3415" s="105">
        <v>89402</v>
      </c>
      <c r="B3415" s="104" t="s">
        <v>3488</v>
      </c>
      <c r="C3415" s="104" t="s">
        <v>40</v>
      </c>
      <c r="D3415" s="129" t="s">
        <v>17797</v>
      </c>
    </row>
    <row r="3416" spans="1:4">
      <c r="A3416" s="105">
        <v>89403</v>
      </c>
      <c r="B3416" s="104" t="s">
        <v>3489</v>
      </c>
      <c r="C3416" s="104" t="s">
        <v>40</v>
      </c>
      <c r="D3416" s="129" t="s">
        <v>17798</v>
      </c>
    </row>
    <row r="3417" spans="1:4">
      <c r="A3417" s="105">
        <v>89446</v>
      </c>
      <c r="B3417" s="104" t="s">
        <v>3490</v>
      </c>
      <c r="C3417" s="104" t="s">
        <v>40</v>
      </c>
      <c r="D3417" s="129" t="s">
        <v>15608</v>
      </c>
    </row>
    <row r="3418" spans="1:4">
      <c r="A3418" s="105">
        <v>89447</v>
      </c>
      <c r="B3418" s="104" t="s">
        <v>3491</v>
      </c>
      <c r="C3418" s="104" t="s">
        <v>40</v>
      </c>
      <c r="D3418" s="129" t="s">
        <v>17799</v>
      </c>
    </row>
    <row r="3419" spans="1:4">
      <c r="A3419" s="105">
        <v>89448</v>
      </c>
      <c r="B3419" s="104" t="s">
        <v>3492</v>
      </c>
      <c r="C3419" s="104" t="s">
        <v>40</v>
      </c>
      <c r="D3419" s="129" t="s">
        <v>16915</v>
      </c>
    </row>
    <row r="3420" spans="1:4">
      <c r="A3420" s="105">
        <v>89449</v>
      </c>
      <c r="B3420" s="104" t="s">
        <v>3493</v>
      </c>
      <c r="C3420" s="104" t="s">
        <v>40</v>
      </c>
      <c r="D3420" s="129" t="s">
        <v>17800</v>
      </c>
    </row>
    <row r="3421" spans="1:4">
      <c r="A3421" s="105">
        <v>89450</v>
      </c>
      <c r="B3421" s="104" t="s">
        <v>3494</v>
      </c>
      <c r="C3421" s="104" t="s">
        <v>40</v>
      </c>
      <c r="D3421" s="129" t="s">
        <v>17801</v>
      </c>
    </row>
    <row r="3422" spans="1:4">
      <c r="A3422" s="105">
        <v>89451</v>
      </c>
      <c r="B3422" s="104" t="s">
        <v>3495</v>
      </c>
      <c r="C3422" s="104" t="s">
        <v>40</v>
      </c>
      <c r="D3422" s="129" t="s">
        <v>17802</v>
      </c>
    </row>
    <row r="3423" spans="1:4">
      <c r="A3423" s="105">
        <v>89452</v>
      </c>
      <c r="B3423" s="104" t="s">
        <v>3496</v>
      </c>
      <c r="C3423" s="104" t="s">
        <v>40</v>
      </c>
      <c r="D3423" s="129" t="s">
        <v>17803</v>
      </c>
    </row>
    <row r="3424" spans="1:4">
      <c r="A3424" s="105">
        <v>89508</v>
      </c>
      <c r="B3424" s="104" t="s">
        <v>3497</v>
      </c>
      <c r="C3424" s="104" t="s">
        <v>40</v>
      </c>
      <c r="D3424" s="129" t="s">
        <v>17251</v>
      </c>
    </row>
    <row r="3425" spans="1:4">
      <c r="A3425" s="105">
        <v>89509</v>
      </c>
      <c r="B3425" s="104" t="s">
        <v>3498</v>
      </c>
      <c r="C3425" s="104" t="s">
        <v>40</v>
      </c>
      <c r="D3425" s="129" t="s">
        <v>17804</v>
      </c>
    </row>
    <row r="3426" spans="1:4">
      <c r="A3426" s="105">
        <v>89511</v>
      </c>
      <c r="B3426" s="104" t="s">
        <v>3499</v>
      </c>
      <c r="C3426" s="104" t="s">
        <v>40</v>
      </c>
      <c r="D3426" s="129" t="s">
        <v>17805</v>
      </c>
    </row>
    <row r="3427" spans="1:4">
      <c r="A3427" s="105">
        <v>89512</v>
      </c>
      <c r="B3427" s="104" t="s">
        <v>3500</v>
      </c>
      <c r="C3427" s="104" t="s">
        <v>40</v>
      </c>
      <c r="D3427" s="129" t="s">
        <v>17806</v>
      </c>
    </row>
    <row r="3428" spans="1:4">
      <c r="A3428" s="105">
        <v>89576</v>
      </c>
      <c r="B3428" s="104" t="s">
        <v>3501</v>
      </c>
      <c r="C3428" s="104" t="s">
        <v>40</v>
      </c>
      <c r="D3428" s="129" t="s">
        <v>17807</v>
      </c>
    </row>
    <row r="3429" spans="1:4">
      <c r="A3429" s="105">
        <v>89578</v>
      </c>
      <c r="B3429" s="104" t="s">
        <v>3502</v>
      </c>
      <c r="C3429" s="104" t="s">
        <v>40</v>
      </c>
      <c r="D3429" s="129" t="s">
        <v>17808</v>
      </c>
    </row>
    <row r="3430" spans="1:4">
      <c r="A3430" s="105">
        <v>89580</v>
      </c>
      <c r="B3430" s="104" t="s">
        <v>3503</v>
      </c>
      <c r="C3430" s="104" t="s">
        <v>40</v>
      </c>
      <c r="D3430" s="129" t="s">
        <v>16104</v>
      </c>
    </row>
    <row r="3431" spans="1:4">
      <c r="A3431" s="105">
        <v>89633</v>
      </c>
      <c r="B3431" s="104" t="s">
        <v>3504</v>
      </c>
      <c r="C3431" s="104" t="s">
        <v>40</v>
      </c>
      <c r="D3431" s="129" t="s">
        <v>17809</v>
      </c>
    </row>
    <row r="3432" spans="1:4">
      <c r="A3432" s="105">
        <v>89634</v>
      </c>
      <c r="B3432" s="104" t="s">
        <v>3505</v>
      </c>
      <c r="C3432" s="104" t="s">
        <v>40</v>
      </c>
      <c r="D3432" s="129" t="s">
        <v>17810</v>
      </c>
    </row>
    <row r="3433" spans="1:4">
      <c r="A3433" s="105">
        <v>89635</v>
      </c>
      <c r="B3433" s="104" t="s">
        <v>3506</v>
      </c>
      <c r="C3433" s="104" t="s">
        <v>40</v>
      </c>
      <c r="D3433" s="129" t="s">
        <v>17811</v>
      </c>
    </row>
    <row r="3434" spans="1:4">
      <c r="A3434" s="105">
        <v>89636</v>
      </c>
      <c r="B3434" s="104" t="s">
        <v>3507</v>
      </c>
      <c r="C3434" s="104" t="s">
        <v>40</v>
      </c>
      <c r="D3434" s="129" t="s">
        <v>17812</v>
      </c>
    </row>
    <row r="3435" spans="1:4">
      <c r="A3435" s="105">
        <v>89711</v>
      </c>
      <c r="B3435" s="104" t="s">
        <v>3508</v>
      </c>
      <c r="C3435" s="104" t="s">
        <v>40</v>
      </c>
      <c r="D3435" s="129" t="s">
        <v>17813</v>
      </c>
    </row>
    <row r="3436" spans="1:4">
      <c r="A3436" s="105">
        <v>89712</v>
      </c>
      <c r="B3436" s="104" t="s">
        <v>169</v>
      </c>
      <c r="C3436" s="104" t="s">
        <v>40</v>
      </c>
      <c r="D3436" s="129" t="s">
        <v>17814</v>
      </c>
    </row>
    <row r="3437" spans="1:4">
      <c r="A3437" s="105">
        <v>89713</v>
      </c>
      <c r="B3437" s="104" t="s">
        <v>170</v>
      </c>
      <c r="C3437" s="104" t="s">
        <v>40</v>
      </c>
      <c r="D3437" s="129" t="s">
        <v>17815</v>
      </c>
    </row>
    <row r="3438" spans="1:4">
      <c r="A3438" s="105">
        <v>89714</v>
      </c>
      <c r="B3438" s="104" t="s">
        <v>171</v>
      </c>
      <c r="C3438" s="104" t="s">
        <v>40</v>
      </c>
      <c r="D3438" s="129" t="s">
        <v>17816</v>
      </c>
    </row>
    <row r="3439" spans="1:4">
      <c r="A3439" s="105">
        <v>89716</v>
      </c>
      <c r="B3439" s="104" t="s">
        <v>3509</v>
      </c>
      <c r="C3439" s="104" t="s">
        <v>40</v>
      </c>
      <c r="D3439" s="129" t="s">
        <v>17817</v>
      </c>
    </row>
    <row r="3440" spans="1:4">
      <c r="A3440" s="105">
        <v>89717</v>
      </c>
      <c r="B3440" s="104" t="s">
        <v>3510</v>
      </c>
      <c r="C3440" s="104" t="s">
        <v>40</v>
      </c>
      <c r="D3440" s="129" t="s">
        <v>17818</v>
      </c>
    </row>
    <row r="3441" spans="1:4">
      <c r="A3441" s="105">
        <v>89770</v>
      </c>
      <c r="B3441" s="104" t="s">
        <v>3511</v>
      </c>
      <c r="C3441" s="104" t="s">
        <v>40</v>
      </c>
      <c r="D3441" s="129" t="s">
        <v>17819</v>
      </c>
    </row>
    <row r="3442" spans="1:4">
      <c r="A3442" s="105">
        <v>89771</v>
      </c>
      <c r="B3442" s="104" t="s">
        <v>3512</v>
      </c>
      <c r="C3442" s="104" t="s">
        <v>40</v>
      </c>
      <c r="D3442" s="129" t="s">
        <v>17820</v>
      </c>
    </row>
    <row r="3443" spans="1:4">
      <c r="A3443" s="105">
        <v>89773</v>
      </c>
      <c r="B3443" s="104" t="s">
        <v>3513</v>
      </c>
      <c r="C3443" s="104" t="s">
        <v>40</v>
      </c>
      <c r="D3443" s="129" t="s">
        <v>17821</v>
      </c>
    </row>
    <row r="3444" spans="1:4">
      <c r="A3444" s="105">
        <v>89775</v>
      </c>
      <c r="B3444" s="104" t="s">
        <v>3514</v>
      </c>
      <c r="C3444" s="104" t="s">
        <v>40</v>
      </c>
      <c r="D3444" s="129" t="s">
        <v>17822</v>
      </c>
    </row>
    <row r="3445" spans="1:4">
      <c r="A3445" s="105">
        <v>89798</v>
      </c>
      <c r="B3445" s="104" t="s">
        <v>3515</v>
      </c>
      <c r="C3445" s="104" t="s">
        <v>40</v>
      </c>
      <c r="D3445" s="129" t="s">
        <v>17823</v>
      </c>
    </row>
    <row r="3446" spans="1:4">
      <c r="A3446" s="105">
        <v>89799</v>
      </c>
      <c r="B3446" s="104" t="s">
        <v>3516</v>
      </c>
      <c r="C3446" s="104" t="s">
        <v>40</v>
      </c>
      <c r="D3446" s="129" t="s">
        <v>17824</v>
      </c>
    </row>
    <row r="3447" spans="1:4">
      <c r="A3447" s="105">
        <v>89800</v>
      </c>
      <c r="B3447" s="104" t="s">
        <v>3517</v>
      </c>
      <c r="C3447" s="104" t="s">
        <v>40</v>
      </c>
      <c r="D3447" s="129" t="s">
        <v>17825</v>
      </c>
    </row>
    <row r="3448" spans="1:4">
      <c r="A3448" s="105">
        <v>89848</v>
      </c>
      <c r="B3448" s="104" t="s">
        <v>3518</v>
      </c>
      <c r="C3448" s="104" t="s">
        <v>40</v>
      </c>
      <c r="D3448" s="129" t="s">
        <v>17826</v>
      </c>
    </row>
    <row r="3449" spans="1:4">
      <c r="A3449" s="105">
        <v>89849</v>
      </c>
      <c r="B3449" s="104" t="s">
        <v>3519</v>
      </c>
      <c r="C3449" s="104" t="s">
        <v>40</v>
      </c>
      <c r="D3449" s="129" t="s">
        <v>17827</v>
      </c>
    </row>
    <row r="3450" spans="1:4">
      <c r="A3450" s="105">
        <v>89865</v>
      </c>
      <c r="B3450" s="104" t="s">
        <v>3520</v>
      </c>
      <c r="C3450" s="104" t="s">
        <v>40</v>
      </c>
      <c r="D3450" s="129" t="s">
        <v>17270</v>
      </c>
    </row>
    <row r="3451" spans="1:4">
      <c r="A3451" s="105">
        <v>91784</v>
      </c>
      <c r="B3451" s="104" t="s">
        <v>3521</v>
      </c>
      <c r="C3451" s="104" t="s">
        <v>40</v>
      </c>
      <c r="D3451" s="129" t="s">
        <v>17828</v>
      </c>
    </row>
    <row r="3452" spans="1:4">
      <c r="A3452" s="105">
        <v>91785</v>
      </c>
      <c r="B3452" s="104" t="s">
        <v>3522</v>
      </c>
      <c r="C3452" s="104" t="s">
        <v>40</v>
      </c>
      <c r="D3452" s="129" t="s">
        <v>17829</v>
      </c>
    </row>
    <row r="3453" spans="1:4">
      <c r="A3453" s="105">
        <v>91786</v>
      </c>
      <c r="B3453" s="104" t="s">
        <v>3523</v>
      </c>
      <c r="C3453" s="104" t="s">
        <v>40</v>
      </c>
      <c r="D3453" s="129" t="s">
        <v>17830</v>
      </c>
    </row>
    <row r="3454" spans="1:4">
      <c r="A3454" s="105">
        <v>91787</v>
      </c>
      <c r="B3454" s="104" t="s">
        <v>3524</v>
      </c>
      <c r="C3454" s="104" t="s">
        <v>40</v>
      </c>
      <c r="D3454" s="129" t="s">
        <v>17831</v>
      </c>
    </row>
    <row r="3455" spans="1:4">
      <c r="A3455" s="105">
        <v>91788</v>
      </c>
      <c r="B3455" s="104" t="s">
        <v>3525</v>
      </c>
      <c r="C3455" s="104" t="s">
        <v>40</v>
      </c>
      <c r="D3455" s="129" t="s">
        <v>17832</v>
      </c>
    </row>
    <row r="3456" spans="1:4">
      <c r="A3456" s="105">
        <v>91789</v>
      </c>
      <c r="B3456" s="104" t="s">
        <v>3526</v>
      </c>
      <c r="C3456" s="104" t="s">
        <v>40</v>
      </c>
      <c r="D3456" s="129" t="s">
        <v>17833</v>
      </c>
    </row>
    <row r="3457" spans="1:4">
      <c r="A3457" s="105">
        <v>91790</v>
      </c>
      <c r="B3457" s="104" t="s">
        <v>3527</v>
      </c>
      <c r="C3457" s="104" t="s">
        <v>40</v>
      </c>
      <c r="D3457" s="129" t="s">
        <v>17834</v>
      </c>
    </row>
    <row r="3458" spans="1:4">
      <c r="A3458" s="105">
        <v>91791</v>
      </c>
      <c r="B3458" s="104" t="s">
        <v>3528</v>
      </c>
      <c r="C3458" s="104" t="s">
        <v>40</v>
      </c>
      <c r="D3458" s="129" t="s">
        <v>17835</v>
      </c>
    </row>
    <row r="3459" spans="1:4">
      <c r="A3459" s="105">
        <v>91792</v>
      </c>
      <c r="B3459" s="104" t="s">
        <v>3529</v>
      </c>
      <c r="C3459" s="104" t="s">
        <v>40</v>
      </c>
      <c r="D3459" s="129" t="s">
        <v>17836</v>
      </c>
    </row>
    <row r="3460" spans="1:4">
      <c r="A3460" s="105">
        <v>91793</v>
      </c>
      <c r="B3460" s="104" t="s">
        <v>3530</v>
      </c>
      <c r="C3460" s="104" t="s">
        <v>40</v>
      </c>
      <c r="D3460" s="129" t="s">
        <v>17837</v>
      </c>
    </row>
    <row r="3461" spans="1:4">
      <c r="A3461" s="105">
        <v>91794</v>
      </c>
      <c r="B3461" s="104" t="s">
        <v>3531</v>
      </c>
      <c r="C3461" s="104" t="s">
        <v>40</v>
      </c>
      <c r="D3461" s="129" t="s">
        <v>17838</v>
      </c>
    </row>
    <row r="3462" spans="1:4">
      <c r="A3462" s="105">
        <v>91795</v>
      </c>
      <c r="B3462" s="104" t="s">
        <v>3532</v>
      </c>
      <c r="C3462" s="104" t="s">
        <v>40</v>
      </c>
      <c r="D3462" s="129" t="s">
        <v>17839</v>
      </c>
    </row>
    <row r="3463" spans="1:4">
      <c r="A3463" s="105">
        <v>91796</v>
      </c>
      <c r="B3463" s="104" t="s">
        <v>3533</v>
      </c>
      <c r="C3463" s="104" t="s">
        <v>40</v>
      </c>
      <c r="D3463" s="129" t="s">
        <v>17840</v>
      </c>
    </row>
    <row r="3464" spans="1:4">
      <c r="A3464" s="105">
        <v>92275</v>
      </c>
      <c r="B3464" s="104" t="s">
        <v>3534</v>
      </c>
      <c r="C3464" s="104" t="s">
        <v>40</v>
      </c>
      <c r="D3464" s="129" t="s">
        <v>17841</v>
      </c>
    </row>
    <row r="3465" spans="1:4">
      <c r="A3465" s="105">
        <v>92276</v>
      </c>
      <c r="B3465" s="104" t="s">
        <v>3535</v>
      </c>
      <c r="C3465" s="104" t="s">
        <v>40</v>
      </c>
      <c r="D3465" s="129" t="s">
        <v>17842</v>
      </c>
    </row>
    <row r="3466" spans="1:4">
      <c r="A3466" s="105">
        <v>92277</v>
      </c>
      <c r="B3466" s="104" t="s">
        <v>3536</v>
      </c>
      <c r="C3466" s="104" t="s">
        <v>40</v>
      </c>
      <c r="D3466" s="129" t="s">
        <v>17843</v>
      </c>
    </row>
    <row r="3467" spans="1:4">
      <c r="A3467" s="105">
        <v>92278</v>
      </c>
      <c r="B3467" s="104" t="s">
        <v>3537</v>
      </c>
      <c r="C3467" s="104" t="s">
        <v>40</v>
      </c>
      <c r="D3467" s="129" t="s">
        <v>17844</v>
      </c>
    </row>
    <row r="3468" spans="1:4">
      <c r="A3468" s="105">
        <v>92279</v>
      </c>
      <c r="B3468" s="104" t="s">
        <v>3538</v>
      </c>
      <c r="C3468" s="104" t="s">
        <v>40</v>
      </c>
      <c r="D3468" s="129" t="s">
        <v>17845</v>
      </c>
    </row>
    <row r="3469" spans="1:4">
      <c r="A3469" s="105">
        <v>92280</v>
      </c>
      <c r="B3469" s="104" t="s">
        <v>3539</v>
      </c>
      <c r="C3469" s="104" t="s">
        <v>40</v>
      </c>
      <c r="D3469" s="129" t="s">
        <v>17846</v>
      </c>
    </row>
    <row r="3470" spans="1:4">
      <c r="A3470" s="105">
        <v>92281</v>
      </c>
      <c r="B3470" s="104" t="s">
        <v>3540</v>
      </c>
      <c r="C3470" s="104" t="s">
        <v>40</v>
      </c>
      <c r="D3470" s="129" t="s">
        <v>17847</v>
      </c>
    </row>
    <row r="3471" spans="1:4">
      <c r="A3471" s="105">
        <v>92282</v>
      </c>
      <c r="B3471" s="104" t="s">
        <v>3541</v>
      </c>
      <c r="C3471" s="104" t="s">
        <v>40</v>
      </c>
      <c r="D3471" s="129" t="s">
        <v>17848</v>
      </c>
    </row>
    <row r="3472" spans="1:4">
      <c r="A3472" s="105">
        <v>92283</v>
      </c>
      <c r="B3472" s="104" t="s">
        <v>3542</v>
      </c>
      <c r="C3472" s="104" t="s">
        <v>40</v>
      </c>
      <c r="D3472" s="129" t="s">
        <v>15314</v>
      </c>
    </row>
    <row r="3473" spans="1:4">
      <c r="A3473" s="105">
        <v>92284</v>
      </c>
      <c r="B3473" s="104" t="s">
        <v>3543</v>
      </c>
      <c r="C3473" s="104" t="s">
        <v>40</v>
      </c>
      <c r="D3473" s="129" t="s">
        <v>17849</v>
      </c>
    </row>
    <row r="3474" spans="1:4">
      <c r="A3474" s="105">
        <v>92285</v>
      </c>
      <c r="B3474" s="104" t="s">
        <v>3544</v>
      </c>
      <c r="C3474" s="104" t="s">
        <v>40</v>
      </c>
      <c r="D3474" s="129" t="s">
        <v>17850</v>
      </c>
    </row>
    <row r="3475" spans="1:4">
      <c r="A3475" s="105">
        <v>92286</v>
      </c>
      <c r="B3475" s="104" t="s">
        <v>3545</v>
      </c>
      <c r="C3475" s="104" t="s">
        <v>40</v>
      </c>
      <c r="D3475" s="129" t="s">
        <v>17851</v>
      </c>
    </row>
    <row r="3476" spans="1:4">
      <c r="A3476" s="105">
        <v>92305</v>
      </c>
      <c r="B3476" s="104" t="s">
        <v>3546</v>
      </c>
      <c r="C3476" s="104" t="s">
        <v>40</v>
      </c>
      <c r="D3476" s="129" t="s">
        <v>17852</v>
      </c>
    </row>
    <row r="3477" spans="1:4">
      <c r="A3477" s="105">
        <v>92306</v>
      </c>
      <c r="B3477" s="104" t="s">
        <v>3547</v>
      </c>
      <c r="C3477" s="104" t="s">
        <v>40</v>
      </c>
      <c r="D3477" s="129" t="s">
        <v>17853</v>
      </c>
    </row>
    <row r="3478" spans="1:4">
      <c r="A3478" s="105">
        <v>92307</v>
      </c>
      <c r="B3478" s="104" t="s">
        <v>3548</v>
      </c>
      <c r="C3478" s="104" t="s">
        <v>40</v>
      </c>
      <c r="D3478" s="129" t="s">
        <v>17854</v>
      </c>
    </row>
    <row r="3479" spans="1:4">
      <c r="A3479" s="105">
        <v>92308</v>
      </c>
      <c r="B3479" s="104" t="s">
        <v>3549</v>
      </c>
      <c r="C3479" s="104" t="s">
        <v>40</v>
      </c>
      <c r="D3479" s="129" t="s">
        <v>17855</v>
      </c>
    </row>
    <row r="3480" spans="1:4">
      <c r="A3480" s="105">
        <v>92309</v>
      </c>
      <c r="B3480" s="104" t="s">
        <v>3550</v>
      </c>
      <c r="C3480" s="104" t="s">
        <v>40</v>
      </c>
      <c r="D3480" s="129" t="s">
        <v>17856</v>
      </c>
    </row>
    <row r="3481" spans="1:4">
      <c r="A3481" s="105">
        <v>92310</v>
      </c>
      <c r="B3481" s="104" t="s">
        <v>3551</v>
      </c>
      <c r="C3481" s="104" t="s">
        <v>40</v>
      </c>
      <c r="D3481" s="129" t="s">
        <v>17857</v>
      </c>
    </row>
    <row r="3482" spans="1:4">
      <c r="A3482" s="105">
        <v>92320</v>
      </c>
      <c r="B3482" s="104" t="s">
        <v>3552</v>
      </c>
      <c r="C3482" s="104" t="s">
        <v>40</v>
      </c>
      <c r="D3482" s="129" t="s">
        <v>14811</v>
      </c>
    </row>
    <row r="3483" spans="1:4">
      <c r="A3483" s="105">
        <v>92321</v>
      </c>
      <c r="B3483" s="104" t="s">
        <v>3553</v>
      </c>
      <c r="C3483" s="104" t="s">
        <v>40</v>
      </c>
      <c r="D3483" s="129" t="s">
        <v>17858</v>
      </c>
    </row>
    <row r="3484" spans="1:4">
      <c r="A3484" s="105">
        <v>92322</v>
      </c>
      <c r="B3484" s="104" t="s">
        <v>3554</v>
      </c>
      <c r="C3484" s="104" t="s">
        <v>40</v>
      </c>
      <c r="D3484" s="129" t="s">
        <v>17859</v>
      </c>
    </row>
    <row r="3485" spans="1:4">
      <c r="A3485" s="105">
        <v>92323</v>
      </c>
      <c r="B3485" s="104" t="s">
        <v>3555</v>
      </c>
      <c r="C3485" s="104" t="s">
        <v>40</v>
      </c>
      <c r="D3485" s="129" t="s">
        <v>17860</v>
      </c>
    </row>
    <row r="3486" spans="1:4">
      <c r="A3486" s="105">
        <v>92324</v>
      </c>
      <c r="B3486" s="104" t="s">
        <v>3556</v>
      </c>
      <c r="C3486" s="104" t="s">
        <v>40</v>
      </c>
      <c r="D3486" s="129" t="s">
        <v>17861</v>
      </c>
    </row>
    <row r="3487" spans="1:4">
      <c r="A3487" s="105">
        <v>92325</v>
      </c>
      <c r="B3487" s="104" t="s">
        <v>3557</v>
      </c>
      <c r="C3487" s="104" t="s">
        <v>40</v>
      </c>
      <c r="D3487" s="129" t="s">
        <v>17862</v>
      </c>
    </row>
    <row r="3488" spans="1:4">
      <c r="A3488" s="105">
        <v>92335</v>
      </c>
      <c r="B3488" s="104" t="s">
        <v>3558</v>
      </c>
      <c r="C3488" s="104" t="s">
        <v>40</v>
      </c>
      <c r="D3488" s="129" t="s">
        <v>17863</v>
      </c>
    </row>
    <row r="3489" spans="1:4">
      <c r="A3489" s="105">
        <v>92336</v>
      </c>
      <c r="B3489" s="104" t="s">
        <v>3559</v>
      </c>
      <c r="C3489" s="104" t="s">
        <v>40</v>
      </c>
      <c r="D3489" s="129" t="s">
        <v>17864</v>
      </c>
    </row>
    <row r="3490" spans="1:4">
      <c r="A3490" s="105">
        <v>92337</v>
      </c>
      <c r="B3490" s="104" t="s">
        <v>3560</v>
      </c>
      <c r="C3490" s="104" t="s">
        <v>40</v>
      </c>
      <c r="D3490" s="129" t="s">
        <v>17865</v>
      </c>
    </row>
    <row r="3491" spans="1:4">
      <c r="A3491" s="105">
        <v>92338</v>
      </c>
      <c r="B3491" s="104" t="s">
        <v>3561</v>
      </c>
      <c r="C3491" s="104" t="s">
        <v>40</v>
      </c>
      <c r="D3491" s="129" t="s">
        <v>17866</v>
      </c>
    </row>
    <row r="3492" spans="1:4">
      <c r="A3492" s="105">
        <v>92339</v>
      </c>
      <c r="B3492" s="104" t="s">
        <v>3562</v>
      </c>
      <c r="C3492" s="104" t="s">
        <v>40</v>
      </c>
      <c r="D3492" s="129" t="s">
        <v>17867</v>
      </c>
    </row>
    <row r="3493" spans="1:4">
      <c r="A3493" s="105">
        <v>92341</v>
      </c>
      <c r="B3493" s="104" t="s">
        <v>3563</v>
      </c>
      <c r="C3493" s="104" t="s">
        <v>40</v>
      </c>
      <c r="D3493" s="129" t="s">
        <v>17868</v>
      </c>
    </row>
    <row r="3494" spans="1:4">
      <c r="A3494" s="105">
        <v>92342</v>
      </c>
      <c r="B3494" s="104" t="s">
        <v>3564</v>
      </c>
      <c r="C3494" s="104" t="s">
        <v>40</v>
      </c>
      <c r="D3494" s="129" t="s">
        <v>17869</v>
      </c>
    </row>
    <row r="3495" spans="1:4">
      <c r="A3495" s="105">
        <v>92343</v>
      </c>
      <c r="B3495" s="104" t="s">
        <v>3565</v>
      </c>
      <c r="C3495" s="104" t="s">
        <v>40</v>
      </c>
      <c r="D3495" s="129" t="s">
        <v>17870</v>
      </c>
    </row>
    <row r="3496" spans="1:4">
      <c r="A3496" s="105">
        <v>92359</v>
      </c>
      <c r="B3496" s="104" t="s">
        <v>3566</v>
      </c>
      <c r="C3496" s="104" t="s">
        <v>40</v>
      </c>
      <c r="D3496" s="129" t="s">
        <v>17871</v>
      </c>
    </row>
    <row r="3497" spans="1:4">
      <c r="A3497" s="105">
        <v>92360</v>
      </c>
      <c r="B3497" s="104" t="s">
        <v>3567</v>
      </c>
      <c r="C3497" s="104" t="s">
        <v>40</v>
      </c>
      <c r="D3497" s="129" t="s">
        <v>17872</v>
      </c>
    </row>
    <row r="3498" spans="1:4">
      <c r="A3498" s="105">
        <v>92361</v>
      </c>
      <c r="B3498" s="104" t="s">
        <v>3568</v>
      </c>
      <c r="C3498" s="104" t="s">
        <v>40</v>
      </c>
      <c r="D3498" s="129" t="s">
        <v>17873</v>
      </c>
    </row>
    <row r="3499" spans="1:4">
      <c r="A3499" s="105">
        <v>92362</v>
      </c>
      <c r="B3499" s="104" t="s">
        <v>3569</v>
      </c>
      <c r="C3499" s="104" t="s">
        <v>40</v>
      </c>
      <c r="D3499" s="129" t="s">
        <v>17874</v>
      </c>
    </row>
    <row r="3500" spans="1:4">
      <c r="A3500" s="105">
        <v>92364</v>
      </c>
      <c r="B3500" s="104" t="s">
        <v>3570</v>
      </c>
      <c r="C3500" s="104" t="s">
        <v>40</v>
      </c>
      <c r="D3500" s="129" t="s">
        <v>17875</v>
      </c>
    </row>
    <row r="3501" spans="1:4">
      <c r="A3501" s="105">
        <v>92365</v>
      </c>
      <c r="B3501" s="104" t="s">
        <v>3571</v>
      </c>
      <c r="C3501" s="104" t="s">
        <v>40</v>
      </c>
      <c r="D3501" s="129" t="s">
        <v>17876</v>
      </c>
    </row>
    <row r="3502" spans="1:4">
      <c r="A3502" s="105">
        <v>92366</v>
      </c>
      <c r="B3502" s="104" t="s">
        <v>3572</v>
      </c>
      <c r="C3502" s="104" t="s">
        <v>40</v>
      </c>
      <c r="D3502" s="129" t="s">
        <v>17877</v>
      </c>
    </row>
    <row r="3503" spans="1:4">
      <c r="A3503" s="105">
        <v>92367</v>
      </c>
      <c r="B3503" s="104" t="s">
        <v>3573</v>
      </c>
      <c r="C3503" s="104" t="s">
        <v>40</v>
      </c>
      <c r="D3503" s="129" t="s">
        <v>17878</v>
      </c>
    </row>
    <row r="3504" spans="1:4">
      <c r="A3504" s="105">
        <v>92368</v>
      </c>
      <c r="B3504" s="104" t="s">
        <v>3574</v>
      </c>
      <c r="C3504" s="104" t="s">
        <v>40</v>
      </c>
      <c r="D3504" s="129" t="s">
        <v>17879</v>
      </c>
    </row>
    <row r="3505" spans="1:4">
      <c r="A3505" s="105">
        <v>92645</v>
      </c>
      <c r="B3505" s="104" t="s">
        <v>3575</v>
      </c>
      <c r="C3505" s="104" t="s">
        <v>40</v>
      </c>
      <c r="D3505" s="129" t="s">
        <v>17880</v>
      </c>
    </row>
    <row r="3506" spans="1:4">
      <c r="A3506" s="105">
        <v>92646</v>
      </c>
      <c r="B3506" s="104" t="s">
        <v>3576</v>
      </c>
      <c r="C3506" s="104" t="s">
        <v>40</v>
      </c>
      <c r="D3506" s="129" t="s">
        <v>17881</v>
      </c>
    </row>
    <row r="3507" spans="1:4">
      <c r="A3507" s="105">
        <v>92648</v>
      </c>
      <c r="B3507" s="104" t="s">
        <v>3577</v>
      </c>
      <c r="C3507" s="104" t="s">
        <v>40</v>
      </c>
      <c r="D3507" s="129" t="s">
        <v>17882</v>
      </c>
    </row>
    <row r="3508" spans="1:4">
      <c r="A3508" s="105">
        <v>92649</v>
      </c>
      <c r="B3508" s="104" t="s">
        <v>3578</v>
      </c>
      <c r="C3508" s="104" t="s">
        <v>40</v>
      </c>
      <c r="D3508" s="129" t="s">
        <v>17883</v>
      </c>
    </row>
    <row r="3509" spans="1:4">
      <c r="A3509" s="105">
        <v>92650</v>
      </c>
      <c r="B3509" s="104" t="s">
        <v>3579</v>
      </c>
      <c r="C3509" s="104" t="s">
        <v>40</v>
      </c>
      <c r="D3509" s="129" t="s">
        <v>17884</v>
      </c>
    </row>
    <row r="3510" spans="1:4">
      <c r="A3510" s="105">
        <v>92652</v>
      </c>
      <c r="B3510" s="104" t="s">
        <v>3580</v>
      </c>
      <c r="C3510" s="104" t="s">
        <v>40</v>
      </c>
      <c r="D3510" s="129" t="s">
        <v>17885</v>
      </c>
    </row>
    <row r="3511" spans="1:4">
      <c r="A3511" s="105">
        <v>92653</v>
      </c>
      <c r="B3511" s="104" t="s">
        <v>3581</v>
      </c>
      <c r="C3511" s="104" t="s">
        <v>40</v>
      </c>
      <c r="D3511" s="129" t="s">
        <v>17886</v>
      </c>
    </row>
    <row r="3512" spans="1:4">
      <c r="A3512" s="105">
        <v>92654</v>
      </c>
      <c r="B3512" s="104" t="s">
        <v>3582</v>
      </c>
      <c r="C3512" s="104" t="s">
        <v>40</v>
      </c>
      <c r="D3512" s="129" t="s">
        <v>17887</v>
      </c>
    </row>
    <row r="3513" spans="1:4">
      <c r="A3513" s="105">
        <v>92655</v>
      </c>
      <c r="B3513" s="104" t="s">
        <v>3583</v>
      </c>
      <c r="C3513" s="104" t="s">
        <v>40</v>
      </c>
      <c r="D3513" s="129" t="s">
        <v>17888</v>
      </c>
    </row>
    <row r="3514" spans="1:4">
      <c r="A3514" s="105">
        <v>92656</v>
      </c>
      <c r="B3514" s="104" t="s">
        <v>3584</v>
      </c>
      <c r="C3514" s="104" t="s">
        <v>40</v>
      </c>
      <c r="D3514" s="129" t="s">
        <v>17889</v>
      </c>
    </row>
    <row r="3515" spans="1:4">
      <c r="A3515" s="105">
        <v>92687</v>
      </c>
      <c r="B3515" s="104" t="s">
        <v>3585</v>
      </c>
      <c r="C3515" s="104" t="s">
        <v>40</v>
      </c>
      <c r="D3515" s="129" t="s">
        <v>15281</v>
      </c>
    </row>
    <row r="3516" spans="1:4">
      <c r="A3516" s="105">
        <v>92688</v>
      </c>
      <c r="B3516" s="104" t="s">
        <v>3586</v>
      </c>
      <c r="C3516" s="104" t="s">
        <v>40</v>
      </c>
      <c r="D3516" s="129" t="s">
        <v>17890</v>
      </c>
    </row>
    <row r="3517" spans="1:4">
      <c r="A3517" s="105">
        <v>92689</v>
      </c>
      <c r="B3517" s="104" t="s">
        <v>3587</v>
      </c>
      <c r="C3517" s="104" t="s">
        <v>40</v>
      </c>
      <c r="D3517" s="129" t="s">
        <v>17891</v>
      </c>
    </row>
    <row r="3518" spans="1:4">
      <c r="A3518" s="105">
        <v>92690</v>
      </c>
      <c r="B3518" s="104" t="s">
        <v>3588</v>
      </c>
      <c r="C3518" s="104" t="s">
        <v>40</v>
      </c>
      <c r="D3518" s="129" t="s">
        <v>17892</v>
      </c>
    </row>
    <row r="3519" spans="1:4">
      <c r="A3519" s="105">
        <v>92691</v>
      </c>
      <c r="B3519" s="104" t="s">
        <v>3589</v>
      </c>
      <c r="C3519" s="104" t="s">
        <v>40</v>
      </c>
      <c r="D3519" s="129" t="s">
        <v>17893</v>
      </c>
    </row>
    <row r="3520" spans="1:4">
      <c r="A3520" s="105">
        <v>94462</v>
      </c>
      <c r="B3520" s="104" t="s">
        <v>3590</v>
      </c>
      <c r="C3520" s="104" t="s">
        <v>40</v>
      </c>
      <c r="D3520" s="129" t="s">
        <v>17894</v>
      </c>
    </row>
    <row r="3521" spans="1:4">
      <c r="A3521" s="105">
        <v>94463</v>
      </c>
      <c r="B3521" s="104" t="s">
        <v>3591</v>
      </c>
      <c r="C3521" s="104" t="s">
        <v>40</v>
      </c>
      <c r="D3521" s="129" t="s">
        <v>17895</v>
      </c>
    </row>
    <row r="3522" spans="1:4">
      <c r="A3522" s="105">
        <v>94464</v>
      </c>
      <c r="B3522" s="104" t="s">
        <v>3592</v>
      </c>
      <c r="C3522" s="104" t="s">
        <v>40</v>
      </c>
      <c r="D3522" s="129" t="s">
        <v>17861</v>
      </c>
    </row>
    <row r="3523" spans="1:4">
      <c r="A3523" s="105">
        <v>94602</v>
      </c>
      <c r="B3523" s="104" t="s">
        <v>3593</v>
      </c>
      <c r="C3523" s="104" t="s">
        <v>40</v>
      </c>
      <c r="D3523" s="129" t="s">
        <v>17896</v>
      </c>
    </row>
    <row r="3524" spans="1:4">
      <c r="A3524" s="105">
        <v>94603</v>
      </c>
      <c r="B3524" s="104" t="s">
        <v>3594</v>
      </c>
      <c r="C3524" s="104" t="s">
        <v>40</v>
      </c>
      <c r="D3524" s="129" t="s">
        <v>17897</v>
      </c>
    </row>
    <row r="3525" spans="1:4">
      <c r="A3525" s="105">
        <v>94604</v>
      </c>
      <c r="B3525" s="104" t="s">
        <v>3595</v>
      </c>
      <c r="C3525" s="104" t="s">
        <v>40</v>
      </c>
      <c r="D3525" s="129" t="s">
        <v>17898</v>
      </c>
    </row>
    <row r="3526" spans="1:4">
      <c r="A3526" s="105">
        <v>94605</v>
      </c>
      <c r="B3526" s="104" t="s">
        <v>3596</v>
      </c>
      <c r="C3526" s="104" t="s">
        <v>40</v>
      </c>
      <c r="D3526" s="129" t="s">
        <v>17899</v>
      </c>
    </row>
    <row r="3527" spans="1:4">
      <c r="A3527" s="105">
        <v>94648</v>
      </c>
      <c r="B3527" s="104" t="s">
        <v>3597</v>
      </c>
      <c r="C3527" s="104" t="s">
        <v>40</v>
      </c>
      <c r="D3527" s="129" t="s">
        <v>17900</v>
      </c>
    </row>
    <row r="3528" spans="1:4">
      <c r="A3528" s="105">
        <v>94649</v>
      </c>
      <c r="B3528" s="104" t="s">
        <v>3598</v>
      </c>
      <c r="C3528" s="104" t="s">
        <v>40</v>
      </c>
      <c r="D3528" s="129" t="s">
        <v>17901</v>
      </c>
    </row>
    <row r="3529" spans="1:4">
      <c r="A3529" s="105">
        <v>94650</v>
      </c>
      <c r="B3529" s="104" t="s">
        <v>3599</v>
      </c>
      <c r="C3529" s="104" t="s">
        <v>40</v>
      </c>
      <c r="D3529" s="129" t="s">
        <v>17142</v>
      </c>
    </row>
    <row r="3530" spans="1:4">
      <c r="A3530" s="105">
        <v>94651</v>
      </c>
      <c r="B3530" s="104" t="s">
        <v>3600</v>
      </c>
      <c r="C3530" s="104" t="s">
        <v>40</v>
      </c>
      <c r="D3530" s="129" t="s">
        <v>17902</v>
      </c>
    </row>
    <row r="3531" spans="1:4">
      <c r="A3531" s="105">
        <v>94652</v>
      </c>
      <c r="B3531" s="104" t="s">
        <v>3601</v>
      </c>
      <c r="C3531" s="104" t="s">
        <v>40</v>
      </c>
      <c r="D3531" s="129" t="s">
        <v>17903</v>
      </c>
    </row>
    <row r="3532" spans="1:4">
      <c r="A3532" s="105">
        <v>94653</v>
      </c>
      <c r="B3532" s="104" t="s">
        <v>3602</v>
      </c>
      <c r="C3532" s="104" t="s">
        <v>40</v>
      </c>
      <c r="D3532" s="129" t="s">
        <v>17904</v>
      </c>
    </row>
    <row r="3533" spans="1:4">
      <c r="A3533" s="105">
        <v>94654</v>
      </c>
      <c r="B3533" s="104" t="s">
        <v>3603</v>
      </c>
      <c r="C3533" s="104" t="s">
        <v>40</v>
      </c>
      <c r="D3533" s="129" t="s">
        <v>17905</v>
      </c>
    </row>
    <row r="3534" spans="1:4">
      <c r="A3534" s="105">
        <v>94655</v>
      </c>
      <c r="B3534" s="104" t="s">
        <v>3604</v>
      </c>
      <c r="C3534" s="104" t="s">
        <v>40</v>
      </c>
      <c r="D3534" s="129" t="s">
        <v>17906</v>
      </c>
    </row>
    <row r="3535" spans="1:4">
      <c r="A3535" s="105">
        <v>94716</v>
      </c>
      <c r="B3535" s="104" t="s">
        <v>3605</v>
      </c>
      <c r="C3535" s="104" t="s">
        <v>40</v>
      </c>
      <c r="D3535" s="129" t="s">
        <v>17907</v>
      </c>
    </row>
    <row r="3536" spans="1:4">
      <c r="A3536" s="105">
        <v>94717</v>
      </c>
      <c r="B3536" s="104" t="s">
        <v>3606</v>
      </c>
      <c r="C3536" s="104" t="s">
        <v>40</v>
      </c>
      <c r="D3536" s="129" t="s">
        <v>17908</v>
      </c>
    </row>
    <row r="3537" spans="1:4">
      <c r="A3537" s="105">
        <v>94718</v>
      </c>
      <c r="B3537" s="104" t="s">
        <v>3607</v>
      </c>
      <c r="C3537" s="104" t="s">
        <v>40</v>
      </c>
      <c r="D3537" s="129" t="s">
        <v>17909</v>
      </c>
    </row>
    <row r="3538" spans="1:4">
      <c r="A3538" s="105">
        <v>94719</v>
      </c>
      <c r="B3538" s="104" t="s">
        <v>3608</v>
      </c>
      <c r="C3538" s="104" t="s">
        <v>40</v>
      </c>
      <c r="D3538" s="129" t="s">
        <v>17910</v>
      </c>
    </row>
    <row r="3539" spans="1:4">
      <c r="A3539" s="105">
        <v>94720</v>
      </c>
      <c r="B3539" s="104" t="s">
        <v>3609</v>
      </c>
      <c r="C3539" s="104" t="s">
        <v>40</v>
      </c>
      <c r="D3539" s="129" t="s">
        <v>17911</v>
      </c>
    </row>
    <row r="3540" spans="1:4">
      <c r="A3540" s="105">
        <v>94721</v>
      </c>
      <c r="B3540" s="104" t="s">
        <v>3610</v>
      </c>
      <c r="C3540" s="104" t="s">
        <v>40</v>
      </c>
      <c r="D3540" s="129" t="s">
        <v>17912</v>
      </c>
    </row>
    <row r="3541" spans="1:4">
      <c r="A3541" s="105">
        <v>94722</v>
      </c>
      <c r="B3541" s="104" t="s">
        <v>3611</v>
      </c>
      <c r="C3541" s="104" t="s">
        <v>40</v>
      </c>
      <c r="D3541" s="129" t="s">
        <v>17913</v>
      </c>
    </row>
    <row r="3542" spans="1:4">
      <c r="A3542" s="105">
        <v>95697</v>
      </c>
      <c r="B3542" s="104" t="s">
        <v>3612</v>
      </c>
      <c r="C3542" s="104" t="s">
        <v>40</v>
      </c>
      <c r="D3542" s="129" t="s">
        <v>17914</v>
      </c>
    </row>
    <row r="3543" spans="1:4">
      <c r="A3543" s="105">
        <v>96635</v>
      </c>
      <c r="B3543" s="104" t="s">
        <v>3613</v>
      </c>
      <c r="C3543" s="104" t="s">
        <v>40</v>
      </c>
      <c r="D3543" s="129" t="s">
        <v>17915</v>
      </c>
    </row>
    <row r="3544" spans="1:4">
      <c r="A3544" s="105">
        <v>96636</v>
      </c>
      <c r="B3544" s="104" t="s">
        <v>3614</v>
      </c>
      <c r="C3544" s="104" t="s">
        <v>40</v>
      </c>
      <c r="D3544" s="129" t="s">
        <v>17916</v>
      </c>
    </row>
    <row r="3545" spans="1:4">
      <c r="A3545" s="105">
        <v>96644</v>
      </c>
      <c r="B3545" s="104" t="s">
        <v>3615</v>
      </c>
      <c r="C3545" s="104" t="s">
        <v>40</v>
      </c>
      <c r="D3545" s="129" t="s">
        <v>17917</v>
      </c>
    </row>
    <row r="3546" spans="1:4">
      <c r="A3546" s="105">
        <v>96645</v>
      </c>
      <c r="B3546" s="104" t="s">
        <v>3616</v>
      </c>
      <c r="C3546" s="104" t="s">
        <v>40</v>
      </c>
      <c r="D3546" s="129" t="s">
        <v>17918</v>
      </c>
    </row>
    <row r="3547" spans="1:4">
      <c r="A3547" s="105">
        <v>96646</v>
      </c>
      <c r="B3547" s="104" t="s">
        <v>3617</v>
      </c>
      <c r="C3547" s="104" t="s">
        <v>40</v>
      </c>
      <c r="D3547" s="129" t="s">
        <v>17919</v>
      </c>
    </row>
    <row r="3548" spans="1:4">
      <c r="A3548" s="105">
        <v>96647</v>
      </c>
      <c r="B3548" s="104" t="s">
        <v>3618</v>
      </c>
      <c r="C3548" s="104" t="s">
        <v>40</v>
      </c>
      <c r="D3548" s="129" t="s">
        <v>15657</v>
      </c>
    </row>
    <row r="3549" spans="1:4">
      <c r="A3549" s="105">
        <v>96648</v>
      </c>
      <c r="B3549" s="104" t="s">
        <v>3619</v>
      </c>
      <c r="C3549" s="104" t="s">
        <v>40</v>
      </c>
      <c r="D3549" s="129" t="s">
        <v>17920</v>
      </c>
    </row>
    <row r="3550" spans="1:4">
      <c r="A3550" s="105">
        <v>96649</v>
      </c>
      <c r="B3550" s="104" t="s">
        <v>3620</v>
      </c>
      <c r="C3550" s="104" t="s">
        <v>40</v>
      </c>
      <c r="D3550" s="129" t="s">
        <v>17921</v>
      </c>
    </row>
    <row r="3551" spans="1:4">
      <c r="A3551" s="105">
        <v>96668</v>
      </c>
      <c r="B3551" s="104" t="s">
        <v>3621</v>
      </c>
      <c r="C3551" s="104" t="s">
        <v>40</v>
      </c>
      <c r="D3551" s="129" t="s">
        <v>17922</v>
      </c>
    </row>
    <row r="3552" spans="1:4">
      <c r="A3552" s="105">
        <v>96669</v>
      </c>
      <c r="B3552" s="104" t="s">
        <v>3622</v>
      </c>
      <c r="C3552" s="104" t="s">
        <v>40</v>
      </c>
      <c r="D3552" s="129" t="s">
        <v>17923</v>
      </c>
    </row>
    <row r="3553" spans="1:4">
      <c r="A3553" s="105">
        <v>96670</v>
      </c>
      <c r="B3553" s="104" t="s">
        <v>3623</v>
      </c>
      <c r="C3553" s="104" t="s">
        <v>40</v>
      </c>
      <c r="D3553" s="129" t="s">
        <v>17924</v>
      </c>
    </row>
    <row r="3554" spans="1:4">
      <c r="A3554" s="105">
        <v>96671</v>
      </c>
      <c r="B3554" s="104" t="s">
        <v>3624</v>
      </c>
      <c r="C3554" s="104" t="s">
        <v>40</v>
      </c>
      <c r="D3554" s="129" t="s">
        <v>17925</v>
      </c>
    </row>
    <row r="3555" spans="1:4">
      <c r="A3555" s="105">
        <v>96672</v>
      </c>
      <c r="B3555" s="104" t="s">
        <v>3625</v>
      </c>
      <c r="C3555" s="104" t="s">
        <v>40</v>
      </c>
      <c r="D3555" s="129" t="s">
        <v>17926</v>
      </c>
    </row>
    <row r="3556" spans="1:4">
      <c r="A3556" s="105">
        <v>96673</v>
      </c>
      <c r="B3556" s="104" t="s">
        <v>3626</v>
      </c>
      <c r="C3556" s="104" t="s">
        <v>40</v>
      </c>
      <c r="D3556" s="129" t="s">
        <v>16465</v>
      </c>
    </row>
    <row r="3557" spans="1:4">
      <c r="A3557" s="105">
        <v>96674</v>
      </c>
      <c r="B3557" s="104" t="s">
        <v>3627</v>
      </c>
      <c r="C3557" s="104" t="s">
        <v>40</v>
      </c>
      <c r="D3557" s="129" t="s">
        <v>17927</v>
      </c>
    </row>
    <row r="3558" spans="1:4">
      <c r="A3558" s="105">
        <v>96675</v>
      </c>
      <c r="B3558" s="104" t="s">
        <v>3628</v>
      </c>
      <c r="C3558" s="104" t="s">
        <v>40</v>
      </c>
      <c r="D3558" s="129" t="s">
        <v>17928</v>
      </c>
    </row>
    <row r="3559" spans="1:4">
      <c r="A3559" s="105">
        <v>96676</v>
      </c>
      <c r="B3559" s="104" t="s">
        <v>3629</v>
      </c>
      <c r="C3559" s="104" t="s">
        <v>40</v>
      </c>
      <c r="D3559" s="129" t="s">
        <v>17929</v>
      </c>
    </row>
    <row r="3560" spans="1:4">
      <c r="A3560" s="105">
        <v>96677</v>
      </c>
      <c r="B3560" s="104" t="s">
        <v>3630</v>
      </c>
      <c r="C3560" s="104" t="s">
        <v>40</v>
      </c>
      <c r="D3560" s="129" t="s">
        <v>17930</v>
      </c>
    </row>
    <row r="3561" spans="1:4">
      <c r="A3561" s="105">
        <v>96678</v>
      </c>
      <c r="B3561" s="104" t="s">
        <v>3631</v>
      </c>
      <c r="C3561" s="104" t="s">
        <v>40</v>
      </c>
      <c r="D3561" s="129" t="s">
        <v>17931</v>
      </c>
    </row>
    <row r="3562" spans="1:4">
      <c r="A3562" s="105">
        <v>96679</v>
      </c>
      <c r="B3562" s="104" t="s">
        <v>3632</v>
      </c>
      <c r="C3562" s="104" t="s">
        <v>40</v>
      </c>
      <c r="D3562" s="129" t="s">
        <v>17932</v>
      </c>
    </row>
    <row r="3563" spans="1:4">
      <c r="A3563" s="105">
        <v>96680</v>
      </c>
      <c r="B3563" s="104" t="s">
        <v>3633</v>
      </c>
      <c r="C3563" s="104" t="s">
        <v>40</v>
      </c>
      <c r="D3563" s="129" t="s">
        <v>17933</v>
      </c>
    </row>
    <row r="3564" spans="1:4">
      <c r="A3564" s="105">
        <v>96681</v>
      </c>
      <c r="B3564" s="104" t="s">
        <v>3634</v>
      </c>
      <c r="C3564" s="104" t="s">
        <v>40</v>
      </c>
      <c r="D3564" s="129" t="s">
        <v>15215</v>
      </c>
    </row>
    <row r="3565" spans="1:4">
      <c r="A3565" s="105">
        <v>96682</v>
      </c>
      <c r="B3565" s="104" t="s">
        <v>3635</v>
      </c>
      <c r="C3565" s="104" t="s">
        <v>40</v>
      </c>
      <c r="D3565" s="129" t="s">
        <v>17934</v>
      </c>
    </row>
    <row r="3566" spans="1:4">
      <c r="A3566" s="105">
        <v>96683</v>
      </c>
      <c r="B3566" s="104" t="s">
        <v>3636</v>
      </c>
      <c r="C3566" s="104" t="s">
        <v>40</v>
      </c>
      <c r="D3566" s="129" t="s">
        <v>17935</v>
      </c>
    </row>
    <row r="3567" spans="1:4">
      <c r="A3567" s="105">
        <v>96718</v>
      </c>
      <c r="B3567" s="104" t="s">
        <v>3637</v>
      </c>
      <c r="C3567" s="104" t="s">
        <v>40</v>
      </c>
      <c r="D3567" s="129" t="s">
        <v>17936</v>
      </c>
    </row>
    <row r="3568" spans="1:4">
      <c r="A3568" s="105">
        <v>96719</v>
      </c>
      <c r="B3568" s="104" t="s">
        <v>3638</v>
      </c>
      <c r="C3568" s="104" t="s">
        <v>40</v>
      </c>
      <c r="D3568" s="129" t="s">
        <v>17937</v>
      </c>
    </row>
    <row r="3569" spans="1:4">
      <c r="A3569" s="105">
        <v>96720</v>
      </c>
      <c r="B3569" s="104" t="s">
        <v>3639</v>
      </c>
      <c r="C3569" s="104" t="s">
        <v>40</v>
      </c>
      <c r="D3569" s="129" t="s">
        <v>17938</v>
      </c>
    </row>
    <row r="3570" spans="1:4">
      <c r="A3570" s="105">
        <v>96721</v>
      </c>
      <c r="B3570" s="104" t="s">
        <v>3640</v>
      </c>
      <c r="C3570" s="104" t="s">
        <v>40</v>
      </c>
      <c r="D3570" s="129" t="s">
        <v>17939</v>
      </c>
    </row>
    <row r="3571" spans="1:4">
      <c r="A3571" s="105">
        <v>96722</v>
      </c>
      <c r="B3571" s="104" t="s">
        <v>3641</v>
      </c>
      <c r="C3571" s="104" t="s">
        <v>40</v>
      </c>
      <c r="D3571" s="129" t="s">
        <v>17940</v>
      </c>
    </row>
    <row r="3572" spans="1:4">
      <c r="A3572" s="105">
        <v>96723</v>
      </c>
      <c r="B3572" s="104" t="s">
        <v>3642</v>
      </c>
      <c r="C3572" s="104" t="s">
        <v>40</v>
      </c>
      <c r="D3572" s="129" t="s">
        <v>17941</v>
      </c>
    </row>
    <row r="3573" spans="1:4">
      <c r="A3573" s="105">
        <v>96724</v>
      </c>
      <c r="B3573" s="104" t="s">
        <v>3643</v>
      </c>
      <c r="C3573" s="104" t="s">
        <v>40</v>
      </c>
      <c r="D3573" s="129" t="s">
        <v>17942</v>
      </c>
    </row>
    <row r="3574" spans="1:4">
      <c r="A3574" s="105">
        <v>96725</v>
      </c>
      <c r="B3574" s="104" t="s">
        <v>3644</v>
      </c>
      <c r="C3574" s="104" t="s">
        <v>40</v>
      </c>
      <c r="D3574" s="129" t="s">
        <v>17943</v>
      </c>
    </row>
    <row r="3575" spans="1:4">
      <c r="A3575" s="105">
        <v>96726</v>
      </c>
      <c r="B3575" s="104" t="s">
        <v>3645</v>
      </c>
      <c r="C3575" s="104" t="s">
        <v>40</v>
      </c>
      <c r="D3575" s="129" t="s">
        <v>17944</v>
      </c>
    </row>
    <row r="3576" spans="1:4">
      <c r="A3576" s="105">
        <v>96727</v>
      </c>
      <c r="B3576" s="104" t="s">
        <v>3646</v>
      </c>
      <c r="C3576" s="104" t="s">
        <v>40</v>
      </c>
      <c r="D3576" s="129" t="s">
        <v>17945</v>
      </c>
    </row>
    <row r="3577" spans="1:4">
      <c r="A3577" s="105">
        <v>96728</v>
      </c>
      <c r="B3577" s="104" t="s">
        <v>3647</v>
      </c>
      <c r="C3577" s="104" t="s">
        <v>40</v>
      </c>
      <c r="D3577" s="129" t="s">
        <v>17946</v>
      </c>
    </row>
    <row r="3578" spans="1:4">
      <c r="A3578" s="105">
        <v>96729</v>
      </c>
      <c r="B3578" s="104" t="s">
        <v>3648</v>
      </c>
      <c r="C3578" s="104" t="s">
        <v>40</v>
      </c>
      <c r="D3578" s="129" t="s">
        <v>17947</v>
      </c>
    </row>
    <row r="3579" spans="1:4">
      <c r="A3579" s="105">
        <v>96730</v>
      </c>
      <c r="B3579" s="104" t="s">
        <v>3649</v>
      </c>
      <c r="C3579" s="104" t="s">
        <v>40</v>
      </c>
      <c r="D3579" s="129" t="s">
        <v>17948</v>
      </c>
    </row>
    <row r="3580" spans="1:4">
      <c r="A3580" s="105">
        <v>96731</v>
      </c>
      <c r="B3580" s="104" t="s">
        <v>3650</v>
      </c>
      <c r="C3580" s="104" t="s">
        <v>40</v>
      </c>
      <c r="D3580" s="129" t="s">
        <v>17949</v>
      </c>
    </row>
    <row r="3581" spans="1:4">
      <c r="A3581" s="105">
        <v>96732</v>
      </c>
      <c r="B3581" s="104" t="s">
        <v>3651</v>
      </c>
      <c r="C3581" s="104" t="s">
        <v>40</v>
      </c>
      <c r="D3581" s="129" t="s">
        <v>17950</v>
      </c>
    </row>
    <row r="3582" spans="1:4">
      <c r="A3582" s="105">
        <v>96733</v>
      </c>
      <c r="B3582" s="104" t="s">
        <v>3652</v>
      </c>
      <c r="C3582" s="104" t="s">
        <v>40</v>
      </c>
      <c r="D3582" s="129" t="s">
        <v>17951</v>
      </c>
    </row>
    <row r="3583" spans="1:4">
      <c r="A3583" s="105">
        <v>96734</v>
      </c>
      <c r="B3583" s="104" t="s">
        <v>3653</v>
      </c>
      <c r="C3583" s="104" t="s">
        <v>40</v>
      </c>
      <c r="D3583" s="129" t="s">
        <v>17952</v>
      </c>
    </row>
    <row r="3584" spans="1:4">
      <c r="A3584" s="105">
        <v>96735</v>
      </c>
      <c r="B3584" s="104" t="s">
        <v>3654</v>
      </c>
      <c r="C3584" s="104" t="s">
        <v>40</v>
      </c>
      <c r="D3584" s="129" t="s">
        <v>17953</v>
      </c>
    </row>
    <row r="3585" spans="1:4">
      <c r="A3585" s="105">
        <v>96794</v>
      </c>
      <c r="B3585" s="104" t="s">
        <v>3655</v>
      </c>
      <c r="C3585" s="104" t="s">
        <v>40</v>
      </c>
      <c r="D3585" s="129" t="s">
        <v>17954</v>
      </c>
    </row>
    <row r="3586" spans="1:4">
      <c r="A3586" s="105">
        <v>96795</v>
      </c>
      <c r="B3586" s="104" t="s">
        <v>3656</v>
      </c>
      <c r="C3586" s="104" t="s">
        <v>40</v>
      </c>
      <c r="D3586" s="129" t="s">
        <v>17955</v>
      </c>
    </row>
    <row r="3587" spans="1:4">
      <c r="A3587" s="105">
        <v>96796</v>
      </c>
      <c r="B3587" s="104" t="s">
        <v>3657</v>
      </c>
      <c r="C3587" s="104" t="s">
        <v>40</v>
      </c>
      <c r="D3587" s="129" t="s">
        <v>14861</v>
      </c>
    </row>
    <row r="3588" spans="1:4">
      <c r="A3588" s="105">
        <v>96797</v>
      </c>
      <c r="B3588" s="104" t="s">
        <v>3658</v>
      </c>
      <c r="C3588" s="104" t="s">
        <v>40</v>
      </c>
      <c r="D3588" s="129" t="s">
        <v>17956</v>
      </c>
    </row>
    <row r="3589" spans="1:4">
      <c r="A3589" s="105">
        <v>96798</v>
      </c>
      <c r="B3589" s="104" t="s">
        <v>3659</v>
      </c>
      <c r="C3589" s="104" t="s">
        <v>40</v>
      </c>
      <c r="D3589" s="129" t="s">
        <v>17957</v>
      </c>
    </row>
    <row r="3590" spans="1:4">
      <c r="A3590" s="105">
        <v>96799</v>
      </c>
      <c r="B3590" s="104" t="s">
        <v>3660</v>
      </c>
      <c r="C3590" s="104" t="s">
        <v>40</v>
      </c>
      <c r="D3590" s="129" t="s">
        <v>15717</v>
      </c>
    </row>
    <row r="3591" spans="1:4">
      <c r="A3591" s="105">
        <v>96800</v>
      </c>
      <c r="B3591" s="104" t="s">
        <v>3661</v>
      </c>
      <c r="C3591" s="104" t="s">
        <v>40</v>
      </c>
      <c r="D3591" s="129" t="s">
        <v>17958</v>
      </c>
    </row>
    <row r="3592" spans="1:4">
      <c r="A3592" s="105">
        <v>96801</v>
      </c>
      <c r="B3592" s="104" t="s">
        <v>3662</v>
      </c>
      <c r="C3592" s="104" t="s">
        <v>40</v>
      </c>
      <c r="D3592" s="129" t="s">
        <v>16777</v>
      </c>
    </row>
    <row r="3593" spans="1:4">
      <c r="A3593" s="105">
        <v>97327</v>
      </c>
      <c r="B3593" s="104" t="s">
        <v>3663</v>
      </c>
      <c r="C3593" s="104" t="s">
        <v>40</v>
      </c>
      <c r="D3593" s="129" t="s">
        <v>17959</v>
      </c>
    </row>
    <row r="3594" spans="1:4">
      <c r="A3594" s="105">
        <v>97328</v>
      </c>
      <c r="B3594" s="104" t="s">
        <v>3664</v>
      </c>
      <c r="C3594" s="104" t="s">
        <v>40</v>
      </c>
      <c r="D3594" s="129" t="s">
        <v>15455</v>
      </c>
    </row>
    <row r="3595" spans="1:4">
      <c r="A3595" s="105">
        <v>97329</v>
      </c>
      <c r="B3595" s="104" t="s">
        <v>3665</v>
      </c>
      <c r="C3595" s="104" t="s">
        <v>40</v>
      </c>
      <c r="D3595" s="129" t="s">
        <v>17960</v>
      </c>
    </row>
    <row r="3596" spans="1:4">
      <c r="A3596" s="105">
        <v>97330</v>
      </c>
      <c r="B3596" s="104" t="s">
        <v>3666</v>
      </c>
      <c r="C3596" s="104" t="s">
        <v>40</v>
      </c>
      <c r="D3596" s="129" t="s">
        <v>17961</v>
      </c>
    </row>
    <row r="3597" spans="1:4">
      <c r="A3597" s="105">
        <v>97331</v>
      </c>
      <c r="B3597" s="104" t="s">
        <v>3667</v>
      </c>
      <c r="C3597" s="104" t="s">
        <v>40</v>
      </c>
      <c r="D3597" s="129" t="s">
        <v>15581</v>
      </c>
    </row>
    <row r="3598" spans="1:4">
      <c r="A3598" s="105">
        <v>97332</v>
      </c>
      <c r="B3598" s="104" t="s">
        <v>3668</v>
      </c>
      <c r="C3598" s="104" t="s">
        <v>40</v>
      </c>
      <c r="D3598" s="129" t="s">
        <v>17962</v>
      </c>
    </row>
    <row r="3599" spans="1:4">
      <c r="A3599" s="105">
        <v>97333</v>
      </c>
      <c r="B3599" s="104" t="s">
        <v>3669</v>
      </c>
      <c r="C3599" s="104" t="s">
        <v>40</v>
      </c>
      <c r="D3599" s="129" t="s">
        <v>17963</v>
      </c>
    </row>
    <row r="3600" spans="1:4">
      <c r="A3600" s="105">
        <v>97334</v>
      </c>
      <c r="B3600" s="104" t="s">
        <v>3670</v>
      </c>
      <c r="C3600" s="104" t="s">
        <v>40</v>
      </c>
      <c r="D3600" s="129" t="s">
        <v>17964</v>
      </c>
    </row>
    <row r="3601" spans="1:4">
      <c r="A3601" s="105">
        <v>97335</v>
      </c>
      <c r="B3601" s="104" t="s">
        <v>3671</v>
      </c>
      <c r="C3601" s="104" t="s">
        <v>40</v>
      </c>
      <c r="D3601" s="129" t="s">
        <v>17965</v>
      </c>
    </row>
    <row r="3602" spans="1:4">
      <c r="A3602" s="105">
        <v>97336</v>
      </c>
      <c r="B3602" s="104" t="s">
        <v>3672</v>
      </c>
      <c r="C3602" s="104" t="s">
        <v>40</v>
      </c>
      <c r="D3602" s="129" t="s">
        <v>17966</v>
      </c>
    </row>
    <row r="3603" spans="1:4">
      <c r="A3603" s="105">
        <v>97337</v>
      </c>
      <c r="B3603" s="104" t="s">
        <v>3673</v>
      </c>
      <c r="C3603" s="104" t="s">
        <v>40</v>
      </c>
      <c r="D3603" s="129" t="s">
        <v>17967</v>
      </c>
    </row>
    <row r="3604" spans="1:4">
      <c r="A3604" s="105">
        <v>97338</v>
      </c>
      <c r="B3604" s="104" t="s">
        <v>3674</v>
      </c>
      <c r="C3604" s="104" t="s">
        <v>40</v>
      </c>
      <c r="D3604" s="129" t="s">
        <v>17968</v>
      </c>
    </row>
    <row r="3605" spans="1:4">
      <c r="A3605" s="105">
        <v>97339</v>
      </c>
      <c r="B3605" s="104" t="s">
        <v>3675</v>
      </c>
      <c r="C3605" s="104" t="s">
        <v>40</v>
      </c>
      <c r="D3605" s="129" t="s">
        <v>17845</v>
      </c>
    </row>
    <row r="3606" spans="1:4">
      <c r="A3606" s="105">
        <v>97340</v>
      </c>
      <c r="B3606" s="104" t="s">
        <v>3676</v>
      </c>
      <c r="C3606" s="104" t="s">
        <v>40</v>
      </c>
      <c r="D3606" s="129" t="s">
        <v>17969</v>
      </c>
    </row>
    <row r="3607" spans="1:4">
      <c r="A3607" s="105">
        <v>97341</v>
      </c>
      <c r="B3607" s="104" t="s">
        <v>3677</v>
      </c>
      <c r="C3607" s="104" t="s">
        <v>40</v>
      </c>
      <c r="D3607" s="129" t="s">
        <v>17970</v>
      </c>
    </row>
    <row r="3608" spans="1:4">
      <c r="A3608" s="105">
        <v>97342</v>
      </c>
      <c r="B3608" s="104" t="s">
        <v>3678</v>
      </c>
      <c r="C3608" s="104" t="s">
        <v>40</v>
      </c>
      <c r="D3608" s="129" t="s">
        <v>17971</v>
      </c>
    </row>
    <row r="3609" spans="1:4">
      <c r="A3609" s="105">
        <v>97343</v>
      </c>
      <c r="B3609" s="104" t="s">
        <v>3679</v>
      </c>
      <c r="C3609" s="104" t="s">
        <v>40</v>
      </c>
      <c r="D3609" s="129" t="s">
        <v>17972</v>
      </c>
    </row>
    <row r="3610" spans="1:4">
      <c r="A3610" s="105">
        <v>97344</v>
      </c>
      <c r="B3610" s="104" t="s">
        <v>3680</v>
      </c>
      <c r="C3610" s="104" t="s">
        <v>40</v>
      </c>
      <c r="D3610" s="129" t="s">
        <v>17973</v>
      </c>
    </row>
    <row r="3611" spans="1:4">
      <c r="A3611" s="105">
        <v>97345</v>
      </c>
      <c r="B3611" s="104" t="s">
        <v>3681</v>
      </c>
      <c r="C3611" s="104" t="s">
        <v>40</v>
      </c>
      <c r="D3611" s="129" t="s">
        <v>17974</v>
      </c>
    </row>
    <row r="3612" spans="1:4">
      <c r="A3612" s="105">
        <v>97346</v>
      </c>
      <c r="B3612" s="104" t="s">
        <v>3682</v>
      </c>
      <c r="C3612" s="104" t="s">
        <v>40</v>
      </c>
      <c r="D3612" s="129" t="s">
        <v>17975</v>
      </c>
    </row>
    <row r="3613" spans="1:4">
      <c r="A3613" s="105">
        <v>97347</v>
      </c>
      <c r="B3613" s="104" t="s">
        <v>3683</v>
      </c>
      <c r="C3613" s="104" t="s">
        <v>40</v>
      </c>
      <c r="D3613" s="129" t="s">
        <v>17976</v>
      </c>
    </row>
    <row r="3614" spans="1:4">
      <c r="A3614" s="105">
        <v>97348</v>
      </c>
      <c r="B3614" s="104" t="s">
        <v>3684</v>
      </c>
      <c r="C3614" s="104" t="s">
        <v>40</v>
      </c>
      <c r="D3614" s="129" t="s">
        <v>17977</v>
      </c>
    </row>
    <row r="3615" spans="1:4">
      <c r="A3615" s="105">
        <v>97349</v>
      </c>
      <c r="B3615" s="104" t="s">
        <v>3685</v>
      </c>
      <c r="C3615" s="104" t="s">
        <v>40</v>
      </c>
      <c r="D3615" s="129" t="s">
        <v>17978</v>
      </c>
    </row>
    <row r="3616" spans="1:4">
      <c r="A3616" s="105">
        <v>97350</v>
      </c>
      <c r="B3616" s="104" t="s">
        <v>3686</v>
      </c>
      <c r="C3616" s="104" t="s">
        <v>40</v>
      </c>
      <c r="D3616" s="129" t="s">
        <v>17979</v>
      </c>
    </row>
    <row r="3617" spans="1:4">
      <c r="A3617" s="105">
        <v>97351</v>
      </c>
      <c r="B3617" s="104" t="s">
        <v>3687</v>
      </c>
      <c r="C3617" s="104" t="s">
        <v>40</v>
      </c>
      <c r="D3617" s="129" t="s">
        <v>17980</v>
      </c>
    </row>
    <row r="3618" spans="1:4">
      <c r="A3618" s="105">
        <v>97352</v>
      </c>
      <c r="B3618" s="104" t="s">
        <v>3688</v>
      </c>
      <c r="C3618" s="104" t="s">
        <v>40</v>
      </c>
      <c r="D3618" s="129" t="s">
        <v>17981</v>
      </c>
    </row>
    <row r="3619" spans="1:4">
      <c r="A3619" s="105">
        <v>97353</v>
      </c>
      <c r="B3619" s="104" t="s">
        <v>3689</v>
      </c>
      <c r="C3619" s="104" t="s">
        <v>40</v>
      </c>
      <c r="D3619" s="129" t="s">
        <v>16316</v>
      </c>
    </row>
    <row r="3620" spans="1:4">
      <c r="A3620" s="105">
        <v>97354</v>
      </c>
      <c r="B3620" s="104" t="s">
        <v>3690</v>
      </c>
      <c r="C3620" s="104" t="s">
        <v>40</v>
      </c>
      <c r="D3620" s="129" t="s">
        <v>17982</v>
      </c>
    </row>
    <row r="3621" spans="1:4">
      <c r="A3621" s="105">
        <v>97355</v>
      </c>
      <c r="B3621" s="104" t="s">
        <v>3691</v>
      </c>
      <c r="C3621" s="104" t="s">
        <v>40</v>
      </c>
      <c r="D3621" s="129" t="s">
        <v>17983</v>
      </c>
    </row>
    <row r="3622" spans="1:4">
      <c r="A3622" s="105">
        <v>97356</v>
      </c>
      <c r="B3622" s="104" t="s">
        <v>3692</v>
      </c>
      <c r="C3622" s="104" t="s">
        <v>40</v>
      </c>
      <c r="D3622" s="129" t="s">
        <v>17984</v>
      </c>
    </row>
    <row r="3623" spans="1:4">
      <c r="A3623" s="105">
        <v>97357</v>
      </c>
      <c r="B3623" s="104" t="s">
        <v>3693</v>
      </c>
      <c r="C3623" s="104" t="s">
        <v>40</v>
      </c>
      <c r="D3623" s="129" t="s">
        <v>17985</v>
      </c>
    </row>
    <row r="3624" spans="1:4">
      <c r="A3624" s="105">
        <v>97358</v>
      </c>
      <c r="B3624" s="104" t="s">
        <v>3694</v>
      </c>
      <c r="C3624" s="104" t="s">
        <v>40</v>
      </c>
      <c r="D3624" s="129" t="s">
        <v>17986</v>
      </c>
    </row>
    <row r="3625" spans="1:4">
      <c r="A3625" s="105">
        <v>97498</v>
      </c>
      <c r="B3625" s="104" t="s">
        <v>3695</v>
      </c>
      <c r="C3625" s="104" t="s">
        <v>40</v>
      </c>
      <c r="D3625" s="129" t="s">
        <v>17987</v>
      </c>
    </row>
    <row r="3626" spans="1:4">
      <c r="A3626" s="105">
        <v>97535</v>
      </c>
      <c r="B3626" s="104" t="s">
        <v>3696</v>
      </c>
      <c r="C3626" s="104" t="s">
        <v>40</v>
      </c>
      <c r="D3626" s="129" t="s">
        <v>15935</v>
      </c>
    </row>
    <row r="3627" spans="1:4">
      <c r="A3627" s="105">
        <v>97536</v>
      </c>
      <c r="B3627" s="104" t="s">
        <v>3697</v>
      </c>
      <c r="C3627" s="104" t="s">
        <v>40</v>
      </c>
      <c r="D3627" s="129" t="s">
        <v>17988</v>
      </c>
    </row>
    <row r="3628" spans="1:4">
      <c r="A3628" s="105">
        <v>100788</v>
      </c>
      <c r="B3628" s="104" t="s">
        <v>3698</v>
      </c>
      <c r="C3628" s="104" t="s">
        <v>183</v>
      </c>
      <c r="D3628" s="129" t="s">
        <v>17989</v>
      </c>
    </row>
    <row r="3629" spans="1:4">
      <c r="A3629" s="105">
        <v>100791</v>
      </c>
      <c r="B3629" s="104" t="s">
        <v>3699</v>
      </c>
      <c r="C3629" s="104" t="s">
        <v>40</v>
      </c>
      <c r="D3629" s="129" t="s">
        <v>17990</v>
      </c>
    </row>
    <row r="3630" spans="1:4">
      <c r="A3630" s="105">
        <v>100792</v>
      </c>
      <c r="B3630" s="104" t="s">
        <v>3700</v>
      </c>
      <c r="C3630" s="104" t="s">
        <v>40</v>
      </c>
      <c r="D3630" s="129" t="s">
        <v>17991</v>
      </c>
    </row>
    <row r="3631" spans="1:4">
      <c r="A3631" s="105">
        <v>100793</v>
      </c>
      <c r="B3631" s="104" t="s">
        <v>3701</v>
      </c>
      <c r="C3631" s="104" t="s">
        <v>40</v>
      </c>
      <c r="D3631" s="129" t="s">
        <v>17992</v>
      </c>
    </row>
    <row r="3632" spans="1:4">
      <c r="A3632" s="105">
        <v>100794</v>
      </c>
      <c r="B3632" s="104" t="s">
        <v>3702</v>
      </c>
      <c r="C3632" s="104" t="s">
        <v>40</v>
      </c>
      <c r="D3632" s="129" t="s">
        <v>17454</v>
      </c>
    </row>
    <row r="3633" spans="1:4">
      <c r="A3633" s="105">
        <v>100799</v>
      </c>
      <c r="B3633" s="104" t="s">
        <v>3703</v>
      </c>
      <c r="C3633" s="104" t="s">
        <v>40</v>
      </c>
      <c r="D3633" s="129" t="s">
        <v>16390</v>
      </c>
    </row>
    <row r="3634" spans="1:4">
      <c r="A3634" s="105">
        <v>100800</v>
      </c>
      <c r="B3634" s="104" t="s">
        <v>3704</v>
      </c>
      <c r="C3634" s="104" t="s">
        <v>40</v>
      </c>
      <c r="D3634" s="129" t="s">
        <v>17993</v>
      </c>
    </row>
    <row r="3635" spans="1:4">
      <c r="A3635" s="105">
        <v>100801</v>
      </c>
      <c r="B3635" s="104" t="s">
        <v>3705</v>
      </c>
      <c r="C3635" s="104" t="s">
        <v>40</v>
      </c>
      <c r="D3635" s="129" t="s">
        <v>14808</v>
      </c>
    </row>
    <row r="3636" spans="1:4">
      <c r="A3636" s="105">
        <v>100802</v>
      </c>
      <c r="B3636" s="104" t="s">
        <v>3706</v>
      </c>
      <c r="C3636" s="104" t="s">
        <v>40</v>
      </c>
      <c r="D3636" s="129" t="s">
        <v>17994</v>
      </c>
    </row>
    <row r="3637" spans="1:4">
      <c r="A3637" s="105">
        <v>100803</v>
      </c>
      <c r="B3637" s="104" t="s">
        <v>3707</v>
      </c>
      <c r="C3637" s="104" t="s">
        <v>40</v>
      </c>
      <c r="D3637" s="129" t="s">
        <v>17995</v>
      </c>
    </row>
    <row r="3638" spans="1:4">
      <c r="A3638" s="105">
        <v>100804</v>
      </c>
      <c r="B3638" s="104" t="s">
        <v>3708</v>
      </c>
      <c r="C3638" s="104" t="s">
        <v>40</v>
      </c>
      <c r="D3638" s="129" t="s">
        <v>17996</v>
      </c>
    </row>
    <row r="3639" spans="1:4">
      <c r="A3639" s="105">
        <v>100805</v>
      </c>
      <c r="B3639" s="104" t="s">
        <v>3709</v>
      </c>
      <c r="C3639" s="104" t="s">
        <v>40</v>
      </c>
      <c r="D3639" s="129" t="s">
        <v>17997</v>
      </c>
    </row>
    <row r="3640" spans="1:4">
      <c r="A3640" s="105">
        <v>100806</v>
      </c>
      <c r="B3640" s="104" t="s">
        <v>3710</v>
      </c>
      <c r="C3640" s="104" t="s">
        <v>40</v>
      </c>
      <c r="D3640" s="129" t="s">
        <v>17998</v>
      </c>
    </row>
    <row r="3641" spans="1:4">
      <c r="A3641" s="105">
        <v>100807</v>
      </c>
      <c r="B3641" s="104" t="s">
        <v>3711</v>
      </c>
      <c r="C3641" s="104" t="s">
        <v>40</v>
      </c>
      <c r="D3641" s="129" t="s">
        <v>17999</v>
      </c>
    </row>
    <row r="3642" spans="1:4">
      <c r="A3642" s="105">
        <v>100808</v>
      </c>
      <c r="B3642" s="104" t="s">
        <v>3712</v>
      </c>
      <c r="C3642" s="104" t="s">
        <v>40</v>
      </c>
      <c r="D3642" s="129" t="s">
        <v>17959</v>
      </c>
    </row>
    <row r="3643" spans="1:4">
      <c r="A3643" s="105">
        <v>100809</v>
      </c>
      <c r="B3643" s="104" t="s">
        <v>3713</v>
      </c>
      <c r="C3643" s="104" t="s">
        <v>40</v>
      </c>
      <c r="D3643" s="129" t="s">
        <v>18000</v>
      </c>
    </row>
    <row r="3644" spans="1:4">
      <c r="A3644" s="105">
        <v>100810</v>
      </c>
      <c r="B3644" s="104" t="s">
        <v>3714</v>
      </c>
      <c r="C3644" s="104" t="s">
        <v>40</v>
      </c>
      <c r="D3644" s="129" t="s">
        <v>18001</v>
      </c>
    </row>
    <row r="3645" spans="1:4">
      <c r="A3645" s="105">
        <v>101918</v>
      </c>
      <c r="B3645" s="104" t="s">
        <v>3715</v>
      </c>
      <c r="C3645" s="104" t="s">
        <v>40</v>
      </c>
      <c r="D3645" s="129" t="s">
        <v>18002</v>
      </c>
    </row>
    <row r="3646" spans="1:4">
      <c r="A3646" s="105">
        <v>101919</v>
      </c>
      <c r="B3646" s="104" t="s">
        <v>3716</v>
      </c>
      <c r="C3646" s="104" t="s">
        <v>183</v>
      </c>
      <c r="D3646" s="129" t="s">
        <v>18003</v>
      </c>
    </row>
    <row r="3647" spans="1:4">
      <c r="A3647" s="105">
        <v>101920</v>
      </c>
      <c r="B3647" s="104" t="s">
        <v>3717</v>
      </c>
      <c r="C3647" s="104" t="s">
        <v>183</v>
      </c>
      <c r="D3647" s="129" t="s">
        <v>18004</v>
      </c>
    </row>
    <row r="3648" spans="1:4">
      <c r="A3648" s="105">
        <v>101921</v>
      </c>
      <c r="B3648" s="104" t="s">
        <v>3718</v>
      </c>
      <c r="C3648" s="104" t="s">
        <v>183</v>
      </c>
      <c r="D3648" s="129" t="s">
        <v>18005</v>
      </c>
    </row>
    <row r="3649" spans="1:4">
      <c r="A3649" s="105">
        <v>101922</v>
      </c>
      <c r="B3649" s="104" t="s">
        <v>3719</v>
      </c>
      <c r="C3649" s="104" t="s">
        <v>183</v>
      </c>
      <c r="D3649" s="129" t="s">
        <v>18005</v>
      </c>
    </row>
    <row r="3650" spans="1:4">
      <c r="A3650" s="105">
        <v>101923</v>
      </c>
      <c r="B3650" s="104" t="s">
        <v>3720</v>
      </c>
      <c r="C3650" s="104" t="s">
        <v>183</v>
      </c>
      <c r="D3650" s="129" t="s">
        <v>18005</v>
      </c>
    </row>
    <row r="3651" spans="1:4">
      <c r="A3651" s="105">
        <v>101924</v>
      </c>
      <c r="B3651" s="104" t="s">
        <v>3721</v>
      </c>
      <c r="C3651" s="104" t="s">
        <v>183</v>
      </c>
      <c r="D3651" s="129" t="s">
        <v>18006</v>
      </c>
    </row>
    <row r="3652" spans="1:4">
      <c r="A3652" s="105">
        <v>101925</v>
      </c>
      <c r="B3652" s="104" t="s">
        <v>3722</v>
      </c>
      <c r="C3652" s="104" t="s">
        <v>183</v>
      </c>
      <c r="D3652" s="129" t="s">
        <v>18007</v>
      </c>
    </row>
    <row r="3653" spans="1:4">
      <c r="A3653" s="105">
        <v>101926</v>
      </c>
      <c r="B3653" s="104" t="s">
        <v>3723</v>
      </c>
      <c r="C3653" s="104" t="s">
        <v>183</v>
      </c>
      <c r="D3653" s="129" t="s">
        <v>18008</v>
      </c>
    </row>
    <row r="3654" spans="1:4">
      <c r="A3654" s="105">
        <v>101927</v>
      </c>
      <c r="B3654" s="104" t="s">
        <v>3724</v>
      </c>
      <c r="C3654" s="104" t="s">
        <v>40</v>
      </c>
      <c r="D3654" s="129" t="s">
        <v>18009</v>
      </c>
    </row>
    <row r="3655" spans="1:4">
      <c r="A3655" s="105">
        <v>101928</v>
      </c>
      <c r="B3655" s="104" t="s">
        <v>3725</v>
      </c>
      <c r="C3655" s="104" t="s">
        <v>183</v>
      </c>
      <c r="D3655" s="129" t="s">
        <v>18010</v>
      </c>
    </row>
    <row r="3656" spans="1:4">
      <c r="A3656" s="105">
        <v>101929</v>
      </c>
      <c r="B3656" s="104" t="s">
        <v>3726</v>
      </c>
      <c r="C3656" s="104" t="s">
        <v>183</v>
      </c>
      <c r="D3656" s="129" t="s">
        <v>18011</v>
      </c>
    </row>
    <row r="3657" spans="1:4">
      <c r="A3657" s="105">
        <v>101930</v>
      </c>
      <c r="B3657" s="104" t="s">
        <v>3727</v>
      </c>
      <c r="C3657" s="104" t="s">
        <v>183</v>
      </c>
      <c r="D3657" s="129" t="s">
        <v>18012</v>
      </c>
    </row>
    <row r="3658" spans="1:4">
      <c r="A3658" s="105">
        <v>101931</v>
      </c>
      <c r="B3658" s="104" t="s">
        <v>3728</v>
      </c>
      <c r="C3658" s="104" t="s">
        <v>183</v>
      </c>
      <c r="D3658" s="129" t="s">
        <v>18012</v>
      </c>
    </row>
    <row r="3659" spans="1:4">
      <c r="A3659" s="105">
        <v>101932</v>
      </c>
      <c r="B3659" s="104" t="s">
        <v>3729</v>
      </c>
      <c r="C3659" s="104" t="s">
        <v>183</v>
      </c>
      <c r="D3659" s="129" t="s">
        <v>18012</v>
      </c>
    </row>
    <row r="3660" spans="1:4">
      <c r="A3660" s="105">
        <v>101933</v>
      </c>
      <c r="B3660" s="104" t="s">
        <v>3730</v>
      </c>
      <c r="C3660" s="104" t="s">
        <v>183</v>
      </c>
      <c r="D3660" s="129" t="s">
        <v>18013</v>
      </c>
    </row>
    <row r="3661" spans="1:4">
      <c r="A3661" s="105">
        <v>101934</v>
      </c>
      <c r="B3661" s="104" t="s">
        <v>3731</v>
      </c>
      <c r="C3661" s="104" t="s">
        <v>183</v>
      </c>
      <c r="D3661" s="129" t="s">
        <v>18014</v>
      </c>
    </row>
    <row r="3662" spans="1:4">
      <c r="A3662" s="105">
        <v>101935</v>
      </c>
      <c r="B3662" s="104" t="s">
        <v>3732</v>
      </c>
      <c r="C3662" s="104" t="s">
        <v>183</v>
      </c>
      <c r="D3662" s="129" t="s">
        <v>18015</v>
      </c>
    </row>
    <row r="3663" spans="1:4">
      <c r="A3663" s="105">
        <v>89358</v>
      </c>
      <c r="B3663" s="104" t="s">
        <v>3733</v>
      </c>
      <c r="C3663" s="104" t="s">
        <v>183</v>
      </c>
      <c r="D3663" s="129" t="s">
        <v>18016</v>
      </c>
    </row>
    <row r="3664" spans="1:4">
      <c r="A3664" s="105">
        <v>89359</v>
      </c>
      <c r="B3664" s="104" t="s">
        <v>3734</v>
      </c>
      <c r="C3664" s="104" t="s">
        <v>183</v>
      </c>
      <c r="D3664" s="129" t="s">
        <v>15631</v>
      </c>
    </row>
    <row r="3665" spans="1:4">
      <c r="A3665" s="105">
        <v>89360</v>
      </c>
      <c r="B3665" s="104" t="s">
        <v>3735</v>
      </c>
      <c r="C3665" s="104" t="s">
        <v>183</v>
      </c>
      <c r="D3665" s="129" t="s">
        <v>18017</v>
      </c>
    </row>
    <row r="3666" spans="1:4">
      <c r="A3666" s="105">
        <v>89361</v>
      </c>
      <c r="B3666" s="104" t="s">
        <v>3736</v>
      </c>
      <c r="C3666" s="104" t="s">
        <v>183</v>
      </c>
      <c r="D3666" s="129" t="s">
        <v>18018</v>
      </c>
    </row>
    <row r="3667" spans="1:4">
      <c r="A3667" s="105">
        <v>89362</v>
      </c>
      <c r="B3667" s="104" t="s">
        <v>3737</v>
      </c>
      <c r="C3667" s="104" t="s">
        <v>183</v>
      </c>
      <c r="D3667" s="129" t="s">
        <v>17262</v>
      </c>
    </row>
    <row r="3668" spans="1:4">
      <c r="A3668" s="105">
        <v>89363</v>
      </c>
      <c r="B3668" s="104" t="s">
        <v>3738</v>
      </c>
      <c r="C3668" s="104" t="s">
        <v>183</v>
      </c>
      <c r="D3668" s="129" t="s">
        <v>18019</v>
      </c>
    </row>
    <row r="3669" spans="1:4">
      <c r="A3669" s="105">
        <v>89364</v>
      </c>
      <c r="B3669" s="104" t="s">
        <v>3739</v>
      </c>
      <c r="C3669" s="104" t="s">
        <v>183</v>
      </c>
      <c r="D3669" s="129" t="s">
        <v>18020</v>
      </c>
    </row>
    <row r="3670" spans="1:4">
      <c r="A3670" s="105">
        <v>89365</v>
      </c>
      <c r="B3670" s="104" t="s">
        <v>3740</v>
      </c>
      <c r="C3670" s="104" t="s">
        <v>183</v>
      </c>
      <c r="D3670" s="129" t="s">
        <v>18021</v>
      </c>
    </row>
    <row r="3671" spans="1:4">
      <c r="A3671" s="105">
        <v>89366</v>
      </c>
      <c r="B3671" s="104" t="s">
        <v>3741</v>
      </c>
      <c r="C3671" s="104" t="s">
        <v>183</v>
      </c>
      <c r="D3671" s="129" t="s">
        <v>18022</v>
      </c>
    </row>
    <row r="3672" spans="1:4">
      <c r="A3672" s="105">
        <v>89367</v>
      </c>
      <c r="B3672" s="104" t="s">
        <v>3742</v>
      </c>
      <c r="C3672" s="104" t="s">
        <v>183</v>
      </c>
      <c r="D3672" s="129" t="s">
        <v>16910</v>
      </c>
    </row>
    <row r="3673" spans="1:4">
      <c r="A3673" s="105">
        <v>89368</v>
      </c>
      <c r="B3673" s="104" t="s">
        <v>3743</v>
      </c>
      <c r="C3673" s="104" t="s">
        <v>183</v>
      </c>
      <c r="D3673" s="129" t="s">
        <v>18023</v>
      </c>
    </row>
    <row r="3674" spans="1:4">
      <c r="A3674" s="105">
        <v>89369</v>
      </c>
      <c r="B3674" s="104" t="s">
        <v>3744</v>
      </c>
      <c r="C3674" s="104" t="s">
        <v>183</v>
      </c>
      <c r="D3674" s="129" t="s">
        <v>18024</v>
      </c>
    </row>
    <row r="3675" spans="1:4">
      <c r="A3675" s="105">
        <v>89370</v>
      </c>
      <c r="B3675" s="104" t="s">
        <v>3745</v>
      </c>
      <c r="C3675" s="104" t="s">
        <v>183</v>
      </c>
      <c r="D3675" s="129" t="s">
        <v>18025</v>
      </c>
    </row>
    <row r="3676" spans="1:4">
      <c r="A3676" s="105">
        <v>89371</v>
      </c>
      <c r="B3676" s="104" t="s">
        <v>3746</v>
      </c>
      <c r="C3676" s="104" t="s">
        <v>183</v>
      </c>
      <c r="D3676" s="129" t="s">
        <v>18026</v>
      </c>
    </row>
    <row r="3677" spans="1:4">
      <c r="A3677" s="105">
        <v>89372</v>
      </c>
      <c r="B3677" s="104" t="s">
        <v>3747</v>
      </c>
      <c r="C3677" s="104" t="s">
        <v>183</v>
      </c>
      <c r="D3677" s="129" t="s">
        <v>16905</v>
      </c>
    </row>
    <row r="3678" spans="1:4">
      <c r="A3678" s="105">
        <v>89373</v>
      </c>
      <c r="B3678" s="104" t="s">
        <v>3748</v>
      </c>
      <c r="C3678" s="104" t="s">
        <v>183</v>
      </c>
      <c r="D3678" s="129" t="s">
        <v>18027</v>
      </c>
    </row>
    <row r="3679" spans="1:4">
      <c r="A3679" s="105">
        <v>89374</v>
      </c>
      <c r="B3679" s="104" t="s">
        <v>3749</v>
      </c>
      <c r="C3679" s="104" t="s">
        <v>183</v>
      </c>
      <c r="D3679" s="129" t="s">
        <v>18028</v>
      </c>
    </row>
    <row r="3680" spans="1:4">
      <c r="A3680" s="105">
        <v>89375</v>
      </c>
      <c r="B3680" s="104" t="s">
        <v>3750</v>
      </c>
      <c r="C3680" s="104" t="s">
        <v>183</v>
      </c>
      <c r="D3680" s="129" t="s">
        <v>15999</v>
      </c>
    </row>
    <row r="3681" spans="1:4">
      <c r="A3681" s="105">
        <v>89376</v>
      </c>
      <c r="B3681" s="104" t="s">
        <v>3751</v>
      </c>
      <c r="C3681" s="104" t="s">
        <v>183</v>
      </c>
      <c r="D3681" s="129" t="s">
        <v>18029</v>
      </c>
    </row>
    <row r="3682" spans="1:4">
      <c r="A3682" s="105">
        <v>89377</v>
      </c>
      <c r="B3682" s="104" t="s">
        <v>3752</v>
      </c>
      <c r="C3682" s="104" t="s">
        <v>183</v>
      </c>
      <c r="D3682" s="129" t="s">
        <v>18030</v>
      </c>
    </row>
    <row r="3683" spans="1:4">
      <c r="A3683" s="105">
        <v>89378</v>
      </c>
      <c r="B3683" s="104" t="s">
        <v>3753</v>
      </c>
      <c r="C3683" s="104" t="s">
        <v>183</v>
      </c>
      <c r="D3683" s="129" t="s">
        <v>18031</v>
      </c>
    </row>
    <row r="3684" spans="1:4">
      <c r="A3684" s="105">
        <v>89379</v>
      </c>
      <c r="B3684" s="104" t="s">
        <v>3754</v>
      </c>
      <c r="C3684" s="104" t="s">
        <v>183</v>
      </c>
      <c r="D3684" s="129" t="s">
        <v>18024</v>
      </c>
    </row>
    <row r="3685" spans="1:4">
      <c r="A3685" s="105">
        <v>89380</v>
      </c>
      <c r="B3685" s="104" t="s">
        <v>3755</v>
      </c>
      <c r="C3685" s="104" t="s">
        <v>183</v>
      </c>
      <c r="D3685" s="129" t="s">
        <v>18032</v>
      </c>
    </row>
    <row r="3686" spans="1:4">
      <c r="A3686" s="105">
        <v>89381</v>
      </c>
      <c r="B3686" s="104" t="s">
        <v>3756</v>
      </c>
      <c r="C3686" s="104" t="s">
        <v>183</v>
      </c>
      <c r="D3686" s="129" t="s">
        <v>18033</v>
      </c>
    </row>
    <row r="3687" spans="1:4">
      <c r="A3687" s="105">
        <v>89382</v>
      </c>
      <c r="B3687" s="104" t="s">
        <v>3757</v>
      </c>
      <c r="C3687" s="104" t="s">
        <v>183</v>
      </c>
      <c r="D3687" s="129" t="s">
        <v>18034</v>
      </c>
    </row>
    <row r="3688" spans="1:4">
      <c r="A3688" s="105">
        <v>89383</v>
      </c>
      <c r="B3688" s="104" t="s">
        <v>3758</v>
      </c>
      <c r="C3688" s="104" t="s">
        <v>183</v>
      </c>
      <c r="D3688" s="129" t="s">
        <v>15535</v>
      </c>
    </row>
    <row r="3689" spans="1:4">
      <c r="A3689" s="105">
        <v>89384</v>
      </c>
      <c r="B3689" s="104" t="s">
        <v>3759</v>
      </c>
      <c r="C3689" s="104" t="s">
        <v>183</v>
      </c>
      <c r="D3689" s="129" t="s">
        <v>18035</v>
      </c>
    </row>
    <row r="3690" spans="1:4">
      <c r="A3690" s="105">
        <v>89385</v>
      </c>
      <c r="B3690" s="104" t="s">
        <v>3760</v>
      </c>
      <c r="C3690" s="104" t="s">
        <v>183</v>
      </c>
      <c r="D3690" s="129" t="s">
        <v>15484</v>
      </c>
    </row>
    <row r="3691" spans="1:4">
      <c r="A3691" s="105">
        <v>89386</v>
      </c>
      <c r="B3691" s="104" t="s">
        <v>3761</v>
      </c>
      <c r="C3691" s="104" t="s">
        <v>183</v>
      </c>
      <c r="D3691" s="129" t="s">
        <v>18036</v>
      </c>
    </row>
    <row r="3692" spans="1:4">
      <c r="A3692" s="105">
        <v>89387</v>
      </c>
      <c r="B3692" s="104" t="s">
        <v>3762</v>
      </c>
      <c r="C3692" s="104" t="s">
        <v>183</v>
      </c>
      <c r="D3692" s="129" t="s">
        <v>18037</v>
      </c>
    </row>
    <row r="3693" spans="1:4">
      <c r="A3693" s="105">
        <v>89388</v>
      </c>
      <c r="B3693" s="104" t="s">
        <v>3763</v>
      </c>
      <c r="C3693" s="104" t="s">
        <v>183</v>
      </c>
      <c r="D3693" s="129" t="s">
        <v>18038</v>
      </c>
    </row>
    <row r="3694" spans="1:4">
      <c r="A3694" s="105">
        <v>89389</v>
      </c>
      <c r="B3694" s="104" t="s">
        <v>3764</v>
      </c>
      <c r="C3694" s="104" t="s">
        <v>183</v>
      </c>
      <c r="D3694" s="129" t="s">
        <v>18039</v>
      </c>
    </row>
    <row r="3695" spans="1:4">
      <c r="A3695" s="105">
        <v>89390</v>
      </c>
      <c r="B3695" s="104" t="s">
        <v>3765</v>
      </c>
      <c r="C3695" s="104" t="s">
        <v>183</v>
      </c>
      <c r="D3695" s="129" t="s">
        <v>18040</v>
      </c>
    </row>
    <row r="3696" spans="1:4">
      <c r="A3696" s="105">
        <v>89391</v>
      </c>
      <c r="B3696" s="104" t="s">
        <v>3766</v>
      </c>
      <c r="C3696" s="104" t="s">
        <v>183</v>
      </c>
      <c r="D3696" s="129" t="s">
        <v>18041</v>
      </c>
    </row>
    <row r="3697" spans="1:4">
      <c r="A3697" s="105">
        <v>89392</v>
      </c>
      <c r="B3697" s="104" t="s">
        <v>3767</v>
      </c>
      <c r="C3697" s="104" t="s">
        <v>183</v>
      </c>
      <c r="D3697" s="129" t="s">
        <v>18042</v>
      </c>
    </row>
    <row r="3698" spans="1:4">
      <c r="A3698" s="105">
        <v>89393</v>
      </c>
      <c r="B3698" s="104" t="s">
        <v>3768</v>
      </c>
      <c r="C3698" s="104" t="s">
        <v>183</v>
      </c>
      <c r="D3698" s="129" t="s">
        <v>18043</v>
      </c>
    </row>
    <row r="3699" spans="1:4">
      <c r="A3699" s="105">
        <v>89394</v>
      </c>
      <c r="B3699" s="104" t="s">
        <v>3769</v>
      </c>
      <c r="C3699" s="104" t="s">
        <v>183</v>
      </c>
      <c r="D3699" s="129" t="s">
        <v>18044</v>
      </c>
    </row>
    <row r="3700" spans="1:4">
      <c r="A3700" s="105">
        <v>89395</v>
      </c>
      <c r="B3700" s="104" t="s">
        <v>3770</v>
      </c>
      <c r="C3700" s="104" t="s">
        <v>183</v>
      </c>
      <c r="D3700" s="129" t="s">
        <v>18045</v>
      </c>
    </row>
    <row r="3701" spans="1:4">
      <c r="A3701" s="105">
        <v>89396</v>
      </c>
      <c r="B3701" s="104" t="s">
        <v>3771</v>
      </c>
      <c r="C3701" s="104" t="s">
        <v>183</v>
      </c>
      <c r="D3701" s="129" t="s">
        <v>14936</v>
      </c>
    </row>
    <row r="3702" spans="1:4">
      <c r="A3702" s="105">
        <v>89397</v>
      </c>
      <c r="B3702" s="104" t="s">
        <v>3772</v>
      </c>
      <c r="C3702" s="104" t="s">
        <v>183</v>
      </c>
      <c r="D3702" s="129" t="s">
        <v>16917</v>
      </c>
    </row>
    <row r="3703" spans="1:4">
      <c r="A3703" s="105">
        <v>89398</v>
      </c>
      <c r="B3703" s="104" t="s">
        <v>3773</v>
      </c>
      <c r="C3703" s="104" t="s">
        <v>183</v>
      </c>
      <c r="D3703" s="129" t="s">
        <v>18046</v>
      </c>
    </row>
    <row r="3704" spans="1:4">
      <c r="A3704" s="105">
        <v>89399</v>
      </c>
      <c r="B3704" s="104" t="s">
        <v>3774</v>
      </c>
      <c r="C3704" s="104" t="s">
        <v>183</v>
      </c>
      <c r="D3704" s="129" t="s">
        <v>18047</v>
      </c>
    </row>
    <row r="3705" spans="1:4">
      <c r="A3705" s="105">
        <v>89400</v>
      </c>
      <c r="B3705" s="104" t="s">
        <v>3775</v>
      </c>
      <c r="C3705" s="104" t="s">
        <v>183</v>
      </c>
      <c r="D3705" s="129" t="s">
        <v>16912</v>
      </c>
    </row>
    <row r="3706" spans="1:4">
      <c r="A3706" s="105">
        <v>89404</v>
      </c>
      <c r="B3706" s="104" t="s">
        <v>3776</v>
      </c>
      <c r="C3706" s="104" t="s">
        <v>183</v>
      </c>
      <c r="D3706" s="129" t="s">
        <v>18048</v>
      </c>
    </row>
    <row r="3707" spans="1:4">
      <c r="A3707" s="105">
        <v>89405</v>
      </c>
      <c r="B3707" s="104" t="s">
        <v>3777</v>
      </c>
      <c r="C3707" s="104" t="s">
        <v>183</v>
      </c>
      <c r="D3707" s="129" t="s">
        <v>15688</v>
      </c>
    </row>
    <row r="3708" spans="1:4">
      <c r="A3708" s="105">
        <v>89406</v>
      </c>
      <c r="B3708" s="104" t="s">
        <v>3778</v>
      </c>
      <c r="C3708" s="104" t="s">
        <v>183</v>
      </c>
      <c r="D3708" s="129" t="s">
        <v>18049</v>
      </c>
    </row>
    <row r="3709" spans="1:4">
      <c r="A3709" s="105">
        <v>89407</v>
      </c>
      <c r="B3709" s="104" t="s">
        <v>3779</v>
      </c>
      <c r="C3709" s="104" t="s">
        <v>183</v>
      </c>
      <c r="D3709" s="129" t="s">
        <v>15687</v>
      </c>
    </row>
    <row r="3710" spans="1:4">
      <c r="A3710" s="105">
        <v>89408</v>
      </c>
      <c r="B3710" s="104" t="s">
        <v>3780</v>
      </c>
      <c r="C3710" s="104" t="s">
        <v>183</v>
      </c>
      <c r="D3710" s="129" t="s">
        <v>18050</v>
      </c>
    </row>
    <row r="3711" spans="1:4">
      <c r="A3711" s="105">
        <v>89409</v>
      </c>
      <c r="B3711" s="104" t="s">
        <v>3781</v>
      </c>
      <c r="C3711" s="104" t="s">
        <v>183</v>
      </c>
      <c r="D3711" s="129" t="s">
        <v>15319</v>
      </c>
    </row>
    <row r="3712" spans="1:4">
      <c r="A3712" s="105">
        <v>89410</v>
      </c>
      <c r="B3712" s="104" t="s">
        <v>3782</v>
      </c>
      <c r="C3712" s="104" t="s">
        <v>183</v>
      </c>
      <c r="D3712" s="129" t="s">
        <v>18051</v>
      </c>
    </row>
    <row r="3713" spans="1:4">
      <c r="A3713" s="105">
        <v>89411</v>
      </c>
      <c r="B3713" s="104" t="s">
        <v>3783</v>
      </c>
      <c r="C3713" s="104" t="s">
        <v>183</v>
      </c>
      <c r="D3713" s="129" t="s">
        <v>17726</v>
      </c>
    </row>
    <row r="3714" spans="1:4">
      <c r="A3714" s="105">
        <v>89412</v>
      </c>
      <c r="B3714" s="104" t="s">
        <v>3784</v>
      </c>
      <c r="C3714" s="104" t="s">
        <v>183</v>
      </c>
      <c r="D3714" s="129" t="s">
        <v>18052</v>
      </c>
    </row>
    <row r="3715" spans="1:4">
      <c r="A3715" s="105">
        <v>89413</v>
      </c>
      <c r="B3715" s="104" t="s">
        <v>3785</v>
      </c>
      <c r="C3715" s="104" t="s">
        <v>183</v>
      </c>
      <c r="D3715" s="129" t="s">
        <v>14942</v>
      </c>
    </row>
    <row r="3716" spans="1:4">
      <c r="A3716" s="105">
        <v>89414</v>
      </c>
      <c r="B3716" s="104" t="s">
        <v>3786</v>
      </c>
      <c r="C3716" s="104" t="s">
        <v>183</v>
      </c>
      <c r="D3716" s="129" t="s">
        <v>17235</v>
      </c>
    </row>
    <row r="3717" spans="1:4">
      <c r="A3717" s="105">
        <v>89415</v>
      </c>
      <c r="B3717" s="104" t="s">
        <v>3787</v>
      </c>
      <c r="C3717" s="104" t="s">
        <v>183</v>
      </c>
      <c r="D3717" s="129" t="s">
        <v>18053</v>
      </c>
    </row>
    <row r="3718" spans="1:4">
      <c r="A3718" s="105">
        <v>89416</v>
      </c>
      <c r="B3718" s="104" t="s">
        <v>3788</v>
      </c>
      <c r="C3718" s="104" t="s">
        <v>183</v>
      </c>
      <c r="D3718" s="129" t="s">
        <v>18054</v>
      </c>
    </row>
    <row r="3719" spans="1:4">
      <c r="A3719" s="105">
        <v>89417</v>
      </c>
      <c r="B3719" s="104" t="s">
        <v>3789</v>
      </c>
      <c r="C3719" s="104" t="s">
        <v>183</v>
      </c>
      <c r="D3719" s="129" t="s">
        <v>18055</v>
      </c>
    </row>
    <row r="3720" spans="1:4">
      <c r="A3720" s="105">
        <v>89418</v>
      </c>
      <c r="B3720" s="104" t="s">
        <v>3790</v>
      </c>
      <c r="C3720" s="104" t="s">
        <v>183</v>
      </c>
      <c r="D3720" s="129" t="s">
        <v>18056</v>
      </c>
    </row>
    <row r="3721" spans="1:4">
      <c r="A3721" s="105">
        <v>89419</v>
      </c>
      <c r="B3721" s="104" t="s">
        <v>3791</v>
      </c>
      <c r="C3721" s="104" t="s">
        <v>183</v>
      </c>
      <c r="D3721" s="129" t="s">
        <v>15238</v>
      </c>
    </row>
    <row r="3722" spans="1:4">
      <c r="A3722" s="105">
        <v>89420</v>
      </c>
      <c r="B3722" s="104" t="s">
        <v>3792</v>
      </c>
      <c r="C3722" s="104" t="s">
        <v>183</v>
      </c>
      <c r="D3722" s="129" t="s">
        <v>18057</v>
      </c>
    </row>
    <row r="3723" spans="1:4">
      <c r="A3723" s="105">
        <v>89421</v>
      </c>
      <c r="B3723" s="104" t="s">
        <v>3793</v>
      </c>
      <c r="C3723" s="104" t="s">
        <v>183</v>
      </c>
      <c r="D3723" s="129" t="s">
        <v>18058</v>
      </c>
    </row>
    <row r="3724" spans="1:4">
      <c r="A3724" s="105">
        <v>89422</v>
      </c>
      <c r="B3724" s="104" t="s">
        <v>3794</v>
      </c>
      <c r="C3724" s="104" t="s">
        <v>183</v>
      </c>
      <c r="D3724" s="129" t="s">
        <v>18059</v>
      </c>
    </row>
    <row r="3725" spans="1:4">
      <c r="A3725" s="105">
        <v>89423</v>
      </c>
      <c r="B3725" s="104" t="s">
        <v>3795</v>
      </c>
      <c r="C3725" s="104" t="s">
        <v>183</v>
      </c>
      <c r="D3725" s="129" t="s">
        <v>18060</v>
      </c>
    </row>
    <row r="3726" spans="1:4">
      <c r="A3726" s="105">
        <v>89424</v>
      </c>
      <c r="B3726" s="104" t="s">
        <v>3796</v>
      </c>
      <c r="C3726" s="104" t="s">
        <v>183</v>
      </c>
      <c r="D3726" s="129" t="s">
        <v>15732</v>
      </c>
    </row>
    <row r="3727" spans="1:4">
      <c r="A3727" s="105">
        <v>89425</v>
      </c>
      <c r="B3727" s="104" t="s">
        <v>3797</v>
      </c>
      <c r="C3727" s="104" t="s">
        <v>183</v>
      </c>
      <c r="D3727" s="129" t="s">
        <v>15397</v>
      </c>
    </row>
    <row r="3728" spans="1:4">
      <c r="A3728" s="105">
        <v>89426</v>
      </c>
      <c r="B3728" s="104" t="s">
        <v>3798</v>
      </c>
      <c r="C3728" s="104" t="s">
        <v>183</v>
      </c>
      <c r="D3728" s="129" t="s">
        <v>18061</v>
      </c>
    </row>
    <row r="3729" spans="1:4">
      <c r="A3729" s="105">
        <v>89427</v>
      </c>
      <c r="B3729" s="104" t="s">
        <v>3799</v>
      </c>
      <c r="C3729" s="104" t="s">
        <v>183</v>
      </c>
      <c r="D3729" s="129" t="s">
        <v>14741</v>
      </c>
    </row>
    <row r="3730" spans="1:4">
      <c r="A3730" s="105">
        <v>89428</v>
      </c>
      <c r="B3730" s="104" t="s">
        <v>3800</v>
      </c>
      <c r="C3730" s="104" t="s">
        <v>183</v>
      </c>
      <c r="D3730" s="129" t="s">
        <v>18062</v>
      </c>
    </row>
    <row r="3731" spans="1:4">
      <c r="A3731" s="105">
        <v>89429</v>
      </c>
      <c r="B3731" s="104" t="s">
        <v>3801</v>
      </c>
      <c r="C3731" s="104" t="s">
        <v>183</v>
      </c>
      <c r="D3731" s="129" t="s">
        <v>15606</v>
      </c>
    </row>
    <row r="3732" spans="1:4">
      <c r="A3732" s="105">
        <v>89430</v>
      </c>
      <c r="B3732" s="104" t="s">
        <v>3802</v>
      </c>
      <c r="C3732" s="104" t="s">
        <v>183</v>
      </c>
      <c r="D3732" s="129" t="s">
        <v>18063</v>
      </c>
    </row>
    <row r="3733" spans="1:4">
      <c r="A3733" s="105">
        <v>89431</v>
      </c>
      <c r="B3733" s="104" t="s">
        <v>3803</v>
      </c>
      <c r="C3733" s="104" t="s">
        <v>183</v>
      </c>
      <c r="D3733" s="129" t="s">
        <v>17261</v>
      </c>
    </row>
    <row r="3734" spans="1:4">
      <c r="A3734" s="105">
        <v>89432</v>
      </c>
      <c r="B3734" s="104" t="s">
        <v>3804</v>
      </c>
      <c r="C3734" s="104" t="s">
        <v>183</v>
      </c>
      <c r="D3734" s="129" t="s">
        <v>18064</v>
      </c>
    </row>
    <row r="3735" spans="1:4">
      <c r="A3735" s="105">
        <v>89433</v>
      </c>
      <c r="B3735" s="104" t="s">
        <v>3805</v>
      </c>
      <c r="C3735" s="104" t="s">
        <v>183</v>
      </c>
      <c r="D3735" s="129" t="s">
        <v>15647</v>
      </c>
    </row>
    <row r="3736" spans="1:4">
      <c r="A3736" s="105">
        <v>89434</v>
      </c>
      <c r="B3736" s="104" t="s">
        <v>3806</v>
      </c>
      <c r="C3736" s="104" t="s">
        <v>183</v>
      </c>
      <c r="D3736" s="129" t="s">
        <v>17181</v>
      </c>
    </row>
    <row r="3737" spans="1:4">
      <c r="A3737" s="105">
        <v>89435</v>
      </c>
      <c r="B3737" s="104" t="s">
        <v>3807</v>
      </c>
      <c r="C3737" s="104" t="s">
        <v>183</v>
      </c>
      <c r="D3737" s="129" t="s">
        <v>14746</v>
      </c>
    </row>
    <row r="3738" spans="1:4">
      <c r="A3738" s="105">
        <v>89436</v>
      </c>
      <c r="B3738" s="104" t="s">
        <v>3808</v>
      </c>
      <c r="C3738" s="104" t="s">
        <v>183</v>
      </c>
      <c r="D3738" s="129" t="s">
        <v>17187</v>
      </c>
    </row>
    <row r="3739" spans="1:4">
      <c r="A3739" s="105">
        <v>89437</v>
      </c>
      <c r="B3739" s="104" t="s">
        <v>3809</v>
      </c>
      <c r="C3739" s="104" t="s">
        <v>183</v>
      </c>
      <c r="D3739" s="129" t="s">
        <v>17603</v>
      </c>
    </row>
    <row r="3740" spans="1:4">
      <c r="A3740" s="105">
        <v>89438</v>
      </c>
      <c r="B3740" s="104" t="s">
        <v>3810</v>
      </c>
      <c r="C3740" s="104" t="s">
        <v>183</v>
      </c>
      <c r="D3740" s="129" t="s">
        <v>17394</v>
      </c>
    </row>
    <row r="3741" spans="1:4">
      <c r="A3741" s="105">
        <v>89439</v>
      </c>
      <c r="B3741" s="104" t="s">
        <v>3811</v>
      </c>
      <c r="C3741" s="104" t="s">
        <v>183</v>
      </c>
      <c r="D3741" s="129" t="s">
        <v>18065</v>
      </c>
    </row>
    <row r="3742" spans="1:4">
      <c r="A3742" s="105">
        <v>89440</v>
      </c>
      <c r="B3742" s="104" t="s">
        <v>3812</v>
      </c>
      <c r="C3742" s="104" t="s">
        <v>183</v>
      </c>
      <c r="D3742" s="129" t="s">
        <v>18066</v>
      </c>
    </row>
    <row r="3743" spans="1:4">
      <c r="A3743" s="105">
        <v>89441</v>
      </c>
      <c r="B3743" s="104" t="s">
        <v>3813</v>
      </c>
      <c r="C3743" s="104" t="s">
        <v>183</v>
      </c>
      <c r="D3743" s="129" t="s">
        <v>16088</v>
      </c>
    </row>
    <row r="3744" spans="1:4">
      <c r="A3744" s="105">
        <v>89442</v>
      </c>
      <c r="B3744" s="104" t="s">
        <v>3814</v>
      </c>
      <c r="C3744" s="104" t="s">
        <v>183</v>
      </c>
      <c r="D3744" s="129" t="s">
        <v>16976</v>
      </c>
    </row>
    <row r="3745" spans="1:4">
      <c r="A3745" s="105">
        <v>89443</v>
      </c>
      <c r="B3745" s="104" t="s">
        <v>3815</v>
      </c>
      <c r="C3745" s="104" t="s">
        <v>183</v>
      </c>
      <c r="D3745" s="129" t="s">
        <v>18067</v>
      </c>
    </row>
    <row r="3746" spans="1:4">
      <c r="A3746" s="105">
        <v>89444</v>
      </c>
      <c r="B3746" s="104" t="s">
        <v>3816</v>
      </c>
      <c r="C3746" s="104" t="s">
        <v>183</v>
      </c>
      <c r="D3746" s="129" t="s">
        <v>18068</v>
      </c>
    </row>
    <row r="3747" spans="1:4">
      <c r="A3747" s="105">
        <v>89445</v>
      </c>
      <c r="B3747" s="104" t="s">
        <v>3817</v>
      </c>
      <c r="C3747" s="104" t="s">
        <v>183</v>
      </c>
      <c r="D3747" s="129" t="s">
        <v>18069</v>
      </c>
    </row>
    <row r="3748" spans="1:4">
      <c r="A3748" s="105">
        <v>89481</v>
      </c>
      <c r="B3748" s="104" t="s">
        <v>3818</v>
      </c>
      <c r="C3748" s="104" t="s">
        <v>183</v>
      </c>
      <c r="D3748" s="129" t="s">
        <v>15420</v>
      </c>
    </row>
    <row r="3749" spans="1:4">
      <c r="A3749" s="105">
        <v>89485</v>
      </c>
      <c r="B3749" s="104" t="s">
        <v>3819</v>
      </c>
      <c r="C3749" s="104" t="s">
        <v>183</v>
      </c>
      <c r="D3749" s="129" t="s">
        <v>18070</v>
      </c>
    </row>
    <row r="3750" spans="1:4">
      <c r="A3750" s="105">
        <v>89489</v>
      </c>
      <c r="B3750" s="104" t="s">
        <v>3820</v>
      </c>
      <c r="C3750" s="104" t="s">
        <v>183</v>
      </c>
      <c r="D3750" s="129" t="s">
        <v>18071</v>
      </c>
    </row>
    <row r="3751" spans="1:4">
      <c r="A3751" s="105">
        <v>89490</v>
      </c>
      <c r="B3751" s="104" t="s">
        <v>3821</v>
      </c>
      <c r="C3751" s="104" t="s">
        <v>183</v>
      </c>
      <c r="D3751" s="129" t="s">
        <v>15383</v>
      </c>
    </row>
    <row r="3752" spans="1:4">
      <c r="A3752" s="105">
        <v>89492</v>
      </c>
      <c r="B3752" s="104" t="s">
        <v>3822</v>
      </c>
      <c r="C3752" s="104" t="s">
        <v>183</v>
      </c>
      <c r="D3752" s="129" t="s">
        <v>17564</v>
      </c>
    </row>
    <row r="3753" spans="1:4">
      <c r="A3753" s="105">
        <v>89493</v>
      </c>
      <c r="B3753" s="104" t="s">
        <v>3823</v>
      </c>
      <c r="C3753" s="104" t="s">
        <v>183</v>
      </c>
      <c r="D3753" s="129" t="s">
        <v>18032</v>
      </c>
    </row>
    <row r="3754" spans="1:4">
      <c r="A3754" s="105">
        <v>89494</v>
      </c>
      <c r="B3754" s="104" t="s">
        <v>3824</v>
      </c>
      <c r="C3754" s="104" t="s">
        <v>183</v>
      </c>
      <c r="D3754" s="129" t="s">
        <v>17237</v>
      </c>
    </row>
    <row r="3755" spans="1:4">
      <c r="A3755" s="105">
        <v>89496</v>
      </c>
      <c r="B3755" s="104" t="s">
        <v>3825</v>
      </c>
      <c r="C3755" s="104" t="s">
        <v>183</v>
      </c>
      <c r="D3755" s="129" t="s">
        <v>17797</v>
      </c>
    </row>
    <row r="3756" spans="1:4">
      <c r="A3756" s="105">
        <v>89497</v>
      </c>
      <c r="B3756" s="104" t="s">
        <v>3826</v>
      </c>
      <c r="C3756" s="104" t="s">
        <v>183</v>
      </c>
      <c r="D3756" s="129" t="s">
        <v>16393</v>
      </c>
    </row>
    <row r="3757" spans="1:4">
      <c r="A3757" s="105">
        <v>89498</v>
      </c>
      <c r="B3757" s="104" t="s">
        <v>3827</v>
      </c>
      <c r="C3757" s="104" t="s">
        <v>183</v>
      </c>
      <c r="D3757" s="129" t="s">
        <v>18072</v>
      </c>
    </row>
    <row r="3758" spans="1:4">
      <c r="A3758" s="105">
        <v>89499</v>
      </c>
      <c r="B3758" s="104" t="s">
        <v>3828</v>
      </c>
      <c r="C3758" s="104" t="s">
        <v>183</v>
      </c>
      <c r="D3758" s="129" t="s">
        <v>18073</v>
      </c>
    </row>
    <row r="3759" spans="1:4">
      <c r="A3759" s="105">
        <v>89500</v>
      </c>
      <c r="B3759" s="104" t="s">
        <v>3829</v>
      </c>
      <c r="C3759" s="104" t="s">
        <v>183</v>
      </c>
      <c r="D3759" s="129" t="s">
        <v>18033</v>
      </c>
    </row>
    <row r="3760" spans="1:4">
      <c r="A3760" s="105">
        <v>89501</v>
      </c>
      <c r="B3760" s="104" t="s">
        <v>3830</v>
      </c>
      <c r="C3760" s="104" t="s">
        <v>183</v>
      </c>
      <c r="D3760" s="129" t="s">
        <v>18074</v>
      </c>
    </row>
    <row r="3761" spans="1:4">
      <c r="A3761" s="105">
        <v>89502</v>
      </c>
      <c r="B3761" s="104" t="s">
        <v>3831</v>
      </c>
      <c r="C3761" s="104" t="s">
        <v>183</v>
      </c>
      <c r="D3761" s="129" t="s">
        <v>18075</v>
      </c>
    </row>
    <row r="3762" spans="1:4">
      <c r="A3762" s="105">
        <v>89503</v>
      </c>
      <c r="B3762" s="104" t="s">
        <v>3832</v>
      </c>
      <c r="C3762" s="104" t="s">
        <v>183</v>
      </c>
      <c r="D3762" s="129" t="s">
        <v>15027</v>
      </c>
    </row>
    <row r="3763" spans="1:4">
      <c r="A3763" s="105">
        <v>89504</v>
      </c>
      <c r="B3763" s="104" t="s">
        <v>3833</v>
      </c>
      <c r="C3763" s="104" t="s">
        <v>183</v>
      </c>
      <c r="D3763" s="129" t="s">
        <v>18076</v>
      </c>
    </row>
    <row r="3764" spans="1:4">
      <c r="A3764" s="105">
        <v>89505</v>
      </c>
      <c r="B3764" s="104" t="s">
        <v>3834</v>
      </c>
      <c r="C3764" s="104" t="s">
        <v>183</v>
      </c>
      <c r="D3764" s="129" t="s">
        <v>18077</v>
      </c>
    </row>
    <row r="3765" spans="1:4">
      <c r="A3765" s="105">
        <v>89506</v>
      </c>
      <c r="B3765" s="104" t="s">
        <v>3835</v>
      </c>
      <c r="C3765" s="104" t="s">
        <v>183</v>
      </c>
      <c r="D3765" s="129" t="s">
        <v>18078</v>
      </c>
    </row>
    <row r="3766" spans="1:4">
      <c r="A3766" s="105">
        <v>89507</v>
      </c>
      <c r="B3766" s="104" t="s">
        <v>3836</v>
      </c>
      <c r="C3766" s="104" t="s">
        <v>183</v>
      </c>
      <c r="D3766" s="129" t="s">
        <v>18079</v>
      </c>
    </row>
    <row r="3767" spans="1:4">
      <c r="A3767" s="105">
        <v>89510</v>
      </c>
      <c r="B3767" s="104" t="s">
        <v>3837</v>
      </c>
      <c r="C3767" s="104" t="s">
        <v>183</v>
      </c>
      <c r="D3767" s="129" t="s">
        <v>18080</v>
      </c>
    </row>
    <row r="3768" spans="1:4">
      <c r="A3768" s="105">
        <v>89513</v>
      </c>
      <c r="B3768" s="104" t="s">
        <v>3838</v>
      </c>
      <c r="C3768" s="104" t="s">
        <v>183</v>
      </c>
      <c r="D3768" s="129" t="s">
        <v>18081</v>
      </c>
    </row>
    <row r="3769" spans="1:4">
      <c r="A3769" s="105">
        <v>89514</v>
      </c>
      <c r="B3769" s="104" t="s">
        <v>3839</v>
      </c>
      <c r="C3769" s="104" t="s">
        <v>183</v>
      </c>
      <c r="D3769" s="129" t="s">
        <v>18082</v>
      </c>
    </row>
    <row r="3770" spans="1:4">
      <c r="A3770" s="105">
        <v>89515</v>
      </c>
      <c r="B3770" s="104" t="s">
        <v>3840</v>
      </c>
      <c r="C3770" s="104" t="s">
        <v>183</v>
      </c>
      <c r="D3770" s="129" t="s">
        <v>18083</v>
      </c>
    </row>
    <row r="3771" spans="1:4">
      <c r="A3771" s="105">
        <v>89516</v>
      </c>
      <c r="B3771" s="104" t="s">
        <v>3841</v>
      </c>
      <c r="C3771" s="104" t="s">
        <v>183</v>
      </c>
      <c r="D3771" s="129" t="s">
        <v>18084</v>
      </c>
    </row>
    <row r="3772" spans="1:4">
      <c r="A3772" s="105">
        <v>89517</v>
      </c>
      <c r="B3772" s="104" t="s">
        <v>3842</v>
      </c>
      <c r="C3772" s="104" t="s">
        <v>183</v>
      </c>
      <c r="D3772" s="129" t="s">
        <v>18085</v>
      </c>
    </row>
    <row r="3773" spans="1:4">
      <c r="A3773" s="105">
        <v>89518</v>
      </c>
      <c r="B3773" s="104" t="s">
        <v>3843</v>
      </c>
      <c r="C3773" s="104" t="s">
        <v>183</v>
      </c>
      <c r="D3773" s="129" t="s">
        <v>15634</v>
      </c>
    </row>
    <row r="3774" spans="1:4">
      <c r="A3774" s="105">
        <v>89519</v>
      </c>
      <c r="B3774" s="104" t="s">
        <v>3844</v>
      </c>
      <c r="C3774" s="104" t="s">
        <v>183</v>
      </c>
      <c r="D3774" s="129" t="s">
        <v>18086</v>
      </c>
    </row>
    <row r="3775" spans="1:4">
      <c r="A3775" s="105">
        <v>89520</v>
      </c>
      <c r="B3775" s="104" t="s">
        <v>3845</v>
      </c>
      <c r="C3775" s="104" t="s">
        <v>183</v>
      </c>
      <c r="D3775" s="129" t="s">
        <v>18087</v>
      </c>
    </row>
    <row r="3776" spans="1:4">
      <c r="A3776" s="105">
        <v>89521</v>
      </c>
      <c r="B3776" s="104" t="s">
        <v>3846</v>
      </c>
      <c r="C3776" s="104" t="s">
        <v>183</v>
      </c>
      <c r="D3776" s="129" t="s">
        <v>16048</v>
      </c>
    </row>
    <row r="3777" spans="1:4">
      <c r="A3777" s="105">
        <v>89522</v>
      </c>
      <c r="B3777" s="104" t="s">
        <v>3847</v>
      </c>
      <c r="C3777" s="104" t="s">
        <v>183</v>
      </c>
      <c r="D3777" s="129" t="s">
        <v>18088</v>
      </c>
    </row>
    <row r="3778" spans="1:4">
      <c r="A3778" s="105">
        <v>89523</v>
      </c>
      <c r="B3778" s="104" t="s">
        <v>3848</v>
      </c>
      <c r="C3778" s="104" t="s">
        <v>183</v>
      </c>
      <c r="D3778" s="129" t="s">
        <v>18089</v>
      </c>
    </row>
    <row r="3779" spans="1:4">
      <c r="A3779" s="105">
        <v>89524</v>
      </c>
      <c r="B3779" s="104" t="s">
        <v>3849</v>
      </c>
      <c r="C3779" s="104" t="s">
        <v>183</v>
      </c>
      <c r="D3779" s="129" t="s">
        <v>15029</v>
      </c>
    </row>
    <row r="3780" spans="1:4">
      <c r="A3780" s="105">
        <v>89525</v>
      </c>
      <c r="B3780" s="104" t="s">
        <v>3850</v>
      </c>
      <c r="C3780" s="104" t="s">
        <v>183</v>
      </c>
      <c r="D3780" s="129" t="s">
        <v>18090</v>
      </c>
    </row>
    <row r="3781" spans="1:4">
      <c r="A3781" s="105">
        <v>89526</v>
      </c>
      <c r="B3781" s="104" t="s">
        <v>3851</v>
      </c>
      <c r="C3781" s="104" t="s">
        <v>183</v>
      </c>
      <c r="D3781" s="129" t="s">
        <v>18091</v>
      </c>
    </row>
    <row r="3782" spans="1:4">
      <c r="A3782" s="105">
        <v>89527</v>
      </c>
      <c r="B3782" s="104" t="s">
        <v>3852</v>
      </c>
      <c r="C3782" s="104" t="s">
        <v>183</v>
      </c>
      <c r="D3782" s="129" t="s">
        <v>18092</v>
      </c>
    </row>
    <row r="3783" spans="1:4">
      <c r="A3783" s="105">
        <v>89528</v>
      </c>
      <c r="B3783" s="104" t="s">
        <v>3853</v>
      </c>
      <c r="C3783" s="104" t="s">
        <v>183</v>
      </c>
      <c r="D3783" s="129" t="s">
        <v>15489</v>
      </c>
    </row>
    <row r="3784" spans="1:4">
      <c r="A3784" s="105">
        <v>89529</v>
      </c>
      <c r="B3784" s="104" t="s">
        <v>3854</v>
      </c>
      <c r="C3784" s="104" t="s">
        <v>183</v>
      </c>
      <c r="D3784" s="129" t="s">
        <v>18093</v>
      </c>
    </row>
    <row r="3785" spans="1:4">
      <c r="A3785" s="105">
        <v>89530</v>
      </c>
      <c r="B3785" s="104" t="s">
        <v>3855</v>
      </c>
      <c r="C3785" s="104" t="s">
        <v>183</v>
      </c>
      <c r="D3785" s="129" t="s">
        <v>16897</v>
      </c>
    </row>
    <row r="3786" spans="1:4">
      <c r="A3786" s="105">
        <v>89531</v>
      </c>
      <c r="B3786" s="104" t="s">
        <v>3856</v>
      </c>
      <c r="C3786" s="104" t="s">
        <v>183</v>
      </c>
      <c r="D3786" s="129" t="s">
        <v>18094</v>
      </c>
    </row>
    <row r="3787" spans="1:4">
      <c r="A3787" s="105">
        <v>89532</v>
      </c>
      <c r="B3787" s="104" t="s">
        <v>3857</v>
      </c>
      <c r="C3787" s="104" t="s">
        <v>183</v>
      </c>
      <c r="D3787" s="129" t="s">
        <v>18095</v>
      </c>
    </row>
    <row r="3788" spans="1:4">
      <c r="A3788" s="105">
        <v>89533</v>
      </c>
      <c r="B3788" s="104" t="s">
        <v>3858</v>
      </c>
      <c r="C3788" s="104" t="s">
        <v>183</v>
      </c>
      <c r="D3788" s="129" t="s">
        <v>18094</v>
      </c>
    </row>
    <row r="3789" spans="1:4">
      <c r="A3789" s="105">
        <v>89534</v>
      </c>
      <c r="B3789" s="104" t="s">
        <v>3859</v>
      </c>
      <c r="C3789" s="104" t="s">
        <v>183</v>
      </c>
      <c r="D3789" s="129" t="s">
        <v>15606</v>
      </c>
    </row>
    <row r="3790" spans="1:4">
      <c r="A3790" s="105">
        <v>89535</v>
      </c>
      <c r="B3790" s="104" t="s">
        <v>3860</v>
      </c>
      <c r="C3790" s="104" t="s">
        <v>183</v>
      </c>
      <c r="D3790" s="129" t="s">
        <v>18096</v>
      </c>
    </row>
    <row r="3791" spans="1:4">
      <c r="A3791" s="105">
        <v>89536</v>
      </c>
      <c r="B3791" s="104" t="s">
        <v>3861</v>
      </c>
      <c r="C3791" s="104" t="s">
        <v>183</v>
      </c>
      <c r="D3791" s="129" t="s">
        <v>18097</v>
      </c>
    </row>
    <row r="3792" spans="1:4">
      <c r="A3792" s="105">
        <v>89538</v>
      </c>
      <c r="B3792" s="104" t="s">
        <v>3862</v>
      </c>
      <c r="C3792" s="104" t="s">
        <v>183</v>
      </c>
      <c r="D3792" s="129" t="s">
        <v>18098</v>
      </c>
    </row>
    <row r="3793" spans="1:4">
      <c r="A3793" s="105">
        <v>89539</v>
      </c>
      <c r="B3793" s="104" t="s">
        <v>3863</v>
      </c>
      <c r="C3793" s="104" t="s">
        <v>183</v>
      </c>
      <c r="D3793" s="129" t="s">
        <v>18099</v>
      </c>
    </row>
    <row r="3794" spans="1:4">
      <c r="A3794" s="105">
        <v>89540</v>
      </c>
      <c r="B3794" s="104" t="s">
        <v>3864</v>
      </c>
      <c r="C3794" s="104" t="s">
        <v>183</v>
      </c>
      <c r="D3794" s="129" t="s">
        <v>18100</v>
      </c>
    </row>
    <row r="3795" spans="1:4">
      <c r="A3795" s="105">
        <v>89541</v>
      </c>
      <c r="B3795" s="104" t="s">
        <v>3865</v>
      </c>
      <c r="C3795" s="104" t="s">
        <v>183</v>
      </c>
      <c r="D3795" s="129" t="s">
        <v>15756</v>
      </c>
    </row>
    <row r="3796" spans="1:4">
      <c r="A3796" s="105">
        <v>89542</v>
      </c>
      <c r="B3796" s="104" t="s">
        <v>3866</v>
      </c>
      <c r="C3796" s="104" t="s">
        <v>183</v>
      </c>
      <c r="D3796" s="129" t="s">
        <v>18101</v>
      </c>
    </row>
    <row r="3797" spans="1:4">
      <c r="A3797" s="105">
        <v>89544</v>
      </c>
      <c r="B3797" s="104" t="s">
        <v>3867</v>
      </c>
      <c r="C3797" s="104" t="s">
        <v>183</v>
      </c>
      <c r="D3797" s="129" t="s">
        <v>15220</v>
      </c>
    </row>
    <row r="3798" spans="1:4">
      <c r="A3798" s="105">
        <v>89545</v>
      </c>
      <c r="B3798" s="104" t="s">
        <v>3868</v>
      </c>
      <c r="C3798" s="104" t="s">
        <v>183</v>
      </c>
      <c r="D3798" s="129" t="s">
        <v>18102</v>
      </c>
    </row>
    <row r="3799" spans="1:4">
      <c r="A3799" s="105">
        <v>89546</v>
      </c>
      <c r="B3799" s="104" t="s">
        <v>3869</v>
      </c>
      <c r="C3799" s="104" t="s">
        <v>183</v>
      </c>
      <c r="D3799" s="129" t="s">
        <v>15651</v>
      </c>
    </row>
    <row r="3800" spans="1:4">
      <c r="A3800" s="105">
        <v>89547</v>
      </c>
      <c r="B3800" s="104" t="s">
        <v>3870</v>
      </c>
      <c r="C3800" s="104" t="s">
        <v>183</v>
      </c>
      <c r="D3800" s="129" t="s">
        <v>18103</v>
      </c>
    </row>
    <row r="3801" spans="1:4">
      <c r="A3801" s="105">
        <v>89548</v>
      </c>
      <c r="B3801" s="104" t="s">
        <v>3871</v>
      </c>
      <c r="C3801" s="104" t="s">
        <v>183</v>
      </c>
      <c r="D3801" s="129" t="s">
        <v>18104</v>
      </c>
    </row>
    <row r="3802" spans="1:4">
      <c r="A3802" s="105">
        <v>89549</v>
      </c>
      <c r="B3802" s="104" t="s">
        <v>3872</v>
      </c>
      <c r="C3802" s="104" t="s">
        <v>183</v>
      </c>
      <c r="D3802" s="129" t="s">
        <v>18105</v>
      </c>
    </row>
    <row r="3803" spans="1:4">
      <c r="A3803" s="105">
        <v>89550</v>
      </c>
      <c r="B3803" s="104" t="s">
        <v>3873</v>
      </c>
      <c r="C3803" s="104" t="s">
        <v>183</v>
      </c>
      <c r="D3803" s="129" t="s">
        <v>18106</v>
      </c>
    </row>
    <row r="3804" spans="1:4">
      <c r="A3804" s="105">
        <v>89551</v>
      </c>
      <c r="B3804" s="104" t="s">
        <v>3874</v>
      </c>
      <c r="C3804" s="104" t="s">
        <v>183</v>
      </c>
      <c r="D3804" s="129" t="s">
        <v>18107</v>
      </c>
    </row>
    <row r="3805" spans="1:4">
      <c r="A3805" s="105">
        <v>89552</v>
      </c>
      <c r="B3805" s="104" t="s">
        <v>3875</v>
      </c>
      <c r="C3805" s="104" t="s">
        <v>183</v>
      </c>
      <c r="D3805" s="129" t="s">
        <v>18108</v>
      </c>
    </row>
    <row r="3806" spans="1:4">
      <c r="A3806" s="105">
        <v>89553</v>
      </c>
      <c r="B3806" s="104" t="s">
        <v>3876</v>
      </c>
      <c r="C3806" s="104" t="s">
        <v>183</v>
      </c>
      <c r="D3806" s="129" t="s">
        <v>18109</v>
      </c>
    </row>
    <row r="3807" spans="1:4">
      <c r="A3807" s="105">
        <v>89554</v>
      </c>
      <c r="B3807" s="104" t="s">
        <v>3877</v>
      </c>
      <c r="C3807" s="104" t="s">
        <v>183</v>
      </c>
      <c r="D3807" s="129" t="s">
        <v>18110</v>
      </c>
    </row>
    <row r="3808" spans="1:4">
      <c r="A3808" s="105">
        <v>89555</v>
      </c>
      <c r="B3808" s="104" t="s">
        <v>3878</v>
      </c>
      <c r="C3808" s="104" t="s">
        <v>183</v>
      </c>
      <c r="D3808" s="129" t="s">
        <v>18111</v>
      </c>
    </row>
    <row r="3809" spans="1:4">
      <c r="A3809" s="105">
        <v>89556</v>
      </c>
      <c r="B3809" s="104" t="s">
        <v>3879</v>
      </c>
      <c r="C3809" s="104" t="s">
        <v>183</v>
      </c>
      <c r="D3809" s="129" t="s">
        <v>17909</v>
      </c>
    </row>
    <row r="3810" spans="1:4">
      <c r="A3810" s="105">
        <v>89557</v>
      </c>
      <c r="B3810" s="104" t="s">
        <v>3880</v>
      </c>
      <c r="C3810" s="104" t="s">
        <v>183</v>
      </c>
      <c r="D3810" s="129" t="s">
        <v>18112</v>
      </c>
    </row>
    <row r="3811" spans="1:4">
      <c r="A3811" s="105">
        <v>89558</v>
      </c>
      <c r="B3811" s="104" t="s">
        <v>3881</v>
      </c>
      <c r="C3811" s="104" t="s">
        <v>183</v>
      </c>
      <c r="D3811" s="129" t="s">
        <v>17213</v>
      </c>
    </row>
    <row r="3812" spans="1:4">
      <c r="A3812" s="105">
        <v>89559</v>
      </c>
      <c r="B3812" s="104" t="s">
        <v>3882</v>
      </c>
      <c r="C3812" s="104" t="s">
        <v>183</v>
      </c>
      <c r="D3812" s="129" t="s">
        <v>18113</v>
      </c>
    </row>
    <row r="3813" spans="1:4">
      <c r="A3813" s="105">
        <v>89561</v>
      </c>
      <c r="B3813" s="104" t="s">
        <v>3883</v>
      </c>
      <c r="C3813" s="104" t="s">
        <v>183</v>
      </c>
      <c r="D3813" s="129" t="s">
        <v>18114</v>
      </c>
    </row>
    <row r="3814" spans="1:4">
      <c r="A3814" s="105">
        <v>89562</v>
      </c>
      <c r="B3814" s="104" t="s">
        <v>3884</v>
      </c>
      <c r="C3814" s="104" t="s">
        <v>183</v>
      </c>
      <c r="D3814" s="129" t="s">
        <v>18115</v>
      </c>
    </row>
    <row r="3815" spans="1:4">
      <c r="A3815" s="105">
        <v>89563</v>
      </c>
      <c r="B3815" s="104" t="s">
        <v>3885</v>
      </c>
      <c r="C3815" s="104" t="s">
        <v>183</v>
      </c>
      <c r="D3815" s="129" t="s">
        <v>18116</v>
      </c>
    </row>
    <row r="3816" spans="1:4">
      <c r="A3816" s="105">
        <v>89564</v>
      </c>
      <c r="B3816" s="104" t="s">
        <v>3886</v>
      </c>
      <c r="C3816" s="104" t="s">
        <v>183</v>
      </c>
      <c r="D3816" s="129" t="s">
        <v>17995</v>
      </c>
    </row>
    <row r="3817" spans="1:4">
      <c r="A3817" s="105">
        <v>89565</v>
      </c>
      <c r="B3817" s="104" t="s">
        <v>3887</v>
      </c>
      <c r="C3817" s="104" t="s">
        <v>183</v>
      </c>
      <c r="D3817" s="129" t="s">
        <v>18117</v>
      </c>
    </row>
    <row r="3818" spans="1:4">
      <c r="A3818" s="105">
        <v>89566</v>
      </c>
      <c r="B3818" s="104" t="s">
        <v>3888</v>
      </c>
      <c r="C3818" s="104" t="s">
        <v>183</v>
      </c>
      <c r="D3818" s="129" t="s">
        <v>18118</v>
      </c>
    </row>
    <row r="3819" spans="1:4">
      <c r="A3819" s="105">
        <v>89567</v>
      </c>
      <c r="B3819" s="104" t="s">
        <v>3889</v>
      </c>
      <c r="C3819" s="104" t="s">
        <v>183</v>
      </c>
      <c r="D3819" s="129" t="s">
        <v>18119</v>
      </c>
    </row>
    <row r="3820" spans="1:4">
      <c r="A3820" s="105">
        <v>89568</v>
      </c>
      <c r="B3820" s="104" t="s">
        <v>3890</v>
      </c>
      <c r="C3820" s="104" t="s">
        <v>183</v>
      </c>
      <c r="D3820" s="129" t="s">
        <v>18120</v>
      </c>
    </row>
    <row r="3821" spans="1:4">
      <c r="A3821" s="105">
        <v>89569</v>
      </c>
      <c r="B3821" s="104" t="s">
        <v>3891</v>
      </c>
      <c r="C3821" s="104" t="s">
        <v>183</v>
      </c>
      <c r="D3821" s="129" t="s">
        <v>18121</v>
      </c>
    </row>
    <row r="3822" spans="1:4">
      <c r="A3822" s="105">
        <v>89570</v>
      </c>
      <c r="B3822" s="104" t="s">
        <v>3892</v>
      </c>
      <c r="C3822" s="104" t="s">
        <v>183</v>
      </c>
      <c r="D3822" s="129" t="s">
        <v>15660</v>
      </c>
    </row>
    <row r="3823" spans="1:4">
      <c r="A3823" s="105">
        <v>89571</v>
      </c>
      <c r="B3823" s="104" t="s">
        <v>3893</v>
      </c>
      <c r="C3823" s="104" t="s">
        <v>183</v>
      </c>
      <c r="D3823" s="129" t="s">
        <v>18122</v>
      </c>
    </row>
    <row r="3824" spans="1:4">
      <c r="A3824" s="105">
        <v>89572</v>
      </c>
      <c r="B3824" s="104" t="s">
        <v>3894</v>
      </c>
      <c r="C3824" s="104" t="s">
        <v>183</v>
      </c>
      <c r="D3824" s="129" t="s">
        <v>18123</v>
      </c>
    </row>
    <row r="3825" spans="1:4">
      <c r="A3825" s="105">
        <v>89573</v>
      </c>
      <c r="B3825" s="104" t="s">
        <v>3895</v>
      </c>
      <c r="C3825" s="104" t="s">
        <v>183</v>
      </c>
      <c r="D3825" s="129" t="s">
        <v>18124</v>
      </c>
    </row>
    <row r="3826" spans="1:4">
      <c r="A3826" s="105">
        <v>89574</v>
      </c>
      <c r="B3826" s="104" t="s">
        <v>3896</v>
      </c>
      <c r="C3826" s="104" t="s">
        <v>183</v>
      </c>
      <c r="D3826" s="129" t="s">
        <v>18125</v>
      </c>
    </row>
    <row r="3827" spans="1:4">
      <c r="A3827" s="105">
        <v>89575</v>
      </c>
      <c r="B3827" s="104" t="s">
        <v>3897</v>
      </c>
      <c r="C3827" s="104" t="s">
        <v>183</v>
      </c>
      <c r="D3827" s="129" t="s">
        <v>18045</v>
      </c>
    </row>
    <row r="3828" spans="1:4">
      <c r="A3828" s="105">
        <v>89577</v>
      </c>
      <c r="B3828" s="104" t="s">
        <v>3898</v>
      </c>
      <c r="C3828" s="104" t="s">
        <v>183</v>
      </c>
      <c r="D3828" s="129" t="s">
        <v>18126</v>
      </c>
    </row>
    <row r="3829" spans="1:4">
      <c r="A3829" s="105">
        <v>89579</v>
      </c>
      <c r="B3829" s="104" t="s">
        <v>3899</v>
      </c>
      <c r="C3829" s="104" t="s">
        <v>183</v>
      </c>
      <c r="D3829" s="129" t="s">
        <v>18127</v>
      </c>
    </row>
    <row r="3830" spans="1:4">
      <c r="A3830" s="105">
        <v>89581</v>
      </c>
      <c r="B3830" s="104" t="s">
        <v>3900</v>
      </c>
      <c r="C3830" s="104" t="s">
        <v>183</v>
      </c>
      <c r="D3830" s="129" t="s">
        <v>18128</v>
      </c>
    </row>
    <row r="3831" spans="1:4">
      <c r="A3831" s="105">
        <v>89582</v>
      </c>
      <c r="B3831" s="104" t="s">
        <v>3901</v>
      </c>
      <c r="C3831" s="104" t="s">
        <v>183</v>
      </c>
      <c r="D3831" s="129" t="s">
        <v>17302</v>
      </c>
    </row>
    <row r="3832" spans="1:4">
      <c r="A3832" s="105">
        <v>89583</v>
      </c>
      <c r="B3832" s="104" t="s">
        <v>3902</v>
      </c>
      <c r="C3832" s="104" t="s">
        <v>183</v>
      </c>
      <c r="D3832" s="129" t="s">
        <v>18129</v>
      </c>
    </row>
    <row r="3833" spans="1:4">
      <c r="A3833" s="105">
        <v>89584</v>
      </c>
      <c r="B3833" s="104" t="s">
        <v>3903</v>
      </c>
      <c r="C3833" s="104" t="s">
        <v>183</v>
      </c>
      <c r="D3833" s="129" t="s">
        <v>18130</v>
      </c>
    </row>
    <row r="3834" spans="1:4">
      <c r="A3834" s="105">
        <v>89585</v>
      </c>
      <c r="B3834" s="104" t="s">
        <v>3904</v>
      </c>
      <c r="C3834" s="104" t="s">
        <v>183</v>
      </c>
      <c r="D3834" s="129" t="s">
        <v>18131</v>
      </c>
    </row>
    <row r="3835" spans="1:4">
      <c r="A3835" s="105">
        <v>89586</v>
      </c>
      <c r="B3835" s="104" t="s">
        <v>3905</v>
      </c>
      <c r="C3835" s="104" t="s">
        <v>183</v>
      </c>
      <c r="D3835" s="129" t="s">
        <v>18131</v>
      </c>
    </row>
    <row r="3836" spans="1:4">
      <c r="A3836" s="105">
        <v>89587</v>
      </c>
      <c r="B3836" s="104" t="s">
        <v>3906</v>
      </c>
      <c r="C3836" s="104" t="s">
        <v>183</v>
      </c>
      <c r="D3836" s="129" t="s">
        <v>18132</v>
      </c>
    </row>
    <row r="3837" spans="1:4">
      <c r="A3837" s="105">
        <v>89589</v>
      </c>
      <c r="B3837" s="104" t="s">
        <v>3907</v>
      </c>
      <c r="C3837" s="104" t="s">
        <v>183</v>
      </c>
      <c r="D3837" s="129" t="s">
        <v>15259</v>
      </c>
    </row>
    <row r="3838" spans="1:4">
      <c r="A3838" s="105">
        <v>89590</v>
      </c>
      <c r="B3838" s="104" t="s">
        <v>3908</v>
      </c>
      <c r="C3838" s="104" t="s">
        <v>183</v>
      </c>
      <c r="D3838" s="129" t="s">
        <v>18133</v>
      </c>
    </row>
    <row r="3839" spans="1:4">
      <c r="A3839" s="105">
        <v>89591</v>
      </c>
      <c r="B3839" s="104" t="s">
        <v>3909</v>
      </c>
      <c r="C3839" s="104" t="s">
        <v>183</v>
      </c>
      <c r="D3839" s="129" t="s">
        <v>16056</v>
      </c>
    </row>
    <row r="3840" spans="1:4">
      <c r="A3840" s="105">
        <v>89592</v>
      </c>
      <c r="B3840" s="104" t="s">
        <v>3910</v>
      </c>
      <c r="C3840" s="104" t="s">
        <v>183</v>
      </c>
      <c r="D3840" s="129" t="s">
        <v>18134</v>
      </c>
    </row>
    <row r="3841" spans="1:4">
      <c r="A3841" s="105">
        <v>89593</v>
      </c>
      <c r="B3841" s="104" t="s">
        <v>3911</v>
      </c>
      <c r="C3841" s="104" t="s">
        <v>183</v>
      </c>
      <c r="D3841" s="129" t="s">
        <v>18135</v>
      </c>
    </row>
    <row r="3842" spans="1:4">
      <c r="A3842" s="105">
        <v>89594</v>
      </c>
      <c r="B3842" s="104" t="s">
        <v>3912</v>
      </c>
      <c r="C3842" s="104" t="s">
        <v>183</v>
      </c>
      <c r="D3842" s="129" t="s">
        <v>18136</v>
      </c>
    </row>
    <row r="3843" spans="1:4">
      <c r="A3843" s="105">
        <v>89595</v>
      </c>
      <c r="B3843" s="104" t="s">
        <v>3913</v>
      </c>
      <c r="C3843" s="104" t="s">
        <v>183</v>
      </c>
      <c r="D3843" s="129" t="s">
        <v>18137</v>
      </c>
    </row>
    <row r="3844" spans="1:4">
      <c r="A3844" s="105">
        <v>89596</v>
      </c>
      <c r="B3844" s="104" t="s">
        <v>3914</v>
      </c>
      <c r="C3844" s="104" t="s">
        <v>183</v>
      </c>
      <c r="D3844" s="129" t="s">
        <v>17186</v>
      </c>
    </row>
    <row r="3845" spans="1:4">
      <c r="A3845" s="105">
        <v>89597</v>
      </c>
      <c r="B3845" s="104" t="s">
        <v>3915</v>
      </c>
      <c r="C3845" s="104" t="s">
        <v>183</v>
      </c>
      <c r="D3845" s="129" t="s">
        <v>18138</v>
      </c>
    </row>
    <row r="3846" spans="1:4">
      <c r="A3846" s="105">
        <v>89598</v>
      </c>
      <c r="B3846" s="104" t="s">
        <v>3916</v>
      </c>
      <c r="C3846" s="104" t="s">
        <v>183</v>
      </c>
      <c r="D3846" s="129" t="s">
        <v>18139</v>
      </c>
    </row>
    <row r="3847" spans="1:4">
      <c r="A3847" s="105">
        <v>89599</v>
      </c>
      <c r="B3847" s="104" t="s">
        <v>3917</v>
      </c>
      <c r="C3847" s="104" t="s">
        <v>183</v>
      </c>
      <c r="D3847" s="129" t="s">
        <v>18140</v>
      </c>
    </row>
    <row r="3848" spans="1:4">
      <c r="A3848" s="105">
        <v>89600</v>
      </c>
      <c r="B3848" s="104" t="s">
        <v>3918</v>
      </c>
      <c r="C3848" s="104" t="s">
        <v>183</v>
      </c>
      <c r="D3848" s="129" t="s">
        <v>16399</v>
      </c>
    </row>
    <row r="3849" spans="1:4">
      <c r="A3849" s="105">
        <v>89605</v>
      </c>
      <c r="B3849" s="104" t="s">
        <v>3919</v>
      </c>
      <c r="C3849" s="104" t="s">
        <v>183</v>
      </c>
      <c r="D3849" s="129" t="s">
        <v>15808</v>
      </c>
    </row>
    <row r="3850" spans="1:4">
      <c r="A3850" s="105">
        <v>89609</v>
      </c>
      <c r="B3850" s="104" t="s">
        <v>3920</v>
      </c>
      <c r="C3850" s="104" t="s">
        <v>183</v>
      </c>
      <c r="D3850" s="129" t="s">
        <v>18141</v>
      </c>
    </row>
    <row r="3851" spans="1:4">
      <c r="A3851" s="105">
        <v>89610</v>
      </c>
      <c r="B3851" s="104" t="s">
        <v>3921</v>
      </c>
      <c r="C3851" s="104" t="s">
        <v>183</v>
      </c>
      <c r="D3851" s="129" t="s">
        <v>17142</v>
      </c>
    </row>
    <row r="3852" spans="1:4">
      <c r="A3852" s="105">
        <v>89611</v>
      </c>
      <c r="B3852" s="104" t="s">
        <v>3922</v>
      </c>
      <c r="C3852" s="104" t="s">
        <v>183</v>
      </c>
      <c r="D3852" s="129" t="s">
        <v>18142</v>
      </c>
    </row>
    <row r="3853" spans="1:4">
      <c r="A3853" s="105">
        <v>89612</v>
      </c>
      <c r="B3853" s="104" t="s">
        <v>3923</v>
      </c>
      <c r="C3853" s="104" t="s">
        <v>183</v>
      </c>
      <c r="D3853" s="129" t="s">
        <v>18143</v>
      </c>
    </row>
    <row r="3854" spans="1:4">
      <c r="A3854" s="105">
        <v>89613</v>
      </c>
      <c r="B3854" s="104" t="s">
        <v>3924</v>
      </c>
      <c r="C3854" s="104" t="s">
        <v>183</v>
      </c>
      <c r="D3854" s="129" t="s">
        <v>18144</v>
      </c>
    </row>
    <row r="3855" spans="1:4">
      <c r="A3855" s="105">
        <v>89614</v>
      </c>
      <c r="B3855" s="104" t="s">
        <v>3925</v>
      </c>
      <c r="C3855" s="104" t="s">
        <v>183</v>
      </c>
      <c r="D3855" s="129" t="s">
        <v>18145</v>
      </c>
    </row>
    <row r="3856" spans="1:4">
      <c r="A3856" s="105">
        <v>89615</v>
      </c>
      <c r="B3856" s="104" t="s">
        <v>3926</v>
      </c>
      <c r="C3856" s="104" t="s">
        <v>183</v>
      </c>
      <c r="D3856" s="129" t="s">
        <v>18146</v>
      </c>
    </row>
    <row r="3857" spans="1:4">
      <c r="A3857" s="105">
        <v>89616</v>
      </c>
      <c r="B3857" s="104" t="s">
        <v>3927</v>
      </c>
      <c r="C3857" s="104" t="s">
        <v>183</v>
      </c>
      <c r="D3857" s="129" t="s">
        <v>18147</v>
      </c>
    </row>
    <row r="3858" spans="1:4">
      <c r="A3858" s="105">
        <v>89617</v>
      </c>
      <c r="B3858" s="104" t="s">
        <v>3928</v>
      </c>
      <c r="C3858" s="104" t="s">
        <v>183</v>
      </c>
      <c r="D3858" s="129" t="s">
        <v>18148</v>
      </c>
    </row>
    <row r="3859" spans="1:4">
      <c r="A3859" s="105">
        <v>89618</v>
      </c>
      <c r="B3859" s="104" t="s">
        <v>3929</v>
      </c>
      <c r="C3859" s="104" t="s">
        <v>183</v>
      </c>
      <c r="D3859" s="129" t="s">
        <v>18149</v>
      </c>
    </row>
    <row r="3860" spans="1:4">
      <c r="A3860" s="105">
        <v>89619</v>
      </c>
      <c r="B3860" s="104" t="s">
        <v>3930</v>
      </c>
      <c r="C3860" s="104" t="s">
        <v>183</v>
      </c>
      <c r="D3860" s="129" t="s">
        <v>18150</v>
      </c>
    </row>
    <row r="3861" spans="1:4">
      <c r="A3861" s="105">
        <v>89620</v>
      </c>
      <c r="B3861" s="104" t="s">
        <v>3931</v>
      </c>
      <c r="C3861" s="104" t="s">
        <v>183</v>
      </c>
      <c r="D3861" s="129" t="s">
        <v>18151</v>
      </c>
    </row>
    <row r="3862" spans="1:4">
      <c r="A3862" s="105">
        <v>89621</v>
      </c>
      <c r="B3862" s="104" t="s">
        <v>3932</v>
      </c>
      <c r="C3862" s="104" t="s">
        <v>183</v>
      </c>
      <c r="D3862" s="129" t="s">
        <v>18152</v>
      </c>
    </row>
    <row r="3863" spans="1:4">
      <c r="A3863" s="105">
        <v>89622</v>
      </c>
      <c r="B3863" s="104" t="s">
        <v>3933</v>
      </c>
      <c r="C3863" s="104" t="s">
        <v>183</v>
      </c>
      <c r="D3863" s="129" t="s">
        <v>18153</v>
      </c>
    </row>
    <row r="3864" spans="1:4">
      <c r="A3864" s="105">
        <v>89623</v>
      </c>
      <c r="B3864" s="104" t="s">
        <v>3934</v>
      </c>
      <c r="C3864" s="104" t="s">
        <v>183</v>
      </c>
      <c r="D3864" s="129" t="s">
        <v>16913</v>
      </c>
    </row>
    <row r="3865" spans="1:4">
      <c r="A3865" s="105">
        <v>89624</v>
      </c>
      <c r="B3865" s="104" t="s">
        <v>3935</v>
      </c>
      <c r="C3865" s="104" t="s">
        <v>183</v>
      </c>
      <c r="D3865" s="129" t="s">
        <v>14804</v>
      </c>
    </row>
    <row r="3866" spans="1:4">
      <c r="A3866" s="105">
        <v>89625</v>
      </c>
      <c r="B3866" s="104" t="s">
        <v>3936</v>
      </c>
      <c r="C3866" s="104" t="s">
        <v>183</v>
      </c>
      <c r="D3866" s="129" t="s">
        <v>18154</v>
      </c>
    </row>
    <row r="3867" spans="1:4">
      <c r="A3867" s="105">
        <v>89626</v>
      </c>
      <c r="B3867" s="104" t="s">
        <v>3937</v>
      </c>
      <c r="C3867" s="104" t="s">
        <v>183</v>
      </c>
      <c r="D3867" s="129" t="s">
        <v>18155</v>
      </c>
    </row>
    <row r="3868" spans="1:4">
      <c r="A3868" s="105">
        <v>89627</v>
      </c>
      <c r="B3868" s="104" t="s">
        <v>3938</v>
      </c>
      <c r="C3868" s="104" t="s">
        <v>183</v>
      </c>
      <c r="D3868" s="129" t="s">
        <v>17153</v>
      </c>
    </row>
    <row r="3869" spans="1:4">
      <c r="A3869" s="105">
        <v>89628</v>
      </c>
      <c r="B3869" s="104" t="s">
        <v>3939</v>
      </c>
      <c r="C3869" s="104" t="s">
        <v>183</v>
      </c>
      <c r="D3869" s="129" t="s">
        <v>18156</v>
      </c>
    </row>
    <row r="3870" spans="1:4">
      <c r="A3870" s="105">
        <v>89629</v>
      </c>
      <c r="B3870" s="104" t="s">
        <v>3940</v>
      </c>
      <c r="C3870" s="104" t="s">
        <v>183</v>
      </c>
      <c r="D3870" s="129" t="s">
        <v>18157</v>
      </c>
    </row>
    <row r="3871" spans="1:4">
      <c r="A3871" s="105">
        <v>89630</v>
      </c>
      <c r="B3871" s="104" t="s">
        <v>3941</v>
      </c>
      <c r="C3871" s="104" t="s">
        <v>183</v>
      </c>
      <c r="D3871" s="129" t="s">
        <v>18158</v>
      </c>
    </row>
    <row r="3872" spans="1:4">
      <c r="A3872" s="105">
        <v>89631</v>
      </c>
      <c r="B3872" s="104" t="s">
        <v>3942</v>
      </c>
      <c r="C3872" s="104" t="s">
        <v>183</v>
      </c>
      <c r="D3872" s="129" t="s">
        <v>18159</v>
      </c>
    </row>
    <row r="3873" spans="1:4">
      <c r="A3873" s="105">
        <v>89632</v>
      </c>
      <c r="B3873" s="104" t="s">
        <v>3943</v>
      </c>
      <c r="C3873" s="104" t="s">
        <v>183</v>
      </c>
      <c r="D3873" s="129" t="s">
        <v>18160</v>
      </c>
    </row>
    <row r="3874" spans="1:4">
      <c r="A3874" s="105">
        <v>89637</v>
      </c>
      <c r="B3874" s="104" t="s">
        <v>3944</v>
      </c>
      <c r="C3874" s="104" t="s">
        <v>183</v>
      </c>
      <c r="D3874" s="129" t="s">
        <v>15170</v>
      </c>
    </row>
    <row r="3875" spans="1:4">
      <c r="A3875" s="105">
        <v>89638</v>
      </c>
      <c r="B3875" s="104" t="s">
        <v>3945</v>
      </c>
      <c r="C3875" s="104" t="s">
        <v>183</v>
      </c>
      <c r="D3875" s="129" t="s">
        <v>15008</v>
      </c>
    </row>
    <row r="3876" spans="1:4">
      <c r="A3876" s="105">
        <v>89639</v>
      </c>
      <c r="B3876" s="104" t="s">
        <v>3946</v>
      </c>
      <c r="C3876" s="104" t="s">
        <v>183</v>
      </c>
      <c r="D3876" s="129" t="s">
        <v>17565</v>
      </c>
    </row>
    <row r="3877" spans="1:4">
      <c r="A3877" s="105">
        <v>89640</v>
      </c>
      <c r="B3877" s="104" t="s">
        <v>3947</v>
      </c>
      <c r="C3877" s="104" t="s">
        <v>183</v>
      </c>
      <c r="D3877" s="129" t="s">
        <v>18161</v>
      </c>
    </row>
    <row r="3878" spans="1:4">
      <c r="A3878" s="105">
        <v>89641</v>
      </c>
      <c r="B3878" s="104" t="s">
        <v>3948</v>
      </c>
      <c r="C3878" s="104" t="s">
        <v>183</v>
      </c>
      <c r="D3878" s="129" t="s">
        <v>15360</v>
      </c>
    </row>
    <row r="3879" spans="1:4">
      <c r="A3879" s="105">
        <v>89642</v>
      </c>
      <c r="B3879" s="104" t="s">
        <v>3949</v>
      </c>
      <c r="C3879" s="104" t="s">
        <v>183</v>
      </c>
      <c r="D3879" s="129" t="s">
        <v>18162</v>
      </c>
    </row>
    <row r="3880" spans="1:4">
      <c r="A3880" s="105">
        <v>89643</v>
      </c>
      <c r="B3880" s="104" t="s">
        <v>3950</v>
      </c>
      <c r="C3880" s="104" t="s">
        <v>183</v>
      </c>
      <c r="D3880" s="129" t="s">
        <v>18163</v>
      </c>
    </row>
    <row r="3881" spans="1:4">
      <c r="A3881" s="105">
        <v>89644</v>
      </c>
      <c r="B3881" s="104" t="s">
        <v>3951</v>
      </c>
      <c r="C3881" s="104" t="s">
        <v>183</v>
      </c>
      <c r="D3881" s="129" t="s">
        <v>18164</v>
      </c>
    </row>
    <row r="3882" spans="1:4">
      <c r="A3882" s="105">
        <v>89645</v>
      </c>
      <c r="B3882" s="104" t="s">
        <v>3952</v>
      </c>
      <c r="C3882" s="104" t="s">
        <v>183</v>
      </c>
      <c r="D3882" s="129" t="s">
        <v>18165</v>
      </c>
    </row>
    <row r="3883" spans="1:4">
      <c r="A3883" s="105">
        <v>89646</v>
      </c>
      <c r="B3883" s="104" t="s">
        <v>3953</v>
      </c>
      <c r="C3883" s="104" t="s">
        <v>183</v>
      </c>
      <c r="D3883" s="129" t="s">
        <v>18166</v>
      </c>
    </row>
    <row r="3884" spans="1:4">
      <c r="A3884" s="105">
        <v>89647</v>
      </c>
      <c r="B3884" s="104" t="s">
        <v>3954</v>
      </c>
      <c r="C3884" s="104" t="s">
        <v>183</v>
      </c>
      <c r="D3884" s="129" t="s">
        <v>18167</v>
      </c>
    </row>
    <row r="3885" spans="1:4">
      <c r="A3885" s="105">
        <v>89648</v>
      </c>
      <c r="B3885" s="104" t="s">
        <v>3955</v>
      </c>
      <c r="C3885" s="104" t="s">
        <v>183</v>
      </c>
      <c r="D3885" s="129" t="s">
        <v>16082</v>
      </c>
    </row>
    <row r="3886" spans="1:4">
      <c r="A3886" s="105">
        <v>89649</v>
      </c>
      <c r="B3886" s="104" t="s">
        <v>3956</v>
      </c>
      <c r="C3886" s="104" t="s">
        <v>183</v>
      </c>
      <c r="D3886" s="129" t="s">
        <v>18168</v>
      </c>
    </row>
    <row r="3887" spans="1:4">
      <c r="A3887" s="105">
        <v>89650</v>
      </c>
      <c r="B3887" s="104" t="s">
        <v>3957</v>
      </c>
      <c r="C3887" s="104" t="s">
        <v>183</v>
      </c>
      <c r="D3887" s="129" t="s">
        <v>18168</v>
      </c>
    </row>
    <row r="3888" spans="1:4">
      <c r="A3888" s="105">
        <v>89651</v>
      </c>
      <c r="B3888" s="104" t="s">
        <v>3958</v>
      </c>
      <c r="C3888" s="104" t="s">
        <v>183</v>
      </c>
      <c r="D3888" s="129" t="s">
        <v>16492</v>
      </c>
    </row>
    <row r="3889" spans="1:4">
      <c r="A3889" s="105">
        <v>89652</v>
      </c>
      <c r="B3889" s="104" t="s">
        <v>3959</v>
      </c>
      <c r="C3889" s="104" t="s">
        <v>183</v>
      </c>
      <c r="D3889" s="129" t="s">
        <v>18169</v>
      </c>
    </row>
    <row r="3890" spans="1:4">
      <c r="A3890" s="105">
        <v>89653</v>
      </c>
      <c r="B3890" s="104" t="s">
        <v>3960</v>
      </c>
      <c r="C3890" s="104" t="s">
        <v>183</v>
      </c>
      <c r="D3890" s="129" t="s">
        <v>18170</v>
      </c>
    </row>
    <row r="3891" spans="1:4">
      <c r="A3891" s="105">
        <v>89654</v>
      </c>
      <c r="B3891" s="104" t="s">
        <v>3961</v>
      </c>
      <c r="C3891" s="104" t="s">
        <v>183</v>
      </c>
      <c r="D3891" s="129" t="s">
        <v>18171</v>
      </c>
    </row>
    <row r="3892" spans="1:4">
      <c r="A3892" s="105">
        <v>89655</v>
      </c>
      <c r="B3892" s="104" t="s">
        <v>3962</v>
      </c>
      <c r="C3892" s="104" t="s">
        <v>183</v>
      </c>
      <c r="D3892" s="129" t="s">
        <v>18172</v>
      </c>
    </row>
    <row r="3893" spans="1:4">
      <c r="A3893" s="105">
        <v>89656</v>
      </c>
      <c r="B3893" s="104" t="s">
        <v>3963</v>
      </c>
      <c r="C3893" s="104" t="s">
        <v>183</v>
      </c>
      <c r="D3893" s="129" t="s">
        <v>18173</v>
      </c>
    </row>
    <row r="3894" spans="1:4">
      <c r="A3894" s="105">
        <v>89657</v>
      </c>
      <c r="B3894" s="104" t="s">
        <v>3964</v>
      </c>
      <c r="C3894" s="104" t="s">
        <v>183</v>
      </c>
      <c r="D3894" s="129" t="s">
        <v>16322</v>
      </c>
    </row>
    <row r="3895" spans="1:4">
      <c r="A3895" s="105">
        <v>89658</v>
      </c>
      <c r="B3895" s="104" t="s">
        <v>3965</v>
      </c>
      <c r="C3895" s="104" t="s">
        <v>183</v>
      </c>
      <c r="D3895" s="129" t="s">
        <v>18174</v>
      </c>
    </row>
    <row r="3896" spans="1:4">
      <c r="A3896" s="105">
        <v>89659</v>
      </c>
      <c r="B3896" s="104" t="s">
        <v>3966</v>
      </c>
      <c r="C3896" s="104" t="s">
        <v>183</v>
      </c>
      <c r="D3896" s="129" t="s">
        <v>18175</v>
      </c>
    </row>
    <row r="3897" spans="1:4">
      <c r="A3897" s="105">
        <v>89660</v>
      </c>
      <c r="B3897" s="104" t="s">
        <v>3967</v>
      </c>
      <c r="C3897" s="104" t="s">
        <v>183</v>
      </c>
      <c r="D3897" s="129" t="s">
        <v>18176</v>
      </c>
    </row>
    <row r="3898" spans="1:4">
      <c r="A3898" s="105">
        <v>89661</v>
      </c>
      <c r="B3898" s="104" t="s">
        <v>3968</v>
      </c>
      <c r="C3898" s="104" t="s">
        <v>183</v>
      </c>
      <c r="D3898" s="129" t="s">
        <v>16665</v>
      </c>
    </row>
    <row r="3899" spans="1:4">
      <c r="A3899" s="105">
        <v>89662</v>
      </c>
      <c r="B3899" s="104" t="s">
        <v>3969</v>
      </c>
      <c r="C3899" s="104" t="s">
        <v>183</v>
      </c>
      <c r="D3899" s="129" t="s">
        <v>18177</v>
      </c>
    </row>
    <row r="3900" spans="1:4">
      <c r="A3900" s="105">
        <v>89663</v>
      </c>
      <c r="B3900" s="104" t="s">
        <v>3970</v>
      </c>
      <c r="C3900" s="104" t="s">
        <v>183</v>
      </c>
      <c r="D3900" s="129" t="s">
        <v>18178</v>
      </c>
    </row>
    <row r="3901" spans="1:4">
      <c r="A3901" s="105">
        <v>89664</v>
      </c>
      <c r="B3901" s="104" t="s">
        <v>3971</v>
      </c>
      <c r="C3901" s="104" t="s">
        <v>183</v>
      </c>
      <c r="D3901" s="129" t="s">
        <v>18175</v>
      </c>
    </row>
    <row r="3902" spans="1:4">
      <c r="A3902" s="105">
        <v>89665</v>
      </c>
      <c r="B3902" s="104" t="s">
        <v>3972</v>
      </c>
      <c r="C3902" s="104" t="s">
        <v>183</v>
      </c>
      <c r="D3902" s="129" t="s">
        <v>15223</v>
      </c>
    </row>
    <row r="3903" spans="1:4">
      <c r="A3903" s="105">
        <v>89666</v>
      </c>
      <c r="B3903" s="104" t="s">
        <v>3973</v>
      </c>
      <c r="C3903" s="104" t="s">
        <v>183</v>
      </c>
      <c r="D3903" s="129" t="s">
        <v>18179</v>
      </c>
    </row>
    <row r="3904" spans="1:4">
      <c r="A3904" s="105">
        <v>89667</v>
      </c>
      <c r="B3904" s="104" t="s">
        <v>3974</v>
      </c>
      <c r="C3904" s="104" t="s">
        <v>183</v>
      </c>
      <c r="D3904" s="129" t="s">
        <v>18180</v>
      </c>
    </row>
    <row r="3905" spans="1:4">
      <c r="A3905" s="105">
        <v>89668</v>
      </c>
      <c r="B3905" s="104" t="s">
        <v>3975</v>
      </c>
      <c r="C3905" s="104" t="s">
        <v>183</v>
      </c>
      <c r="D3905" s="129" t="s">
        <v>18181</v>
      </c>
    </row>
    <row r="3906" spans="1:4">
      <c r="A3906" s="105">
        <v>89669</v>
      </c>
      <c r="B3906" s="104" t="s">
        <v>3976</v>
      </c>
      <c r="C3906" s="104" t="s">
        <v>183</v>
      </c>
      <c r="D3906" s="129" t="s">
        <v>17438</v>
      </c>
    </row>
    <row r="3907" spans="1:4">
      <c r="A3907" s="105">
        <v>89670</v>
      </c>
      <c r="B3907" s="104" t="s">
        <v>3977</v>
      </c>
      <c r="C3907" s="104" t="s">
        <v>183</v>
      </c>
      <c r="D3907" s="129" t="s">
        <v>18182</v>
      </c>
    </row>
    <row r="3908" spans="1:4">
      <c r="A3908" s="105">
        <v>89671</v>
      </c>
      <c r="B3908" s="104" t="s">
        <v>3978</v>
      </c>
      <c r="C3908" s="104" t="s">
        <v>183</v>
      </c>
      <c r="D3908" s="129" t="s">
        <v>18183</v>
      </c>
    </row>
    <row r="3909" spans="1:4">
      <c r="A3909" s="105">
        <v>89672</v>
      </c>
      <c r="B3909" s="104" t="s">
        <v>3979</v>
      </c>
      <c r="C3909" s="104" t="s">
        <v>183</v>
      </c>
      <c r="D3909" s="129" t="s">
        <v>18184</v>
      </c>
    </row>
    <row r="3910" spans="1:4">
      <c r="A3910" s="105">
        <v>89673</v>
      </c>
      <c r="B3910" s="104" t="s">
        <v>3980</v>
      </c>
      <c r="C3910" s="104" t="s">
        <v>183</v>
      </c>
      <c r="D3910" s="129" t="s">
        <v>18185</v>
      </c>
    </row>
    <row r="3911" spans="1:4">
      <c r="A3911" s="105">
        <v>89674</v>
      </c>
      <c r="B3911" s="104" t="s">
        <v>3981</v>
      </c>
      <c r="C3911" s="104" t="s">
        <v>183</v>
      </c>
      <c r="D3911" s="129" t="s">
        <v>18186</v>
      </c>
    </row>
    <row r="3912" spans="1:4">
      <c r="A3912" s="105">
        <v>89675</v>
      </c>
      <c r="B3912" s="104" t="s">
        <v>3982</v>
      </c>
      <c r="C3912" s="104" t="s">
        <v>183</v>
      </c>
      <c r="D3912" s="129" t="s">
        <v>18187</v>
      </c>
    </row>
    <row r="3913" spans="1:4">
      <c r="A3913" s="105">
        <v>89676</v>
      </c>
      <c r="B3913" s="104" t="s">
        <v>3983</v>
      </c>
      <c r="C3913" s="104" t="s">
        <v>183</v>
      </c>
      <c r="D3913" s="129" t="s">
        <v>17880</v>
      </c>
    </row>
    <row r="3914" spans="1:4">
      <c r="A3914" s="105">
        <v>89677</v>
      </c>
      <c r="B3914" s="104" t="s">
        <v>3984</v>
      </c>
      <c r="C3914" s="104" t="s">
        <v>183</v>
      </c>
      <c r="D3914" s="129" t="s">
        <v>18188</v>
      </c>
    </row>
    <row r="3915" spans="1:4">
      <c r="A3915" s="105">
        <v>89678</v>
      </c>
      <c r="B3915" s="104" t="s">
        <v>3985</v>
      </c>
      <c r="C3915" s="104" t="s">
        <v>183</v>
      </c>
      <c r="D3915" s="129" t="s">
        <v>18189</v>
      </c>
    </row>
    <row r="3916" spans="1:4">
      <c r="A3916" s="105">
        <v>89679</v>
      </c>
      <c r="B3916" s="104" t="s">
        <v>3986</v>
      </c>
      <c r="C3916" s="104" t="s">
        <v>183</v>
      </c>
      <c r="D3916" s="129" t="s">
        <v>18190</v>
      </c>
    </row>
    <row r="3917" spans="1:4">
      <c r="A3917" s="105">
        <v>89680</v>
      </c>
      <c r="B3917" s="104" t="s">
        <v>3987</v>
      </c>
      <c r="C3917" s="104" t="s">
        <v>183</v>
      </c>
      <c r="D3917" s="129" t="s">
        <v>18191</v>
      </c>
    </row>
    <row r="3918" spans="1:4">
      <c r="A3918" s="105">
        <v>89681</v>
      </c>
      <c r="B3918" s="104" t="s">
        <v>3988</v>
      </c>
      <c r="C3918" s="104" t="s">
        <v>183</v>
      </c>
      <c r="D3918" s="129" t="s">
        <v>18192</v>
      </c>
    </row>
    <row r="3919" spans="1:4">
      <c r="A3919" s="105">
        <v>89682</v>
      </c>
      <c r="B3919" s="104" t="s">
        <v>3989</v>
      </c>
      <c r="C3919" s="104" t="s">
        <v>183</v>
      </c>
      <c r="D3919" s="129" t="s">
        <v>18193</v>
      </c>
    </row>
    <row r="3920" spans="1:4">
      <c r="A3920" s="105">
        <v>89683</v>
      </c>
      <c r="B3920" s="104" t="s">
        <v>3990</v>
      </c>
      <c r="C3920" s="104" t="s">
        <v>183</v>
      </c>
      <c r="D3920" s="129" t="s">
        <v>18194</v>
      </c>
    </row>
    <row r="3921" spans="1:4">
      <c r="A3921" s="105">
        <v>89684</v>
      </c>
      <c r="B3921" s="104" t="s">
        <v>3991</v>
      </c>
      <c r="C3921" s="104" t="s">
        <v>183</v>
      </c>
      <c r="D3921" s="129" t="s">
        <v>17099</v>
      </c>
    </row>
    <row r="3922" spans="1:4">
      <c r="A3922" s="105">
        <v>89685</v>
      </c>
      <c r="B3922" s="104" t="s">
        <v>3992</v>
      </c>
      <c r="C3922" s="104" t="s">
        <v>183</v>
      </c>
      <c r="D3922" s="129" t="s">
        <v>18195</v>
      </c>
    </row>
    <row r="3923" spans="1:4">
      <c r="A3923" s="105">
        <v>89686</v>
      </c>
      <c r="B3923" s="104" t="s">
        <v>3993</v>
      </c>
      <c r="C3923" s="104" t="s">
        <v>183</v>
      </c>
      <c r="D3923" s="129" t="s">
        <v>18196</v>
      </c>
    </row>
    <row r="3924" spans="1:4">
      <c r="A3924" s="105">
        <v>89687</v>
      </c>
      <c r="B3924" s="104" t="s">
        <v>3994</v>
      </c>
      <c r="C3924" s="104" t="s">
        <v>183</v>
      </c>
      <c r="D3924" s="129" t="s">
        <v>18197</v>
      </c>
    </row>
    <row r="3925" spans="1:4">
      <c r="A3925" s="105">
        <v>89689</v>
      </c>
      <c r="B3925" s="104" t="s">
        <v>3995</v>
      </c>
      <c r="C3925" s="104" t="s">
        <v>183</v>
      </c>
      <c r="D3925" s="129" t="s">
        <v>18198</v>
      </c>
    </row>
    <row r="3926" spans="1:4">
      <c r="A3926" s="105">
        <v>89690</v>
      </c>
      <c r="B3926" s="104" t="s">
        <v>3996</v>
      </c>
      <c r="C3926" s="104" t="s">
        <v>183</v>
      </c>
      <c r="D3926" s="129" t="s">
        <v>18199</v>
      </c>
    </row>
    <row r="3927" spans="1:4">
      <c r="A3927" s="105">
        <v>89691</v>
      </c>
      <c r="B3927" s="104" t="s">
        <v>3997</v>
      </c>
      <c r="C3927" s="104" t="s">
        <v>183</v>
      </c>
      <c r="D3927" s="129" t="s">
        <v>18200</v>
      </c>
    </row>
    <row r="3928" spans="1:4">
      <c r="A3928" s="105">
        <v>89692</v>
      </c>
      <c r="B3928" s="104" t="s">
        <v>3998</v>
      </c>
      <c r="C3928" s="104" t="s">
        <v>183</v>
      </c>
      <c r="D3928" s="129" t="s">
        <v>18201</v>
      </c>
    </row>
    <row r="3929" spans="1:4">
      <c r="A3929" s="105">
        <v>89693</v>
      </c>
      <c r="B3929" s="104" t="s">
        <v>3999</v>
      </c>
      <c r="C3929" s="104" t="s">
        <v>183</v>
      </c>
      <c r="D3929" s="129" t="s">
        <v>18202</v>
      </c>
    </row>
    <row r="3930" spans="1:4">
      <c r="A3930" s="105">
        <v>89694</v>
      </c>
      <c r="B3930" s="104" t="s">
        <v>4000</v>
      </c>
      <c r="C3930" s="104" t="s">
        <v>183</v>
      </c>
      <c r="D3930" s="129" t="s">
        <v>18203</v>
      </c>
    </row>
    <row r="3931" spans="1:4">
      <c r="A3931" s="105">
        <v>89695</v>
      </c>
      <c r="B3931" s="104" t="s">
        <v>4001</v>
      </c>
      <c r="C3931" s="104" t="s">
        <v>183</v>
      </c>
      <c r="D3931" s="129" t="s">
        <v>18204</v>
      </c>
    </row>
    <row r="3932" spans="1:4">
      <c r="A3932" s="105">
        <v>89696</v>
      </c>
      <c r="B3932" s="104" t="s">
        <v>4002</v>
      </c>
      <c r="C3932" s="104" t="s">
        <v>183</v>
      </c>
      <c r="D3932" s="129" t="s">
        <v>18205</v>
      </c>
    </row>
    <row r="3933" spans="1:4">
      <c r="A3933" s="105">
        <v>89697</v>
      </c>
      <c r="B3933" s="104" t="s">
        <v>4003</v>
      </c>
      <c r="C3933" s="104" t="s">
        <v>183</v>
      </c>
      <c r="D3933" s="129" t="s">
        <v>18022</v>
      </c>
    </row>
    <row r="3934" spans="1:4">
      <c r="A3934" s="105">
        <v>89698</v>
      </c>
      <c r="B3934" s="104" t="s">
        <v>4004</v>
      </c>
      <c r="C3934" s="104" t="s">
        <v>183</v>
      </c>
      <c r="D3934" s="129" t="s">
        <v>18206</v>
      </c>
    </row>
    <row r="3935" spans="1:4">
      <c r="A3935" s="105">
        <v>89699</v>
      </c>
      <c r="B3935" s="104" t="s">
        <v>4005</v>
      </c>
      <c r="C3935" s="104" t="s">
        <v>183</v>
      </c>
      <c r="D3935" s="129" t="s">
        <v>18207</v>
      </c>
    </row>
    <row r="3936" spans="1:4">
      <c r="A3936" s="105">
        <v>89700</v>
      </c>
      <c r="B3936" s="104" t="s">
        <v>4006</v>
      </c>
      <c r="C3936" s="104" t="s">
        <v>183</v>
      </c>
      <c r="D3936" s="129" t="s">
        <v>18208</v>
      </c>
    </row>
    <row r="3937" spans="1:4">
      <c r="A3937" s="105">
        <v>89701</v>
      </c>
      <c r="B3937" s="104" t="s">
        <v>4007</v>
      </c>
      <c r="C3937" s="104" t="s">
        <v>183</v>
      </c>
      <c r="D3937" s="129" t="s">
        <v>18209</v>
      </c>
    </row>
    <row r="3938" spans="1:4">
      <c r="A3938" s="105">
        <v>89702</v>
      </c>
      <c r="B3938" s="104" t="s">
        <v>4008</v>
      </c>
      <c r="C3938" s="104" t="s">
        <v>183</v>
      </c>
      <c r="D3938" s="129" t="s">
        <v>18208</v>
      </c>
    </row>
    <row r="3939" spans="1:4">
      <c r="A3939" s="105">
        <v>89703</v>
      </c>
      <c r="B3939" s="104" t="s">
        <v>4009</v>
      </c>
      <c r="C3939" s="104" t="s">
        <v>183</v>
      </c>
      <c r="D3939" s="129" t="s">
        <v>18210</v>
      </c>
    </row>
    <row r="3940" spans="1:4">
      <c r="A3940" s="105">
        <v>89704</v>
      </c>
      <c r="B3940" s="104" t="s">
        <v>4010</v>
      </c>
      <c r="C3940" s="104" t="s">
        <v>183</v>
      </c>
      <c r="D3940" s="129" t="s">
        <v>18211</v>
      </c>
    </row>
    <row r="3941" spans="1:4">
      <c r="A3941" s="105">
        <v>89705</v>
      </c>
      <c r="B3941" s="104" t="s">
        <v>4011</v>
      </c>
      <c r="C3941" s="104" t="s">
        <v>183</v>
      </c>
      <c r="D3941" s="129" t="s">
        <v>18212</v>
      </c>
    </row>
    <row r="3942" spans="1:4">
      <c r="A3942" s="105">
        <v>89706</v>
      </c>
      <c r="B3942" s="104" t="s">
        <v>4012</v>
      </c>
      <c r="C3942" s="104" t="s">
        <v>183</v>
      </c>
      <c r="D3942" s="129" t="s">
        <v>17495</v>
      </c>
    </row>
    <row r="3943" spans="1:4">
      <c r="A3943" s="105">
        <v>89718</v>
      </c>
      <c r="B3943" s="104" t="s">
        <v>4013</v>
      </c>
      <c r="C3943" s="104" t="s">
        <v>40</v>
      </c>
      <c r="D3943" s="129" t="s">
        <v>18213</v>
      </c>
    </row>
    <row r="3944" spans="1:4">
      <c r="A3944" s="105">
        <v>89719</v>
      </c>
      <c r="B3944" s="104" t="s">
        <v>4014</v>
      </c>
      <c r="C3944" s="104" t="s">
        <v>183</v>
      </c>
      <c r="D3944" s="129" t="s">
        <v>18214</v>
      </c>
    </row>
    <row r="3945" spans="1:4">
      <c r="A3945" s="105">
        <v>89720</v>
      </c>
      <c r="B3945" s="104" t="s">
        <v>4015</v>
      </c>
      <c r="C3945" s="104" t="s">
        <v>183</v>
      </c>
      <c r="D3945" s="129" t="s">
        <v>15168</v>
      </c>
    </row>
    <row r="3946" spans="1:4">
      <c r="A3946" s="105">
        <v>89721</v>
      </c>
      <c r="B3946" s="104" t="s">
        <v>4016</v>
      </c>
      <c r="C3946" s="104" t="s">
        <v>183</v>
      </c>
      <c r="D3946" s="129" t="s">
        <v>18215</v>
      </c>
    </row>
    <row r="3947" spans="1:4">
      <c r="A3947" s="105">
        <v>89722</v>
      </c>
      <c r="B3947" s="104" t="s">
        <v>4017</v>
      </c>
      <c r="C3947" s="104" t="s">
        <v>183</v>
      </c>
      <c r="D3947" s="129" t="s">
        <v>17252</v>
      </c>
    </row>
    <row r="3948" spans="1:4">
      <c r="A3948" s="105">
        <v>89723</v>
      </c>
      <c r="B3948" s="104" t="s">
        <v>4018</v>
      </c>
      <c r="C3948" s="104" t="s">
        <v>183</v>
      </c>
      <c r="D3948" s="129" t="s">
        <v>18216</v>
      </c>
    </row>
    <row r="3949" spans="1:4">
      <c r="A3949" s="105">
        <v>89724</v>
      </c>
      <c r="B3949" s="104" t="s">
        <v>4019</v>
      </c>
      <c r="C3949" s="104" t="s">
        <v>183</v>
      </c>
      <c r="D3949" s="129" t="s">
        <v>17235</v>
      </c>
    </row>
    <row r="3950" spans="1:4">
      <c r="A3950" s="105">
        <v>89725</v>
      </c>
      <c r="B3950" s="104" t="s">
        <v>4020</v>
      </c>
      <c r="C3950" s="104" t="s">
        <v>183</v>
      </c>
      <c r="D3950" s="129" t="s">
        <v>18217</v>
      </c>
    </row>
    <row r="3951" spans="1:4">
      <c r="A3951" s="105">
        <v>89726</v>
      </c>
      <c r="B3951" s="104" t="s">
        <v>4021</v>
      </c>
      <c r="C3951" s="104" t="s">
        <v>183</v>
      </c>
      <c r="D3951" s="129" t="s">
        <v>18218</v>
      </c>
    </row>
    <row r="3952" spans="1:4">
      <c r="A3952" s="105">
        <v>89727</v>
      </c>
      <c r="B3952" s="104" t="s">
        <v>4022</v>
      </c>
      <c r="C3952" s="104" t="s">
        <v>183</v>
      </c>
      <c r="D3952" s="129" t="s">
        <v>18219</v>
      </c>
    </row>
    <row r="3953" spans="1:4">
      <c r="A3953" s="105">
        <v>89728</v>
      </c>
      <c r="B3953" s="104" t="s">
        <v>4023</v>
      </c>
      <c r="C3953" s="104" t="s">
        <v>183</v>
      </c>
      <c r="D3953" s="129" t="s">
        <v>16903</v>
      </c>
    </row>
    <row r="3954" spans="1:4">
      <c r="A3954" s="105">
        <v>89729</v>
      </c>
      <c r="B3954" s="104" t="s">
        <v>4024</v>
      </c>
      <c r="C3954" s="104" t="s">
        <v>183</v>
      </c>
      <c r="D3954" s="129" t="s">
        <v>18220</v>
      </c>
    </row>
    <row r="3955" spans="1:4">
      <c r="A3955" s="105">
        <v>89730</v>
      </c>
      <c r="B3955" s="104" t="s">
        <v>4025</v>
      </c>
      <c r="C3955" s="104" t="s">
        <v>183</v>
      </c>
      <c r="D3955" s="129" t="s">
        <v>18221</v>
      </c>
    </row>
    <row r="3956" spans="1:4">
      <c r="A3956" s="105">
        <v>89731</v>
      </c>
      <c r="B3956" s="104" t="s">
        <v>172</v>
      </c>
      <c r="C3956" s="104" t="s">
        <v>183</v>
      </c>
      <c r="D3956" s="129" t="s">
        <v>15694</v>
      </c>
    </row>
    <row r="3957" spans="1:4">
      <c r="A3957" s="105">
        <v>89732</v>
      </c>
      <c r="B3957" s="104" t="s">
        <v>173</v>
      </c>
      <c r="C3957" s="104" t="s">
        <v>183</v>
      </c>
      <c r="D3957" s="129" t="s">
        <v>18072</v>
      </c>
    </row>
    <row r="3958" spans="1:4">
      <c r="A3958" s="105">
        <v>89733</v>
      </c>
      <c r="B3958" s="104" t="s">
        <v>4026</v>
      </c>
      <c r="C3958" s="104" t="s">
        <v>183</v>
      </c>
      <c r="D3958" s="129" t="s">
        <v>18222</v>
      </c>
    </row>
    <row r="3959" spans="1:4">
      <c r="A3959" s="105">
        <v>89734</v>
      </c>
      <c r="B3959" s="104" t="s">
        <v>4027</v>
      </c>
      <c r="C3959" s="104" t="s">
        <v>183</v>
      </c>
      <c r="D3959" s="129" t="s">
        <v>18220</v>
      </c>
    </row>
    <row r="3960" spans="1:4">
      <c r="A3960" s="105">
        <v>89735</v>
      </c>
      <c r="B3960" s="104" t="s">
        <v>4028</v>
      </c>
      <c r="C3960" s="104" t="s">
        <v>183</v>
      </c>
      <c r="D3960" s="129" t="s">
        <v>18223</v>
      </c>
    </row>
    <row r="3961" spans="1:4">
      <c r="A3961" s="105">
        <v>89736</v>
      </c>
      <c r="B3961" s="104" t="s">
        <v>4029</v>
      </c>
      <c r="C3961" s="104" t="s">
        <v>183</v>
      </c>
      <c r="D3961" s="129" t="s">
        <v>18224</v>
      </c>
    </row>
    <row r="3962" spans="1:4">
      <c r="A3962" s="105">
        <v>89737</v>
      </c>
      <c r="B3962" s="104" t="s">
        <v>4030</v>
      </c>
      <c r="C3962" s="104" t="s">
        <v>183</v>
      </c>
      <c r="D3962" s="129" t="s">
        <v>15893</v>
      </c>
    </row>
    <row r="3963" spans="1:4">
      <c r="A3963" s="105">
        <v>89738</v>
      </c>
      <c r="B3963" s="104" t="s">
        <v>4031</v>
      </c>
      <c r="C3963" s="104" t="s">
        <v>183</v>
      </c>
      <c r="D3963" s="129" t="s">
        <v>18225</v>
      </c>
    </row>
    <row r="3964" spans="1:4">
      <c r="A3964" s="105">
        <v>89739</v>
      </c>
      <c r="B3964" s="104" t="s">
        <v>4032</v>
      </c>
      <c r="C3964" s="104" t="s">
        <v>183</v>
      </c>
      <c r="D3964" s="129" t="s">
        <v>18226</v>
      </c>
    </row>
    <row r="3965" spans="1:4">
      <c r="A3965" s="105">
        <v>89740</v>
      </c>
      <c r="B3965" s="104" t="s">
        <v>4033</v>
      </c>
      <c r="C3965" s="104" t="s">
        <v>183</v>
      </c>
      <c r="D3965" s="129" t="s">
        <v>18227</v>
      </c>
    </row>
    <row r="3966" spans="1:4">
      <c r="A3966" s="105">
        <v>89741</v>
      </c>
      <c r="B3966" s="104" t="s">
        <v>4034</v>
      </c>
      <c r="C3966" s="104" t="s">
        <v>183</v>
      </c>
      <c r="D3966" s="129" t="s">
        <v>18228</v>
      </c>
    </row>
    <row r="3967" spans="1:4">
      <c r="A3967" s="105">
        <v>89742</v>
      </c>
      <c r="B3967" s="104" t="s">
        <v>4035</v>
      </c>
      <c r="C3967" s="104" t="s">
        <v>183</v>
      </c>
      <c r="D3967" s="129" t="s">
        <v>18229</v>
      </c>
    </row>
    <row r="3968" spans="1:4">
      <c r="A3968" s="105">
        <v>89743</v>
      </c>
      <c r="B3968" s="104" t="s">
        <v>4036</v>
      </c>
      <c r="C3968" s="104" t="s">
        <v>183</v>
      </c>
      <c r="D3968" s="129" t="s">
        <v>18230</v>
      </c>
    </row>
    <row r="3969" spans="1:4">
      <c r="A3969" s="105">
        <v>89744</v>
      </c>
      <c r="B3969" s="104" t="s">
        <v>174</v>
      </c>
      <c r="C3969" s="104" t="s">
        <v>183</v>
      </c>
      <c r="D3969" s="129" t="s">
        <v>18231</v>
      </c>
    </row>
    <row r="3970" spans="1:4">
      <c r="A3970" s="105">
        <v>89745</v>
      </c>
      <c r="B3970" s="104" t="s">
        <v>4037</v>
      </c>
      <c r="C3970" s="104" t="s">
        <v>183</v>
      </c>
      <c r="D3970" s="129" t="s">
        <v>14993</v>
      </c>
    </row>
    <row r="3971" spans="1:4">
      <c r="A3971" s="105">
        <v>89746</v>
      </c>
      <c r="B3971" s="104" t="s">
        <v>175</v>
      </c>
      <c r="C3971" s="104" t="s">
        <v>183</v>
      </c>
      <c r="D3971" s="129" t="s">
        <v>18232</v>
      </c>
    </row>
    <row r="3972" spans="1:4">
      <c r="A3972" s="105">
        <v>89747</v>
      </c>
      <c r="B3972" s="104" t="s">
        <v>4038</v>
      </c>
      <c r="C3972" s="104" t="s">
        <v>183</v>
      </c>
      <c r="D3972" s="129" t="s">
        <v>18114</v>
      </c>
    </row>
    <row r="3973" spans="1:4">
      <c r="A3973" s="105">
        <v>89748</v>
      </c>
      <c r="B3973" s="104" t="s">
        <v>4039</v>
      </c>
      <c r="C3973" s="104" t="s">
        <v>183</v>
      </c>
      <c r="D3973" s="129" t="s">
        <v>18233</v>
      </c>
    </row>
    <row r="3974" spans="1:4">
      <c r="A3974" s="105">
        <v>89749</v>
      </c>
      <c r="B3974" s="104" t="s">
        <v>4040</v>
      </c>
      <c r="C3974" s="104" t="s">
        <v>183</v>
      </c>
      <c r="D3974" s="129" t="s">
        <v>18225</v>
      </c>
    </row>
    <row r="3975" spans="1:4">
      <c r="A3975" s="105">
        <v>89750</v>
      </c>
      <c r="B3975" s="104" t="s">
        <v>4041</v>
      </c>
      <c r="C3975" s="104" t="s">
        <v>183</v>
      </c>
      <c r="D3975" s="129" t="s">
        <v>17806</v>
      </c>
    </row>
    <row r="3976" spans="1:4">
      <c r="A3976" s="105">
        <v>89751</v>
      </c>
      <c r="B3976" s="104" t="s">
        <v>4042</v>
      </c>
      <c r="C3976" s="104" t="s">
        <v>183</v>
      </c>
      <c r="D3976" s="129" t="s">
        <v>18234</v>
      </c>
    </row>
    <row r="3977" spans="1:4">
      <c r="A3977" s="105">
        <v>89752</v>
      </c>
      <c r="B3977" s="104" t="s">
        <v>4043</v>
      </c>
      <c r="C3977" s="104" t="s">
        <v>183</v>
      </c>
      <c r="D3977" s="129" t="s">
        <v>18235</v>
      </c>
    </row>
    <row r="3978" spans="1:4">
      <c r="A3978" s="105">
        <v>89753</v>
      </c>
      <c r="B3978" s="104" t="s">
        <v>4044</v>
      </c>
      <c r="C3978" s="104" t="s">
        <v>183</v>
      </c>
      <c r="D3978" s="129" t="s">
        <v>18236</v>
      </c>
    </row>
    <row r="3979" spans="1:4">
      <c r="A3979" s="105">
        <v>89754</v>
      </c>
      <c r="B3979" s="104" t="s">
        <v>4045</v>
      </c>
      <c r="C3979" s="104" t="s">
        <v>183</v>
      </c>
      <c r="D3979" s="129" t="s">
        <v>14936</v>
      </c>
    </row>
    <row r="3980" spans="1:4">
      <c r="A3980" s="105">
        <v>89755</v>
      </c>
      <c r="B3980" s="104" t="s">
        <v>4046</v>
      </c>
      <c r="C3980" s="104" t="s">
        <v>183</v>
      </c>
      <c r="D3980" s="129" t="s">
        <v>18237</v>
      </c>
    </row>
    <row r="3981" spans="1:4">
      <c r="A3981" s="105">
        <v>89756</v>
      </c>
      <c r="B3981" s="104" t="s">
        <v>4047</v>
      </c>
      <c r="C3981" s="104" t="s">
        <v>183</v>
      </c>
      <c r="D3981" s="129" t="s">
        <v>18238</v>
      </c>
    </row>
    <row r="3982" spans="1:4">
      <c r="A3982" s="105">
        <v>89757</v>
      </c>
      <c r="B3982" s="104" t="s">
        <v>4048</v>
      </c>
      <c r="C3982" s="104" t="s">
        <v>183</v>
      </c>
      <c r="D3982" s="129" t="s">
        <v>18239</v>
      </c>
    </row>
    <row r="3983" spans="1:4">
      <c r="A3983" s="105">
        <v>89758</v>
      </c>
      <c r="B3983" s="104" t="s">
        <v>4049</v>
      </c>
      <c r="C3983" s="104" t="s">
        <v>183</v>
      </c>
      <c r="D3983" s="129" t="s">
        <v>18240</v>
      </c>
    </row>
    <row r="3984" spans="1:4">
      <c r="A3984" s="105">
        <v>89759</v>
      </c>
      <c r="B3984" s="104" t="s">
        <v>4050</v>
      </c>
      <c r="C3984" s="104" t="s">
        <v>183</v>
      </c>
      <c r="D3984" s="129" t="s">
        <v>18176</v>
      </c>
    </row>
    <row r="3985" spans="1:4">
      <c r="A3985" s="105">
        <v>89760</v>
      </c>
      <c r="B3985" s="104" t="s">
        <v>4051</v>
      </c>
      <c r="C3985" s="104" t="s">
        <v>183</v>
      </c>
      <c r="D3985" s="129" t="s">
        <v>18241</v>
      </c>
    </row>
    <row r="3986" spans="1:4">
      <c r="A3986" s="105">
        <v>89761</v>
      </c>
      <c r="B3986" s="104" t="s">
        <v>4052</v>
      </c>
      <c r="C3986" s="104" t="s">
        <v>183</v>
      </c>
      <c r="D3986" s="129" t="s">
        <v>18242</v>
      </c>
    </row>
    <row r="3987" spans="1:4">
      <c r="A3987" s="105">
        <v>89762</v>
      </c>
      <c r="B3987" s="104" t="s">
        <v>4053</v>
      </c>
      <c r="C3987" s="104" t="s">
        <v>183</v>
      </c>
      <c r="D3987" s="129" t="s">
        <v>18243</v>
      </c>
    </row>
    <row r="3988" spans="1:4">
      <c r="A3988" s="105">
        <v>89763</v>
      </c>
      <c r="B3988" s="104" t="s">
        <v>4054</v>
      </c>
      <c r="C3988" s="104" t="s">
        <v>183</v>
      </c>
      <c r="D3988" s="129" t="s">
        <v>18244</v>
      </c>
    </row>
    <row r="3989" spans="1:4">
      <c r="A3989" s="105">
        <v>89764</v>
      </c>
      <c r="B3989" s="104" t="s">
        <v>4055</v>
      </c>
      <c r="C3989" s="104" t="s">
        <v>183</v>
      </c>
      <c r="D3989" s="129" t="s">
        <v>14910</v>
      </c>
    </row>
    <row r="3990" spans="1:4">
      <c r="A3990" s="105">
        <v>89765</v>
      </c>
      <c r="B3990" s="104" t="s">
        <v>4056</v>
      </c>
      <c r="C3990" s="104" t="s">
        <v>183</v>
      </c>
      <c r="D3990" s="129" t="s">
        <v>15026</v>
      </c>
    </row>
    <row r="3991" spans="1:4">
      <c r="A3991" s="105">
        <v>89766</v>
      </c>
      <c r="B3991" s="104" t="s">
        <v>4057</v>
      </c>
      <c r="C3991" s="104" t="s">
        <v>183</v>
      </c>
      <c r="D3991" s="129" t="s">
        <v>18245</v>
      </c>
    </row>
    <row r="3992" spans="1:4">
      <c r="A3992" s="105">
        <v>89767</v>
      </c>
      <c r="B3992" s="104" t="s">
        <v>4058</v>
      </c>
      <c r="C3992" s="104" t="s">
        <v>183</v>
      </c>
      <c r="D3992" s="129" t="s">
        <v>18245</v>
      </c>
    </row>
    <row r="3993" spans="1:4">
      <c r="A3993" s="105">
        <v>89768</v>
      </c>
      <c r="B3993" s="104" t="s">
        <v>4059</v>
      </c>
      <c r="C3993" s="104" t="s">
        <v>183</v>
      </c>
      <c r="D3993" s="129" t="s">
        <v>14766</v>
      </c>
    </row>
    <row r="3994" spans="1:4">
      <c r="A3994" s="105">
        <v>89769</v>
      </c>
      <c r="B3994" s="104" t="s">
        <v>4060</v>
      </c>
      <c r="C3994" s="104" t="s">
        <v>183</v>
      </c>
      <c r="D3994" s="129" t="s">
        <v>18246</v>
      </c>
    </row>
    <row r="3995" spans="1:4">
      <c r="A3995" s="105">
        <v>89772</v>
      </c>
      <c r="B3995" s="104" t="s">
        <v>4061</v>
      </c>
      <c r="C3995" s="104" t="s">
        <v>40</v>
      </c>
      <c r="D3995" s="129" t="s">
        <v>18247</v>
      </c>
    </row>
    <row r="3996" spans="1:4">
      <c r="A3996" s="105">
        <v>89774</v>
      </c>
      <c r="B3996" s="104" t="s">
        <v>4062</v>
      </c>
      <c r="C3996" s="104" t="s">
        <v>183</v>
      </c>
      <c r="D3996" s="129" t="s">
        <v>18248</v>
      </c>
    </row>
    <row r="3997" spans="1:4">
      <c r="A3997" s="105">
        <v>89776</v>
      </c>
      <c r="B3997" s="104" t="s">
        <v>4063</v>
      </c>
      <c r="C3997" s="104" t="s">
        <v>183</v>
      </c>
      <c r="D3997" s="129" t="s">
        <v>17098</v>
      </c>
    </row>
    <row r="3998" spans="1:4">
      <c r="A3998" s="105">
        <v>89777</v>
      </c>
      <c r="B3998" s="104" t="s">
        <v>4064</v>
      </c>
      <c r="C3998" s="104" t="s">
        <v>183</v>
      </c>
      <c r="D3998" s="129" t="s">
        <v>18249</v>
      </c>
    </row>
    <row r="3999" spans="1:4">
      <c r="A3999" s="105">
        <v>89778</v>
      </c>
      <c r="B3999" s="104" t="s">
        <v>4065</v>
      </c>
      <c r="C3999" s="104" t="s">
        <v>183</v>
      </c>
      <c r="D3999" s="129" t="s">
        <v>17142</v>
      </c>
    </row>
    <row r="4000" spans="1:4">
      <c r="A4000" s="105">
        <v>89779</v>
      </c>
      <c r="B4000" s="104" t="s">
        <v>4066</v>
      </c>
      <c r="C4000" s="104" t="s">
        <v>183</v>
      </c>
      <c r="D4000" s="129" t="s">
        <v>18250</v>
      </c>
    </row>
    <row r="4001" spans="1:4">
      <c r="A4001" s="105">
        <v>89780</v>
      </c>
      <c r="B4001" s="104" t="s">
        <v>4067</v>
      </c>
      <c r="C4001" s="104" t="s">
        <v>183</v>
      </c>
      <c r="D4001" s="129" t="s">
        <v>18249</v>
      </c>
    </row>
    <row r="4002" spans="1:4">
      <c r="A4002" s="105">
        <v>89781</v>
      </c>
      <c r="B4002" s="104" t="s">
        <v>4068</v>
      </c>
      <c r="C4002" s="104" t="s">
        <v>183</v>
      </c>
      <c r="D4002" s="129" t="s">
        <v>18251</v>
      </c>
    </row>
    <row r="4003" spans="1:4">
      <c r="A4003" s="105">
        <v>89782</v>
      </c>
      <c r="B4003" s="104" t="s">
        <v>4069</v>
      </c>
      <c r="C4003" s="104" t="s">
        <v>183</v>
      </c>
      <c r="D4003" s="129" t="s">
        <v>16954</v>
      </c>
    </row>
    <row r="4004" spans="1:4">
      <c r="A4004" s="105">
        <v>89783</v>
      </c>
      <c r="B4004" s="104" t="s">
        <v>4070</v>
      </c>
      <c r="C4004" s="104" t="s">
        <v>183</v>
      </c>
      <c r="D4004" s="129" t="s">
        <v>18252</v>
      </c>
    </row>
    <row r="4005" spans="1:4">
      <c r="A4005" s="105">
        <v>89784</v>
      </c>
      <c r="B4005" s="104" t="s">
        <v>176</v>
      </c>
      <c r="C4005" s="104" t="s">
        <v>183</v>
      </c>
      <c r="D4005" s="129" t="s">
        <v>15876</v>
      </c>
    </row>
    <row r="4006" spans="1:4">
      <c r="A4006" s="105">
        <v>89785</v>
      </c>
      <c r="B4006" s="104" t="s">
        <v>177</v>
      </c>
      <c r="C4006" s="104" t="s">
        <v>183</v>
      </c>
      <c r="D4006" s="129" t="s">
        <v>18253</v>
      </c>
    </row>
    <row r="4007" spans="1:4">
      <c r="A4007" s="105">
        <v>89786</v>
      </c>
      <c r="B4007" s="104" t="s">
        <v>4071</v>
      </c>
      <c r="C4007" s="104" t="s">
        <v>183</v>
      </c>
      <c r="D4007" s="129" t="s">
        <v>15546</v>
      </c>
    </row>
    <row r="4008" spans="1:4">
      <c r="A4008" s="105">
        <v>89787</v>
      </c>
      <c r="B4008" s="104" t="s">
        <v>4072</v>
      </c>
      <c r="C4008" s="104" t="s">
        <v>183</v>
      </c>
      <c r="D4008" s="129" t="s">
        <v>18251</v>
      </c>
    </row>
    <row r="4009" spans="1:4">
      <c r="A4009" s="105">
        <v>89788</v>
      </c>
      <c r="B4009" s="104" t="s">
        <v>4073</v>
      </c>
      <c r="C4009" s="104" t="s">
        <v>183</v>
      </c>
      <c r="D4009" s="129" t="s">
        <v>17965</v>
      </c>
    </row>
    <row r="4010" spans="1:4">
      <c r="A4010" s="105">
        <v>89789</v>
      </c>
      <c r="B4010" s="104" t="s">
        <v>4074</v>
      </c>
      <c r="C4010" s="104" t="s">
        <v>183</v>
      </c>
      <c r="D4010" s="129" t="s">
        <v>18254</v>
      </c>
    </row>
    <row r="4011" spans="1:4">
      <c r="A4011" s="105">
        <v>89790</v>
      </c>
      <c r="B4011" s="104" t="s">
        <v>4075</v>
      </c>
      <c r="C4011" s="104" t="s">
        <v>183</v>
      </c>
      <c r="D4011" s="129" t="s">
        <v>18255</v>
      </c>
    </row>
    <row r="4012" spans="1:4">
      <c r="A4012" s="105">
        <v>89791</v>
      </c>
      <c r="B4012" s="104" t="s">
        <v>4076</v>
      </c>
      <c r="C4012" s="104" t="s">
        <v>183</v>
      </c>
      <c r="D4012" s="129" t="s">
        <v>18256</v>
      </c>
    </row>
    <row r="4013" spans="1:4">
      <c r="A4013" s="105">
        <v>89792</v>
      </c>
      <c r="B4013" s="104" t="s">
        <v>4077</v>
      </c>
      <c r="C4013" s="104" t="s">
        <v>183</v>
      </c>
      <c r="D4013" s="129" t="s">
        <v>18257</v>
      </c>
    </row>
    <row r="4014" spans="1:4">
      <c r="A4014" s="105">
        <v>89793</v>
      </c>
      <c r="B4014" s="104" t="s">
        <v>4078</v>
      </c>
      <c r="C4014" s="104" t="s">
        <v>183</v>
      </c>
      <c r="D4014" s="129" t="s">
        <v>18258</v>
      </c>
    </row>
    <row r="4015" spans="1:4">
      <c r="A4015" s="105">
        <v>89794</v>
      </c>
      <c r="B4015" s="104" t="s">
        <v>4079</v>
      </c>
      <c r="C4015" s="104" t="s">
        <v>183</v>
      </c>
      <c r="D4015" s="129" t="s">
        <v>18259</v>
      </c>
    </row>
    <row r="4016" spans="1:4">
      <c r="A4016" s="105">
        <v>89795</v>
      </c>
      <c r="B4016" s="104" t="s">
        <v>4080</v>
      </c>
      <c r="C4016" s="104" t="s">
        <v>183</v>
      </c>
      <c r="D4016" s="129" t="s">
        <v>17832</v>
      </c>
    </row>
    <row r="4017" spans="1:4">
      <c r="A4017" s="105">
        <v>89796</v>
      </c>
      <c r="B4017" s="104" t="s">
        <v>4081</v>
      </c>
      <c r="C4017" s="104" t="s">
        <v>183</v>
      </c>
      <c r="D4017" s="129" t="s">
        <v>18260</v>
      </c>
    </row>
    <row r="4018" spans="1:4">
      <c r="A4018" s="105">
        <v>89797</v>
      </c>
      <c r="B4018" s="104" t="s">
        <v>178</v>
      </c>
      <c r="C4018" s="104" t="s">
        <v>183</v>
      </c>
      <c r="D4018" s="129" t="s">
        <v>18261</v>
      </c>
    </row>
    <row r="4019" spans="1:4">
      <c r="A4019" s="105">
        <v>89801</v>
      </c>
      <c r="B4019" s="104" t="s">
        <v>4082</v>
      </c>
      <c r="C4019" s="104" t="s">
        <v>183</v>
      </c>
      <c r="D4019" s="129" t="s">
        <v>18227</v>
      </c>
    </row>
    <row r="4020" spans="1:4">
      <c r="A4020" s="105">
        <v>89802</v>
      </c>
      <c r="B4020" s="104" t="s">
        <v>4083</v>
      </c>
      <c r="C4020" s="104" t="s">
        <v>183</v>
      </c>
      <c r="D4020" s="129" t="s">
        <v>18262</v>
      </c>
    </row>
    <row r="4021" spans="1:4">
      <c r="A4021" s="105">
        <v>89803</v>
      </c>
      <c r="B4021" s="104" t="s">
        <v>4084</v>
      </c>
      <c r="C4021" s="104" t="s">
        <v>183</v>
      </c>
      <c r="D4021" s="129" t="s">
        <v>18263</v>
      </c>
    </row>
    <row r="4022" spans="1:4">
      <c r="A4022" s="105">
        <v>89804</v>
      </c>
      <c r="B4022" s="104" t="s">
        <v>4085</v>
      </c>
      <c r="C4022" s="104" t="s">
        <v>183</v>
      </c>
      <c r="D4022" s="129" t="s">
        <v>17244</v>
      </c>
    </row>
    <row r="4023" spans="1:4">
      <c r="A4023" s="105">
        <v>89805</v>
      </c>
      <c r="B4023" s="104" t="s">
        <v>4086</v>
      </c>
      <c r="C4023" s="104" t="s">
        <v>183</v>
      </c>
      <c r="D4023" s="129" t="s">
        <v>18264</v>
      </c>
    </row>
    <row r="4024" spans="1:4">
      <c r="A4024" s="105">
        <v>89806</v>
      </c>
      <c r="B4024" s="104" t="s">
        <v>4087</v>
      </c>
      <c r="C4024" s="104" t="s">
        <v>183</v>
      </c>
      <c r="D4024" s="129" t="s">
        <v>18265</v>
      </c>
    </row>
    <row r="4025" spans="1:4">
      <c r="A4025" s="105">
        <v>89807</v>
      </c>
      <c r="B4025" s="104" t="s">
        <v>4088</v>
      </c>
      <c r="C4025" s="104" t="s">
        <v>183</v>
      </c>
      <c r="D4025" s="129" t="s">
        <v>17810</v>
      </c>
    </row>
    <row r="4026" spans="1:4">
      <c r="A4026" s="105">
        <v>89808</v>
      </c>
      <c r="B4026" s="104" t="s">
        <v>4089</v>
      </c>
      <c r="C4026" s="104" t="s">
        <v>183</v>
      </c>
      <c r="D4026" s="129" t="s">
        <v>18266</v>
      </c>
    </row>
    <row r="4027" spans="1:4">
      <c r="A4027" s="105">
        <v>89809</v>
      </c>
      <c r="B4027" s="104" t="s">
        <v>4090</v>
      </c>
      <c r="C4027" s="104" t="s">
        <v>183</v>
      </c>
      <c r="D4027" s="129" t="s">
        <v>18267</v>
      </c>
    </row>
    <row r="4028" spans="1:4">
      <c r="A4028" s="105">
        <v>89810</v>
      </c>
      <c r="B4028" s="104" t="s">
        <v>4091</v>
      </c>
      <c r="C4028" s="104" t="s">
        <v>183</v>
      </c>
      <c r="D4028" s="129" t="s">
        <v>18268</v>
      </c>
    </row>
    <row r="4029" spans="1:4">
      <c r="A4029" s="105">
        <v>89811</v>
      </c>
      <c r="B4029" s="104" t="s">
        <v>4092</v>
      </c>
      <c r="C4029" s="104" t="s">
        <v>183</v>
      </c>
      <c r="D4029" s="129" t="s">
        <v>14993</v>
      </c>
    </row>
    <row r="4030" spans="1:4">
      <c r="A4030" s="105">
        <v>89812</v>
      </c>
      <c r="B4030" s="104" t="s">
        <v>4093</v>
      </c>
      <c r="C4030" s="104" t="s">
        <v>183</v>
      </c>
      <c r="D4030" s="129" t="s">
        <v>18269</v>
      </c>
    </row>
    <row r="4031" spans="1:4">
      <c r="A4031" s="105">
        <v>89813</v>
      </c>
      <c r="B4031" s="104" t="s">
        <v>4094</v>
      </c>
      <c r="C4031" s="104" t="s">
        <v>183</v>
      </c>
      <c r="D4031" s="129" t="s">
        <v>18270</v>
      </c>
    </row>
    <row r="4032" spans="1:4">
      <c r="A4032" s="105">
        <v>89814</v>
      </c>
      <c r="B4032" s="104" t="s">
        <v>4095</v>
      </c>
      <c r="C4032" s="104" t="s">
        <v>183</v>
      </c>
      <c r="D4032" s="129" t="s">
        <v>18271</v>
      </c>
    </row>
    <row r="4033" spans="1:4">
      <c r="A4033" s="105">
        <v>89815</v>
      </c>
      <c r="B4033" s="104" t="s">
        <v>4096</v>
      </c>
      <c r="C4033" s="104" t="s">
        <v>183</v>
      </c>
      <c r="D4033" s="129" t="s">
        <v>18272</v>
      </c>
    </row>
    <row r="4034" spans="1:4">
      <c r="A4034" s="105">
        <v>89816</v>
      </c>
      <c r="B4034" s="104" t="s">
        <v>4097</v>
      </c>
      <c r="C4034" s="104" t="s">
        <v>183</v>
      </c>
      <c r="D4034" s="129" t="s">
        <v>15034</v>
      </c>
    </row>
    <row r="4035" spans="1:4">
      <c r="A4035" s="105">
        <v>89817</v>
      </c>
      <c r="B4035" s="104" t="s">
        <v>4098</v>
      </c>
      <c r="C4035" s="104" t="s">
        <v>183</v>
      </c>
      <c r="D4035" s="129" t="s">
        <v>15146</v>
      </c>
    </row>
    <row r="4036" spans="1:4">
      <c r="A4036" s="105">
        <v>89818</v>
      </c>
      <c r="B4036" s="104" t="s">
        <v>4099</v>
      </c>
      <c r="C4036" s="104" t="s">
        <v>183</v>
      </c>
      <c r="D4036" s="129" t="s">
        <v>18273</v>
      </c>
    </row>
    <row r="4037" spans="1:4">
      <c r="A4037" s="105">
        <v>89819</v>
      </c>
      <c r="B4037" s="104" t="s">
        <v>4100</v>
      </c>
      <c r="C4037" s="104" t="s">
        <v>183</v>
      </c>
      <c r="D4037" s="129" t="s">
        <v>18274</v>
      </c>
    </row>
    <row r="4038" spans="1:4">
      <c r="A4038" s="105">
        <v>89820</v>
      </c>
      <c r="B4038" s="104" t="s">
        <v>4101</v>
      </c>
      <c r="C4038" s="104" t="s">
        <v>183</v>
      </c>
      <c r="D4038" s="129" t="s">
        <v>18275</v>
      </c>
    </row>
    <row r="4039" spans="1:4">
      <c r="A4039" s="105">
        <v>89821</v>
      </c>
      <c r="B4039" s="104" t="s">
        <v>4102</v>
      </c>
      <c r="C4039" s="104" t="s">
        <v>183</v>
      </c>
      <c r="D4039" s="129" t="s">
        <v>17283</v>
      </c>
    </row>
    <row r="4040" spans="1:4">
      <c r="A4040" s="105">
        <v>89822</v>
      </c>
      <c r="B4040" s="104" t="s">
        <v>4103</v>
      </c>
      <c r="C4040" s="104" t="s">
        <v>183</v>
      </c>
      <c r="D4040" s="129" t="s">
        <v>15874</v>
      </c>
    </row>
    <row r="4041" spans="1:4">
      <c r="A4041" s="105">
        <v>89823</v>
      </c>
      <c r="B4041" s="104" t="s">
        <v>4104</v>
      </c>
      <c r="C4041" s="104" t="s">
        <v>183</v>
      </c>
      <c r="D4041" s="129" t="s">
        <v>18276</v>
      </c>
    </row>
    <row r="4042" spans="1:4">
      <c r="A4042" s="105">
        <v>89824</v>
      </c>
      <c r="B4042" s="104" t="s">
        <v>4105</v>
      </c>
      <c r="C4042" s="104" t="s">
        <v>183</v>
      </c>
      <c r="D4042" s="129" t="s">
        <v>18277</v>
      </c>
    </row>
    <row r="4043" spans="1:4">
      <c r="A4043" s="105">
        <v>89825</v>
      </c>
      <c r="B4043" s="104" t="s">
        <v>4106</v>
      </c>
      <c r="C4043" s="104" t="s">
        <v>183</v>
      </c>
      <c r="D4043" s="129" t="s">
        <v>18278</v>
      </c>
    </row>
    <row r="4044" spans="1:4">
      <c r="A4044" s="105">
        <v>89826</v>
      </c>
      <c r="B4044" s="104" t="s">
        <v>4107</v>
      </c>
      <c r="C4044" s="104" t="s">
        <v>183</v>
      </c>
      <c r="D4044" s="129" t="s">
        <v>18279</v>
      </c>
    </row>
    <row r="4045" spans="1:4">
      <c r="A4045" s="105">
        <v>89827</v>
      </c>
      <c r="B4045" s="104" t="s">
        <v>4108</v>
      </c>
      <c r="C4045" s="104" t="s">
        <v>183</v>
      </c>
      <c r="D4045" s="129" t="s">
        <v>18280</v>
      </c>
    </row>
    <row r="4046" spans="1:4">
      <c r="A4046" s="105">
        <v>89828</v>
      </c>
      <c r="B4046" s="104" t="s">
        <v>4109</v>
      </c>
      <c r="C4046" s="104" t="s">
        <v>183</v>
      </c>
      <c r="D4046" s="129" t="s">
        <v>18281</v>
      </c>
    </row>
    <row r="4047" spans="1:4">
      <c r="A4047" s="105">
        <v>89829</v>
      </c>
      <c r="B4047" s="104" t="s">
        <v>4110</v>
      </c>
      <c r="C4047" s="104" t="s">
        <v>183</v>
      </c>
      <c r="D4047" s="129" t="s">
        <v>18282</v>
      </c>
    </row>
    <row r="4048" spans="1:4">
      <c r="A4048" s="105">
        <v>89830</v>
      </c>
      <c r="B4048" s="104" t="s">
        <v>4111</v>
      </c>
      <c r="C4048" s="104" t="s">
        <v>183</v>
      </c>
      <c r="D4048" s="129" t="s">
        <v>18283</v>
      </c>
    </row>
    <row r="4049" spans="1:4">
      <c r="A4049" s="105">
        <v>89831</v>
      </c>
      <c r="B4049" s="104" t="s">
        <v>4112</v>
      </c>
      <c r="C4049" s="104" t="s">
        <v>183</v>
      </c>
      <c r="D4049" s="129" t="s">
        <v>18284</v>
      </c>
    </row>
    <row r="4050" spans="1:4">
      <c r="A4050" s="105">
        <v>89832</v>
      </c>
      <c r="B4050" s="104" t="s">
        <v>4113</v>
      </c>
      <c r="C4050" s="104" t="s">
        <v>183</v>
      </c>
      <c r="D4050" s="129" t="s">
        <v>18285</v>
      </c>
    </row>
    <row r="4051" spans="1:4">
      <c r="A4051" s="105">
        <v>89833</v>
      </c>
      <c r="B4051" s="104" t="s">
        <v>4114</v>
      </c>
      <c r="C4051" s="104" t="s">
        <v>183</v>
      </c>
      <c r="D4051" s="129" t="s">
        <v>18286</v>
      </c>
    </row>
    <row r="4052" spans="1:4">
      <c r="A4052" s="105">
        <v>89834</v>
      </c>
      <c r="B4052" s="104" t="s">
        <v>4115</v>
      </c>
      <c r="C4052" s="104" t="s">
        <v>183</v>
      </c>
      <c r="D4052" s="129" t="s">
        <v>18287</v>
      </c>
    </row>
    <row r="4053" spans="1:4">
      <c r="A4053" s="105">
        <v>89835</v>
      </c>
      <c r="B4053" s="104" t="s">
        <v>4116</v>
      </c>
      <c r="C4053" s="104" t="s">
        <v>183</v>
      </c>
      <c r="D4053" s="129" t="s">
        <v>17132</v>
      </c>
    </row>
    <row r="4054" spans="1:4">
      <c r="A4054" s="105">
        <v>89836</v>
      </c>
      <c r="B4054" s="104" t="s">
        <v>4117</v>
      </c>
      <c r="C4054" s="104" t="s">
        <v>183</v>
      </c>
      <c r="D4054" s="129" t="s">
        <v>18288</v>
      </c>
    </row>
    <row r="4055" spans="1:4">
      <c r="A4055" s="105">
        <v>89837</v>
      </c>
      <c r="B4055" s="104" t="s">
        <v>4118</v>
      </c>
      <c r="C4055" s="104" t="s">
        <v>183</v>
      </c>
      <c r="D4055" s="129" t="s">
        <v>18289</v>
      </c>
    </row>
    <row r="4056" spans="1:4">
      <c r="A4056" s="105">
        <v>89838</v>
      </c>
      <c r="B4056" s="104" t="s">
        <v>4119</v>
      </c>
      <c r="C4056" s="104" t="s">
        <v>183</v>
      </c>
      <c r="D4056" s="129" t="s">
        <v>18290</v>
      </c>
    </row>
    <row r="4057" spans="1:4">
      <c r="A4057" s="105">
        <v>89839</v>
      </c>
      <c r="B4057" s="104" t="s">
        <v>4120</v>
      </c>
      <c r="C4057" s="104" t="s">
        <v>183</v>
      </c>
      <c r="D4057" s="129" t="s">
        <v>18291</v>
      </c>
    </row>
    <row r="4058" spans="1:4">
      <c r="A4058" s="105">
        <v>89840</v>
      </c>
      <c r="B4058" s="104" t="s">
        <v>4121</v>
      </c>
      <c r="C4058" s="104" t="s">
        <v>183</v>
      </c>
      <c r="D4058" s="129" t="s">
        <v>18292</v>
      </c>
    </row>
    <row r="4059" spans="1:4">
      <c r="A4059" s="105">
        <v>89841</v>
      </c>
      <c r="B4059" s="104" t="s">
        <v>4122</v>
      </c>
      <c r="C4059" s="104" t="s">
        <v>183</v>
      </c>
      <c r="D4059" s="129" t="s">
        <v>18293</v>
      </c>
    </row>
    <row r="4060" spans="1:4">
      <c r="A4060" s="105">
        <v>89842</v>
      </c>
      <c r="B4060" s="104" t="s">
        <v>4123</v>
      </c>
      <c r="C4060" s="104" t="s">
        <v>183</v>
      </c>
      <c r="D4060" s="129" t="s">
        <v>18294</v>
      </c>
    </row>
    <row r="4061" spans="1:4">
      <c r="A4061" s="105">
        <v>89844</v>
      </c>
      <c r="B4061" s="104" t="s">
        <v>4124</v>
      </c>
      <c r="C4061" s="104" t="s">
        <v>183</v>
      </c>
      <c r="D4061" s="129" t="s">
        <v>18295</v>
      </c>
    </row>
    <row r="4062" spans="1:4">
      <c r="A4062" s="105">
        <v>89845</v>
      </c>
      <c r="B4062" s="104" t="s">
        <v>4125</v>
      </c>
      <c r="C4062" s="104" t="s">
        <v>183</v>
      </c>
      <c r="D4062" s="129" t="s">
        <v>18296</v>
      </c>
    </row>
    <row r="4063" spans="1:4">
      <c r="A4063" s="105">
        <v>89846</v>
      </c>
      <c r="B4063" s="104" t="s">
        <v>4126</v>
      </c>
      <c r="C4063" s="104" t="s">
        <v>183</v>
      </c>
      <c r="D4063" s="129" t="s">
        <v>18297</v>
      </c>
    </row>
    <row r="4064" spans="1:4">
      <c r="A4064" s="105">
        <v>89847</v>
      </c>
      <c r="B4064" s="104" t="s">
        <v>4127</v>
      </c>
      <c r="C4064" s="104" t="s">
        <v>183</v>
      </c>
      <c r="D4064" s="129" t="s">
        <v>18298</v>
      </c>
    </row>
    <row r="4065" spans="1:4">
      <c r="A4065" s="105">
        <v>89850</v>
      </c>
      <c r="B4065" s="104" t="s">
        <v>4128</v>
      </c>
      <c r="C4065" s="104" t="s">
        <v>183</v>
      </c>
      <c r="D4065" s="129" t="s">
        <v>18299</v>
      </c>
    </row>
    <row r="4066" spans="1:4">
      <c r="A4066" s="105">
        <v>89851</v>
      </c>
      <c r="B4066" s="104" t="s">
        <v>4129</v>
      </c>
      <c r="C4066" s="104" t="s">
        <v>183</v>
      </c>
      <c r="D4066" s="129" t="s">
        <v>18300</v>
      </c>
    </row>
    <row r="4067" spans="1:4">
      <c r="A4067" s="105">
        <v>89852</v>
      </c>
      <c r="B4067" s="104" t="s">
        <v>4130</v>
      </c>
      <c r="C4067" s="104" t="s">
        <v>183</v>
      </c>
      <c r="D4067" s="129" t="s">
        <v>18301</v>
      </c>
    </row>
    <row r="4068" spans="1:4">
      <c r="A4068" s="105">
        <v>89853</v>
      </c>
      <c r="B4068" s="104" t="s">
        <v>4131</v>
      </c>
      <c r="C4068" s="104" t="s">
        <v>183</v>
      </c>
      <c r="D4068" s="129" t="s">
        <v>16772</v>
      </c>
    </row>
    <row r="4069" spans="1:4">
      <c r="A4069" s="105">
        <v>89854</v>
      </c>
      <c r="B4069" s="104" t="s">
        <v>4132</v>
      </c>
      <c r="C4069" s="104" t="s">
        <v>183</v>
      </c>
      <c r="D4069" s="129" t="s">
        <v>18302</v>
      </c>
    </row>
    <row r="4070" spans="1:4">
      <c r="A4070" s="105">
        <v>89855</v>
      </c>
      <c r="B4070" s="104" t="s">
        <v>4133</v>
      </c>
      <c r="C4070" s="104" t="s">
        <v>183</v>
      </c>
      <c r="D4070" s="129" t="s">
        <v>18303</v>
      </c>
    </row>
    <row r="4071" spans="1:4">
      <c r="A4071" s="105">
        <v>89856</v>
      </c>
      <c r="B4071" s="104" t="s">
        <v>4134</v>
      </c>
      <c r="C4071" s="104" t="s">
        <v>183</v>
      </c>
      <c r="D4071" s="129" t="s">
        <v>18304</v>
      </c>
    </row>
    <row r="4072" spans="1:4">
      <c r="A4072" s="105">
        <v>89857</v>
      </c>
      <c r="B4072" s="104" t="s">
        <v>4135</v>
      </c>
      <c r="C4072" s="104" t="s">
        <v>183</v>
      </c>
      <c r="D4072" s="129" t="s">
        <v>18305</v>
      </c>
    </row>
    <row r="4073" spans="1:4">
      <c r="A4073" s="105">
        <v>89859</v>
      </c>
      <c r="B4073" s="104" t="s">
        <v>4136</v>
      </c>
      <c r="C4073" s="104" t="s">
        <v>183</v>
      </c>
      <c r="D4073" s="129" t="s">
        <v>18306</v>
      </c>
    </row>
    <row r="4074" spans="1:4">
      <c r="A4074" s="105">
        <v>89860</v>
      </c>
      <c r="B4074" s="104" t="s">
        <v>4137</v>
      </c>
      <c r="C4074" s="104" t="s">
        <v>183</v>
      </c>
      <c r="D4074" s="129" t="s">
        <v>18307</v>
      </c>
    </row>
    <row r="4075" spans="1:4">
      <c r="A4075" s="105">
        <v>89861</v>
      </c>
      <c r="B4075" s="104" t="s">
        <v>4138</v>
      </c>
      <c r="C4075" s="104" t="s">
        <v>183</v>
      </c>
      <c r="D4075" s="129" t="s">
        <v>16305</v>
      </c>
    </row>
    <row r="4076" spans="1:4">
      <c r="A4076" s="105">
        <v>89862</v>
      </c>
      <c r="B4076" s="104" t="s">
        <v>4139</v>
      </c>
      <c r="C4076" s="104" t="s">
        <v>183</v>
      </c>
      <c r="D4076" s="129" t="s">
        <v>18308</v>
      </c>
    </row>
    <row r="4077" spans="1:4">
      <c r="A4077" s="105">
        <v>89863</v>
      </c>
      <c r="B4077" s="104" t="s">
        <v>4140</v>
      </c>
      <c r="C4077" s="104" t="s">
        <v>183</v>
      </c>
      <c r="D4077" s="129" t="s">
        <v>18309</v>
      </c>
    </row>
    <row r="4078" spans="1:4">
      <c r="A4078" s="105">
        <v>89866</v>
      </c>
      <c r="B4078" s="104" t="s">
        <v>4141</v>
      </c>
      <c r="C4078" s="104" t="s">
        <v>183</v>
      </c>
      <c r="D4078" s="129" t="s">
        <v>18310</v>
      </c>
    </row>
    <row r="4079" spans="1:4">
      <c r="A4079" s="105">
        <v>89867</v>
      </c>
      <c r="B4079" s="104" t="s">
        <v>4142</v>
      </c>
      <c r="C4079" s="104" t="s">
        <v>183</v>
      </c>
      <c r="D4079" s="129" t="s">
        <v>15630</v>
      </c>
    </row>
    <row r="4080" spans="1:4">
      <c r="A4080" s="105">
        <v>89868</v>
      </c>
      <c r="B4080" s="104" t="s">
        <v>4143</v>
      </c>
      <c r="C4080" s="104" t="s">
        <v>183</v>
      </c>
      <c r="D4080" s="129" t="s">
        <v>18311</v>
      </c>
    </row>
    <row r="4081" spans="1:4">
      <c r="A4081" s="105">
        <v>89869</v>
      </c>
      <c r="B4081" s="104" t="s">
        <v>4144</v>
      </c>
      <c r="C4081" s="104" t="s">
        <v>183</v>
      </c>
      <c r="D4081" s="129" t="s">
        <v>18018</v>
      </c>
    </row>
    <row r="4082" spans="1:4">
      <c r="A4082" s="105">
        <v>89979</v>
      </c>
      <c r="B4082" s="104" t="s">
        <v>4145</v>
      </c>
      <c r="C4082" s="104" t="s">
        <v>183</v>
      </c>
      <c r="D4082" s="129" t="s">
        <v>18312</v>
      </c>
    </row>
    <row r="4083" spans="1:4">
      <c r="A4083" s="105">
        <v>89980</v>
      </c>
      <c r="B4083" s="104" t="s">
        <v>4146</v>
      </c>
      <c r="C4083" s="104" t="s">
        <v>183</v>
      </c>
      <c r="D4083" s="129" t="s">
        <v>18313</v>
      </c>
    </row>
    <row r="4084" spans="1:4">
      <c r="A4084" s="105">
        <v>89981</v>
      </c>
      <c r="B4084" s="104" t="s">
        <v>4147</v>
      </c>
      <c r="C4084" s="104" t="s">
        <v>183</v>
      </c>
      <c r="D4084" s="129" t="s">
        <v>17496</v>
      </c>
    </row>
    <row r="4085" spans="1:4">
      <c r="A4085" s="105">
        <v>90373</v>
      </c>
      <c r="B4085" s="104" t="s">
        <v>4148</v>
      </c>
      <c r="C4085" s="104" t="s">
        <v>183</v>
      </c>
      <c r="D4085" s="129" t="s">
        <v>18314</v>
      </c>
    </row>
    <row r="4086" spans="1:4">
      <c r="A4086" s="105">
        <v>90374</v>
      </c>
      <c r="B4086" s="104" t="s">
        <v>4149</v>
      </c>
      <c r="C4086" s="104" t="s">
        <v>183</v>
      </c>
      <c r="D4086" s="129" t="s">
        <v>16001</v>
      </c>
    </row>
    <row r="4087" spans="1:4">
      <c r="A4087" s="105">
        <v>90375</v>
      </c>
      <c r="B4087" s="104" t="s">
        <v>4150</v>
      </c>
      <c r="C4087" s="104" t="s">
        <v>183</v>
      </c>
      <c r="D4087" s="129" t="s">
        <v>17188</v>
      </c>
    </row>
    <row r="4088" spans="1:4">
      <c r="A4088" s="105">
        <v>92287</v>
      </c>
      <c r="B4088" s="104" t="s">
        <v>4151</v>
      </c>
      <c r="C4088" s="104" t="s">
        <v>183</v>
      </c>
      <c r="D4088" s="129" t="s">
        <v>15199</v>
      </c>
    </row>
    <row r="4089" spans="1:4">
      <c r="A4089" s="105">
        <v>92288</v>
      </c>
      <c r="B4089" s="104" t="s">
        <v>4152</v>
      </c>
      <c r="C4089" s="104" t="s">
        <v>183</v>
      </c>
      <c r="D4089" s="129" t="s">
        <v>18315</v>
      </c>
    </row>
    <row r="4090" spans="1:4">
      <c r="A4090" s="105">
        <v>92289</v>
      </c>
      <c r="B4090" s="104" t="s">
        <v>4153</v>
      </c>
      <c r="C4090" s="104" t="s">
        <v>183</v>
      </c>
      <c r="D4090" s="129" t="s">
        <v>18316</v>
      </c>
    </row>
    <row r="4091" spans="1:4">
      <c r="A4091" s="105">
        <v>92290</v>
      </c>
      <c r="B4091" s="104" t="s">
        <v>4154</v>
      </c>
      <c r="C4091" s="104" t="s">
        <v>183</v>
      </c>
      <c r="D4091" s="129" t="s">
        <v>18317</v>
      </c>
    </row>
    <row r="4092" spans="1:4">
      <c r="A4092" s="105">
        <v>92291</v>
      </c>
      <c r="B4092" s="104" t="s">
        <v>4155</v>
      </c>
      <c r="C4092" s="104" t="s">
        <v>183</v>
      </c>
      <c r="D4092" s="129" t="s">
        <v>18318</v>
      </c>
    </row>
    <row r="4093" spans="1:4">
      <c r="A4093" s="105">
        <v>92292</v>
      </c>
      <c r="B4093" s="104" t="s">
        <v>4156</v>
      </c>
      <c r="C4093" s="104" t="s">
        <v>183</v>
      </c>
      <c r="D4093" s="129" t="s">
        <v>18319</v>
      </c>
    </row>
    <row r="4094" spans="1:4">
      <c r="A4094" s="105">
        <v>92293</v>
      </c>
      <c r="B4094" s="104" t="s">
        <v>4157</v>
      </c>
      <c r="C4094" s="104" t="s">
        <v>183</v>
      </c>
      <c r="D4094" s="129" t="s">
        <v>17186</v>
      </c>
    </row>
    <row r="4095" spans="1:4">
      <c r="A4095" s="105">
        <v>92294</v>
      </c>
      <c r="B4095" s="104" t="s">
        <v>4158</v>
      </c>
      <c r="C4095" s="104" t="s">
        <v>183</v>
      </c>
      <c r="D4095" s="129" t="s">
        <v>17253</v>
      </c>
    </row>
    <row r="4096" spans="1:4">
      <c r="A4096" s="105">
        <v>92295</v>
      </c>
      <c r="B4096" s="104" t="s">
        <v>4159</v>
      </c>
      <c r="C4096" s="104" t="s">
        <v>183</v>
      </c>
      <c r="D4096" s="129" t="s">
        <v>18320</v>
      </c>
    </row>
    <row r="4097" spans="1:4">
      <c r="A4097" s="105">
        <v>92296</v>
      </c>
      <c r="B4097" s="104" t="s">
        <v>4160</v>
      </c>
      <c r="C4097" s="104" t="s">
        <v>183</v>
      </c>
      <c r="D4097" s="129" t="s">
        <v>18321</v>
      </c>
    </row>
    <row r="4098" spans="1:4">
      <c r="A4098" s="105">
        <v>92297</v>
      </c>
      <c r="B4098" s="104" t="s">
        <v>4161</v>
      </c>
      <c r="C4098" s="104" t="s">
        <v>183</v>
      </c>
      <c r="D4098" s="129" t="s">
        <v>15179</v>
      </c>
    </row>
    <row r="4099" spans="1:4">
      <c r="A4099" s="105">
        <v>92298</v>
      </c>
      <c r="B4099" s="104" t="s">
        <v>4162</v>
      </c>
      <c r="C4099" s="104" t="s">
        <v>183</v>
      </c>
      <c r="D4099" s="129" t="s">
        <v>18322</v>
      </c>
    </row>
    <row r="4100" spans="1:4">
      <c r="A4100" s="105">
        <v>92299</v>
      </c>
      <c r="B4100" s="104" t="s">
        <v>4163</v>
      </c>
      <c r="C4100" s="104" t="s">
        <v>183</v>
      </c>
      <c r="D4100" s="129" t="s">
        <v>18323</v>
      </c>
    </row>
    <row r="4101" spans="1:4">
      <c r="A4101" s="105">
        <v>92300</v>
      </c>
      <c r="B4101" s="104" t="s">
        <v>4164</v>
      </c>
      <c r="C4101" s="104" t="s">
        <v>183</v>
      </c>
      <c r="D4101" s="129" t="s">
        <v>18324</v>
      </c>
    </row>
    <row r="4102" spans="1:4">
      <c r="A4102" s="105">
        <v>92301</v>
      </c>
      <c r="B4102" s="104" t="s">
        <v>4165</v>
      </c>
      <c r="C4102" s="104" t="s">
        <v>183</v>
      </c>
      <c r="D4102" s="129" t="s">
        <v>18325</v>
      </c>
    </row>
    <row r="4103" spans="1:4">
      <c r="A4103" s="105">
        <v>92302</v>
      </c>
      <c r="B4103" s="104" t="s">
        <v>4166</v>
      </c>
      <c r="C4103" s="104" t="s">
        <v>183</v>
      </c>
      <c r="D4103" s="129" t="s">
        <v>18326</v>
      </c>
    </row>
    <row r="4104" spans="1:4">
      <c r="A4104" s="105">
        <v>92303</v>
      </c>
      <c r="B4104" s="104" t="s">
        <v>4167</v>
      </c>
      <c r="C4104" s="104" t="s">
        <v>183</v>
      </c>
      <c r="D4104" s="129" t="s">
        <v>18327</v>
      </c>
    </row>
    <row r="4105" spans="1:4">
      <c r="A4105" s="105">
        <v>92304</v>
      </c>
      <c r="B4105" s="104" t="s">
        <v>4168</v>
      </c>
      <c r="C4105" s="104" t="s">
        <v>183</v>
      </c>
      <c r="D4105" s="129" t="s">
        <v>18328</v>
      </c>
    </row>
    <row r="4106" spans="1:4">
      <c r="A4106" s="105">
        <v>92311</v>
      </c>
      <c r="B4106" s="104" t="s">
        <v>4169</v>
      </c>
      <c r="C4106" s="104" t="s">
        <v>183</v>
      </c>
      <c r="D4106" s="129" t="s">
        <v>16886</v>
      </c>
    </row>
    <row r="4107" spans="1:4">
      <c r="A4107" s="105">
        <v>92312</v>
      </c>
      <c r="B4107" s="104" t="s">
        <v>4170</v>
      </c>
      <c r="C4107" s="104" t="s">
        <v>183</v>
      </c>
      <c r="D4107" s="129" t="s">
        <v>18329</v>
      </c>
    </row>
    <row r="4108" spans="1:4">
      <c r="A4108" s="105">
        <v>92313</v>
      </c>
      <c r="B4108" s="104" t="s">
        <v>4171</v>
      </c>
      <c r="C4108" s="104" t="s">
        <v>183</v>
      </c>
      <c r="D4108" s="129" t="s">
        <v>18330</v>
      </c>
    </row>
    <row r="4109" spans="1:4">
      <c r="A4109" s="105">
        <v>92314</v>
      </c>
      <c r="B4109" s="104" t="s">
        <v>4172</v>
      </c>
      <c r="C4109" s="104" t="s">
        <v>183</v>
      </c>
      <c r="D4109" s="129" t="s">
        <v>18331</v>
      </c>
    </row>
    <row r="4110" spans="1:4">
      <c r="A4110" s="105">
        <v>92315</v>
      </c>
      <c r="B4110" s="104" t="s">
        <v>4173</v>
      </c>
      <c r="C4110" s="104" t="s">
        <v>183</v>
      </c>
      <c r="D4110" s="129" t="s">
        <v>18332</v>
      </c>
    </row>
    <row r="4111" spans="1:4">
      <c r="A4111" s="105">
        <v>92316</v>
      </c>
      <c r="B4111" s="104" t="s">
        <v>4174</v>
      </c>
      <c r="C4111" s="104" t="s">
        <v>183</v>
      </c>
      <c r="D4111" s="129" t="s">
        <v>18333</v>
      </c>
    </row>
    <row r="4112" spans="1:4">
      <c r="A4112" s="105">
        <v>92317</v>
      </c>
      <c r="B4112" s="104" t="s">
        <v>4175</v>
      </c>
      <c r="C4112" s="104" t="s">
        <v>183</v>
      </c>
      <c r="D4112" s="129" t="s">
        <v>15675</v>
      </c>
    </row>
    <row r="4113" spans="1:4">
      <c r="A4113" s="105">
        <v>92318</v>
      </c>
      <c r="B4113" s="104" t="s">
        <v>4176</v>
      </c>
      <c r="C4113" s="104" t="s">
        <v>183</v>
      </c>
      <c r="D4113" s="129" t="s">
        <v>18334</v>
      </c>
    </row>
    <row r="4114" spans="1:4">
      <c r="A4114" s="105">
        <v>92319</v>
      </c>
      <c r="B4114" s="104" t="s">
        <v>4177</v>
      </c>
      <c r="C4114" s="104" t="s">
        <v>183</v>
      </c>
      <c r="D4114" s="129" t="s">
        <v>18335</v>
      </c>
    </row>
    <row r="4115" spans="1:4">
      <c r="A4115" s="105">
        <v>92326</v>
      </c>
      <c r="B4115" s="104" t="s">
        <v>4178</v>
      </c>
      <c r="C4115" s="104" t="s">
        <v>183</v>
      </c>
      <c r="D4115" s="129" t="s">
        <v>18336</v>
      </c>
    </row>
    <row r="4116" spans="1:4">
      <c r="A4116" s="105">
        <v>92327</v>
      </c>
      <c r="B4116" s="104" t="s">
        <v>4179</v>
      </c>
      <c r="C4116" s="104" t="s">
        <v>183</v>
      </c>
      <c r="D4116" s="129" t="s">
        <v>16399</v>
      </c>
    </row>
    <row r="4117" spans="1:4">
      <c r="A4117" s="105">
        <v>92328</v>
      </c>
      <c r="B4117" s="104" t="s">
        <v>4180</v>
      </c>
      <c r="C4117" s="104" t="s">
        <v>183</v>
      </c>
      <c r="D4117" s="129" t="s">
        <v>18337</v>
      </c>
    </row>
    <row r="4118" spans="1:4">
      <c r="A4118" s="105">
        <v>92329</v>
      </c>
      <c r="B4118" s="104" t="s">
        <v>4181</v>
      </c>
      <c r="C4118" s="104" t="s">
        <v>183</v>
      </c>
      <c r="D4118" s="129" t="s">
        <v>18338</v>
      </c>
    </row>
    <row r="4119" spans="1:4">
      <c r="A4119" s="105">
        <v>92330</v>
      </c>
      <c r="B4119" s="104" t="s">
        <v>4182</v>
      </c>
      <c r="C4119" s="104" t="s">
        <v>183</v>
      </c>
      <c r="D4119" s="129" t="s">
        <v>18339</v>
      </c>
    </row>
    <row r="4120" spans="1:4">
      <c r="A4120" s="105">
        <v>92331</v>
      </c>
      <c r="B4120" s="104" t="s">
        <v>4183</v>
      </c>
      <c r="C4120" s="104" t="s">
        <v>183</v>
      </c>
      <c r="D4120" s="129" t="s">
        <v>17902</v>
      </c>
    </row>
    <row r="4121" spans="1:4">
      <c r="A4121" s="105">
        <v>92332</v>
      </c>
      <c r="B4121" s="104" t="s">
        <v>4184</v>
      </c>
      <c r="C4121" s="104" t="s">
        <v>183</v>
      </c>
      <c r="D4121" s="129" t="s">
        <v>18340</v>
      </c>
    </row>
    <row r="4122" spans="1:4">
      <c r="A4122" s="105">
        <v>92333</v>
      </c>
      <c r="B4122" s="104" t="s">
        <v>4185</v>
      </c>
      <c r="C4122" s="104" t="s">
        <v>183</v>
      </c>
      <c r="D4122" s="129" t="s">
        <v>18341</v>
      </c>
    </row>
    <row r="4123" spans="1:4">
      <c r="A4123" s="105">
        <v>92334</v>
      </c>
      <c r="B4123" s="104" t="s">
        <v>4186</v>
      </c>
      <c r="C4123" s="104" t="s">
        <v>183</v>
      </c>
      <c r="D4123" s="129" t="s">
        <v>18342</v>
      </c>
    </row>
    <row r="4124" spans="1:4">
      <c r="A4124" s="105">
        <v>92344</v>
      </c>
      <c r="B4124" s="104" t="s">
        <v>4187</v>
      </c>
      <c r="C4124" s="104" t="s">
        <v>183</v>
      </c>
      <c r="D4124" s="129" t="s">
        <v>18343</v>
      </c>
    </row>
    <row r="4125" spans="1:4">
      <c r="A4125" s="105">
        <v>92345</v>
      </c>
      <c r="B4125" s="104" t="s">
        <v>4188</v>
      </c>
      <c r="C4125" s="104" t="s">
        <v>183</v>
      </c>
      <c r="D4125" s="129" t="s">
        <v>18344</v>
      </c>
    </row>
    <row r="4126" spans="1:4">
      <c r="A4126" s="105">
        <v>92346</v>
      </c>
      <c r="B4126" s="104" t="s">
        <v>260</v>
      </c>
      <c r="C4126" s="104" t="s">
        <v>183</v>
      </c>
      <c r="D4126" s="129" t="s">
        <v>18345</v>
      </c>
    </row>
    <row r="4127" spans="1:4">
      <c r="A4127" s="105">
        <v>92347</v>
      </c>
      <c r="B4127" s="104" t="s">
        <v>4189</v>
      </c>
      <c r="C4127" s="104" t="s">
        <v>183</v>
      </c>
      <c r="D4127" s="129" t="s">
        <v>18346</v>
      </c>
    </row>
    <row r="4128" spans="1:4">
      <c r="A4128" s="105">
        <v>92348</v>
      </c>
      <c r="B4128" s="104" t="s">
        <v>4190</v>
      </c>
      <c r="C4128" s="104" t="s">
        <v>183</v>
      </c>
      <c r="D4128" s="129" t="s">
        <v>18347</v>
      </c>
    </row>
    <row r="4129" spans="1:4">
      <c r="A4129" s="105">
        <v>92349</v>
      </c>
      <c r="B4129" s="104" t="s">
        <v>4191</v>
      </c>
      <c r="C4129" s="104" t="s">
        <v>183</v>
      </c>
      <c r="D4129" s="129" t="s">
        <v>18348</v>
      </c>
    </row>
    <row r="4130" spans="1:4">
      <c r="A4130" s="105">
        <v>92350</v>
      </c>
      <c r="B4130" s="104" t="s">
        <v>4192</v>
      </c>
      <c r="C4130" s="104" t="s">
        <v>183</v>
      </c>
      <c r="D4130" s="129" t="s">
        <v>18349</v>
      </c>
    </row>
    <row r="4131" spans="1:4">
      <c r="A4131" s="105">
        <v>92351</v>
      </c>
      <c r="B4131" s="104" t="s">
        <v>4193</v>
      </c>
      <c r="C4131" s="104" t="s">
        <v>183</v>
      </c>
      <c r="D4131" s="129" t="s">
        <v>18350</v>
      </c>
    </row>
    <row r="4132" spans="1:4">
      <c r="A4132" s="105">
        <v>92352</v>
      </c>
      <c r="B4132" s="104" t="s">
        <v>4194</v>
      </c>
      <c r="C4132" s="104" t="s">
        <v>183</v>
      </c>
      <c r="D4132" s="129" t="s">
        <v>18351</v>
      </c>
    </row>
    <row r="4133" spans="1:4">
      <c r="A4133" s="105">
        <v>92353</v>
      </c>
      <c r="B4133" s="104" t="s">
        <v>4195</v>
      </c>
      <c r="C4133" s="104" t="s">
        <v>183</v>
      </c>
      <c r="D4133" s="129" t="s">
        <v>18352</v>
      </c>
    </row>
    <row r="4134" spans="1:4">
      <c r="A4134" s="105">
        <v>92354</v>
      </c>
      <c r="B4134" s="104" t="s">
        <v>4196</v>
      </c>
      <c r="C4134" s="104" t="s">
        <v>183</v>
      </c>
      <c r="D4134" s="129" t="s">
        <v>18353</v>
      </c>
    </row>
    <row r="4135" spans="1:4">
      <c r="A4135" s="105">
        <v>92355</v>
      </c>
      <c r="B4135" s="104" t="s">
        <v>4197</v>
      </c>
      <c r="C4135" s="104" t="s">
        <v>183</v>
      </c>
      <c r="D4135" s="129" t="s">
        <v>18354</v>
      </c>
    </row>
    <row r="4136" spans="1:4">
      <c r="A4136" s="105">
        <v>92356</v>
      </c>
      <c r="B4136" s="104" t="s">
        <v>4198</v>
      </c>
      <c r="C4136" s="104" t="s">
        <v>183</v>
      </c>
      <c r="D4136" s="129" t="s">
        <v>18355</v>
      </c>
    </row>
    <row r="4137" spans="1:4">
      <c r="A4137" s="105">
        <v>92357</v>
      </c>
      <c r="B4137" s="104" t="s">
        <v>261</v>
      </c>
      <c r="C4137" s="104" t="s">
        <v>183</v>
      </c>
      <c r="D4137" s="129" t="s">
        <v>18356</v>
      </c>
    </row>
    <row r="4138" spans="1:4">
      <c r="A4138" s="105">
        <v>92358</v>
      </c>
      <c r="B4138" s="104" t="s">
        <v>4199</v>
      </c>
      <c r="C4138" s="104" t="s">
        <v>183</v>
      </c>
      <c r="D4138" s="129" t="s">
        <v>17683</v>
      </c>
    </row>
    <row r="4139" spans="1:4">
      <c r="A4139" s="105">
        <v>92369</v>
      </c>
      <c r="B4139" s="104" t="s">
        <v>4200</v>
      </c>
      <c r="C4139" s="104" t="s">
        <v>183</v>
      </c>
      <c r="D4139" s="129" t="s">
        <v>18357</v>
      </c>
    </row>
    <row r="4140" spans="1:4">
      <c r="A4140" s="105">
        <v>92370</v>
      </c>
      <c r="B4140" s="104" t="s">
        <v>4201</v>
      </c>
      <c r="C4140" s="104" t="s">
        <v>183</v>
      </c>
      <c r="D4140" s="129" t="s">
        <v>18358</v>
      </c>
    </row>
    <row r="4141" spans="1:4">
      <c r="A4141" s="105">
        <v>92371</v>
      </c>
      <c r="B4141" s="104" t="s">
        <v>4202</v>
      </c>
      <c r="C4141" s="104" t="s">
        <v>183</v>
      </c>
      <c r="D4141" s="129" t="s">
        <v>14898</v>
      </c>
    </row>
    <row r="4142" spans="1:4">
      <c r="A4142" s="105">
        <v>92372</v>
      </c>
      <c r="B4142" s="104" t="s">
        <v>4203</v>
      </c>
      <c r="C4142" s="104" t="s">
        <v>183</v>
      </c>
      <c r="D4142" s="129" t="s">
        <v>18359</v>
      </c>
    </row>
    <row r="4143" spans="1:4">
      <c r="A4143" s="105">
        <v>92373</v>
      </c>
      <c r="B4143" s="104" t="s">
        <v>4204</v>
      </c>
      <c r="C4143" s="104" t="s">
        <v>183</v>
      </c>
      <c r="D4143" s="129" t="s">
        <v>18360</v>
      </c>
    </row>
    <row r="4144" spans="1:4">
      <c r="A4144" s="105">
        <v>92374</v>
      </c>
      <c r="B4144" s="104" t="s">
        <v>4205</v>
      </c>
      <c r="C4144" s="104" t="s">
        <v>183</v>
      </c>
      <c r="D4144" s="129" t="s">
        <v>18361</v>
      </c>
    </row>
    <row r="4145" spans="1:4">
      <c r="A4145" s="105">
        <v>92375</v>
      </c>
      <c r="B4145" s="104" t="s">
        <v>4206</v>
      </c>
      <c r="C4145" s="104" t="s">
        <v>183</v>
      </c>
      <c r="D4145" s="129" t="s">
        <v>18362</v>
      </c>
    </row>
    <row r="4146" spans="1:4">
      <c r="A4146" s="105">
        <v>92376</v>
      </c>
      <c r="B4146" s="104" t="s">
        <v>4207</v>
      </c>
      <c r="C4146" s="104" t="s">
        <v>183</v>
      </c>
      <c r="D4146" s="129" t="s">
        <v>18363</v>
      </c>
    </row>
    <row r="4147" spans="1:4">
      <c r="A4147" s="105">
        <v>92377</v>
      </c>
      <c r="B4147" s="104" t="s">
        <v>4208</v>
      </c>
      <c r="C4147" s="104" t="s">
        <v>183</v>
      </c>
      <c r="D4147" s="129" t="s">
        <v>14953</v>
      </c>
    </row>
    <row r="4148" spans="1:4">
      <c r="A4148" s="105">
        <v>92378</v>
      </c>
      <c r="B4148" s="104" t="s">
        <v>4209</v>
      </c>
      <c r="C4148" s="104" t="s">
        <v>183</v>
      </c>
      <c r="D4148" s="129" t="s">
        <v>18364</v>
      </c>
    </row>
    <row r="4149" spans="1:4">
      <c r="A4149" s="105">
        <v>92379</v>
      </c>
      <c r="B4149" s="104" t="s">
        <v>4210</v>
      </c>
      <c r="C4149" s="104" t="s">
        <v>183</v>
      </c>
      <c r="D4149" s="129" t="s">
        <v>18365</v>
      </c>
    </row>
    <row r="4150" spans="1:4">
      <c r="A4150" s="105">
        <v>92380</v>
      </c>
      <c r="B4150" s="104" t="s">
        <v>4211</v>
      </c>
      <c r="C4150" s="104" t="s">
        <v>183</v>
      </c>
      <c r="D4150" s="129" t="s">
        <v>18366</v>
      </c>
    </row>
    <row r="4151" spans="1:4">
      <c r="A4151" s="105">
        <v>92381</v>
      </c>
      <c r="B4151" s="104" t="s">
        <v>4212</v>
      </c>
      <c r="C4151" s="104" t="s">
        <v>183</v>
      </c>
      <c r="D4151" s="129" t="s">
        <v>18367</v>
      </c>
    </row>
    <row r="4152" spans="1:4">
      <c r="A4152" s="105">
        <v>92382</v>
      </c>
      <c r="B4152" s="104" t="s">
        <v>4213</v>
      </c>
      <c r="C4152" s="104" t="s">
        <v>183</v>
      </c>
      <c r="D4152" s="129" t="s">
        <v>17736</v>
      </c>
    </row>
    <row r="4153" spans="1:4">
      <c r="A4153" s="105">
        <v>92383</v>
      </c>
      <c r="B4153" s="104" t="s">
        <v>4214</v>
      </c>
      <c r="C4153" s="104" t="s">
        <v>183</v>
      </c>
      <c r="D4153" s="129" t="s">
        <v>18368</v>
      </c>
    </row>
    <row r="4154" spans="1:4">
      <c r="A4154" s="105">
        <v>92384</v>
      </c>
      <c r="B4154" s="104" t="s">
        <v>4215</v>
      </c>
      <c r="C4154" s="104" t="s">
        <v>183</v>
      </c>
      <c r="D4154" s="129" t="s">
        <v>18369</v>
      </c>
    </row>
    <row r="4155" spans="1:4">
      <c r="A4155" s="105">
        <v>92385</v>
      </c>
      <c r="B4155" s="104" t="s">
        <v>4216</v>
      </c>
      <c r="C4155" s="104" t="s">
        <v>183</v>
      </c>
      <c r="D4155" s="129" t="s">
        <v>18370</v>
      </c>
    </row>
    <row r="4156" spans="1:4">
      <c r="A4156" s="105">
        <v>92386</v>
      </c>
      <c r="B4156" s="104" t="s">
        <v>4217</v>
      </c>
      <c r="C4156" s="104" t="s">
        <v>183</v>
      </c>
      <c r="D4156" s="129" t="s">
        <v>18371</v>
      </c>
    </row>
    <row r="4157" spans="1:4">
      <c r="A4157" s="105">
        <v>92387</v>
      </c>
      <c r="B4157" s="104" t="s">
        <v>4218</v>
      </c>
      <c r="C4157" s="104" t="s">
        <v>183</v>
      </c>
      <c r="D4157" s="129" t="s">
        <v>18372</v>
      </c>
    </row>
    <row r="4158" spans="1:4">
      <c r="A4158" s="105">
        <v>92388</v>
      </c>
      <c r="B4158" s="104" t="s">
        <v>4219</v>
      </c>
      <c r="C4158" s="104" t="s">
        <v>183</v>
      </c>
      <c r="D4158" s="129" t="s">
        <v>18373</v>
      </c>
    </row>
    <row r="4159" spans="1:4">
      <c r="A4159" s="105">
        <v>92389</v>
      </c>
      <c r="B4159" s="104" t="s">
        <v>262</v>
      </c>
      <c r="C4159" s="104" t="s">
        <v>183</v>
      </c>
      <c r="D4159" s="129" t="s">
        <v>18374</v>
      </c>
    </row>
    <row r="4160" spans="1:4">
      <c r="A4160" s="105">
        <v>92390</v>
      </c>
      <c r="B4160" s="104" t="s">
        <v>4220</v>
      </c>
      <c r="C4160" s="104" t="s">
        <v>183</v>
      </c>
      <c r="D4160" s="129" t="s">
        <v>18375</v>
      </c>
    </row>
    <row r="4161" spans="1:4">
      <c r="A4161" s="105">
        <v>92635</v>
      </c>
      <c r="B4161" s="104" t="s">
        <v>4221</v>
      </c>
      <c r="C4161" s="104" t="s">
        <v>183</v>
      </c>
      <c r="D4161" s="129" t="s">
        <v>18376</v>
      </c>
    </row>
    <row r="4162" spans="1:4">
      <c r="A4162" s="105">
        <v>92636</v>
      </c>
      <c r="B4162" s="104" t="s">
        <v>4222</v>
      </c>
      <c r="C4162" s="104" t="s">
        <v>183</v>
      </c>
      <c r="D4162" s="129" t="s">
        <v>18377</v>
      </c>
    </row>
    <row r="4163" spans="1:4">
      <c r="A4163" s="105">
        <v>92637</v>
      </c>
      <c r="B4163" s="104" t="s">
        <v>4223</v>
      </c>
      <c r="C4163" s="104" t="s">
        <v>183</v>
      </c>
      <c r="D4163" s="129" t="s">
        <v>18378</v>
      </c>
    </row>
    <row r="4164" spans="1:4">
      <c r="A4164" s="105">
        <v>92638</v>
      </c>
      <c r="B4164" s="104" t="s">
        <v>4224</v>
      </c>
      <c r="C4164" s="104" t="s">
        <v>183</v>
      </c>
      <c r="D4164" s="129" t="s">
        <v>18379</v>
      </c>
    </row>
    <row r="4165" spans="1:4">
      <c r="A4165" s="105">
        <v>92639</v>
      </c>
      <c r="B4165" s="104" t="s">
        <v>4225</v>
      </c>
      <c r="C4165" s="104" t="s">
        <v>183</v>
      </c>
      <c r="D4165" s="129" t="s">
        <v>18380</v>
      </c>
    </row>
    <row r="4166" spans="1:4">
      <c r="A4166" s="105">
        <v>92640</v>
      </c>
      <c r="B4166" s="104" t="s">
        <v>4226</v>
      </c>
      <c r="C4166" s="104" t="s">
        <v>183</v>
      </c>
      <c r="D4166" s="129" t="s">
        <v>18381</v>
      </c>
    </row>
    <row r="4167" spans="1:4">
      <c r="A4167" s="105">
        <v>92642</v>
      </c>
      <c r="B4167" s="104" t="s">
        <v>4227</v>
      </c>
      <c r="C4167" s="104" t="s">
        <v>183</v>
      </c>
      <c r="D4167" s="129" t="s">
        <v>18382</v>
      </c>
    </row>
    <row r="4168" spans="1:4">
      <c r="A4168" s="105">
        <v>92644</v>
      </c>
      <c r="B4168" s="104" t="s">
        <v>4228</v>
      </c>
      <c r="C4168" s="104" t="s">
        <v>183</v>
      </c>
      <c r="D4168" s="129" t="s">
        <v>18383</v>
      </c>
    </row>
    <row r="4169" spans="1:4">
      <c r="A4169" s="105">
        <v>92657</v>
      </c>
      <c r="B4169" s="104" t="s">
        <v>4229</v>
      </c>
      <c r="C4169" s="104" t="s">
        <v>183</v>
      </c>
      <c r="D4169" s="129" t="s">
        <v>18384</v>
      </c>
    </row>
    <row r="4170" spans="1:4">
      <c r="A4170" s="105">
        <v>92658</v>
      </c>
      <c r="B4170" s="104" t="s">
        <v>4230</v>
      </c>
      <c r="C4170" s="104" t="s">
        <v>183</v>
      </c>
      <c r="D4170" s="129" t="s">
        <v>16005</v>
      </c>
    </row>
    <row r="4171" spans="1:4">
      <c r="A4171" s="105">
        <v>92659</v>
      </c>
      <c r="B4171" s="104" t="s">
        <v>4231</v>
      </c>
      <c r="C4171" s="104" t="s">
        <v>183</v>
      </c>
      <c r="D4171" s="129" t="s">
        <v>15393</v>
      </c>
    </row>
    <row r="4172" spans="1:4">
      <c r="A4172" s="105">
        <v>92660</v>
      </c>
      <c r="B4172" s="104" t="s">
        <v>4232</v>
      </c>
      <c r="C4172" s="104" t="s">
        <v>183</v>
      </c>
      <c r="D4172" s="129" t="s">
        <v>18385</v>
      </c>
    </row>
    <row r="4173" spans="1:4">
      <c r="A4173" s="105">
        <v>92661</v>
      </c>
      <c r="B4173" s="104" t="s">
        <v>4233</v>
      </c>
      <c r="C4173" s="104" t="s">
        <v>183</v>
      </c>
      <c r="D4173" s="129" t="s">
        <v>18386</v>
      </c>
    </row>
    <row r="4174" spans="1:4">
      <c r="A4174" s="105">
        <v>92662</v>
      </c>
      <c r="B4174" s="104" t="s">
        <v>4234</v>
      </c>
      <c r="C4174" s="104" t="s">
        <v>183</v>
      </c>
      <c r="D4174" s="129" t="s">
        <v>18387</v>
      </c>
    </row>
    <row r="4175" spans="1:4">
      <c r="A4175" s="105">
        <v>92663</v>
      </c>
      <c r="B4175" s="104" t="s">
        <v>4235</v>
      </c>
      <c r="C4175" s="104" t="s">
        <v>183</v>
      </c>
      <c r="D4175" s="129" t="s">
        <v>18388</v>
      </c>
    </row>
    <row r="4176" spans="1:4">
      <c r="A4176" s="105">
        <v>92664</v>
      </c>
      <c r="B4176" s="104" t="s">
        <v>4236</v>
      </c>
      <c r="C4176" s="104" t="s">
        <v>183</v>
      </c>
      <c r="D4176" s="129" t="s">
        <v>18389</v>
      </c>
    </row>
    <row r="4177" spans="1:4">
      <c r="A4177" s="105">
        <v>92665</v>
      </c>
      <c r="B4177" s="104" t="s">
        <v>4237</v>
      </c>
      <c r="C4177" s="104" t="s">
        <v>183</v>
      </c>
      <c r="D4177" s="129" t="s">
        <v>14753</v>
      </c>
    </row>
    <row r="4178" spans="1:4">
      <c r="A4178" s="105">
        <v>92666</v>
      </c>
      <c r="B4178" s="104" t="s">
        <v>4238</v>
      </c>
      <c r="C4178" s="104" t="s">
        <v>183</v>
      </c>
      <c r="D4178" s="129" t="s">
        <v>18390</v>
      </c>
    </row>
    <row r="4179" spans="1:4">
      <c r="A4179" s="105">
        <v>92667</v>
      </c>
      <c r="B4179" s="104" t="s">
        <v>4239</v>
      </c>
      <c r="C4179" s="104" t="s">
        <v>183</v>
      </c>
      <c r="D4179" s="129" t="s">
        <v>18391</v>
      </c>
    </row>
    <row r="4180" spans="1:4">
      <c r="A4180" s="105">
        <v>92668</v>
      </c>
      <c r="B4180" s="104" t="s">
        <v>4240</v>
      </c>
      <c r="C4180" s="104" t="s">
        <v>183</v>
      </c>
      <c r="D4180" s="129" t="s">
        <v>18392</v>
      </c>
    </row>
    <row r="4181" spans="1:4">
      <c r="A4181" s="105">
        <v>92669</v>
      </c>
      <c r="B4181" s="104" t="s">
        <v>4241</v>
      </c>
      <c r="C4181" s="104" t="s">
        <v>183</v>
      </c>
      <c r="D4181" s="129" t="s">
        <v>18393</v>
      </c>
    </row>
    <row r="4182" spans="1:4">
      <c r="A4182" s="105">
        <v>92670</v>
      </c>
      <c r="B4182" s="104" t="s">
        <v>4242</v>
      </c>
      <c r="C4182" s="104" t="s">
        <v>183</v>
      </c>
      <c r="D4182" s="129" t="s">
        <v>18394</v>
      </c>
    </row>
    <row r="4183" spans="1:4">
      <c r="A4183" s="105">
        <v>92671</v>
      </c>
      <c r="B4183" s="104" t="s">
        <v>4243</v>
      </c>
      <c r="C4183" s="104" t="s">
        <v>183</v>
      </c>
      <c r="D4183" s="129" t="s">
        <v>18395</v>
      </c>
    </row>
    <row r="4184" spans="1:4">
      <c r="A4184" s="105">
        <v>92672</v>
      </c>
      <c r="B4184" s="104" t="s">
        <v>4244</v>
      </c>
      <c r="C4184" s="104" t="s">
        <v>183</v>
      </c>
      <c r="D4184" s="129" t="s">
        <v>18396</v>
      </c>
    </row>
    <row r="4185" spans="1:4">
      <c r="A4185" s="105">
        <v>92673</v>
      </c>
      <c r="B4185" s="104" t="s">
        <v>4245</v>
      </c>
      <c r="C4185" s="104" t="s">
        <v>183</v>
      </c>
      <c r="D4185" s="129" t="s">
        <v>18397</v>
      </c>
    </row>
    <row r="4186" spans="1:4">
      <c r="A4186" s="105">
        <v>92674</v>
      </c>
      <c r="B4186" s="104" t="s">
        <v>4246</v>
      </c>
      <c r="C4186" s="104" t="s">
        <v>183</v>
      </c>
      <c r="D4186" s="129" t="s">
        <v>18398</v>
      </c>
    </row>
    <row r="4187" spans="1:4">
      <c r="A4187" s="105">
        <v>92675</v>
      </c>
      <c r="B4187" s="104" t="s">
        <v>4247</v>
      </c>
      <c r="C4187" s="104" t="s">
        <v>183</v>
      </c>
      <c r="D4187" s="129" t="s">
        <v>14961</v>
      </c>
    </row>
    <row r="4188" spans="1:4">
      <c r="A4188" s="105">
        <v>92676</v>
      </c>
      <c r="B4188" s="104" t="s">
        <v>4248</v>
      </c>
      <c r="C4188" s="104" t="s">
        <v>183</v>
      </c>
      <c r="D4188" s="129" t="s">
        <v>18399</v>
      </c>
    </row>
    <row r="4189" spans="1:4">
      <c r="A4189" s="105">
        <v>92677</v>
      </c>
      <c r="B4189" s="104" t="s">
        <v>4249</v>
      </c>
      <c r="C4189" s="104" t="s">
        <v>183</v>
      </c>
      <c r="D4189" s="129" t="s">
        <v>18400</v>
      </c>
    </row>
    <row r="4190" spans="1:4">
      <c r="A4190" s="105">
        <v>92678</v>
      </c>
      <c r="B4190" s="104" t="s">
        <v>4250</v>
      </c>
      <c r="C4190" s="104" t="s">
        <v>183</v>
      </c>
      <c r="D4190" s="129" t="s">
        <v>18401</v>
      </c>
    </row>
    <row r="4191" spans="1:4">
      <c r="A4191" s="105">
        <v>92679</v>
      </c>
      <c r="B4191" s="104" t="s">
        <v>4251</v>
      </c>
      <c r="C4191" s="104" t="s">
        <v>183</v>
      </c>
      <c r="D4191" s="129" t="s">
        <v>18402</v>
      </c>
    </row>
    <row r="4192" spans="1:4">
      <c r="A4192" s="105">
        <v>92680</v>
      </c>
      <c r="B4192" s="104" t="s">
        <v>4252</v>
      </c>
      <c r="C4192" s="104" t="s">
        <v>183</v>
      </c>
      <c r="D4192" s="129" t="s">
        <v>18403</v>
      </c>
    </row>
    <row r="4193" spans="1:4">
      <c r="A4193" s="105">
        <v>92681</v>
      </c>
      <c r="B4193" s="104" t="s">
        <v>4253</v>
      </c>
      <c r="C4193" s="104" t="s">
        <v>183</v>
      </c>
      <c r="D4193" s="129" t="s">
        <v>18404</v>
      </c>
    </row>
    <row r="4194" spans="1:4">
      <c r="A4194" s="105">
        <v>92682</v>
      </c>
      <c r="B4194" s="104" t="s">
        <v>4254</v>
      </c>
      <c r="C4194" s="104" t="s">
        <v>183</v>
      </c>
      <c r="D4194" s="129" t="s">
        <v>18405</v>
      </c>
    </row>
    <row r="4195" spans="1:4">
      <c r="A4195" s="105">
        <v>92683</v>
      </c>
      <c r="B4195" s="104" t="s">
        <v>4255</v>
      </c>
      <c r="C4195" s="104" t="s">
        <v>183</v>
      </c>
      <c r="D4195" s="129" t="s">
        <v>18406</v>
      </c>
    </row>
    <row r="4196" spans="1:4">
      <c r="A4196" s="105">
        <v>92684</v>
      </c>
      <c r="B4196" s="104" t="s">
        <v>4256</v>
      </c>
      <c r="C4196" s="104" t="s">
        <v>183</v>
      </c>
      <c r="D4196" s="129" t="s">
        <v>18407</v>
      </c>
    </row>
    <row r="4197" spans="1:4">
      <c r="A4197" s="105">
        <v>92685</v>
      </c>
      <c r="B4197" s="104" t="s">
        <v>4257</v>
      </c>
      <c r="C4197" s="104" t="s">
        <v>183</v>
      </c>
      <c r="D4197" s="129" t="s">
        <v>18408</v>
      </c>
    </row>
    <row r="4198" spans="1:4">
      <c r="A4198" s="105">
        <v>92686</v>
      </c>
      <c r="B4198" s="104" t="s">
        <v>4258</v>
      </c>
      <c r="C4198" s="104" t="s">
        <v>183</v>
      </c>
      <c r="D4198" s="129" t="s">
        <v>16717</v>
      </c>
    </row>
    <row r="4199" spans="1:4">
      <c r="A4199" s="105">
        <v>92692</v>
      </c>
      <c r="B4199" s="104" t="s">
        <v>4259</v>
      </c>
      <c r="C4199" s="104" t="s">
        <v>183</v>
      </c>
      <c r="D4199" s="129" t="s">
        <v>16909</v>
      </c>
    </row>
    <row r="4200" spans="1:4">
      <c r="A4200" s="105">
        <v>92693</v>
      </c>
      <c r="B4200" s="104" t="s">
        <v>4260</v>
      </c>
      <c r="C4200" s="104" t="s">
        <v>183</v>
      </c>
      <c r="D4200" s="129" t="s">
        <v>18409</v>
      </c>
    </row>
    <row r="4201" spans="1:4">
      <c r="A4201" s="105">
        <v>92694</v>
      </c>
      <c r="B4201" s="104" t="s">
        <v>4261</v>
      </c>
      <c r="C4201" s="104" t="s">
        <v>183</v>
      </c>
      <c r="D4201" s="129" t="s">
        <v>15749</v>
      </c>
    </row>
    <row r="4202" spans="1:4">
      <c r="A4202" s="105">
        <v>92695</v>
      </c>
      <c r="B4202" s="104" t="s">
        <v>4262</v>
      </c>
      <c r="C4202" s="104" t="s">
        <v>183</v>
      </c>
      <c r="D4202" s="129" t="s">
        <v>18410</v>
      </c>
    </row>
    <row r="4203" spans="1:4">
      <c r="A4203" s="105">
        <v>92696</v>
      </c>
      <c r="B4203" s="104" t="s">
        <v>4263</v>
      </c>
      <c r="C4203" s="104" t="s">
        <v>183</v>
      </c>
      <c r="D4203" s="129" t="s">
        <v>18411</v>
      </c>
    </row>
    <row r="4204" spans="1:4">
      <c r="A4204" s="105">
        <v>92697</v>
      </c>
      <c r="B4204" s="104" t="s">
        <v>4264</v>
      </c>
      <c r="C4204" s="104" t="s">
        <v>183</v>
      </c>
      <c r="D4204" s="129" t="s">
        <v>17915</v>
      </c>
    </row>
    <row r="4205" spans="1:4">
      <c r="A4205" s="105">
        <v>92698</v>
      </c>
      <c r="B4205" s="104" t="s">
        <v>4265</v>
      </c>
      <c r="C4205" s="104" t="s">
        <v>183</v>
      </c>
      <c r="D4205" s="129" t="s">
        <v>16947</v>
      </c>
    </row>
    <row r="4206" spans="1:4">
      <c r="A4206" s="105">
        <v>92699</v>
      </c>
      <c r="B4206" s="104" t="s">
        <v>4266</v>
      </c>
      <c r="C4206" s="104" t="s">
        <v>183</v>
      </c>
      <c r="D4206" s="129" t="s">
        <v>18412</v>
      </c>
    </row>
    <row r="4207" spans="1:4">
      <c r="A4207" s="105">
        <v>92700</v>
      </c>
      <c r="B4207" s="104" t="s">
        <v>4267</v>
      </c>
      <c r="C4207" s="104" t="s">
        <v>183</v>
      </c>
      <c r="D4207" s="129" t="s">
        <v>18413</v>
      </c>
    </row>
    <row r="4208" spans="1:4">
      <c r="A4208" s="105">
        <v>92701</v>
      </c>
      <c r="B4208" s="104" t="s">
        <v>4268</v>
      </c>
      <c r="C4208" s="104" t="s">
        <v>183</v>
      </c>
      <c r="D4208" s="129" t="s">
        <v>18414</v>
      </c>
    </row>
    <row r="4209" spans="1:4">
      <c r="A4209" s="105">
        <v>92702</v>
      </c>
      <c r="B4209" s="104" t="s">
        <v>4269</v>
      </c>
      <c r="C4209" s="104" t="s">
        <v>183</v>
      </c>
      <c r="D4209" s="129" t="s">
        <v>18415</v>
      </c>
    </row>
    <row r="4210" spans="1:4">
      <c r="A4210" s="105">
        <v>92703</v>
      </c>
      <c r="B4210" s="104" t="s">
        <v>4270</v>
      </c>
      <c r="C4210" s="104" t="s">
        <v>183</v>
      </c>
      <c r="D4210" s="129" t="s">
        <v>15405</v>
      </c>
    </row>
    <row r="4211" spans="1:4">
      <c r="A4211" s="105">
        <v>92704</v>
      </c>
      <c r="B4211" s="104" t="s">
        <v>4271</v>
      </c>
      <c r="C4211" s="104" t="s">
        <v>183</v>
      </c>
      <c r="D4211" s="129" t="s">
        <v>18416</v>
      </c>
    </row>
    <row r="4212" spans="1:4">
      <c r="A4212" s="105">
        <v>92705</v>
      </c>
      <c r="B4212" s="104" t="s">
        <v>4272</v>
      </c>
      <c r="C4212" s="104" t="s">
        <v>183</v>
      </c>
      <c r="D4212" s="129" t="s">
        <v>18417</v>
      </c>
    </row>
    <row r="4213" spans="1:4">
      <c r="A4213" s="105">
        <v>92706</v>
      </c>
      <c r="B4213" s="104" t="s">
        <v>4273</v>
      </c>
      <c r="C4213" s="104" t="s">
        <v>183</v>
      </c>
      <c r="D4213" s="129" t="s">
        <v>18418</v>
      </c>
    </row>
    <row r="4214" spans="1:4">
      <c r="A4214" s="105">
        <v>92889</v>
      </c>
      <c r="B4214" s="104" t="s">
        <v>4274</v>
      </c>
      <c r="C4214" s="104" t="s">
        <v>183</v>
      </c>
      <c r="D4214" s="129" t="s">
        <v>18419</v>
      </c>
    </row>
    <row r="4215" spans="1:4">
      <c r="A4215" s="105">
        <v>92890</v>
      </c>
      <c r="B4215" s="104" t="s">
        <v>263</v>
      </c>
      <c r="C4215" s="104" t="s">
        <v>183</v>
      </c>
      <c r="D4215" s="129" t="s">
        <v>18420</v>
      </c>
    </row>
    <row r="4216" spans="1:4">
      <c r="A4216" s="105">
        <v>92891</v>
      </c>
      <c r="B4216" s="104" t="s">
        <v>4275</v>
      </c>
      <c r="C4216" s="104" t="s">
        <v>183</v>
      </c>
      <c r="D4216" s="129" t="s">
        <v>18421</v>
      </c>
    </row>
    <row r="4217" spans="1:4">
      <c r="A4217" s="105">
        <v>92892</v>
      </c>
      <c r="B4217" s="104" t="s">
        <v>4276</v>
      </c>
      <c r="C4217" s="104" t="s">
        <v>183</v>
      </c>
      <c r="D4217" s="129" t="s">
        <v>18422</v>
      </c>
    </row>
    <row r="4218" spans="1:4">
      <c r="A4218" s="105">
        <v>92893</v>
      </c>
      <c r="B4218" s="104" t="s">
        <v>4277</v>
      </c>
      <c r="C4218" s="104" t="s">
        <v>183</v>
      </c>
      <c r="D4218" s="129" t="s">
        <v>18423</v>
      </c>
    </row>
    <row r="4219" spans="1:4">
      <c r="A4219" s="105">
        <v>92894</v>
      </c>
      <c r="B4219" s="104" t="s">
        <v>4278</v>
      </c>
      <c r="C4219" s="104" t="s">
        <v>183</v>
      </c>
      <c r="D4219" s="129" t="s">
        <v>18424</v>
      </c>
    </row>
    <row r="4220" spans="1:4">
      <c r="A4220" s="105">
        <v>92895</v>
      </c>
      <c r="B4220" s="104" t="s">
        <v>4279</v>
      </c>
      <c r="C4220" s="104" t="s">
        <v>183</v>
      </c>
      <c r="D4220" s="129" t="s">
        <v>18425</v>
      </c>
    </row>
    <row r="4221" spans="1:4">
      <c r="A4221" s="105">
        <v>92896</v>
      </c>
      <c r="B4221" s="104" t="s">
        <v>4280</v>
      </c>
      <c r="C4221" s="104" t="s">
        <v>183</v>
      </c>
      <c r="D4221" s="129" t="s">
        <v>18426</v>
      </c>
    </row>
    <row r="4222" spans="1:4">
      <c r="A4222" s="105">
        <v>92897</v>
      </c>
      <c r="B4222" s="104" t="s">
        <v>4281</v>
      </c>
      <c r="C4222" s="104" t="s">
        <v>183</v>
      </c>
      <c r="D4222" s="129" t="s">
        <v>18427</v>
      </c>
    </row>
    <row r="4223" spans="1:4">
      <c r="A4223" s="105">
        <v>92898</v>
      </c>
      <c r="B4223" s="104" t="s">
        <v>4282</v>
      </c>
      <c r="C4223" s="104" t="s">
        <v>183</v>
      </c>
      <c r="D4223" s="129" t="s">
        <v>18428</v>
      </c>
    </row>
    <row r="4224" spans="1:4">
      <c r="A4224" s="105">
        <v>92899</v>
      </c>
      <c r="B4224" s="104" t="s">
        <v>4283</v>
      </c>
      <c r="C4224" s="104" t="s">
        <v>183</v>
      </c>
      <c r="D4224" s="129" t="s">
        <v>18429</v>
      </c>
    </row>
    <row r="4225" spans="1:4">
      <c r="A4225" s="105">
        <v>92900</v>
      </c>
      <c r="B4225" s="104" t="s">
        <v>4284</v>
      </c>
      <c r="C4225" s="104" t="s">
        <v>183</v>
      </c>
      <c r="D4225" s="129" t="s">
        <v>18430</v>
      </c>
    </row>
    <row r="4226" spans="1:4">
      <c r="A4226" s="105">
        <v>92901</v>
      </c>
      <c r="B4226" s="104" t="s">
        <v>4285</v>
      </c>
      <c r="C4226" s="104" t="s">
        <v>183</v>
      </c>
      <c r="D4226" s="129" t="s">
        <v>18431</v>
      </c>
    </row>
    <row r="4227" spans="1:4">
      <c r="A4227" s="105">
        <v>92902</v>
      </c>
      <c r="B4227" s="104" t="s">
        <v>4286</v>
      </c>
      <c r="C4227" s="104" t="s">
        <v>183</v>
      </c>
      <c r="D4227" s="129" t="s">
        <v>18432</v>
      </c>
    </row>
    <row r="4228" spans="1:4">
      <c r="A4228" s="105">
        <v>92903</v>
      </c>
      <c r="B4228" s="104" t="s">
        <v>4287</v>
      </c>
      <c r="C4228" s="104" t="s">
        <v>183</v>
      </c>
      <c r="D4228" s="129" t="s">
        <v>18433</v>
      </c>
    </row>
    <row r="4229" spans="1:4">
      <c r="A4229" s="105">
        <v>92904</v>
      </c>
      <c r="B4229" s="104" t="s">
        <v>4288</v>
      </c>
      <c r="C4229" s="104" t="s">
        <v>183</v>
      </c>
      <c r="D4229" s="129" t="s">
        <v>18434</v>
      </c>
    </row>
    <row r="4230" spans="1:4">
      <c r="A4230" s="105">
        <v>92905</v>
      </c>
      <c r="B4230" s="104" t="s">
        <v>4289</v>
      </c>
      <c r="C4230" s="104" t="s">
        <v>183</v>
      </c>
      <c r="D4230" s="129" t="s">
        <v>18435</v>
      </c>
    </row>
    <row r="4231" spans="1:4">
      <c r="A4231" s="105">
        <v>92906</v>
      </c>
      <c r="B4231" s="104" t="s">
        <v>4290</v>
      </c>
      <c r="C4231" s="104" t="s">
        <v>183</v>
      </c>
      <c r="D4231" s="129" t="s">
        <v>15534</v>
      </c>
    </row>
    <row r="4232" spans="1:4">
      <c r="A4232" s="105">
        <v>92907</v>
      </c>
      <c r="B4232" s="104" t="s">
        <v>4291</v>
      </c>
      <c r="C4232" s="104" t="s">
        <v>183</v>
      </c>
      <c r="D4232" s="129" t="s">
        <v>18436</v>
      </c>
    </row>
    <row r="4233" spans="1:4">
      <c r="A4233" s="105">
        <v>92908</v>
      </c>
      <c r="B4233" s="104" t="s">
        <v>4292</v>
      </c>
      <c r="C4233" s="104" t="s">
        <v>183</v>
      </c>
      <c r="D4233" s="129" t="s">
        <v>18436</v>
      </c>
    </row>
    <row r="4234" spans="1:4">
      <c r="A4234" s="105">
        <v>92909</v>
      </c>
      <c r="B4234" s="104" t="s">
        <v>4293</v>
      </c>
      <c r="C4234" s="104" t="s">
        <v>183</v>
      </c>
      <c r="D4234" s="129" t="s">
        <v>18436</v>
      </c>
    </row>
    <row r="4235" spans="1:4">
      <c r="A4235" s="105">
        <v>92910</v>
      </c>
      <c r="B4235" s="104" t="s">
        <v>4294</v>
      </c>
      <c r="C4235" s="104" t="s">
        <v>183</v>
      </c>
      <c r="D4235" s="129" t="s">
        <v>18437</v>
      </c>
    </row>
    <row r="4236" spans="1:4">
      <c r="A4236" s="105">
        <v>92911</v>
      </c>
      <c r="B4236" s="104" t="s">
        <v>4295</v>
      </c>
      <c r="C4236" s="104" t="s">
        <v>183</v>
      </c>
      <c r="D4236" s="129" t="s">
        <v>18437</v>
      </c>
    </row>
    <row r="4237" spans="1:4">
      <c r="A4237" s="105">
        <v>92912</v>
      </c>
      <c r="B4237" s="104" t="s">
        <v>4296</v>
      </c>
      <c r="C4237" s="104" t="s">
        <v>183</v>
      </c>
      <c r="D4237" s="129" t="s">
        <v>17974</v>
      </c>
    </row>
    <row r="4238" spans="1:4">
      <c r="A4238" s="105">
        <v>92913</v>
      </c>
      <c r="B4238" s="104" t="s">
        <v>4297</v>
      </c>
      <c r="C4238" s="104" t="s">
        <v>183</v>
      </c>
      <c r="D4238" s="129" t="s">
        <v>18438</v>
      </c>
    </row>
    <row r="4239" spans="1:4">
      <c r="A4239" s="105">
        <v>92914</v>
      </c>
      <c r="B4239" s="104" t="s">
        <v>4298</v>
      </c>
      <c r="C4239" s="104" t="s">
        <v>183</v>
      </c>
      <c r="D4239" s="129" t="s">
        <v>18438</v>
      </c>
    </row>
    <row r="4240" spans="1:4">
      <c r="A4240" s="105">
        <v>92918</v>
      </c>
      <c r="B4240" s="104" t="s">
        <v>4299</v>
      </c>
      <c r="C4240" s="104" t="s">
        <v>183</v>
      </c>
      <c r="D4240" s="129" t="s">
        <v>18439</v>
      </c>
    </row>
    <row r="4241" spans="1:4">
      <c r="A4241" s="105">
        <v>92920</v>
      </c>
      <c r="B4241" s="104" t="s">
        <v>4300</v>
      </c>
      <c r="C4241" s="104" t="s">
        <v>183</v>
      </c>
      <c r="D4241" s="129" t="s">
        <v>18440</v>
      </c>
    </row>
    <row r="4242" spans="1:4">
      <c r="A4242" s="105">
        <v>92925</v>
      </c>
      <c r="B4242" s="104" t="s">
        <v>4301</v>
      </c>
      <c r="C4242" s="104" t="s">
        <v>183</v>
      </c>
      <c r="D4242" s="129" t="s">
        <v>18441</v>
      </c>
    </row>
    <row r="4243" spans="1:4">
      <c r="A4243" s="105">
        <v>92926</v>
      </c>
      <c r="B4243" s="104" t="s">
        <v>4302</v>
      </c>
      <c r="C4243" s="104" t="s">
        <v>183</v>
      </c>
      <c r="D4243" s="129" t="s">
        <v>18442</v>
      </c>
    </row>
    <row r="4244" spans="1:4">
      <c r="A4244" s="105">
        <v>92927</v>
      </c>
      <c r="B4244" s="104" t="s">
        <v>4303</v>
      </c>
      <c r="C4244" s="104" t="s">
        <v>183</v>
      </c>
      <c r="D4244" s="129" t="s">
        <v>18442</v>
      </c>
    </row>
    <row r="4245" spans="1:4">
      <c r="A4245" s="105">
        <v>92928</v>
      </c>
      <c r="B4245" s="104" t="s">
        <v>4304</v>
      </c>
      <c r="C4245" s="104" t="s">
        <v>183</v>
      </c>
      <c r="D4245" s="129" t="s">
        <v>15329</v>
      </c>
    </row>
    <row r="4246" spans="1:4">
      <c r="A4246" s="105">
        <v>92929</v>
      </c>
      <c r="B4246" s="104" t="s">
        <v>4305</v>
      </c>
      <c r="C4246" s="104" t="s">
        <v>183</v>
      </c>
      <c r="D4246" s="129" t="s">
        <v>15329</v>
      </c>
    </row>
    <row r="4247" spans="1:4">
      <c r="A4247" s="105">
        <v>92930</v>
      </c>
      <c r="B4247" s="104" t="s">
        <v>4306</v>
      </c>
      <c r="C4247" s="104" t="s">
        <v>183</v>
      </c>
      <c r="D4247" s="129" t="s">
        <v>15329</v>
      </c>
    </row>
    <row r="4248" spans="1:4">
      <c r="A4248" s="105">
        <v>92931</v>
      </c>
      <c r="B4248" s="104" t="s">
        <v>4307</v>
      </c>
      <c r="C4248" s="104" t="s">
        <v>183</v>
      </c>
      <c r="D4248" s="129" t="s">
        <v>18443</v>
      </c>
    </row>
    <row r="4249" spans="1:4">
      <c r="A4249" s="105">
        <v>92932</v>
      </c>
      <c r="B4249" s="104" t="s">
        <v>4308</v>
      </c>
      <c r="C4249" s="104" t="s">
        <v>183</v>
      </c>
      <c r="D4249" s="129" t="s">
        <v>18443</v>
      </c>
    </row>
    <row r="4250" spans="1:4">
      <c r="A4250" s="105">
        <v>92933</v>
      </c>
      <c r="B4250" s="104" t="s">
        <v>4309</v>
      </c>
      <c r="C4250" s="104" t="s">
        <v>183</v>
      </c>
      <c r="D4250" s="129" t="s">
        <v>18443</v>
      </c>
    </row>
    <row r="4251" spans="1:4">
      <c r="A4251" s="105">
        <v>92934</v>
      </c>
      <c r="B4251" s="104" t="s">
        <v>4310</v>
      </c>
      <c r="C4251" s="104" t="s">
        <v>183</v>
      </c>
      <c r="D4251" s="129" t="s">
        <v>18444</v>
      </c>
    </row>
    <row r="4252" spans="1:4">
      <c r="A4252" s="105">
        <v>92935</v>
      </c>
      <c r="B4252" s="104" t="s">
        <v>4311</v>
      </c>
      <c r="C4252" s="104" t="s">
        <v>183</v>
      </c>
      <c r="D4252" s="129" t="s">
        <v>18444</v>
      </c>
    </row>
    <row r="4253" spans="1:4">
      <c r="A4253" s="105">
        <v>92936</v>
      </c>
      <c r="B4253" s="104" t="s">
        <v>4312</v>
      </c>
      <c r="C4253" s="104" t="s">
        <v>183</v>
      </c>
      <c r="D4253" s="129" t="s">
        <v>18445</v>
      </c>
    </row>
    <row r="4254" spans="1:4">
      <c r="A4254" s="105">
        <v>92937</v>
      </c>
      <c r="B4254" s="104" t="s">
        <v>4313</v>
      </c>
      <c r="C4254" s="104" t="s">
        <v>183</v>
      </c>
      <c r="D4254" s="129" t="s">
        <v>18445</v>
      </c>
    </row>
    <row r="4255" spans="1:4">
      <c r="A4255" s="105">
        <v>92938</v>
      </c>
      <c r="B4255" s="104" t="s">
        <v>4314</v>
      </c>
      <c r="C4255" s="104" t="s">
        <v>183</v>
      </c>
      <c r="D4255" s="129" t="s">
        <v>18446</v>
      </c>
    </row>
    <row r="4256" spans="1:4">
      <c r="A4256" s="105">
        <v>92939</v>
      </c>
      <c r="B4256" s="104" t="s">
        <v>4315</v>
      </c>
      <c r="C4256" s="104" t="s">
        <v>183</v>
      </c>
      <c r="D4256" s="129" t="s">
        <v>18447</v>
      </c>
    </row>
    <row r="4257" spans="1:4">
      <c r="A4257" s="105">
        <v>92940</v>
      </c>
      <c r="B4257" s="104" t="s">
        <v>4316</v>
      </c>
      <c r="C4257" s="104" t="s">
        <v>183</v>
      </c>
      <c r="D4257" s="129" t="s">
        <v>18448</v>
      </c>
    </row>
    <row r="4258" spans="1:4">
      <c r="A4258" s="105">
        <v>92941</v>
      </c>
      <c r="B4258" s="104" t="s">
        <v>4317</v>
      </c>
      <c r="C4258" s="104" t="s">
        <v>183</v>
      </c>
      <c r="D4258" s="129" t="s">
        <v>17734</v>
      </c>
    </row>
    <row r="4259" spans="1:4">
      <c r="A4259" s="105">
        <v>92942</v>
      </c>
      <c r="B4259" s="104" t="s">
        <v>4318</v>
      </c>
      <c r="C4259" s="104" t="s">
        <v>183</v>
      </c>
      <c r="D4259" s="129" t="s">
        <v>17734</v>
      </c>
    </row>
    <row r="4260" spans="1:4">
      <c r="A4260" s="105">
        <v>92943</v>
      </c>
      <c r="B4260" s="104" t="s">
        <v>4319</v>
      </c>
      <c r="C4260" s="104" t="s">
        <v>183</v>
      </c>
      <c r="D4260" s="129" t="s">
        <v>18449</v>
      </c>
    </row>
    <row r="4261" spans="1:4">
      <c r="A4261" s="105">
        <v>92944</v>
      </c>
      <c r="B4261" s="104" t="s">
        <v>4320</v>
      </c>
      <c r="C4261" s="104" t="s">
        <v>183</v>
      </c>
      <c r="D4261" s="129" t="s">
        <v>18449</v>
      </c>
    </row>
    <row r="4262" spans="1:4">
      <c r="A4262" s="105">
        <v>92945</v>
      </c>
      <c r="B4262" s="104" t="s">
        <v>4321</v>
      </c>
      <c r="C4262" s="104" t="s">
        <v>183</v>
      </c>
      <c r="D4262" s="129" t="s">
        <v>18449</v>
      </c>
    </row>
    <row r="4263" spans="1:4">
      <c r="A4263" s="105">
        <v>92946</v>
      </c>
      <c r="B4263" s="104" t="s">
        <v>4322</v>
      </c>
      <c r="C4263" s="104" t="s">
        <v>183</v>
      </c>
      <c r="D4263" s="129" t="s">
        <v>18450</v>
      </c>
    </row>
    <row r="4264" spans="1:4">
      <c r="A4264" s="105">
        <v>92947</v>
      </c>
      <c r="B4264" s="104" t="s">
        <v>4323</v>
      </c>
      <c r="C4264" s="104" t="s">
        <v>183</v>
      </c>
      <c r="D4264" s="129" t="s">
        <v>18450</v>
      </c>
    </row>
    <row r="4265" spans="1:4">
      <c r="A4265" s="105">
        <v>92948</v>
      </c>
      <c r="B4265" s="104" t="s">
        <v>4324</v>
      </c>
      <c r="C4265" s="104" t="s">
        <v>183</v>
      </c>
      <c r="D4265" s="129" t="s">
        <v>18450</v>
      </c>
    </row>
    <row r="4266" spans="1:4">
      <c r="A4266" s="105">
        <v>92949</v>
      </c>
      <c r="B4266" s="104" t="s">
        <v>4325</v>
      </c>
      <c r="C4266" s="104" t="s">
        <v>183</v>
      </c>
      <c r="D4266" s="129" t="s">
        <v>18451</v>
      </c>
    </row>
    <row r="4267" spans="1:4">
      <c r="A4267" s="105">
        <v>92950</v>
      </c>
      <c r="B4267" s="104" t="s">
        <v>4326</v>
      </c>
      <c r="C4267" s="104" t="s">
        <v>183</v>
      </c>
      <c r="D4267" s="129" t="s">
        <v>18451</v>
      </c>
    </row>
    <row r="4268" spans="1:4">
      <c r="A4268" s="105">
        <v>92951</v>
      </c>
      <c r="B4268" s="104" t="s">
        <v>4327</v>
      </c>
      <c r="C4268" s="104" t="s">
        <v>183</v>
      </c>
      <c r="D4268" s="129" t="s">
        <v>18452</v>
      </c>
    </row>
    <row r="4269" spans="1:4">
      <c r="A4269" s="105">
        <v>92952</v>
      </c>
      <c r="B4269" s="104" t="s">
        <v>4328</v>
      </c>
      <c r="C4269" s="104" t="s">
        <v>183</v>
      </c>
      <c r="D4269" s="129" t="s">
        <v>18452</v>
      </c>
    </row>
    <row r="4270" spans="1:4">
      <c r="A4270" s="105">
        <v>92953</v>
      </c>
      <c r="B4270" s="104" t="s">
        <v>4329</v>
      </c>
      <c r="C4270" s="104" t="s">
        <v>183</v>
      </c>
      <c r="D4270" s="129" t="s">
        <v>18453</v>
      </c>
    </row>
    <row r="4271" spans="1:4">
      <c r="A4271" s="105">
        <v>93050</v>
      </c>
      <c r="B4271" s="104" t="s">
        <v>4330</v>
      </c>
      <c r="C4271" s="104" t="s">
        <v>183</v>
      </c>
      <c r="D4271" s="129" t="s">
        <v>15999</v>
      </c>
    </row>
    <row r="4272" spans="1:4">
      <c r="A4272" s="105">
        <v>93051</v>
      </c>
      <c r="B4272" s="104" t="s">
        <v>4331</v>
      </c>
      <c r="C4272" s="104" t="s">
        <v>183</v>
      </c>
      <c r="D4272" s="129" t="s">
        <v>18056</v>
      </c>
    </row>
    <row r="4273" spans="1:4">
      <c r="A4273" s="105">
        <v>93052</v>
      </c>
      <c r="B4273" s="104" t="s">
        <v>4332</v>
      </c>
      <c r="C4273" s="104" t="s">
        <v>183</v>
      </c>
      <c r="D4273" s="129" t="s">
        <v>18454</v>
      </c>
    </row>
    <row r="4274" spans="1:4">
      <c r="A4274" s="105">
        <v>93054</v>
      </c>
      <c r="B4274" s="104" t="s">
        <v>4333</v>
      </c>
      <c r="C4274" s="104" t="s">
        <v>183</v>
      </c>
      <c r="D4274" s="129" t="s">
        <v>18455</v>
      </c>
    </row>
    <row r="4275" spans="1:4">
      <c r="A4275" s="105">
        <v>93055</v>
      </c>
      <c r="B4275" s="104" t="s">
        <v>4334</v>
      </c>
      <c r="C4275" s="104" t="s">
        <v>183</v>
      </c>
      <c r="D4275" s="129" t="s">
        <v>18456</v>
      </c>
    </row>
    <row r="4276" spans="1:4">
      <c r="A4276" s="105">
        <v>93056</v>
      </c>
      <c r="B4276" s="104" t="s">
        <v>4335</v>
      </c>
      <c r="C4276" s="104" t="s">
        <v>183</v>
      </c>
      <c r="D4276" s="129" t="s">
        <v>17253</v>
      </c>
    </row>
    <row r="4277" spans="1:4">
      <c r="A4277" s="105">
        <v>93057</v>
      </c>
      <c r="B4277" s="104" t="s">
        <v>4336</v>
      </c>
      <c r="C4277" s="104" t="s">
        <v>183</v>
      </c>
      <c r="D4277" s="129" t="s">
        <v>18457</v>
      </c>
    </row>
    <row r="4278" spans="1:4">
      <c r="A4278" s="105">
        <v>93058</v>
      </c>
      <c r="B4278" s="104" t="s">
        <v>4337</v>
      </c>
      <c r="C4278" s="104" t="s">
        <v>183</v>
      </c>
      <c r="D4278" s="129" t="s">
        <v>18458</v>
      </c>
    </row>
    <row r="4279" spans="1:4">
      <c r="A4279" s="105">
        <v>93059</v>
      </c>
      <c r="B4279" s="104" t="s">
        <v>4338</v>
      </c>
      <c r="C4279" s="104" t="s">
        <v>183</v>
      </c>
      <c r="D4279" s="129" t="s">
        <v>18459</v>
      </c>
    </row>
    <row r="4280" spans="1:4">
      <c r="A4280" s="105">
        <v>93060</v>
      </c>
      <c r="B4280" s="104" t="s">
        <v>4339</v>
      </c>
      <c r="C4280" s="104" t="s">
        <v>183</v>
      </c>
      <c r="D4280" s="129" t="s">
        <v>18460</v>
      </c>
    </row>
    <row r="4281" spans="1:4">
      <c r="A4281" s="105">
        <v>93061</v>
      </c>
      <c r="B4281" s="104" t="s">
        <v>4340</v>
      </c>
      <c r="C4281" s="104" t="s">
        <v>183</v>
      </c>
      <c r="D4281" s="129" t="s">
        <v>18461</v>
      </c>
    </row>
    <row r="4282" spans="1:4">
      <c r="A4282" s="105">
        <v>93062</v>
      </c>
      <c r="B4282" s="104" t="s">
        <v>4341</v>
      </c>
      <c r="C4282" s="104" t="s">
        <v>183</v>
      </c>
      <c r="D4282" s="129" t="s">
        <v>14768</v>
      </c>
    </row>
    <row r="4283" spans="1:4">
      <c r="A4283" s="105">
        <v>93063</v>
      </c>
      <c r="B4283" s="104" t="s">
        <v>4342</v>
      </c>
      <c r="C4283" s="104" t="s">
        <v>183</v>
      </c>
      <c r="D4283" s="129" t="s">
        <v>18462</v>
      </c>
    </row>
    <row r="4284" spans="1:4">
      <c r="A4284" s="105">
        <v>93064</v>
      </c>
      <c r="B4284" s="104" t="s">
        <v>4343</v>
      </c>
      <c r="C4284" s="104" t="s">
        <v>183</v>
      </c>
      <c r="D4284" s="129" t="s">
        <v>18463</v>
      </c>
    </row>
    <row r="4285" spans="1:4">
      <c r="A4285" s="105">
        <v>93065</v>
      </c>
      <c r="B4285" s="104" t="s">
        <v>4344</v>
      </c>
      <c r="C4285" s="104" t="s">
        <v>183</v>
      </c>
      <c r="D4285" s="129" t="s">
        <v>15983</v>
      </c>
    </row>
    <row r="4286" spans="1:4">
      <c r="A4286" s="105">
        <v>93066</v>
      </c>
      <c r="B4286" s="104" t="s">
        <v>4345</v>
      </c>
      <c r="C4286" s="104" t="s">
        <v>183</v>
      </c>
      <c r="D4286" s="129" t="s">
        <v>18464</v>
      </c>
    </row>
    <row r="4287" spans="1:4">
      <c r="A4287" s="105">
        <v>93067</v>
      </c>
      <c r="B4287" s="104" t="s">
        <v>4346</v>
      </c>
      <c r="C4287" s="104" t="s">
        <v>183</v>
      </c>
      <c r="D4287" s="129" t="s">
        <v>18465</v>
      </c>
    </row>
    <row r="4288" spans="1:4">
      <c r="A4288" s="105">
        <v>93068</v>
      </c>
      <c r="B4288" s="104" t="s">
        <v>4347</v>
      </c>
      <c r="C4288" s="104" t="s">
        <v>183</v>
      </c>
      <c r="D4288" s="129" t="s">
        <v>18466</v>
      </c>
    </row>
    <row r="4289" spans="1:4">
      <c r="A4289" s="105">
        <v>93069</v>
      </c>
      <c r="B4289" s="104" t="s">
        <v>4348</v>
      </c>
      <c r="C4289" s="104" t="s">
        <v>183</v>
      </c>
      <c r="D4289" s="129" t="s">
        <v>18467</v>
      </c>
    </row>
    <row r="4290" spans="1:4">
      <c r="A4290" s="105">
        <v>93070</v>
      </c>
      <c r="B4290" s="104" t="s">
        <v>4349</v>
      </c>
      <c r="C4290" s="104" t="s">
        <v>183</v>
      </c>
      <c r="D4290" s="129" t="s">
        <v>18322</v>
      </c>
    </row>
    <row r="4291" spans="1:4">
      <c r="A4291" s="105">
        <v>93071</v>
      </c>
      <c r="B4291" s="104" t="s">
        <v>4350</v>
      </c>
      <c r="C4291" s="104" t="s">
        <v>183</v>
      </c>
      <c r="D4291" s="129" t="s">
        <v>18468</v>
      </c>
    </row>
    <row r="4292" spans="1:4">
      <c r="A4292" s="105">
        <v>93072</v>
      </c>
      <c r="B4292" s="104" t="s">
        <v>4351</v>
      </c>
      <c r="C4292" s="104" t="s">
        <v>183</v>
      </c>
      <c r="D4292" s="129" t="s">
        <v>18469</v>
      </c>
    </row>
    <row r="4293" spans="1:4">
      <c r="A4293" s="105">
        <v>93073</v>
      </c>
      <c r="B4293" s="104" t="s">
        <v>4352</v>
      </c>
      <c r="C4293" s="104" t="s">
        <v>183</v>
      </c>
      <c r="D4293" s="129" t="s">
        <v>16738</v>
      </c>
    </row>
    <row r="4294" spans="1:4">
      <c r="A4294" s="105">
        <v>93074</v>
      </c>
      <c r="B4294" s="104" t="s">
        <v>4353</v>
      </c>
      <c r="C4294" s="104" t="s">
        <v>183</v>
      </c>
      <c r="D4294" s="129" t="s">
        <v>18470</v>
      </c>
    </row>
    <row r="4295" spans="1:4">
      <c r="A4295" s="105">
        <v>93075</v>
      </c>
      <c r="B4295" s="104" t="s">
        <v>4354</v>
      </c>
      <c r="C4295" s="104" t="s">
        <v>183</v>
      </c>
      <c r="D4295" s="129" t="s">
        <v>18471</v>
      </c>
    </row>
    <row r="4296" spans="1:4">
      <c r="A4296" s="105">
        <v>93076</v>
      </c>
      <c r="B4296" s="104" t="s">
        <v>4355</v>
      </c>
      <c r="C4296" s="104" t="s">
        <v>183</v>
      </c>
      <c r="D4296" s="129" t="s">
        <v>15265</v>
      </c>
    </row>
    <row r="4297" spans="1:4">
      <c r="A4297" s="105">
        <v>93077</v>
      </c>
      <c r="B4297" s="104" t="s">
        <v>4356</v>
      </c>
      <c r="C4297" s="104" t="s">
        <v>183</v>
      </c>
      <c r="D4297" s="129" t="s">
        <v>18472</v>
      </c>
    </row>
    <row r="4298" spans="1:4">
      <c r="A4298" s="105">
        <v>93078</v>
      </c>
      <c r="B4298" s="104" t="s">
        <v>4357</v>
      </c>
      <c r="C4298" s="104" t="s">
        <v>183</v>
      </c>
      <c r="D4298" s="129" t="s">
        <v>18473</v>
      </c>
    </row>
    <row r="4299" spans="1:4">
      <c r="A4299" s="105">
        <v>93079</v>
      </c>
      <c r="B4299" s="104" t="s">
        <v>4358</v>
      </c>
      <c r="C4299" s="104" t="s">
        <v>183</v>
      </c>
      <c r="D4299" s="129" t="s">
        <v>15459</v>
      </c>
    </row>
    <row r="4300" spans="1:4">
      <c r="A4300" s="105">
        <v>93080</v>
      </c>
      <c r="B4300" s="104" t="s">
        <v>4359</v>
      </c>
      <c r="C4300" s="104" t="s">
        <v>183</v>
      </c>
      <c r="D4300" s="129" t="s">
        <v>14931</v>
      </c>
    </row>
    <row r="4301" spans="1:4">
      <c r="A4301" s="105">
        <v>93081</v>
      </c>
      <c r="B4301" s="104" t="s">
        <v>4360</v>
      </c>
      <c r="C4301" s="104" t="s">
        <v>183</v>
      </c>
      <c r="D4301" s="129" t="s">
        <v>18217</v>
      </c>
    </row>
    <row r="4302" spans="1:4">
      <c r="A4302" s="105">
        <v>93082</v>
      </c>
      <c r="B4302" s="104" t="s">
        <v>4361</v>
      </c>
      <c r="C4302" s="104" t="s">
        <v>183</v>
      </c>
      <c r="D4302" s="129" t="s">
        <v>18474</v>
      </c>
    </row>
    <row r="4303" spans="1:4">
      <c r="A4303" s="105">
        <v>93083</v>
      </c>
      <c r="B4303" s="104" t="s">
        <v>4362</v>
      </c>
      <c r="C4303" s="104" t="s">
        <v>183</v>
      </c>
      <c r="D4303" s="129" t="s">
        <v>18475</v>
      </c>
    </row>
    <row r="4304" spans="1:4">
      <c r="A4304" s="105">
        <v>93084</v>
      </c>
      <c r="B4304" s="104" t="s">
        <v>4363</v>
      </c>
      <c r="C4304" s="104" t="s">
        <v>183</v>
      </c>
      <c r="D4304" s="129" t="s">
        <v>17328</v>
      </c>
    </row>
    <row r="4305" spans="1:4">
      <c r="A4305" s="105">
        <v>93085</v>
      </c>
      <c r="B4305" s="104" t="s">
        <v>4364</v>
      </c>
      <c r="C4305" s="104" t="s">
        <v>183</v>
      </c>
      <c r="D4305" s="129" t="s">
        <v>18476</v>
      </c>
    </row>
    <row r="4306" spans="1:4">
      <c r="A4306" s="105">
        <v>93086</v>
      </c>
      <c r="B4306" s="104" t="s">
        <v>4365</v>
      </c>
      <c r="C4306" s="104" t="s">
        <v>183</v>
      </c>
      <c r="D4306" s="129" t="s">
        <v>18477</v>
      </c>
    </row>
    <row r="4307" spans="1:4">
      <c r="A4307" s="105">
        <v>93087</v>
      </c>
      <c r="B4307" s="104" t="s">
        <v>4366</v>
      </c>
      <c r="C4307" s="104" t="s">
        <v>183</v>
      </c>
      <c r="D4307" s="129" t="s">
        <v>18446</v>
      </c>
    </row>
    <row r="4308" spans="1:4">
      <c r="A4308" s="105">
        <v>93088</v>
      </c>
      <c r="B4308" s="104" t="s">
        <v>4367</v>
      </c>
      <c r="C4308" s="104" t="s">
        <v>183</v>
      </c>
      <c r="D4308" s="129" t="s">
        <v>18478</v>
      </c>
    </row>
    <row r="4309" spans="1:4">
      <c r="A4309" s="105">
        <v>93089</v>
      </c>
      <c r="B4309" s="104" t="s">
        <v>4368</v>
      </c>
      <c r="C4309" s="104" t="s">
        <v>183</v>
      </c>
      <c r="D4309" s="129" t="s">
        <v>18479</v>
      </c>
    </row>
    <row r="4310" spans="1:4">
      <c r="A4310" s="105">
        <v>93090</v>
      </c>
      <c r="B4310" s="104" t="s">
        <v>4369</v>
      </c>
      <c r="C4310" s="104" t="s">
        <v>183</v>
      </c>
      <c r="D4310" s="129" t="s">
        <v>18333</v>
      </c>
    </row>
    <row r="4311" spans="1:4">
      <c r="A4311" s="105">
        <v>93091</v>
      </c>
      <c r="B4311" s="104" t="s">
        <v>4370</v>
      </c>
      <c r="C4311" s="104" t="s">
        <v>183</v>
      </c>
      <c r="D4311" s="129" t="s">
        <v>18480</v>
      </c>
    </row>
    <row r="4312" spans="1:4">
      <c r="A4312" s="105">
        <v>93092</v>
      </c>
      <c r="B4312" s="104" t="s">
        <v>4371</v>
      </c>
      <c r="C4312" s="104" t="s">
        <v>183</v>
      </c>
      <c r="D4312" s="129" t="s">
        <v>18481</v>
      </c>
    </row>
    <row r="4313" spans="1:4">
      <c r="A4313" s="105">
        <v>93093</v>
      </c>
      <c r="B4313" s="104" t="s">
        <v>4372</v>
      </c>
      <c r="C4313" s="104" t="s">
        <v>183</v>
      </c>
      <c r="D4313" s="129" t="s">
        <v>18482</v>
      </c>
    </row>
    <row r="4314" spans="1:4">
      <c r="A4314" s="105">
        <v>93094</v>
      </c>
      <c r="B4314" s="104" t="s">
        <v>4373</v>
      </c>
      <c r="C4314" s="104" t="s">
        <v>183</v>
      </c>
      <c r="D4314" s="129" t="s">
        <v>18483</v>
      </c>
    </row>
    <row r="4315" spans="1:4">
      <c r="A4315" s="105">
        <v>93095</v>
      </c>
      <c r="B4315" s="104" t="s">
        <v>4374</v>
      </c>
      <c r="C4315" s="104" t="s">
        <v>183</v>
      </c>
      <c r="D4315" s="129" t="s">
        <v>18484</v>
      </c>
    </row>
    <row r="4316" spans="1:4">
      <c r="A4316" s="105">
        <v>93096</v>
      </c>
      <c r="B4316" s="104" t="s">
        <v>4375</v>
      </c>
      <c r="C4316" s="104" t="s">
        <v>183</v>
      </c>
      <c r="D4316" s="129" t="s">
        <v>18485</v>
      </c>
    </row>
    <row r="4317" spans="1:4">
      <c r="A4317" s="105">
        <v>93097</v>
      </c>
      <c r="B4317" s="104" t="s">
        <v>4376</v>
      </c>
      <c r="C4317" s="104" t="s">
        <v>183</v>
      </c>
      <c r="D4317" s="129" t="s">
        <v>18035</v>
      </c>
    </row>
    <row r="4318" spans="1:4">
      <c r="A4318" s="105">
        <v>93098</v>
      </c>
      <c r="B4318" s="104" t="s">
        <v>4377</v>
      </c>
      <c r="C4318" s="104" t="s">
        <v>183</v>
      </c>
      <c r="D4318" s="129" t="s">
        <v>15412</v>
      </c>
    </row>
    <row r="4319" spans="1:4">
      <c r="A4319" s="105">
        <v>93099</v>
      </c>
      <c r="B4319" s="104" t="s">
        <v>4378</v>
      </c>
      <c r="C4319" s="104" t="s">
        <v>183</v>
      </c>
      <c r="D4319" s="129" t="s">
        <v>18486</v>
      </c>
    </row>
    <row r="4320" spans="1:4">
      <c r="A4320" s="105">
        <v>93100</v>
      </c>
      <c r="B4320" s="104" t="s">
        <v>4379</v>
      </c>
      <c r="C4320" s="104" t="s">
        <v>183</v>
      </c>
      <c r="D4320" s="129" t="s">
        <v>18487</v>
      </c>
    </row>
    <row r="4321" spans="1:4">
      <c r="A4321" s="105">
        <v>93101</v>
      </c>
      <c r="B4321" s="104" t="s">
        <v>4380</v>
      </c>
      <c r="C4321" s="104" t="s">
        <v>183</v>
      </c>
      <c r="D4321" s="129" t="s">
        <v>18488</v>
      </c>
    </row>
    <row r="4322" spans="1:4">
      <c r="A4322" s="105">
        <v>93102</v>
      </c>
      <c r="B4322" s="104" t="s">
        <v>4381</v>
      </c>
      <c r="C4322" s="104" t="s">
        <v>183</v>
      </c>
      <c r="D4322" s="129" t="s">
        <v>18489</v>
      </c>
    </row>
    <row r="4323" spans="1:4">
      <c r="A4323" s="105">
        <v>93103</v>
      </c>
      <c r="B4323" s="104" t="s">
        <v>4382</v>
      </c>
      <c r="C4323" s="104" t="s">
        <v>183</v>
      </c>
      <c r="D4323" s="129" t="s">
        <v>18490</v>
      </c>
    </row>
    <row r="4324" spans="1:4">
      <c r="A4324" s="105">
        <v>93104</v>
      </c>
      <c r="B4324" s="104" t="s">
        <v>4383</v>
      </c>
      <c r="C4324" s="104" t="s">
        <v>183</v>
      </c>
      <c r="D4324" s="129" t="s">
        <v>18491</v>
      </c>
    </row>
    <row r="4325" spans="1:4">
      <c r="A4325" s="105">
        <v>93105</v>
      </c>
      <c r="B4325" s="104" t="s">
        <v>4384</v>
      </c>
      <c r="C4325" s="104" t="s">
        <v>183</v>
      </c>
      <c r="D4325" s="129" t="s">
        <v>18492</v>
      </c>
    </row>
    <row r="4326" spans="1:4">
      <c r="A4326" s="105">
        <v>93106</v>
      </c>
      <c r="B4326" s="104" t="s">
        <v>4385</v>
      </c>
      <c r="C4326" s="104" t="s">
        <v>183</v>
      </c>
      <c r="D4326" s="129" t="s">
        <v>18493</v>
      </c>
    </row>
    <row r="4327" spans="1:4">
      <c r="A4327" s="105">
        <v>93107</v>
      </c>
      <c r="B4327" s="104" t="s">
        <v>4386</v>
      </c>
      <c r="C4327" s="104" t="s">
        <v>183</v>
      </c>
      <c r="D4327" s="129" t="s">
        <v>14935</v>
      </c>
    </row>
    <row r="4328" spans="1:4">
      <c r="A4328" s="105">
        <v>93108</v>
      </c>
      <c r="B4328" s="104" t="s">
        <v>4387</v>
      </c>
      <c r="C4328" s="104" t="s">
        <v>183</v>
      </c>
      <c r="D4328" s="129" t="s">
        <v>18494</v>
      </c>
    </row>
    <row r="4329" spans="1:4">
      <c r="A4329" s="105">
        <v>93109</v>
      </c>
      <c r="B4329" s="104" t="s">
        <v>4388</v>
      </c>
      <c r="C4329" s="104" t="s">
        <v>183</v>
      </c>
      <c r="D4329" s="129" t="s">
        <v>18495</v>
      </c>
    </row>
    <row r="4330" spans="1:4">
      <c r="A4330" s="105">
        <v>93110</v>
      </c>
      <c r="B4330" s="104" t="s">
        <v>4389</v>
      </c>
      <c r="C4330" s="104" t="s">
        <v>183</v>
      </c>
      <c r="D4330" s="129" t="s">
        <v>15027</v>
      </c>
    </row>
    <row r="4331" spans="1:4">
      <c r="A4331" s="105">
        <v>93111</v>
      </c>
      <c r="B4331" s="104" t="s">
        <v>4390</v>
      </c>
      <c r="C4331" s="104" t="s">
        <v>183</v>
      </c>
      <c r="D4331" s="129" t="s">
        <v>18496</v>
      </c>
    </row>
    <row r="4332" spans="1:4">
      <c r="A4332" s="105">
        <v>93112</v>
      </c>
      <c r="B4332" s="104" t="s">
        <v>4391</v>
      </c>
      <c r="C4332" s="104" t="s">
        <v>183</v>
      </c>
      <c r="D4332" s="129" t="s">
        <v>16710</v>
      </c>
    </row>
    <row r="4333" spans="1:4">
      <c r="A4333" s="105">
        <v>93113</v>
      </c>
      <c r="B4333" s="104" t="s">
        <v>4392</v>
      </c>
      <c r="C4333" s="104" t="s">
        <v>183</v>
      </c>
      <c r="D4333" s="129" t="s">
        <v>17902</v>
      </c>
    </row>
    <row r="4334" spans="1:4">
      <c r="A4334" s="105">
        <v>93114</v>
      </c>
      <c r="B4334" s="104" t="s">
        <v>4393</v>
      </c>
      <c r="C4334" s="104" t="s">
        <v>183</v>
      </c>
      <c r="D4334" s="129" t="s">
        <v>18497</v>
      </c>
    </row>
    <row r="4335" spans="1:4">
      <c r="A4335" s="105">
        <v>93115</v>
      </c>
      <c r="B4335" s="104" t="s">
        <v>4394</v>
      </c>
      <c r="C4335" s="104" t="s">
        <v>183</v>
      </c>
      <c r="D4335" s="129" t="s">
        <v>18498</v>
      </c>
    </row>
    <row r="4336" spans="1:4">
      <c r="A4336" s="105">
        <v>93116</v>
      </c>
      <c r="B4336" s="104" t="s">
        <v>4395</v>
      </c>
      <c r="C4336" s="104" t="s">
        <v>183</v>
      </c>
      <c r="D4336" s="129" t="s">
        <v>18499</v>
      </c>
    </row>
    <row r="4337" spans="1:4">
      <c r="A4337" s="105">
        <v>93117</v>
      </c>
      <c r="B4337" s="104" t="s">
        <v>4396</v>
      </c>
      <c r="C4337" s="104" t="s">
        <v>183</v>
      </c>
      <c r="D4337" s="129" t="s">
        <v>18500</v>
      </c>
    </row>
    <row r="4338" spans="1:4">
      <c r="A4338" s="105">
        <v>93118</v>
      </c>
      <c r="B4338" s="104" t="s">
        <v>4397</v>
      </c>
      <c r="C4338" s="104" t="s">
        <v>183</v>
      </c>
      <c r="D4338" s="129" t="s">
        <v>18501</v>
      </c>
    </row>
    <row r="4339" spans="1:4">
      <c r="A4339" s="105">
        <v>93119</v>
      </c>
      <c r="B4339" s="104" t="s">
        <v>4398</v>
      </c>
      <c r="C4339" s="104" t="s">
        <v>183</v>
      </c>
      <c r="D4339" s="129" t="s">
        <v>17946</v>
      </c>
    </row>
    <row r="4340" spans="1:4">
      <c r="A4340" s="105">
        <v>93120</v>
      </c>
      <c r="B4340" s="104" t="s">
        <v>4399</v>
      </c>
      <c r="C4340" s="104" t="s">
        <v>183</v>
      </c>
      <c r="D4340" s="129" t="s">
        <v>18502</v>
      </c>
    </row>
    <row r="4341" spans="1:4">
      <c r="A4341" s="105">
        <v>93121</v>
      </c>
      <c r="B4341" s="104" t="s">
        <v>4400</v>
      </c>
      <c r="C4341" s="104" t="s">
        <v>183</v>
      </c>
      <c r="D4341" s="129" t="s">
        <v>18503</v>
      </c>
    </row>
    <row r="4342" spans="1:4">
      <c r="A4342" s="105">
        <v>93122</v>
      </c>
      <c r="B4342" s="104" t="s">
        <v>4401</v>
      </c>
      <c r="C4342" s="104" t="s">
        <v>183</v>
      </c>
      <c r="D4342" s="129" t="s">
        <v>18504</v>
      </c>
    </row>
    <row r="4343" spans="1:4">
      <c r="A4343" s="105">
        <v>93123</v>
      </c>
      <c r="B4343" s="104" t="s">
        <v>4402</v>
      </c>
      <c r="C4343" s="104" t="s">
        <v>183</v>
      </c>
      <c r="D4343" s="129" t="s">
        <v>18505</v>
      </c>
    </row>
    <row r="4344" spans="1:4">
      <c r="A4344" s="105">
        <v>93124</v>
      </c>
      <c r="B4344" s="104" t="s">
        <v>4403</v>
      </c>
      <c r="C4344" s="104" t="s">
        <v>183</v>
      </c>
      <c r="D4344" s="129" t="s">
        <v>18506</v>
      </c>
    </row>
    <row r="4345" spans="1:4">
      <c r="A4345" s="105">
        <v>93125</v>
      </c>
      <c r="B4345" s="104" t="s">
        <v>4404</v>
      </c>
      <c r="C4345" s="104" t="s">
        <v>183</v>
      </c>
      <c r="D4345" s="129" t="s">
        <v>18507</v>
      </c>
    </row>
    <row r="4346" spans="1:4">
      <c r="A4346" s="105">
        <v>93126</v>
      </c>
      <c r="B4346" s="104" t="s">
        <v>4405</v>
      </c>
      <c r="C4346" s="104" t="s">
        <v>183</v>
      </c>
      <c r="D4346" s="129" t="s">
        <v>18508</v>
      </c>
    </row>
    <row r="4347" spans="1:4">
      <c r="A4347" s="105">
        <v>93133</v>
      </c>
      <c r="B4347" s="104" t="s">
        <v>4406</v>
      </c>
      <c r="C4347" s="104" t="s">
        <v>183</v>
      </c>
      <c r="D4347" s="129" t="s">
        <v>15808</v>
      </c>
    </row>
    <row r="4348" spans="1:4">
      <c r="A4348" s="105">
        <v>94465</v>
      </c>
      <c r="B4348" s="104" t="s">
        <v>4407</v>
      </c>
      <c r="C4348" s="104" t="s">
        <v>183</v>
      </c>
      <c r="D4348" s="129" t="s">
        <v>18509</v>
      </c>
    </row>
    <row r="4349" spans="1:4">
      <c r="A4349" s="105">
        <v>94466</v>
      </c>
      <c r="B4349" s="104" t="s">
        <v>4408</v>
      </c>
      <c r="C4349" s="104" t="s">
        <v>183</v>
      </c>
      <c r="D4349" s="129" t="s">
        <v>18510</v>
      </c>
    </row>
    <row r="4350" spans="1:4">
      <c r="A4350" s="105">
        <v>94467</v>
      </c>
      <c r="B4350" s="104" t="s">
        <v>4409</v>
      </c>
      <c r="C4350" s="104" t="s">
        <v>183</v>
      </c>
      <c r="D4350" s="129" t="s">
        <v>18511</v>
      </c>
    </row>
    <row r="4351" spans="1:4">
      <c r="A4351" s="105">
        <v>94468</v>
      </c>
      <c r="B4351" s="104" t="s">
        <v>4410</v>
      </c>
      <c r="C4351" s="104" t="s">
        <v>183</v>
      </c>
      <c r="D4351" s="129" t="s">
        <v>18512</v>
      </c>
    </row>
    <row r="4352" spans="1:4">
      <c r="A4352" s="105">
        <v>94469</v>
      </c>
      <c r="B4352" s="104" t="s">
        <v>4411</v>
      </c>
      <c r="C4352" s="104" t="s">
        <v>183</v>
      </c>
      <c r="D4352" s="129" t="s">
        <v>18513</v>
      </c>
    </row>
    <row r="4353" spans="1:4">
      <c r="A4353" s="105">
        <v>94470</v>
      </c>
      <c r="B4353" s="104" t="s">
        <v>4412</v>
      </c>
      <c r="C4353" s="104" t="s">
        <v>183</v>
      </c>
      <c r="D4353" s="129" t="s">
        <v>18514</v>
      </c>
    </row>
    <row r="4354" spans="1:4">
      <c r="A4354" s="105">
        <v>94471</v>
      </c>
      <c r="B4354" s="104" t="s">
        <v>4413</v>
      </c>
      <c r="C4354" s="104" t="s">
        <v>183</v>
      </c>
      <c r="D4354" s="129" t="s">
        <v>18515</v>
      </c>
    </row>
    <row r="4355" spans="1:4">
      <c r="A4355" s="105">
        <v>94472</v>
      </c>
      <c r="B4355" s="104" t="s">
        <v>4414</v>
      </c>
      <c r="C4355" s="104" t="s">
        <v>183</v>
      </c>
      <c r="D4355" s="129" t="s">
        <v>18516</v>
      </c>
    </row>
    <row r="4356" spans="1:4">
      <c r="A4356" s="105">
        <v>94473</v>
      </c>
      <c r="B4356" s="104" t="s">
        <v>4415</v>
      </c>
      <c r="C4356" s="104" t="s">
        <v>183</v>
      </c>
      <c r="D4356" s="129" t="s">
        <v>18517</v>
      </c>
    </row>
    <row r="4357" spans="1:4">
      <c r="A4357" s="105">
        <v>94474</v>
      </c>
      <c r="B4357" s="104" t="s">
        <v>4416</v>
      </c>
      <c r="C4357" s="104" t="s">
        <v>183</v>
      </c>
      <c r="D4357" s="129" t="s">
        <v>18518</v>
      </c>
    </row>
    <row r="4358" spans="1:4">
      <c r="A4358" s="105">
        <v>94475</v>
      </c>
      <c r="B4358" s="104" t="s">
        <v>4417</v>
      </c>
      <c r="C4358" s="104" t="s">
        <v>183</v>
      </c>
      <c r="D4358" s="129" t="s">
        <v>18519</v>
      </c>
    </row>
    <row r="4359" spans="1:4">
      <c r="A4359" s="105">
        <v>94476</v>
      </c>
      <c r="B4359" s="104" t="s">
        <v>4418</v>
      </c>
      <c r="C4359" s="104" t="s">
        <v>183</v>
      </c>
      <c r="D4359" s="129" t="s">
        <v>18520</v>
      </c>
    </row>
    <row r="4360" spans="1:4">
      <c r="A4360" s="105">
        <v>94477</v>
      </c>
      <c r="B4360" s="104" t="s">
        <v>4419</v>
      </c>
      <c r="C4360" s="104" t="s">
        <v>183</v>
      </c>
      <c r="D4360" s="129" t="s">
        <v>18521</v>
      </c>
    </row>
    <row r="4361" spans="1:4">
      <c r="A4361" s="105">
        <v>94478</v>
      </c>
      <c r="B4361" s="104" t="s">
        <v>4420</v>
      </c>
      <c r="C4361" s="104" t="s">
        <v>183</v>
      </c>
      <c r="D4361" s="129" t="s">
        <v>18522</v>
      </c>
    </row>
    <row r="4362" spans="1:4">
      <c r="A4362" s="105">
        <v>94479</v>
      </c>
      <c r="B4362" s="104" t="s">
        <v>4421</v>
      </c>
      <c r="C4362" s="104" t="s">
        <v>183</v>
      </c>
      <c r="D4362" s="129" t="s">
        <v>18523</v>
      </c>
    </row>
    <row r="4363" spans="1:4">
      <c r="A4363" s="105">
        <v>94606</v>
      </c>
      <c r="B4363" s="104" t="s">
        <v>4422</v>
      </c>
      <c r="C4363" s="104" t="s">
        <v>183</v>
      </c>
      <c r="D4363" s="129" t="s">
        <v>18524</v>
      </c>
    </row>
    <row r="4364" spans="1:4">
      <c r="A4364" s="105">
        <v>94608</v>
      </c>
      <c r="B4364" s="104" t="s">
        <v>4423</v>
      </c>
      <c r="C4364" s="104" t="s">
        <v>183</v>
      </c>
      <c r="D4364" s="129" t="s">
        <v>18525</v>
      </c>
    </row>
    <row r="4365" spans="1:4">
      <c r="A4365" s="105">
        <v>94610</v>
      </c>
      <c r="B4365" s="104" t="s">
        <v>4424</v>
      </c>
      <c r="C4365" s="104" t="s">
        <v>183</v>
      </c>
      <c r="D4365" s="129" t="s">
        <v>18526</v>
      </c>
    </row>
    <row r="4366" spans="1:4">
      <c r="A4366" s="105">
        <v>94612</v>
      </c>
      <c r="B4366" s="104" t="s">
        <v>4425</v>
      </c>
      <c r="C4366" s="104" t="s">
        <v>183</v>
      </c>
      <c r="D4366" s="129" t="s">
        <v>18527</v>
      </c>
    </row>
    <row r="4367" spans="1:4">
      <c r="A4367" s="105">
        <v>94614</v>
      </c>
      <c r="B4367" s="104" t="s">
        <v>4426</v>
      </c>
      <c r="C4367" s="104" t="s">
        <v>183</v>
      </c>
      <c r="D4367" s="129" t="s">
        <v>18528</v>
      </c>
    </row>
    <row r="4368" spans="1:4">
      <c r="A4368" s="105">
        <v>94615</v>
      </c>
      <c r="B4368" s="104" t="s">
        <v>4427</v>
      </c>
      <c r="C4368" s="104" t="s">
        <v>183</v>
      </c>
      <c r="D4368" s="129" t="s">
        <v>18529</v>
      </c>
    </row>
    <row r="4369" spans="1:4">
      <c r="A4369" s="105">
        <v>94616</v>
      </c>
      <c r="B4369" s="104" t="s">
        <v>4428</v>
      </c>
      <c r="C4369" s="104" t="s">
        <v>183</v>
      </c>
      <c r="D4369" s="129" t="s">
        <v>18530</v>
      </c>
    </row>
    <row r="4370" spans="1:4">
      <c r="A4370" s="105">
        <v>94617</v>
      </c>
      <c r="B4370" s="104" t="s">
        <v>4429</v>
      </c>
      <c r="C4370" s="104" t="s">
        <v>183</v>
      </c>
      <c r="D4370" s="129" t="s">
        <v>18531</v>
      </c>
    </row>
    <row r="4371" spans="1:4">
      <c r="A4371" s="105">
        <v>94618</v>
      </c>
      <c r="B4371" s="104" t="s">
        <v>4430</v>
      </c>
      <c r="C4371" s="104" t="s">
        <v>183</v>
      </c>
      <c r="D4371" s="129" t="s">
        <v>18532</v>
      </c>
    </row>
    <row r="4372" spans="1:4">
      <c r="A4372" s="105">
        <v>94620</v>
      </c>
      <c r="B4372" s="104" t="s">
        <v>4431</v>
      </c>
      <c r="C4372" s="104" t="s">
        <v>183</v>
      </c>
      <c r="D4372" s="129" t="s">
        <v>18533</v>
      </c>
    </row>
    <row r="4373" spans="1:4">
      <c r="A4373" s="105">
        <v>94622</v>
      </c>
      <c r="B4373" s="104" t="s">
        <v>4432</v>
      </c>
      <c r="C4373" s="104" t="s">
        <v>183</v>
      </c>
      <c r="D4373" s="129" t="s">
        <v>18534</v>
      </c>
    </row>
    <row r="4374" spans="1:4">
      <c r="A4374" s="105">
        <v>94623</v>
      </c>
      <c r="B4374" s="104" t="s">
        <v>4433</v>
      </c>
      <c r="C4374" s="104" t="s">
        <v>183</v>
      </c>
      <c r="D4374" s="129" t="s">
        <v>18535</v>
      </c>
    </row>
    <row r="4375" spans="1:4">
      <c r="A4375" s="105">
        <v>94624</v>
      </c>
      <c r="B4375" s="104" t="s">
        <v>4434</v>
      </c>
      <c r="C4375" s="104" t="s">
        <v>183</v>
      </c>
      <c r="D4375" s="129" t="s">
        <v>18536</v>
      </c>
    </row>
    <row r="4376" spans="1:4">
      <c r="A4376" s="105">
        <v>94625</v>
      </c>
      <c r="B4376" s="104" t="s">
        <v>4435</v>
      </c>
      <c r="C4376" s="104" t="s">
        <v>183</v>
      </c>
      <c r="D4376" s="129" t="s">
        <v>18537</v>
      </c>
    </row>
    <row r="4377" spans="1:4">
      <c r="A4377" s="105">
        <v>94656</v>
      </c>
      <c r="B4377" s="104" t="s">
        <v>4436</v>
      </c>
      <c r="C4377" s="104" t="s">
        <v>183</v>
      </c>
      <c r="D4377" s="129" t="s">
        <v>18538</v>
      </c>
    </row>
    <row r="4378" spans="1:4">
      <c r="A4378" s="105">
        <v>94657</v>
      </c>
      <c r="B4378" s="104" t="s">
        <v>4437</v>
      </c>
      <c r="C4378" s="104" t="s">
        <v>183</v>
      </c>
      <c r="D4378" s="129" t="s">
        <v>18539</v>
      </c>
    </row>
    <row r="4379" spans="1:4">
      <c r="A4379" s="105">
        <v>94658</v>
      </c>
      <c r="B4379" s="104" t="s">
        <v>4438</v>
      </c>
      <c r="C4379" s="104" t="s">
        <v>183</v>
      </c>
      <c r="D4379" s="129" t="s">
        <v>17212</v>
      </c>
    </row>
    <row r="4380" spans="1:4">
      <c r="A4380" s="105">
        <v>94659</v>
      </c>
      <c r="B4380" s="104" t="s">
        <v>4439</v>
      </c>
      <c r="C4380" s="104" t="s">
        <v>183</v>
      </c>
      <c r="D4380" s="129" t="s">
        <v>18540</v>
      </c>
    </row>
    <row r="4381" spans="1:4">
      <c r="A4381" s="105">
        <v>94660</v>
      </c>
      <c r="B4381" s="104" t="s">
        <v>4440</v>
      </c>
      <c r="C4381" s="104" t="s">
        <v>183</v>
      </c>
      <c r="D4381" s="129" t="s">
        <v>15694</v>
      </c>
    </row>
    <row r="4382" spans="1:4">
      <c r="A4382" s="105">
        <v>94661</v>
      </c>
      <c r="B4382" s="104" t="s">
        <v>4441</v>
      </c>
      <c r="C4382" s="104" t="s">
        <v>183</v>
      </c>
      <c r="D4382" s="129" t="s">
        <v>16931</v>
      </c>
    </row>
    <row r="4383" spans="1:4">
      <c r="A4383" s="105">
        <v>94662</v>
      </c>
      <c r="B4383" s="104" t="s">
        <v>4442</v>
      </c>
      <c r="C4383" s="104" t="s">
        <v>183</v>
      </c>
      <c r="D4383" s="129" t="s">
        <v>18332</v>
      </c>
    </row>
    <row r="4384" spans="1:4">
      <c r="A4384" s="105">
        <v>94663</v>
      </c>
      <c r="B4384" s="104" t="s">
        <v>4443</v>
      </c>
      <c r="C4384" s="104" t="s">
        <v>183</v>
      </c>
      <c r="D4384" s="129" t="s">
        <v>16905</v>
      </c>
    </row>
    <row r="4385" spans="1:4">
      <c r="A4385" s="105">
        <v>94664</v>
      </c>
      <c r="B4385" s="104" t="s">
        <v>4444</v>
      </c>
      <c r="C4385" s="104" t="s">
        <v>183</v>
      </c>
      <c r="D4385" s="129" t="s">
        <v>17310</v>
      </c>
    </row>
    <row r="4386" spans="1:4">
      <c r="A4386" s="105">
        <v>94665</v>
      </c>
      <c r="B4386" s="104" t="s">
        <v>4445</v>
      </c>
      <c r="C4386" s="104" t="s">
        <v>183</v>
      </c>
      <c r="D4386" s="129" t="s">
        <v>18541</v>
      </c>
    </row>
    <row r="4387" spans="1:4">
      <c r="A4387" s="105">
        <v>94666</v>
      </c>
      <c r="B4387" s="104" t="s">
        <v>4446</v>
      </c>
      <c r="C4387" s="104" t="s">
        <v>183</v>
      </c>
      <c r="D4387" s="129" t="s">
        <v>18542</v>
      </c>
    </row>
    <row r="4388" spans="1:4">
      <c r="A4388" s="105">
        <v>94667</v>
      </c>
      <c r="B4388" s="104" t="s">
        <v>4447</v>
      </c>
      <c r="C4388" s="104" t="s">
        <v>183</v>
      </c>
      <c r="D4388" s="129" t="s">
        <v>18543</v>
      </c>
    </row>
    <row r="4389" spans="1:4">
      <c r="A4389" s="105">
        <v>94668</v>
      </c>
      <c r="B4389" s="104" t="s">
        <v>4448</v>
      </c>
      <c r="C4389" s="104" t="s">
        <v>183</v>
      </c>
      <c r="D4389" s="129" t="s">
        <v>18544</v>
      </c>
    </row>
    <row r="4390" spans="1:4">
      <c r="A4390" s="105">
        <v>94669</v>
      </c>
      <c r="B4390" s="104" t="s">
        <v>4449</v>
      </c>
      <c r="C4390" s="104" t="s">
        <v>183</v>
      </c>
      <c r="D4390" s="129" t="s">
        <v>18545</v>
      </c>
    </row>
    <row r="4391" spans="1:4">
      <c r="A4391" s="105">
        <v>94670</v>
      </c>
      <c r="B4391" s="104" t="s">
        <v>4450</v>
      </c>
      <c r="C4391" s="104" t="s">
        <v>183</v>
      </c>
      <c r="D4391" s="129" t="s">
        <v>18546</v>
      </c>
    </row>
    <row r="4392" spans="1:4">
      <c r="A4392" s="105">
        <v>94671</v>
      </c>
      <c r="B4392" s="104" t="s">
        <v>4451</v>
      </c>
      <c r="C4392" s="104" t="s">
        <v>183</v>
      </c>
      <c r="D4392" s="129" t="s">
        <v>18547</v>
      </c>
    </row>
    <row r="4393" spans="1:4">
      <c r="A4393" s="105">
        <v>94672</v>
      </c>
      <c r="B4393" s="104" t="s">
        <v>4452</v>
      </c>
      <c r="C4393" s="104" t="s">
        <v>183</v>
      </c>
      <c r="D4393" s="129" t="s">
        <v>16976</v>
      </c>
    </row>
    <row r="4394" spans="1:4">
      <c r="A4394" s="105">
        <v>94673</v>
      </c>
      <c r="B4394" s="104" t="s">
        <v>4453</v>
      </c>
      <c r="C4394" s="104" t="s">
        <v>183</v>
      </c>
      <c r="D4394" s="129" t="s">
        <v>18548</v>
      </c>
    </row>
    <row r="4395" spans="1:4">
      <c r="A4395" s="105">
        <v>94674</v>
      </c>
      <c r="B4395" s="104" t="s">
        <v>4454</v>
      </c>
      <c r="C4395" s="104" t="s">
        <v>183</v>
      </c>
      <c r="D4395" s="129" t="s">
        <v>18549</v>
      </c>
    </row>
    <row r="4396" spans="1:4">
      <c r="A4396" s="105">
        <v>94675</v>
      </c>
      <c r="B4396" s="104" t="s">
        <v>4455</v>
      </c>
      <c r="C4396" s="104" t="s">
        <v>183</v>
      </c>
      <c r="D4396" s="129" t="s">
        <v>17781</v>
      </c>
    </row>
    <row r="4397" spans="1:4">
      <c r="A4397" s="105">
        <v>94676</v>
      </c>
      <c r="B4397" s="104" t="s">
        <v>4456</v>
      </c>
      <c r="C4397" s="104" t="s">
        <v>183</v>
      </c>
      <c r="D4397" s="129" t="s">
        <v>18550</v>
      </c>
    </row>
    <row r="4398" spans="1:4">
      <c r="A4398" s="105">
        <v>94677</v>
      </c>
      <c r="B4398" s="104" t="s">
        <v>4457</v>
      </c>
      <c r="C4398" s="104" t="s">
        <v>183</v>
      </c>
      <c r="D4398" s="129" t="s">
        <v>18551</v>
      </c>
    </row>
    <row r="4399" spans="1:4">
      <c r="A4399" s="105">
        <v>94678</v>
      </c>
      <c r="B4399" s="104" t="s">
        <v>4458</v>
      </c>
      <c r="C4399" s="104" t="s">
        <v>183</v>
      </c>
      <c r="D4399" s="129" t="s">
        <v>18552</v>
      </c>
    </row>
    <row r="4400" spans="1:4">
      <c r="A4400" s="105">
        <v>94679</v>
      </c>
      <c r="B4400" s="104" t="s">
        <v>4459</v>
      </c>
      <c r="C4400" s="104" t="s">
        <v>183</v>
      </c>
      <c r="D4400" s="129" t="s">
        <v>18231</v>
      </c>
    </row>
    <row r="4401" spans="1:4">
      <c r="A4401" s="105">
        <v>94680</v>
      </c>
      <c r="B4401" s="104" t="s">
        <v>4460</v>
      </c>
      <c r="C4401" s="104" t="s">
        <v>183</v>
      </c>
      <c r="D4401" s="129" t="s">
        <v>18553</v>
      </c>
    </row>
    <row r="4402" spans="1:4">
      <c r="A4402" s="105">
        <v>94681</v>
      </c>
      <c r="B4402" s="104" t="s">
        <v>4461</v>
      </c>
      <c r="C4402" s="104" t="s">
        <v>183</v>
      </c>
      <c r="D4402" s="129" t="s">
        <v>18554</v>
      </c>
    </row>
    <row r="4403" spans="1:4">
      <c r="A4403" s="105">
        <v>94682</v>
      </c>
      <c r="B4403" s="104" t="s">
        <v>4462</v>
      </c>
      <c r="C4403" s="104" t="s">
        <v>183</v>
      </c>
      <c r="D4403" s="129" t="s">
        <v>18555</v>
      </c>
    </row>
    <row r="4404" spans="1:4">
      <c r="A4404" s="105">
        <v>94683</v>
      </c>
      <c r="B4404" s="104" t="s">
        <v>4463</v>
      </c>
      <c r="C4404" s="104" t="s">
        <v>183</v>
      </c>
      <c r="D4404" s="129" t="s">
        <v>18556</v>
      </c>
    </row>
    <row r="4405" spans="1:4">
      <c r="A4405" s="105">
        <v>94684</v>
      </c>
      <c r="B4405" s="104" t="s">
        <v>4464</v>
      </c>
      <c r="C4405" s="104" t="s">
        <v>183</v>
      </c>
      <c r="D4405" s="129" t="s">
        <v>18557</v>
      </c>
    </row>
    <row r="4406" spans="1:4">
      <c r="A4406" s="105">
        <v>94685</v>
      </c>
      <c r="B4406" s="104" t="s">
        <v>4465</v>
      </c>
      <c r="C4406" s="104" t="s">
        <v>183</v>
      </c>
      <c r="D4406" s="129" t="s">
        <v>17982</v>
      </c>
    </row>
    <row r="4407" spans="1:4">
      <c r="A4407" s="105">
        <v>94686</v>
      </c>
      <c r="B4407" s="104" t="s">
        <v>4466</v>
      </c>
      <c r="C4407" s="104" t="s">
        <v>183</v>
      </c>
      <c r="D4407" s="129" t="s">
        <v>18558</v>
      </c>
    </row>
    <row r="4408" spans="1:4">
      <c r="A4408" s="105">
        <v>94687</v>
      </c>
      <c r="B4408" s="104" t="s">
        <v>4467</v>
      </c>
      <c r="C4408" s="104" t="s">
        <v>183</v>
      </c>
      <c r="D4408" s="129" t="s">
        <v>18559</v>
      </c>
    </row>
    <row r="4409" spans="1:4">
      <c r="A4409" s="105">
        <v>94688</v>
      </c>
      <c r="B4409" s="104" t="s">
        <v>4468</v>
      </c>
      <c r="C4409" s="104" t="s">
        <v>183</v>
      </c>
      <c r="D4409" s="129" t="s">
        <v>18100</v>
      </c>
    </row>
    <row r="4410" spans="1:4">
      <c r="A4410" s="105">
        <v>94689</v>
      </c>
      <c r="B4410" s="104" t="s">
        <v>4469</v>
      </c>
      <c r="C4410" s="104" t="s">
        <v>183</v>
      </c>
      <c r="D4410" s="129" t="s">
        <v>18560</v>
      </c>
    </row>
    <row r="4411" spans="1:4">
      <c r="A4411" s="105">
        <v>94690</v>
      </c>
      <c r="B4411" s="104" t="s">
        <v>4470</v>
      </c>
      <c r="C4411" s="104" t="s">
        <v>183</v>
      </c>
      <c r="D4411" s="129" t="s">
        <v>18561</v>
      </c>
    </row>
    <row r="4412" spans="1:4">
      <c r="A4412" s="105">
        <v>94691</v>
      </c>
      <c r="B4412" s="104" t="s">
        <v>4471</v>
      </c>
      <c r="C4412" s="104" t="s">
        <v>183</v>
      </c>
      <c r="D4412" s="129" t="s">
        <v>14935</v>
      </c>
    </row>
    <row r="4413" spans="1:4">
      <c r="A4413" s="105">
        <v>94692</v>
      </c>
      <c r="B4413" s="104" t="s">
        <v>4472</v>
      </c>
      <c r="C4413" s="104" t="s">
        <v>183</v>
      </c>
      <c r="D4413" s="129" t="s">
        <v>18562</v>
      </c>
    </row>
    <row r="4414" spans="1:4">
      <c r="A4414" s="105">
        <v>94693</v>
      </c>
      <c r="B4414" s="104" t="s">
        <v>4473</v>
      </c>
      <c r="C4414" s="104" t="s">
        <v>183</v>
      </c>
      <c r="D4414" s="129" t="s">
        <v>18563</v>
      </c>
    </row>
    <row r="4415" spans="1:4">
      <c r="A4415" s="105">
        <v>94694</v>
      </c>
      <c r="B4415" s="104" t="s">
        <v>4474</v>
      </c>
      <c r="C4415" s="104" t="s">
        <v>183</v>
      </c>
      <c r="D4415" s="129" t="s">
        <v>18245</v>
      </c>
    </row>
    <row r="4416" spans="1:4">
      <c r="A4416" s="105">
        <v>94695</v>
      </c>
      <c r="B4416" s="104" t="s">
        <v>4475</v>
      </c>
      <c r="C4416" s="104" t="s">
        <v>183</v>
      </c>
      <c r="D4416" s="129" t="s">
        <v>18564</v>
      </c>
    </row>
    <row r="4417" spans="1:4">
      <c r="A4417" s="105">
        <v>94696</v>
      </c>
      <c r="B4417" s="104" t="s">
        <v>4476</v>
      </c>
      <c r="C4417" s="104" t="s">
        <v>183</v>
      </c>
      <c r="D4417" s="129" t="s">
        <v>18565</v>
      </c>
    </row>
    <row r="4418" spans="1:4">
      <c r="A4418" s="105">
        <v>94697</v>
      </c>
      <c r="B4418" s="104" t="s">
        <v>4477</v>
      </c>
      <c r="C4418" s="104" t="s">
        <v>183</v>
      </c>
      <c r="D4418" s="129" t="s">
        <v>18566</v>
      </c>
    </row>
    <row r="4419" spans="1:4">
      <c r="A4419" s="105">
        <v>94698</v>
      </c>
      <c r="B4419" s="104" t="s">
        <v>4478</v>
      </c>
      <c r="C4419" s="104" t="s">
        <v>183</v>
      </c>
      <c r="D4419" s="129" t="s">
        <v>18567</v>
      </c>
    </row>
    <row r="4420" spans="1:4">
      <c r="A4420" s="105">
        <v>94699</v>
      </c>
      <c r="B4420" s="104" t="s">
        <v>4479</v>
      </c>
      <c r="C4420" s="104" t="s">
        <v>183</v>
      </c>
      <c r="D4420" s="129" t="s">
        <v>18568</v>
      </c>
    </row>
    <row r="4421" spans="1:4">
      <c r="A4421" s="105">
        <v>94700</v>
      </c>
      <c r="B4421" s="104" t="s">
        <v>4480</v>
      </c>
      <c r="C4421" s="104" t="s">
        <v>183</v>
      </c>
      <c r="D4421" s="129" t="s">
        <v>18159</v>
      </c>
    </row>
    <row r="4422" spans="1:4">
      <c r="A4422" s="105">
        <v>94701</v>
      </c>
      <c r="B4422" s="104" t="s">
        <v>4481</v>
      </c>
      <c r="C4422" s="104" t="s">
        <v>183</v>
      </c>
      <c r="D4422" s="129" t="s">
        <v>18569</v>
      </c>
    </row>
    <row r="4423" spans="1:4">
      <c r="A4423" s="105">
        <v>94702</v>
      </c>
      <c r="B4423" s="104" t="s">
        <v>4482</v>
      </c>
      <c r="C4423" s="104" t="s">
        <v>183</v>
      </c>
      <c r="D4423" s="129" t="s">
        <v>18570</v>
      </c>
    </row>
    <row r="4424" spans="1:4">
      <c r="A4424" s="105">
        <v>94703</v>
      </c>
      <c r="B4424" s="104" t="s">
        <v>4483</v>
      </c>
      <c r="C4424" s="104" t="s">
        <v>183</v>
      </c>
      <c r="D4424" s="129" t="s">
        <v>18571</v>
      </c>
    </row>
    <row r="4425" spans="1:4">
      <c r="A4425" s="105">
        <v>94704</v>
      </c>
      <c r="B4425" s="104" t="s">
        <v>4484</v>
      </c>
      <c r="C4425" s="104" t="s">
        <v>183</v>
      </c>
      <c r="D4425" s="129" t="s">
        <v>18572</v>
      </c>
    </row>
    <row r="4426" spans="1:4">
      <c r="A4426" s="105">
        <v>94705</v>
      </c>
      <c r="B4426" s="104" t="s">
        <v>4485</v>
      </c>
      <c r="C4426" s="104" t="s">
        <v>183</v>
      </c>
      <c r="D4426" s="129" t="s">
        <v>18573</v>
      </c>
    </row>
    <row r="4427" spans="1:4">
      <c r="A4427" s="105">
        <v>94706</v>
      </c>
      <c r="B4427" s="104" t="s">
        <v>4486</v>
      </c>
      <c r="C4427" s="104" t="s">
        <v>183</v>
      </c>
      <c r="D4427" s="129" t="s">
        <v>18574</v>
      </c>
    </row>
    <row r="4428" spans="1:4">
      <c r="A4428" s="105">
        <v>94707</v>
      </c>
      <c r="B4428" s="104" t="s">
        <v>4487</v>
      </c>
      <c r="C4428" s="104" t="s">
        <v>183</v>
      </c>
      <c r="D4428" s="129" t="s">
        <v>18575</v>
      </c>
    </row>
    <row r="4429" spans="1:4">
      <c r="A4429" s="105">
        <v>94708</v>
      </c>
      <c r="B4429" s="104" t="s">
        <v>4488</v>
      </c>
      <c r="C4429" s="104" t="s">
        <v>183</v>
      </c>
      <c r="D4429" s="129" t="s">
        <v>18576</v>
      </c>
    </row>
    <row r="4430" spans="1:4">
      <c r="A4430" s="105">
        <v>94709</v>
      </c>
      <c r="B4430" s="104" t="s">
        <v>4489</v>
      </c>
      <c r="C4430" s="104" t="s">
        <v>183</v>
      </c>
      <c r="D4430" s="129" t="s">
        <v>18577</v>
      </c>
    </row>
    <row r="4431" spans="1:4">
      <c r="A4431" s="105">
        <v>94710</v>
      </c>
      <c r="B4431" s="104" t="s">
        <v>4490</v>
      </c>
      <c r="C4431" s="104" t="s">
        <v>183</v>
      </c>
      <c r="D4431" s="129" t="s">
        <v>18578</v>
      </c>
    </row>
    <row r="4432" spans="1:4">
      <c r="A4432" s="105">
        <v>94711</v>
      </c>
      <c r="B4432" s="104" t="s">
        <v>4491</v>
      </c>
      <c r="C4432" s="104" t="s">
        <v>183</v>
      </c>
      <c r="D4432" s="129" t="s">
        <v>18579</v>
      </c>
    </row>
    <row r="4433" spans="1:4">
      <c r="A4433" s="105">
        <v>94712</v>
      </c>
      <c r="B4433" s="104" t="s">
        <v>4492</v>
      </c>
      <c r="C4433" s="104" t="s">
        <v>183</v>
      </c>
      <c r="D4433" s="129" t="s">
        <v>18580</v>
      </c>
    </row>
    <row r="4434" spans="1:4">
      <c r="A4434" s="105">
        <v>94713</v>
      </c>
      <c r="B4434" s="104" t="s">
        <v>4493</v>
      </c>
      <c r="C4434" s="104" t="s">
        <v>183</v>
      </c>
      <c r="D4434" s="129" t="s">
        <v>18209</v>
      </c>
    </row>
    <row r="4435" spans="1:4">
      <c r="A4435" s="105">
        <v>94714</v>
      </c>
      <c r="B4435" s="104" t="s">
        <v>4494</v>
      </c>
      <c r="C4435" s="104" t="s">
        <v>183</v>
      </c>
      <c r="D4435" s="129" t="s">
        <v>18581</v>
      </c>
    </row>
    <row r="4436" spans="1:4">
      <c r="A4436" s="105">
        <v>94715</v>
      </c>
      <c r="B4436" s="104" t="s">
        <v>4495</v>
      </c>
      <c r="C4436" s="104" t="s">
        <v>183</v>
      </c>
      <c r="D4436" s="129" t="s">
        <v>18582</v>
      </c>
    </row>
    <row r="4437" spans="1:4">
      <c r="A4437" s="105">
        <v>94724</v>
      </c>
      <c r="B4437" s="104" t="s">
        <v>4496</v>
      </c>
      <c r="C4437" s="104" t="s">
        <v>183</v>
      </c>
      <c r="D4437" s="129" t="s">
        <v>17931</v>
      </c>
    </row>
    <row r="4438" spans="1:4">
      <c r="A4438" s="105">
        <v>94725</v>
      </c>
      <c r="B4438" s="104" t="s">
        <v>4497</v>
      </c>
      <c r="C4438" s="104" t="s">
        <v>183</v>
      </c>
      <c r="D4438" s="129" t="s">
        <v>18583</v>
      </c>
    </row>
    <row r="4439" spans="1:4">
      <c r="A4439" s="105">
        <v>94726</v>
      </c>
      <c r="B4439" s="104" t="s">
        <v>4498</v>
      </c>
      <c r="C4439" s="104" t="s">
        <v>183</v>
      </c>
      <c r="D4439" s="129" t="s">
        <v>18584</v>
      </c>
    </row>
    <row r="4440" spans="1:4">
      <c r="A4440" s="105">
        <v>94727</v>
      </c>
      <c r="B4440" s="104" t="s">
        <v>4499</v>
      </c>
      <c r="C4440" s="104" t="s">
        <v>183</v>
      </c>
      <c r="D4440" s="129" t="s">
        <v>18585</v>
      </c>
    </row>
    <row r="4441" spans="1:4">
      <c r="A4441" s="105">
        <v>94728</v>
      </c>
      <c r="B4441" s="104" t="s">
        <v>4500</v>
      </c>
      <c r="C4441" s="104" t="s">
        <v>183</v>
      </c>
      <c r="D4441" s="129" t="s">
        <v>18586</v>
      </c>
    </row>
    <row r="4442" spans="1:4">
      <c r="A4442" s="105">
        <v>94729</v>
      </c>
      <c r="B4442" s="104" t="s">
        <v>4501</v>
      </c>
      <c r="C4442" s="104" t="s">
        <v>183</v>
      </c>
      <c r="D4442" s="129" t="s">
        <v>15549</v>
      </c>
    </row>
    <row r="4443" spans="1:4">
      <c r="A4443" s="105">
        <v>94730</v>
      </c>
      <c r="B4443" s="104" t="s">
        <v>4502</v>
      </c>
      <c r="C4443" s="104" t="s">
        <v>183</v>
      </c>
      <c r="D4443" s="129" t="s">
        <v>18587</v>
      </c>
    </row>
    <row r="4444" spans="1:4">
      <c r="A4444" s="105">
        <v>94731</v>
      </c>
      <c r="B4444" s="104" t="s">
        <v>4503</v>
      </c>
      <c r="C4444" s="104" t="s">
        <v>183</v>
      </c>
      <c r="D4444" s="129" t="s">
        <v>18588</v>
      </c>
    </row>
    <row r="4445" spans="1:4">
      <c r="A4445" s="105">
        <v>94733</v>
      </c>
      <c r="B4445" s="104" t="s">
        <v>4504</v>
      </c>
      <c r="C4445" s="104" t="s">
        <v>183</v>
      </c>
      <c r="D4445" s="129" t="s">
        <v>18589</v>
      </c>
    </row>
    <row r="4446" spans="1:4">
      <c r="A4446" s="105">
        <v>94737</v>
      </c>
      <c r="B4446" s="104" t="s">
        <v>4505</v>
      </c>
      <c r="C4446" s="104" t="s">
        <v>183</v>
      </c>
      <c r="D4446" s="129" t="s">
        <v>18590</v>
      </c>
    </row>
    <row r="4447" spans="1:4">
      <c r="A4447" s="105">
        <v>94740</v>
      </c>
      <c r="B4447" s="104" t="s">
        <v>4506</v>
      </c>
      <c r="C4447" s="104" t="s">
        <v>183</v>
      </c>
      <c r="D4447" s="129" t="s">
        <v>17281</v>
      </c>
    </row>
    <row r="4448" spans="1:4">
      <c r="A4448" s="105">
        <v>94741</v>
      </c>
      <c r="B4448" s="104" t="s">
        <v>4507</v>
      </c>
      <c r="C4448" s="104" t="s">
        <v>183</v>
      </c>
      <c r="D4448" s="129" t="s">
        <v>18591</v>
      </c>
    </row>
    <row r="4449" spans="1:4">
      <c r="A4449" s="105">
        <v>94742</v>
      </c>
      <c r="B4449" s="104" t="s">
        <v>4508</v>
      </c>
      <c r="C4449" s="104" t="s">
        <v>183</v>
      </c>
      <c r="D4449" s="129" t="s">
        <v>18592</v>
      </c>
    </row>
    <row r="4450" spans="1:4">
      <c r="A4450" s="105">
        <v>94743</v>
      </c>
      <c r="B4450" s="104" t="s">
        <v>4509</v>
      </c>
      <c r="C4450" s="104" t="s">
        <v>183</v>
      </c>
      <c r="D4450" s="129" t="s">
        <v>17143</v>
      </c>
    </row>
    <row r="4451" spans="1:4">
      <c r="A4451" s="105">
        <v>94744</v>
      </c>
      <c r="B4451" s="104" t="s">
        <v>4510</v>
      </c>
      <c r="C4451" s="104" t="s">
        <v>183</v>
      </c>
      <c r="D4451" s="129" t="s">
        <v>18593</v>
      </c>
    </row>
    <row r="4452" spans="1:4">
      <c r="A4452" s="105">
        <v>94746</v>
      </c>
      <c r="B4452" s="104" t="s">
        <v>4511</v>
      </c>
      <c r="C4452" s="104" t="s">
        <v>183</v>
      </c>
      <c r="D4452" s="129" t="s">
        <v>18594</v>
      </c>
    </row>
    <row r="4453" spans="1:4">
      <c r="A4453" s="105">
        <v>94748</v>
      </c>
      <c r="B4453" s="104" t="s">
        <v>4512</v>
      </c>
      <c r="C4453" s="104" t="s">
        <v>183</v>
      </c>
      <c r="D4453" s="129" t="s">
        <v>18595</v>
      </c>
    </row>
    <row r="4454" spans="1:4">
      <c r="A4454" s="105">
        <v>94750</v>
      </c>
      <c r="B4454" s="104" t="s">
        <v>4513</v>
      </c>
      <c r="C4454" s="104" t="s">
        <v>183</v>
      </c>
      <c r="D4454" s="129" t="s">
        <v>18596</v>
      </c>
    </row>
    <row r="4455" spans="1:4">
      <c r="A4455" s="105">
        <v>94752</v>
      </c>
      <c r="B4455" s="104" t="s">
        <v>4514</v>
      </c>
      <c r="C4455" s="104" t="s">
        <v>183</v>
      </c>
      <c r="D4455" s="129" t="s">
        <v>18597</v>
      </c>
    </row>
    <row r="4456" spans="1:4">
      <c r="A4456" s="105">
        <v>94756</v>
      </c>
      <c r="B4456" s="104" t="s">
        <v>4515</v>
      </c>
      <c r="C4456" s="104" t="s">
        <v>183</v>
      </c>
      <c r="D4456" s="129" t="s">
        <v>18598</v>
      </c>
    </row>
    <row r="4457" spans="1:4">
      <c r="A4457" s="105">
        <v>94757</v>
      </c>
      <c r="B4457" s="104" t="s">
        <v>4516</v>
      </c>
      <c r="C4457" s="104" t="s">
        <v>183</v>
      </c>
      <c r="D4457" s="129" t="s">
        <v>18599</v>
      </c>
    </row>
    <row r="4458" spans="1:4">
      <c r="A4458" s="105">
        <v>94758</v>
      </c>
      <c r="B4458" s="104" t="s">
        <v>4517</v>
      </c>
      <c r="C4458" s="104" t="s">
        <v>183</v>
      </c>
      <c r="D4458" s="129" t="s">
        <v>18600</v>
      </c>
    </row>
    <row r="4459" spans="1:4">
      <c r="A4459" s="105">
        <v>94759</v>
      </c>
      <c r="B4459" s="104" t="s">
        <v>4518</v>
      </c>
      <c r="C4459" s="104" t="s">
        <v>183</v>
      </c>
      <c r="D4459" s="129" t="s">
        <v>18601</v>
      </c>
    </row>
    <row r="4460" spans="1:4">
      <c r="A4460" s="105">
        <v>94760</v>
      </c>
      <c r="B4460" s="104" t="s">
        <v>4519</v>
      </c>
      <c r="C4460" s="104" t="s">
        <v>183</v>
      </c>
      <c r="D4460" s="129" t="s">
        <v>18602</v>
      </c>
    </row>
    <row r="4461" spans="1:4">
      <c r="A4461" s="105">
        <v>94761</v>
      </c>
      <c r="B4461" s="104" t="s">
        <v>4520</v>
      </c>
      <c r="C4461" s="104" t="s">
        <v>183</v>
      </c>
      <c r="D4461" s="129" t="s">
        <v>18603</v>
      </c>
    </row>
    <row r="4462" spans="1:4">
      <c r="A4462" s="105">
        <v>94762</v>
      </c>
      <c r="B4462" s="104" t="s">
        <v>4521</v>
      </c>
      <c r="C4462" s="104" t="s">
        <v>183</v>
      </c>
      <c r="D4462" s="129" t="s">
        <v>18604</v>
      </c>
    </row>
    <row r="4463" spans="1:4">
      <c r="A4463" s="105">
        <v>94783</v>
      </c>
      <c r="B4463" s="104" t="s">
        <v>4522</v>
      </c>
      <c r="C4463" s="104" t="s">
        <v>183</v>
      </c>
      <c r="D4463" s="129" t="s">
        <v>18605</v>
      </c>
    </row>
    <row r="4464" spans="1:4">
      <c r="A4464" s="105">
        <v>94785</v>
      </c>
      <c r="B4464" s="104" t="s">
        <v>4523</v>
      </c>
      <c r="C4464" s="104" t="s">
        <v>183</v>
      </c>
      <c r="D4464" s="129" t="s">
        <v>18606</v>
      </c>
    </row>
    <row r="4465" spans="1:4">
      <c r="A4465" s="105">
        <v>94786</v>
      </c>
      <c r="B4465" s="104" t="s">
        <v>4524</v>
      </c>
      <c r="C4465" s="104" t="s">
        <v>183</v>
      </c>
      <c r="D4465" s="129" t="s">
        <v>18607</v>
      </c>
    </row>
    <row r="4466" spans="1:4">
      <c r="A4466" s="105">
        <v>94787</v>
      </c>
      <c r="B4466" s="104" t="s">
        <v>4525</v>
      </c>
      <c r="C4466" s="104" t="s">
        <v>183</v>
      </c>
      <c r="D4466" s="129" t="s">
        <v>18608</v>
      </c>
    </row>
    <row r="4467" spans="1:4">
      <c r="A4467" s="105">
        <v>94788</v>
      </c>
      <c r="B4467" s="104" t="s">
        <v>4526</v>
      </c>
      <c r="C4467" s="104" t="s">
        <v>183</v>
      </c>
      <c r="D4467" s="129" t="s">
        <v>18609</v>
      </c>
    </row>
    <row r="4468" spans="1:4">
      <c r="A4468" s="105">
        <v>94789</v>
      </c>
      <c r="B4468" s="104" t="s">
        <v>4527</v>
      </c>
      <c r="C4468" s="104" t="s">
        <v>183</v>
      </c>
      <c r="D4468" s="129" t="s">
        <v>18610</v>
      </c>
    </row>
    <row r="4469" spans="1:4">
      <c r="A4469" s="105">
        <v>94790</v>
      </c>
      <c r="B4469" s="104" t="s">
        <v>4528</v>
      </c>
      <c r="C4469" s="104" t="s">
        <v>183</v>
      </c>
      <c r="D4469" s="129" t="s">
        <v>18611</v>
      </c>
    </row>
    <row r="4470" spans="1:4">
      <c r="A4470" s="105">
        <v>94791</v>
      </c>
      <c r="B4470" s="104" t="s">
        <v>4529</v>
      </c>
      <c r="C4470" s="104" t="s">
        <v>183</v>
      </c>
      <c r="D4470" s="129" t="s">
        <v>18612</v>
      </c>
    </row>
    <row r="4471" spans="1:4">
      <c r="A4471" s="105">
        <v>94863</v>
      </c>
      <c r="B4471" s="104" t="s">
        <v>4530</v>
      </c>
      <c r="C4471" s="104" t="s">
        <v>183</v>
      </c>
      <c r="D4471" s="129" t="s">
        <v>18613</v>
      </c>
    </row>
    <row r="4472" spans="1:4">
      <c r="A4472" s="105">
        <v>95141</v>
      </c>
      <c r="B4472" s="104" t="s">
        <v>4531</v>
      </c>
      <c r="C4472" s="104" t="s">
        <v>183</v>
      </c>
      <c r="D4472" s="129" t="s">
        <v>18502</v>
      </c>
    </row>
    <row r="4473" spans="1:4">
      <c r="A4473" s="105">
        <v>95237</v>
      </c>
      <c r="B4473" s="104" t="s">
        <v>4532</v>
      </c>
      <c r="C4473" s="104" t="s">
        <v>183</v>
      </c>
      <c r="D4473" s="129" t="s">
        <v>18614</v>
      </c>
    </row>
    <row r="4474" spans="1:4">
      <c r="A4474" s="105">
        <v>95693</v>
      </c>
      <c r="B4474" s="104" t="s">
        <v>4533</v>
      </c>
      <c r="C4474" s="104" t="s">
        <v>183</v>
      </c>
      <c r="D4474" s="129" t="s">
        <v>18615</v>
      </c>
    </row>
    <row r="4475" spans="1:4">
      <c r="A4475" s="105">
        <v>95694</v>
      </c>
      <c r="B4475" s="104" t="s">
        <v>4534</v>
      </c>
      <c r="C4475" s="104" t="s">
        <v>183</v>
      </c>
      <c r="D4475" s="129" t="s">
        <v>18616</v>
      </c>
    </row>
    <row r="4476" spans="1:4">
      <c r="A4476" s="105">
        <v>95695</v>
      </c>
      <c r="B4476" s="104" t="s">
        <v>4535</v>
      </c>
      <c r="C4476" s="104" t="s">
        <v>183</v>
      </c>
      <c r="D4476" s="129" t="s">
        <v>18617</v>
      </c>
    </row>
    <row r="4477" spans="1:4">
      <c r="A4477" s="105">
        <v>95696</v>
      </c>
      <c r="B4477" s="104" t="s">
        <v>4536</v>
      </c>
      <c r="C4477" s="104" t="s">
        <v>183</v>
      </c>
      <c r="D4477" s="129" t="s">
        <v>18239</v>
      </c>
    </row>
    <row r="4478" spans="1:4">
      <c r="A4478" s="105">
        <v>96637</v>
      </c>
      <c r="B4478" s="104" t="s">
        <v>4537</v>
      </c>
      <c r="C4478" s="104" t="s">
        <v>183</v>
      </c>
      <c r="D4478" s="129" t="s">
        <v>18214</v>
      </c>
    </row>
    <row r="4479" spans="1:4">
      <c r="A4479" s="105">
        <v>96638</v>
      </c>
      <c r="B4479" s="104" t="s">
        <v>4538</v>
      </c>
      <c r="C4479" s="104" t="s">
        <v>183</v>
      </c>
      <c r="D4479" s="129" t="s">
        <v>16323</v>
      </c>
    </row>
    <row r="4480" spans="1:4">
      <c r="A4480" s="105">
        <v>96639</v>
      </c>
      <c r="B4480" s="104" t="s">
        <v>4539</v>
      </c>
      <c r="C4480" s="104" t="s">
        <v>183</v>
      </c>
      <c r="D4480" s="129" t="s">
        <v>18618</v>
      </c>
    </row>
    <row r="4481" spans="1:4">
      <c r="A4481" s="105">
        <v>96640</v>
      </c>
      <c r="B4481" s="104" t="s">
        <v>4540</v>
      </c>
      <c r="C4481" s="104" t="s">
        <v>183</v>
      </c>
      <c r="D4481" s="129" t="s">
        <v>15805</v>
      </c>
    </row>
    <row r="4482" spans="1:4">
      <c r="A4482" s="105">
        <v>96641</v>
      </c>
      <c r="B4482" s="104" t="s">
        <v>4541</v>
      </c>
      <c r="C4482" s="104" t="s">
        <v>183</v>
      </c>
      <c r="D4482" s="129" t="s">
        <v>18619</v>
      </c>
    </row>
    <row r="4483" spans="1:4">
      <c r="A4483" s="105">
        <v>96642</v>
      </c>
      <c r="B4483" s="104" t="s">
        <v>4542</v>
      </c>
      <c r="C4483" s="104" t="s">
        <v>183</v>
      </c>
      <c r="D4483" s="129" t="s">
        <v>16947</v>
      </c>
    </row>
    <row r="4484" spans="1:4">
      <c r="A4484" s="105">
        <v>96643</v>
      </c>
      <c r="B4484" s="104" t="s">
        <v>4543</v>
      </c>
      <c r="C4484" s="104" t="s">
        <v>183</v>
      </c>
      <c r="D4484" s="129" t="s">
        <v>18620</v>
      </c>
    </row>
    <row r="4485" spans="1:4">
      <c r="A4485" s="105">
        <v>96650</v>
      </c>
      <c r="B4485" s="104" t="s">
        <v>4544</v>
      </c>
      <c r="C4485" s="104" t="s">
        <v>183</v>
      </c>
      <c r="D4485" s="129" t="s">
        <v>18621</v>
      </c>
    </row>
    <row r="4486" spans="1:4">
      <c r="A4486" s="105">
        <v>96651</v>
      </c>
      <c r="B4486" s="104" t="s">
        <v>4545</v>
      </c>
      <c r="C4486" s="104" t="s">
        <v>183</v>
      </c>
      <c r="D4486" s="129" t="s">
        <v>14759</v>
      </c>
    </row>
    <row r="4487" spans="1:4">
      <c r="A4487" s="105">
        <v>96652</v>
      </c>
      <c r="B4487" s="104" t="s">
        <v>4546</v>
      </c>
      <c r="C4487" s="104" t="s">
        <v>183</v>
      </c>
      <c r="D4487" s="129" t="s">
        <v>18622</v>
      </c>
    </row>
    <row r="4488" spans="1:4">
      <c r="A4488" s="105">
        <v>96653</v>
      </c>
      <c r="B4488" s="104" t="s">
        <v>4547</v>
      </c>
      <c r="C4488" s="104" t="s">
        <v>183</v>
      </c>
      <c r="D4488" s="129" t="s">
        <v>16975</v>
      </c>
    </row>
    <row r="4489" spans="1:4">
      <c r="A4489" s="105">
        <v>96654</v>
      </c>
      <c r="B4489" s="104" t="s">
        <v>4548</v>
      </c>
      <c r="C4489" s="104" t="s">
        <v>183</v>
      </c>
      <c r="D4489" s="129" t="s">
        <v>18623</v>
      </c>
    </row>
    <row r="4490" spans="1:4">
      <c r="A4490" s="105">
        <v>96655</v>
      </c>
      <c r="B4490" s="104" t="s">
        <v>4549</v>
      </c>
      <c r="C4490" s="104" t="s">
        <v>183</v>
      </c>
      <c r="D4490" s="129" t="s">
        <v>18624</v>
      </c>
    </row>
    <row r="4491" spans="1:4">
      <c r="A4491" s="105">
        <v>96656</v>
      </c>
      <c r="B4491" s="104" t="s">
        <v>4550</v>
      </c>
      <c r="C4491" s="104" t="s">
        <v>183</v>
      </c>
      <c r="D4491" s="129" t="s">
        <v>15782</v>
      </c>
    </row>
    <row r="4492" spans="1:4">
      <c r="A4492" s="105">
        <v>96657</v>
      </c>
      <c r="B4492" s="104" t="s">
        <v>4551</v>
      </c>
      <c r="C4492" s="104" t="s">
        <v>183</v>
      </c>
      <c r="D4492" s="129" t="s">
        <v>15519</v>
      </c>
    </row>
    <row r="4493" spans="1:4">
      <c r="A4493" s="105">
        <v>96658</v>
      </c>
      <c r="B4493" s="104" t="s">
        <v>4552</v>
      </c>
      <c r="C4493" s="104" t="s">
        <v>183</v>
      </c>
      <c r="D4493" s="129" t="s">
        <v>18625</v>
      </c>
    </row>
    <row r="4494" spans="1:4">
      <c r="A4494" s="105">
        <v>96659</v>
      </c>
      <c r="B4494" s="104" t="s">
        <v>4553</v>
      </c>
      <c r="C4494" s="104" t="s">
        <v>183</v>
      </c>
      <c r="D4494" s="129" t="s">
        <v>18626</v>
      </c>
    </row>
    <row r="4495" spans="1:4">
      <c r="A4495" s="105">
        <v>96660</v>
      </c>
      <c r="B4495" s="104" t="s">
        <v>4554</v>
      </c>
      <c r="C4495" s="104" t="s">
        <v>183</v>
      </c>
      <c r="D4495" s="129" t="s">
        <v>18627</v>
      </c>
    </row>
    <row r="4496" spans="1:4">
      <c r="A4496" s="105">
        <v>96661</v>
      </c>
      <c r="B4496" s="104" t="s">
        <v>4555</v>
      </c>
      <c r="C4496" s="104" t="s">
        <v>183</v>
      </c>
      <c r="D4496" s="129" t="s">
        <v>18628</v>
      </c>
    </row>
    <row r="4497" spans="1:4">
      <c r="A4497" s="105">
        <v>96662</v>
      </c>
      <c r="B4497" s="104" t="s">
        <v>4556</v>
      </c>
      <c r="C4497" s="104" t="s">
        <v>183</v>
      </c>
      <c r="D4497" s="129" t="s">
        <v>18035</v>
      </c>
    </row>
    <row r="4498" spans="1:4">
      <c r="A4498" s="105">
        <v>96663</v>
      </c>
      <c r="B4498" s="104" t="s">
        <v>4557</v>
      </c>
      <c r="C4498" s="104" t="s">
        <v>183</v>
      </c>
      <c r="D4498" s="129" t="s">
        <v>17350</v>
      </c>
    </row>
    <row r="4499" spans="1:4">
      <c r="A4499" s="105">
        <v>96664</v>
      </c>
      <c r="B4499" s="104" t="s">
        <v>4558</v>
      </c>
      <c r="C4499" s="104" t="s">
        <v>183</v>
      </c>
      <c r="D4499" s="129" t="s">
        <v>18629</v>
      </c>
    </row>
    <row r="4500" spans="1:4">
      <c r="A4500" s="105">
        <v>96665</v>
      </c>
      <c r="B4500" s="104" t="s">
        <v>4559</v>
      </c>
      <c r="C4500" s="104" t="s">
        <v>183</v>
      </c>
      <c r="D4500" s="129" t="s">
        <v>18630</v>
      </c>
    </row>
    <row r="4501" spans="1:4">
      <c r="A4501" s="105">
        <v>96666</v>
      </c>
      <c r="B4501" s="104" t="s">
        <v>4560</v>
      </c>
      <c r="C4501" s="104" t="s">
        <v>183</v>
      </c>
      <c r="D4501" s="129" t="s">
        <v>18614</v>
      </c>
    </row>
    <row r="4502" spans="1:4">
      <c r="A4502" s="105">
        <v>96667</v>
      </c>
      <c r="B4502" s="104" t="s">
        <v>4561</v>
      </c>
      <c r="C4502" s="104" t="s">
        <v>183</v>
      </c>
      <c r="D4502" s="129" t="s">
        <v>18631</v>
      </c>
    </row>
    <row r="4503" spans="1:4">
      <c r="A4503" s="105">
        <v>96684</v>
      </c>
      <c r="B4503" s="104" t="s">
        <v>4562</v>
      </c>
      <c r="C4503" s="104" t="s">
        <v>183</v>
      </c>
      <c r="D4503" s="129" t="s">
        <v>18632</v>
      </c>
    </row>
    <row r="4504" spans="1:4">
      <c r="A4504" s="105">
        <v>96685</v>
      </c>
      <c r="B4504" s="104" t="s">
        <v>4563</v>
      </c>
      <c r="C4504" s="104" t="s">
        <v>183</v>
      </c>
      <c r="D4504" s="129" t="s">
        <v>18633</v>
      </c>
    </row>
    <row r="4505" spans="1:4">
      <c r="A4505" s="105">
        <v>96686</v>
      </c>
      <c r="B4505" s="104" t="s">
        <v>4564</v>
      </c>
      <c r="C4505" s="104" t="s">
        <v>183</v>
      </c>
      <c r="D4505" s="129" t="s">
        <v>18634</v>
      </c>
    </row>
    <row r="4506" spans="1:4">
      <c r="A4506" s="105">
        <v>96687</v>
      </c>
      <c r="B4506" s="104" t="s">
        <v>4565</v>
      </c>
      <c r="C4506" s="104" t="s">
        <v>183</v>
      </c>
      <c r="D4506" s="129" t="s">
        <v>18635</v>
      </c>
    </row>
    <row r="4507" spans="1:4">
      <c r="A4507" s="105">
        <v>96688</v>
      </c>
      <c r="B4507" s="104" t="s">
        <v>4566</v>
      </c>
      <c r="C4507" s="104" t="s">
        <v>183</v>
      </c>
      <c r="D4507" s="129" t="s">
        <v>15633</v>
      </c>
    </row>
    <row r="4508" spans="1:4">
      <c r="A4508" s="105">
        <v>96689</v>
      </c>
      <c r="B4508" s="104" t="s">
        <v>4567</v>
      </c>
      <c r="C4508" s="104" t="s">
        <v>183</v>
      </c>
      <c r="D4508" s="129" t="s">
        <v>18636</v>
      </c>
    </row>
    <row r="4509" spans="1:4">
      <c r="A4509" s="105">
        <v>96690</v>
      </c>
      <c r="B4509" s="104" t="s">
        <v>4568</v>
      </c>
      <c r="C4509" s="104" t="s">
        <v>183</v>
      </c>
      <c r="D4509" s="129" t="s">
        <v>18637</v>
      </c>
    </row>
    <row r="4510" spans="1:4">
      <c r="A4510" s="105">
        <v>96691</v>
      </c>
      <c r="B4510" s="104" t="s">
        <v>4569</v>
      </c>
      <c r="C4510" s="104" t="s">
        <v>183</v>
      </c>
      <c r="D4510" s="129" t="s">
        <v>18638</v>
      </c>
    </row>
    <row r="4511" spans="1:4">
      <c r="A4511" s="105">
        <v>96692</v>
      </c>
      <c r="B4511" s="104" t="s">
        <v>4570</v>
      </c>
      <c r="C4511" s="104" t="s">
        <v>183</v>
      </c>
      <c r="D4511" s="129" t="s">
        <v>18639</v>
      </c>
    </row>
    <row r="4512" spans="1:4">
      <c r="A4512" s="105">
        <v>96693</v>
      </c>
      <c r="B4512" s="104" t="s">
        <v>4571</v>
      </c>
      <c r="C4512" s="104" t="s">
        <v>183</v>
      </c>
      <c r="D4512" s="129" t="s">
        <v>18640</v>
      </c>
    </row>
    <row r="4513" spans="1:4">
      <c r="A4513" s="105">
        <v>96694</v>
      </c>
      <c r="B4513" s="104" t="s">
        <v>4572</v>
      </c>
      <c r="C4513" s="104" t="s">
        <v>183</v>
      </c>
      <c r="D4513" s="129" t="s">
        <v>18641</v>
      </c>
    </row>
    <row r="4514" spans="1:4">
      <c r="A4514" s="105">
        <v>96695</v>
      </c>
      <c r="B4514" s="104" t="s">
        <v>4573</v>
      </c>
      <c r="C4514" s="104" t="s">
        <v>183</v>
      </c>
      <c r="D4514" s="129" t="s">
        <v>18199</v>
      </c>
    </row>
    <row r="4515" spans="1:4">
      <c r="A4515" s="105">
        <v>96696</v>
      </c>
      <c r="B4515" s="104" t="s">
        <v>4574</v>
      </c>
      <c r="C4515" s="104" t="s">
        <v>183</v>
      </c>
      <c r="D4515" s="129" t="s">
        <v>18642</v>
      </c>
    </row>
    <row r="4516" spans="1:4">
      <c r="A4516" s="105">
        <v>96697</v>
      </c>
      <c r="B4516" s="104" t="s">
        <v>4575</v>
      </c>
      <c r="C4516" s="104" t="s">
        <v>183</v>
      </c>
      <c r="D4516" s="129" t="s">
        <v>18643</v>
      </c>
    </row>
    <row r="4517" spans="1:4">
      <c r="A4517" s="105">
        <v>96698</v>
      </c>
      <c r="B4517" s="104" t="s">
        <v>4576</v>
      </c>
      <c r="C4517" s="104" t="s">
        <v>183</v>
      </c>
      <c r="D4517" s="129" t="s">
        <v>15539</v>
      </c>
    </row>
    <row r="4518" spans="1:4">
      <c r="A4518" s="105">
        <v>96699</v>
      </c>
      <c r="B4518" s="104" t="s">
        <v>4577</v>
      </c>
      <c r="C4518" s="104" t="s">
        <v>183</v>
      </c>
      <c r="D4518" s="129" t="s">
        <v>18644</v>
      </c>
    </row>
    <row r="4519" spans="1:4">
      <c r="A4519" s="105">
        <v>96700</v>
      </c>
      <c r="B4519" s="104" t="s">
        <v>4578</v>
      </c>
      <c r="C4519" s="104" t="s">
        <v>183</v>
      </c>
      <c r="D4519" s="129" t="s">
        <v>18645</v>
      </c>
    </row>
    <row r="4520" spans="1:4">
      <c r="A4520" s="105">
        <v>96701</v>
      </c>
      <c r="B4520" s="104" t="s">
        <v>4579</v>
      </c>
      <c r="C4520" s="104" t="s">
        <v>183</v>
      </c>
      <c r="D4520" s="129" t="s">
        <v>15609</v>
      </c>
    </row>
    <row r="4521" spans="1:4">
      <c r="A4521" s="105">
        <v>96702</v>
      </c>
      <c r="B4521" s="104" t="s">
        <v>4580</v>
      </c>
      <c r="C4521" s="104" t="s">
        <v>183</v>
      </c>
      <c r="D4521" s="129" t="s">
        <v>18646</v>
      </c>
    </row>
    <row r="4522" spans="1:4">
      <c r="A4522" s="105">
        <v>96703</v>
      </c>
      <c r="B4522" s="104" t="s">
        <v>4581</v>
      </c>
      <c r="C4522" s="104" t="s">
        <v>183</v>
      </c>
      <c r="D4522" s="129" t="s">
        <v>17300</v>
      </c>
    </row>
    <row r="4523" spans="1:4">
      <c r="A4523" s="105">
        <v>96704</v>
      </c>
      <c r="B4523" s="104" t="s">
        <v>4582</v>
      </c>
      <c r="C4523" s="104" t="s">
        <v>183</v>
      </c>
      <c r="D4523" s="129" t="s">
        <v>17901</v>
      </c>
    </row>
    <row r="4524" spans="1:4">
      <c r="A4524" s="105">
        <v>96705</v>
      </c>
      <c r="B4524" s="104" t="s">
        <v>4583</v>
      </c>
      <c r="C4524" s="104" t="s">
        <v>183</v>
      </c>
      <c r="D4524" s="129" t="s">
        <v>16623</v>
      </c>
    </row>
    <row r="4525" spans="1:4">
      <c r="A4525" s="105">
        <v>96706</v>
      </c>
      <c r="B4525" s="104" t="s">
        <v>4584</v>
      </c>
      <c r="C4525" s="104" t="s">
        <v>183</v>
      </c>
      <c r="D4525" s="129" t="s">
        <v>18647</v>
      </c>
    </row>
    <row r="4526" spans="1:4">
      <c r="A4526" s="105">
        <v>96707</v>
      </c>
      <c r="B4526" s="104" t="s">
        <v>4585</v>
      </c>
      <c r="C4526" s="104" t="s">
        <v>183</v>
      </c>
      <c r="D4526" s="129" t="s">
        <v>18579</v>
      </c>
    </row>
    <row r="4527" spans="1:4">
      <c r="A4527" s="105">
        <v>96708</v>
      </c>
      <c r="B4527" s="104" t="s">
        <v>4586</v>
      </c>
      <c r="C4527" s="104" t="s">
        <v>183</v>
      </c>
      <c r="D4527" s="129" t="s">
        <v>18648</v>
      </c>
    </row>
    <row r="4528" spans="1:4">
      <c r="A4528" s="105">
        <v>96709</v>
      </c>
      <c r="B4528" s="104" t="s">
        <v>4587</v>
      </c>
      <c r="C4528" s="104" t="s">
        <v>183</v>
      </c>
      <c r="D4528" s="129" t="s">
        <v>18649</v>
      </c>
    </row>
    <row r="4529" spans="1:4">
      <c r="A4529" s="105">
        <v>96710</v>
      </c>
      <c r="B4529" s="104" t="s">
        <v>4588</v>
      </c>
      <c r="C4529" s="104" t="s">
        <v>183</v>
      </c>
      <c r="D4529" s="129" t="s">
        <v>15599</v>
      </c>
    </row>
    <row r="4530" spans="1:4">
      <c r="A4530" s="105">
        <v>96711</v>
      </c>
      <c r="B4530" s="104" t="s">
        <v>4589</v>
      </c>
      <c r="C4530" s="104" t="s">
        <v>183</v>
      </c>
      <c r="D4530" s="129" t="s">
        <v>18650</v>
      </c>
    </row>
    <row r="4531" spans="1:4">
      <c r="A4531" s="105">
        <v>96712</v>
      </c>
      <c r="B4531" s="104" t="s">
        <v>4590</v>
      </c>
      <c r="C4531" s="104" t="s">
        <v>183</v>
      </c>
      <c r="D4531" s="129" t="s">
        <v>18651</v>
      </c>
    </row>
    <row r="4532" spans="1:4">
      <c r="A4532" s="105">
        <v>96713</v>
      </c>
      <c r="B4532" s="104" t="s">
        <v>4591</v>
      </c>
      <c r="C4532" s="104" t="s">
        <v>183</v>
      </c>
      <c r="D4532" s="129" t="s">
        <v>18652</v>
      </c>
    </row>
    <row r="4533" spans="1:4">
      <c r="A4533" s="105">
        <v>96714</v>
      </c>
      <c r="B4533" s="104" t="s">
        <v>4592</v>
      </c>
      <c r="C4533" s="104" t="s">
        <v>183</v>
      </c>
      <c r="D4533" s="129" t="s">
        <v>17987</v>
      </c>
    </row>
    <row r="4534" spans="1:4">
      <c r="A4534" s="105">
        <v>96715</v>
      </c>
      <c r="B4534" s="104" t="s">
        <v>4593</v>
      </c>
      <c r="C4534" s="104" t="s">
        <v>183</v>
      </c>
      <c r="D4534" s="129" t="s">
        <v>14904</v>
      </c>
    </row>
    <row r="4535" spans="1:4">
      <c r="A4535" s="105">
        <v>96716</v>
      </c>
      <c r="B4535" s="104" t="s">
        <v>4594</v>
      </c>
      <c r="C4535" s="104" t="s">
        <v>183</v>
      </c>
      <c r="D4535" s="129" t="s">
        <v>18653</v>
      </c>
    </row>
    <row r="4536" spans="1:4">
      <c r="A4536" s="105">
        <v>96717</v>
      </c>
      <c r="B4536" s="104" t="s">
        <v>4595</v>
      </c>
      <c r="C4536" s="104" t="s">
        <v>183</v>
      </c>
      <c r="D4536" s="129" t="s">
        <v>18654</v>
      </c>
    </row>
    <row r="4537" spans="1:4">
      <c r="A4537" s="105">
        <v>96736</v>
      </c>
      <c r="B4537" s="104" t="s">
        <v>4596</v>
      </c>
      <c r="C4537" s="104" t="s">
        <v>183</v>
      </c>
      <c r="D4537" s="129" t="s">
        <v>15681</v>
      </c>
    </row>
    <row r="4538" spans="1:4">
      <c r="A4538" s="105">
        <v>96737</v>
      </c>
      <c r="B4538" s="104" t="s">
        <v>4597</v>
      </c>
      <c r="C4538" s="104" t="s">
        <v>183</v>
      </c>
      <c r="D4538" s="129" t="s">
        <v>14940</v>
      </c>
    </row>
    <row r="4539" spans="1:4">
      <c r="A4539" s="105">
        <v>96738</v>
      </c>
      <c r="B4539" s="104" t="s">
        <v>4598</v>
      </c>
      <c r="C4539" s="104" t="s">
        <v>183</v>
      </c>
      <c r="D4539" s="129" t="s">
        <v>18655</v>
      </c>
    </row>
    <row r="4540" spans="1:4">
      <c r="A4540" s="105">
        <v>96739</v>
      </c>
      <c r="B4540" s="104" t="s">
        <v>4599</v>
      </c>
      <c r="C4540" s="104" t="s">
        <v>183</v>
      </c>
      <c r="D4540" s="129" t="s">
        <v>14931</v>
      </c>
    </row>
    <row r="4541" spans="1:4">
      <c r="A4541" s="105">
        <v>96740</v>
      </c>
      <c r="B4541" s="104" t="s">
        <v>4600</v>
      </c>
      <c r="C4541" s="104" t="s">
        <v>183</v>
      </c>
      <c r="D4541" s="129" t="s">
        <v>18656</v>
      </c>
    </row>
    <row r="4542" spans="1:4">
      <c r="A4542" s="105">
        <v>96741</v>
      </c>
      <c r="B4542" s="104" t="s">
        <v>4601</v>
      </c>
      <c r="C4542" s="104" t="s">
        <v>183</v>
      </c>
      <c r="D4542" s="129" t="s">
        <v>18598</v>
      </c>
    </row>
    <row r="4543" spans="1:4">
      <c r="A4543" s="105">
        <v>96742</v>
      </c>
      <c r="B4543" s="104" t="s">
        <v>4602</v>
      </c>
      <c r="C4543" s="104" t="s">
        <v>183</v>
      </c>
      <c r="D4543" s="129" t="s">
        <v>18657</v>
      </c>
    </row>
    <row r="4544" spans="1:4">
      <c r="A4544" s="105">
        <v>96743</v>
      </c>
      <c r="B4544" s="104" t="s">
        <v>4603</v>
      </c>
      <c r="C4544" s="104" t="s">
        <v>183</v>
      </c>
      <c r="D4544" s="129" t="s">
        <v>18658</v>
      </c>
    </row>
    <row r="4545" spans="1:4">
      <c r="A4545" s="105">
        <v>96744</v>
      </c>
      <c r="B4545" s="104" t="s">
        <v>4604</v>
      </c>
      <c r="C4545" s="104" t="s">
        <v>183</v>
      </c>
      <c r="D4545" s="129" t="s">
        <v>18659</v>
      </c>
    </row>
    <row r="4546" spans="1:4">
      <c r="A4546" s="105">
        <v>96745</v>
      </c>
      <c r="B4546" s="104" t="s">
        <v>4605</v>
      </c>
      <c r="C4546" s="104" t="s">
        <v>183</v>
      </c>
      <c r="D4546" s="129" t="s">
        <v>18660</v>
      </c>
    </row>
    <row r="4547" spans="1:4">
      <c r="A4547" s="105">
        <v>96746</v>
      </c>
      <c r="B4547" s="104" t="s">
        <v>4606</v>
      </c>
      <c r="C4547" s="104" t="s">
        <v>183</v>
      </c>
      <c r="D4547" s="129" t="s">
        <v>18661</v>
      </c>
    </row>
    <row r="4548" spans="1:4">
      <c r="A4548" s="105">
        <v>96747</v>
      </c>
      <c r="B4548" s="104" t="s">
        <v>4607</v>
      </c>
      <c r="C4548" s="104" t="s">
        <v>183</v>
      </c>
      <c r="D4548" s="129" t="s">
        <v>16492</v>
      </c>
    </row>
    <row r="4549" spans="1:4">
      <c r="A4549" s="105">
        <v>96748</v>
      </c>
      <c r="B4549" s="104" t="s">
        <v>4608</v>
      </c>
      <c r="C4549" s="104" t="s">
        <v>183</v>
      </c>
      <c r="D4549" s="129" t="s">
        <v>18662</v>
      </c>
    </row>
    <row r="4550" spans="1:4">
      <c r="A4550" s="105">
        <v>96749</v>
      </c>
      <c r="B4550" s="104" t="s">
        <v>4609</v>
      </c>
      <c r="C4550" s="104" t="s">
        <v>183</v>
      </c>
      <c r="D4550" s="129" t="s">
        <v>18663</v>
      </c>
    </row>
    <row r="4551" spans="1:4">
      <c r="A4551" s="105">
        <v>96750</v>
      </c>
      <c r="B4551" s="104" t="s">
        <v>4610</v>
      </c>
      <c r="C4551" s="104" t="s">
        <v>183</v>
      </c>
      <c r="D4551" s="129" t="s">
        <v>18664</v>
      </c>
    </row>
    <row r="4552" spans="1:4">
      <c r="A4552" s="105">
        <v>96751</v>
      </c>
      <c r="B4552" s="104" t="s">
        <v>4611</v>
      </c>
      <c r="C4552" s="104" t="s">
        <v>183</v>
      </c>
      <c r="D4552" s="129" t="s">
        <v>17939</v>
      </c>
    </row>
    <row r="4553" spans="1:4">
      <c r="A4553" s="105">
        <v>96752</v>
      </c>
      <c r="B4553" s="104" t="s">
        <v>4612</v>
      </c>
      <c r="C4553" s="104" t="s">
        <v>183</v>
      </c>
      <c r="D4553" s="129" t="s">
        <v>18395</v>
      </c>
    </row>
    <row r="4554" spans="1:4">
      <c r="A4554" s="105">
        <v>96753</v>
      </c>
      <c r="B4554" s="104" t="s">
        <v>4613</v>
      </c>
      <c r="C4554" s="104" t="s">
        <v>183</v>
      </c>
      <c r="D4554" s="129" t="s">
        <v>16703</v>
      </c>
    </row>
    <row r="4555" spans="1:4">
      <c r="A4555" s="105">
        <v>96754</v>
      </c>
      <c r="B4555" s="104" t="s">
        <v>4614</v>
      </c>
      <c r="C4555" s="104" t="s">
        <v>183</v>
      </c>
      <c r="D4555" s="129" t="s">
        <v>18665</v>
      </c>
    </row>
    <row r="4556" spans="1:4">
      <c r="A4556" s="105">
        <v>96755</v>
      </c>
      <c r="B4556" s="104" t="s">
        <v>4615</v>
      </c>
      <c r="C4556" s="104" t="s">
        <v>183</v>
      </c>
      <c r="D4556" s="129" t="s">
        <v>18666</v>
      </c>
    </row>
    <row r="4557" spans="1:4">
      <c r="A4557" s="105">
        <v>96756</v>
      </c>
      <c r="B4557" s="104" t="s">
        <v>4616</v>
      </c>
      <c r="C4557" s="104" t="s">
        <v>183</v>
      </c>
      <c r="D4557" s="129" t="s">
        <v>18494</v>
      </c>
    </row>
    <row r="4558" spans="1:4">
      <c r="A4558" s="105">
        <v>96757</v>
      </c>
      <c r="B4558" s="104" t="s">
        <v>4617</v>
      </c>
      <c r="C4558" s="104" t="s">
        <v>183</v>
      </c>
      <c r="D4558" s="129" t="s">
        <v>16901</v>
      </c>
    </row>
    <row r="4559" spans="1:4">
      <c r="A4559" s="105">
        <v>96758</v>
      </c>
      <c r="B4559" s="104" t="s">
        <v>4618</v>
      </c>
      <c r="C4559" s="104" t="s">
        <v>183</v>
      </c>
      <c r="D4559" s="129" t="s">
        <v>18457</v>
      </c>
    </row>
    <row r="4560" spans="1:4">
      <c r="A4560" s="105">
        <v>96759</v>
      </c>
      <c r="B4560" s="104" t="s">
        <v>4619</v>
      </c>
      <c r="C4560" s="104" t="s">
        <v>183</v>
      </c>
      <c r="D4560" s="129" t="s">
        <v>18667</v>
      </c>
    </row>
    <row r="4561" spans="1:4">
      <c r="A4561" s="105">
        <v>96760</v>
      </c>
      <c r="B4561" s="104" t="s">
        <v>4620</v>
      </c>
      <c r="C4561" s="104" t="s">
        <v>183</v>
      </c>
      <c r="D4561" s="129" t="s">
        <v>18668</v>
      </c>
    </row>
    <row r="4562" spans="1:4">
      <c r="A4562" s="105">
        <v>96761</v>
      </c>
      <c r="B4562" s="104" t="s">
        <v>4621</v>
      </c>
      <c r="C4562" s="104" t="s">
        <v>183</v>
      </c>
      <c r="D4562" s="129" t="s">
        <v>18669</v>
      </c>
    </row>
    <row r="4563" spans="1:4">
      <c r="A4563" s="105">
        <v>96762</v>
      </c>
      <c r="B4563" s="104" t="s">
        <v>4622</v>
      </c>
      <c r="C4563" s="104" t="s">
        <v>183</v>
      </c>
      <c r="D4563" s="129" t="s">
        <v>18670</v>
      </c>
    </row>
    <row r="4564" spans="1:4">
      <c r="A4564" s="105">
        <v>96763</v>
      </c>
      <c r="B4564" s="104" t="s">
        <v>4623</v>
      </c>
      <c r="C4564" s="104" t="s">
        <v>183</v>
      </c>
      <c r="D4564" s="129" t="s">
        <v>18671</v>
      </c>
    </row>
    <row r="4565" spans="1:4">
      <c r="A4565" s="105">
        <v>96764</v>
      </c>
      <c r="B4565" s="104" t="s">
        <v>4624</v>
      </c>
      <c r="C4565" s="104" t="s">
        <v>183</v>
      </c>
      <c r="D4565" s="129" t="s">
        <v>18672</v>
      </c>
    </row>
    <row r="4566" spans="1:4">
      <c r="A4566" s="105">
        <v>96802</v>
      </c>
      <c r="B4566" s="104" t="s">
        <v>4625</v>
      </c>
      <c r="C4566" s="104" t="s">
        <v>183</v>
      </c>
      <c r="D4566" s="129" t="s">
        <v>18673</v>
      </c>
    </row>
    <row r="4567" spans="1:4">
      <c r="A4567" s="105">
        <v>96803</v>
      </c>
      <c r="B4567" s="104" t="s">
        <v>4626</v>
      </c>
      <c r="C4567" s="104" t="s">
        <v>183</v>
      </c>
      <c r="D4567" s="129" t="s">
        <v>18674</v>
      </c>
    </row>
    <row r="4568" spans="1:4">
      <c r="A4568" s="105">
        <v>96804</v>
      </c>
      <c r="B4568" s="104" t="s">
        <v>4627</v>
      </c>
      <c r="C4568" s="104" t="s">
        <v>183</v>
      </c>
      <c r="D4568" s="129" t="s">
        <v>18675</v>
      </c>
    </row>
    <row r="4569" spans="1:4">
      <c r="A4569" s="105">
        <v>96805</v>
      </c>
      <c r="B4569" s="104" t="s">
        <v>4628</v>
      </c>
      <c r="C4569" s="104" t="s">
        <v>183</v>
      </c>
      <c r="D4569" s="129" t="s">
        <v>18676</v>
      </c>
    </row>
    <row r="4570" spans="1:4">
      <c r="A4570" s="105">
        <v>96806</v>
      </c>
      <c r="B4570" s="104" t="s">
        <v>4629</v>
      </c>
      <c r="C4570" s="104" t="s">
        <v>183</v>
      </c>
      <c r="D4570" s="129" t="s">
        <v>18677</v>
      </c>
    </row>
    <row r="4571" spans="1:4">
      <c r="A4571" s="105">
        <v>96807</v>
      </c>
      <c r="B4571" s="104" t="s">
        <v>4630</v>
      </c>
      <c r="C4571" s="104" t="s">
        <v>183</v>
      </c>
      <c r="D4571" s="129" t="s">
        <v>18678</v>
      </c>
    </row>
    <row r="4572" spans="1:4">
      <c r="A4572" s="105">
        <v>96808</v>
      </c>
      <c r="B4572" s="104" t="s">
        <v>4631</v>
      </c>
      <c r="C4572" s="104" t="s">
        <v>183</v>
      </c>
      <c r="D4572" s="129" t="s">
        <v>18561</v>
      </c>
    </row>
    <row r="4573" spans="1:4">
      <c r="A4573" s="105">
        <v>96809</v>
      </c>
      <c r="B4573" s="104" t="s">
        <v>4632</v>
      </c>
      <c r="C4573" s="104" t="s">
        <v>183</v>
      </c>
      <c r="D4573" s="129" t="s">
        <v>14935</v>
      </c>
    </row>
    <row r="4574" spans="1:4">
      <c r="A4574" s="105">
        <v>96810</v>
      </c>
      <c r="B4574" s="104" t="s">
        <v>4633</v>
      </c>
      <c r="C4574" s="104" t="s">
        <v>183</v>
      </c>
      <c r="D4574" s="129" t="s">
        <v>17330</v>
      </c>
    </row>
    <row r="4575" spans="1:4">
      <c r="A4575" s="105">
        <v>96811</v>
      </c>
      <c r="B4575" s="104" t="s">
        <v>4634</v>
      </c>
      <c r="C4575" s="104" t="s">
        <v>183</v>
      </c>
      <c r="D4575" s="129" t="s">
        <v>18622</v>
      </c>
    </row>
    <row r="4576" spans="1:4">
      <c r="A4576" s="105">
        <v>96812</v>
      </c>
      <c r="B4576" s="104" t="s">
        <v>4635</v>
      </c>
      <c r="C4576" s="104" t="s">
        <v>183</v>
      </c>
      <c r="D4576" s="129" t="s">
        <v>18271</v>
      </c>
    </row>
    <row r="4577" spans="1:4">
      <c r="A4577" s="105">
        <v>96813</v>
      </c>
      <c r="B4577" s="104" t="s">
        <v>4636</v>
      </c>
      <c r="C4577" s="104" t="s">
        <v>183</v>
      </c>
      <c r="D4577" s="129" t="s">
        <v>17426</v>
      </c>
    </row>
    <row r="4578" spans="1:4">
      <c r="A4578" s="105">
        <v>96814</v>
      </c>
      <c r="B4578" s="104" t="s">
        <v>4637</v>
      </c>
      <c r="C4578" s="104" t="s">
        <v>183</v>
      </c>
      <c r="D4578" s="129" t="s">
        <v>18679</v>
      </c>
    </row>
    <row r="4579" spans="1:4">
      <c r="A4579" s="105">
        <v>96815</v>
      </c>
      <c r="B4579" s="104" t="s">
        <v>4638</v>
      </c>
      <c r="C4579" s="104" t="s">
        <v>183</v>
      </c>
      <c r="D4579" s="129" t="s">
        <v>18680</v>
      </c>
    </row>
    <row r="4580" spans="1:4">
      <c r="A4580" s="105">
        <v>96816</v>
      </c>
      <c r="B4580" s="104" t="s">
        <v>4639</v>
      </c>
      <c r="C4580" s="104" t="s">
        <v>183</v>
      </c>
      <c r="D4580" s="129" t="s">
        <v>18681</v>
      </c>
    </row>
    <row r="4581" spans="1:4">
      <c r="A4581" s="105">
        <v>96817</v>
      </c>
      <c r="B4581" s="104" t="s">
        <v>4640</v>
      </c>
      <c r="C4581" s="104" t="s">
        <v>183</v>
      </c>
      <c r="D4581" s="129" t="s">
        <v>18413</v>
      </c>
    </row>
    <row r="4582" spans="1:4">
      <c r="A4582" s="105">
        <v>96818</v>
      </c>
      <c r="B4582" s="104" t="s">
        <v>4641</v>
      </c>
      <c r="C4582" s="104" t="s">
        <v>183</v>
      </c>
      <c r="D4582" s="129" t="s">
        <v>18682</v>
      </c>
    </row>
    <row r="4583" spans="1:4">
      <c r="A4583" s="105">
        <v>96819</v>
      </c>
      <c r="B4583" s="104" t="s">
        <v>4642</v>
      </c>
      <c r="C4583" s="104" t="s">
        <v>183</v>
      </c>
      <c r="D4583" s="129" t="s">
        <v>18682</v>
      </c>
    </row>
    <row r="4584" spans="1:4">
      <c r="A4584" s="105">
        <v>96820</v>
      </c>
      <c r="B4584" s="104" t="s">
        <v>4643</v>
      </c>
      <c r="C4584" s="104" t="s">
        <v>183</v>
      </c>
      <c r="D4584" s="129" t="s">
        <v>15033</v>
      </c>
    </row>
    <row r="4585" spans="1:4">
      <c r="A4585" s="105">
        <v>96821</v>
      </c>
      <c r="B4585" s="104" t="s">
        <v>4644</v>
      </c>
      <c r="C4585" s="104" t="s">
        <v>183</v>
      </c>
      <c r="D4585" s="129" t="s">
        <v>18683</v>
      </c>
    </row>
    <row r="4586" spans="1:4">
      <c r="A4586" s="105">
        <v>96822</v>
      </c>
      <c r="B4586" s="104" t="s">
        <v>4645</v>
      </c>
      <c r="C4586" s="104" t="s">
        <v>183</v>
      </c>
      <c r="D4586" s="129" t="s">
        <v>18684</v>
      </c>
    </row>
    <row r="4587" spans="1:4">
      <c r="A4587" s="105">
        <v>96823</v>
      </c>
      <c r="B4587" s="104" t="s">
        <v>4646</v>
      </c>
      <c r="C4587" s="104" t="s">
        <v>183</v>
      </c>
      <c r="D4587" s="129" t="s">
        <v>18685</v>
      </c>
    </row>
    <row r="4588" spans="1:4">
      <c r="A4588" s="105">
        <v>96824</v>
      </c>
      <c r="B4588" s="104" t="s">
        <v>4647</v>
      </c>
      <c r="C4588" s="104" t="s">
        <v>183</v>
      </c>
      <c r="D4588" s="129" t="s">
        <v>18686</v>
      </c>
    </row>
    <row r="4589" spans="1:4">
      <c r="A4589" s="105">
        <v>96825</v>
      </c>
      <c r="B4589" s="104" t="s">
        <v>4648</v>
      </c>
      <c r="C4589" s="104" t="s">
        <v>183</v>
      </c>
      <c r="D4589" s="129" t="s">
        <v>18474</v>
      </c>
    </row>
    <row r="4590" spans="1:4">
      <c r="A4590" s="105">
        <v>96826</v>
      </c>
      <c r="B4590" s="104" t="s">
        <v>4649</v>
      </c>
      <c r="C4590" s="104" t="s">
        <v>183</v>
      </c>
      <c r="D4590" s="129" t="s">
        <v>18687</v>
      </c>
    </row>
    <row r="4591" spans="1:4">
      <c r="A4591" s="105">
        <v>96827</v>
      </c>
      <c r="B4591" s="104" t="s">
        <v>4650</v>
      </c>
      <c r="C4591" s="104" t="s">
        <v>183</v>
      </c>
      <c r="D4591" s="129" t="s">
        <v>18688</v>
      </c>
    </row>
    <row r="4592" spans="1:4">
      <c r="A4592" s="105">
        <v>96828</v>
      </c>
      <c r="B4592" s="104" t="s">
        <v>4651</v>
      </c>
      <c r="C4592" s="104" t="s">
        <v>183</v>
      </c>
      <c r="D4592" s="129" t="s">
        <v>18689</v>
      </c>
    </row>
    <row r="4593" spans="1:4">
      <c r="A4593" s="105">
        <v>96829</v>
      </c>
      <c r="B4593" s="104" t="s">
        <v>4652</v>
      </c>
      <c r="C4593" s="104" t="s">
        <v>183</v>
      </c>
      <c r="D4593" s="129" t="s">
        <v>18690</v>
      </c>
    </row>
    <row r="4594" spans="1:4">
      <c r="A4594" s="105">
        <v>96830</v>
      </c>
      <c r="B4594" s="104" t="s">
        <v>4653</v>
      </c>
      <c r="C4594" s="104" t="s">
        <v>183</v>
      </c>
      <c r="D4594" s="129" t="s">
        <v>18691</v>
      </c>
    </row>
    <row r="4595" spans="1:4">
      <c r="A4595" s="105">
        <v>96831</v>
      </c>
      <c r="B4595" s="104" t="s">
        <v>4654</v>
      </c>
      <c r="C4595" s="104" t="s">
        <v>183</v>
      </c>
      <c r="D4595" s="129" t="s">
        <v>15410</v>
      </c>
    </row>
    <row r="4596" spans="1:4">
      <c r="A4596" s="105">
        <v>96832</v>
      </c>
      <c r="B4596" s="104" t="s">
        <v>4655</v>
      </c>
      <c r="C4596" s="104" t="s">
        <v>183</v>
      </c>
      <c r="D4596" s="129" t="s">
        <v>18692</v>
      </c>
    </row>
    <row r="4597" spans="1:4">
      <c r="A4597" s="105">
        <v>96833</v>
      </c>
      <c r="B4597" s="104" t="s">
        <v>4656</v>
      </c>
      <c r="C4597" s="104" t="s">
        <v>183</v>
      </c>
      <c r="D4597" s="129" t="s">
        <v>18693</v>
      </c>
    </row>
    <row r="4598" spans="1:4">
      <c r="A4598" s="105">
        <v>96834</v>
      </c>
      <c r="B4598" s="104" t="s">
        <v>4657</v>
      </c>
      <c r="C4598" s="104" t="s">
        <v>183</v>
      </c>
      <c r="D4598" s="129" t="s">
        <v>18694</v>
      </c>
    </row>
    <row r="4599" spans="1:4">
      <c r="A4599" s="105">
        <v>96835</v>
      </c>
      <c r="B4599" s="104" t="s">
        <v>4658</v>
      </c>
      <c r="C4599" s="104" t="s">
        <v>183</v>
      </c>
      <c r="D4599" s="129" t="s">
        <v>18695</v>
      </c>
    </row>
    <row r="4600" spans="1:4">
      <c r="A4600" s="105">
        <v>96836</v>
      </c>
      <c r="B4600" s="104" t="s">
        <v>4659</v>
      </c>
      <c r="C4600" s="104" t="s">
        <v>183</v>
      </c>
      <c r="D4600" s="129" t="s">
        <v>18696</v>
      </c>
    </row>
    <row r="4601" spans="1:4">
      <c r="A4601" s="105">
        <v>96837</v>
      </c>
      <c r="B4601" s="104" t="s">
        <v>4660</v>
      </c>
      <c r="C4601" s="104" t="s">
        <v>183</v>
      </c>
      <c r="D4601" s="129" t="s">
        <v>18697</v>
      </c>
    </row>
    <row r="4602" spans="1:4">
      <c r="A4602" s="105">
        <v>96838</v>
      </c>
      <c r="B4602" s="104" t="s">
        <v>4661</v>
      </c>
      <c r="C4602" s="104" t="s">
        <v>183</v>
      </c>
      <c r="D4602" s="129" t="s">
        <v>18329</v>
      </c>
    </row>
    <row r="4603" spans="1:4">
      <c r="A4603" s="105">
        <v>96839</v>
      </c>
      <c r="B4603" s="104" t="s">
        <v>4662</v>
      </c>
      <c r="C4603" s="104" t="s">
        <v>183</v>
      </c>
      <c r="D4603" s="129" t="s">
        <v>17207</v>
      </c>
    </row>
    <row r="4604" spans="1:4">
      <c r="A4604" s="105">
        <v>96840</v>
      </c>
      <c r="B4604" s="104" t="s">
        <v>4663</v>
      </c>
      <c r="C4604" s="104" t="s">
        <v>183</v>
      </c>
      <c r="D4604" s="129" t="s">
        <v>18698</v>
      </c>
    </row>
    <row r="4605" spans="1:4">
      <c r="A4605" s="105">
        <v>96841</v>
      </c>
      <c r="B4605" s="104" t="s">
        <v>4664</v>
      </c>
      <c r="C4605" s="104" t="s">
        <v>183</v>
      </c>
      <c r="D4605" s="129" t="s">
        <v>17313</v>
      </c>
    </row>
    <row r="4606" spans="1:4">
      <c r="A4606" s="105">
        <v>96842</v>
      </c>
      <c r="B4606" s="104" t="s">
        <v>4665</v>
      </c>
      <c r="C4606" s="104" t="s">
        <v>183</v>
      </c>
      <c r="D4606" s="129" t="s">
        <v>18699</v>
      </c>
    </row>
    <row r="4607" spans="1:4">
      <c r="A4607" s="105">
        <v>96843</v>
      </c>
      <c r="B4607" s="104" t="s">
        <v>4666</v>
      </c>
      <c r="C4607" s="104" t="s">
        <v>183</v>
      </c>
      <c r="D4607" s="129" t="s">
        <v>17314</v>
      </c>
    </row>
    <row r="4608" spans="1:4">
      <c r="A4608" s="105">
        <v>96844</v>
      </c>
      <c r="B4608" s="104" t="s">
        <v>4667</v>
      </c>
      <c r="C4608" s="104" t="s">
        <v>183</v>
      </c>
      <c r="D4608" s="129" t="s">
        <v>18700</v>
      </c>
    </row>
    <row r="4609" spans="1:4">
      <c r="A4609" s="105">
        <v>96845</v>
      </c>
      <c r="B4609" s="104" t="s">
        <v>4668</v>
      </c>
      <c r="C4609" s="104" t="s">
        <v>183</v>
      </c>
      <c r="D4609" s="129" t="s">
        <v>18701</v>
      </c>
    </row>
    <row r="4610" spans="1:4">
      <c r="A4610" s="105">
        <v>96846</v>
      </c>
      <c r="B4610" s="104" t="s">
        <v>4669</v>
      </c>
      <c r="C4610" s="104" t="s">
        <v>183</v>
      </c>
      <c r="D4610" s="129" t="s">
        <v>18702</v>
      </c>
    </row>
    <row r="4611" spans="1:4">
      <c r="A4611" s="105">
        <v>96847</v>
      </c>
      <c r="B4611" s="104" t="s">
        <v>4670</v>
      </c>
      <c r="C4611" s="104" t="s">
        <v>183</v>
      </c>
      <c r="D4611" s="129" t="s">
        <v>18703</v>
      </c>
    </row>
    <row r="4612" spans="1:4">
      <c r="A4612" s="105">
        <v>96848</v>
      </c>
      <c r="B4612" s="104" t="s">
        <v>4671</v>
      </c>
      <c r="C4612" s="104" t="s">
        <v>183</v>
      </c>
      <c r="D4612" s="129" t="s">
        <v>18704</v>
      </c>
    </row>
    <row r="4613" spans="1:4">
      <c r="A4613" s="105">
        <v>96849</v>
      </c>
      <c r="B4613" s="104" t="s">
        <v>4672</v>
      </c>
      <c r="C4613" s="104" t="s">
        <v>183</v>
      </c>
      <c r="D4613" s="129" t="s">
        <v>17436</v>
      </c>
    </row>
    <row r="4614" spans="1:4">
      <c r="A4614" s="105">
        <v>96850</v>
      </c>
      <c r="B4614" s="104" t="s">
        <v>4673</v>
      </c>
      <c r="C4614" s="104" t="s">
        <v>183</v>
      </c>
      <c r="D4614" s="129" t="s">
        <v>18705</v>
      </c>
    </row>
    <row r="4615" spans="1:4">
      <c r="A4615" s="105">
        <v>96851</v>
      </c>
      <c r="B4615" s="104" t="s">
        <v>4674</v>
      </c>
      <c r="C4615" s="104" t="s">
        <v>183</v>
      </c>
      <c r="D4615" s="129" t="s">
        <v>17312</v>
      </c>
    </row>
    <row r="4616" spans="1:4">
      <c r="A4616" s="105">
        <v>96852</v>
      </c>
      <c r="B4616" s="104" t="s">
        <v>4675</v>
      </c>
      <c r="C4616" s="104" t="s">
        <v>183</v>
      </c>
      <c r="D4616" s="129" t="s">
        <v>17316</v>
      </c>
    </row>
    <row r="4617" spans="1:4">
      <c r="A4617" s="105">
        <v>96853</v>
      </c>
      <c r="B4617" s="104" t="s">
        <v>4676</v>
      </c>
      <c r="C4617" s="104" t="s">
        <v>183</v>
      </c>
      <c r="D4617" s="129" t="s">
        <v>16769</v>
      </c>
    </row>
    <row r="4618" spans="1:4">
      <c r="A4618" s="105">
        <v>96854</v>
      </c>
      <c r="B4618" s="104" t="s">
        <v>4677</v>
      </c>
      <c r="C4618" s="104" t="s">
        <v>183</v>
      </c>
      <c r="D4618" s="129" t="s">
        <v>18706</v>
      </c>
    </row>
    <row r="4619" spans="1:4">
      <c r="A4619" s="105">
        <v>96855</v>
      </c>
      <c r="B4619" s="104" t="s">
        <v>4678</v>
      </c>
      <c r="C4619" s="104" t="s">
        <v>183</v>
      </c>
      <c r="D4619" s="129" t="s">
        <v>18707</v>
      </c>
    </row>
    <row r="4620" spans="1:4">
      <c r="A4620" s="105">
        <v>96856</v>
      </c>
      <c r="B4620" s="104" t="s">
        <v>4679</v>
      </c>
      <c r="C4620" s="104" t="s">
        <v>183</v>
      </c>
      <c r="D4620" s="129" t="s">
        <v>18708</v>
      </c>
    </row>
    <row r="4621" spans="1:4">
      <c r="A4621" s="105">
        <v>96857</v>
      </c>
      <c r="B4621" s="104" t="s">
        <v>4680</v>
      </c>
      <c r="C4621" s="104" t="s">
        <v>183</v>
      </c>
      <c r="D4621" s="129" t="s">
        <v>18709</v>
      </c>
    </row>
    <row r="4622" spans="1:4">
      <c r="A4622" s="105">
        <v>96858</v>
      </c>
      <c r="B4622" s="104" t="s">
        <v>4681</v>
      </c>
      <c r="C4622" s="104" t="s">
        <v>183</v>
      </c>
      <c r="D4622" s="129" t="s">
        <v>18710</v>
      </c>
    </row>
    <row r="4623" spans="1:4">
      <c r="A4623" s="105">
        <v>96859</v>
      </c>
      <c r="B4623" s="104" t="s">
        <v>4682</v>
      </c>
      <c r="C4623" s="104" t="s">
        <v>183</v>
      </c>
      <c r="D4623" s="129" t="s">
        <v>18085</v>
      </c>
    </row>
    <row r="4624" spans="1:4">
      <c r="A4624" s="105">
        <v>96860</v>
      </c>
      <c r="B4624" s="104" t="s">
        <v>4683</v>
      </c>
      <c r="C4624" s="104" t="s">
        <v>183</v>
      </c>
      <c r="D4624" s="129" t="s">
        <v>18711</v>
      </c>
    </row>
    <row r="4625" spans="1:4">
      <c r="A4625" s="105">
        <v>96861</v>
      </c>
      <c r="B4625" s="104" t="s">
        <v>4684</v>
      </c>
      <c r="C4625" s="104" t="s">
        <v>183</v>
      </c>
      <c r="D4625" s="129" t="s">
        <v>17221</v>
      </c>
    </row>
    <row r="4626" spans="1:4">
      <c r="A4626" s="105">
        <v>96862</v>
      </c>
      <c r="B4626" s="104" t="s">
        <v>4685</v>
      </c>
      <c r="C4626" s="104" t="s">
        <v>183</v>
      </c>
      <c r="D4626" s="129" t="s">
        <v>18712</v>
      </c>
    </row>
    <row r="4627" spans="1:4">
      <c r="A4627" s="105">
        <v>96863</v>
      </c>
      <c r="B4627" s="104" t="s">
        <v>4686</v>
      </c>
      <c r="C4627" s="104" t="s">
        <v>183</v>
      </c>
      <c r="D4627" s="129" t="s">
        <v>18080</v>
      </c>
    </row>
    <row r="4628" spans="1:4">
      <c r="A4628" s="105">
        <v>96864</v>
      </c>
      <c r="B4628" s="104" t="s">
        <v>4687</v>
      </c>
      <c r="C4628" s="104" t="s">
        <v>183</v>
      </c>
      <c r="D4628" s="129" t="s">
        <v>18713</v>
      </c>
    </row>
    <row r="4629" spans="1:4">
      <c r="A4629" s="105">
        <v>96865</v>
      </c>
      <c r="B4629" s="104" t="s">
        <v>4688</v>
      </c>
      <c r="C4629" s="104" t="s">
        <v>183</v>
      </c>
      <c r="D4629" s="129" t="s">
        <v>18456</v>
      </c>
    </row>
    <row r="4630" spans="1:4">
      <c r="A4630" s="105">
        <v>96866</v>
      </c>
      <c r="B4630" s="104" t="s">
        <v>4689</v>
      </c>
      <c r="C4630" s="104" t="s">
        <v>183</v>
      </c>
      <c r="D4630" s="129" t="s">
        <v>18714</v>
      </c>
    </row>
    <row r="4631" spans="1:4">
      <c r="A4631" s="105">
        <v>96867</v>
      </c>
      <c r="B4631" s="104" t="s">
        <v>4690</v>
      </c>
      <c r="C4631" s="104" t="s">
        <v>183</v>
      </c>
      <c r="D4631" s="129" t="s">
        <v>18715</v>
      </c>
    </row>
    <row r="4632" spans="1:4">
      <c r="A4632" s="105">
        <v>96868</v>
      </c>
      <c r="B4632" s="104" t="s">
        <v>4691</v>
      </c>
      <c r="C4632" s="104" t="s">
        <v>183</v>
      </c>
      <c r="D4632" s="129" t="s">
        <v>18716</v>
      </c>
    </row>
    <row r="4633" spans="1:4">
      <c r="A4633" s="105">
        <v>96869</v>
      </c>
      <c r="B4633" s="104" t="s">
        <v>4692</v>
      </c>
      <c r="C4633" s="104" t="s">
        <v>183</v>
      </c>
      <c r="D4633" s="129" t="s">
        <v>17401</v>
      </c>
    </row>
    <row r="4634" spans="1:4">
      <c r="A4634" s="105">
        <v>96870</v>
      </c>
      <c r="B4634" s="104" t="s">
        <v>4693</v>
      </c>
      <c r="C4634" s="104" t="s">
        <v>183</v>
      </c>
      <c r="D4634" s="129" t="s">
        <v>18717</v>
      </c>
    </row>
    <row r="4635" spans="1:4">
      <c r="A4635" s="105">
        <v>96871</v>
      </c>
      <c r="B4635" s="104" t="s">
        <v>4694</v>
      </c>
      <c r="C4635" s="104" t="s">
        <v>183</v>
      </c>
      <c r="D4635" s="129" t="s">
        <v>18718</v>
      </c>
    </row>
    <row r="4636" spans="1:4">
      <c r="A4636" s="105">
        <v>96872</v>
      </c>
      <c r="B4636" s="104" t="s">
        <v>4695</v>
      </c>
      <c r="C4636" s="104" t="s">
        <v>183</v>
      </c>
      <c r="D4636" s="129" t="s">
        <v>18719</v>
      </c>
    </row>
    <row r="4637" spans="1:4">
      <c r="A4637" s="105">
        <v>96873</v>
      </c>
      <c r="B4637" s="104" t="s">
        <v>4696</v>
      </c>
      <c r="C4637" s="104" t="s">
        <v>183</v>
      </c>
      <c r="D4637" s="129" t="s">
        <v>18720</v>
      </c>
    </row>
    <row r="4638" spans="1:4">
      <c r="A4638" s="105">
        <v>96874</v>
      </c>
      <c r="B4638" s="104" t="s">
        <v>4697</v>
      </c>
      <c r="C4638" s="104" t="s">
        <v>183</v>
      </c>
      <c r="D4638" s="129" t="s">
        <v>18721</v>
      </c>
    </row>
    <row r="4639" spans="1:4">
      <c r="A4639" s="105">
        <v>96875</v>
      </c>
      <c r="B4639" s="104" t="s">
        <v>4698</v>
      </c>
      <c r="C4639" s="104" t="s">
        <v>183</v>
      </c>
      <c r="D4639" s="129" t="s">
        <v>18722</v>
      </c>
    </row>
    <row r="4640" spans="1:4">
      <c r="A4640" s="105">
        <v>96876</v>
      </c>
      <c r="B4640" s="104" t="s">
        <v>4699</v>
      </c>
      <c r="C4640" s="104" t="s">
        <v>183</v>
      </c>
      <c r="D4640" s="129" t="s">
        <v>18723</v>
      </c>
    </row>
    <row r="4641" spans="1:4">
      <c r="A4641" s="105">
        <v>96877</v>
      </c>
      <c r="B4641" s="104" t="s">
        <v>4700</v>
      </c>
      <c r="C4641" s="104" t="s">
        <v>183</v>
      </c>
      <c r="D4641" s="129" t="s">
        <v>18724</v>
      </c>
    </row>
    <row r="4642" spans="1:4">
      <c r="A4642" s="105">
        <v>96878</v>
      </c>
      <c r="B4642" s="104" t="s">
        <v>4701</v>
      </c>
      <c r="C4642" s="104" t="s">
        <v>183</v>
      </c>
      <c r="D4642" s="129" t="s">
        <v>18725</v>
      </c>
    </row>
    <row r="4643" spans="1:4">
      <c r="A4643" s="105">
        <v>96879</v>
      </c>
      <c r="B4643" s="104" t="s">
        <v>4702</v>
      </c>
      <c r="C4643" s="104" t="s">
        <v>183</v>
      </c>
      <c r="D4643" s="129" t="s">
        <v>18726</v>
      </c>
    </row>
    <row r="4644" spans="1:4">
      <c r="A4644" s="105">
        <v>96880</v>
      </c>
      <c r="B4644" s="104" t="s">
        <v>4703</v>
      </c>
      <c r="C4644" s="104" t="s">
        <v>183</v>
      </c>
      <c r="D4644" s="129" t="s">
        <v>18727</v>
      </c>
    </row>
    <row r="4645" spans="1:4">
      <c r="A4645" s="105">
        <v>96881</v>
      </c>
      <c r="B4645" s="104" t="s">
        <v>4704</v>
      </c>
      <c r="C4645" s="104" t="s">
        <v>183</v>
      </c>
      <c r="D4645" s="129" t="s">
        <v>18728</v>
      </c>
    </row>
    <row r="4646" spans="1:4">
      <c r="A4646" s="105">
        <v>97425</v>
      </c>
      <c r="B4646" s="104" t="s">
        <v>4705</v>
      </c>
      <c r="C4646" s="104" t="s">
        <v>183</v>
      </c>
      <c r="D4646" s="129" t="s">
        <v>18729</v>
      </c>
    </row>
    <row r="4647" spans="1:4">
      <c r="A4647" s="105">
        <v>97426</v>
      </c>
      <c r="B4647" s="104" t="s">
        <v>4706</v>
      </c>
      <c r="C4647" s="104" t="s">
        <v>183</v>
      </c>
      <c r="D4647" s="129" t="s">
        <v>18730</v>
      </c>
    </row>
    <row r="4648" spans="1:4">
      <c r="A4648" s="105">
        <v>97427</v>
      </c>
      <c r="B4648" s="104" t="s">
        <v>4707</v>
      </c>
      <c r="C4648" s="104" t="s">
        <v>183</v>
      </c>
      <c r="D4648" s="129" t="s">
        <v>18731</v>
      </c>
    </row>
    <row r="4649" spans="1:4">
      <c r="A4649" s="105">
        <v>97428</v>
      </c>
      <c r="B4649" s="104" t="s">
        <v>4708</v>
      </c>
      <c r="C4649" s="104" t="s">
        <v>183</v>
      </c>
      <c r="D4649" s="129" t="s">
        <v>18732</v>
      </c>
    </row>
    <row r="4650" spans="1:4">
      <c r="A4650" s="105">
        <v>97429</v>
      </c>
      <c r="B4650" s="104" t="s">
        <v>4709</v>
      </c>
      <c r="C4650" s="104" t="s">
        <v>183</v>
      </c>
      <c r="D4650" s="129" t="s">
        <v>18733</v>
      </c>
    </row>
    <row r="4651" spans="1:4">
      <c r="A4651" s="105">
        <v>97430</v>
      </c>
      <c r="B4651" s="104" t="s">
        <v>4710</v>
      </c>
      <c r="C4651" s="104" t="s">
        <v>183</v>
      </c>
      <c r="D4651" s="129" t="s">
        <v>18734</v>
      </c>
    </row>
    <row r="4652" spans="1:4">
      <c r="A4652" s="105">
        <v>97431</v>
      </c>
      <c r="B4652" s="104" t="s">
        <v>4711</v>
      </c>
      <c r="C4652" s="104" t="s">
        <v>183</v>
      </c>
      <c r="D4652" s="129" t="s">
        <v>18735</v>
      </c>
    </row>
    <row r="4653" spans="1:4">
      <c r="A4653" s="105">
        <v>97432</v>
      </c>
      <c r="B4653" s="104" t="s">
        <v>4712</v>
      </c>
      <c r="C4653" s="104" t="s">
        <v>183</v>
      </c>
      <c r="D4653" s="129" t="s">
        <v>18736</v>
      </c>
    </row>
    <row r="4654" spans="1:4">
      <c r="A4654" s="105">
        <v>97433</v>
      </c>
      <c r="B4654" s="104" t="s">
        <v>4713</v>
      </c>
      <c r="C4654" s="104" t="s">
        <v>183</v>
      </c>
      <c r="D4654" s="129" t="s">
        <v>18737</v>
      </c>
    </row>
    <row r="4655" spans="1:4">
      <c r="A4655" s="105">
        <v>97434</v>
      </c>
      <c r="B4655" s="104" t="s">
        <v>4714</v>
      </c>
      <c r="C4655" s="104" t="s">
        <v>183</v>
      </c>
      <c r="D4655" s="129" t="s">
        <v>18738</v>
      </c>
    </row>
    <row r="4656" spans="1:4">
      <c r="A4656" s="105">
        <v>97435</v>
      </c>
      <c r="B4656" s="104" t="s">
        <v>4715</v>
      </c>
      <c r="C4656" s="104" t="s">
        <v>183</v>
      </c>
      <c r="D4656" s="129" t="s">
        <v>18739</v>
      </c>
    </row>
    <row r="4657" spans="1:4">
      <c r="A4657" s="105">
        <v>97436</v>
      </c>
      <c r="B4657" s="104" t="s">
        <v>4716</v>
      </c>
      <c r="C4657" s="104" t="s">
        <v>183</v>
      </c>
      <c r="D4657" s="129" t="s">
        <v>18740</v>
      </c>
    </row>
    <row r="4658" spans="1:4">
      <c r="A4658" s="105">
        <v>97437</v>
      </c>
      <c r="B4658" s="104" t="s">
        <v>4717</v>
      </c>
      <c r="C4658" s="104" t="s">
        <v>183</v>
      </c>
      <c r="D4658" s="129" t="s">
        <v>18741</v>
      </c>
    </row>
    <row r="4659" spans="1:4">
      <c r="A4659" s="105">
        <v>97438</v>
      </c>
      <c r="B4659" s="104" t="s">
        <v>4718</v>
      </c>
      <c r="C4659" s="104" t="s">
        <v>183</v>
      </c>
      <c r="D4659" s="129" t="s">
        <v>18742</v>
      </c>
    </row>
    <row r="4660" spans="1:4">
      <c r="A4660" s="105">
        <v>97439</v>
      </c>
      <c r="B4660" s="104" t="s">
        <v>4719</v>
      </c>
      <c r="C4660" s="104" t="s">
        <v>183</v>
      </c>
      <c r="D4660" s="129" t="s">
        <v>18743</v>
      </c>
    </row>
    <row r="4661" spans="1:4">
      <c r="A4661" s="105">
        <v>97440</v>
      </c>
      <c r="B4661" s="104" t="s">
        <v>4720</v>
      </c>
      <c r="C4661" s="104" t="s">
        <v>183</v>
      </c>
      <c r="D4661" s="129" t="s">
        <v>18744</v>
      </c>
    </row>
    <row r="4662" spans="1:4">
      <c r="A4662" s="105">
        <v>97442</v>
      </c>
      <c r="B4662" s="104" t="s">
        <v>4721</v>
      </c>
      <c r="C4662" s="104" t="s">
        <v>183</v>
      </c>
      <c r="D4662" s="129" t="s">
        <v>16819</v>
      </c>
    </row>
    <row r="4663" spans="1:4">
      <c r="A4663" s="105">
        <v>97443</v>
      </c>
      <c r="B4663" s="104" t="s">
        <v>4722</v>
      </c>
      <c r="C4663" s="104" t="s">
        <v>183</v>
      </c>
      <c r="D4663" s="129" t="s">
        <v>18745</v>
      </c>
    </row>
    <row r="4664" spans="1:4">
      <c r="A4664" s="105">
        <v>97444</v>
      </c>
      <c r="B4664" s="104" t="s">
        <v>4723</v>
      </c>
      <c r="C4664" s="104" t="s">
        <v>183</v>
      </c>
      <c r="D4664" s="129" t="s">
        <v>18746</v>
      </c>
    </row>
    <row r="4665" spans="1:4">
      <c r="A4665" s="105">
        <v>97446</v>
      </c>
      <c r="B4665" s="104" t="s">
        <v>4724</v>
      </c>
      <c r="C4665" s="104" t="s">
        <v>183</v>
      </c>
      <c r="D4665" s="129" t="s">
        <v>18747</v>
      </c>
    </row>
    <row r="4666" spans="1:4">
      <c r="A4666" s="105">
        <v>97447</v>
      </c>
      <c r="B4666" s="104" t="s">
        <v>4725</v>
      </c>
      <c r="C4666" s="104" t="s">
        <v>183</v>
      </c>
      <c r="D4666" s="129" t="s">
        <v>18747</v>
      </c>
    </row>
    <row r="4667" spans="1:4">
      <c r="A4667" s="105">
        <v>97449</v>
      </c>
      <c r="B4667" s="104" t="s">
        <v>4726</v>
      </c>
      <c r="C4667" s="104" t="s">
        <v>183</v>
      </c>
      <c r="D4667" s="129" t="s">
        <v>18748</v>
      </c>
    </row>
    <row r="4668" spans="1:4">
      <c r="A4668" s="105">
        <v>97450</v>
      </c>
      <c r="B4668" s="104" t="s">
        <v>4727</v>
      </c>
      <c r="C4668" s="104" t="s">
        <v>183</v>
      </c>
      <c r="D4668" s="129" t="s">
        <v>18749</v>
      </c>
    </row>
    <row r="4669" spans="1:4">
      <c r="A4669" s="105">
        <v>97452</v>
      </c>
      <c r="B4669" s="104" t="s">
        <v>4728</v>
      </c>
      <c r="C4669" s="104" t="s">
        <v>183</v>
      </c>
      <c r="D4669" s="129" t="s">
        <v>18750</v>
      </c>
    </row>
    <row r="4670" spans="1:4">
      <c r="A4670" s="105">
        <v>97453</v>
      </c>
      <c r="B4670" s="104" t="s">
        <v>4729</v>
      </c>
      <c r="C4670" s="104" t="s">
        <v>183</v>
      </c>
      <c r="D4670" s="129" t="s">
        <v>18751</v>
      </c>
    </row>
    <row r="4671" spans="1:4">
      <c r="A4671" s="105">
        <v>97454</v>
      </c>
      <c r="B4671" s="104" t="s">
        <v>4730</v>
      </c>
      <c r="C4671" s="104" t="s">
        <v>183</v>
      </c>
      <c r="D4671" s="129" t="s">
        <v>18752</v>
      </c>
    </row>
    <row r="4672" spans="1:4">
      <c r="A4672" s="105">
        <v>97455</v>
      </c>
      <c r="B4672" s="104" t="s">
        <v>4731</v>
      </c>
      <c r="C4672" s="104" t="s">
        <v>183</v>
      </c>
      <c r="D4672" s="129" t="s">
        <v>18753</v>
      </c>
    </row>
    <row r="4673" spans="1:4">
      <c r="A4673" s="105">
        <v>97456</v>
      </c>
      <c r="B4673" s="104" t="s">
        <v>4732</v>
      </c>
      <c r="C4673" s="104" t="s">
        <v>183</v>
      </c>
      <c r="D4673" s="129" t="s">
        <v>18754</v>
      </c>
    </row>
    <row r="4674" spans="1:4">
      <c r="A4674" s="105">
        <v>97457</v>
      </c>
      <c r="B4674" s="104" t="s">
        <v>4733</v>
      </c>
      <c r="C4674" s="104" t="s">
        <v>183</v>
      </c>
      <c r="D4674" s="129" t="s">
        <v>18755</v>
      </c>
    </row>
    <row r="4675" spans="1:4">
      <c r="A4675" s="105">
        <v>97458</v>
      </c>
      <c r="B4675" s="104" t="s">
        <v>4734</v>
      </c>
      <c r="C4675" s="104" t="s">
        <v>183</v>
      </c>
      <c r="D4675" s="129" t="s">
        <v>18756</v>
      </c>
    </row>
    <row r="4676" spans="1:4">
      <c r="A4676" s="105">
        <v>97459</v>
      </c>
      <c r="B4676" s="104" t="s">
        <v>4735</v>
      </c>
      <c r="C4676" s="104" t="s">
        <v>183</v>
      </c>
      <c r="D4676" s="129" t="s">
        <v>18757</v>
      </c>
    </row>
    <row r="4677" spans="1:4">
      <c r="A4677" s="105">
        <v>97460</v>
      </c>
      <c r="B4677" s="104" t="s">
        <v>4736</v>
      </c>
      <c r="C4677" s="104" t="s">
        <v>183</v>
      </c>
      <c r="D4677" s="129" t="s">
        <v>18758</v>
      </c>
    </row>
    <row r="4678" spans="1:4">
      <c r="A4678" s="105">
        <v>97461</v>
      </c>
      <c r="B4678" s="104" t="s">
        <v>4737</v>
      </c>
      <c r="C4678" s="104" t="s">
        <v>183</v>
      </c>
      <c r="D4678" s="129" t="s">
        <v>18165</v>
      </c>
    </row>
    <row r="4679" spans="1:4">
      <c r="A4679" s="105">
        <v>97462</v>
      </c>
      <c r="B4679" s="104" t="s">
        <v>4738</v>
      </c>
      <c r="C4679" s="104" t="s">
        <v>183</v>
      </c>
      <c r="D4679" s="129" t="s">
        <v>18759</v>
      </c>
    </row>
    <row r="4680" spans="1:4">
      <c r="A4680" s="105">
        <v>97464</v>
      </c>
      <c r="B4680" s="104" t="s">
        <v>4739</v>
      </c>
      <c r="C4680" s="104" t="s">
        <v>183</v>
      </c>
      <c r="D4680" s="129" t="s">
        <v>16659</v>
      </c>
    </row>
    <row r="4681" spans="1:4">
      <c r="A4681" s="105">
        <v>97465</v>
      </c>
      <c r="B4681" s="104" t="s">
        <v>4740</v>
      </c>
      <c r="C4681" s="104" t="s">
        <v>183</v>
      </c>
      <c r="D4681" s="129" t="s">
        <v>18760</v>
      </c>
    </row>
    <row r="4682" spans="1:4">
      <c r="A4682" s="105">
        <v>97467</v>
      </c>
      <c r="B4682" s="104" t="s">
        <v>4741</v>
      </c>
      <c r="C4682" s="104" t="s">
        <v>183</v>
      </c>
      <c r="D4682" s="129" t="s">
        <v>18761</v>
      </c>
    </row>
    <row r="4683" spans="1:4">
      <c r="A4683" s="105">
        <v>97468</v>
      </c>
      <c r="B4683" s="104" t="s">
        <v>4742</v>
      </c>
      <c r="C4683" s="104" t="s">
        <v>183</v>
      </c>
      <c r="D4683" s="129" t="s">
        <v>18762</v>
      </c>
    </row>
    <row r="4684" spans="1:4">
      <c r="A4684" s="105">
        <v>97470</v>
      </c>
      <c r="B4684" s="104" t="s">
        <v>4743</v>
      </c>
      <c r="C4684" s="104" t="s">
        <v>183</v>
      </c>
      <c r="D4684" s="129" t="s">
        <v>16757</v>
      </c>
    </row>
    <row r="4685" spans="1:4">
      <c r="A4685" s="105">
        <v>97471</v>
      </c>
      <c r="B4685" s="104" t="s">
        <v>4744</v>
      </c>
      <c r="C4685" s="104" t="s">
        <v>183</v>
      </c>
      <c r="D4685" s="129" t="s">
        <v>18763</v>
      </c>
    </row>
    <row r="4686" spans="1:4">
      <c r="A4686" s="105">
        <v>97474</v>
      </c>
      <c r="B4686" s="104" t="s">
        <v>4745</v>
      </c>
      <c r="C4686" s="104" t="s">
        <v>183</v>
      </c>
      <c r="D4686" s="129" t="s">
        <v>18764</v>
      </c>
    </row>
    <row r="4687" spans="1:4">
      <c r="A4687" s="105">
        <v>97475</v>
      </c>
      <c r="B4687" s="104" t="s">
        <v>4746</v>
      </c>
      <c r="C4687" s="104" t="s">
        <v>183</v>
      </c>
      <c r="D4687" s="129" t="s">
        <v>18765</v>
      </c>
    </row>
    <row r="4688" spans="1:4">
      <c r="A4688" s="105">
        <v>97477</v>
      </c>
      <c r="B4688" s="104" t="s">
        <v>4747</v>
      </c>
      <c r="C4688" s="104" t="s">
        <v>183</v>
      </c>
      <c r="D4688" s="129" t="s">
        <v>18766</v>
      </c>
    </row>
    <row r="4689" spans="1:4">
      <c r="A4689" s="105">
        <v>97478</v>
      </c>
      <c r="B4689" s="104" t="s">
        <v>4748</v>
      </c>
      <c r="C4689" s="104" t="s">
        <v>183</v>
      </c>
      <c r="D4689" s="129" t="s">
        <v>18767</v>
      </c>
    </row>
    <row r="4690" spans="1:4">
      <c r="A4690" s="105">
        <v>97479</v>
      </c>
      <c r="B4690" s="104" t="s">
        <v>4749</v>
      </c>
      <c r="C4690" s="104" t="s">
        <v>183</v>
      </c>
      <c r="D4690" s="129" t="s">
        <v>15408</v>
      </c>
    </row>
    <row r="4691" spans="1:4">
      <c r="A4691" s="105">
        <v>97480</v>
      </c>
      <c r="B4691" s="104" t="s">
        <v>4750</v>
      </c>
      <c r="C4691" s="104" t="s">
        <v>183</v>
      </c>
      <c r="D4691" s="129" t="s">
        <v>15408</v>
      </c>
    </row>
    <row r="4692" spans="1:4">
      <c r="A4692" s="105">
        <v>97481</v>
      </c>
      <c r="B4692" s="104" t="s">
        <v>4751</v>
      </c>
      <c r="C4692" s="104" t="s">
        <v>183</v>
      </c>
      <c r="D4692" s="129" t="s">
        <v>18768</v>
      </c>
    </row>
    <row r="4693" spans="1:4">
      <c r="A4693" s="105">
        <v>97482</v>
      </c>
      <c r="B4693" s="104" t="s">
        <v>4752</v>
      </c>
      <c r="C4693" s="104" t="s">
        <v>183</v>
      </c>
      <c r="D4693" s="129" t="s">
        <v>18768</v>
      </c>
    </row>
    <row r="4694" spans="1:4">
      <c r="A4694" s="105">
        <v>97483</v>
      </c>
      <c r="B4694" s="104" t="s">
        <v>4753</v>
      </c>
      <c r="C4694" s="104" t="s">
        <v>183</v>
      </c>
      <c r="D4694" s="129" t="s">
        <v>18769</v>
      </c>
    </row>
    <row r="4695" spans="1:4">
      <c r="A4695" s="105">
        <v>97484</v>
      </c>
      <c r="B4695" s="104" t="s">
        <v>4754</v>
      </c>
      <c r="C4695" s="104" t="s">
        <v>183</v>
      </c>
      <c r="D4695" s="129" t="s">
        <v>18769</v>
      </c>
    </row>
    <row r="4696" spans="1:4">
      <c r="A4696" s="105">
        <v>97485</v>
      </c>
      <c r="B4696" s="104" t="s">
        <v>4755</v>
      </c>
      <c r="C4696" s="104" t="s">
        <v>183</v>
      </c>
      <c r="D4696" s="129" t="s">
        <v>18770</v>
      </c>
    </row>
    <row r="4697" spans="1:4">
      <c r="A4697" s="105">
        <v>97486</v>
      </c>
      <c r="B4697" s="104" t="s">
        <v>4756</v>
      </c>
      <c r="C4697" s="104" t="s">
        <v>183</v>
      </c>
      <c r="D4697" s="129" t="s">
        <v>18771</v>
      </c>
    </row>
    <row r="4698" spans="1:4">
      <c r="A4698" s="105">
        <v>97487</v>
      </c>
      <c r="B4698" s="104" t="s">
        <v>4757</v>
      </c>
      <c r="C4698" s="104" t="s">
        <v>183</v>
      </c>
      <c r="D4698" s="129" t="s">
        <v>18772</v>
      </c>
    </row>
    <row r="4699" spans="1:4">
      <c r="A4699" s="105">
        <v>97488</v>
      </c>
      <c r="B4699" s="104" t="s">
        <v>4758</v>
      </c>
      <c r="C4699" s="104" t="s">
        <v>183</v>
      </c>
      <c r="D4699" s="129" t="s">
        <v>18773</v>
      </c>
    </row>
    <row r="4700" spans="1:4">
      <c r="A4700" s="105">
        <v>97489</v>
      </c>
      <c r="B4700" s="104" t="s">
        <v>4759</v>
      </c>
      <c r="C4700" s="104" t="s">
        <v>183</v>
      </c>
      <c r="D4700" s="129" t="s">
        <v>18774</v>
      </c>
    </row>
    <row r="4701" spans="1:4">
      <c r="A4701" s="105">
        <v>97490</v>
      </c>
      <c r="B4701" s="104" t="s">
        <v>4760</v>
      </c>
      <c r="C4701" s="104" t="s">
        <v>183</v>
      </c>
      <c r="D4701" s="129" t="s">
        <v>18775</v>
      </c>
    </row>
    <row r="4702" spans="1:4">
      <c r="A4702" s="105">
        <v>97491</v>
      </c>
      <c r="B4702" s="104" t="s">
        <v>4761</v>
      </c>
      <c r="C4702" s="104" t="s">
        <v>183</v>
      </c>
      <c r="D4702" s="129" t="s">
        <v>18776</v>
      </c>
    </row>
    <row r="4703" spans="1:4">
      <c r="A4703" s="105">
        <v>97492</v>
      </c>
      <c r="B4703" s="104" t="s">
        <v>4762</v>
      </c>
      <c r="C4703" s="104" t="s">
        <v>183</v>
      </c>
      <c r="D4703" s="129" t="s">
        <v>18777</v>
      </c>
    </row>
    <row r="4704" spans="1:4">
      <c r="A4704" s="105">
        <v>97493</v>
      </c>
      <c r="B4704" s="104" t="s">
        <v>4763</v>
      </c>
      <c r="C4704" s="104" t="s">
        <v>183</v>
      </c>
      <c r="D4704" s="129" t="s">
        <v>18778</v>
      </c>
    </row>
    <row r="4705" spans="1:4">
      <c r="A4705" s="105">
        <v>97494</v>
      </c>
      <c r="B4705" s="104" t="s">
        <v>4764</v>
      </c>
      <c r="C4705" s="104" t="s">
        <v>183</v>
      </c>
      <c r="D4705" s="129" t="s">
        <v>18779</v>
      </c>
    </row>
    <row r="4706" spans="1:4">
      <c r="A4706" s="105">
        <v>97495</v>
      </c>
      <c r="B4706" s="104" t="s">
        <v>4765</v>
      </c>
      <c r="C4706" s="104" t="s">
        <v>183</v>
      </c>
      <c r="D4706" s="129" t="s">
        <v>18780</v>
      </c>
    </row>
    <row r="4707" spans="1:4">
      <c r="A4707" s="105">
        <v>97496</v>
      </c>
      <c r="B4707" s="104" t="s">
        <v>4766</v>
      </c>
      <c r="C4707" s="104" t="s">
        <v>183</v>
      </c>
      <c r="D4707" s="129" t="s">
        <v>18781</v>
      </c>
    </row>
    <row r="4708" spans="1:4">
      <c r="A4708" s="105">
        <v>97499</v>
      </c>
      <c r="B4708" s="104" t="s">
        <v>4767</v>
      </c>
      <c r="C4708" s="104" t="s">
        <v>183</v>
      </c>
      <c r="D4708" s="129" t="s">
        <v>18387</v>
      </c>
    </row>
    <row r="4709" spans="1:4">
      <c r="A4709" s="105">
        <v>97500</v>
      </c>
      <c r="B4709" s="104" t="s">
        <v>4768</v>
      </c>
      <c r="C4709" s="104" t="s">
        <v>183</v>
      </c>
      <c r="D4709" s="129" t="s">
        <v>18782</v>
      </c>
    </row>
    <row r="4710" spans="1:4">
      <c r="A4710" s="105">
        <v>97502</v>
      </c>
      <c r="B4710" s="104" t="s">
        <v>4769</v>
      </c>
      <c r="C4710" s="104" t="s">
        <v>183</v>
      </c>
      <c r="D4710" s="129" t="s">
        <v>18783</v>
      </c>
    </row>
    <row r="4711" spans="1:4">
      <c r="A4711" s="105">
        <v>97503</v>
      </c>
      <c r="B4711" s="104" t="s">
        <v>4770</v>
      </c>
      <c r="C4711" s="104" t="s">
        <v>183</v>
      </c>
      <c r="D4711" s="129" t="s">
        <v>17719</v>
      </c>
    </row>
    <row r="4712" spans="1:4">
      <c r="A4712" s="105">
        <v>97505</v>
      </c>
      <c r="B4712" s="104" t="s">
        <v>4771</v>
      </c>
      <c r="C4712" s="104" t="s">
        <v>183</v>
      </c>
      <c r="D4712" s="129" t="s">
        <v>18710</v>
      </c>
    </row>
    <row r="4713" spans="1:4">
      <c r="A4713" s="105">
        <v>97506</v>
      </c>
      <c r="B4713" s="104" t="s">
        <v>4772</v>
      </c>
      <c r="C4713" s="104" t="s">
        <v>183</v>
      </c>
      <c r="D4713" s="129" t="s">
        <v>18784</v>
      </c>
    </row>
    <row r="4714" spans="1:4">
      <c r="A4714" s="105">
        <v>97508</v>
      </c>
      <c r="B4714" s="104" t="s">
        <v>4773</v>
      </c>
      <c r="C4714" s="104" t="s">
        <v>183</v>
      </c>
      <c r="D4714" s="129" t="s">
        <v>18785</v>
      </c>
    </row>
    <row r="4715" spans="1:4">
      <c r="A4715" s="105">
        <v>97509</v>
      </c>
      <c r="B4715" s="104" t="s">
        <v>4774</v>
      </c>
      <c r="C4715" s="104" t="s">
        <v>183</v>
      </c>
      <c r="D4715" s="129" t="s">
        <v>18786</v>
      </c>
    </row>
    <row r="4716" spans="1:4">
      <c r="A4716" s="105">
        <v>97511</v>
      </c>
      <c r="B4716" s="104" t="s">
        <v>4775</v>
      </c>
      <c r="C4716" s="104" t="s">
        <v>183</v>
      </c>
      <c r="D4716" s="129" t="s">
        <v>18787</v>
      </c>
    </row>
    <row r="4717" spans="1:4">
      <c r="A4717" s="105">
        <v>97512</v>
      </c>
      <c r="B4717" s="104" t="s">
        <v>4776</v>
      </c>
      <c r="C4717" s="104" t="s">
        <v>183</v>
      </c>
      <c r="D4717" s="129" t="s">
        <v>18788</v>
      </c>
    </row>
    <row r="4718" spans="1:4">
      <c r="A4718" s="105">
        <v>97514</v>
      </c>
      <c r="B4718" s="104" t="s">
        <v>4777</v>
      </c>
      <c r="C4718" s="104" t="s">
        <v>183</v>
      </c>
      <c r="D4718" s="129" t="s">
        <v>18789</v>
      </c>
    </row>
    <row r="4719" spans="1:4">
      <c r="A4719" s="105">
        <v>97515</v>
      </c>
      <c r="B4719" s="104" t="s">
        <v>4778</v>
      </c>
      <c r="C4719" s="104" t="s">
        <v>183</v>
      </c>
      <c r="D4719" s="129" t="s">
        <v>18790</v>
      </c>
    </row>
    <row r="4720" spans="1:4">
      <c r="A4720" s="105">
        <v>97517</v>
      </c>
      <c r="B4720" s="104" t="s">
        <v>4779</v>
      </c>
      <c r="C4720" s="104" t="s">
        <v>183</v>
      </c>
      <c r="D4720" s="129" t="s">
        <v>18791</v>
      </c>
    </row>
    <row r="4721" spans="1:4">
      <c r="A4721" s="105">
        <v>97518</v>
      </c>
      <c r="B4721" s="104" t="s">
        <v>4780</v>
      </c>
      <c r="C4721" s="104" t="s">
        <v>183</v>
      </c>
      <c r="D4721" s="129" t="s">
        <v>18791</v>
      </c>
    </row>
    <row r="4722" spans="1:4">
      <c r="A4722" s="105">
        <v>97519</v>
      </c>
      <c r="B4722" s="104" t="s">
        <v>4781</v>
      </c>
      <c r="C4722" s="104" t="s">
        <v>183</v>
      </c>
      <c r="D4722" s="129" t="s">
        <v>18792</v>
      </c>
    </row>
    <row r="4723" spans="1:4">
      <c r="A4723" s="105">
        <v>97520</v>
      </c>
      <c r="B4723" s="104" t="s">
        <v>4782</v>
      </c>
      <c r="C4723" s="104" t="s">
        <v>183</v>
      </c>
      <c r="D4723" s="129" t="s">
        <v>18792</v>
      </c>
    </row>
    <row r="4724" spans="1:4">
      <c r="A4724" s="105">
        <v>97521</v>
      </c>
      <c r="B4724" s="104" t="s">
        <v>4783</v>
      </c>
      <c r="C4724" s="104" t="s">
        <v>183</v>
      </c>
      <c r="D4724" s="129" t="s">
        <v>17863</v>
      </c>
    </row>
    <row r="4725" spans="1:4">
      <c r="A4725" s="105">
        <v>97522</v>
      </c>
      <c r="B4725" s="104" t="s">
        <v>4784</v>
      </c>
      <c r="C4725" s="104" t="s">
        <v>183</v>
      </c>
      <c r="D4725" s="129" t="s">
        <v>17863</v>
      </c>
    </row>
    <row r="4726" spans="1:4">
      <c r="A4726" s="105">
        <v>97523</v>
      </c>
      <c r="B4726" s="104" t="s">
        <v>4785</v>
      </c>
      <c r="C4726" s="104" t="s">
        <v>183</v>
      </c>
      <c r="D4726" s="129" t="s">
        <v>18793</v>
      </c>
    </row>
    <row r="4727" spans="1:4">
      <c r="A4727" s="105">
        <v>97524</v>
      </c>
      <c r="B4727" s="104" t="s">
        <v>4786</v>
      </c>
      <c r="C4727" s="104" t="s">
        <v>183</v>
      </c>
      <c r="D4727" s="129" t="s">
        <v>18794</v>
      </c>
    </row>
    <row r="4728" spans="1:4">
      <c r="A4728" s="105">
        <v>97525</v>
      </c>
      <c r="B4728" s="104" t="s">
        <v>4787</v>
      </c>
      <c r="C4728" s="104" t="s">
        <v>183</v>
      </c>
      <c r="D4728" s="129" t="s">
        <v>18795</v>
      </c>
    </row>
    <row r="4729" spans="1:4">
      <c r="A4729" s="105">
        <v>97526</v>
      </c>
      <c r="B4729" s="104" t="s">
        <v>4788</v>
      </c>
      <c r="C4729" s="104" t="s">
        <v>183</v>
      </c>
      <c r="D4729" s="129" t="s">
        <v>18796</v>
      </c>
    </row>
    <row r="4730" spans="1:4">
      <c r="A4730" s="105">
        <v>97527</v>
      </c>
      <c r="B4730" s="104" t="s">
        <v>4789</v>
      </c>
      <c r="C4730" s="104" t="s">
        <v>183</v>
      </c>
      <c r="D4730" s="129" t="s">
        <v>18797</v>
      </c>
    </row>
    <row r="4731" spans="1:4">
      <c r="A4731" s="105">
        <v>97528</v>
      </c>
      <c r="B4731" s="104" t="s">
        <v>4790</v>
      </c>
      <c r="C4731" s="104" t="s">
        <v>183</v>
      </c>
      <c r="D4731" s="129" t="s">
        <v>18798</v>
      </c>
    </row>
    <row r="4732" spans="1:4">
      <c r="A4732" s="105">
        <v>97529</v>
      </c>
      <c r="B4732" s="104" t="s">
        <v>4791</v>
      </c>
      <c r="C4732" s="104" t="s">
        <v>183</v>
      </c>
      <c r="D4732" s="129" t="s">
        <v>18799</v>
      </c>
    </row>
    <row r="4733" spans="1:4">
      <c r="A4733" s="105">
        <v>97530</v>
      </c>
      <c r="B4733" s="104" t="s">
        <v>4792</v>
      </c>
      <c r="C4733" s="104" t="s">
        <v>183</v>
      </c>
      <c r="D4733" s="129" t="s">
        <v>18800</v>
      </c>
    </row>
    <row r="4734" spans="1:4">
      <c r="A4734" s="105">
        <v>97531</v>
      </c>
      <c r="B4734" s="104" t="s">
        <v>4793</v>
      </c>
      <c r="C4734" s="104" t="s">
        <v>183</v>
      </c>
      <c r="D4734" s="129" t="s">
        <v>18801</v>
      </c>
    </row>
    <row r="4735" spans="1:4">
      <c r="A4735" s="105">
        <v>97532</v>
      </c>
      <c r="B4735" s="104" t="s">
        <v>4794</v>
      </c>
      <c r="C4735" s="104" t="s">
        <v>183</v>
      </c>
      <c r="D4735" s="129" t="s">
        <v>16274</v>
      </c>
    </row>
    <row r="4736" spans="1:4">
      <c r="A4736" s="105">
        <v>97533</v>
      </c>
      <c r="B4736" s="104" t="s">
        <v>4795</v>
      </c>
      <c r="C4736" s="104" t="s">
        <v>183</v>
      </c>
      <c r="D4736" s="129" t="s">
        <v>18802</v>
      </c>
    </row>
    <row r="4737" spans="1:4">
      <c r="A4737" s="105">
        <v>97534</v>
      </c>
      <c r="B4737" s="104" t="s">
        <v>4796</v>
      </c>
      <c r="C4737" s="104" t="s">
        <v>183</v>
      </c>
      <c r="D4737" s="129" t="s">
        <v>18803</v>
      </c>
    </row>
    <row r="4738" spans="1:4">
      <c r="A4738" s="105">
        <v>97537</v>
      </c>
      <c r="B4738" s="104" t="s">
        <v>4797</v>
      </c>
      <c r="C4738" s="104" t="s">
        <v>183</v>
      </c>
      <c r="D4738" s="129" t="s">
        <v>17602</v>
      </c>
    </row>
    <row r="4739" spans="1:4">
      <c r="A4739" s="105">
        <v>97540</v>
      </c>
      <c r="B4739" s="104" t="s">
        <v>4798</v>
      </c>
      <c r="C4739" s="104" t="s">
        <v>183</v>
      </c>
      <c r="D4739" s="129" t="s">
        <v>18804</v>
      </c>
    </row>
    <row r="4740" spans="1:4">
      <c r="A4740" s="105">
        <v>97541</v>
      </c>
      <c r="B4740" s="104" t="s">
        <v>4799</v>
      </c>
      <c r="C4740" s="104" t="s">
        <v>183</v>
      </c>
      <c r="D4740" s="129" t="s">
        <v>18805</v>
      </c>
    </row>
    <row r="4741" spans="1:4">
      <c r="A4741" s="105">
        <v>97543</v>
      </c>
      <c r="B4741" s="104" t="s">
        <v>4800</v>
      </c>
      <c r="C4741" s="104" t="s">
        <v>183</v>
      </c>
      <c r="D4741" s="129" t="s">
        <v>18806</v>
      </c>
    </row>
    <row r="4742" spans="1:4">
      <c r="A4742" s="105">
        <v>97544</v>
      </c>
      <c r="B4742" s="104" t="s">
        <v>4801</v>
      </c>
      <c r="C4742" s="104" t="s">
        <v>183</v>
      </c>
      <c r="D4742" s="129" t="s">
        <v>18807</v>
      </c>
    </row>
    <row r="4743" spans="1:4">
      <c r="A4743" s="105">
        <v>97546</v>
      </c>
      <c r="B4743" s="104" t="s">
        <v>4802</v>
      </c>
      <c r="C4743" s="104" t="s">
        <v>183</v>
      </c>
      <c r="D4743" s="129" t="s">
        <v>15743</v>
      </c>
    </row>
    <row r="4744" spans="1:4">
      <c r="A4744" s="105">
        <v>97547</v>
      </c>
      <c r="B4744" s="104" t="s">
        <v>4803</v>
      </c>
      <c r="C4744" s="104" t="s">
        <v>183</v>
      </c>
      <c r="D4744" s="129" t="s">
        <v>15743</v>
      </c>
    </row>
    <row r="4745" spans="1:4">
      <c r="A4745" s="105">
        <v>97548</v>
      </c>
      <c r="B4745" s="104" t="s">
        <v>4804</v>
      </c>
      <c r="C4745" s="104" t="s">
        <v>183</v>
      </c>
      <c r="D4745" s="129" t="s">
        <v>15457</v>
      </c>
    </row>
    <row r="4746" spans="1:4">
      <c r="A4746" s="105">
        <v>97549</v>
      </c>
      <c r="B4746" s="104" t="s">
        <v>4805</v>
      </c>
      <c r="C4746" s="104" t="s">
        <v>183</v>
      </c>
      <c r="D4746" s="129" t="s">
        <v>15457</v>
      </c>
    </row>
    <row r="4747" spans="1:4">
      <c r="A4747" s="105">
        <v>97550</v>
      </c>
      <c r="B4747" s="104" t="s">
        <v>4806</v>
      </c>
      <c r="C4747" s="104" t="s">
        <v>183</v>
      </c>
      <c r="D4747" s="129" t="s">
        <v>18546</v>
      </c>
    </row>
    <row r="4748" spans="1:4">
      <c r="A4748" s="105">
        <v>97551</v>
      </c>
      <c r="B4748" s="104" t="s">
        <v>4807</v>
      </c>
      <c r="C4748" s="104" t="s">
        <v>183</v>
      </c>
      <c r="D4748" s="129" t="s">
        <v>18546</v>
      </c>
    </row>
    <row r="4749" spans="1:4">
      <c r="A4749" s="105">
        <v>97552</v>
      </c>
      <c r="B4749" s="104" t="s">
        <v>4808</v>
      </c>
      <c r="C4749" s="104" t="s">
        <v>183</v>
      </c>
      <c r="D4749" s="129" t="s">
        <v>18808</v>
      </c>
    </row>
    <row r="4750" spans="1:4">
      <c r="A4750" s="105">
        <v>97553</v>
      </c>
      <c r="B4750" s="104" t="s">
        <v>4809</v>
      </c>
      <c r="C4750" s="104" t="s">
        <v>183</v>
      </c>
      <c r="D4750" s="129" t="s">
        <v>18809</v>
      </c>
    </row>
    <row r="4751" spans="1:4">
      <c r="A4751" s="105">
        <v>97554</v>
      </c>
      <c r="B4751" s="104" t="s">
        <v>4810</v>
      </c>
      <c r="C4751" s="104" t="s">
        <v>183</v>
      </c>
      <c r="D4751" s="129" t="s">
        <v>18810</v>
      </c>
    </row>
    <row r="4752" spans="1:4">
      <c r="A4752" s="105">
        <v>98602</v>
      </c>
      <c r="B4752" s="104" t="s">
        <v>4811</v>
      </c>
      <c r="C4752" s="104" t="s">
        <v>183</v>
      </c>
      <c r="D4752" s="129" t="s">
        <v>17142</v>
      </c>
    </row>
    <row r="4753" spans="1:4">
      <c r="A4753" s="105">
        <v>97895</v>
      </c>
      <c r="B4753" s="104" t="s">
        <v>4812</v>
      </c>
      <c r="C4753" s="104" t="s">
        <v>183</v>
      </c>
      <c r="D4753" s="129" t="s">
        <v>18811</v>
      </c>
    </row>
    <row r="4754" spans="1:4">
      <c r="A4754" s="105">
        <v>97896</v>
      </c>
      <c r="B4754" s="104" t="s">
        <v>4813</v>
      </c>
      <c r="C4754" s="104" t="s">
        <v>183</v>
      </c>
      <c r="D4754" s="129" t="s">
        <v>18812</v>
      </c>
    </row>
    <row r="4755" spans="1:4">
      <c r="A4755" s="105">
        <v>97897</v>
      </c>
      <c r="B4755" s="104" t="s">
        <v>4814</v>
      </c>
      <c r="C4755" s="104" t="s">
        <v>183</v>
      </c>
      <c r="D4755" s="129" t="s">
        <v>18813</v>
      </c>
    </row>
    <row r="4756" spans="1:4">
      <c r="A4756" s="105">
        <v>97898</v>
      </c>
      <c r="B4756" s="104" t="s">
        <v>4815</v>
      </c>
      <c r="C4756" s="104" t="s">
        <v>183</v>
      </c>
      <c r="D4756" s="129" t="s">
        <v>18814</v>
      </c>
    </row>
    <row r="4757" spans="1:4">
      <c r="A4757" s="105">
        <v>97900</v>
      </c>
      <c r="B4757" s="104" t="s">
        <v>4816</v>
      </c>
      <c r="C4757" s="104" t="s">
        <v>183</v>
      </c>
      <c r="D4757" s="129" t="s">
        <v>18815</v>
      </c>
    </row>
    <row r="4758" spans="1:4">
      <c r="A4758" s="105">
        <v>97901</v>
      </c>
      <c r="B4758" s="104" t="s">
        <v>4817</v>
      </c>
      <c r="C4758" s="104" t="s">
        <v>183</v>
      </c>
      <c r="D4758" s="129" t="s">
        <v>18816</v>
      </c>
    </row>
    <row r="4759" spans="1:4">
      <c r="A4759" s="105">
        <v>97902</v>
      </c>
      <c r="B4759" s="104" t="s">
        <v>4818</v>
      </c>
      <c r="C4759" s="104" t="s">
        <v>183</v>
      </c>
      <c r="D4759" s="129" t="s">
        <v>18817</v>
      </c>
    </row>
    <row r="4760" spans="1:4">
      <c r="A4760" s="105">
        <v>97903</v>
      </c>
      <c r="B4760" s="104" t="s">
        <v>4819</v>
      </c>
      <c r="C4760" s="104" t="s">
        <v>183</v>
      </c>
      <c r="D4760" s="129" t="s">
        <v>18818</v>
      </c>
    </row>
    <row r="4761" spans="1:4">
      <c r="A4761" s="105">
        <v>97904</v>
      </c>
      <c r="B4761" s="104" t="s">
        <v>4820</v>
      </c>
      <c r="C4761" s="104" t="s">
        <v>183</v>
      </c>
      <c r="D4761" s="129" t="s">
        <v>18819</v>
      </c>
    </row>
    <row r="4762" spans="1:4">
      <c r="A4762" s="105">
        <v>97905</v>
      </c>
      <c r="B4762" s="104" t="s">
        <v>4821</v>
      </c>
      <c r="C4762" s="104" t="s">
        <v>183</v>
      </c>
      <c r="D4762" s="129" t="s">
        <v>18820</v>
      </c>
    </row>
    <row r="4763" spans="1:4">
      <c r="A4763" s="105">
        <v>97906</v>
      </c>
      <c r="B4763" s="104" t="s">
        <v>4822</v>
      </c>
      <c r="C4763" s="104" t="s">
        <v>183</v>
      </c>
      <c r="D4763" s="129" t="s">
        <v>18821</v>
      </c>
    </row>
    <row r="4764" spans="1:4">
      <c r="A4764" s="105">
        <v>97907</v>
      </c>
      <c r="B4764" s="104" t="s">
        <v>4823</v>
      </c>
      <c r="C4764" s="104" t="s">
        <v>183</v>
      </c>
      <c r="D4764" s="129" t="s">
        <v>18822</v>
      </c>
    </row>
    <row r="4765" spans="1:4">
      <c r="A4765" s="105">
        <v>97908</v>
      </c>
      <c r="B4765" s="104" t="s">
        <v>4824</v>
      </c>
      <c r="C4765" s="104" t="s">
        <v>183</v>
      </c>
      <c r="D4765" s="129" t="s">
        <v>18823</v>
      </c>
    </row>
    <row r="4766" spans="1:4">
      <c r="A4766" s="105">
        <v>98102</v>
      </c>
      <c r="B4766" s="104" t="s">
        <v>4825</v>
      </c>
      <c r="C4766" s="104" t="s">
        <v>183</v>
      </c>
      <c r="D4766" s="129" t="s">
        <v>18824</v>
      </c>
    </row>
    <row r="4767" spans="1:4">
      <c r="A4767" s="105">
        <v>98104</v>
      </c>
      <c r="B4767" s="104" t="s">
        <v>4826</v>
      </c>
      <c r="C4767" s="104" t="s">
        <v>183</v>
      </c>
      <c r="D4767" s="129" t="s">
        <v>18825</v>
      </c>
    </row>
    <row r="4768" spans="1:4">
      <c r="A4768" s="105">
        <v>98105</v>
      </c>
      <c r="B4768" s="104" t="s">
        <v>4827</v>
      </c>
      <c r="C4768" s="104" t="s">
        <v>183</v>
      </c>
      <c r="D4768" s="129" t="s">
        <v>18826</v>
      </c>
    </row>
    <row r="4769" spans="1:4">
      <c r="A4769" s="105">
        <v>98106</v>
      </c>
      <c r="B4769" s="104" t="s">
        <v>4828</v>
      </c>
      <c r="C4769" s="104" t="s">
        <v>183</v>
      </c>
      <c r="D4769" s="129" t="s">
        <v>18827</v>
      </c>
    </row>
    <row r="4770" spans="1:4">
      <c r="A4770" s="105">
        <v>98107</v>
      </c>
      <c r="B4770" s="104" t="s">
        <v>4829</v>
      </c>
      <c r="C4770" s="104" t="s">
        <v>183</v>
      </c>
      <c r="D4770" s="129" t="s">
        <v>18828</v>
      </c>
    </row>
    <row r="4771" spans="1:4">
      <c r="A4771" s="105">
        <v>98108</v>
      </c>
      <c r="B4771" s="104" t="s">
        <v>4830</v>
      </c>
      <c r="C4771" s="104" t="s">
        <v>183</v>
      </c>
      <c r="D4771" s="129" t="s">
        <v>18829</v>
      </c>
    </row>
    <row r="4772" spans="1:4">
      <c r="A4772" s="105">
        <v>99250</v>
      </c>
      <c r="B4772" s="104" t="s">
        <v>4831</v>
      </c>
      <c r="C4772" s="104" t="s">
        <v>183</v>
      </c>
      <c r="D4772" s="129" t="s">
        <v>18830</v>
      </c>
    </row>
    <row r="4773" spans="1:4">
      <c r="A4773" s="105">
        <v>99251</v>
      </c>
      <c r="B4773" s="104" t="s">
        <v>4832</v>
      </c>
      <c r="C4773" s="104" t="s">
        <v>183</v>
      </c>
      <c r="D4773" s="129" t="s">
        <v>18831</v>
      </c>
    </row>
    <row r="4774" spans="1:4">
      <c r="A4774" s="105">
        <v>99253</v>
      </c>
      <c r="B4774" s="104" t="s">
        <v>4833</v>
      </c>
      <c r="C4774" s="104" t="s">
        <v>183</v>
      </c>
      <c r="D4774" s="129" t="s">
        <v>18832</v>
      </c>
    </row>
    <row r="4775" spans="1:4">
      <c r="A4775" s="105">
        <v>99255</v>
      </c>
      <c r="B4775" s="104" t="s">
        <v>4834</v>
      </c>
      <c r="C4775" s="104" t="s">
        <v>183</v>
      </c>
      <c r="D4775" s="129" t="s">
        <v>18833</v>
      </c>
    </row>
    <row r="4776" spans="1:4">
      <c r="A4776" s="105">
        <v>99257</v>
      </c>
      <c r="B4776" s="104" t="s">
        <v>4835</v>
      </c>
      <c r="C4776" s="104" t="s">
        <v>183</v>
      </c>
      <c r="D4776" s="129" t="s">
        <v>18834</v>
      </c>
    </row>
    <row r="4777" spans="1:4">
      <c r="A4777" s="105">
        <v>99258</v>
      </c>
      <c r="B4777" s="104" t="s">
        <v>4836</v>
      </c>
      <c r="C4777" s="104" t="s">
        <v>183</v>
      </c>
      <c r="D4777" s="129" t="s">
        <v>18835</v>
      </c>
    </row>
    <row r="4778" spans="1:4">
      <c r="A4778" s="105">
        <v>99260</v>
      </c>
      <c r="B4778" s="104" t="s">
        <v>4837</v>
      </c>
      <c r="C4778" s="104" t="s">
        <v>183</v>
      </c>
      <c r="D4778" s="129" t="s">
        <v>18836</v>
      </c>
    </row>
    <row r="4779" spans="1:4">
      <c r="A4779" s="105">
        <v>99262</v>
      </c>
      <c r="B4779" s="104" t="s">
        <v>4838</v>
      </c>
      <c r="C4779" s="104" t="s">
        <v>183</v>
      </c>
      <c r="D4779" s="129" t="s">
        <v>18837</v>
      </c>
    </row>
    <row r="4780" spans="1:4">
      <c r="A4780" s="105">
        <v>99264</v>
      </c>
      <c r="B4780" s="104" t="s">
        <v>4839</v>
      </c>
      <c r="C4780" s="104" t="s">
        <v>183</v>
      </c>
      <c r="D4780" s="129" t="s">
        <v>18838</v>
      </c>
    </row>
    <row r="4781" spans="1:4">
      <c r="A4781" s="105">
        <v>102587</v>
      </c>
      <c r="B4781" s="104" t="s">
        <v>4840</v>
      </c>
      <c r="C4781" s="104" t="s">
        <v>183</v>
      </c>
      <c r="D4781" s="129" t="s">
        <v>15507</v>
      </c>
    </row>
    <row r="4782" spans="1:4">
      <c r="A4782" s="105">
        <v>102588</v>
      </c>
      <c r="B4782" s="104" t="s">
        <v>4841</v>
      </c>
      <c r="C4782" s="104" t="s">
        <v>183</v>
      </c>
      <c r="D4782" s="129" t="s">
        <v>17721</v>
      </c>
    </row>
    <row r="4783" spans="1:4">
      <c r="A4783" s="105">
        <v>102589</v>
      </c>
      <c r="B4783" s="104" t="s">
        <v>4842</v>
      </c>
      <c r="C4783" s="104" t="s">
        <v>183</v>
      </c>
      <c r="D4783" s="129" t="s">
        <v>18839</v>
      </c>
    </row>
    <row r="4784" spans="1:4">
      <c r="A4784" s="105">
        <v>102590</v>
      </c>
      <c r="B4784" s="104" t="s">
        <v>4843</v>
      </c>
      <c r="C4784" s="104" t="s">
        <v>183</v>
      </c>
      <c r="D4784" s="129" t="s">
        <v>18840</v>
      </c>
    </row>
    <row r="4785" spans="1:4">
      <c r="A4785" s="105">
        <v>102591</v>
      </c>
      <c r="B4785" s="104" t="s">
        <v>4844</v>
      </c>
      <c r="C4785" s="104" t="s">
        <v>183</v>
      </c>
      <c r="D4785" s="129" t="s">
        <v>18841</v>
      </c>
    </row>
    <row r="4786" spans="1:4">
      <c r="A4786" s="105">
        <v>102592</v>
      </c>
      <c r="B4786" s="104" t="s">
        <v>4845</v>
      </c>
      <c r="C4786" s="104" t="s">
        <v>183</v>
      </c>
      <c r="D4786" s="129" t="s">
        <v>18842</v>
      </c>
    </row>
    <row r="4787" spans="1:4">
      <c r="A4787" s="105">
        <v>102593</v>
      </c>
      <c r="B4787" s="104" t="s">
        <v>4846</v>
      </c>
      <c r="C4787" s="104" t="s">
        <v>183</v>
      </c>
      <c r="D4787" s="129" t="s">
        <v>18843</v>
      </c>
    </row>
    <row r="4788" spans="1:4">
      <c r="A4788" s="105">
        <v>102594</v>
      </c>
      <c r="B4788" s="104" t="s">
        <v>4847</v>
      </c>
      <c r="C4788" s="104" t="s">
        <v>183</v>
      </c>
      <c r="D4788" s="129" t="s">
        <v>18844</v>
      </c>
    </row>
    <row r="4789" spans="1:4">
      <c r="A4789" s="105">
        <v>102595</v>
      </c>
      <c r="B4789" s="104" t="s">
        <v>4848</v>
      </c>
      <c r="C4789" s="104" t="s">
        <v>183</v>
      </c>
      <c r="D4789" s="129" t="s">
        <v>18840</v>
      </c>
    </row>
    <row r="4790" spans="1:4">
      <c r="A4790" s="105">
        <v>102596</v>
      </c>
      <c r="B4790" s="104" t="s">
        <v>4849</v>
      </c>
      <c r="C4790" s="104" t="s">
        <v>183</v>
      </c>
      <c r="D4790" s="129" t="s">
        <v>18845</v>
      </c>
    </row>
    <row r="4791" spans="1:4">
      <c r="A4791" s="105">
        <v>102597</v>
      </c>
      <c r="B4791" s="104" t="s">
        <v>4850</v>
      </c>
      <c r="C4791" s="104" t="s">
        <v>183</v>
      </c>
      <c r="D4791" s="129" t="s">
        <v>15587</v>
      </c>
    </row>
    <row r="4792" spans="1:4">
      <c r="A4792" s="105">
        <v>102598</v>
      </c>
      <c r="B4792" s="104" t="s">
        <v>4851</v>
      </c>
      <c r="C4792" s="104" t="s">
        <v>183</v>
      </c>
      <c r="D4792" s="129" t="s">
        <v>15772</v>
      </c>
    </row>
    <row r="4793" spans="1:4">
      <c r="A4793" s="105">
        <v>102599</v>
      </c>
      <c r="B4793" s="104" t="s">
        <v>4852</v>
      </c>
      <c r="C4793" s="104" t="s">
        <v>183</v>
      </c>
      <c r="D4793" s="129" t="s">
        <v>18846</v>
      </c>
    </row>
    <row r="4794" spans="1:4">
      <c r="A4794" s="105">
        <v>102600</v>
      </c>
      <c r="B4794" s="104" t="s">
        <v>4853</v>
      </c>
      <c r="C4794" s="104" t="s">
        <v>183</v>
      </c>
      <c r="D4794" s="129" t="s">
        <v>15636</v>
      </c>
    </row>
    <row r="4795" spans="1:4">
      <c r="A4795" s="105">
        <v>102601</v>
      </c>
      <c r="B4795" s="104" t="s">
        <v>4854</v>
      </c>
      <c r="C4795" s="104" t="s">
        <v>183</v>
      </c>
      <c r="D4795" s="129" t="s">
        <v>18847</v>
      </c>
    </row>
    <row r="4796" spans="1:4">
      <c r="A4796" s="105">
        <v>102602</v>
      </c>
      <c r="B4796" s="104" t="s">
        <v>4855</v>
      </c>
      <c r="C4796" s="104" t="s">
        <v>183</v>
      </c>
      <c r="D4796" s="129" t="s">
        <v>15321</v>
      </c>
    </row>
    <row r="4797" spans="1:4">
      <c r="A4797" s="105">
        <v>102603</v>
      </c>
      <c r="B4797" s="104" t="s">
        <v>4856</v>
      </c>
      <c r="C4797" s="104" t="s">
        <v>183</v>
      </c>
      <c r="D4797" s="129" t="s">
        <v>18848</v>
      </c>
    </row>
    <row r="4798" spans="1:4">
      <c r="A4798" s="105">
        <v>102604</v>
      </c>
      <c r="B4798" s="104" t="s">
        <v>4857</v>
      </c>
      <c r="C4798" s="104" t="s">
        <v>183</v>
      </c>
      <c r="D4798" s="129" t="s">
        <v>17238</v>
      </c>
    </row>
    <row r="4799" spans="1:4">
      <c r="A4799" s="105">
        <v>102605</v>
      </c>
      <c r="B4799" s="104" t="s">
        <v>4858</v>
      </c>
      <c r="C4799" s="104" t="s">
        <v>183</v>
      </c>
      <c r="D4799" s="129" t="s">
        <v>18849</v>
      </c>
    </row>
    <row r="4800" spans="1:4">
      <c r="A4800" s="105">
        <v>102606</v>
      </c>
      <c r="B4800" s="104" t="s">
        <v>4859</v>
      </c>
      <c r="C4800" s="104" t="s">
        <v>183</v>
      </c>
      <c r="D4800" s="129" t="s">
        <v>18850</v>
      </c>
    </row>
    <row r="4801" spans="1:4">
      <c r="A4801" s="105">
        <v>102607</v>
      </c>
      <c r="B4801" s="104" t="s">
        <v>4860</v>
      </c>
      <c r="C4801" s="104" t="s">
        <v>183</v>
      </c>
      <c r="D4801" s="129" t="s">
        <v>18851</v>
      </c>
    </row>
    <row r="4802" spans="1:4">
      <c r="A4802" s="105">
        <v>102608</v>
      </c>
      <c r="B4802" s="104" t="s">
        <v>4861</v>
      </c>
      <c r="C4802" s="104" t="s">
        <v>183</v>
      </c>
      <c r="D4802" s="129" t="s">
        <v>18852</v>
      </c>
    </row>
    <row r="4803" spans="1:4">
      <c r="A4803" s="105">
        <v>102609</v>
      </c>
      <c r="B4803" s="104" t="s">
        <v>4862</v>
      </c>
      <c r="C4803" s="104" t="s">
        <v>183</v>
      </c>
      <c r="D4803" s="129" t="s">
        <v>18853</v>
      </c>
    </row>
    <row r="4804" spans="1:4">
      <c r="A4804" s="105">
        <v>102611</v>
      </c>
      <c r="B4804" s="104" t="s">
        <v>4863</v>
      </c>
      <c r="C4804" s="104" t="s">
        <v>183</v>
      </c>
      <c r="D4804" s="129" t="s">
        <v>18854</v>
      </c>
    </row>
    <row r="4805" spans="1:4">
      <c r="A4805" s="105">
        <v>102613</v>
      </c>
      <c r="B4805" s="104" t="s">
        <v>4864</v>
      </c>
      <c r="C4805" s="104" t="s">
        <v>183</v>
      </c>
      <c r="D4805" s="129" t="s">
        <v>18855</v>
      </c>
    </row>
    <row r="4806" spans="1:4">
      <c r="A4806" s="105">
        <v>102614</v>
      </c>
      <c r="B4806" s="104" t="s">
        <v>4865</v>
      </c>
      <c r="C4806" s="104" t="s">
        <v>183</v>
      </c>
      <c r="D4806" s="129" t="s">
        <v>18856</v>
      </c>
    </row>
    <row r="4807" spans="1:4">
      <c r="A4807" s="105">
        <v>102615</v>
      </c>
      <c r="B4807" s="104" t="s">
        <v>4866</v>
      </c>
      <c r="C4807" s="104" t="s">
        <v>183</v>
      </c>
      <c r="D4807" s="129" t="s">
        <v>18857</v>
      </c>
    </row>
    <row r="4808" spans="1:4">
      <c r="A4808" s="105">
        <v>102617</v>
      </c>
      <c r="B4808" s="104" t="s">
        <v>4867</v>
      </c>
      <c r="C4808" s="104" t="s">
        <v>183</v>
      </c>
      <c r="D4808" s="129" t="s">
        <v>18858</v>
      </c>
    </row>
    <row r="4809" spans="1:4">
      <c r="A4809" s="105">
        <v>102619</v>
      </c>
      <c r="B4809" s="104" t="s">
        <v>4868</v>
      </c>
      <c r="C4809" s="104" t="s">
        <v>183</v>
      </c>
      <c r="D4809" s="129" t="s">
        <v>18859</v>
      </c>
    </row>
    <row r="4810" spans="1:4">
      <c r="A4810" s="105">
        <v>102622</v>
      </c>
      <c r="B4810" s="104" t="s">
        <v>4869</v>
      </c>
      <c r="C4810" s="104" t="s">
        <v>183</v>
      </c>
      <c r="D4810" s="129" t="s">
        <v>18860</v>
      </c>
    </row>
    <row r="4811" spans="1:4">
      <c r="A4811" s="105">
        <v>102623</v>
      </c>
      <c r="B4811" s="104" t="s">
        <v>4870</v>
      </c>
      <c r="C4811" s="104" t="s">
        <v>183</v>
      </c>
      <c r="D4811" s="129" t="s">
        <v>18861</v>
      </c>
    </row>
    <row r="4812" spans="1:4">
      <c r="A4812" s="105">
        <v>89482</v>
      </c>
      <c r="B4812" s="104" t="s">
        <v>179</v>
      </c>
      <c r="C4812" s="104" t="s">
        <v>183</v>
      </c>
      <c r="D4812" s="129" t="s">
        <v>18862</v>
      </c>
    </row>
    <row r="4813" spans="1:4">
      <c r="A4813" s="105">
        <v>89491</v>
      </c>
      <c r="B4813" s="104" t="s">
        <v>4871</v>
      </c>
      <c r="C4813" s="104" t="s">
        <v>183</v>
      </c>
      <c r="D4813" s="129" t="s">
        <v>18863</v>
      </c>
    </row>
    <row r="4814" spans="1:4">
      <c r="A4814" s="105">
        <v>89495</v>
      </c>
      <c r="B4814" s="104" t="s">
        <v>4872</v>
      </c>
      <c r="C4814" s="104" t="s">
        <v>183</v>
      </c>
      <c r="D4814" s="129" t="s">
        <v>18864</v>
      </c>
    </row>
    <row r="4815" spans="1:4">
      <c r="A4815" s="105">
        <v>89707</v>
      </c>
      <c r="B4815" s="104" t="s">
        <v>4873</v>
      </c>
      <c r="C4815" s="104" t="s">
        <v>183</v>
      </c>
      <c r="D4815" s="129" t="s">
        <v>18865</v>
      </c>
    </row>
    <row r="4816" spans="1:4">
      <c r="A4816" s="105">
        <v>89708</v>
      </c>
      <c r="B4816" s="104" t="s">
        <v>4874</v>
      </c>
      <c r="C4816" s="104" t="s">
        <v>183</v>
      </c>
      <c r="D4816" s="129" t="s">
        <v>18866</v>
      </c>
    </row>
    <row r="4817" spans="1:4">
      <c r="A4817" s="105">
        <v>89709</v>
      </c>
      <c r="B4817" s="104" t="s">
        <v>4875</v>
      </c>
      <c r="C4817" s="104" t="s">
        <v>183</v>
      </c>
      <c r="D4817" s="129" t="s">
        <v>17794</v>
      </c>
    </row>
    <row r="4818" spans="1:4">
      <c r="A4818" s="105">
        <v>89710</v>
      </c>
      <c r="B4818" s="104" t="s">
        <v>4876</v>
      </c>
      <c r="C4818" s="104" t="s">
        <v>183</v>
      </c>
      <c r="D4818" s="129" t="s">
        <v>17348</v>
      </c>
    </row>
    <row r="4819" spans="1:4">
      <c r="A4819" s="105">
        <v>86872</v>
      </c>
      <c r="B4819" s="104" t="s">
        <v>4877</v>
      </c>
      <c r="C4819" s="104" t="s">
        <v>183</v>
      </c>
      <c r="D4819" s="129" t="s">
        <v>18867</v>
      </c>
    </row>
    <row r="4820" spans="1:4">
      <c r="A4820" s="105">
        <v>86874</v>
      </c>
      <c r="B4820" s="104" t="s">
        <v>4878</v>
      </c>
      <c r="C4820" s="104" t="s">
        <v>183</v>
      </c>
      <c r="D4820" s="129" t="s">
        <v>18868</v>
      </c>
    </row>
    <row r="4821" spans="1:4">
      <c r="A4821" s="105">
        <v>86875</v>
      </c>
      <c r="B4821" s="104" t="s">
        <v>4879</v>
      </c>
      <c r="C4821" s="104" t="s">
        <v>183</v>
      </c>
      <c r="D4821" s="129" t="s">
        <v>18869</v>
      </c>
    </row>
    <row r="4822" spans="1:4">
      <c r="A4822" s="105">
        <v>86876</v>
      </c>
      <c r="B4822" s="104" t="s">
        <v>4880</v>
      </c>
      <c r="C4822" s="104" t="s">
        <v>183</v>
      </c>
      <c r="D4822" s="129" t="s">
        <v>18870</v>
      </c>
    </row>
    <row r="4823" spans="1:4">
      <c r="A4823" s="105">
        <v>86877</v>
      </c>
      <c r="B4823" s="104" t="s">
        <v>4881</v>
      </c>
      <c r="C4823" s="104" t="s">
        <v>183</v>
      </c>
      <c r="D4823" s="129" t="s">
        <v>18871</v>
      </c>
    </row>
    <row r="4824" spans="1:4">
      <c r="A4824" s="105">
        <v>86878</v>
      </c>
      <c r="B4824" s="104" t="s">
        <v>4882</v>
      </c>
      <c r="C4824" s="104" t="s">
        <v>183</v>
      </c>
      <c r="D4824" s="129" t="s">
        <v>17719</v>
      </c>
    </row>
    <row r="4825" spans="1:4">
      <c r="A4825" s="105">
        <v>86879</v>
      </c>
      <c r="B4825" s="104" t="s">
        <v>4883</v>
      </c>
      <c r="C4825" s="104" t="s">
        <v>183</v>
      </c>
      <c r="D4825" s="129" t="s">
        <v>18872</v>
      </c>
    </row>
    <row r="4826" spans="1:4">
      <c r="A4826" s="105">
        <v>86880</v>
      </c>
      <c r="B4826" s="104" t="s">
        <v>4884</v>
      </c>
      <c r="C4826" s="104" t="s">
        <v>183</v>
      </c>
      <c r="D4826" s="129" t="s">
        <v>15115</v>
      </c>
    </row>
    <row r="4827" spans="1:4">
      <c r="A4827" s="105">
        <v>86881</v>
      </c>
      <c r="B4827" s="104" t="s">
        <v>4885</v>
      </c>
      <c r="C4827" s="104" t="s">
        <v>183</v>
      </c>
      <c r="D4827" s="129" t="s">
        <v>18873</v>
      </c>
    </row>
    <row r="4828" spans="1:4">
      <c r="A4828" s="105">
        <v>86882</v>
      </c>
      <c r="B4828" s="104" t="s">
        <v>4886</v>
      </c>
      <c r="C4828" s="104" t="s">
        <v>183</v>
      </c>
      <c r="D4828" s="129" t="s">
        <v>18874</v>
      </c>
    </row>
    <row r="4829" spans="1:4">
      <c r="A4829" s="105">
        <v>86883</v>
      </c>
      <c r="B4829" s="104" t="s">
        <v>4887</v>
      </c>
      <c r="C4829" s="104" t="s">
        <v>183</v>
      </c>
      <c r="D4829" s="129" t="s">
        <v>18875</v>
      </c>
    </row>
    <row r="4830" spans="1:4">
      <c r="A4830" s="105">
        <v>86884</v>
      </c>
      <c r="B4830" s="104" t="s">
        <v>4888</v>
      </c>
      <c r="C4830" s="104" t="s">
        <v>183</v>
      </c>
      <c r="D4830" s="129" t="s">
        <v>14759</v>
      </c>
    </row>
    <row r="4831" spans="1:4">
      <c r="A4831" s="105">
        <v>86885</v>
      </c>
      <c r="B4831" s="104" t="s">
        <v>4889</v>
      </c>
      <c r="C4831" s="104" t="s">
        <v>183</v>
      </c>
      <c r="D4831" s="129" t="s">
        <v>15999</v>
      </c>
    </row>
    <row r="4832" spans="1:4">
      <c r="A4832" s="105">
        <v>86886</v>
      </c>
      <c r="B4832" s="104" t="s">
        <v>4890</v>
      </c>
      <c r="C4832" s="104" t="s">
        <v>183</v>
      </c>
      <c r="D4832" s="129" t="s">
        <v>15888</v>
      </c>
    </row>
    <row r="4833" spans="1:4">
      <c r="A4833" s="105">
        <v>86887</v>
      </c>
      <c r="B4833" s="104" t="s">
        <v>4891</v>
      </c>
      <c r="C4833" s="104" t="s">
        <v>183</v>
      </c>
      <c r="D4833" s="129" t="s">
        <v>18876</v>
      </c>
    </row>
    <row r="4834" spans="1:4">
      <c r="A4834" s="105">
        <v>86888</v>
      </c>
      <c r="B4834" s="104" t="s">
        <v>4892</v>
      </c>
      <c r="C4834" s="104" t="s">
        <v>183</v>
      </c>
      <c r="D4834" s="129" t="s">
        <v>18877</v>
      </c>
    </row>
    <row r="4835" spans="1:4">
      <c r="A4835" s="105">
        <v>86889</v>
      </c>
      <c r="B4835" s="104" t="s">
        <v>4893</v>
      </c>
      <c r="C4835" s="104" t="s">
        <v>183</v>
      </c>
      <c r="D4835" s="129" t="s">
        <v>18878</v>
      </c>
    </row>
    <row r="4836" spans="1:4">
      <c r="A4836" s="105">
        <v>86893</v>
      </c>
      <c r="B4836" s="104" t="s">
        <v>416</v>
      </c>
      <c r="C4836" s="104" t="s">
        <v>183</v>
      </c>
      <c r="D4836" s="129" t="s">
        <v>18879</v>
      </c>
    </row>
    <row r="4837" spans="1:4">
      <c r="A4837" s="105">
        <v>86894</v>
      </c>
      <c r="B4837" s="104" t="s">
        <v>4894</v>
      </c>
      <c r="C4837" s="104" t="s">
        <v>183</v>
      </c>
      <c r="D4837" s="129" t="s">
        <v>18297</v>
      </c>
    </row>
    <row r="4838" spans="1:4">
      <c r="A4838" s="105">
        <v>86895</v>
      </c>
      <c r="B4838" s="104" t="s">
        <v>4895</v>
      </c>
      <c r="C4838" s="104" t="s">
        <v>183</v>
      </c>
      <c r="D4838" s="129" t="s">
        <v>18880</v>
      </c>
    </row>
    <row r="4839" spans="1:4">
      <c r="A4839" s="105">
        <v>86899</v>
      </c>
      <c r="B4839" s="104" t="s">
        <v>4896</v>
      </c>
      <c r="C4839" s="104" t="s">
        <v>183</v>
      </c>
      <c r="D4839" s="129" t="s">
        <v>18881</v>
      </c>
    </row>
    <row r="4840" spans="1:4">
      <c r="A4840" s="105">
        <v>86900</v>
      </c>
      <c r="B4840" s="104" t="s">
        <v>4897</v>
      </c>
      <c r="C4840" s="104" t="s">
        <v>183</v>
      </c>
      <c r="D4840" s="129" t="s">
        <v>18882</v>
      </c>
    </row>
    <row r="4841" spans="1:4">
      <c r="A4841" s="105">
        <v>86901</v>
      </c>
      <c r="B4841" s="104" t="s">
        <v>4898</v>
      </c>
      <c r="C4841" s="104" t="s">
        <v>183</v>
      </c>
      <c r="D4841" s="129" t="s">
        <v>18883</v>
      </c>
    </row>
    <row r="4842" spans="1:4">
      <c r="A4842" s="105">
        <v>86902</v>
      </c>
      <c r="B4842" s="104" t="s">
        <v>4899</v>
      </c>
      <c r="C4842" s="104" t="s">
        <v>183</v>
      </c>
      <c r="D4842" s="129" t="s">
        <v>18884</v>
      </c>
    </row>
    <row r="4843" spans="1:4">
      <c r="A4843" s="105">
        <v>86903</v>
      </c>
      <c r="B4843" s="104" t="s">
        <v>4900</v>
      </c>
      <c r="C4843" s="104" t="s">
        <v>183</v>
      </c>
      <c r="D4843" s="129" t="s">
        <v>18885</v>
      </c>
    </row>
    <row r="4844" spans="1:4">
      <c r="A4844" s="105">
        <v>86904</v>
      </c>
      <c r="B4844" s="104" t="s">
        <v>4901</v>
      </c>
      <c r="C4844" s="104" t="s">
        <v>183</v>
      </c>
      <c r="D4844" s="129" t="s">
        <v>18886</v>
      </c>
    </row>
    <row r="4845" spans="1:4">
      <c r="A4845" s="105">
        <v>86905</v>
      </c>
      <c r="B4845" s="104" t="s">
        <v>4902</v>
      </c>
      <c r="C4845" s="104" t="s">
        <v>183</v>
      </c>
      <c r="D4845" s="129" t="s">
        <v>18887</v>
      </c>
    </row>
    <row r="4846" spans="1:4">
      <c r="A4846" s="105">
        <v>86906</v>
      </c>
      <c r="B4846" s="104" t="s">
        <v>4903</v>
      </c>
      <c r="C4846" s="104" t="s">
        <v>183</v>
      </c>
      <c r="D4846" s="129" t="s">
        <v>18888</v>
      </c>
    </row>
    <row r="4847" spans="1:4">
      <c r="A4847" s="105">
        <v>86908</v>
      </c>
      <c r="B4847" s="104" t="s">
        <v>4904</v>
      </c>
      <c r="C4847" s="104" t="s">
        <v>183</v>
      </c>
      <c r="D4847" s="129" t="s">
        <v>18889</v>
      </c>
    </row>
    <row r="4848" spans="1:4">
      <c r="A4848" s="105">
        <v>86909</v>
      </c>
      <c r="B4848" s="104" t="s">
        <v>4905</v>
      </c>
      <c r="C4848" s="104" t="s">
        <v>183</v>
      </c>
      <c r="D4848" s="129" t="s">
        <v>18890</v>
      </c>
    </row>
    <row r="4849" spans="1:4">
      <c r="A4849" s="105">
        <v>86910</v>
      </c>
      <c r="B4849" s="104" t="s">
        <v>4906</v>
      </c>
      <c r="C4849" s="104" t="s">
        <v>183</v>
      </c>
      <c r="D4849" s="129" t="s">
        <v>18891</v>
      </c>
    </row>
    <row r="4850" spans="1:4">
      <c r="A4850" s="105">
        <v>86911</v>
      </c>
      <c r="B4850" s="104" t="s">
        <v>4907</v>
      </c>
      <c r="C4850" s="104" t="s">
        <v>183</v>
      </c>
      <c r="D4850" s="129" t="s">
        <v>18892</v>
      </c>
    </row>
    <row r="4851" spans="1:4">
      <c r="A4851" s="105">
        <v>86913</v>
      </c>
      <c r="B4851" s="104" t="s">
        <v>4908</v>
      </c>
      <c r="C4851" s="104" t="s">
        <v>183</v>
      </c>
      <c r="D4851" s="129" t="s">
        <v>18893</v>
      </c>
    </row>
    <row r="4852" spans="1:4">
      <c r="A4852" s="105">
        <v>86914</v>
      </c>
      <c r="B4852" s="104" t="s">
        <v>4909</v>
      </c>
      <c r="C4852" s="104" t="s">
        <v>183</v>
      </c>
      <c r="D4852" s="129" t="s">
        <v>18894</v>
      </c>
    </row>
    <row r="4853" spans="1:4">
      <c r="A4853" s="105">
        <v>86915</v>
      </c>
      <c r="B4853" s="104" t="s">
        <v>4910</v>
      </c>
      <c r="C4853" s="104" t="s">
        <v>183</v>
      </c>
      <c r="D4853" s="129" t="s">
        <v>18895</v>
      </c>
    </row>
    <row r="4854" spans="1:4">
      <c r="A4854" s="105">
        <v>86916</v>
      </c>
      <c r="B4854" s="104" t="s">
        <v>4911</v>
      </c>
      <c r="C4854" s="104" t="s">
        <v>183</v>
      </c>
      <c r="D4854" s="129" t="s">
        <v>18896</v>
      </c>
    </row>
    <row r="4855" spans="1:4">
      <c r="A4855" s="105">
        <v>86919</v>
      </c>
      <c r="B4855" s="104" t="s">
        <v>4912</v>
      </c>
      <c r="C4855" s="104" t="s">
        <v>183</v>
      </c>
      <c r="D4855" s="129" t="s">
        <v>18897</v>
      </c>
    </row>
    <row r="4856" spans="1:4">
      <c r="A4856" s="105">
        <v>86920</v>
      </c>
      <c r="B4856" s="104" t="s">
        <v>4913</v>
      </c>
      <c r="C4856" s="104" t="s">
        <v>183</v>
      </c>
      <c r="D4856" s="129" t="s">
        <v>18898</v>
      </c>
    </row>
    <row r="4857" spans="1:4">
      <c r="A4857" s="105">
        <v>86921</v>
      </c>
      <c r="B4857" s="104" t="s">
        <v>4914</v>
      </c>
      <c r="C4857" s="104" t="s">
        <v>183</v>
      </c>
      <c r="D4857" s="129" t="s">
        <v>18899</v>
      </c>
    </row>
    <row r="4858" spans="1:4">
      <c r="A4858" s="105">
        <v>86922</v>
      </c>
      <c r="B4858" s="104" t="s">
        <v>4915</v>
      </c>
      <c r="C4858" s="104" t="s">
        <v>183</v>
      </c>
      <c r="D4858" s="129" t="s">
        <v>18900</v>
      </c>
    </row>
    <row r="4859" spans="1:4">
      <c r="A4859" s="105">
        <v>86923</v>
      </c>
      <c r="B4859" s="104" t="s">
        <v>4916</v>
      </c>
      <c r="C4859" s="104" t="s">
        <v>183</v>
      </c>
      <c r="D4859" s="129" t="s">
        <v>18901</v>
      </c>
    </row>
    <row r="4860" spans="1:4">
      <c r="A4860" s="105">
        <v>86924</v>
      </c>
      <c r="B4860" s="104" t="s">
        <v>4917</v>
      </c>
      <c r="C4860" s="104" t="s">
        <v>183</v>
      </c>
      <c r="D4860" s="129" t="s">
        <v>18902</v>
      </c>
    </row>
    <row r="4861" spans="1:4">
      <c r="A4861" s="105">
        <v>86925</v>
      </c>
      <c r="B4861" s="104" t="s">
        <v>4918</v>
      </c>
      <c r="C4861" s="104" t="s">
        <v>183</v>
      </c>
      <c r="D4861" s="129" t="s">
        <v>18903</v>
      </c>
    </row>
    <row r="4862" spans="1:4">
      <c r="A4862" s="105">
        <v>86926</v>
      </c>
      <c r="B4862" s="104" t="s">
        <v>4919</v>
      </c>
      <c r="C4862" s="104" t="s">
        <v>183</v>
      </c>
      <c r="D4862" s="129" t="s">
        <v>18904</v>
      </c>
    </row>
    <row r="4863" spans="1:4">
      <c r="A4863" s="105">
        <v>86927</v>
      </c>
      <c r="B4863" s="104" t="s">
        <v>4920</v>
      </c>
      <c r="C4863" s="104" t="s">
        <v>183</v>
      </c>
      <c r="D4863" s="129" t="s">
        <v>18905</v>
      </c>
    </row>
    <row r="4864" spans="1:4">
      <c r="A4864" s="105">
        <v>86928</v>
      </c>
      <c r="B4864" s="104" t="s">
        <v>4921</v>
      </c>
      <c r="C4864" s="104" t="s">
        <v>183</v>
      </c>
      <c r="D4864" s="129" t="s">
        <v>18906</v>
      </c>
    </row>
    <row r="4865" spans="1:4">
      <c r="A4865" s="105">
        <v>86929</v>
      </c>
      <c r="B4865" s="104" t="s">
        <v>4922</v>
      </c>
      <c r="C4865" s="104" t="s">
        <v>183</v>
      </c>
      <c r="D4865" s="129" t="s">
        <v>18907</v>
      </c>
    </row>
    <row r="4866" spans="1:4">
      <c r="A4866" s="105">
        <v>86930</v>
      </c>
      <c r="B4866" s="104" t="s">
        <v>4923</v>
      </c>
      <c r="C4866" s="104" t="s">
        <v>183</v>
      </c>
      <c r="D4866" s="129" t="s">
        <v>18908</v>
      </c>
    </row>
    <row r="4867" spans="1:4">
      <c r="A4867" s="105">
        <v>86931</v>
      </c>
      <c r="B4867" s="104" t="s">
        <v>4924</v>
      </c>
      <c r="C4867" s="104" t="s">
        <v>183</v>
      </c>
      <c r="D4867" s="129" t="s">
        <v>18909</v>
      </c>
    </row>
    <row r="4868" spans="1:4">
      <c r="A4868" s="105">
        <v>86932</v>
      </c>
      <c r="B4868" s="104" t="s">
        <v>4925</v>
      </c>
      <c r="C4868" s="104" t="s">
        <v>183</v>
      </c>
      <c r="D4868" s="129" t="s">
        <v>18910</v>
      </c>
    </row>
    <row r="4869" spans="1:4">
      <c r="A4869" s="105">
        <v>86933</v>
      </c>
      <c r="B4869" s="104" t="s">
        <v>4926</v>
      </c>
      <c r="C4869" s="104" t="s">
        <v>183</v>
      </c>
      <c r="D4869" s="129" t="s">
        <v>18911</v>
      </c>
    </row>
    <row r="4870" spans="1:4">
      <c r="A4870" s="105">
        <v>86934</v>
      </c>
      <c r="B4870" s="104" t="s">
        <v>4927</v>
      </c>
      <c r="C4870" s="104" t="s">
        <v>183</v>
      </c>
      <c r="D4870" s="129" t="s">
        <v>18912</v>
      </c>
    </row>
    <row r="4871" spans="1:4">
      <c r="A4871" s="105">
        <v>86935</v>
      </c>
      <c r="B4871" s="104" t="s">
        <v>4928</v>
      </c>
      <c r="C4871" s="104" t="s">
        <v>183</v>
      </c>
      <c r="D4871" s="129" t="s">
        <v>18913</v>
      </c>
    </row>
    <row r="4872" spans="1:4">
      <c r="A4872" s="105">
        <v>86936</v>
      </c>
      <c r="B4872" s="104" t="s">
        <v>4929</v>
      </c>
      <c r="C4872" s="104" t="s">
        <v>183</v>
      </c>
      <c r="D4872" s="129" t="s">
        <v>18914</v>
      </c>
    </row>
    <row r="4873" spans="1:4">
      <c r="A4873" s="105">
        <v>86937</v>
      </c>
      <c r="B4873" s="104" t="s">
        <v>4930</v>
      </c>
      <c r="C4873" s="104" t="s">
        <v>183</v>
      </c>
      <c r="D4873" s="129" t="s">
        <v>18915</v>
      </c>
    </row>
    <row r="4874" spans="1:4">
      <c r="A4874" s="105">
        <v>86938</v>
      </c>
      <c r="B4874" s="104" t="s">
        <v>4931</v>
      </c>
      <c r="C4874" s="104" t="s">
        <v>183</v>
      </c>
      <c r="D4874" s="129" t="s">
        <v>18916</v>
      </c>
    </row>
    <row r="4875" spans="1:4">
      <c r="A4875" s="105">
        <v>86939</v>
      </c>
      <c r="B4875" s="104" t="s">
        <v>4932</v>
      </c>
      <c r="C4875" s="104" t="s">
        <v>183</v>
      </c>
      <c r="D4875" s="129" t="s">
        <v>18917</v>
      </c>
    </row>
    <row r="4876" spans="1:4">
      <c r="A4876" s="105">
        <v>86940</v>
      </c>
      <c r="B4876" s="104" t="s">
        <v>4933</v>
      </c>
      <c r="C4876" s="104" t="s">
        <v>183</v>
      </c>
      <c r="D4876" s="129" t="s">
        <v>18918</v>
      </c>
    </row>
    <row r="4877" spans="1:4">
      <c r="A4877" s="105">
        <v>86941</v>
      </c>
      <c r="B4877" s="104" t="s">
        <v>4934</v>
      </c>
      <c r="C4877" s="104" t="s">
        <v>183</v>
      </c>
      <c r="D4877" s="129" t="s">
        <v>18919</v>
      </c>
    </row>
    <row r="4878" spans="1:4">
      <c r="A4878" s="105">
        <v>86942</v>
      </c>
      <c r="B4878" s="104" t="s">
        <v>4935</v>
      </c>
      <c r="C4878" s="104" t="s">
        <v>183</v>
      </c>
      <c r="D4878" s="129" t="s">
        <v>18920</v>
      </c>
    </row>
    <row r="4879" spans="1:4">
      <c r="A4879" s="105">
        <v>86943</v>
      </c>
      <c r="B4879" s="104" t="s">
        <v>4936</v>
      </c>
      <c r="C4879" s="104" t="s">
        <v>183</v>
      </c>
      <c r="D4879" s="129" t="s">
        <v>18921</v>
      </c>
    </row>
    <row r="4880" spans="1:4">
      <c r="A4880" s="105">
        <v>86947</v>
      </c>
      <c r="B4880" s="104" t="s">
        <v>4937</v>
      </c>
      <c r="C4880" s="104" t="s">
        <v>183</v>
      </c>
      <c r="D4880" s="129" t="s">
        <v>18922</v>
      </c>
    </row>
    <row r="4881" spans="1:4">
      <c r="A4881" s="105">
        <v>93396</v>
      </c>
      <c r="B4881" s="104" t="s">
        <v>4938</v>
      </c>
      <c r="C4881" s="104" t="s">
        <v>183</v>
      </c>
      <c r="D4881" s="129" t="s">
        <v>18923</v>
      </c>
    </row>
    <row r="4882" spans="1:4">
      <c r="A4882" s="105">
        <v>93441</v>
      </c>
      <c r="B4882" s="104" t="s">
        <v>4939</v>
      </c>
      <c r="C4882" s="104" t="s">
        <v>183</v>
      </c>
      <c r="D4882" s="129" t="s">
        <v>18924</v>
      </c>
    </row>
    <row r="4883" spans="1:4">
      <c r="A4883" s="105">
        <v>93442</v>
      </c>
      <c r="B4883" s="104" t="s">
        <v>4940</v>
      </c>
      <c r="C4883" s="104" t="s">
        <v>183</v>
      </c>
      <c r="D4883" s="129" t="s">
        <v>18925</v>
      </c>
    </row>
    <row r="4884" spans="1:4">
      <c r="A4884" s="105">
        <v>95469</v>
      </c>
      <c r="B4884" s="104" t="s">
        <v>4941</v>
      </c>
      <c r="C4884" s="104" t="s">
        <v>183</v>
      </c>
      <c r="D4884" s="129" t="s">
        <v>18926</v>
      </c>
    </row>
    <row r="4885" spans="1:4">
      <c r="A4885" s="105">
        <v>95470</v>
      </c>
      <c r="B4885" s="104" t="s">
        <v>353</v>
      </c>
      <c r="C4885" s="104" t="s">
        <v>183</v>
      </c>
      <c r="D4885" s="129" t="s">
        <v>18927</v>
      </c>
    </row>
    <row r="4886" spans="1:4">
      <c r="A4886" s="105">
        <v>95471</v>
      </c>
      <c r="B4886" s="104" t="s">
        <v>4942</v>
      </c>
      <c r="C4886" s="104" t="s">
        <v>183</v>
      </c>
      <c r="D4886" s="129" t="s">
        <v>18928</v>
      </c>
    </row>
    <row r="4887" spans="1:4">
      <c r="A4887" s="105">
        <v>95472</v>
      </c>
      <c r="B4887" s="104" t="s">
        <v>4943</v>
      </c>
      <c r="C4887" s="104" t="s">
        <v>183</v>
      </c>
      <c r="D4887" s="129" t="s">
        <v>18929</v>
      </c>
    </row>
    <row r="4888" spans="1:4">
      <c r="A4888" s="105">
        <v>95542</v>
      </c>
      <c r="B4888" s="104" t="s">
        <v>4944</v>
      </c>
      <c r="C4888" s="104" t="s">
        <v>183</v>
      </c>
      <c r="D4888" s="129" t="s">
        <v>18930</v>
      </c>
    </row>
    <row r="4889" spans="1:4">
      <c r="A4889" s="105">
        <v>95543</v>
      </c>
      <c r="B4889" s="104" t="s">
        <v>4945</v>
      </c>
      <c r="C4889" s="104" t="s">
        <v>183</v>
      </c>
      <c r="D4889" s="129" t="s">
        <v>18931</v>
      </c>
    </row>
    <row r="4890" spans="1:4">
      <c r="A4890" s="105">
        <v>95544</v>
      </c>
      <c r="B4890" s="104" t="s">
        <v>4946</v>
      </c>
      <c r="C4890" s="104" t="s">
        <v>183</v>
      </c>
      <c r="D4890" s="129" t="s">
        <v>18078</v>
      </c>
    </row>
    <row r="4891" spans="1:4">
      <c r="A4891" s="105">
        <v>95545</v>
      </c>
      <c r="B4891" s="104" t="s">
        <v>4947</v>
      </c>
      <c r="C4891" s="104" t="s">
        <v>183</v>
      </c>
      <c r="D4891" s="129" t="s">
        <v>18932</v>
      </c>
    </row>
    <row r="4892" spans="1:4">
      <c r="A4892" s="105">
        <v>95546</v>
      </c>
      <c r="B4892" s="104" t="s">
        <v>4948</v>
      </c>
      <c r="C4892" s="104" t="s">
        <v>183</v>
      </c>
      <c r="D4892" s="129" t="s">
        <v>18933</v>
      </c>
    </row>
    <row r="4893" spans="1:4">
      <c r="A4893" s="105">
        <v>95547</v>
      </c>
      <c r="B4893" s="104" t="s">
        <v>4949</v>
      </c>
      <c r="C4893" s="104" t="s">
        <v>183</v>
      </c>
      <c r="D4893" s="129" t="s">
        <v>18934</v>
      </c>
    </row>
    <row r="4894" spans="1:4">
      <c r="A4894" s="105">
        <v>100848</v>
      </c>
      <c r="B4894" s="104" t="s">
        <v>4950</v>
      </c>
      <c r="C4894" s="104" t="s">
        <v>183</v>
      </c>
      <c r="D4894" s="129" t="s">
        <v>18935</v>
      </c>
    </row>
    <row r="4895" spans="1:4">
      <c r="A4895" s="105">
        <v>100849</v>
      </c>
      <c r="B4895" s="104" t="s">
        <v>167</v>
      </c>
      <c r="C4895" s="104" t="s">
        <v>183</v>
      </c>
      <c r="D4895" s="129" t="s">
        <v>17471</v>
      </c>
    </row>
    <row r="4896" spans="1:4">
      <c r="A4896" s="105">
        <v>100851</v>
      </c>
      <c r="B4896" s="104" t="s">
        <v>4951</v>
      </c>
      <c r="C4896" s="104" t="s">
        <v>183</v>
      </c>
      <c r="D4896" s="129" t="s">
        <v>18936</v>
      </c>
    </row>
    <row r="4897" spans="1:4">
      <c r="A4897" s="105">
        <v>100852</v>
      </c>
      <c r="B4897" s="104" t="s">
        <v>4952</v>
      </c>
      <c r="C4897" s="104" t="s">
        <v>183</v>
      </c>
      <c r="D4897" s="129" t="s">
        <v>18937</v>
      </c>
    </row>
    <row r="4898" spans="1:4">
      <c r="A4898" s="105">
        <v>100853</v>
      </c>
      <c r="B4898" s="104" t="s">
        <v>12888</v>
      </c>
      <c r="C4898" s="104" t="s">
        <v>183</v>
      </c>
      <c r="D4898" s="129" t="s">
        <v>18938</v>
      </c>
    </row>
    <row r="4899" spans="1:4">
      <c r="A4899" s="105">
        <v>100854</v>
      </c>
      <c r="B4899" s="104" t="s">
        <v>4953</v>
      </c>
      <c r="C4899" s="104" t="s">
        <v>183</v>
      </c>
      <c r="D4899" s="129" t="s">
        <v>18939</v>
      </c>
    </row>
    <row r="4900" spans="1:4">
      <c r="A4900" s="105">
        <v>100855</v>
      </c>
      <c r="B4900" s="104" t="s">
        <v>4954</v>
      </c>
      <c r="C4900" s="104" t="s">
        <v>183</v>
      </c>
      <c r="D4900" s="129" t="s">
        <v>18932</v>
      </c>
    </row>
    <row r="4901" spans="1:4">
      <c r="A4901" s="105">
        <v>100856</v>
      </c>
      <c r="B4901" s="104" t="s">
        <v>4955</v>
      </c>
      <c r="C4901" s="104" t="s">
        <v>183</v>
      </c>
      <c r="D4901" s="129" t="s">
        <v>16771</v>
      </c>
    </row>
    <row r="4902" spans="1:4">
      <c r="A4902" s="105">
        <v>100857</v>
      </c>
      <c r="B4902" s="104" t="s">
        <v>4956</v>
      </c>
      <c r="C4902" s="104" t="s">
        <v>183</v>
      </c>
      <c r="D4902" s="129" t="s">
        <v>18940</v>
      </c>
    </row>
    <row r="4903" spans="1:4">
      <c r="A4903" s="105">
        <v>100858</v>
      </c>
      <c r="B4903" s="104" t="s">
        <v>4957</v>
      </c>
      <c r="C4903" s="104" t="s">
        <v>183</v>
      </c>
      <c r="D4903" s="129" t="s">
        <v>18941</v>
      </c>
    </row>
    <row r="4904" spans="1:4">
      <c r="A4904" s="105">
        <v>100859</v>
      </c>
      <c r="B4904" s="104" t="s">
        <v>4958</v>
      </c>
      <c r="C4904" s="104" t="s">
        <v>183</v>
      </c>
      <c r="D4904" s="129" t="s">
        <v>18942</v>
      </c>
    </row>
    <row r="4905" spans="1:4">
      <c r="A4905" s="105">
        <v>100860</v>
      </c>
      <c r="B4905" s="104" t="s">
        <v>4959</v>
      </c>
      <c r="C4905" s="104" t="s">
        <v>183</v>
      </c>
      <c r="D4905" s="129" t="s">
        <v>18943</v>
      </c>
    </row>
    <row r="4906" spans="1:4">
      <c r="A4906" s="105">
        <v>100861</v>
      </c>
      <c r="B4906" s="104" t="s">
        <v>4960</v>
      </c>
      <c r="C4906" s="104" t="s">
        <v>183</v>
      </c>
      <c r="D4906" s="129" t="s">
        <v>18944</v>
      </c>
    </row>
    <row r="4907" spans="1:4">
      <c r="A4907" s="105">
        <v>100862</v>
      </c>
      <c r="B4907" s="104" t="s">
        <v>4961</v>
      </c>
      <c r="C4907" s="104" t="s">
        <v>183</v>
      </c>
      <c r="D4907" s="129" t="s">
        <v>17588</v>
      </c>
    </row>
    <row r="4908" spans="1:4">
      <c r="A4908" s="105">
        <v>100863</v>
      </c>
      <c r="B4908" s="104" t="s">
        <v>4962</v>
      </c>
      <c r="C4908" s="104" t="s">
        <v>183</v>
      </c>
      <c r="D4908" s="129" t="s">
        <v>18945</v>
      </c>
    </row>
    <row r="4909" spans="1:4">
      <c r="A4909" s="105">
        <v>100864</v>
      </c>
      <c r="B4909" s="104" t="s">
        <v>4963</v>
      </c>
      <c r="C4909" s="104" t="s">
        <v>183</v>
      </c>
      <c r="D4909" s="129" t="s">
        <v>18946</v>
      </c>
    </row>
    <row r="4910" spans="1:4">
      <c r="A4910" s="105">
        <v>100865</v>
      </c>
      <c r="B4910" s="104" t="s">
        <v>4964</v>
      </c>
      <c r="C4910" s="104" t="s">
        <v>183</v>
      </c>
      <c r="D4910" s="129" t="s">
        <v>18947</v>
      </c>
    </row>
    <row r="4911" spans="1:4">
      <c r="A4911" s="105">
        <v>100866</v>
      </c>
      <c r="B4911" s="104" t="s">
        <v>4965</v>
      </c>
      <c r="C4911" s="104" t="s">
        <v>183</v>
      </c>
      <c r="D4911" s="129" t="s">
        <v>18948</v>
      </c>
    </row>
    <row r="4912" spans="1:4">
      <c r="A4912" s="105">
        <v>100867</v>
      </c>
      <c r="B4912" s="104" t="s">
        <v>4966</v>
      </c>
      <c r="C4912" s="104" t="s">
        <v>183</v>
      </c>
      <c r="D4912" s="129" t="s">
        <v>18949</v>
      </c>
    </row>
    <row r="4913" spans="1:4">
      <c r="A4913" s="105">
        <v>100868</v>
      </c>
      <c r="B4913" s="104" t="s">
        <v>4967</v>
      </c>
      <c r="C4913" s="104" t="s">
        <v>183</v>
      </c>
      <c r="D4913" s="129" t="s">
        <v>18950</v>
      </c>
    </row>
    <row r="4914" spans="1:4">
      <c r="A4914" s="105">
        <v>100869</v>
      </c>
      <c r="B4914" s="104" t="s">
        <v>4968</v>
      </c>
      <c r="C4914" s="104" t="s">
        <v>183</v>
      </c>
      <c r="D4914" s="129" t="s">
        <v>18951</v>
      </c>
    </row>
    <row r="4915" spans="1:4">
      <c r="A4915" s="105">
        <v>100870</v>
      </c>
      <c r="B4915" s="104" t="s">
        <v>4969</v>
      </c>
      <c r="C4915" s="104" t="s">
        <v>183</v>
      </c>
      <c r="D4915" s="129" t="s">
        <v>18952</v>
      </c>
    </row>
    <row r="4916" spans="1:4">
      <c r="A4916" s="105">
        <v>100871</v>
      </c>
      <c r="B4916" s="104" t="s">
        <v>4970</v>
      </c>
      <c r="C4916" s="104" t="s">
        <v>183</v>
      </c>
      <c r="D4916" s="129" t="s">
        <v>18953</v>
      </c>
    </row>
    <row r="4917" spans="1:4">
      <c r="A4917" s="105">
        <v>100872</v>
      </c>
      <c r="B4917" s="104" t="s">
        <v>4971</v>
      </c>
      <c r="C4917" s="104" t="s">
        <v>183</v>
      </c>
      <c r="D4917" s="129" t="s">
        <v>18954</v>
      </c>
    </row>
    <row r="4918" spans="1:4">
      <c r="A4918" s="105">
        <v>100873</v>
      </c>
      <c r="B4918" s="104" t="s">
        <v>4972</v>
      </c>
      <c r="C4918" s="104" t="s">
        <v>183</v>
      </c>
      <c r="D4918" s="129" t="s">
        <v>18955</v>
      </c>
    </row>
    <row r="4919" spans="1:4">
      <c r="A4919" s="105">
        <v>100874</v>
      </c>
      <c r="B4919" s="104" t="s">
        <v>236</v>
      </c>
      <c r="C4919" s="104" t="s">
        <v>183</v>
      </c>
      <c r="D4919" s="129" t="s">
        <v>18948</v>
      </c>
    </row>
    <row r="4920" spans="1:4">
      <c r="A4920" s="105">
        <v>100875</v>
      </c>
      <c r="B4920" s="104" t="s">
        <v>4973</v>
      </c>
      <c r="C4920" s="104" t="s">
        <v>183</v>
      </c>
      <c r="D4920" s="129" t="s">
        <v>18956</v>
      </c>
    </row>
    <row r="4921" spans="1:4">
      <c r="A4921" s="105">
        <v>100878</v>
      </c>
      <c r="B4921" s="104" t="s">
        <v>4974</v>
      </c>
      <c r="C4921" s="104" t="s">
        <v>183</v>
      </c>
      <c r="D4921" s="129" t="s">
        <v>18957</v>
      </c>
    </row>
    <row r="4922" spans="1:4">
      <c r="A4922" s="105">
        <v>98052</v>
      </c>
      <c r="B4922" s="104" t="s">
        <v>4975</v>
      </c>
      <c r="C4922" s="104" t="s">
        <v>183</v>
      </c>
      <c r="D4922" s="129" t="s">
        <v>18958</v>
      </c>
    </row>
    <row r="4923" spans="1:4">
      <c r="A4923" s="105">
        <v>98053</v>
      </c>
      <c r="B4923" s="104" t="s">
        <v>4976</v>
      </c>
      <c r="C4923" s="104" t="s">
        <v>183</v>
      </c>
      <c r="D4923" s="129" t="s">
        <v>18959</v>
      </c>
    </row>
    <row r="4924" spans="1:4">
      <c r="A4924" s="105">
        <v>98054</v>
      </c>
      <c r="B4924" s="104" t="s">
        <v>4977</v>
      </c>
      <c r="C4924" s="104" t="s">
        <v>183</v>
      </c>
      <c r="D4924" s="129" t="s">
        <v>18960</v>
      </c>
    </row>
    <row r="4925" spans="1:4">
      <c r="A4925" s="105">
        <v>98055</v>
      </c>
      <c r="B4925" s="104" t="s">
        <v>4978</v>
      </c>
      <c r="C4925" s="104" t="s">
        <v>183</v>
      </c>
      <c r="D4925" s="129" t="s">
        <v>18961</v>
      </c>
    </row>
    <row r="4926" spans="1:4">
      <c r="A4926" s="105">
        <v>98056</v>
      </c>
      <c r="B4926" s="104" t="s">
        <v>4979</v>
      </c>
      <c r="C4926" s="104" t="s">
        <v>183</v>
      </c>
      <c r="D4926" s="129" t="s">
        <v>18962</v>
      </c>
    </row>
    <row r="4927" spans="1:4">
      <c r="A4927" s="105">
        <v>98057</v>
      </c>
      <c r="B4927" s="104" t="s">
        <v>4980</v>
      </c>
      <c r="C4927" s="104" t="s">
        <v>183</v>
      </c>
      <c r="D4927" s="129" t="s">
        <v>18963</v>
      </c>
    </row>
    <row r="4928" spans="1:4">
      <c r="A4928" s="105">
        <v>98058</v>
      </c>
      <c r="B4928" s="104" t="s">
        <v>4981</v>
      </c>
      <c r="C4928" s="104" t="s">
        <v>183</v>
      </c>
      <c r="D4928" s="129" t="s">
        <v>18964</v>
      </c>
    </row>
    <row r="4929" spans="1:4">
      <c r="A4929" s="105">
        <v>98059</v>
      </c>
      <c r="B4929" s="104" t="s">
        <v>4982</v>
      </c>
      <c r="C4929" s="104" t="s">
        <v>183</v>
      </c>
      <c r="D4929" s="129" t="s">
        <v>18965</v>
      </c>
    </row>
    <row r="4930" spans="1:4">
      <c r="A4930" s="105">
        <v>98060</v>
      </c>
      <c r="B4930" s="104" t="s">
        <v>4983</v>
      </c>
      <c r="C4930" s="104" t="s">
        <v>183</v>
      </c>
      <c r="D4930" s="129" t="s">
        <v>18966</v>
      </c>
    </row>
    <row r="4931" spans="1:4">
      <c r="A4931" s="105">
        <v>98061</v>
      </c>
      <c r="B4931" s="104" t="s">
        <v>4984</v>
      </c>
      <c r="C4931" s="104" t="s">
        <v>183</v>
      </c>
      <c r="D4931" s="129" t="s">
        <v>18967</v>
      </c>
    </row>
    <row r="4932" spans="1:4">
      <c r="A4932" s="105">
        <v>98062</v>
      </c>
      <c r="B4932" s="104" t="s">
        <v>4985</v>
      </c>
      <c r="C4932" s="104" t="s">
        <v>183</v>
      </c>
      <c r="D4932" s="129" t="s">
        <v>18968</v>
      </c>
    </row>
    <row r="4933" spans="1:4">
      <c r="A4933" s="105">
        <v>98063</v>
      </c>
      <c r="B4933" s="104" t="s">
        <v>4986</v>
      </c>
      <c r="C4933" s="104" t="s">
        <v>183</v>
      </c>
      <c r="D4933" s="129" t="s">
        <v>18969</v>
      </c>
    </row>
    <row r="4934" spans="1:4">
      <c r="A4934" s="105">
        <v>98064</v>
      </c>
      <c r="B4934" s="104" t="s">
        <v>4987</v>
      </c>
      <c r="C4934" s="104" t="s">
        <v>183</v>
      </c>
      <c r="D4934" s="129" t="s">
        <v>18970</v>
      </c>
    </row>
    <row r="4935" spans="1:4">
      <c r="A4935" s="105">
        <v>98065</v>
      </c>
      <c r="B4935" s="104" t="s">
        <v>4988</v>
      </c>
      <c r="C4935" s="104" t="s">
        <v>183</v>
      </c>
      <c r="D4935" s="129" t="s">
        <v>18971</v>
      </c>
    </row>
    <row r="4936" spans="1:4">
      <c r="A4936" s="105">
        <v>98066</v>
      </c>
      <c r="B4936" s="104" t="s">
        <v>4989</v>
      </c>
      <c r="C4936" s="104" t="s">
        <v>183</v>
      </c>
      <c r="D4936" s="129" t="s">
        <v>18972</v>
      </c>
    </row>
    <row r="4937" spans="1:4">
      <c r="A4937" s="105">
        <v>98067</v>
      </c>
      <c r="B4937" s="104" t="s">
        <v>4990</v>
      </c>
      <c r="C4937" s="104" t="s">
        <v>183</v>
      </c>
      <c r="D4937" s="129" t="s">
        <v>18973</v>
      </c>
    </row>
    <row r="4938" spans="1:4">
      <c r="A4938" s="105">
        <v>98068</v>
      </c>
      <c r="B4938" s="104" t="s">
        <v>4991</v>
      </c>
      <c r="C4938" s="104" t="s">
        <v>183</v>
      </c>
      <c r="D4938" s="129" t="s">
        <v>18974</v>
      </c>
    </row>
    <row r="4939" spans="1:4">
      <c r="A4939" s="105">
        <v>98069</v>
      </c>
      <c r="B4939" s="104" t="s">
        <v>4992</v>
      </c>
      <c r="C4939" s="104" t="s">
        <v>183</v>
      </c>
      <c r="D4939" s="129" t="s">
        <v>18975</v>
      </c>
    </row>
    <row r="4940" spans="1:4">
      <c r="A4940" s="105">
        <v>98070</v>
      </c>
      <c r="B4940" s="104" t="s">
        <v>4993</v>
      </c>
      <c r="C4940" s="104" t="s">
        <v>183</v>
      </c>
      <c r="D4940" s="129" t="s">
        <v>18976</v>
      </c>
    </row>
    <row r="4941" spans="1:4">
      <c r="A4941" s="105">
        <v>98071</v>
      </c>
      <c r="B4941" s="104" t="s">
        <v>4994</v>
      </c>
      <c r="C4941" s="104" t="s">
        <v>183</v>
      </c>
      <c r="D4941" s="129" t="s">
        <v>18977</v>
      </c>
    </row>
    <row r="4942" spans="1:4">
      <c r="A4942" s="105">
        <v>98072</v>
      </c>
      <c r="B4942" s="104" t="s">
        <v>4995</v>
      </c>
      <c r="C4942" s="104" t="s">
        <v>183</v>
      </c>
      <c r="D4942" s="129" t="s">
        <v>18978</v>
      </c>
    </row>
    <row r="4943" spans="1:4">
      <c r="A4943" s="105">
        <v>98073</v>
      </c>
      <c r="B4943" s="104" t="s">
        <v>4996</v>
      </c>
      <c r="C4943" s="104" t="s">
        <v>183</v>
      </c>
      <c r="D4943" s="129" t="s">
        <v>18979</v>
      </c>
    </row>
    <row r="4944" spans="1:4">
      <c r="A4944" s="105">
        <v>98074</v>
      </c>
      <c r="B4944" s="104" t="s">
        <v>4997</v>
      </c>
      <c r="C4944" s="104" t="s">
        <v>183</v>
      </c>
      <c r="D4944" s="129" t="s">
        <v>18980</v>
      </c>
    </row>
    <row r="4945" spans="1:4">
      <c r="A4945" s="105">
        <v>98075</v>
      </c>
      <c r="B4945" s="104" t="s">
        <v>4998</v>
      </c>
      <c r="C4945" s="104" t="s">
        <v>183</v>
      </c>
      <c r="D4945" s="129" t="s">
        <v>18981</v>
      </c>
    </row>
    <row r="4946" spans="1:4">
      <c r="A4946" s="105">
        <v>98076</v>
      </c>
      <c r="B4946" s="104" t="s">
        <v>4999</v>
      </c>
      <c r="C4946" s="104" t="s">
        <v>183</v>
      </c>
      <c r="D4946" s="129" t="s">
        <v>18982</v>
      </c>
    </row>
    <row r="4947" spans="1:4">
      <c r="A4947" s="105">
        <v>98077</v>
      </c>
      <c r="B4947" s="104" t="s">
        <v>5000</v>
      </c>
      <c r="C4947" s="104" t="s">
        <v>183</v>
      </c>
      <c r="D4947" s="129" t="s">
        <v>18983</v>
      </c>
    </row>
    <row r="4948" spans="1:4">
      <c r="A4948" s="105">
        <v>98078</v>
      </c>
      <c r="B4948" s="104" t="s">
        <v>5001</v>
      </c>
      <c r="C4948" s="104" t="s">
        <v>183</v>
      </c>
      <c r="D4948" s="129" t="s">
        <v>18984</v>
      </c>
    </row>
    <row r="4949" spans="1:4">
      <c r="A4949" s="105">
        <v>98079</v>
      </c>
      <c r="B4949" s="104" t="s">
        <v>5002</v>
      </c>
      <c r="C4949" s="104" t="s">
        <v>183</v>
      </c>
      <c r="D4949" s="129" t="s">
        <v>18985</v>
      </c>
    </row>
    <row r="4950" spans="1:4">
      <c r="A4950" s="105">
        <v>98080</v>
      </c>
      <c r="B4950" s="104" t="s">
        <v>5003</v>
      </c>
      <c r="C4950" s="104" t="s">
        <v>183</v>
      </c>
      <c r="D4950" s="129" t="s">
        <v>18986</v>
      </c>
    </row>
    <row r="4951" spans="1:4">
      <c r="A4951" s="105">
        <v>98081</v>
      </c>
      <c r="B4951" s="104" t="s">
        <v>5004</v>
      </c>
      <c r="C4951" s="104" t="s">
        <v>183</v>
      </c>
      <c r="D4951" s="129" t="s">
        <v>18987</v>
      </c>
    </row>
    <row r="4952" spans="1:4">
      <c r="A4952" s="105">
        <v>98082</v>
      </c>
      <c r="B4952" s="104" t="s">
        <v>5005</v>
      </c>
      <c r="C4952" s="104" t="s">
        <v>183</v>
      </c>
      <c r="D4952" s="129" t="s">
        <v>18988</v>
      </c>
    </row>
    <row r="4953" spans="1:4">
      <c r="A4953" s="105">
        <v>98083</v>
      </c>
      <c r="B4953" s="104" t="s">
        <v>5006</v>
      </c>
      <c r="C4953" s="104" t="s">
        <v>183</v>
      </c>
      <c r="D4953" s="129" t="s">
        <v>18989</v>
      </c>
    </row>
    <row r="4954" spans="1:4">
      <c r="A4954" s="105">
        <v>98084</v>
      </c>
      <c r="B4954" s="104" t="s">
        <v>5007</v>
      </c>
      <c r="C4954" s="104" t="s">
        <v>183</v>
      </c>
      <c r="D4954" s="129" t="s">
        <v>18990</v>
      </c>
    </row>
    <row r="4955" spans="1:4">
      <c r="A4955" s="105">
        <v>98085</v>
      </c>
      <c r="B4955" s="104" t="s">
        <v>5008</v>
      </c>
      <c r="C4955" s="104" t="s">
        <v>183</v>
      </c>
      <c r="D4955" s="129" t="s">
        <v>18991</v>
      </c>
    </row>
    <row r="4956" spans="1:4">
      <c r="A4956" s="105">
        <v>98086</v>
      </c>
      <c r="B4956" s="104" t="s">
        <v>5009</v>
      </c>
      <c r="C4956" s="104" t="s">
        <v>183</v>
      </c>
      <c r="D4956" s="129" t="s">
        <v>18992</v>
      </c>
    </row>
    <row r="4957" spans="1:4">
      <c r="A4957" s="105">
        <v>98087</v>
      </c>
      <c r="B4957" s="104" t="s">
        <v>5010</v>
      </c>
      <c r="C4957" s="104" t="s">
        <v>183</v>
      </c>
      <c r="D4957" s="129" t="s">
        <v>18993</v>
      </c>
    </row>
    <row r="4958" spans="1:4">
      <c r="A4958" s="105">
        <v>98088</v>
      </c>
      <c r="B4958" s="104" t="s">
        <v>5011</v>
      </c>
      <c r="C4958" s="104" t="s">
        <v>183</v>
      </c>
      <c r="D4958" s="129" t="s">
        <v>18994</v>
      </c>
    </row>
    <row r="4959" spans="1:4">
      <c r="A4959" s="105">
        <v>98089</v>
      </c>
      <c r="B4959" s="104" t="s">
        <v>5012</v>
      </c>
      <c r="C4959" s="104" t="s">
        <v>183</v>
      </c>
      <c r="D4959" s="129" t="s">
        <v>18995</v>
      </c>
    </row>
    <row r="4960" spans="1:4">
      <c r="A4960" s="105">
        <v>98090</v>
      </c>
      <c r="B4960" s="104" t="s">
        <v>5013</v>
      </c>
      <c r="C4960" s="104" t="s">
        <v>183</v>
      </c>
      <c r="D4960" s="129" t="s">
        <v>18996</v>
      </c>
    </row>
    <row r="4961" spans="1:4">
      <c r="A4961" s="105">
        <v>98091</v>
      </c>
      <c r="B4961" s="104" t="s">
        <v>5014</v>
      </c>
      <c r="C4961" s="104" t="s">
        <v>183</v>
      </c>
      <c r="D4961" s="129" t="s">
        <v>18997</v>
      </c>
    </row>
    <row r="4962" spans="1:4">
      <c r="A4962" s="105">
        <v>98092</v>
      </c>
      <c r="B4962" s="104" t="s">
        <v>5015</v>
      </c>
      <c r="C4962" s="104" t="s">
        <v>183</v>
      </c>
      <c r="D4962" s="129" t="s">
        <v>18998</v>
      </c>
    </row>
    <row r="4963" spans="1:4">
      <c r="A4963" s="105">
        <v>98093</v>
      </c>
      <c r="B4963" s="104" t="s">
        <v>5016</v>
      </c>
      <c r="C4963" s="104" t="s">
        <v>183</v>
      </c>
      <c r="D4963" s="129" t="s">
        <v>18999</v>
      </c>
    </row>
    <row r="4964" spans="1:4">
      <c r="A4964" s="105">
        <v>98094</v>
      </c>
      <c r="B4964" s="104" t="s">
        <v>5017</v>
      </c>
      <c r="C4964" s="104" t="s">
        <v>183</v>
      </c>
      <c r="D4964" s="129" t="s">
        <v>19000</v>
      </c>
    </row>
    <row r="4965" spans="1:4">
      <c r="A4965" s="105">
        <v>98099</v>
      </c>
      <c r="B4965" s="104" t="s">
        <v>5018</v>
      </c>
      <c r="C4965" s="104" t="s">
        <v>183</v>
      </c>
      <c r="D4965" s="129" t="s">
        <v>19001</v>
      </c>
    </row>
    <row r="4966" spans="1:4">
      <c r="A4966" s="105">
        <v>98100</v>
      </c>
      <c r="B4966" s="104" t="s">
        <v>5019</v>
      </c>
      <c r="C4966" s="104" t="s">
        <v>183</v>
      </c>
      <c r="D4966" s="129" t="s">
        <v>19002</v>
      </c>
    </row>
    <row r="4967" spans="1:4">
      <c r="A4967" s="105">
        <v>98101</v>
      </c>
      <c r="B4967" s="104" t="s">
        <v>5020</v>
      </c>
      <c r="C4967" s="104" t="s">
        <v>183</v>
      </c>
      <c r="D4967" s="129" t="s">
        <v>19003</v>
      </c>
    </row>
    <row r="4968" spans="1:4">
      <c r="A4968" s="105">
        <v>98109</v>
      </c>
      <c r="B4968" s="104" t="s">
        <v>5021</v>
      </c>
      <c r="C4968" s="104" t="s">
        <v>183</v>
      </c>
      <c r="D4968" s="129" t="s">
        <v>19004</v>
      </c>
    </row>
    <row r="4969" spans="1:4">
      <c r="A4969" s="105">
        <v>98110</v>
      </c>
      <c r="B4969" s="104" t="s">
        <v>5022</v>
      </c>
      <c r="C4969" s="104" t="s">
        <v>183</v>
      </c>
      <c r="D4969" s="129" t="s">
        <v>19005</v>
      </c>
    </row>
    <row r="4970" spans="1:4">
      <c r="A4970" s="105">
        <v>98111</v>
      </c>
      <c r="B4970" s="104" t="s">
        <v>5023</v>
      </c>
      <c r="C4970" s="104" t="s">
        <v>183</v>
      </c>
      <c r="D4970" s="129" t="s">
        <v>19006</v>
      </c>
    </row>
    <row r="4971" spans="1:4">
      <c r="A4971" s="105">
        <v>98112</v>
      </c>
      <c r="B4971" s="104" t="s">
        <v>5024</v>
      </c>
      <c r="C4971" s="104" t="s">
        <v>183</v>
      </c>
      <c r="D4971" s="129" t="s">
        <v>19007</v>
      </c>
    </row>
    <row r="4972" spans="1:4">
      <c r="A4972" s="105">
        <v>98114</v>
      </c>
      <c r="B4972" s="104" t="s">
        <v>5025</v>
      </c>
      <c r="C4972" s="104" t="s">
        <v>183</v>
      </c>
      <c r="D4972" s="129" t="s">
        <v>19008</v>
      </c>
    </row>
    <row r="4973" spans="1:4">
      <c r="A4973" s="105">
        <v>98115</v>
      </c>
      <c r="B4973" s="104" t="s">
        <v>5026</v>
      </c>
      <c r="C4973" s="104" t="s">
        <v>183</v>
      </c>
      <c r="D4973" s="129" t="s">
        <v>19009</v>
      </c>
    </row>
    <row r="4974" spans="1:4">
      <c r="A4974" s="105">
        <v>89957</v>
      </c>
      <c r="B4974" s="104" t="s">
        <v>5027</v>
      </c>
      <c r="C4974" s="104" t="s">
        <v>183</v>
      </c>
      <c r="D4974" s="129" t="s">
        <v>19010</v>
      </c>
    </row>
    <row r="4975" spans="1:4">
      <c r="A4975" s="105">
        <v>89959</v>
      </c>
      <c r="B4975" s="104" t="s">
        <v>5028</v>
      </c>
      <c r="C4975" s="104" t="s">
        <v>183</v>
      </c>
      <c r="D4975" s="129" t="s">
        <v>19011</v>
      </c>
    </row>
    <row r="4976" spans="1:4">
      <c r="A4976" s="105">
        <v>89349</v>
      </c>
      <c r="B4976" s="104" t="s">
        <v>5029</v>
      </c>
      <c r="C4976" s="104" t="s">
        <v>183</v>
      </c>
      <c r="D4976" s="129" t="s">
        <v>19012</v>
      </c>
    </row>
    <row r="4977" spans="1:4">
      <c r="A4977" s="105">
        <v>89351</v>
      </c>
      <c r="B4977" s="104" t="s">
        <v>5030</v>
      </c>
      <c r="C4977" s="104" t="s">
        <v>183</v>
      </c>
      <c r="D4977" s="129" t="s">
        <v>19013</v>
      </c>
    </row>
    <row r="4978" spans="1:4">
      <c r="A4978" s="105">
        <v>89352</v>
      </c>
      <c r="B4978" s="104" t="s">
        <v>5031</v>
      </c>
      <c r="C4978" s="104" t="s">
        <v>183</v>
      </c>
      <c r="D4978" s="129" t="s">
        <v>19014</v>
      </c>
    </row>
    <row r="4979" spans="1:4">
      <c r="A4979" s="105">
        <v>89353</v>
      </c>
      <c r="B4979" s="104" t="s">
        <v>5032</v>
      </c>
      <c r="C4979" s="104" t="s">
        <v>183</v>
      </c>
      <c r="D4979" s="129" t="s">
        <v>19015</v>
      </c>
    </row>
    <row r="4980" spans="1:4">
      <c r="A4980" s="105">
        <v>89354</v>
      </c>
      <c r="B4980" s="104" t="s">
        <v>5033</v>
      </c>
      <c r="C4980" s="104" t="s">
        <v>183</v>
      </c>
      <c r="D4980" s="129" t="s">
        <v>19016</v>
      </c>
    </row>
    <row r="4981" spans="1:4">
      <c r="A4981" s="105">
        <v>89969</v>
      </c>
      <c r="B4981" s="104" t="s">
        <v>5034</v>
      </c>
      <c r="C4981" s="104" t="s">
        <v>183</v>
      </c>
      <c r="D4981" s="129" t="s">
        <v>19017</v>
      </c>
    </row>
    <row r="4982" spans="1:4">
      <c r="A4982" s="105">
        <v>89970</v>
      </c>
      <c r="B4982" s="104" t="s">
        <v>5035</v>
      </c>
      <c r="C4982" s="104" t="s">
        <v>183</v>
      </c>
      <c r="D4982" s="129" t="s">
        <v>19018</v>
      </c>
    </row>
    <row r="4983" spans="1:4">
      <c r="A4983" s="105">
        <v>89971</v>
      </c>
      <c r="B4983" s="104" t="s">
        <v>5036</v>
      </c>
      <c r="C4983" s="104" t="s">
        <v>183</v>
      </c>
      <c r="D4983" s="129" t="s">
        <v>19019</v>
      </c>
    </row>
    <row r="4984" spans="1:4">
      <c r="A4984" s="105">
        <v>89972</v>
      </c>
      <c r="B4984" s="104" t="s">
        <v>5037</v>
      </c>
      <c r="C4984" s="104" t="s">
        <v>183</v>
      </c>
      <c r="D4984" s="129" t="s">
        <v>19020</v>
      </c>
    </row>
    <row r="4985" spans="1:4">
      <c r="A4985" s="105">
        <v>89973</v>
      </c>
      <c r="B4985" s="104" t="s">
        <v>5038</v>
      </c>
      <c r="C4985" s="104" t="s">
        <v>183</v>
      </c>
      <c r="D4985" s="129" t="s">
        <v>19021</v>
      </c>
    </row>
    <row r="4986" spans="1:4">
      <c r="A4986" s="105">
        <v>89974</v>
      </c>
      <c r="B4986" s="104" t="s">
        <v>5039</v>
      </c>
      <c r="C4986" s="104" t="s">
        <v>183</v>
      </c>
      <c r="D4986" s="129" t="s">
        <v>19022</v>
      </c>
    </row>
    <row r="4987" spans="1:4">
      <c r="A4987" s="105">
        <v>89984</v>
      </c>
      <c r="B4987" s="104" t="s">
        <v>5040</v>
      </c>
      <c r="C4987" s="104" t="s">
        <v>183</v>
      </c>
      <c r="D4987" s="129" t="s">
        <v>19023</v>
      </c>
    </row>
    <row r="4988" spans="1:4">
      <c r="A4988" s="105">
        <v>89985</v>
      </c>
      <c r="B4988" s="104" t="s">
        <v>5041</v>
      </c>
      <c r="C4988" s="104" t="s">
        <v>183</v>
      </c>
      <c r="D4988" s="129" t="s">
        <v>19024</v>
      </c>
    </row>
    <row r="4989" spans="1:4">
      <c r="A4989" s="105">
        <v>89986</v>
      </c>
      <c r="B4989" s="104" t="s">
        <v>5042</v>
      </c>
      <c r="C4989" s="104" t="s">
        <v>183</v>
      </c>
      <c r="D4989" s="129" t="s">
        <v>19025</v>
      </c>
    </row>
    <row r="4990" spans="1:4">
      <c r="A4990" s="105">
        <v>89987</v>
      </c>
      <c r="B4990" s="104" t="s">
        <v>5043</v>
      </c>
      <c r="C4990" s="104" t="s">
        <v>183</v>
      </c>
      <c r="D4990" s="129" t="s">
        <v>19026</v>
      </c>
    </row>
    <row r="4991" spans="1:4">
      <c r="A4991" s="105">
        <v>90371</v>
      </c>
      <c r="B4991" s="104" t="s">
        <v>5044</v>
      </c>
      <c r="C4991" s="104" t="s">
        <v>183</v>
      </c>
      <c r="D4991" s="129" t="s">
        <v>19027</v>
      </c>
    </row>
    <row r="4992" spans="1:4">
      <c r="A4992" s="105">
        <v>94489</v>
      </c>
      <c r="B4992" s="104" t="s">
        <v>5045</v>
      </c>
      <c r="C4992" s="104" t="s">
        <v>183</v>
      </c>
      <c r="D4992" s="129" t="s">
        <v>15412</v>
      </c>
    </row>
    <row r="4993" spans="1:4">
      <c r="A4993" s="105">
        <v>94490</v>
      </c>
      <c r="B4993" s="104" t="s">
        <v>5046</v>
      </c>
      <c r="C4993" s="104" t="s">
        <v>183</v>
      </c>
      <c r="D4993" s="129" t="s">
        <v>19028</v>
      </c>
    </row>
    <row r="4994" spans="1:4">
      <c r="A4994" s="105">
        <v>94491</v>
      </c>
      <c r="B4994" s="104" t="s">
        <v>5047</v>
      </c>
      <c r="C4994" s="104" t="s">
        <v>183</v>
      </c>
      <c r="D4994" s="129" t="s">
        <v>19029</v>
      </c>
    </row>
    <row r="4995" spans="1:4">
      <c r="A4995" s="105">
        <v>94492</v>
      </c>
      <c r="B4995" s="104" t="s">
        <v>5048</v>
      </c>
      <c r="C4995" s="104" t="s">
        <v>183</v>
      </c>
      <c r="D4995" s="129" t="s">
        <v>19030</v>
      </c>
    </row>
    <row r="4996" spans="1:4">
      <c r="A4996" s="105">
        <v>94493</v>
      </c>
      <c r="B4996" s="104" t="s">
        <v>5049</v>
      </c>
      <c r="C4996" s="104" t="s">
        <v>183</v>
      </c>
      <c r="D4996" s="129" t="s">
        <v>19031</v>
      </c>
    </row>
    <row r="4997" spans="1:4">
      <c r="A4997" s="105">
        <v>94495</v>
      </c>
      <c r="B4997" s="104" t="s">
        <v>5050</v>
      </c>
      <c r="C4997" s="104" t="s">
        <v>183</v>
      </c>
      <c r="D4997" s="129" t="s">
        <v>17692</v>
      </c>
    </row>
    <row r="4998" spans="1:4">
      <c r="A4998" s="105">
        <v>94496</v>
      </c>
      <c r="B4998" s="104" t="s">
        <v>5051</v>
      </c>
      <c r="C4998" s="104" t="s">
        <v>183</v>
      </c>
      <c r="D4998" s="129" t="s">
        <v>19032</v>
      </c>
    </row>
    <row r="4999" spans="1:4">
      <c r="A4999" s="105">
        <v>94497</v>
      </c>
      <c r="B4999" s="104" t="s">
        <v>5052</v>
      </c>
      <c r="C4999" s="104" t="s">
        <v>183</v>
      </c>
      <c r="D4999" s="129" t="s">
        <v>19033</v>
      </c>
    </row>
    <row r="5000" spans="1:4">
      <c r="A5000" s="105">
        <v>94498</v>
      </c>
      <c r="B5000" s="104" t="s">
        <v>5053</v>
      </c>
      <c r="C5000" s="104" t="s">
        <v>183</v>
      </c>
      <c r="D5000" s="129" t="s">
        <v>19034</v>
      </c>
    </row>
    <row r="5001" spans="1:4">
      <c r="A5001" s="105">
        <v>94499</v>
      </c>
      <c r="B5001" s="104" t="s">
        <v>5054</v>
      </c>
      <c r="C5001" s="104" t="s">
        <v>183</v>
      </c>
      <c r="D5001" s="129" t="s">
        <v>19035</v>
      </c>
    </row>
    <row r="5002" spans="1:4">
      <c r="A5002" s="105">
        <v>94500</v>
      </c>
      <c r="B5002" s="104" t="s">
        <v>5055</v>
      </c>
      <c r="C5002" s="104" t="s">
        <v>183</v>
      </c>
      <c r="D5002" s="129" t="s">
        <v>19036</v>
      </c>
    </row>
    <row r="5003" spans="1:4">
      <c r="A5003" s="105">
        <v>94501</v>
      </c>
      <c r="B5003" s="104" t="s">
        <v>5056</v>
      </c>
      <c r="C5003" s="104" t="s">
        <v>183</v>
      </c>
      <c r="D5003" s="129" t="s">
        <v>19037</v>
      </c>
    </row>
    <row r="5004" spans="1:4">
      <c r="A5004" s="105">
        <v>94792</v>
      </c>
      <c r="B5004" s="104" t="s">
        <v>5057</v>
      </c>
      <c r="C5004" s="104" t="s">
        <v>183</v>
      </c>
      <c r="D5004" s="129" t="s">
        <v>19038</v>
      </c>
    </row>
    <row r="5005" spans="1:4">
      <c r="A5005" s="105">
        <v>94793</v>
      </c>
      <c r="B5005" s="104" t="s">
        <v>5058</v>
      </c>
      <c r="C5005" s="104" t="s">
        <v>183</v>
      </c>
      <c r="D5005" s="129" t="s">
        <v>19039</v>
      </c>
    </row>
    <row r="5006" spans="1:4">
      <c r="A5006" s="105">
        <v>94794</v>
      </c>
      <c r="B5006" s="104" t="s">
        <v>5059</v>
      </c>
      <c r="C5006" s="104" t="s">
        <v>183</v>
      </c>
      <c r="D5006" s="129" t="s">
        <v>16436</v>
      </c>
    </row>
    <row r="5007" spans="1:4">
      <c r="A5007" s="105">
        <v>94795</v>
      </c>
      <c r="B5007" s="104" t="s">
        <v>5060</v>
      </c>
      <c r="C5007" s="104" t="s">
        <v>183</v>
      </c>
      <c r="D5007" s="129" t="s">
        <v>19040</v>
      </c>
    </row>
    <row r="5008" spans="1:4">
      <c r="A5008" s="105">
        <v>94796</v>
      </c>
      <c r="B5008" s="104" t="s">
        <v>5061</v>
      </c>
      <c r="C5008" s="104" t="s">
        <v>183</v>
      </c>
      <c r="D5008" s="129" t="s">
        <v>19041</v>
      </c>
    </row>
    <row r="5009" spans="1:4">
      <c r="A5009" s="105">
        <v>94797</v>
      </c>
      <c r="B5009" s="104" t="s">
        <v>5062</v>
      </c>
      <c r="C5009" s="104" t="s">
        <v>183</v>
      </c>
      <c r="D5009" s="129" t="s">
        <v>19042</v>
      </c>
    </row>
    <row r="5010" spans="1:4">
      <c r="A5010" s="105">
        <v>94798</v>
      </c>
      <c r="B5010" s="104" t="s">
        <v>5063</v>
      </c>
      <c r="C5010" s="104" t="s">
        <v>183</v>
      </c>
      <c r="D5010" s="129" t="s">
        <v>19043</v>
      </c>
    </row>
    <row r="5011" spans="1:4">
      <c r="A5011" s="105">
        <v>94799</v>
      </c>
      <c r="B5011" s="104" t="s">
        <v>5064</v>
      </c>
      <c r="C5011" s="104" t="s">
        <v>183</v>
      </c>
      <c r="D5011" s="129" t="s">
        <v>19044</v>
      </c>
    </row>
    <row r="5012" spans="1:4">
      <c r="A5012" s="105">
        <v>94800</v>
      </c>
      <c r="B5012" s="104" t="s">
        <v>5065</v>
      </c>
      <c r="C5012" s="104" t="s">
        <v>183</v>
      </c>
      <c r="D5012" s="129" t="s">
        <v>19045</v>
      </c>
    </row>
    <row r="5013" spans="1:4">
      <c r="A5013" s="105">
        <v>95248</v>
      </c>
      <c r="B5013" s="104" t="s">
        <v>5066</v>
      </c>
      <c r="C5013" s="104" t="s">
        <v>183</v>
      </c>
      <c r="D5013" s="129" t="s">
        <v>15259</v>
      </c>
    </row>
    <row r="5014" spans="1:4">
      <c r="A5014" s="105">
        <v>95249</v>
      </c>
      <c r="B5014" s="104" t="s">
        <v>5067</v>
      </c>
      <c r="C5014" s="104" t="s">
        <v>183</v>
      </c>
      <c r="D5014" s="129" t="s">
        <v>19046</v>
      </c>
    </row>
    <row r="5015" spans="1:4">
      <c r="A5015" s="105">
        <v>95250</v>
      </c>
      <c r="B5015" s="104" t="s">
        <v>5068</v>
      </c>
      <c r="C5015" s="104" t="s">
        <v>183</v>
      </c>
      <c r="D5015" s="129" t="s">
        <v>19047</v>
      </c>
    </row>
    <row r="5016" spans="1:4">
      <c r="A5016" s="105">
        <v>95251</v>
      </c>
      <c r="B5016" s="104" t="s">
        <v>5069</v>
      </c>
      <c r="C5016" s="104" t="s">
        <v>183</v>
      </c>
      <c r="D5016" s="129" t="s">
        <v>19048</v>
      </c>
    </row>
    <row r="5017" spans="1:4">
      <c r="A5017" s="105">
        <v>95252</v>
      </c>
      <c r="B5017" s="104" t="s">
        <v>5070</v>
      </c>
      <c r="C5017" s="104" t="s">
        <v>183</v>
      </c>
      <c r="D5017" s="129" t="s">
        <v>19049</v>
      </c>
    </row>
    <row r="5018" spans="1:4">
      <c r="A5018" s="105">
        <v>95253</v>
      </c>
      <c r="B5018" s="104" t="s">
        <v>5071</v>
      </c>
      <c r="C5018" s="104" t="s">
        <v>183</v>
      </c>
      <c r="D5018" s="129" t="s">
        <v>17344</v>
      </c>
    </row>
    <row r="5019" spans="1:4">
      <c r="A5019" s="105">
        <v>99619</v>
      </c>
      <c r="B5019" s="104" t="s">
        <v>5072</v>
      </c>
      <c r="C5019" s="104" t="s">
        <v>183</v>
      </c>
      <c r="D5019" s="129" t="s">
        <v>19050</v>
      </c>
    </row>
    <row r="5020" spans="1:4">
      <c r="A5020" s="105">
        <v>99620</v>
      </c>
      <c r="B5020" s="104" t="s">
        <v>5073</v>
      </c>
      <c r="C5020" s="104" t="s">
        <v>183</v>
      </c>
      <c r="D5020" s="129" t="s">
        <v>19051</v>
      </c>
    </row>
    <row r="5021" spans="1:4">
      <c r="A5021" s="105">
        <v>99621</v>
      </c>
      <c r="B5021" s="104" t="s">
        <v>5074</v>
      </c>
      <c r="C5021" s="104" t="s">
        <v>183</v>
      </c>
      <c r="D5021" s="129" t="s">
        <v>19052</v>
      </c>
    </row>
    <row r="5022" spans="1:4">
      <c r="A5022" s="105">
        <v>99622</v>
      </c>
      <c r="B5022" s="104" t="s">
        <v>5075</v>
      </c>
      <c r="C5022" s="104" t="s">
        <v>183</v>
      </c>
      <c r="D5022" s="129" t="s">
        <v>19053</v>
      </c>
    </row>
    <row r="5023" spans="1:4">
      <c r="A5023" s="105">
        <v>99623</v>
      </c>
      <c r="B5023" s="104" t="s">
        <v>5076</v>
      </c>
      <c r="C5023" s="104" t="s">
        <v>183</v>
      </c>
      <c r="D5023" s="129" t="s">
        <v>19054</v>
      </c>
    </row>
    <row r="5024" spans="1:4">
      <c r="A5024" s="105">
        <v>99624</v>
      </c>
      <c r="B5024" s="104" t="s">
        <v>5077</v>
      </c>
      <c r="C5024" s="104" t="s">
        <v>183</v>
      </c>
      <c r="D5024" s="129" t="s">
        <v>19055</v>
      </c>
    </row>
    <row r="5025" spans="1:4">
      <c r="A5025" s="105">
        <v>99625</v>
      </c>
      <c r="B5025" s="104" t="s">
        <v>5078</v>
      </c>
      <c r="C5025" s="104" t="s">
        <v>183</v>
      </c>
      <c r="D5025" s="129" t="s">
        <v>19056</v>
      </c>
    </row>
    <row r="5026" spans="1:4">
      <c r="A5026" s="105">
        <v>99626</v>
      </c>
      <c r="B5026" s="104" t="s">
        <v>5079</v>
      </c>
      <c r="C5026" s="104" t="s">
        <v>183</v>
      </c>
      <c r="D5026" s="129" t="s">
        <v>19057</v>
      </c>
    </row>
    <row r="5027" spans="1:4">
      <c r="A5027" s="105">
        <v>99627</v>
      </c>
      <c r="B5027" s="104" t="s">
        <v>5080</v>
      </c>
      <c r="C5027" s="104" t="s">
        <v>183</v>
      </c>
      <c r="D5027" s="129" t="s">
        <v>19058</v>
      </c>
    </row>
    <row r="5028" spans="1:4">
      <c r="A5028" s="105">
        <v>99628</v>
      </c>
      <c r="B5028" s="104" t="s">
        <v>5081</v>
      </c>
      <c r="C5028" s="104" t="s">
        <v>183</v>
      </c>
      <c r="D5028" s="129" t="s">
        <v>19059</v>
      </c>
    </row>
    <row r="5029" spans="1:4">
      <c r="A5029" s="105">
        <v>99629</v>
      </c>
      <c r="B5029" s="104" t="s">
        <v>5082</v>
      </c>
      <c r="C5029" s="104" t="s">
        <v>183</v>
      </c>
      <c r="D5029" s="129" t="s">
        <v>19060</v>
      </c>
    </row>
    <row r="5030" spans="1:4">
      <c r="A5030" s="105">
        <v>99630</v>
      </c>
      <c r="B5030" s="104" t="s">
        <v>5083</v>
      </c>
      <c r="C5030" s="104" t="s">
        <v>183</v>
      </c>
      <c r="D5030" s="129" t="s">
        <v>19061</v>
      </c>
    </row>
    <row r="5031" spans="1:4">
      <c r="A5031" s="105">
        <v>99631</v>
      </c>
      <c r="B5031" s="104" t="s">
        <v>5084</v>
      </c>
      <c r="C5031" s="104" t="s">
        <v>183</v>
      </c>
      <c r="D5031" s="129" t="s">
        <v>19062</v>
      </c>
    </row>
    <row r="5032" spans="1:4">
      <c r="A5032" s="105">
        <v>99632</v>
      </c>
      <c r="B5032" s="104" t="s">
        <v>5085</v>
      </c>
      <c r="C5032" s="104" t="s">
        <v>183</v>
      </c>
      <c r="D5032" s="129" t="s">
        <v>19063</v>
      </c>
    </row>
    <row r="5033" spans="1:4">
      <c r="A5033" s="105">
        <v>99633</v>
      </c>
      <c r="B5033" s="104" t="s">
        <v>5086</v>
      </c>
      <c r="C5033" s="104" t="s">
        <v>183</v>
      </c>
      <c r="D5033" s="129" t="s">
        <v>19064</v>
      </c>
    </row>
    <row r="5034" spans="1:4">
      <c r="A5034" s="105">
        <v>99634</v>
      </c>
      <c r="B5034" s="104" t="s">
        <v>5087</v>
      </c>
      <c r="C5034" s="104" t="s">
        <v>183</v>
      </c>
      <c r="D5034" s="129" t="s">
        <v>19065</v>
      </c>
    </row>
    <row r="5035" spans="1:4">
      <c r="A5035" s="105">
        <v>99635</v>
      </c>
      <c r="B5035" s="104" t="s">
        <v>5088</v>
      </c>
      <c r="C5035" s="104" t="s">
        <v>183</v>
      </c>
      <c r="D5035" s="129" t="s">
        <v>16078</v>
      </c>
    </row>
    <row r="5036" spans="1:4">
      <c r="A5036" s="105">
        <v>103008</v>
      </c>
      <c r="B5036" s="104" t="s">
        <v>5089</v>
      </c>
      <c r="C5036" s="104" t="s">
        <v>183</v>
      </c>
      <c r="D5036" s="129" t="s">
        <v>19066</v>
      </c>
    </row>
    <row r="5037" spans="1:4">
      <c r="A5037" s="105">
        <v>103009</v>
      </c>
      <c r="B5037" s="104" t="s">
        <v>5090</v>
      </c>
      <c r="C5037" s="104" t="s">
        <v>183</v>
      </c>
      <c r="D5037" s="129" t="s">
        <v>19067</v>
      </c>
    </row>
    <row r="5038" spans="1:4">
      <c r="A5038" s="105">
        <v>103010</v>
      </c>
      <c r="B5038" s="104" t="s">
        <v>5091</v>
      </c>
      <c r="C5038" s="104" t="s">
        <v>183</v>
      </c>
      <c r="D5038" s="129" t="s">
        <v>19068</v>
      </c>
    </row>
    <row r="5039" spans="1:4">
      <c r="A5039" s="105">
        <v>103011</v>
      </c>
      <c r="B5039" s="104" t="s">
        <v>5092</v>
      </c>
      <c r="C5039" s="104" t="s">
        <v>183</v>
      </c>
      <c r="D5039" s="129" t="s">
        <v>19069</v>
      </c>
    </row>
    <row r="5040" spans="1:4">
      <c r="A5040" s="105">
        <v>103012</v>
      </c>
      <c r="B5040" s="104" t="s">
        <v>5093</v>
      </c>
      <c r="C5040" s="104" t="s">
        <v>183</v>
      </c>
      <c r="D5040" s="129" t="s">
        <v>19070</v>
      </c>
    </row>
    <row r="5041" spans="1:4">
      <c r="A5041" s="105">
        <v>103013</v>
      </c>
      <c r="B5041" s="104" t="s">
        <v>5094</v>
      </c>
      <c r="C5041" s="104" t="s">
        <v>183</v>
      </c>
      <c r="D5041" s="129" t="s">
        <v>17578</v>
      </c>
    </row>
    <row r="5042" spans="1:4">
      <c r="A5042" s="105">
        <v>103014</v>
      </c>
      <c r="B5042" s="104" t="s">
        <v>5095</v>
      </c>
      <c r="C5042" s="104" t="s">
        <v>183</v>
      </c>
      <c r="D5042" s="129" t="s">
        <v>19071</v>
      </c>
    </row>
    <row r="5043" spans="1:4">
      <c r="A5043" s="105">
        <v>103015</v>
      </c>
      <c r="B5043" s="104" t="s">
        <v>5096</v>
      </c>
      <c r="C5043" s="104" t="s">
        <v>183</v>
      </c>
      <c r="D5043" s="129" t="s">
        <v>19072</v>
      </c>
    </row>
    <row r="5044" spans="1:4">
      <c r="A5044" s="105">
        <v>103016</v>
      </c>
      <c r="B5044" s="104" t="s">
        <v>5097</v>
      </c>
      <c r="C5044" s="104" t="s">
        <v>183</v>
      </c>
      <c r="D5044" s="129" t="s">
        <v>19073</v>
      </c>
    </row>
    <row r="5045" spans="1:4">
      <c r="A5045" s="105">
        <v>103017</v>
      </c>
      <c r="B5045" s="104" t="s">
        <v>5098</v>
      </c>
      <c r="C5045" s="104" t="s">
        <v>183</v>
      </c>
      <c r="D5045" s="129" t="s">
        <v>19074</v>
      </c>
    </row>
    <row r="5046" spans="1:4">
      <c r="A5046" s="105">
        <v>103018</v>
      </c>
      <c r="B5046" s="104" t="s">
        <v>5099</v>
      </c>
      <c r="C5046" s="104" t="s">
        <v>183</v>
      </c>
      <c r="D5046" s="129" t="s">
        <v>19075</v>
      </c>
    </row>
    <row r="5047" spans="1:4">
      <c r="A5047" s="105">
        <v>103019</v>
      </c>
      <c r="B5047" s="104" t="s">
        <v>5100</v>
      </c>
      <c r="C5047" s="104" t="s">
        <v>183</v>
      </c>
      <c r="D5047" s="129" t="s">
        <v>19076</v>
      </c>
    </row>
    <row r="5048" spans="1:4">
      <c r="A5048" s="105">
        <v>103029</v>
      </c>
      <c r="B5048" s="104" t="s">
        <v>5101</v>
      </c>
      <c r="C5048" s="104" t="s">
        <v>183</v>
      </c>
      <c r="D5048" s="129" t="s">
        <v>19077</v>
      </c>
    </row>
    <row r="5049" spans="1:4">
      <c r="A5049" s="105">
        <v>103036</v>
      </c>
      <c r="B5049" s="104" t="s">
        <v>5102</v>
      </c>
      <c r="C5049" s="104" t="s">
        <v>183</v>
      </c>
      <c r="D5049" s="129" t="s">
        <v>19078</v>
      </c>
    </row>
    <row r="5050" spans="1:4">
      <c r="A5050" s="105">
        <v>103037</v>
      </c>
      <c r="B5050" s="104" t="s">
        <v>5103</v>
      </c>
      <c r="C5050" s="104" t="s">
        <v>183</v>
      </c>
      <c r="D5050" s="129" t="s">
        <v>19079</v>
      </c>
    </row>
    <row r="5051" spans="1:4">
      <c r="A5051" s="105">
        <v>103038</v>
      </c>
      <c r="B5051" s="104" t="s">
        <v>5104</v>
      </c>
      <c r="C5051" s="104" t="s">
        <v>183</v>
      </c>
      <c r="D5051" s="129" t="s">
        <v>15327</v>
      </c>
    </row>
    <row r="5052" spans="1:4">
      <c r="A5052" s="105">
        <v>103039</v>
      </c>
      <c r="B5052" s="104" t="s">
        <v>5105</v>
      </c>
      <c r="C5052" s="104" t="s">
        <v>183</v>
      </c>
      <c r="D5052" s="129" t="s">
        <v>19080</v>
      </c>
    </row>
    <row r="5053" spans="1:4">
      <c r="A5053" s="105">
        <v>103040</v>
      </c>
      <c r="B5053" s="104" t="s">
        <v>5106</v>
      </c>
      <c r="C5053" s="104" t="s">
        <v>183</v>
      </c>
      <c r="D5053" s="129" t="s">
        <v>19081</v>
      </c>
    </row>
    <row r="5054" spans="1:4">
      <c r="A5054" s="105">
        <v>103041</v>
      </c>
      <c r="B5054" s="104" t="s">
        <v>5107</v>
      </c>
      <c r="C5054" s="104" t="s">
        <v>183</v>
      </c>
      <c r="D5054" s="129" t="s">
        <v>19082</v>
      </c>
    </row>
    <row r="5055" spans="1:4">
      <c r="A5055" s="105">
        <v>103042</v>
      </c>
      <c r="B5055" s="104" t="s">
        <v>5108</v>
      </c>
      <c r="C5055" s="104" t="s">
        <v>183</v>
      </c>
      <c r="D5055" s="129" t="s">
        <v>19083</v>
      </c>
    </row>
    <row r="5056" spans="1:4">
      <c r="A5056" s="105">
        <v>103043</v>
      </c>
      <c r="B5056" s="104" t="s">
        <v>5109</v>
      </c>
      <c r="C5056" s="104" t="s">
        <v>183</v>
      </c>
      <c r="D5056" s="129" t="s">
        <v>16964</v>
      </c>
    </row>
    <row r="5057" spans="1:4">
      <c r="A5057" s="105">
        <v>103044</v>
      </c>
      <c r="B5057" s="104" t="s">
        <v>5110</v>
      </c>
      <c r="C5057" s="104" t="s">
        <v>183</v>
      </c>
      <c r="D5057" s="129" t="s">
        <v>19084</v>
      </c>
    </row>
    <row r="5058" spans="1:4">
      <c r="A5058" s="105">
        <v>103045</v>
      </c>
      <c r="B5058" s="104" t="s">
        <v>5111</v>
      </c>
      <c r="C5058" s="104" t="s">
        <v>183</v>
      </c>
      <c r="D5058" s="129" t="s">
        <v>19085</v>
      </c>
    </row>
    <row r="5059" spans="1:4">
      <c r="A5059" s="105">
        <v>103046</v>
      </c>
      <c r="B5059" s="104" t="s">
        <v>5112</v>
      </c>
      <c r="C5059" s="104" t="s">
        <v>183</v>
      </c>
      <c r="D5059" s="129" t="s">
        <v>18162</v>
      </c>
    </row>
    <row r="5060" spans="1:4">
      <c r="A5060" s="105">
        <v>103047</v>
      </c>
      <c r="B5060" s="104" t="s">
        <v>5113</v>
      </c>
      <c r="C5060" s="104" t="s">
        <v>183</v>
      </c>
      <c r="D5060" s="129" t="s">
        <v>16390</v>
      </c>
    </row>
    <row r="5061" spans="1:4">
      <c r="A5061" s="105">
        <v>103048</v>
      </c>
      <c r="B5061" s="104" t="s">
        <v>5114</v>
      </c>
      <c r="C5061" s="104" t="s">
        <v>183</v>
      </c>
      <c r="D5061" s="129" t="s">
        <v>19086</v>
      </c>
    </row>
    <row r="5062" spans="1:4">
      <c r="A5062" s="105">
        <v>103049</v>
      </c>
      <c r="B5062" s="104" t="s">
        <v>5115</v>
      </c>
      <c r="C5062" s="104" t="s">
        <v>183</v>
      </c>
      <c r="D5062" s="129" t="s">
        <v>19087</v>
      </c>
    </row>
    <row r="5063" spans="1:4">
      <c r="A5063" s="105">
        <v>103050</v>
      </c>
      <c r="B5063" s="104" t="s">
        <v>5116</v>
      </c>
      <c r="C5063" s="104" t="s">
        <v>183</v>
      </c>
      <c r="D5063" s="129" t="s">
        <v>19088</v>
      </c>
    </row>
    <row r="5064" spans="1:4">
      <c r="A5064" s="105">
        <v>103051</v>
      </c>
      <c r="B5064" s="104" t="s">
        <v>5117</v>
      </c>
      <c r="C5064" s="104" t="s">
        <v>183</v>
      </c>
      <c r="D5064" s="129" t="s">
        <v>19089</v>
      </c>
    </row>
    <row r="5065" spans="1:4">
      <c r="A5065" s="105">
        <v>103052</v>
      </c>
      <c r="B5065" s="104" t="s">
        <v>5118</v>
      </c>
      <c r="C5065" s="104" t="s">
        <v>183</v>
      </c>
      <c r="D5065" s="129" t="s">
        <v>19090</v>
      </c>
    </row>
    <row r="5066" spans="1:4">
      <c r="A5066" s="105">
        <v>95634</v>
      </c>
      <c r="B5066" s="104" t="s">
        <v>5119</v>
      </c>
      <c r="C5066" s="104" t="s">
        <v>183</v>
      </c>
      <c r="D5066" s="129" t="s">
        <v>19091</v>
      </c>
    </row>
    <row r="5067" spans="1:4">
      <c r="A5067" s="105">
        <v>95635</v>
      </c>
      <c r="B5067" s="104" t="s">
        <v>5120</v>
      </c>
      <c r="C5067" s="104" t="s">
        <v>183</v>
      </c>
      <c r="D5067" s="129" t="s">
        <v>19092</v>
      </c>
    </row>
    <row r="5068" spans="1:4">
      <c r="A5068" s="105">
        <v>95636</v>
      </c>
      <c r="B5068" s="104" t="s">
        <v>5121</v>
      </c>
      <c r="C5068" s="104" t="s">
        <v>183</v>
      </c>
      <c r="D5068" s="129" t="s">
        <v>19093</v>
      </c>
    </row>
    <row r="5069" spans="1:4">
      <c r="A5069" s="105">
        <v>95637</v>
      </c>
      <c r="B5069" s="104" t="s">
        <v>5122</v>
      </c>
      <c r="C5069" s="104" t="s">
        <v>183</v>
      </c>
      <c r="D5069" s="129" t="s">
        <v>19094</v>
      </c>
    </row>
    <row r="5070" spans="1:4">
      <c r="A5070" s="105">
        <v>95638</v>
      </c>
      <c r="B5070" s="104" t="s">
        <v>5123</v>
      </c>
      <c r="C5070" s="104" t="s">
        <v>183</v>
      </c>
      <c r="D5070" s="129" t="s">
        <v>19095</v>
      </c>
    </row>
    <row r="5071" spans="1:4">
      <c r="A5071" s="105">
        <v>95639</v>
      </c>
      <c r="B5071" s="104" t="s">
        <v>5124</v>
      </c>
      <c r="C5071" s="104" t="s">
        <v>183</v>
      </c>
      <c r="D5071" s="129" t="s">
        <v>19096</v>
      </c>
    </row>
    <row r="5072" spans="1:4">
      <c r="A5072" s="105">
        <v>95641</v>
      </c>
      <c r="B5072" s="104" t="s">
        <v>5125</v>
      </c>
      <c r="C5072" s="104" t="s">
        <v>183</v>
      </c>
      <c r="D5072" s="129" t="s">
        <v>19097</v>
      </c>
    </row>
    <row r="5073" spans="1:4">
      <c r="A5073" s="105">
        <v>95642</v>
      </c>
      <c r="B5073" s="104" t="s">
        <v>5126</v>
      </c>
      <c r="C5073" s="104" t="s">
        <v>183</v>
      </c>
      <c r="D5073" s="129" t="s">
        <v>19098</v>
      </c>
    </row>
    <row r="5074" spans="1:4">
      <c r="A5074" s="105">
        <v>95643</v>
      </c>
      <c r="B5074" s="104" t="s">
        <v>5127</v>
      </c>
      <c r="C5074" s="104" t="s">
        <v>183</v>
      </c>
      <c r="D5074" s="129" t="s">
        <v>19099</v>
      </c>
    </row>
    <row r="5075" spans="1:4">
      <c r="A5075" s="105">
        <v>95644</v>
      </c>
      <c r="B5075" s="104" t="s">
        <v>5128</v>
      </c>
      <c r="C5075" s="104" t="s">
        <v>183</v>
      </c>
      <c r="D5075" s="129" t="s">
        <v>19100</v>
      </c>
    </row>
    <row r="5076" spans="1:4">
      <c r="A5076" s="105">
        <v>95645</v>
      </c>
      <c r="B5076" s="104" t="s">
        <v>5129</v>
      </c>
      <c r="C5076" s="104" t="s">
        <v>183</v>
      </c>
      <c r="D5076" s="129" t="s">
        <v>19101</v>
      </c>
    </row>
    <row r="5077" spans="1:4">
      <c r="A5077" s="105">
        <v>95646</v>
      </c>
      <c r="B5077" s="104" t="s">
        <v>5130</v>
      </c>
      <c r="C5077" s="104" t="s">
        <v>183</v>
      </c>
      <c r="D5077" s="129" t="s">
        <v>19102</v>
      </c>
    </row>
    <row r="5078" spans="1:4">
      <c r="A5078" s="105">
        <v>95647</v>
      </c>
      <c r="B5078" s="104" t="s">
        <v>5131</v>
      </c>
      <c r="C5078" s="104" t="s">
        <v>183</v>
      </c>
      <c r="D5078" s="129" t="s">
        <v>19103</v>
      </c>
    </row>
    <row r="5079" spans="1:4">
      <c r="A5079" s="105">
        <v>95673</v>
      </c>
      <c r="B5079" s="104" t="s">
        <v>5132</v>
      </c>
      <c r="C5079" s="104" t="s">
        <v>183</v>
      </c>
      <c r="D5079" s="129" t="s">
        <v>19104</v>
      </c>
    </row>
    <row r="5080" spans="1:4">
      <c r="A5080" s="105">
        <v>95674</v>
      </c>
      <c r="B5080" s="104" t="s">
        <v>5133</v>
      </c>
      <c r="C5080" s="104" t="s">
        <v>183</v>
      </c>
      <c r="D5080" s="129" t="s">
        <v>19105</v>
      </c>
    </row>
    <row r="5081" spans="1:4">
      <c r="A5081" s="105">
        <v>95675</v>
      </c>
      <c r="B5081" s="104" t="s">
        <v>5134</v>
      </c>
      <c r="C5081" s="104" t="s">
        <v>183</v>
      </c>
      <c r="D5081" s="129" t="s">
        <v>19106</v>
      </c>
    </row>
    <row r="5082" spans="1:4">
      <c r="A5082" s="105">
        <v>95676</v>
      </c>
      <c r="B5082" s="104" t="s">
        <v>5135</v>
      </c>
      <c r="C5082" s="104" t="s">
        <v>183</v>
      </c>
      <c r="D5082" s="129" t="s">
        <v>19107</v>
      </c>
    </row>
    <row r="5083" spans="1:4">
      <c r="A5083" s="105">
        <v>97741</v>
      </c>
      <c r="B5083" s="104" t="s">
        <v>5136</v>
      </c>
      <c r="C5083" s="104" t="s">
        <v>183</v>
      </c>
      <c r="D5083" s="129" t="s">
        <v>17481</v>
      </c>
    </row>
    <row r="5084" spans="1:4">
      <c r="A5084" s="105">
        <v>90436</v>
      </c>
      <c r="B5084" s="104" t="s">
        <v>5137</v>
      </c>
      <c r="C5084" s="104" t="s">
        <v>183</v>
      </c>
      <c r="D5084" s="129" t="s">
        <v>19108</v>
      </c>
    </row>
    <row r="5085" spans="1:4">
      <c r="A5085" s="105">
        <v>90437</v>
      </c>
      <c r="B5085" s="104" t="s">
        <v>5138</v>
      </c>
      <c r="C5085" s="104" t="s">
        <v>183</v>
      </c>
      <c r="D5085" s="129" t="s">
        <v>17734</v>
      </c>
    </row>
    <row r="5086" spans="1:4">
      <c r="A5086" s="105">
        <v>90438</v>
      </c>
      <c r="B5086" s="104" t="s">
        <v>5139</v>
      </c>
      <c r="C5086" s="104" t="s">
        <v>183</v>
      </c>
      <c r="D5086" s="129" t="s">
        <v>19109</v>
      </c>
    </row>
    <row r="5087" spans="1:4">
      <c r="A5087" s="105">
        <v>90439</v>
      </c>
      <c r="B5087" s="104" t="s">
        <v>5140</v>
      </c>
      <c r="C5087" s="104" t="s">
        <v>183</v>
      </c>
      <c r="D5087" s="129" t="s">
        <v>15752</v>
      </c>
    </row>
    <row r="5088" spans="1:4">
      <c r="A5088" s="105">
        <v>90440</v>
      </c>
      <c r="B5088" s="104" t="s">
        <v>5141</v>
      </c>
      <c r="C5088" s="104" t="s">
        <v>183</v>
      </c>
      <c r="D5088" s="129" t="s">
        <v>19110</v>
      </c>
    </row>
    <row r="5089" spans="1:4">
      <c r="A5089" s="105">
        <v>90441</v>
      </c>
      <c r="B5089" s="104" t="s">
        <v>5142</v>
      </c>
      <c r="C5089" s="104" t="s">
        <v>183</v>
      </c>
      <c r="D5089" s="129" t="s">
        <v>19111</v>
      </c>
    </row>
    <row r="5090" spans="1:4">
      <c r="A5090" s="105">
        <v>90443</v>
      </c>
      <c r="B5090" s="104" t="s">
        <v>5143</v>
      </c>
      <c r="C5090" s="104" t="s">
        <v>40</v>
      </c>
      <c r="D5090" s="129" t="s">
        <v>19112</v>
      </c>
    </row>
    <row r="5091" spans="1:4">
      <c r="A5091" s="105">
        <v>90444</v>
      </c>
      <c r="B5091" s="104" t="s">
        <v>5144</v>
      </c>
      <c r="C5091" s="104" t="s">
        <v>40</v>
      </c>
      <c r="D5091" s="129" t="s">
        <v>19113</v>
      </c>
    </row>
    <row r="5092" spans="1:4">
      <c r="A5092" s="105">
        <v>90445</v>
      </c>
      <c r="B5092" s="104" t="s">
        <v>5145</v>
      </c>
      <c r="C5092" s="104" t="s">
        <v>40</v>
      </c>
      <c r="D5092" s="129" t="s">
        <v>18657</v>
      </c>
    </row>
    <row r="5093" spans="1:4">
      <c r="A5093" s="105">
        <v>90446</v>
      </c>
      <c r="B5093" s="104" t="s">
        <v>5146</v>
      </c>
      <c r="C5093" s="104" t="s">
        <v>40</v>
      </c>
      <c r="D5093" s="129" t="s">
        <v>19114</v>
      </c>
    </row>
    <row r="5094" spans="1:4">
      <c r="A5094" s="105">
        <v>90447</v>
      </c>
      <c r="B5094" s="104" t="s">
        <v>5147</v>
      </c>
      <c r="C5094" s="104" t="s">
        <v>40</v>
      </c>
      <c r="D5094" s="129" t="s">
        <v>19115</v>
      </c>
    </row>
    <row r="5095" spans="1:4">
      <c r="A5095" s="105">
        <v>90451</v>
      </c>
      <c r="B5095" s="104" t="s">
        <v>5148</v>
      </c>
      <c r="C5095" s="104" t="s">
        <v>183</v>
      </c>
      <c r="D5095" s="129" t="s">
        <v>19116</v>
      </c>
    </row>
    <row r="5096" spans="1:4">
      <c r="A5096" s="105">
        <v>90452</v>
      </c>
      <c r="B5096" s="104" t="s">
        <v>5149</v>
      </c>
      <c r="C5096" s="104" t="s">
        <v>183</v>
      </c>
      <c r="D5096" s="129" t="s">
        <v>17268</v>
      </c>
    </row>
    <row r="5097" spans="1:4">
      <c r="A5097" s="105">
        <v>90453</v>
      </c>
      <c r="B5097" s="104" t="s">
        <v>5150</v>
      </c>
      <c r="C5097" s="104" t="s">
        <v>183</v>
      </c>
      <c r="D5097" s="129" t="s">
        <v>19117</v>
      </c>
    </row>
    <row r="5098" spans="1:4">
      <c r="A5098" s="105">
        <v>90454</v>
      </c>
      <c r="B5098" s="104" t="s">
        <v>5151</v>
      </c>
      <c r="C5098" s="104" t="s">
        <v>183</v>
      </c>
      <c r="D5098" s="129" t="s">
        <v>18844</v>
      </c>
    </row>
    <row r="5099" spans="1:4">
      <c r="A5099" s="105">
        <v>90455</v>
      </c>
      <c r="B5099" s="104" t="s">
        <v>5152</v>
      </c>
      <c r="C5099" s="104" t="s">
        <v>183</v>
      </c>
      <c r="D5099" s="129" t="s">
        <v>18847</v>
      </c>
    </row>
    <row r="5100" spans="1:4">
      <c r="A5100" s="105">
        <v>90456</v>
      </c>
      <c r="B5100" s="104" t="s">
        <v>5153</v>
      </c>
      <c r="C5100" s="104" t="s">
        <v>183</v>
      </c>
      <c r="D5100" s="129" t="s">
        <v>19118</v>
      </c>
    </row>
    <row r="5101" spans="1:4">
      <c r="A5101" s="105">
        <v>90457</v>
      </c>
      <c r="B5101" s="104" t="s">
        <v>5154</v>
      </c>
      <c r="C5101" s="104" t="s">
        <v>183</v>
      </c>
      <c r="D5101" s="129" t="s">
        <v>19119</v>
      </c>
    </row>
    <row r="5102" spans="1:4">
      <c r="A5102" s="105">
        <v>90458</v>
      </c>
      <c r="B5102" s="104" t="s">
        <v>5155</v>
      </c>
      <c r="C5102" s="104" t="s">
        <v>183</v>
      </c>
      <c r="D5102" s="129" t="s">
        <v>19120</v>
      </c>
    </row>
    <row r="5103" spans="1:4">
      <c r="A5103" s="105">
        <v>90459</v>
      </c>
      <c r="B5103" s="104" t="s">
        <v>5156</v>
      </c>
      <c r="C5103" s="104" t="s">
        <v>183</v>
      </c>
      <c r="D5103" s="129" t="s">
        <v>16548</v>
      </c>
    </row>
    <row r="5104" spans="1:4">
      <c r="A5104" s="105">
        <v>90460</v>
      </c>
      <c r="B5104" s="104" t="s">
        <v>5157</v>
      </c>
      <c r="C5104" s="104" t="s">
        <v>40</v>
      </c>
      <c r="D5104" s="129" t="s">
        <v>16910</v>
      </c>
    </row>
    <row r="5105" spans="1:4">
      <c r="A5105" s="105">
        <v>90461</v>
      </c>
      <c r="B5105" s="104" t="s">
        <v>5158</v>
      </c>
      <c r="C5105" s="104" t="s">
        <v>40</v>
      </c>
      <c r="D5105" s="129" t="s">
        <v>19121</v>
      </c>
    </row>
    <row r="5106" spans="1:4">
      <c r="A5106" s="105">
        <v>90462</v>
      </c>
      <c r="B5106" s="104" t="s">
        <v>5159</v>
      </c>
      <c r="C5106" s="104" t="s">
        <v>40</v>
      </c>
      <c r="D5106" s="129" t="s">
        <v>15766</v>
      </c>
    </row>
    <row r="5107" spans="1:4">
      <c r="A5107" s="105">
        <v>90463</v>
      </c>
      <c r="B5107" s="104" t="s">
        <v>5160</v>
      </c>
      <c r="C5107" s="104" t="s">
        <v>40</v>
      </c>
      <c r="D5107" s="129" t="s">
        <v>19122</v>
      </c>
    </row>
    <row r="5108" spans="1:4">
      <c r="A5108" s="105">
        <v>90466</v>
      </c>
      <c r="B5108" s="104" t="s">
        <v>5161</v>
      </c>
      <c r="C5108" s="104" t="s">
        <v>40</v>
      </c>
      <c r="D5108" s="129" t="s">
        <v>19123</v>
      </c>
    </row>
    <row r="5109" spans="1:4">
      <c r="A5109" s="105">
        <v>90467</v>
      </c>
      <c r="B5109" s="104" t="s">
        <v>5162</v>
      </c>
      <c r="C5109" s="104" t="s">
        <v>40</v>
      </c>
      <c r="D5109" s="129" t="s">
        <v>15105</v>
      </c>
    </row>
    <row r="5110" spans="1:4">
      <c r="A5110" s="105">
        <v>90468</v>
      </c>
      <c r="B5110" s="104" t="s">
        <v>5163</v>
      </c>
      <c r="C5110" s="104" t="s">
        <v>40</v>
      </c>
      <c r="D5110" s="129" t="s">
        <v>15730</v>
      </c>
    </row>
    <row r="5111" spans="1:4">
      <c r="A5111" s="105">
        <v>90469</v>
      </c>
      <c r="B5111" s="104" t="s">
        <v>5164</v>
      </c>
      <c r="C5111" s="104" t="s">
        <v>40</v>
      </c>
      <c r="D5111" s="129" t="s">
        <v>15166</v>
      </c>
    </row>
    <row r="5112" spans="1:4">
      <c r="A5112" s="105">
        <v>90470</v>
      </c>
      <c r="B5112" s="104" t="s">
        <v>5165</v>
      </c>
      <c r="C5112" s="104" t="s">
        <v>40</v>
      </c>
      <c r="D5112" s="129" t="s">
        <v>17293</v>
      </c>
    </row>
    <row r="5113" spans="1:4">
      <c r="A5113" s="105">
        <v>91166</v>
      </c>
      <c r="B5113" s="104" t="s">
        <v>5166</v>
      </c>
      <c r="C5113" s="104" t="s">
        <v>40</v>
      </c>
      <c r="D5113" s="129" t="s">
        <v>19124</v>
      </c>
    </row>
    <row r="5114" spans="1:4">
      <c r="A5114" s="105">
        <v>91167</v>
      </c>
      <c r="B5114" s="104" t="s">
        <v>5167</v>
      </c>
      <c r="C5114" s="104" t="s">
        <v>40</v>
      </c>
      <c r="D5114" s="129" t="s">
        <v>18409</v>
      </c>
    </row>
    <row r="5115" spans="1:4">
      <c r="A5115" s="105">
        <v>91168</v>
      </c>
      <c r="B5115" s="104" t="s">
        <v>5168</v>
      </c>
      <c r="C5115" s="104" t="s">
        <v>40</v>
      </c>
      <c r="D5115" s="129" t="s">
        <v>19125</v>
      </c>
    </row>
    <row r="5116" spans="1:4">
      <c r="A5116" s="105">
        <v>91169</v>
      </c>
      <c r="B5116" s="104" t="s">
        <v>5169</v>
      </c>
      <c r="C5116" s="104" t="s">
        <v>40</v>
      </c>
      <c r="D5116" s="129" t="s">
        <v>17235</v>
      </c>
    </row>
    <row r="5117" spans="1:4">
      <c r="A5117" s="105">
        <v>91170</v>
      </c>
      <c r="B5117" s="104" t="s">
        <v>5170</v>
      </c>
      <c r="C5117" s="104" t="s">
        <v>40</v>
      </c>
      <c r="D5117" s="129" t="s">
        <v>15652</v>
      </c>
    </row>
    <row r="5118" spans="1:4">
      <c r="A5118" s="105">
        <v>91171</v>
      </c>
      <c r="B5118" s="104" t="s">
        <v>5171</v>
      </c>
      <c r="C5118" s="104" t="s">
        <v>40</v>
      </c>
      <c r="D5118" s="129" t="s">
        <v>15658</v>
      </c>
    </row>
    <row r="5119" spans="1:4">
      <c r="A5119" s="105">
        <v>91172</v>
      </c>
      <c r="B5119" s="104" t="s">
        <v>5172</v>
      </c>
      <c r="C5119" s="104" t="s">
        <v>40</v>
      </c>
      <c r="D5119" s="129" t="s">
        <v>17260</v>
      </c>
    </row>
    <row r="5120" spans="1:4">
      <c r="A5120" s="105">
        <v>91173</v>
      </c>
      <c r="B5120" s="104" t="s">
        <v>5173</v>
      </c>
      <c r="C5120" s="104" t="s">
        <v>40</v>
      </c>
      <c r="D5120" s="129" t="s">
        <v>19126</v>
      </c>
    </row>
    <row r="5121" spans="1:4">
      <c r="A5121" s="105">
        <v>91174</v>
      </c>
      <c r="B5121" s="104" t="s">
        <v>5174</v>
      </c>
      <c r="C5121" s="104" t="s">
        <v>40</v>
      </c>
      <c r="D5121" s="129" t="s">
        <v>15652</v>
      </c>
    </row>
    <row r="5122" spans="1:4">
      <c r="A5122" s="105">
        <v>91175</v>
      </c>
      <c r="B5122" s="104" t="s">
        <v>5175</v>
      </c>
      <c r="C5122" s="104" t="s">
        <v>40</v>
      </c>
      <c r="D5122" s="129" t="s">
        <v>15796</v>
      </c>
    </row>
    <row r="5123" spans="1:4">
      <c r="A5123" s="105">
        <v>91176</v>
      </c>
      <c r="B5123" s="104" t="s">
        <v>5176</v>
      </c>
      <c r="C5123" s="104" t="s">
        <v>40</v>
      </c>
      <c r="D5123" s="129" t="s">
        <v>18300</v>
      </c>
    </row>
    <row r="5124" spans="1:4">
      <c r="A5124" s="105">
        <v>91177</v>
      </c>
      <c r="B5124" s="104" t="s">
        <v>5177</v>
      </c>
      <c r="C5124" s="104" t="s">
        <v>40</v>
      </c>
      <c r="D5124" s="129" t="s">
        <v>19127</v>
      </c>
    </row>
    <row r="5125" spans="1:4">
      <c r="A5125" s="105">
        <v>91178</v>
      </c>
      <c r="B5125" s="104" t="s">
        <v>5178</v>
      </c>
      <c r="C5125" s="104" t="s">
        <v>40</v>
      </c>
      <c r="D5125" s="129" t="s">
        <v>18149</v>
      </c>
    </row>
    <row r="5126" spans="1:4">
      <c r="A5126" s="105">
        <v>91179</v>
      </c>
      <c r="B5126" s="104" t="s">
        <v>5179</v>
      </c>
      <c r="C5126" s="104" t="s">
        <v>40</v>
      </c>
      <c r="D5126" s="129" t="s">
        <v>15768</v>
      </c>
    </row>
    <row r="5127" spans="1:4">
      <c r="A5127" s="105">
        <v>91180</v>
      </c>
      <c r="B5127" s="104" t="s">
        <v>5180</v>
      </c>
      <c r="C5127" s="104" t="s">
        <v>40</v>
      </c>
      <c r="D5127" s="129" t="s">
        <v>19128</v>
      </c>
    </row>
    <row r="5128" spans="1:4">
      <c r="A5128" s="105">
        <v>91181</v>
      </c>
      <c r="B5128" s="104" t="s">
        <v>5181</v>
      </c>
      <c r="C5128" s="104" t="s">
        <v>40</v>
      </c>
      <c r="D5128" s="129" t="s">
        <v>19129</v>
      </c>
    </row>
    <row r="5129" spans="1:4">
      <c r="A5129" s="105">
        <v>91182</v>
      </c>
      <c r="B5129" s="104" t="s">
        <v>5182</v>
      </c>
      <c r="C5129" s="104" t="s">
        <v>40</v>
      </c>
      <c r="D5129" s="129" t="s">
        <v>19130</v>
      </c>
    </row>
    <row r="5130" spans="1:4">
      <c r="A5130" s="105">
        <v>91183</v>
      </c>
      <c r="B5130" s="104" t="s">
        <v>5183</v>
      </c>
      <c r="C5130" s="104" t="s">
        <v>40</v>
      </c>
      <c r="D5130" s="129" t="s">
        <v>19131</v>
      </c>
    </row>
    <row r="5131" spans="1:4">
      <c r="A5131" s="105">
        <v>91184</v>
      </c>
      <c r="B5131" s="104" t="s">
        <v>5184</v>
      </c>
      <c r="C5131" s="104" t="s">
        <v>40</v>
      </c>
      <c r="D5131" s="129" t="s">
        <v>16970</v>
      </c>
    </row>
    <row r="5132" spans="1:4">
      <c r="A5132" s="105">
        <v>91185</v>
      </c>
      <c r="B5132" s="104" t="s">
        <v>5185</v>
      </c>
      <c r="C5132" s="104" t="s">
        <v>40</v>
      </c>
      <c r="D5132" s="129" t="s">
        <v>19132</v>
      </c>
    </row>
    <row r="5133" spans="1:4">
      <c r="A5133" s="105">
        <v>91186</v>
      </c>
      <c r="B5133" s="104" t="s">
        <v>5186</v>
      </c>
      <c r="C5133" s="104" t="s">
        <v>40</v>
      </c>
      <c r="D5133" s="129" t="s">
        <v>15762</v>
      </c>
    </row>
    <row r="5134" spans="1:4">
      <c r="A5134" s="105">
        <v>91187</v>
      </c>
      <c r="B5134" s="104" t="s">
        <v>5187</v>
      </c>
      <c r="C5134" s="104" t="s">
        <v>40</v>
      </c>
      <c r="D5134" s="129" t="s">
        <v>19133</v>
      </c>
    </row>
    <row r="5135" spans="1:4">
      <c r="A5135" s="105">
        <v>91188</v>
      </c>
      <c r="B5135" s="104" t="s">
        <v>5188</v>
      </c>
      <c r="C5135" s="104" t="s">
        <v>183</v>
      </c>
      <c r="D5135" s="129" t="s">
        <v>17224</v>
      </c>
    </row>
    <row r="5136" spans="1:4">
      <c r="A5136" s="105">
        <v>91189</v>
      </c>
      <c r="B5136" s="104" t="s">
        <v>5189</v>
      </c>
      <c r="C5136" s="104" t="s">
        <v>183</v>
      </c>
      <c r="D5136" s="129" t="s">
        <v>19134</v>
      </c>
    </row>
    <row r="5137" spans="1:4">
      <c r="A5137" s="105">
        <v>91190</v>
      </c>
      <c r="B5137" s="104" t="s">
        <v>5190</v>
      </c>
      <c r="C5137" s="104" t="s">
        <v>183</v>
      </c>
      <c r="D5137" s="129" t="s">
        <v>15525</v>
      </c>
    </row>
    <row r="5138" spans="1:4">
      <c r="A5138" s="105">
        <v>91191</v>
      </c>
      <c r="B5138" s="104" t="s">
        <v>5191</v>
      </c>
      <c r="C5138" s="104" t="s">
        <v>183</v>
      </c>
      <c r="D5138" s="129" t="s">
        <v>19135</v>
      </c>
    </row>
    <row r="5139" spans="1:4">
      <c r="A5139" s="105">
        <v>91192</v>
      </c>
      <c r="B5139" s="104" t="s">
        <v>5192</v>
      </c>
      <c r="C5139" s="104" t="s">
        <v>183</v>
      </c>
      <c r="D5139" s="129" t="s">
        <v>15730</v>
      </c>
    </row>
    <row r="5140" spans="1:4">
      <c r="A5140" s="105">
        <v>91222</v>
      </c>
      <c r="B5140" s="104" t="s">
        <v>5193</v>
      </c>
      <c r="C5140" s="104" t="s">
        <v>40</v>
      </c>
      <c r="D5140" s="129" t="s">
        <v>15694</v>
      </c>
    </row>
    <row r="5141" spans="1:4">
      <c r="A5141" s="105">
        <v>94480</v>
      </c>
      <c r="B5141" s="104" t="s">
        <v>5194</v>
      </c>
      <c r="C5141" s="104" t="s">
        <v>183</v>
      </c>
      <c r="D5141" s="129" t="s">
        <v>19136</v>
      </c>
    </row>
    <row r="5142" spans="1:4">
      <c r="A5142" s="105">
        <v>94481</v>
      </c>
      <c r="B5142" s="104" t="s">
        <v>5195</v>
      </c>
      <c r="C5142" s="104" t="s">
        <v>183</v>
      </c>
      <c r="D5142" s="129" t="s">
        <v>19137</v>
      </c>
    </row>
    <row r="5143" spans="1:4">
      <c r="A5143" s="105">
        <v>94482</v>
      </c>
      <c r="B5143" s="104" t="s">
        <v>5196</v>
      </c>
      <c r="C5143" s="104" t="s">
        <v>183</v>
      </c>
      <c r="D5143" s="129" t="s">
        <v>19138</v>
      </c>
    </row>
    <row r="5144" spans="1:4">
      <c r="A5144" s="105">
        <v>94483</v>
      </c>
      <c r="B5144" s="104" t="s">
        <v>5197</v>
      </c>
      <c r="C5144" s="104" t="s">
        <v>183</v>
      </c>
      <c r="D5144" s="129" t="s">
        <v>19139</v>
      </c>
    </row>
    <row r="5145" spans="1:4">
      <c r="A5145" s="105">
        <v>95541</v>
      </c>
      <c r="B5145" s="104" t="s">
        <v>5198</v>
      </c>
      <c r="C5145" s="104" t="s">
        <v>183</v>
      </c>
      <c r="D5145" s="129" t="s">
        <v>18059</v>
      </c>
    </row>
    <row r="5146" spans="1:4">
      <c r="A5146" s="105">
        <v>96559</v>
      </c>
      <c r="B5146" s="104" t="s">
        <v>5199</v>
      </c>
      <c r="C5146" s="104" t="s">
        <v>12</v>
      </c>
      <c r="D5146" s="129" t="s">
        <v>19140</v>
      </c>
    </row>
    <row r="5147" spans="1:4">
      <c r="A5147" s="105">
        <v>96560</v>
      </c>
      <c r="B5147" s="104" t="s">
        <v>5200</v>
      </c>
      <c r="C5147" s="104" t="s">
        <v>12</v>
      </c>
      <c r="D5147" s="129" t="s">
        <v>19141</v>
      </c>
    </row>
    <row r="5148" spans="1:4">
      <c r="A5148" s="105">
        <v>96561</v>
      </c>
      <c r="B5148" s="104" t="s">
        <v>5201</v>
      </c>
      <c r="C5148" s="104" t="s">
        <v>12</v>
      </c>
      <c r="D5148" s="129" t="s">
        <v>16634</v>
      </c>
    </row>
    <row r="5149" spans="1:4">
      <c r="A5149" s="105">
        <v>96562</v>
      </c>
      <c r="B5149" s="104" t="s">
        <v>5202</v>
      </c>
      <c r="C5149" s="104" t="s">
        <v>40</v>
      </c>
      <c r="D5149" s="129" t="s">
        <v>19142</v>
      </c>
    </row>
    <row r="5150" spans="1:4">
      <c r="A5150" s="105">
        <v>96563</v>
      </c>
      <c r="B5150" s="104" t="s">
        <v>5203</v>
      </c>
      <c r="C5150" s="104" t="s">
        <v>40</v>
      </c>
      <c r="D5150" s="129" t="s">
        <v>19143</v>
      </c>
    </row>
    <row r="5151" spans="1:4">
      <c r="A5151" s="105">
        <v>101802</v>
      </c>
      <c r="B5151" s="104" t="s">
        <v>5204</v>
      </c>
      <c r="C5151" s="104" t="s">
        <v>183</v>
      </c>
      <c r="D5151" s="129" t="s">
        <v>19144</v>
      </c>
    </row>
    <row r="5152" spans="1:4">
      <c r="A5152" s="105">
        <v>101803</v>
      </c>
      <c r="B5152" s="104" t="s">
        <v>5205</v>
      </c>
      <c r="C5152" s="104" t="s">
        <v>183</v>
      </c>
      <c r="D5152" s="129" t="s">
        <v>19145</v>
      </c>
    </row>
    <row r="5153" spans="1:4">
      <c r="A5153" s="105">
        <v>101804</v>
      </c>
      <c r="B5153" s="104" t="s">
        <v>5206</v>
      </c>
      <c r="C5153" s="104" t="s">
        <v>183</v>
      </c>
      <c r="D5153" s="129" t="s">
        <v>19146</v>
      </c>
    </row>
    <row r="5154" spans="1:4">
      <c r="A5154" s="105">
        <v>101805</v>
      </c>
      <c r="B5154" s="104" t="s">
        <v>5207</v>
      </c>
      <c r="C5154" s="104" t="s">
        <v>183</v>
      </c>
      <c r="D5154" s="129" t="s">
        <v>19147</v>
      </c>
    </row>
    <row r="5155" spans="1:4">
      <c r="A5155" s="105">
        <v>102111</v>
      </c>
      <c r="B5155" s="104" t="s">
        <v>5208</v>
      </c>
      <c r="C5155" s="104" t="s">
        <v>183</v>
      </c>
      <c r="D5155" s="129" t="s">
        <v>19148</v>
      </c>
    </row>
    <row r="5156" spans="1:4">
      <c r="A5156" s="105">
        <v>102112</v>
      </c>
      <c r="B5156" s="104" t="s">
        <v>5209</v>
      </c>
      <c r="C5156" s="104" t="s">
        <v>183</v>
      </c>
      <c r="D5156" s="129" t="s">
        <v>19149</v>
      </c>
    </row>
    <row r="5157" spans="1:4">
      <c r="A5157" s="105">
        <v>102113</v>
      </c>
      <c r="B5157" s="104" t="s">
        <v>5210</v>
      </c>
      <c r="C5157" s="104" t="s">
        <v>183</v>
      </c>
      <c r="D5157" s="129" t="s">
        <v>19150</v>
      </c>
    </row>
    <row r="5158" spans="1:4">
      <c r="A5158" s="105">
        <v>102114</v>
      </c>
      <c r="B5158" s="104" t="s">
        <v>5211</v>
      </c>
      <c r="C5158" s="104" t="s">
        <v>183</v>
      </c>
      <c r="D5158" s="129" t="s">
        <v>19151</v>
      </c>
    </row>
    <row r="5159" spans="1:4">
      <c r="A5159" s="105">
        <v>102115</v>
      </c>
      <c r="B5159" s="104" t="s">
        <v>5212</v>
      </c>
      <c r="C5159" s="104" t="s">
        <v>183</v>
      </c>
      <c r="D5159" s="129" t="s">
        <v>19152</v>
      </c>
    </row>
    <row r="5160" spans="1:4">
      <c r="A5160" s="105">
        <v>102116</v>
      </c>
      <c r="B5160" s="104" t="s">
        <v>5213</v>
      </c>
      <c r="C5160" s="104" t="s">
        <v>183</v>
      </c>
      <c r="D5160" s="129" t="s">
        <v>19153</v>
      </c>
    </row>
    <row r="5161" spans="1:4">
      <c r="A5161" s="105">
        <v>102117</v>
      </c>
      <c r="B5161" s="104" t="s">
        <v>5214</v>
      </c>
      <c r="C5161" s="104" t="s">
        <v>183</v>
      </c>
      <c r="D5161" s="129" t="s">
        <v>19154</v>
      </c>
    </row>
    <row r="5162" spans="1:4">
      <c r="A5162" s="105">
        <v>102118</v>
      </c>
      <c r="B5162" s="104" t="s">
        <v>5215</v>
      </c>
      <c r="C5162" s="104" t="s">
        <v>183</v>
      </c>
      <c r="D5162" s="129" t="s">
        <v>19155</v>
      </c>
    </row>
    <row r="5163" spans="1:4">
      <c r="A5163" s="105">
        <v>102119</v>
      </c>
      <c r="B5163" s="104" t="s">
        <v>5216</v>
      </c>
      <c r="C5163" s="104" t="s">
        <v>183</v>
      </c>
      <c r="D5163" s="129" t="s">
        <v>19156</v>
      </c>
    </row>
    <row r="5164" spans="1:4">
      <c r="A5164" s="105">
        <v>102121</v>
      </c>
      <c r="B5164" s="104" t="s">
        <v>5217</v>
      </c>
      <c r="C5164" s="104" t="s">
        <v>183</v>
      </c>
      <c r="D5164" s="129" t="s">
        <v>15138</v>
      </c>
    </row>
    <row r="5165" spans="1:4">
      <c r="A5165" s="105">
        <v>102122</v>
      </c>
      <c r="B5165" s="104" t="s">
        <v>5218</v>
      </c>
      <c r="C5165" s="104" t="s">
        <v>183</v>
      </c>
      <c r="D5165" s="129" t="s">
        <v>19157</v>
      </c>
    </row>
    <row r="5166" spans="1:4">
      <c r="A5166" s="105">
        <v>102123</v>
      </c>
      <c r="B5166" s="104" t="s">
        <v>5219</v>
      </c>
      <c r="C5166" s="104" t="s">
        <v>183</v>
      </c>
      <c r="D5166" s="129" t="s">
        <v>15411</v>
      </c>
    </row>
    <row r="5167" spans="1:4">
      <c r="A5167" s="105">
        <v>102136</v>
      </c>
      <c r="B5167" s="104" t="s">
        <v>5220</v>
      </c>
      <c r="C5167" s="104" t="s">
        <v>183</v>
      </c>
      <c r="D5167" s="129" t="s">
        <v>18378</v>
      </c>
    </row>
    <row r="5168" spans="1:4">
      <c r="A5168" s="105">
        <v>102137</v>
      </c>
      <c r="B5168" s="104" t="s">
        <v>5221</v>
      </c>
      <c r="C5168" s="104" t="s">
        <v>183</v>
      </c>
      <c r="D5168" s="129" t="s">
        <v>19158</v>
      </c>
    </row>
    <row r="5169" spans="1:4">
      <c r="A5169" s="105">
        <v>102138</v>
      </c>
      <c r="B5169" s="104" t="s">
        <v>5222</v>
      </c>
      <c r="C5169" s="104" t="s">
        <v>183</v>
      </c>
      <c r="D5169" s="129" t="s">
        <v>15378</v>
      </c>
    </row>
    <row r="5170" spans="1:4">
      <c r="A5170" s="105">
        <v>103517</v>
      </c>
      <c r="B5170" s="104" t="s">
        <v>13771</v>
      </c>
      <c r="C5170" s="104" t="s">
        <v>183</v>
      </c>
      <c r="D5170" s="129" t="s">
        <v>19159</v>
      </c>
    </row>
    <row r="5171" spans="1:4">
      <c r="A5171" s="105">
        <v>103519</v>
      </c>
      <c r="B5171" s="104" t="s">
        <v>13772</v>
      </c>
      <c r="C5171" s="104" t="s">
        <v>183</v>
      </c>
      <c r="D5171" s="129" t="s">
        <v>19160</v>
      </c>
    </row>
    <row r="5172" spans="1:4">
      <c r="A5172" s="105">
        <v>103520</v>
      </c>
      <c r="B5172" s="104" t="s">
        <v>13773</v>
      </c>
      <c r="C5172" s="104" t="s">
        <v>183</v>
      </c>
      <c r="D5172" s="129" t="s">
        <v>19161</v>
      </c>
    </row>
    <row r="5173" spans="1:4">
      <c r="A5173" s="105">
        <v>103521</v>
      </c>
      <c r="B5173" s="104" t="s">
        <v>13774</v>
      </c>
      <c r="C5173" s="104" t="s">
        <v>183</v>
      </c>
      <c r="D5173" s="129" t="s">
        <v>19162</v>
      </c>
    </row>
    <row r="5174" spans="1:4">
      <c r="A5174" s="105">
        <v>103522</v>
      </c>
      <c r="B5174" s="104" t="s">
        <v>13775</v>
      </c>
      <c r="C5174" s="104" t="s">
        <v>183</v>
      </c>
      <c r="D5174" s="129" t="s">
        <v>19163</v>
      </c>
    </row>
    <row r="5175" spans="1:4">
      <c r="A5175" s="105">
        <v>103523</v>
      </c>
      <c r="B5175" s="104" t="s">
        <v>13776</v>
      </c>
      <c r="C5175" s="104" t="s">
        <v>183</v>
      </c>
      <c r="D5175" s="129" t="s">
        <v>19164</v>
      </c>
    </row>
    <row r="5176" spans="1:4">
      <c r="A5176" s="105">
        <v>93350</v>
      </c>
      <c r="B5176" s="104" t="s">
        <v>5223</v>
      </c>
      <c r="C5176" s="104" t="s">
        <v>183</v>
      </c>
      <c r="D5176" s="129" t="s">
        <v>19165</v>
      </c>
    </row>
    <row r="5177" spans="1:4">
      <c r="A5177" s="105">
        <v>93351</v>
      </c>
      <c r="B5177" s="104" t="s">
        <v>5224</v>
      </c>
      <c r="C5177" s="104" t="s">
        <v>183</v>
      </c>
      <c r="D5177" s="129" t="s">
        <v>19166</v>
      </c>
    </row>
    <row r="5178" spans="1:4">
      <c r="A5178" s="105">
        <v>93352</v>
      </c>
      <c r="B5178" s="104" t="s">
        <v>5225</v>
      </c>
      <c r="C5178" s="104" t="s">
        <v>183</v>
      </c>
      <c r="D5178" s="129" t="s">
        <v>19167</v>
      </c>
    </row>
    <row r="5179" spans="1:4">
      <c r="A5179" s="105">
        <v>93353</v>
      </c>
      <c r="B5179" s="104" t="s">
        <v>5226</v>
      </c>
      <c r="C5179" s="104" t="s">
        <v>183</v>
      </c>
      <c r="D5179" s="129" t="s">
        <v>19168</v>
      </c>
    </row>
    <row r="5180" spans="1:4">
      <c r="A5180" s="105">
        <v>93354</v>
      </c>
      <c r="B5180" s="104" t="s">
        <v>5227</v>
      </c>
      <c r="C5180" s="104" t="s">
        <v>183</v>
      </c>
      <c r="D5180" s="129" t="s">
        <v>19169</v>
      </c>
    </row>
    <row r="5181" spans="1:4">
      <c r="A5181" s="105">
        <v>93355</v>
      </c>
      <c r="B5181" s="104" t="s">
        <v>5228</v>
      </c>
      <c r="C5181" s="104" t="s">
        <v>183</v>
      </c>
      <c r="D5181" s="129" t="s">
        <v>19170</v>
      </c>
    </row>
    <row r="5182" spans="1:4">
      <c r="A5182" s="105">
        <v>93356</v>
      </c>
      <c r="B5182" s="104" t="s">
        <v>5229</v>
      </c>
      <c r="C5182" s="104" t="s">
        <v>183</v>
      </c>
      <c r="D5182" s="129" t="s">
        <v>19171</v>
      </c>
    </row>
    <row r="5183" spans="1:4">
      <c r="A5183" s="105">
        <v>93357</v>
      </c>
      <c r="B5183" s="104" t="s">
        <v>5230</v>
      </c>
      <c r="C5183" s="104" t="s">
        <v>183</v>
      </c>
      <c r="D5183" s="129" t="s">
        <v>19172</v>
      </c>
    </row>
    <row r="5184" spans="1:4">
      <c r="A5184" s="105">
        <v>96520</v>
      </c>
      <c r="B5184" s="104" t="s">
        <v>5231</v>
      </c>
      <c r="C5184" s="104" t="s">
        <v>28</v>
      </c>
      <c r="D5184" s="129" t="s">
        <v>19173</v>
      </c>
    </row>
    <row r="5185" spans="1:4">
      <c r="A5185" s="105">
        <v>96521</v>
      </c>
      <c r="B5185" s="104" t="s">
        <v>5232</v>
      </c>
      <c r="C5185" s="104" t="s">
        <v>28</v>
      </c>
      <c r="D5185" s="129" t="s">
        <v>19174</v>
      </c>
    </row>
    <row r="5186" spans="1:4">
      <c r="A5186" s="105">
        <v>96522</v>
      </c>
      <c r="B5186" s="104" t="s">
        <v>5233</v>
      </c>
      <c r="C5186" s="104" t="s">
        <v>28</v>
      </c>
      <c r="D5186" s="129" t="s">
        <v>16008</v>
      </c>
    </row>
    <row r="5187" spans="1:4">
      <c r="A5187" s="105">
        <v>96523</v>
      </c>
      <c r="B5187" s="104" t="s">
        <v>5234</v>
      </c>
      <c r="C5187" s="104" t="s">
        <v>28</v>
      </c>
      <c r="D5187" s="129" t="s">
        <v>19175</v>
      </c>
    </row>
    <row r="5188" spans="1:4">
      <c r="A5188" s="105">
        <v>96524</v>
      </c>
      <c r="B5188" s="104" t="s">
        <v>5235</v>
      </c>
      <c r="C5188" s="104" t="s">
        <v>28</v>
      </c>
      <c r="D5188" s="129" t="s">
        <v>19176</v>
      </c>
    </row>
    <row r="5189" spans="1:4">
      <c r="A5189" s="105">
        <v>96525</v>
      </c>
      <c r="B5189" s="104" t="s">
        <v>5236</v>
      </c>
      <c r="C5189" s="104" t="s">
        <v>28</v>
      </c>
      <c r="D5189" s="129" t="s">
        <v>19177</v>
      </c>
    </row>
    <row r="5190" spans="1:4">
      <c r="A5190" s="105">
        <v>96526</v>
      </c>
      <c r="B5190" s="104" t="s">
        <v>5237</v>
      </c>
      <c r="C5190" s="104" t="s">
        <v>28</v>
      </c>
      <c r="D5190" s="129" t="s">
        <v>19178</v>
      </c>
    </row>
    <row r="5191" spans="1:4">
      <c r="A5191" s="105">
        <v>96527</v>
      </c>
      <c r="B5191" s="104" t="s">
        <v>5238</v>
      </c>
      <c r="C5191" s="104" t="s">
        <v>28</v>
      </c>
      <c r="D5191" s="129" t="s">
        <v>19179</v>
      </c>
    </row>
    <row r="5192" spans="1:4">
      <c r="A5192" s="105">
        <v>96528</v>
      </c>
      <c r="B5192" s="104" t="s">
        <v>5239</v>
      </c>
      <c r="C5192" s="104" t="s">
        <v>12</v>
      </c>
      <c r="D5192" s="129" t="s">
        <v>19180</v>
      </c>
    </row>
    <row r="5193" spans="1:4">
      <c r="A5193" s="105">
        <v>101114</v>
      </c>
      <c r="B5193" s="104" t="s">
        <v>5240</v>
      </c>
      <c r="C5193" s="104" t="s">
        <v>28</v>
      </c>
      <c r="D5193" s="129" t="s">
        <v>19181</v>
      </c>
    </row>
    <row r="5194" spans="1:4">
      <c r="A5194" s="105">
        <v>101115</v>
      </c>
      <c r="B5194" s="104" t="s">
        <v>5241</v>
      </c>
      <c r="C5194" s="104" t="s">
        <v>28</v>
      </c>
      <c r="D5194" s="129" t="s">
        <v>15386</v>
      </c>
    </row>
    <row r="5195" spans="1:4">
      <c r="A5195" s="105">
        <v>101116</v>
      </c>
      <c r="B5195" s="104" t="s">
        <v>5242</v>
      </c>
      <c r="C5195" s="104" t="s">
        <v>28</v>
      </c>
      <c r="D5195" s="129" t="s">
        <v>19182</v>
      </c>
    </row>
    <row r="5196" spans="1:4">
      <c r="A5196" s="105">
        <v>101117</v>
      </c>
      <c r="B5196" s="104" t="s">
        <v>5243</v>
      </c>
      <c r="C5196" s="104" t="s">
        <v>28</v>
      </c>
      <c r="D5196" s="129" t="s">
        <v>19183</v>
      </c>
    </row>
    <row r="5197" spans="1:4">
      <c r="A5197" s="105">
        <v>101118</v>
      </c>
      <c r="B5197" s="104" t="s">
        <v>5244</v>
      </c>
      <c r="C5197" s="104" t="s">
        <v>28</v>
      </c>
      <c r="D5197" s="129" t="s">
        <v>14842</v>
      </c>
    </row>
    <row r="5198" spans="1:4">
      <c r="A5198" s="105">
        <v>101119</v>
      </c>
      <c r="B5198" s="104" t="s">
        <v>5245</v>
      </c>
      <c r="C5198" s="104" t="s">
        <v>28</v>
      </c>
      <c r="D5198" s="129" t="s">
        <v>15499</v>
      </c>
    </row>
    <row r="5199" spans="1:4">
      <c r="A5199" s="105">
        <v>101120</v>
      </c>
      <c r="B5199" s="104" t="s">
        <v>5246</v>
      </c>
      <c r="C5199" s="104" t="s">
        <v>28</v>
      </c>
      <c r="D5199" s="129" t="s">
        <v>17183</v>
      </c>
    </row>
    <row r="5200" spans="1:4">
      <c r="A5200" s="105">
        <v>101121</v>
      </c>
      <c r="B5200" s="104" t="s">
        <v>5247</v>
      </c>
      <c r="C5200" s="104" t="s">
        <v>28</v>
      </c>
      <c r="D5200" s="129" t="s">
        <v>15664</v>
      </c>
    </row>
    <row r="5201" spans="1:4">
      <c r="A5201" s="105">
        <v>101122</v>
      </c>
      <c r="B5201" s="104" t="s">
        <v>5248</v>
      </c>
      <c r="C5201" s="104" t="s">
        <v>28</v>
      </c>
      <c r="D5201" s="129" t="s">
        <v>19184</v>
      </c>
    </row>
    <row r="5202" spans="1:4">
      <c r="A5202" s="105">
        <v>101123</v>
      </c>
      <c r="B5202" s="104" t="s">
        <v>5249</v>
      </c>
      <c r="C5202" s="104" t="s">
        <v>28</v>
      </c>
      <c r="D5202" s="129" t="s">
        <v>15580</v>
      </c>
    </row>
    <row r="5203" spans="1:4">
      <c r="A5203" s="105">
        <v>101124</v>
      </c>
      <c r="B5203" s="104" t="s">
        <v>5250</v>
      </c>
      <c r="C5203" s="104" t="s">
        <v>28</v>
      </c>
      <c r="D5203" s="129" t="s">
        <v>19185</v>
      </c>
    </row>
    <row r="5204" spans="1:4">
      <c r="A5204" s="105">
        <v>101125</v>
      </c>
      <c r="B5204" s="104" t="s">
        <v>5251</v>
      </c>
      <c r="C5204" s="104" t="s">
        <v>28</v>
      </c>
      <c r="D5204" s="129" t="s">
        <v>17728</v>
      </c>
    </row>
    <row r="5205" spans="1:4">
      <c r="A5205" s="105">
        <v>101126</v>
      </c>
      <c r="B5205" s="104" t="s">
        <v>5252</v>
      </c>
      <c r="C5205" s="104" t="s">
        <v>28</v>
      </c>
      <c r="D5205" s="129" t="s">
        <v>19186</v>
      </c>
    </row>
    <row r="5206" spans="1:4">
      <c r="A5206" s="105">
        <v>101127</v>
      </c>
      <c r="B5206" s="104" t="s">
        <v>5253</v>
      </c>
      <c r="C5206" s="104" t="s">
        <v>28</v>
      </c>
      <c r="D5206" s="129" t="s">
        <v>19187</v>
      </c>
    </row>
    <row r="5207" spans="1:4">
      <c r="A5207" s="105">
        <v>101128</v>
      </c>
      <c r="B5207" s="104" t="s">
        <v>5254</v>
      </c>
      <c r="C5207" s="104" t="s">
        <v>28</v>
      </c>
      <c r="D5207" s="129" t="s">
        <v>19188</v>
      </c>
    </row>
    <row r="5208" spans="1:4">
      <c r="A5208" s="105">
        <v>101129</v>
      </c>
      <c r="B5208" s="104" t="s">
        <v>5255</v>
      </c>
      <c r="C5208" s="104" t="s">
        <v>28</v>
      </c>
      <c r="D5208" s="129" t="s">
        <v>19189</v>
      </c>
    </row>
    <row r="5209" spans="1:4">
      <c r="A5209" s="105">
        <v>101130</v>
      </c>
      <c r="B5209" s="104" t="s">
        <v>5256</v>
      </c>
      <c r="C5209" s="104" t="s">
        <v>28</v>
      </c>
      <c r="D5209" s="129" t="s">
        <v>15025</v>
      </c>
    </row>
    <row r="5210" spans="1:4">
      <c r="A5210" s="105">
        <v>101131</v>
      </c>
      <c r="B5210" s="104" t="s">
        <v>5257</v>
      </c>
      <c r="C5210" s="104" t="s">
        <v>28</v>
      </c>
      <c r="D5210" s="129" t="s">
        <v>19190</v>
      </c>
    </row>
    <row r="5211" spans="1:4">
      <c r="A5211" s="105">
        <v>101132</v>
      </c>
      <c r="B5211" s="104" t="s">
        <v>5258</v>
      </c>
      <c r="C5211" s="104" t="s">
        <v>28</v>
      </c>
      <c r="D5211" s="129" t="s">
        <v>19191</v>
      </c>
    </row>
    <row r="5212" spans="1:4">
      <c r="A5212" s="105">
        <v>101133</v>
      </c>
      <c r="B5212" s="104" t="s">
        <v>5259</v>
      </c>
      <c r="C5212" s="104" t="s">
        <v>28</v>
      </c>
      <c r="D5212" s="129" t="s">
        <v>16973</v>
      </c>
    </row>
    <row r="5213" spans="1:4">
      <c r="A5213" s="105">
        <v>101134</v>
      </c>
      <c r="B5213" s="104" t="s">
        <v>5260</v>
      </c>
      <c r="C5213" s="104" t="s">
        <v>28</v>
      </c>
      <c r="D5213" s="129" t="s">
        <v>16980</v>
      </c>
    </row>
    <row r="5214" spans="1:4">
      <c r="A5214" s="105">
        <v>101135</v>
      </c>
      <c r="B5214" s="104" t="s">
        <v>5261</v>
      </c>
      <c r="C5214" s="104" t="s">
        <v>28</v>
      </c>
      <c r="D5214" s="129" t="s">
        <v>15257</v>
      </c>
    </row>
    <row r="5215" spans="1:4">
      <c r="A5215" s="105">
        <v>101136</v>
      </c>
      <c r="B5215" s="104" t="s">
        <v>5262</v>
      </c>
      <c r="C5215" s="104" t="s">
        <v>28</v>
      </c>
      <c r="D5215" s="129" t="s">
        <v>19192</v>
      </c>
    </row>
    <row r="5216" spans="1:4">
      <c r="A5216" s="105">
        <v>101137</v>
      </c>
      <c r="B5216" s="104" t="s">
        <v>5263</v>
      </c>
      <c r="C5216" s="104" t="s">
        <v>28</v>
      </c>
      <c r="D5216" s="129" t="s">
        <v>19193</v>
      </c>
    </row>
    <row r="5217" spans="1:5">
      <c r="A5217" s="105">
        <v>101138</v>
      </c>
      <c r="B5217" s="104" t="s">
        <v>5264</v>
      </c>
      <c r="C5217" s="104" t="s">
        <v>28</v>
      </c>
      <c r="D5217" s="129" t="s">
        <v>16958</v>
      </c>
    </row>
    <row r="5218" spans="1:5">
      <c r="A5218" s="105">
        <v>101139</v>
      </c>
      <c r="B5218" s="104" t="s">
        <v>5265</v>
      </c>
      <c r="C5218" s="104" t="s">
        <v>28</v>
      </c>
      <c r="D5218" s="129" t="s">
        <v>15618</v>
      </c>
    </row>
    <row r="5219" spans="1:5">
      <c r="A5219" s="105">
        <v>101140</v>
      </c>
      <c r="B5219" s="104" t="s">
        <v>5266</v>
      </c>
      <c r="C5219" s="104" t="s">
        <v>28</v>
      </c>
      <c r="D5219" s="129" t="s">
        <v>19194</v>
      </c>
    </row>
    <row r="5220" spans="1:5">
      <c r="A5220" s="105">
        <v>101141</v>
      </c>
      <c r="B5220" s="104" t="s">
        <v>5267</v>
      </c>
      <c r="C5220" s="104" t="s">
        <v>28</v>
      </c>
      <c r="D5220" s="129" t="s">
        <v>19195</v>
      </c>
    </row>
    <row r="5221" spans="1:5">
      <c r="A5221" s="105">
        <v>101142</v>
      </c>
      <c r="B5221" s="104" t="s">
        <v>5268</v>
      </c>
      <c r="C5221" s="104" t="s">
        <v>28</v>
      </c>
      <c r="D5221" s="129" t="s">
        <v>18023</v>
      </c>
    </row>
    <row r="5222" spans="1:5">
      <c r="A5222" s="105">
        <v>101143</v>
      </c>
      <c r="B5222" s="104" t="s">
        <v>5269</v>
      </c>
      <c r="C5222" s="104" t="s">
        <v>28</v>
      </c>
      <c r="D5222" s="129" t="s">
        <v>18560</v>
      </c>
    </row>
    <row r="5223" spans="1:5">
      <c r="A5223" s="105">
        <v>101144</v>
      </c>
      <c r="B5223" s="104" t="s">
        <v>5270</v>
      </c>
      <c r="C5223" s="104" t="s">
        <v>28</v>
      </c>
      <c r="D5223" s="129" t="s">
        <v>16927</v>
      </c>
      <c r="E5223" s="9"/>
    </row>
    <row r="5224" spans="1:5">
      <c r="A5224" s="105">
        <v>101145</v>
      </c>
      <c r="B5224" s="104" t="s">
        <v>5271</v>
      </c>
      <c r="C5224" s="104" t="s">
        <v>28</v>
      </c>
      <c r="D5224" s="129" t="s">
        <v>15999</v>
      </c>
    </row>
    <row r="5225" spans="1:5">
      <c r="A5225" s="105">
        <v>101146</v>
      </c>
      <c r="B5225" s="104" t="s">
        <v>5272</v>
      </c>
      <c r="C5225" s="104" t="s">
        <v>28</v>
      </c>
      <c r="D5225" s="129" t="s">
        <v>18056</v>
      </c>
    </row>
    <row r="5226" spans="1:5">
      <c r="A5226" s="105">
        <v>101147</v>
      </c>
      <c r="B5226" s="104" t="s">
        <v>5273</v>
      </c>
      <c r="C5226" s="104" t="s">
        <v>28</v>
      </c>
      <c r="D5226" s="129" t="s">
        <v>19196</v>
      </c>
    </row>
    <row r="5227" spans="1:5">
      <c r="A5227" s="105">
        <v>101148</v>
      </c>
      <c r="B5227" s="104" t="s">
        <v>5274</v>
      </c>
      <c r="C5227" s="104" t="s">
        <v>28</v>
      </c>
      <c r="D5227" s="129" t="s">
        <v>19197</v>
      </c>
    </row>
    <row r="5228" spans="1:5">
      <c r="A5228" s="105">
        <v>101149</v>
      </c>
      <c r="B5228" s="104" t="s">
        <v>5275</v>
      </c>
      <c r="C5228" s="104" t="s">
        <v>28</v>
      </c>
      <c r="D5228" s="129" t="s">
        <v>16633</v>
      </c>
    </row>
    <row r="5229" spans="1:5">
      <c r="A5229" s="105">
        <v>101150</v>
      </c>
      <c r="B5229" s="104" t="s">
        <v>5276</v>
      </c>
      <c r="C5229" s="104" t="s">
        <v>28</v>
      </c>
      <c r="D5229" s="129" t="s">
        <v>19198</v>
      </c>
    </row>
    <row r="5230" spans="1:5">
      <c r="A5230" s="105">
        <v>101151</v>
      </c>
      <c r="B5230" s="104" t="s">
        <v>5277</v>
      </c>
      <c r="C5230" s="104" t="s">
        <v>28</v>
      </c>
      <c r="D5230" s="129" t="s">
        <v>17200</v>
      </c>
    </row>
    <row r="5231" spans="1:5">
      <c r="A5231" s="105">
        <v>101152</v>
      </c>
      <c r="B5231" s="104" t="s">
        <v>5278</v>
      </c>
      <c r="C5231" s="104" t="s">
        <v>28</v>
      </c>
      <c r="D5231" s="129" t="s">
        <v>15612</v>
      </c>
    </row>
    <row r="5232" spans="1:5">
      <c r="A5232" s="105">
        <v>101153</v>
      </c>
      <c r="B5232" s="104" t="s">
        <v>5279</v>
      </c>
      <c r="C5232" s="104" t="s">
        <v>28</v>
      </c>
      <c r="D5232" s="129" t="s">
        <v>16089</v>
      </c>
    </row>
    <row r="5233" spans="1:4">
      <c r="A5233" s="105">
        <v>101206</v>
      </c>
      <c r="B5233" s="104" t="s">
        <v>5280</v>
      </c>
      <c r="C5233" s="104" t="s">
        <v>28</v>
      </c>
      <c r="D5233" s="129" t="s">
        <v>19199</v>
      </c>
    </row>
    <row r="5234" spans="1:4">
      <c r="A5234" s="105">
        <v>101207</v>
      </c>
      <c r="B5234" s="104" t="s">
        <v>5281</v>
      </c>
      <c r="C5234" s="104" t="s">
        <v>28</v>
      </c>
      <c r="D5234" s="129" t="s">
        <v>19200</v>
      </c>
    </row>
    <row r="5235" spans="1:4">
      <c r="A5235" s="105">
        <v>101208</v>
      </c>
      <c r="B5235" s="104" t="s">
        <v>5282</v>
      </c>
      <c r="C5235" s="104" t="s">
        <v>28</v>
      </c>
      <c r="D5235" s="129" t="s">
        <v>19201</v>
      </c>
    </row>
    <row r="5236" spans="1:4">
      <c r="A5236" s="105">
        <v>101209</v>
      </c>
      <c r="B5236" s="104" t="s">
        <v>5283</v>
      </c>
      <c r="C5236" s="104" t="s">
        <v>28</v>
      </c>
      <c r="D5236" s="129" t="s">
        <v>17214</v>
      </c>
    </row>
    <row r="5237" spans="1:4">
      <c r="A5237" s="105">
        <v>101210</v>
      </c>
      <c r="B5237" s="104" t="s">
        <v>5284</v>
      </c>
      <c r="C5237" s="104" t="s">
        <v>28</v>
      </c>
      <c r="D5237" s="129" t="s">
        <v>19202</v>
      </c>
    </row>
    <row r="5238" spans="1:4">
      <c r="A5238" s="105">
        <v>101211</v>
      </c>
      <c r="B5238" s="104" t="s">
        <v>5285</v>
      </c>
      <c r="C5238" s="104" t="s">
        <v>28</v>
      </c>
      <c r="D5238" s="129" t="s">
        <v>19203</v>
      </c>
    </row>
    <row r="5239" spans="1:4">
      <c r="A5239" s="105">
        <v>101212</v>
      </c>
      <c r="B5239" s="104" t="s">
        <v>5286</v>
      </c>
      <c r="C5239" s="104" t="s">
        <v>28</v>
      </c>
      <c r="D5239" s="129" t="s">
        <v>15516</v>
      </c>
    </row>
    <row r="5240" spans="1:4">
      <c r="A5240" s="105">
        <v>101213</v>
      </c>
      <c r="B5240" s="104" t="s">
        <v>5287</v>
      </c>
      <c r="C5240" s="104" t="s">
        <v>28</v>
      </c>
      <c r="D5240" s="129" t="s">
        <v>18267</v>
      </c>
    </row>
    <row r="5241" spans="1:4">
      <c r="A5241" s="105">
        <v>101214</v>
      </c>
      <c r="B5241" s="104" t="s">
        <v>5288</v>
      </c>
      <c r="C5241" s="104" t="s">
        <v>28</v>
      </c>
      <c r="D5241" s="129" t="s">
        <v>19204</v>
      </c>
    </row>
    <row r="5242" spans="1:4">
      <c r="A5242" s="105">
        <v>101215</v>
      </c>
      <c r="B5242" s="104" t="s">
        <v>5289</v>
      </c>
      <c r="C5242" s="104" t="s">
        <v>28</v>
      </c>
      <c r="D5242" s="129" t="s">
        <v>15851</v>
      </c>
    </row>
    <row r="5243" spans="1:4">
      <c r="A5243" s="105">
        <v>101216</v>
      </c>
      <c r="B5243" s="104" t="s">
        <v>5290</v>
      </c>
      <c r="C5243" s="104" t="s">
        <v>28</v>
      </c>
      <c r="D5243" s="129" t="s">
        <v>19205</v>
      </c>
    </row>
    <row r="5244" spans="1:4">
      <c r="A5244" s="105">
        <v>101217</v>
      </c>
      <c r="B5244" s="104" t="s">
        <v>5291</v>
      </c>
      <c r="C5244" s="104" t="s">
        <v>28</v>
      </c>
      <c r="D5244" s="129" t="s">
        <v>19206</v>
      </c>
    </row>
    <row r="5245" spans="1:4">
      <c r="A5245" s="105">
        <v>101218</v>
      </c>
      <c r="B5245" s="104" t="s">
        <v>5292</v>
      </c>
      <c r="C5245" s="104" t="s">
        <v>28</v>
      </c>
      <c r="D5245" s="129" t="s">
        <v>19207</v>
      </c>
    </row>
    <row r="5246" spans="1:4">
      <c r="A5246" s="105">
        <v>101219</v>
      </c>
      <c r="B5246" s="104" t="s">
        <v>5293</v>
      </c>
      <c r="C5246" s="104" t="s">
        <v>28</v>
      </c>
      <c r="D5246" s="129" t="s">
        <v>19208</v>
      </c>
    </row>
    <row r="5247" spans="1:4">
      <c r="A5247" s="105">
        <v>101220</v>
      </c>
      <c r="B5247" s="104" t="s">
        <v>5294</v>
      </c>
      <c r="C5247" s="104" t="s">
        <v>28</v>
      </c>
      <c r="D5247" s="129" t="s">
        <v>17487</v>
      </c>
    </row>
    <row r="5248" spans="1:4">
      <c r="A5248" s="105">
        <v>101221</v>
      </c>
      <c r="B5248" s="104" t="s">
        <v>5295</v>
      </c>
      <c r="C5248" s="104" t="s">
        <v>28</v>
      </c>
      <c r="D5248" s="129" t="s">
        <v>19209</v>
      </c>
    </row>
    <row r="5249" spans="1:4">
      <c r="A5249" s="105">
        <v>101222</v>
      </c>
      <c r="B5249" s="104" t="s">
        <v>5296</v>
      </c>
      <c r="C5249" s="104" t="s">
        <v>28</v>
      </c>
      <c r="D5249" s="129" t="s">
        <v>19210</v>
      </c>
    </row>
    <row r="5250" spans="1:4">
      <c r="A5250" s="105">
        <v>101223</v>
      </c>
      <c r="B5250" s="104" t="s">
        <v>5297</v>
      </c>
      <c r="C5250" s="104" t="s">
        <v>28</v>
      </c>
      <c r="D5250" s="129" t="s">
        <v>17146</v>
      </c>
    </row>
    <row r="5251" spans="1:4">
      <c r="A5251" s="105">
        <v>101224</v>
      </c>
      <c r="B5251" s="104" t="s">
        <v>5298</v>
      </c>
      <c r="C5251" s="104" t="s">
        <v>28</v>
      </c>
      <c r="D5251" s="129" t="s">
        <v>19211</v>
      </c>
    </row>
    <row r="5252" spans="1:4">
      <c r="A5252" s="105">
        <v>101225</v>
      </c>
      <c r="B5252" s="104" t="s">
        <v>5299</v>
      </c>
      <c r="C5252" s="104" t="s">
        <v>28</v>
      </c>
      <c r="D5252" s="129" t="s">
        <v>18200</v>
      </c>
    </row>
    <row r="5253" spans="1:4">
      <c r="A5253" s="105">
        <v>101226</v>
      </c>
      <c r="B5253" s="104" t="s">
        <v>5300</v>
      </c>
      <c r="C5253" s="104" t="s">
        <v>28</v>
      </c>
      <c r="D5253" s="129" t="s">
        <v>17328</v>
      </c>
    </row>
    <row r="5254" spans="1:4">
      <c r="A5254" s="105">
        <v>101227</v>
      </c>
      <c r="B5254" s="104" t="s">
        <v>5301</v>
      </c>
      <c r="C5254" s="104" t="s">
        <v>28</v>
      </c>
      <c r="D5254" s="129" t="s">
        <v>15331</v>
      </c>
    </row>
    <row r="5255" spans="1:4">
      <c r="A5255" s="105">
        <v>101228</v>
      </c>
      <c r="B5255" s="104" t="s">
        <v>5302</v>
      </c>
      <c r="C5255" s="104" t="s">
        <v>28</v>
      </c>
      <c r="D5255" s="129" t="s">
        <v>15200</v>
      </c>
    </row>
    <row r="5256" spans="1:4">
      <c r="A5256" s="105">
        <v>101229</v>
      </c>
      <c r="B5256" s="104" t="s">
        <v>5303</v>
      </c>
      <c r="C5256" s="104" t="s">
        <v>28</v>
      </c>
      <c r="D5256" s="129" t="s">
        <v>19212</v>
      </c>
    </row>
    <row r="5257" spans="1:4">
      <c r="A5257" s="105">
        <v>101230</v>
      </c>
      <c r="B5257" s="104" t="s">
        <v>5304</v>
      </c>
      <c r="C5257" s="104" t="s">
        <v>28</v>
      </c>
      <c r="D5257" s="129" t="s">
        <v>19200</v>
      </c>
    </row>
    <row r="5258" spans="1:4">
      <c r="A5258" s="105">
        <v>101231</v>
      </c>
      <c r="B5258" s="104" t="s">
        <v>5305</v>
      </c>
      <c r="C5258" s="104" t="s">
        <v>28</v>
      </c>
      <c r="D5258" s="129" t="s">
        <v>19213</v>
      </c>
    </row>
    <row r="5259" spans="1:4">
      <c r="A5259" s="105">
        <v>101232</v>
      </c>
      <c r="B5259" s="104" t="s">
        <v>5306</v>
      </c>
      <c r="C5259" s="104" t="s">
        <v>28</v>
      </c>
      <c r="D5259" s="129" t="s">
        <v>15638</v>
      </c>
    </row>
    <row r="5260" spans="1:4">
      <c r="A5260" s="105">
        <v>101233</v>
      </c>
      <c r="B5260" s="104" t="s">
        <v>5307</v>
      </c>
      <c r="C5260" s="104" t="s">
        <v>28</v>
      </c>
      <c r="D5260" s="129" t="s">
        <v>19214</v>
      </c>
    </row>
    <row r="5261" spans="1:4">
      <c r="A5261" s="105">
        <v>101234</v>
      </c>
      <c r="B5261" s="104" t="s">
        <v>5308</v>
      </c>
      <c r="C5261" s="104" t="s">
        <v>28</v>
      </c>
      <c r="D5261" s="129" t="s">
        <v>18137</v>
      </c>
    </row>
    <row r="5262" spans="1:4">
      <c r="A5262" s="105">
        <v>101235</v>
      </c>
      <c r="B5262" s="104" t="s">
        <v>5309</v>
      </c>
      <c r="C5262" s="104" t="s">
        <v>28</v>
      </c>
      <c r="D5262" s="129" t="s">
        <v>19215</v>
      </c>
    </row>
    <row r="5263" spans="1:4">
      <c r="A5263" s="105">
        <v>101236</v>
      </c>
      <c r="B5263" s="104" t="s">
        <v>5310</v>
      </c>
      <c r="C5263" s="104" t="s">
        <v>28</v>
      </c>
      <c r="D5263" s="129" t="s">
        <v>19216</v>
      </c>
    </row>
    <row r="5264" spans="1:4">
      <c r="A5264" s="105">
        <v>101237</v>
      </c>
      <c r="B5264" s="104" t="s">
        <v>5311</v>
      </c>
      <c r="C5264" s="104" t="s">
        <v>28</v>
      </c>
      <c r="D5264" s="129" t="s">
        <v>19217</v>
      </c>
    </row>
    <row r="5265" spans="1:4">
      <c r="A5265" s="105">
        <v>101238</v>
      </c>
      <c r="B5265" s="104" t="s">
        <v>5312</v>
      </c>
      <c r="C5265" s="104" t="s">
        <v>28</v>
      </c>
      <c r="D5265" s="129" t="s">
        <v>19218</v>
      </c>
    </row>
    <row r="5266" spans="1:4">
      <c r="A5266" s="105">
        <v>101239</v>
      </c>
      <c r="B5266" s="104" t="s">
        <v>5313</v>
      </c>
      <c r="C5266" s="104" t="s">
        <v>28</v>
      </c>
      <c r="D5266" s="129" t="s">
        <v>16917</v>
      </c>
    </row>
    <row r="5267" spans="1:4">
      <c r="A5267" s="105">
        <v>101240</v>
      </c>
      <c r="B5267" s="104" t="s">
        <v>5314</v>
      </c>
      <c r="C5267" s="104" t="s">
        <v>28</v>
      </c>
      <c r="D5267" s="129" t="s">
        <v>17328</v>
      </c>
    </row>
    <row r="5268" spans="1:4">
      <c r="A5268" s="105">
        <v>101241</v>
      </c>
      <c r="B5268" s="104" t="s">
        <v>5315</v>
      </c>
      <c r="C5268" s="104" t="s">
        <v>28</v>
      </c>
      <c r="D5268" s="129" t="s">
        <v>19219</v>
      </c>
    </row>
    <row r="5269" spans="1:4">
      <c r="A5269" s="105">
        <v>101242</v>
      </c>
      <c r="B5269" s="104" t="s">
        <v>5316</v>
      </c>
      <c r="C5269" s="104" t="s">
        <v>28</v>
      </c>
      <c r="D5269" s="129" t="s">
        <v>19083</v>
      </c>
    </row>
    <row r="5270" spans="1:4">
      <c r="A5270" s="105">
        <v>101243</v>
      </c>
      <c r="B5270" s="104" t="s">
        <v>5317</v>
      </c>
      <c r="C5270" s="104" t="s">
        <v>28</v>
      </c>
      <c r="D5270" s="129" t="s">
        <v>19120</v>
      </c>
    </row>
    <row r="5271" spans="1:4">
      <c r="A5271" s="105">
        <v>101244</v>
      </c>
      <c r="B5271" s="104" t="s">
        <v>5318</v>
      </c>
      <c r="C5271" s="104" t="s">
        <v>28</v>
      </c>
      <c r="D5271" s="129" t="s">
        <v>16901</v>
      </c>
    </row>
    <row r="5272" spans="1:4">
      <c r="A5272" s="105">
        <v>101245</v>
      </c>
      <c r="B5272" s="104" t="s">
        <v>5319</v>
      </c>
      <c r="C5272" s="104" t="s">
        <v>28</v>
      </c>
      <c r="D5272" s="129" t="s">
        <v>15851</v>
      </c>
    </row>
    <row r="5273" spans="1:4">
      <c r="A5273" s="105">
        <v>101246</v>
      </c>
      <c r="B5273" s="104" t="s">
        <v>5320</v>
      </c>
      <c r="C5273" s="104" t="s">
        <v>28</v>
      </c>
      <c r="D5273" s="129" t="s">
        <v>19220</v>
      </c>
    </row>
    <row r="5274" spans="1:4">
      <c r="A5274" s="105">
        <v>101247</v>
      </c>
      <c r="B5274" s="104" t="s">
        <v>5321</v>
      </c>
      <c r="C5274" s="104" t="s">
        <v>28</v>
      </c>
      <c r="D5274" s="129" t="s">
        <v>19221</v>
      </c>
    </row>
    <row r="5275" spans="1:4">
      <c r="A5275" s="105">
        <v>101248</v>
      </c>
      <c r="B5275" s="104" t="s">
        <v>5322</v>
      </c>
      <c r="C5275" s="104" t="s">
        <v>28</v>
      </c>
      <c r="D5275" s="129" t="s">
        <v>19222</v>
      </c>
    </row>
    <row r="5276" spans="1:4">
      <c r="A5276" s="105">
        <v>101249</v>
      </c>
      <c r="B5276" s="104" t="s">
        <v>5323</v>
      </c>
      <c r="C5276" s="104" t="s">
        <v>28</v>
      </c>
      <c r="D5276" s="129" t="s">
        <v>16954</v>
      </c>
    </row>
    <row r="5277" spans="1:4">
      <c r="A5277" s="105">
        <v>101250</v>
      </c>
      <c r="B5277" s="104" t="s">
        <v>5324</v>
      </c>
      <c r="C5277" s="104" t="s">
        <v>28</v>
      </c>
      <c r="D5277" s="129" t="s">
        <v>19223</v>
      </c>
    </row>
    <row r="5278" spans="1:4">
      <c r="A5278" s="105">
        <v>101251</v>
      </c>
      <c r="B5278" s="104" t="s">
        <v>5325</v>
      </c>
      <c r="C5278" s="104" t="s">
        <v>28</v>
      </c>
      <c r="D5278" s="129" t="s">
        <v>19224</v>
      </c>
    </row>
    <row r="5279" spans="1:4">
      <c r="A5279" s="105">
        <v>101252</v>
      </c>
      <c r="B5279" s="104" t="s">
        <v>5326</v>
      </c>
      <c r="C5279" s="104" t="s">
        <v>28</v>
      </c>
      <c r="D5279" s="129" t="s">
        <v>15242</v>
      </c>
    </row>
    <row r="5280" spans="1:4">
      <c r="A5280" s="105">
        <v>101253</v>
      </c>
      <c r="B5280" s="104" t="s">
        <v>5327</v>
      </c>
      <c r="C5280" s="104" t="s">
        <v>28</v>
      </c>
      <c r="D5280" s="129" t="s">
        <v>19141</v>
      </c>
    </row>
    <row r="5281" spans="1:4">
      <c r="A5281" s="105">
        <v>101254</v>
      </c>
      <c r="B5281" s="104" t="s">
        <v>5328</v>
      </c>
      <c r="C5281" s="104" t="s">
        <v>28</v>
      </c>
      <c r="D5281" s="129" t="s">
        <v>19225</v>
      </c>
    </row>
    <row r="5282" spans="1:4">
      <c r="A5282" s="105">
        <v>101255</v>
      </c>
      <c r="B5282" s="104" t="s">
        <v>5329</v>
      </c>
      <c r="C5282" s="104" t="s">
        <v>28</v>
      </c>
      <c r="D5282" s="129" t="s">
        <v>18036</v>
      </c>
    </row>
    <row r="5283" spans="1:4">
      <c r="A5283" s="105">
        <v>101256</v>
      </c>
      <c r="B5283" s="104" t="s">
        <v>5330</v>
      </c>
      <c r="C5283" s="104" t="s">
        <v>28</v>
      </c>
      <c r="D5283" s="129" t="s">
        <v>19226</v>
      </c>
    </row>
    <row r="5284" spans="1:4">
      <c r="A5284" s="105">
        <v>101257</v>
      </c>
      <c r="B5284" s="104" t="s">
        <v>5331</v>
      </c>
      <c r="C5284" s="104" t="s">
        <v>28</v>
      </c>
      <c r="D5284" s="129" t="s">
        <v>17922</v>
      </c>
    </row>
    <row r="5285" spans="1:4">
      <c r="A5285" s="105">
        <v>101258</v>
      </c>
      <c r="B5285" s="104" t="s">
        <v>5332</v>
      </c>
      <c r="C5285" s="104" t="s">
        <v>28</v>
      </c>
      <c r="D5285" s="129" t="s">
        <v>15105</v>
      </c>
    </row>
    <row r="5286" spans="1:4">
      <c r="A5286" s="105">
        <v>101259</v>
      </c>
      <c r="B5286" s="104" t="s">
        <v>5333</v>
      </c>
      <c r="C5286" s="104" t="s">
        <v>28</v>
      </c>
      <c r="D5286" s="129" t="s">
        <v>19227</v>
      </c>
    </row>
    <row r="5287" spans="1:4">
      <c r="A5287" s="105">
        <v>101260</v>
      </c>
      <c r="B5287" s="104" t="s">
        <v>5334</v>
      </c>
      <c r="C5287" s="104" t="s">
        <v>28</v>
      </c>
      <c r="D5287" s="129" t="s">
        <v>19228</v>
      </c>
    </row>
    <row r="5288" spans="1:4">
      <c r="A5288" s="105">
        <v>101261</v>
      </c>
      <c r="B5288" s="104" t="s">
        <v>5335</v>
      </c>
      <c r="C5288" s="104" t="s">
        <v>28</v>
      </c>
      <c r="D5288" s="129" t="s">
        <v>19229</v>
      </c>
    </row>
    <row r="5289" spans="1:4">
      <c r="A5289" s="105">
        <v>101262</v>
      </c>
      <c r="B5289" s="104" t="s">
        <v>5336</v>
      </c>
      <c r="C5289" s="104" t="s">
        <v>28</v>
      </c>
      <c r="D5289" s="129" t="s">
        <v>17206</v>
      </c>
    </row>
    <row r="5290" spans="1:4">
      <c r="A5290" s="105">
        <v>101263</v>
      </c>
      <c r="B5290" s="104" t="s">
        <v>5337</v>
      </c>
      <c r="C5290" s="104" t="s">
        <v>28</v>
      </c>
      <c r="D5290" s="129" t="s">
        <v>19230</v>
      </c>
    </row>
    <row r="5291" spans="1:4">
      <c r="A5291" s="105">
        <v>101264</v>
      </c>
      <c r="B5291" s="104" t="s">
        <v>5338</v>
      </c>
      <c r="C5291" s="104" t="s">
        <v>28</v>
      </c>
      <c r="D5291" s="129" t="s">
        <v>18163</v>
      </c>
    </row>
    <row r="5292" spans="1:4">
      <c r="A5292" s="105">
        <v>101265</v>
      </c>
      <c r="B5292" s="104" t="s">
        <v>5339</v>
      </c>
      <c r="C5292" s="104" t="s">
        <v>28</v>
      </c>
      <c r="D5292" s="129" t="s">
        <v>19231</v>
      </c>
    </row>
    <row r="5293" spans="1:4">
      <c r="A5293" s="105">
        <v>101266</v>
      </c>
      <c r="B5293" s="104" t="s">
        <v>5340</v>
      </c>
      <c r="C5293" s="104" t="s">
        <v>28</v>
      </c>
      <c r="D5293" s="129" t="s">
        <v>19232</v>
      </c>
    </row>
    <row r="5294" spans="1:4">
      <c r="A5294" s="105">
        <v>101267</v>
      </c>
      <c r="B5294" s="104" t="s">
        <v>5341</v>
      </c>
      <c r="C5294" s="104" t="s">
        <v>28</v>
      </c>
      <c r="D5294" s="129" t="s">
        <v>18051</v>
      </c>
    </row>
    <row r="5295" spans="1:4">
      <c r="A5295" s="105">
        <v>101268</v>
      </c>
      <c r="B5295" s="104" t="s">
        <v>5342</v>
      </c>
      <c r="C5295" s="104" t="s">
        <v>28</v>
      </c>
      <c r="D5295" s="129" t="s">
        <v>19233</v>
      </c>
    </row>
    <row r="5296" spans="1:4">
      <c r="A5296" s="105">
        <v>101269</v>
      </c>
      <c r="B5296" s="104" t="s">
        <v>5343</v>
      </c>
      <c r="C5296" s="104" t="s">
        <v>28</v>
      </c>
      <c r="D5296" s="129" t="s">
        <v>17203</v>
      </c>
    </row>
    <row r="5297" spans="1:4">
      <c r="A5297" s="105">
        <v>101270</v>
      </c>
      <c r="B5297" s="104" t="s">
        <v>5344</v>
      </c>
      <c r="C5297" s="104" t="s">
        <v>28</v>
      </c>
      <c r="D5297" s="129" t="s">
        <v>17563</v>
      </c>
    </row>
    <row r="5298" spans="1:4">
      <c r="A5298" s="105">
        <v>101271</v>
      </c>
      <c r="B5298" s="104" t="s">
        <v>5345</v>
      </c>
      <c r="C5298" s="104" t="s">
        <v>28</v>
      </c>
      <c r="D5298" s="129" t="s">
        <v>19234</v>
      </c>
    </row>
    <row r="5299" spans="1:4">
      <c r="A5299" s="105">
        <v>101272</v>
      </c>
      <c r="B5299" s="104" t="s">
        <v>5346</v>
      </c>
      <c r="C5299" s="104" t="s">
        <v>28</v>
      </c>
      <c r="D5299" s="129" t="s">
        <v>17902</v>
      </c>
    </row>
    <row r="5300" spans="1:4">
      <c r="A5300" s="105">
        <v>101273</v>
      </c>
      <c r="B5300" s="104" t="s">
        <v>5347</v>
      </c>
      <c r="C5300" s="104" t="s">
        <v>28</v>
      </c>
      <c r="D5300" s="129" t="s">
        <v>18097</v>
      </c>
    </row>
    <row r="5301" spans="1:4">
      <c r="A5301" s="105">
        <v>101274</v>
      </c>
      <c r="B5301" s="104" t="s">
        <v>5348</v>
      </c>
      <c r="C5301" s="104" t="s">
        <v>28</v>
      </c>
      <c r="D5301" s="129" t="s">
        <v>19235</v>
      </c>
    </row>
    <row r="5302" spans="1:4">
      <c r="A5302" s="105">
        <v>101275</v>
      </c>
      <c r="B5302" s="104" t="s">
        <v>5349</v>
      </c>
      <c r="C5302" s="104" t="s">
        <v>28</v>
      </c>
      <c r="D5302" s="129" t="s">
        <v>19236</v>
      </c>
    </row>
    <row r="5303" spans="1:4">
      <c r="A5303" s="105">
        <v>101276</v>
      </c>
      <c r="B5303" s="104" t="s">
        <v>5350</v>
      </c>
      <c r="C5303" s="104" t="s">
        <v>28</v>
      </c>
      <c r="D5303" s="129" t="s">
        <v>16946</v>
      </c>
    </row>
    <row r="5304" spans="1:4">
      <c r="A5304" s="105">
        <v>101277</v>
      </c>
      <c r="B5304" s="104" t="s">
        <v>5351</v>
      </c>
      <c r="C5304" s="104" t="s">
        <v>28</v>
      </c>
      <c r="D5304" s="129" t="s">
        <v>19237</v>
      </c>
    </row>
    <row r="5305" spans="1:4">
      <c r="A5305" s="105">
        <v>102354</v>
      </c>
      <c r="B5305" s="104" t="s">
        <v>5352</v>
      </c>
      <c r="C5305" s="104" t="s">
        <v>28</v>
      </c>
      <c r="D5305" s="129" t="s">
        <v>19238</v>
      </c>
    </row>
    <row r="5306" spans="1:4">
      <c r="A5306" s="105">
        <v>102355</v>
      </c>
      <c r="B5306" s="104" t="s">
        <v>5353</v>
      </c>
      <c r="C5306" s="104" t="s">
        <v>28</v>
      </c>
      <c r="D5306" s="129" t="s">
        <v>19239</v>
      </c>
    </row>
    <row r="5307" spans="1:4">
      <c r="A5307" s="105">
        <v>102360</v>
      </c>
      <c r="B5307" s="104" t="s">
        <v>5354</v>
      </c>
      <c r="C5307" s="104" t="s">
        <v>28</v>
      </c>
      <c r="D5307" s="129" t="s">
        <v>19113</v>
      </c>
    </row>
    <row r="5308" spans="1:4">
      <c r="A5308" s="105">
        <v>102361</v>
      </c>
      <c r="B5308" s="104" t="s">
        <v>5355</v>
      </c>
      <c r="C5308" s="104" t="s">
        <v>28</v>
      </c>
      <c r="D5308" s="129" t="s">
        <v>19240</v>
      </c>
    </row>
    <row r="5309" spans="1:4">
      <c r="A5309" s="105">
        <v>90082</v>
      </c>
      <c r="B5309" s="104" t="s">
        <v>12889</v>
      </c>
      <c r="C5309" s="104" t="s">
        <v>28</v>
      </c>
      <c r="D5309" s="129" t="s">
        <v>18084</v>
      </c>
    </row>
    <row r="5310" spans="1:4">
      <c r="A5310" s="105">
        <v>90084</v>
      </c>
      <c r="B5310" s="104" t="s">
        <v>12890</v>
      </c>
      <c r="C5310" s="104" t="s">
        <v>28</v>
      </c>
      <c r="D5310" s="129" t="s">
        <v>19225</v>
      </c>
    </row>
    <row r="5311" spans="1:4">
      <c r="A5311" s="105">
        <v>90086</v>
      </c>
      <c r="B5311" s="104" t="s">
        <v>12891</v>
      </c>
      <c r="C5311" s="104" t="s">
        <v>28</v>
      </c>
      <c r="D5311" s="129" t="s">
        <v>19241</v>
      </c>
    </row>
    <row r="5312" spans="1:4">
      <c r="A5312" s="105">
        <v>90087</v>
      </c>
      <c r="B5312" s="104" t="s">
        <v>12892</v>
      </c>
      <c r="C5312" s="104" t="s">
        <v>28</v>
      </c>
      <c r="D5312" s="129" t="s">
        <v>18490</v>
      </c>
    </row>
    <row r="5313" spans="1:4">
      <c r="A5313" s="105">
        <v>90090</v>
      </c>
      <c r="B5313" s="104" t="s">
        <v>12893</v>
      </c>
      <c r="C5313" s="104" t="s">
        <v>28</v>
      </c>
      <c r="D5313" s="129" t="s">
        <v>18331</v>
      </c>
    </row>
    <row r="5314" spans="1:4">
      <c r="A5314" s="105">
        <v>90091</v>
      </c>
      <c r="B5314" s="104" t="s">
        <v>12894</v>
      </c>
      <c r="C5314" s="104" t="s">
        <v>28</v>
      </c>
      <c r="D5314" s="129" t="s">
        <v>14939</v>
      </c>
    </row>
    <row r="5315" spans="1:4">
      <c r="A5315" s="105">
        <v>90092</v>
      </c>
      <c r="B5315" s="104" t="s">
        <v>12895</v>
      </c>
      <c r="C5315" s="104" t="s">
        <v>28</v>
      </c>
      <c r="D5315" s="129" t="s">
        <v>15418</v>
      </c>
    </row>
    <row r="5316" spans="1:4">
      <c r="A5316" s="105">
        <v>90094</v>
      </c>
      <c r="B5316" s="104" t="s">
        <v>12896</v>
      </c>
      <c r="C5316" s="104" t="s">
        <v>28</v>
      </c>
      <c r="D5316" s="129" t="s">
        <v>15688</v>
      </c>
    </row>
    <row r="5317" spans="1:4">
      <c r="A5317" s="105">
        <v>90095</v>
      </c>
      <c r="B5317" s="104" t="s">
        <v>12897</v>
      </c>
      <c r="C5317" s="104" t="s">
        <v>28</v>
      </c>
      <c r="D5317" s="129" t="s">
        <v>14817</v>
      </c>
    </row>
    <row r="5318" spans="1:4">
      <c r="A5318" s="105">
        <v>90098</v>
      </c>
      <c r="B5318" s="104" t="s">
        <v>12898</v>
      </c>
      <c r="C5318" s="104" t="s">
        <v>28</v>
      </c>
      <c r="D5318" s="129" t="s">
        <v>14755</v>
      </c>
    </row>
    <row r="5319" spans="1:4">
      <c r="A5319" s="105">
        <v>90099</v>
      </c>
      <c r="B5319" s="104" t="s">
        <v>12899</v>
      </c>
      <c r="C5319" s="104" t="s">
        <v>28</v>
      </c>
      <c r="D5319" s="129" t="s">
        <v>18039</v>
      </c>
    </row>
    <row r="5320" spans="1:4">
      <c r="A5320" s="105">
        <v>90100</v>
      </c>
      <c r="B5320" s="104" t="s">
        <v>12900</v>
      </c>
      <c r="C5320" s="104" t="s">
        <v>28</v>
      </c>
      <c r="D5320" s="129" t="s">
        <v>19242</v>
      </c>
    </row>
    <row r="5321" spans="1:4">
      <c r="A5321" s="105">
        <v>90101</v>
      </c>
      <c r="B5321" s="104" t="s">
        <v>12901</v>
      </c>
      <c r="C5321" s="104" t="s">
        <v>28</v>
      </c>
      <c r="D5321" s="129" t="s">
        <v>15220</v>
      </c>
    </row>
    <row r="5322" spans="1:4">
      <c r="A5322" s="105">
        <v>90102</v>
      </c>
      <c r="B5322" s="104" t="s">
        <v>12902</v>
      </c>
      <c r="C5322" s="104" t="s">
        <v>28</v>
      </c>
      <c r="D5322" s="129" t="s">
        <v>18043</v>
      </c>
    </row>
    <row r="5323" spans="1:4">
      <c r="A5323" s="105">
        <v>90105</v>
      </c>
      <c r="B5323" s="104" t="s">
        <v>12903</v>
      </c>
      <c r="C5323" s="104" t="s">
        <v>28</v>
      </c>
      <c r="D5323" s="129" t="s">
        <v>19129</v>
      </c>
    </row>
    <row r="5324" spans="1:4">
      <c r="A5324" s="105">
        <v>90106</v>
      </c>
      <c r="B5324" s="104" t="s">
        <v>12904</v>
      </c>
      <c r="C5324" s="104" t="s">
        <v>28</v>
      </c>
      <c r="D5324" s="129" t="s">
        <v>19243</v>
      </c>
    </row>
    <row r="5325" spans="1:4">
      <c r="A5325" s="105">
        <v>90107</v>
      </c>
      <c r="B5325" s="104" t="s">
        <v>12905</v>
      </c>
      <c r="C5325" s="104" t="s">
        <v>28</v>
      </c>
      <c r="D5325" s="129" t="s">
        <v>14756</v>
      </c>
    </row>
    <row r="5326" spans="1:4">
      <c r="A5326" s="105">
        <v>90108</v>
      </c>
      <c r="B5326" s="104" t="s">
        <v>12906</v>
      </c>
      <c r="C5326" s="104" t="s">
        <v>28</v>
      </c>
      <c r="D5326" s="129" t="s">
        <v>19244</v>
      </c>
    </row>
    <row r="5327" spans="1:4">
      <c r="A5327" s="105">
        <v>93358</v>
      </c>
      <c r="B5327" s="104" t="s">
        <v>5356</v>
      </c>
      <c r="C5327" s="104" t="s">
        <v>28</v>
      </c>
      <c r="D5327" s="129" t="s">
        <v>19245</v>
      </c>
    </row>
    <row r="5328" spans="1:4">
      <c r="A5328" s="105">
        <v>102276</v>
      </c>
      <c r="B5328" s="104" t="s">
        <v>12907</v>
      </c>
      <c r="C5328" s="104" t="s">
        <v>28</v>
      </c>
      <c r="D5328" s="129" t="s">
        <v>19246</v>
      </c>
    </row>
    <row r="5329" spans="1:4">
      <c r="A5329" s="105">
        <v>102277</v>
      </c>
      <c r="B5329" s="104" t="s">
        <v>12908</v>
      </c>
      <c r="C5329" s="104" t="s">
        <v>28</v>
      </c>
      <c r="D5329" s="129" t="s">
        <v>17797</v>
      </c>
    </row>
    <row r="5330" spans="1:4">
      <c r="A5330" s="105">
        <v>102278</v>
      </c>
      <c r="B5330" s="104" t="s">
        <v>12909</v>
      </c>
      <c r="C5330" s="104" t="s">
        <v>28</v>
      </c>
      <c r="D5330" s="129" t="s">
        <v>18017</v>
      </c>
    </row>
    <row r="5331" spans="1:4">
      <c r="A5331" s="105">
        <v>102279</v>
      </c>
      <c r="B5331" s="104" t="s">
        <v>12910</v>
      </c>
      <c r="C5331" s="104" t="s">
        <v>28</v>
      </c>
      <c r="D5331" s="129" t="s">
        <v>19247</v>
      </c>
    </row>
    <row r="5332" spans="1:4">
      <c r="A5332" s="105">
        <v>102280</v>
      </c>
      <c r="B5332" s="104" t="s">
        <v>12911</v>
      </c>
      <c r="C5332" s="104" t="s">
        <v>28</v>
      </c>
      <c r="D5332" s="129" t="s">
        <v>19248</v>
      </c>
    </row>
    <row r="5333" spans="1:4">
      <c r="A5333" s="105">
        <v>102281</v>
      </c>
      <c r="B5333" s="104" t="s">
        <v>12912</v>
      </c>
      <c r="C5333" s="104" t="s">
        <v>28</v>
      </c>
      <c r="D5333" s="129" t="s">
        <v>15272</v>
      </c>
    </row>
    <row r="5334" spans="1:4">
      <c r="A5334" s="105">
        <v>102282</v>
      </c>
      <c r="B5334" s="104" t="s">
        <v>12913</v>
      </c>
      <c r="C5334" s="104" t="s">
        <v>28</v>
      </c>
      <c r="D5334" s="129" t="s">
        <v>19249</v>
      </c>
    </row>
    <row r="5335" spans="1:4">
      <c r="A5335" s="105">
        <v>102283</v>
      </c>
      <c r="B5335" s="104" t="s">
        <v>12914</v>
      </c>
      <c r="C5335" s="104" t="s">
        <v>28</v>
      </c>
      <c r="D5335" s="129" t="s">
        <v>16970</v>
      </c>
    </row>
    <row r="5336" spans="1:4">
      <c r="A5336" s="105">
        <v>102284</v>
      </c>
      <c r="B5336" s="104" t="s">
        <v>12915</v>
      </c>
      <c r="C5336" s="104" t="s">
        <v>28</v>
      </c>
      <c r="D5336" s="129" t="s">
        <v>19250</v>
      </c>
    </row>
    <row r="5337" spans="1:4">
      <c r="A5337" s="105">
        <v>102285</v>
      </c>
      <c r="B5337" s="104" t="s">
        <v>12916</v>
      </c>
      <c r="C5337" s="104" t="s">
        <v>28</v>
      </c>
      <c r="D5337" s="129" t="s">
        <v>17197</v>
      </c>
    </row>
    <row r="5338" spans="1:4">
      <c r="A5338" s="105">
        <v>102286</v>
      </c>
      <c r="B5338" s="104" t="s">
        <v>12917</v>
      </c>
      <c r="C5338" s="104" t="s">
        <v>28</v>
      </c>
      <c r="D5338" s="129" t="s">
        <v>19160</v>
      </c>
    </row>
    <row r="5339" spans="1:4">
      <c r="A5339" s="105">
        <v>102287</v>
      </c>
      <c r="B5339" s="104" t="s">
        <v>12918</v>
      </c>
      <c r="C5339" s="104" t="s">
        <v>28</v>
      </c>
      <c r="D5339" s="129" t="s">
        <v>19251</v>
      </c>
    </row>
    <row r="5340" spans="1:4">
      <c r="A5340" s="105">
        <v>102288</v>
      </c>
      <c r="B5340" s="104" t="s">
        <v>12919</v>
      </c>
      <c r="C5340" s="104" t="s">
        <v>28</v>
      </c>
      <c r="D5340" s="129" t="s">
        <v>17176</v>
      </c>
    </row>
    <row r="5341" spans="1:4">
      <c r="A5341" s="105">
        <v>102289</v>
      </c>
      <c r="B5341" s="104" t="s">
        <v>12920</v>
      </c>
      <c r="C5341" s="104" t="s">
        <v>28</v>
      </c>
      <c r="D5341" s="129" t="s">
        <v>19252</v>
      </c>
    </row>
    <row r="5342" spans="1:4">
      <c r="A5342" s="105">
        <v>102290</v>
      </c>
      <c r="B5342" s="104" t="s">
        <v>12921</v>
      </c>
      <c r="C5342" s="104" t="s">
        <v>28</v>
      </c>
      <c r="D5342" s="129" t="s">
        <v>19253</v>
      </c>
    </row>
    <row r="5343" spans="1:4">
      <c r="A5343" s="105">
        <v>102291</v>
      </c>
      <c r="B5343" s="104" t="s">
        <v>12922</v>
      </c>
      <c r="C5343" s="104" t="s">
        <v>28</v>
      </c>
      <c r="D5343" s="129" t="s">
        <v>19254</v>
      </c>
    </row>
    <row r="5344" spans="1:4">
      <c r="A5344" s="105">
        <v>102292</v>
      </c>
      <c r="B5344" s="104" t="s">
        <v>12923</v>
      </c>
      <c r="C5344" s="104" t="s">
        <v>28</v>
      </c>
      <c r="D5344" s="129" t="s">
        <v>19255</v>
      </c>
    </row>
    <row r="5345" spans="1:4">
      <c r="A5345" s="105">
        <v>102293</v>
      </c>
      <c r="B5345" s="104" t="s">
        <v>12924</v>
      </c>
      <c r="C5345" s="104" t="s">
        <v>28</v>
      </c>
      <c r="D5345" s="129" t="s">
        <v>19256</v>
      </c>
    </row>
    <row r="5346" spans="1:4">
      <c r="A5346" s="105">
        <v>102294</v>
      </c>
      <c r="B5346" s="104" t="s">
        <v>12925</v>
      </c>
      <c r="C5346" s="104" t="s">
        <v>28</v>
      </c>
      <c r="D5346" s="129" t="s">
        <v>19257</v>
      </c>
    </row>
    <row r="5347" spans="1:4">
      <c r="A5347" s="105">
        <v>102295</v>
      </c>
      <c r="B5347" s="104" t="s">
        <v>12926</v>
      </c>
      <c r="C5347" s="104" t="s">
        <v>28</v>
      </c>
      <c r="D5347" s="129" t="s">
        <v>14939</v>
      </c>
    </row>
    <row r="5348" spans="1:4">
      <c r="A5348" s="105">
        <v>102296</v>
      </c>
      <c r="B5348" s="104" t="s">
        <v>12927</v>
      </c>
      <c r="C5348" s="104" t="s">
        <v>28</v>
      </c>
      <c r="D5348" s="129" t="s">
        <v>15339</v>
      </c>
    </row>
    <row r="5349" spans="1:4">
      <c r="A5349" s="105">
        <v>102297</v>
      </c>
      <c r="B5349" s="104" t="s">
        <v>12928</v>
      </c>
      <c r="C5349" s="104" t="s">
        <v>28</v>
      </c>
      <c r="D5349" s="129" t="s">
        <v>15707</v>
      </c>
    </row>
    <row r="5350" spans="1:4">
      <c r="A5350" s="105">
        <v>102298</v>
      </c>
      <c r="B5350" s="104" t="s">
        <v>12929</v>
      </c>
      <c r="C5350" s="104" t="s">
        <v>28</v>
      </c>
      <c r="D5350" s="129" t="s">
        <v>19258</v>
      </c>
    </row>
    <row r="5351" spans="1:4">
      <c r="A5351" s="105">
        <v>102299</v>
      </c>
      <c r="B5351" s="104" t="s">
        <v>12930</v>
      </c>
      <c r="C5351" s="104" t="s">
        <v>28</v>
      </c>
      <c r="D5351" s="129" t="s">
        <v>19259</v>
      </c>
    </row>
    <row r="5352" spans="1:4">
      <c r="A5352" s="105">
        <v>102300</v>
      </c>
      <c r="B5352" s="104" t="s">
        <v>12931</v>
      </c>
      <c r="C5352" s="104" t="s">
        <v>28</v>
      </c>
      <c r="D5352" s="129" t="s">
        <v>19260</v>
      </c>
    </row>
    <row r="5353" spans="1:4">
      <c r="A5353" s="105">
        <v>102301</v>
      </c>
      <c r="B5353" s="104" t="s">
        <v>12932</v>
      </c>
      <c r="C5353" s="104" t="s">
        <v>28</v>
      </c>
      <c r="D5353" s="129" t="s">
        <v>15170</v>
      </c>
    </row>
    <row r="5354" spans="1:4">
      <c r="A5354" s="105">
        <v>102302</v>
      </c>
      <c r="B5354" s="104" t="s">
        <v>12933</v>
      </c>
      <c r="C5354" s="104" t="s">
        <v>28</v>
      </c>
      <c r="D5354" s="129" t="s">
        <v>19085</v>
      </c>
    </row>
    <row r="5355" spans="1:4">
      <c r="A5355" s="105">
        <v>102303</v>
      </c>
      <c r="B5355" s="104" t="s">
        <v>12934</v>
      </c>
      <c r="C5355" s="104" t="s">
        <v>28</v>
      </c>
      <c r="D5355" s="129" t="s">
        <v>17232</v>
      </c>
    </row>
    <row r="5356" spans="1:4">
      <c r="A5356" s="105">
        <v>102304</v>
      </c>
      <c r="B5356" s="104" t="s">
        <v>12935</v>
      </c>
      <c r="C5356" s="104" t="s">
        <v>28</v>
      </c>
      <c r="D5356" s="129" t="s">
        <v>17716</v>
      </c>
    </row>
    <row r="5357" spans="1:4">
      <c r="A5357" s="105">
        <v>102305</v>
      </c>
      <c r="B5357" s="104" t="s">
        <v>12936</v>
      </c>
      <c r="C5357" s="104" t="s">
        <v>28</v>
      </c>
      <c r="D5357" s="129" t="s">
        <v>17184</v>
      </c>
    </row>
    <row r="5358" spans="1:4">
      <c r="A5358" s="105">
        <v>102306</v>
      </c>
      <c r="B5358" s="104" t="s">
        <v>12937</v>
      </c>
      <c r="C5358" s="104" t="s">
        <v>28</v>
      </c>
      <c r="D5358" s="129" t="s">
        <v>19261</v>
      </c>
    </row>
    <row r="5359" spans="1:4">
      <c r="A5359" s="105">
        <v>102307</v>
      </c>
      <c r="B5359" s="104" t="s">
        <v>12938</v>
      </c>
      <c r="C5359" s="104" t="s">
        <v>28</v>
      </c>
      <c r="D5359" s="129" t="s">
        <v>19249</v>
      </c>
    </row>
    <row r="5360" spans="1:4">
      <c r="A5360" s="105">
        <v>102308</v>
      </c>
      <c r="B5360" s="104" t="s">
        <v>12939</v>
      </c>
      <c r="C5360" s="104" t="s">
        <v>28</v>
      </c>
      <c r="D5360" s="129" t="s">
        <v>18663</v>
      </c>
    </row>
    <row r="5361" spans="1:4">
      <c r="A5361" s="105">
        <v>102309</v>
      </c>
      <c r="B5361" s="104" t="s">
        <v>12940</v>
      </c>
      <c r="C5361" s="104" t="s">
        <v>28</v>
      </c>
      <c r="D5361" s="129" t="s">
        <v>18038</v>
      </c>
    </row>
    <row r="5362" spans="1:4">
      <c r="A5362" s="105">
        <v>102310</v>
      </c>
      <c r="B5362" s="104" t="s">
        <v>12941</v>
      </c>
      <c r="C5362" s="104" t="s">
        <v>28</v>
      </c>
      <c r="D5362" s="129" t="s">
        <v>19262</v>
      </c>
    </row>
    <row r="5363" spans="1:4">
      <c r="A5363" s="105">
        <v>102311</v>
      </c>
      <c r="B5363" s="104" t="s">
        <v>12942</v>
      </c>
      <c r="C5363" s="104" t="s">
        <v>28</v>
      </c>
      <c r="D5363" s="129" t="s">
        <v>15998</v>
      </c>
    </row>
    <row r="5364" spans="1:4">
      <c r="A5364" s="105">
        <v>102312</v>
      </c>
      <c r="B5364" s="104" t="s">
        <v>12943</v>
      </c>
      <c r="C5364" s="104" t="s">
        <v>28</v>
      </c>
      <c r="D5364" s="129" t="s">
        <v>19263</v>
      </c>
    </row>
    <row r="5365" spans="1:4">
      <c r="A5365" s="105">
        <v>102313</v>
      </c>
      <c r="B5365" s="104" t="s">
        <v>12944</v>
      </c>
      <c r="C5365" s="104" t="s">
        <v>28</v>
      </c>
      <c r="D5365" s="129" t="s">
        <v>19264</v>
      </c>
    </row>
    <row r="5366" spans="1:4">
      <c r="A5366" s="105">
        <v>102314</v>
      </c>
      <c r="B5366" s="104" t="s">
        <v>12945</v>
      </c>
      <c r="C5366" s="104" t="s">
        <v>28</v>
      </c>
      <c r="D5366" s="129" t="s">
        <v>17264</v>
      </c>
    </row>
    <row r="5367" spans="1:4">
      <c r="A5367" s="105">
        <v>102315</v>
      </c>
      <c r="B5367" s="104" t="s">
        <v>12946</v>
      </c>
      <c r="C5367" s="104" t="s">
        <v>28</v>
      </c>
      <c r="D5367" s="129" t="s">
        <v>19265</v>
      </c>
    </row>
    <row r="5368" spans="1:4">
      <c r="A5368" s="105">
        <v>102316</v>
      </c>
      <c r="B5368" s="104" t="s">
        <v>12947</v>
      </c>
      <c r="C5368" s="104" t="s">
        <v>28</v>
      </c>
      <c r="D5368" s="129" t="s">
        <v>15572</v>
      </c>
    </row>
    <row r="5369" spans="1:4">
      <c r="A5369" s="105">
        <v>102317</v>
      </c>
      <c r="B5369" s="104" t="s">
        <v>12948</v>
      </c>
      <c r="C5369" s="104" t="s">
        <v>28</v>
      </c>
      <c r="D5369" s="129" t="s">
        <v>19266</v>
      </c>
    </row>
    <row r="5370" spans="1:4">
      <c r="A5370" s="105">
        <v>102318</v>
      </c>
      <c r="B5370" s="104" t="s">
        <v>12949</v>
      </c>
      <c r="C5370" s="104" t="s">
        <v>28</v>
      </c>
      <c r="D5370" s="129" t="s">
        <v>15772</v>
      </c>
    </row>
    <row r="5371" spans="1:4">
      <c r="A5371" s="105">
        <v>102319</v>
      </c>
      <c r="B5371" s="104" t="s">
        <v>12950</v>
      </c>
      <c r="C5371" s="104" t="s">
        <v>28</v>
      </c>
      <c r="D5371" s="129" t="s">
        <v>18646</v>
      </c>
    </row>
    <row r="5372" spans="1:4">
      <c r="A5372" s="105">
        <v>102320</v>
      </c>
      <c r="B5372" s="104" t="s">
        <v>12951</v>
      </c>
      <c r="C5372" s="104" t="s">
        <v>28</v>
      </c>
      <c r="D5372" s="129" t="s">
        <v>17184</v>
      </c>
    </row>
    <row r="5373" spans="1:4">
      <c r="A5373" s="105">
        <v>102321</v>
      </c>
      <c r="B5373" s="104" t="s">
        <v>12952</v>
      </c>
      <c r="C5373" s="104" t="s">
        <v>28</v>
      </c>
      <c r="D5373" s="129" t="s">
        <v>15460</v>
      </c>
    </row>
    <row r="5374" spans="1:4">
      <c r="A5374" s="105">
        <v>102322</v>
      </c>
      <c r="B5374" s="104" t="s">
        <v>12953</v>
      </c>
      <c r="C5374" s="104" t="s">
        <v>28</v>
      </c>
      <c r="D5374" s="129" t="s">
        <v>19267</v>
      </c>
    </row>
    <row r="5375" spans="1:4">
      <c r="A5375" s="105">
        <v>102323</v>
      </c>
      <c r="B5375" s="104" t="s">
        <v>12954</v>
      </c>
      <c r="C5375" s="104" t="s">
        <v>28</v>
      </c>
      <c r="D5375" s="129" t="s">
        <v>16924</v>
      </c>
    </row>
    <row r="5376" spans="1:4">
      <c r="A5376" s="105">
        <v>102324</v>
      </c>
      <c r="B5376" s="104" t="s">
        <v>12955</v>
      </c>
      <c r="C5376" s="104" t="s">
        <v>28</v>
      </c>
      <c r="D5376" s="129" t="s">
        <v>16905</v>
      </c>
    </row>
    <row r="5377" spans="1:4">
      <c r="A5377" s="105">
        <v>102325</v>
      </c>
      <c r="B5377" s="104" t="s">
        <v>12956</v>
      </c>
      <c r="C5377" s="104" t="s">
        <v>28</v>
      </c>
      <c r="D5377" s="129" t="s">
        <v>15008</v>
      </c>
    </row>
    <row r="5378" spans="1:4">
      <c r="A5378" s="105">
        <v>102326</v>
      </c>
      <c r="B5378" s="104" t="s">
        <v>12957</v>
      </c>
      <c r="C5378" s="104" t="s">
        <v>28</v>
      </c>
      <c r="D5378" s="129" t="s">
        <v>19268</v>
      </c>
    </row>
    <row r="5379" spans="1:4">
      <c r="A5379" s="105">
        <v>102327</v>
      </c>
      <c r="B5379" s="104" t="s">
        <v>12958</v>
      </c>
      <c r="C5379" s="104" t="s">
        <v>28</v>
      </c>
      <c r="D5379" s="129" t="s">
        <v>17796</v>
      </c>
    </row>
    <row r="5380" spans="1:4">
      <c r="A5380" s="105">
        <v>102328</v>
      </c>
      <c r="B5380" s="104" t="s">
        <v>12959</v>
      </c>
      <c r="C5380" s="104" t="s">
        <v>28</v>
      </c>
      <c r="D5380" s="129" t="s">
        <v>18583</v>
      </c>
    </row>
    <row r="5381" spans="1:4">
      <c r="A5381" s="105">
        <v>102329</v>
      </c>
      <c r="B5381" s="104" t="s">
        <v>12960</v>
      </c>
      <c r="C5381" s="104" t="s">
        <v>28</v>
      </c>
      <c r="D5381" s="129" t="s">
        <v>19269</v>
      </c>
    </row>
    <row r="5382" spans="1:4">
      <c r="A5382" s="105">
        <v>94304</v>
      </c>
      <c r="B5382" s="104" t="s">
        <v>5357</v>
      </c>
      <c r="C5382" s="104" t="s">
        <v>28</v>
      </c>
      <c r="D5382" s="129" t="s">
        <v>19270</v>
      </c>
    </row>
    <row r="5383" spans="1:4">
      <c r="A5383" s="105">
        <v>94305</v>
      </c>
      <c r="B5383" s="104" t="s">
        <v>5358</v>
      </c>
      <c r="C5383" s="104" t="s">
        <v>28</v>
      </c>
      <c r="D5383" s="129" t="s">
        <v>19271</v>
      </c>
    </row>
    <row r="5384" spans="1:4">
      <c r="A5384" s="105">
        <v>94306</v>
      </c>
      <c r="B5384" s="104" t="s">
        <v>5359</v>
      </c>
      <c r="C5384" s="104" t="s">
        <v>28</v>
      </c>
      <c r="D5384" s="129" t="s">
        <v>19272</v>
      </c>
    </row>
    <row r="5385" spans="1:4">
      <c r="A5385" s="105">
        <v>94307</v>
      </c>
      <c r="B5385" s="104" t="s">
        <v>5360</v>
      </c>
      <c r="C5385" s="104" t="s">
        <v>28</v>
      </c>
      <c r="D5385" s="129" t="s">
        <v>19273</v>
      </c>
    </row>
    <row r="5386" spans="1:4">
      <c r="A5386" s="105">
        <v>94308</v>
      </c>
      <c r="B5386" s="104" t="s">
        <v>5361</v>
      </c>
      <c r="C5386" s="104" t="s">
        <v>28</v>
      </c>
      <c r="D5386" s="129" t="s">
        <v>19274</v>
      </c>
    </row>
    <row r="5387" spans="1:4">
      <c r="A5387" s="105">
        <v>94309</v>
      </c>
      <c r="B5387" s="104" t="s">
        <v>5362</v>
      </c>
      <c r="C5387" s="104" t="s">
        <v>28</v>
      </c>
      <c r="D5387" s="129" t="s">
        <v>19275</v>
      </c>
    </row>
    <row r="5388" spans="1:4">
      <c r="A5388" s="105">
        <v>94310</v>
      </c>
      <c r="B5388" s="104" t="s">
        <v>5363</v>
      </c>
      <c r="C5388" s="104" t="s">
        <v>28</v>
      </c>
      <c r="D5388" s="129" t="s">
        <v>17085</v>
      </c>
    </row>
    <row r="5389" spans="1:4">
      <c r="A5389" s="105">
        <v>94315</v>
      </c>
      <c r="B5389" s="104" t="s">
        <v>5364</v>
      </c>
      <c r="C5389" s="104" t="s">
        <v>28</v>
      </c>
      <c r="D5389" s="129" t="s">
        <v>19276</v>
      </c>
    </row>
    <row r="5390" spans="1:4">
      <c r="A5390" s="105">
        <v>94316</v>
      </c>
      <c r="B5390" s="104" t="s">
        <v>5365</v>
      </c>
      <c r="C5390" s="104" t="s">
        <v>28</v>
      </c>
      <c r="D5390" s="129" t="s">
        <v>19277</v>
      </c>
    </row>
    <row r="5391" spans="1:4">
      <c r="A5391" s="105">
        <v>94317</v>
      </c>
      <c r="B5391" s="104" t="s">
        <v>5366</v>
      </c>
      <c r="C5391" s="104" t="s">
        <v>28</v>
      </c>
      <c r="D5391" s="129" t="s">
        <v>19278</v>
      </c>
    </row>
    <row r="5392" spans="1:4">
      <c r="A5392" s="105">
        <v>94318</v>
      </c>
      <c r="B5392" s="104" t="s">
        <v>5367</v>
      </c>
      <c r="C5392" s="104" t="s">
        <v>28</v>
      </c>
      <c r="D5392" s="129" t="s">
        <v>19279</v>
      </c>
    </row>
    <row r="5393" spans="1:4">
      <c r="A5393" s="105">
        <v>94319</v>
      </c>
      <c r="B5393" s="104" t="s">
        <v>5368</v>
      </c>
      <c r="C5393" s="104" t="s">
        <v>28</v>
      </c>
      <c r="D5393" s="129" t="s">
        <v>19280</v>
      </c>
    </row>
    <row r="5394" spans="1:4">
      <c r="A5394" s="105">
        <v>94327</v>
      </c>
      <c r="B5394" s="104" t="s">
        <v>5369</v>
      </c>
      <c r="C5394" s="104" t="s">
        <v>28</v>
      </c>
      <c r="D5394" s="129" t="s">
        <v>15196</v>
      </c>
    </row>
    <row r="5395" spans="1:4">
      <c r="A5395" s="105">
        <v>94328</v>
      </c>
      <c r="B5395" s="104" t="s">
        <v>5370</v>
      </c>
      <c r="C5395" s="104" t="s">
        <v>28</v>
      </c>
      <c r="D5395" s="129" t="s">
        <v>18809</v>
      </c>
    </row>
    <row r="5396" spans="1:4">
      <c r="A5396" s="105">
        <v>94329</v>
      </c>
      <c r="B5396" s="104" t="s">
        <v>5371</v>
      </c>
      <c r="C5396" s="104" t="s">
        <v>28</v>
      </c>
      <c r="D5396" s="129" t="s">
        <v>19281</v>
      </c>
    </row>
    <row r="5397" spans="1:4">
      <c r="A5397" s="105">
        <v>94330</v>
      </c>
      <c r="B5397" s="104" t="s">
        <v>5372</v>
      </c>
      <c r="C5397" s="104" t="s">
        <v>28</v>
      </c>
      <c r="D5397" s="129" t="s">
        <v>19282</v>
      </c>
    </row>
    <row r="5398" spans="1:4">
      <c r="A5398" s="105">
        <v>94331</v>
      </c>
      <c r="B5398" s="104" t="s">
        <v>5373</v>
      </c>
      <c r="C5398" s="104" t="s">
        <v>28</v>
      </c>
      <c r="D5398" s="129" t="s">
        <v>19283</v>
      </c>
    </row>
    <row r="5399" spans="1:4">
      <c r="A5399" s="105">
        <v>94332</v>
      </c>
      <c r="B5399" s="104" t="s">
        <v>5374</v>
      </c>
      <c r="C5399" s="104" t="s">
        <v>28</v>
      </c>
      <c r="D5399" s="129" t="s">
        <v>15305</v>
      </c>
    </row>
    <row r="5400" spans="1:4">
      <c r="A5400" s="105">
        <v>94333</v>
      </c>
      <c r="B5400" s="104" t="s">
        <v>5375</v>
      </c>
      <c r="C5400" s="104" t="s">
        <v>28</v>
      </c>
      <c r="D5400" s="129" t="s">
        <v>18195</v>
      </c>
    </row>
    <row r="5401" spans="1:4">
      <c r="A5401" s="105">
        <v>94338</v>
      </c>
      <c r="B5401" s="104" t="s">
        <v>5376</v>
      </c>
      <c r="C5401" s="104" t="s">
        <v>28</v>
      </c>
      <c r="D5401" s="129" t="s">
        <v>19284</v>
      </c>
    </row>
    <row r="5402" spans="1:4">
      <c r="A5402" s="105">
        <v>94339</v>
      </c>
      <c r="B5402" s="104" t="s">
        <v>5377</v>
      </c>
      <c r="C5402" s="104" t="s">
        <v>28</v>
      </c>
      <c r="D5402" s="129" t="s">
        <v>15398</v>
      </c>
    </row>
    <row r="5403" spans="1:4">
      <c r="A5403" s="105">
        <v>94340</v>
      </c>
      <c r="B5403" s="104" t="s">
        <v>5378</v>
      </c>
      <c r="C5403" s="104" t="s">
        <v>28</v>
      </c>
      <c r="D5403" s="129" t="s">
        <v>19285</v>
      </c>
    </row>
    <row r="5404" spans="1:4">
      <c r="A5404" s="105">
        <v>94341</v>
      </c>
      <c r="B5404" s="104" t="s">
        <v>5379</v>
      </c>
      <c r="C5404" s="104" t="s">
        <v>28</v>
      </c>
      <c r="D5404" s="129" t="s">
        <v>19286</v>
      </c>
    </row>
    <row r="5405" spans="1:4">
      <c r="A5405" s="105">
        <v>94342</v>
      </c>
      <c r="B5405" s="104" t="s">
        <v>5380</v>
      </c>
      <c r="C5405" s="104" t="s">
        <v>28</v>
      </c>
      <c r="D5405" s="129" t="s">
        <v>19287</v>
      </c>
    </row>
    <row r="5406" spans="1:4">
      <c r="A5406" s="105">
        <v>96385</v>
      </c>
      <c r="B5406" s="104" t="s">
        <v>5381</v>
      </c>
      <c r="C5406" s="104" t="s">
        <v>28</v>
      </c>
      <c r="D5406" s="129" t="s">
        <v>19288</v>
      </c>
    </row>
    <row r="5407" spans="1:4">
      <c r="A5407" s="105">
        <v>96386</v>
      </c>
      <c r="B5407" s="104" t="s">
        <v>5382</v>
      </c>
      <c r="C5407" s="104" t="s">
        <v>28</v>
      </c>
      <c r="D5407" s="129" t="s">
        <v>19289</v>
      </c>
    </row>
    <row r="5408" spans="1:4">
      <c r="A5408" s="105">
        <v>93360</v>
      </c>
      <c r="B5408" s="104" t="s">
        <v>5383</v>
      </c>
      <c r="C5408" s="104" t="s">
        <v>28</v>
      </c>
      <c r="D5408" s="129" t="s">
        <v>16618</v>
      </c>
    </row>
    <row r="5409" spans="1:4">
      <c r="A5409" s="105">
        <v>93361</v>
      </c>
      <c r="B5409" s="104" t="s">
        <v>5384</v>
      </c>
      <c r="C5409" s="104" t="s">
        <v>28</v>
      </c>
      <c r="D5409" s="129" t="s">
        <v>19215</v>
      </c>
    </row>
    <row r="5410" spans="1:4">
      <c r="A5410" s="105">
        <v>93362</v>
      </c>
      <c r="B5410" s="104" t="s">
        <v>5385</v>
      </c>
      <c r="C5410" s="104" t="s">
        <v>28</v>
      </c>
      <c r="D5410" s="129" t="s">
        <v>19290</v>
      </c>
    </row>
    <row r="5411" spans="1:4">
      <c r="A5411" s="105">
        <v>93363</v>
      </c>
      <c r="B5411" s="104" t="s">
        <v>5386</v>
      </c>
      <c r="C5411" s="104" t="s">
        <v>28</v>
      </c>
      <c r="D5411" s="129" t="s">
        <v>16937</v>
      </c>
    </row>
    <row r="5412" spans="1:4">
      <c r="A5412" s="105">
        <v>93364</v>
      </c>
      <c r="B5412" s="104" t="s">
        <v>5387</v>
      </c>
      <c r="C5412" s="104" t="s">
        <v>28</v>
      </c>
      <c r="D5412" s="129" t="s">
        <v>17199</v>
      </c>
    </row>
    <row r="5413" spans="1:4">
      <c r="A5413" s="105">
        <v>93365</v>
      </c>
      <c r="B5413" s="104" t="s">
        <v>5388</v>
      </c>
      <c r="C5413" s="104" t="s">
        <v>28</v>
      </c>
      <c r="D5413" s="129" t="s">
        <v>19291</v>
      </c>
    </row>
    <row r="5414" spans="1:4">
      <c r="A5414" s="105">
        <v>93366</v>
      </c>
      <c r="B5414" s="104" t="s">
        <v>5389</v>
      </c>
      <c r="C5414" s="104" t="s">
        <v>28</v>
      </c>
      <c r="D5414" s="129" t="s">
        <v>15024</v>
      </c>
    </row>
    <row r="5415" spans="1:4">
      <c r="A5415" s="105">
        <v>93367</v>
      </c>
      <c r="B5415" s="104" t="s">
        <v>5390</v>
      </c>
      <c r="C5415" s="104" t="s">
        <v>28</v>
      </c>
      <c r="D5415" s="129" t="s">
        <v>18105</v>
      </c>
    </row>
    <row r="5416" spans="1:4">
      <c r="A5416" s="105">
        <v>93368</v>
      </c>
      <c r="B5416" s="104" t="s">
        <v>5391</v>
      </c>
      <c r="C5416" s="104" t="s">
        <v>28</v>
      </c>
      <c r="D5416" s="129" t="s">
        <v>19292</v>
      </c>
    </row>
    <row r="5417" spans="1:4">
      <c r="A5417" s="105">
        <v>93369</v>
      </c>
      <c r="B5417" s="104" t="s">
        <v>5392</v>
      </c>
      <c r="C5417" s="104" t="s">
        <v>28</v>
      </c>
      <c r="D5417" s="129" t="s">
        <v>19250</v>
      </c>
    </row>
    <row r="5418" spans="1:4">
      <c r="A5418" s="105">
        <v>93370</v>
      </c>
      <c r="B5418" s="104" t="s">
        <v>5393</v>
      </c>
      <c r="C5418" s="104" t="s">
        <v>28</v>
      </c>
      <c r="D5418" s="129" t="s">
        <v>18082</v>
      </c>
    </row>
    <row r="5419" spans="1:4">
      <c r="A5419" s="105">
        <v>93371</v>
      </c>
      <c r="B5419" s="104" t="s">
        <v>5394</v>
      </c>
      <c r="C5419" s="104" t="s">
        <v>28</v>
      </c>
      <c r="D5419" s="129" t="s">
        <v>19293</v>
      </c>
    </row>
    <row r="5420" spans="1:4">
      <c r="A5420" s="105">
        <v>93372</v>
      </c>
      <c r="B5420" s="104" t="s">
        <v>5395</v>
      </c>
      <c r="C5420" s="104" t="s">
        <v>28</v>
      </c>
      <c r="D5420" s="129" t="s">
        <v>18313</v>
      </c>
    </row>
    <row r="5421" spans="1:4">
      <c r="A5421" s="105">
        <v>93373</v>
      </c>
      <c r="B5421" s="104" t="s">
        <v>5396</v>
      </c>
      <c r="C5421" s="104" t="s">
        <v>28</v>
      </c>
      <c r="D5421" s="129" t="s">
        <v>19294</v>
      </c>
    </row>
    <row r="5422" spans="1:4">
      <c r="A5422" s="105">
        <v>93374</v>
      </c>
      <c r="B5422" s="104" t="s">
        <v>5397</v>
      </c>
      <c r="C5422" s="104" t="s">
        <v>28</v>
      </c>
      <c r="D5422" s="129" t="s">
        <v>19295</v>
      </c>
    </row>
    <row r="5423" spans="1:4">
      <c r="A5423" s="105">
        <v>93375</v>
      </c>
      <c r="B5423" s="104" t="s">
        <v>5398</v>
      </c>
      <c r="C5423" s="104" t="s">
        <v>28</v>
      </c>
      <c r="D5423" s="129" t="s">
        <v>19296</v>
      </c>
    </row>
    <row r="5424" spans="1:4">
      <c r="A5424" s="105">
        <v>93376</v>
      </c>
      <c r="B5424" s="104" t="s">
        <v>5399</v>
      </c>
      <c r="C5424" s="104" t="s">
        <v>28</v>
      </c>
      <c r="D5424" s="129" t="s">
        <v>19297</v>
      </c>
    </row>
    <row r="5425" spans="1:4">
      <c r="A5425" s="105">
        <v>93377</v>
      </c>
      <c r="B5425" s="104" t="s">
        <v>5400</v>
      </c>
      <c r="C5425" s="104" t="s">
        <v>28</v>
      </c>
      <c r="D5425" s="129" t="s">
        <v>19298</v>
      </c>
    </row>
    <row r="5426" spans="1:4">
      <c r="A5426" s="105">
        <v>93378</v>
      </c>
      <c r="B5426" s="104" t="s">
        <v>5401</v>
      </c>
      <c r="C5426" s="104" t="s">
        <v>28</v>
      </c>
      <c r="D5426" s="129" t="s">
        <v>17990</v>
      </c>
    </row>
    <row r="5427" spans="1:4">
      <c r="A5427" s="105">
        <v>93379</v>
      </c>
      <c r="B5427" s="104" t="s">
        <v>5402</v>
      </c>
      <c r="C5427" s="104" t="s">
        <v>28</v>
      </c>
      <c r="D5427" s="129" t="s">
        <v>19299</v>
      </c>
    </row>
    <row r="5428" spans="1:4">
      <c r="A5428" s="105">
        <v>93380</v>
      </c>
      <c r="B5428" s="104" t="s">
        <v>5403</v>
      </c>
      <c r="C5428" s="104" t="s">
        <v>28</v>
      </c>
      <c r="D5428" s="129" t="s">
        <v>15830</v>
      </c>
    </row>
    <row r="5429" spans="1:4">
      <c r="A5429" s="105">
        <v>93381</v>
      </c>
      <c r="B5429" s="104" t="s">
        <v>5404</v>
      </c>
      <c r="C5429" s="104" t="s">
        <v>28</v>
      </c>
      <c r="D5429" s="129" t="s">
        <v>18066</v>
      </c>
    </row>
    <row r="5430" spans="1:4">
      <c r="A5430" s="105">
        <v>93382</v>
      </c>
      <c r="B5430" s="104" t="s">
        <v>297</v>
      </c>
      <c r="C5430" s="104" t="s">
        <v>28</v>
      </c>
      <c r="D5430" s="129" t="s">
        <v>15406</v>
      </c>
    </row>
    <row r="5431" spans="1:4">
      <c r="A5431" s="105">
        <v>96995</v>
      </c>
      <c r="B5431" s="104" t="s">
        <v>5405</v>
      </c>
      <c r="C5431" s="104" t="s">
        <v>28</v>
      </c>
      <c r="D5431" s="129" t="s">
        <v>15405</v>
      </c>
    </row>
    <row r="5432" spans="1:4">
      <c r="A5432" s="105">
        <v>97916</v>
      </c>
      <c r="B5432" s="104" t="s">
        <v>5406</v>
      </c>
      <c r="C5432" s="104" t="s">
        <v>5407</v>
      </c>
      <c r="D5432" s="129" t="s">
        <v>19300</v>
      </c>
    </row>
    <row r="5433" spans="1:4">
      <c r="A5433" s="105">
        <v>97917</v>
      </c>
      <c r="B5433" s="104" t="s">
        <v>5408</v>
      </c>
      <c r="C5433" s="104" t="s">
        <v>5407</v>
      </c>
      <c r="D5433" s="129" t="s">
        <v>19301</v>
      </c>
    </row>
    <row r="5434" spans="1:4">
      <c r="A5434" s="105">
        <v>97918</v>
      </c>
      <c r="B5434" s="104" t="s">
        <v>5409</v>
      </c>
      <c r="C5434" s="104" t="s">
        <v>5407</v>
      </c>
      <c r="D5434" s="129" t="s">
        <v>19302</v>
      </c>
    </row>
    <row r="5435" spans="1:4">
      <c r="A5435" s="105">
        <v>97919</v>
      </c>
      <c r="B5435" s="104" t="s">
        <v>5410</v>
      </c>
      <c r="C5435" s="104" t="s">
        <v>5407</v>
      </c>
      <c r="D5435" s="129" t="s">
        <v>15521</v>
      </c>
    </row>
    <row r="5436" spans="1:4">
      <c r="A5436" s="105">
        <v>101616</v>
      </c>
      <c r="B5436" s="104" t="s">
        <v>296</v>
      </c>
      <c r="C5436" s="104" t="s">
        <v>12</v>
      </c>
      <c r="D5436" s="129" t="s">
        <v>15796</v>
      </c>
    </row>
    <row r="5437" spans="1:4">
      <c r="A5437" s="105">
        <v>101617</v>
      </c>
      <c r="B5437" s="104" t="s">
        <v>5411</v>
      </c>
      <c r="C5437" s="104" t="s">
        <v>12</v>
      </c>
      <c r="D5437" s="129" t="s">
        <v>15509</v>
      </c>
    </row>
    <row r="5438" spans="1:4">
      <c r="A5438" s="105">
        <v>101618</v>
      </c>
      <c r="B5438" s="104" t="s">
        <v>5412</v>
      </c>
      <c r="C5438" s="104" t="s">
        <v>28</v>
      </c>
      <c r="D5438" s="129" t="s">
        <v>19303</v>
      </c>
    </row>
    <row r="5439" spans="1:4">
      <c r="A5439" s="105">
        <v>101619</v>
      </c>
      <c r="B5439" s="104" t="s">
        <v>5413</v>
      </c>
      <c r="C5439" s="104" t="s">
        <v>28</v>
      </c>
      <c r="D5439" s="129" t="s">
        <v>19304</v>
      </c>
    </row>
    <row r="5440" spans="1:4">
      <c r="A5440" s="105">
        <v>101620</v>
      </c>
      <c r="B5440" s="104" t="s">
        <v>5414</v>
      </c>
      <c r="C5440" s="104" t="s">
        <v>28</v>
      </c>
      <c r="D5440" s="129" t="s">
        <v>19305</v>
      </c>
    </row>
    <row r="5441" spans="1:4">
      <c r="A5441" s="105">
        <v>101621</v>
      </c>
      <c r="B5441" s="104" t="s">
        <v>5415</v>
      </c>
      <c r="C5441" s="104" t="s">
        <v>28</v>
      </c>
      <c r="D5441" s="129" t="s">
        <v>19306</v>
      </c>
    </row>
    <row r="5442" spans="1:4">
      <c r="A5442" s="105">
        <v>101622</v>
      </c>
      <c r="B5442" s="104" t="s">
        <v>5416</v>
      </c>
      <c r="C5442" s="104" t="s">
        <v>28</v>
      </c>
      <c r="D5442" s="129" t="s">
        <v>19307</v>
      </c>
    </row>
    <row r="5443" spans="1:4">
      <c r="A5443" s="105">
        <v>101623</v>
      </c>
      <c r="B5443" s="104" t="s">
        <v>5417</v>
      </c>
      <c r="C5443" s="104" t="s">
        <v>28</v>
      </c>
      <c r="D5443" s="129" t="s">
        <v>19308</v>
      </c>
    </row>
    <row r="5444" spans="1:4">
      <c r="A5444" s="105">
        <v>101624</v>
      </c>
      <c r="B5444" s="104" t="s">
        <v>5418</v>
      </c>
      <c r="C5444" s="104" t="s">
        <v>28</v>
      </c>
      <c r="D5444" s="129" t="s">
        <v>19309</v>
      </c>
    </row>
    <row r="5445" spans="1:4">
      <c r="A5445" s="105">
        <v>101625</v>
      </c>
      <c r="B5445" s="104" t="s">
        <v>5419</v>
      </c>
      <c r="C5445" s="104" t="s">
        <v>28</v>
      </c>
      <c r="D5445" s="129" t="s">
        <v>19310</v>
      </c>
    </row>
    <row r="5446" spans="1:4">
      <c r="A5446" s="105">
        <v>95606</v>
      </c>
      <c r="B5446" s="104" t="s">
        <v>5420</v>
      </c>
      <c r="C5446" s="104" t="s">
        <v>28</v>
      </c>
      <c r="D5446" s="129" t="s">
        <v>19311</v>
      </c>
    </row>
    <row r="5447" spans="1:4">
      <c r="A5447" s="105">
        <v>101159</v>
      </c>
      <c r="B5447" s="104" t="s">
        <v>5421</v>
      </c>
      <c r="C5447" s="104" t="s">
        <v>12</v>
      </c>
      <c r="D5447" s="129" t="s">
        <v>19312</v>
      </c>
    </row>
    <row r="5448" spans="1:4">
      <c r="A5448" s="105">
        <v>103322</v>
      </c>
      <c r="B5448" s="104" t="s">
        <v>13777</v>
      </c>
      <c r="C5448" s="104" t="s">
        <v>12</v>
      </c>
      <c r="D5448" s="129" t="s">
        <v>18600</v>
      </c>
    </row>
    <row r="5449" spans="1:4">
      <c r="A5449" s="105">
        <v>103323</v>
      </c>
      <c r="B5449" s="104" t="s">
        <v>13778</v>
      </c>
      <c r="C5449" s="104" t="s">
        <v>12</v>
      </c>
      <c r="D5449" s="129" t="s">
        <v>19313</v>
      </c>
    </row>
    <row r="5450" spans="1:4">
      <c r="A5450" s="105">
        <v>103324</v>
      </c>
      <c r="B5450" s="104" t="s">
        <v>13779</v>
      </c>
      <c r="C5450" s="104" t="s">
        <v>12</v>
      </c>
      <c r="D5450" s="129" t="s">
        <v>19314</v>
      </c>
    </row>
    <row r="5451" spans="1:4">
      <c r="A5451" s="105">
        <v>103325</v>
      </c>
      <c r="B5451" s="104" t="s">
        <v>13780</v>
      </c>
      <c r="C5451" s="104" t="s">
        <v>12</v>
      </c>
      <c r="D5451" s="129" t="s">
        <v>19315</v>
      </c>
    </row>
    <row r="5452" spans="1:4">
      <c r="A5452" s="105">
        <v>103326</v>
      </c>
      <c r="B5452" s="104" t="s">
        <v>13781</v>
      </c>
      <c r="C5452" s="104" t="s">
        <v>12</v>
      </c>
      <c r="D5452" s="129" t="s">
        <v>19316</v>
      </c>
    </row>
    <row r="5453" spans="1:4">
      <c r="A5453" s="105">
        <v>103327</v>
      </c>
      <c r="B5453" s="104" t="s">
        <v>13782</v>
      </c>
      <c r="C5453" s="104" t="s">
        <v>12</v>
      </c>
      <c r="D5453" s="129" t="s">
        <v>19317</v>
      </c>
    </row>
    <row r="5454" spans="1:4">
      <c r="A5454" s="105">
        <v>103328</v>
      </c>
      <c r="B5454" s="104" t="s">
        <v>13783</v>
      </c>
      <c r="C5454" s="104" t="s">
        <v>12</v>
      </c>
      <c r="D5454" s="129" t="s">
        <v>19318</v>
      </c>
    </row>
    <row r="5455" spans="1:4">
      <c r="A5455" s="105">
        <v>103329</v>
      </c>
      <c r="B5455" s="104" t="s">
        <v>13784</v>
      </c>
      <c r="C5455" s="104" t="s">
        <v>12</v>
      </c>
      <c r="D5455" s="129" t="s">
        <v>19319</v>
      </c>
    </row>
    <row r="5456" spans="1:4">
      <c r="A5456" s="105">
        <v>103330</v>
      </c>
      <c r="B5456" s="104" t="s">
        <v>13785</v>
      </c>
      <c r="C5456" s="104" t="s">
        <v>12</v>
      </c>
      <c r="D5456" s="129" t="s">
        <v>19320</v>
      </c>
    </row>
    <row r="5457" spans="1:4">
      <c r="A5457" s="105">
        <v>103331</v>
      </c>
      <c r="B5457" s="104" t="s">
        <v>13786</v>
      </c>
      <c r="C5457" s="104" t="s">
        <v>12</v>
      </c>
      <c r="D5457" s="129" t="s">
        <v>19321</v>
      </c>
    </row>
    <row r="5458" spans="1:4">
      <c r="A5458" s="105">
        <v>103332</v>
      </c>
      <c r="B5458" s="104" t="s">
        <v>13787</v>
      </c>
      <c r="C5458" s="104" t="s">
        <v>12</v>
      </c>
      <c r="D5458" s="129" t="s">
        <v>19322</v>
      </c>
    </row>
    <row r="5459" spans="1:4">
      <c r="A5459" s="105">
        <v>103333</v>
      </c>
      <c r="B5459" s="104" t="s">
        <v>13788</v>
      </c>
      <c r="C5459" s="104" t="s">
        <v>12</v>
      </c>
      <c r="D5459" s="129" t="s">
        <v>19323</v>
      </c>
    </row>
    <row r="5460" spans="1:4">
      <c r="A5460" s="105">
        <v>103334</v>
      </c>
      <c r="B5460" s="104" t="s">
        <v>13789</v>
      </c>
      <c r="C5460" s="104" t="s">
        <v>12</v>
      </c>
      <c r="D5460" s="129" t="s">
        <v>19324</v>
      </c>
    </row>
    <row r="5461" spans="1:4">
      <c r="A5461" s="105">
        <v>103335</v>
      </c>
      <c r="B5461" s="104" t="s">
        <v>13790</v>
      </c>
      <c r="C5461" s="104" t="s">
        <v>12</v>
      </c>
      <c r="D5461" s="129" t="s">
        <v>19325</v>
      </c>
    </row>
    <row r="5462" spans="1:4">
      <c r="A5462" s="105">
        <v>103350</v>
      </c>
      <c r="B5462" s="104" t="s">
        <v>13791</v>
      </c>
      <c r="C5462" s="104" t="s">
        <v>12</v>
      </c>
      <c r="D5462" s="129" t="s">
        <v>15153</v>
      </c>
    </row>
    <row r="5463" spans="1:4">
      <c r="A5463" s="105">
        <v>103351</v>
      </c>
      <c r="B5463" s="104" t="s">
        <v>13792</v>
      </c>
      <c r="C5463" s="104" t="s">
        <v>12</v>
      </c>
      <c r="D5463" s="129" t="s">
        <v>19326</v>
      </c>
    </row>
    <row r="5464" spans="1:4">
      <c r="A5464" s="105">
        <v>103356</v>
      </c>
      <c r="B5464" s="104" t="s">
        <v>13793</v>
      </c>
      <c r="C5464" s="104" t="s">
        <v>12</v>
      </c>
      <c r="D5464" s="129" t="s">
        <v>19327</v>
      </c>
    </row>
    <row r="5465" spans="1:4">
      <c r="A5465" s="105">
        <v>103357</v>
      </c>
      <c r="B5465" s="104" t="s">
        <v>13794</v>
      </c>
      <c r="C5465" s="104" t="s">
        <v>12</v>
      </c>
      <c r="D5465" s="129" t="s">
        <v>19328</v>
      </c>
    </row>
    <row r="5466" spans="1:4">
      <c r="A5466" s="105">
        <v>89282</v>
      </c>
      <c r="B5466" s="104" t="s">
        <v>5422</v>
      </c>
      <c r="C5466" s="104" t="s">
        <v>12</v>
      </c>
      <c r="D5466" s="129" t="s">
        <v>19329</v>
      </c>
    </row>
    <row r="5467" spans="1:4">
      <c r="A5467" s="105">
        <v>89283</v>
      </c>
      <c r="B5467" s="104" t="s">
        <v>5423</v>
      </c>
      <c r="C5467" s="104" t="s">
        <v>12</v>
      </c>
      <c r="D5467" s="129" t="s">
        <v>19330</v>
      </c>
    </row>
    <row r="5468" spans="1:4">
      <c r="A5468" s="105">
        <v>89284</v>
      </c>
      <c r="B5468" s="104" t="s">
        <v>5424</v>
      </c>
      <c r="C5468" s="104" t="s">
        <v>12</v>
      </c>
      <c r="D5468" s="129" t="s">
        <v>19331</v>
      </c>
    </row>
    <row r="5469" spans="1:4">
      <c r="A5469" s="105">
        <v>89285</v>
      </c>
      <c r="B5469" s="104" t="s">
        <v>5425</v>
      </c>
      <c r="C5469" s="104" t="s">
        <v>12</v>
      </c>
      <c r="D5469" s="129" t="s">
        <v>19332</v>
      </c>
    </row>
    <row r="5470" spans="1:4">
      <c r="A5470" s="105">
        <v>89286</v>
      </c>
      <c r="B5470" s="104" t="s">
        <v>5426</v>
      </c>
      <c r="C5470" s="104" t="s">
        <v>12</v>
      </c>
      <c r="D5470" s="129" t="s">
        <v>19333</v>
      </c>
    </row>
    <row r="5471" spans="1:4">
      <c r="A5471" s="105">
        <v>89287</v>
      </c>
      <c r="B5471" s="104" t="s">
        <v>5427</v>
      </c>
      <c r="C5471" s="104" t="s">
        <v>12</v>
      </c>
      <c r="D5471" s="129" t="s">
        <v>19334</v>
      </c>
    </row>
    <row r="5472" spans="1:4">
      <c r="A5472" s="105">
        <v>89288</v>
      </c>
      <c r="B5472" s="104" t="s">
        <v>5428</v>
      </c>
      <c r="C5472" s="104" t="s">
        <v>12</v>
      </c>
      <c r="D5472" s="129" t="s">
        <v>19335</v>
      </c>
    </row>
    <row r="5473" spans="1:4">
      <c r="A5473" s="105">
        <v>89289</v>
      </c>
      <c r="B5473" s="104" t="s">
        <v>5429</v>
      </c>
      <c r="C5473" s="104" t="s">
        <v>12</v>
      </c>
      <c r="D5473" s="129" t="s">
        <v>19336</v>
      </c>
    </row>
    <row r="5474" spans="1:4">
      <c r="A5474" s="105">
        <v>89290</v>
      </c>
      <c r="B5474" s="104" t="s">
        <v>5430</v>
      </c>
      <c r="C5474" s="104" t="s">
        <v>12</v>
      </c>
      <c r="D5474" s="129" t="s">
        <v>19337</v>
      </c>
    </row>
    <row r="5475" spans="1:4">
      <c r="A5475" s="105">
        <v>89291</v>
      </c>
      <c r="B5475" s="104" t="s">
        <v>5431</v>
      </c>
      <c r="C5475" s="104" t="s">
        <v>12</v>
      </c>
      <c r="D5475" s="129" t="s">
        <v>19338</v>
      </c>
    </row>
    <row r="5476" spans="1:4">
      <c r="A5476" s="105">
        <v>89292</v>
      </c>
      <c r="B5476" s="104" t="s">
        <v>5432</v>
      </c>
      <c r="C5476" s="104" t="s">
        <v>12</v>
      </c>
      <c r="D5476" s="129" t="s">
        <v>19339</v>
      </c>
    </row>
    <row r="5477" spans="1:4">
      <c r="A5477" s="105">
        <v>89293</v>
      </c>
      <c r="B5477" s="104" t="s">
        <v>5433</v>
      </c>
      <c r="C5477" s="104" t="s">
        <v>12</v>
      </c>
      <c r="D5477" s="129" t="s">
        <v>19340</v>
      </c>
    </row>
    <row r="5478" spans="1:4">
      <c r="A5478" s="105">
        <v>89294</v>
      </c>
      <c r="B5478" s="104" t="s">
        <v>5434</v>
      </c>
      <c r="C5478" s="104" t="s">
        <v>12</v>
      </c>
      <c r="D5478" s="129" t="s">
        <v>19341</v>
      </c>
    </row>
    <row r="5479" spans="1:4">
      <c r="A5479" s="105">
        <v>89295</v>
      </c>
      <c r="B5479" s="104" t="s">
        <v>5435</v>
      </c>
      <c r="C5479" s="104" t="s">
        <v>12</v>
      </c>
      <c r="D5479" s="129" t="s">
        <v>19342</v>
      </c>
    </row>
    <row r="5480" spans="1:4">
      <c r="A5480" s="105">
        <v>89296</v>
      </c>
      <c r="B5480" s="104" t="s">
        <v>5436</v>
      </c>
      <c r="C5480" s="104" t="s">
        <v>12</v>
      </c>
      <c r="D5480" s="129" t="s">
        <v>19343</v>
      </c>
    </row>
    <row r="5481" spans="1:4">
      <c r="A5481" s="105">
        <v>89297</v>
      </c>
      <c r="B5481" s="104" t="s">
        <v>5437</v>
      </c>
      <c r="C5481" s="104" t="s">
        <v>12</v>
      </c>
      <c r="D5481" s="129" t="s">
        <v>19344</v>
      </c>
    </row>
    <row r="5482" spans="1:4">
      <c r="A5482" s="105">
        <v>89298</v>
      </c>
      <c r="B5482" s="104" t="s">
        <v>5438</v>
      </c>
      <c r="C5482" s="104" t="s">
        <v>12</v>
      </c>
      <c r="D5482" s="129" t="s">
        <v>14903</v>
      </c>
    </row>
    <row r="5483" spans="1:4">
      <c r="A5483" s="105">
        <v>89299</v>
      </c>
      <c r="B5483" s="104" t="s">
        <v>5439</v>
      </c>
      <c r="C5483" s="104" t="s">
        <v>12</v>
      </c>
      <c r="D5483" s="129" t="s">
        <v>19345</v>
      </c>
    </row>
    <row r="5484" spans="1:4">
      <c r="A5484" s="105">
        <v>89300</v>
      </c>
      <c r="B5484" s="104" t="s">
        <v>5440</v>
      </c>
      <c r="C5484" s="104" t="s">
        <v>12</v>
      </c>
      <c r="D5484" s="129" t="s">
        <v>19346</v>
      </c>
    </row>
    <row r="5485" spans="1:4">
      <c r="A5485" s="105">
        <v>89301</v>
      </c>
      <c r="B5485" s="104" t="s">
        <v>5441</v>
      </c>
      <c r="C5485" s="104" t="s">
        <v>12</v>
      </c>
      <c r="D5485" s="129" t="s">
        <v>19347</v>
      </c>
    </row>
    <row r="5486" spans="1:4">
      <c r="A5486" s="105">
        <v>89302</v>
      </c>
      <c r="B5486" s="104" t="s">
        <v>5442</v>
      </c>
      <c r="C5486" s="104" t="s">
        <v>12</v>
      </c>
      <c r="D5486" s="129" t="s">
        <v>19348</v>
      </c>
    </row>
    <row r="5487" spans="1:4">
      <c r="A5487" s="105">
        <v>89303</v>
      </c>
      <c r="B5487" s="104" t="s">
        <v>5443</v>
      </c>
      <c r="C5487" s="104" t="s">
        <v>12</v>
      </c>
      <c r="D5487" s="129" t="s">
        <v>19349</v>
      </c>
    </row>
    <row r="5488" spans="1:4">
      <c r="A5488" s="105">
        <v>89304</v>
      </c>
      <c r="B5488" s="104" t="s">
        <v>5444</v>
      </c>
      <c r="C5488" s="104" t="s">
        <v>12</v>
      </c>
      <c r="D5488" s="129" t="s">
        <v>19350</v>
      </c>
    </row>
    <row r="5489" spans="1:4">
      <c r="A5489" s="105">
        <v>89305</v>
      </c>
      <c r="B5489" s="104" t="s">
        <v>5445</v>
      </c>
      <c r="C5489" s="104" t="s">
        <v>12</v>
      </c>
      <c r="D5489" s="129" t="s">
        <v>19351</v>
      </c>
    </row>
    <row r="5490" spans="1:4">
      <c r="A5490" s="105">
        <v>89306</v>
      </c>
      <c r="B5490" s="104" t="s">
        <v>5446</v>
      </c>
      <c r="C5490" s="104" t="s">
        <v>12</v>
      </c>
      <c r="D5490" s="129" t="s">
        <v>19352</v>
      </c>
    </row>
    <row r="5491" spans="1:4">
      <c r="A5491" s="105">
        <v>89307</v>
      </c>
      <c r="B5491" s="104" t="s">
        <v>5447</v>
      </c>
      <c r="C5491" s="104" t="s">
        <v>12</v>
      </c>
      <c r="D5491" s="129" t="s">
        <v>19353</v>
      </c>
    </row>
    <row r="5492" spans="1:4">
      <c r="A5492" s="105">
        <v>89308</v>
      </c>
      <c r="B5492" s="104" t="s">
        <v>5448</v>
      </c>
      <c r="C5492" s="104" t="s">
        <v>12</v>
      </c>
      <c r="D5492" s="129" t="s">
        <v>19354</v>
      </c>
    </row>
    <row r="5493" spans="1:4">
      <c r="A5493" s="105">
        <v>89309</v>
      </c>
      <c r="B5493" s="104" t="s">
        <v>5449</v>
      </c>
      <c r="C5493" s="104" t="s">
        <v>12</v>
      </c>
      <c r="D5493" s="129" t="s">
        <v>19355</v>
      </c>
    </row>
    <row r="5494" spans="1:4">
      <c r="A5494" s="105">
        <v>89310</v>
      </c>
      <c r="B5494" s="104" t="s">
        <v>5450</v>
      </c>
      <c r="C5494" s="104" t="s">
        <v>12</v>
      </c>
      <c r="D5494" s="129" t="s">
        <v>19356</v>
      </c>
    </row>
    <row r="5495" spans="1:4">
      <c r="A5495" s="105">
        <v>89311</v>
      </c>
      <c r="B5495" s="104" t="s">
        <v>5451</v>
      </c>
      <c r="C5495" s="104" t="s">
        <v>12</v>
      </c>
      <c r="D5495" s="129" t="s">
        <v>19357</v>
      </c>
    </row>
    <row r="5496" spans="1:4">
      <c r="A5496" s="105">
        <v>89312</v>
      </c>
      <c r="B5496" s="104" t="s">
        <v>5452</v>
      </c>
      <c r="C5496" s="104" t="s">
        <v>12</v>
      </c>
      <c r="D5496" s="129" t="s">
        <v>19358</v>
      </c>
    </row>
    <row r="5497" spans="1:4">
      <c r="A5497" s="105">
        <v>89313</v>
      </c>
      <c r="B5497" s="104" t="s">
        <v>5453</v>
      </c>
      <c r="C5497" s="104" t="s">
        <v>12</v>
      </c>
      <c r="D5497" s="129" t="s">
        <v>19359</v>
      </c>
    </row>
    <row r="5498" spans="1:4">
      <c r="A5498" s="105">
        <v>101157</v>
      </c>
      <c r="B5498" s="104" t="s">
        <v>12961</v>
      </c>
      <c r="C5498" s="104" t="s">
        <v>12</v>
      </c>
      <c r="D5498" s="129" t="s">
        <v>19360</v>
      </c>
    </row>
    <row r="5499" spans="1:4">
      <c r="A5499" s="105">
        <v>101158</v>
      </c>
      <c r="B5499" s="104" t="s">
        <v>12962</v>
      </c>
      <c r="C5499" s="104" t="s">
        <v>12</v>
      </c>
      <c r="D5499" s="129" t="s">
        <v>19361</v>
      </c>
    </row>
    <row r="5500" spans="1:4">
      <c r="A5500" s="105">
        <v>101162</v>
      </c>
      <c r="B5500" s="104" t="s">
        <v>5454</v>
      </c>
      <c r="C5500" s="104" t="s">
        <v>12</v>
      </c>
      <c r="D5500" s="129" t="s">
        <v>19362</v>
      </c>
    </row>
    <row r="5501" spans="1:4">
      <c r="A5501" s="105">
        <v>103316</v>
      </c>
      <c r="B5501" s="104" t="s">
        <v>13795</v>
      </c>
      <c r="C5501" s="104" t="s">
        <v>12</v>
      </c>
      <c r="D5501" s="129" t="s">
        <v>19363</v>
      </c>
    </row>
    <row r="5502" spans="1:4">
      <c r="A5502" s="105">
        <v>103317</v>
      </c>
      <c r="B5502" s="104" t="s">
        <v>13796</v>
      </c>
      <c r="C5502" s="104" t="s">
        <v>12</v>
      </c>
      <c r="D5502" s="129" t="s">
        <v>19364</v>
      </c>
    </row>
    <row r="5503" spans="1:4">
      <c r="A5503" s="105">
        <v>103318</v>
      </c>
      <c r="B5503" s="104" t="s">
        <v>13797</v>
      </c>
      <c r="C5503" s="104" t="s">
        <v>12</v>
      </c>
      <c r="D5503" s="129" t="s">
        <v>19365</v>
      </c>
    </row>
    <row r="5504" spans="1:4">
      <c r="A5504" s="105">
        <v>103319</v>
      </c>
      <c r="B5504" s="104" t="s">
        <v>13798</v>
      </c>
      <c r="C5504" s="104" t="s">
        <v>12</v>
      </c>
      <c r="D5504" s="129" t="s">
        <v>19337</v>
      </c>
    </row>
    <row r="5505" spans="1:4">
      <c r="A5505" s="105">
        <v>103320</v>
      </c>
      <c r="B5505" s="104" t="s">
        <v>13799</v>
      </c>
      <c r="C5505" s="104" t="s">
        <v>12</v>
      </c>
      <c r="D5505" s="129" t="s">
        <v>19366</v>
      </c>
    </row>
    <row r="5506" spans="1:4">
      <c r="A5506" s="105">
        <v>103321</v>
      </c>
      <c r="B5506" s="104" t="s">
        <v>13800</v>
      </c>
      <c r="C5506" s="104" t="s">
        <v>12</v>
      </c>
      <c r="D5506" s="129" t="s">
        <v>19367</v>
      </c>
    </row>
    <row r="5507" spans="1:4">
      <c r="A5507" s="105">
        <v>103336</v>
      </c>
      <c r="B5507" s="104" t="s">
        <v>13801</v>
      </c>
      <c r="C5507" s="104" t="s">
        <v>12</v>
      </c>
      <c r="D5507" s="129" t="s">
        <v>19368</v>
      </c>
    </row>
    <row r="5508" spans="1:4">
      <c r="A5508" s="105">
        <v>103337</v>
      </c>
      <c r="B5508" s="104" t="s">
        <v>13802</v>
      </c>
      <c r="C5508" s="104" t="s">
        <v>12</v>
      </c>
      <c r="D5508" s="129" t="s">
        <v>19369</v>
      </c>
    </row>
    <row r="5509" spans="1:4">
      <c r="A5509" s="105">
        <v>103338</v>
      </c>
      <c r="B5509" s="104" t="s">
        <v>13803</v>
      </c>
      <c r="C5509" s="104" t="s">
        <v>12</v>
      </c>
      <c r="D5509" s="129" t="s">
        <v>19370</v>
      </c>
    </row>
    <row r="5510" spans="1:4">
      <c r="A5510" s="105">
        <v>103339</v>
      </c>
      <c r="B5510" s="104" t="s">
        <v>13804</v>
      </c>
      <c r="C5510" s="104" t="s">
        <v>12</v>
      </c>
      <c r="D5510" s="129" t="s">
        <v>19371</v>
      </c>
    </row>
    <row r="5511" spans="1:4">
      <c r="A5511" s="105">
        <v>103340</v>
      </c>
      <c r="B5511" s="104" t="s">
        <v>13805</v>
      </c>
      <c r="C5511" s="104" t="s">
        <v>12</v>
      </c>
      <c r="D5511" s="129" t="s">
        <v>18306</v>
      </c>
    </row>
    <row r="5512" spans="1:4">
      <c r="A5512" s="105">
        <v>103341</v>
      </c>
      <c r="B5512" s="104" t="s">
        <v>13806</v>
      </c>
      <c r="C5512" s="104" t="s">
        <v>12</v>
      </c>
      <c r="D5512" s="129" t="s">
        <v>19372</v>
      </c>
    </row>
    <row r="5513" spans="1:4">
      <c r="A5513" s="105">
        <v>103342</v>
      </c>
      <c r="B5513" s="104" t="s">
        <v>13807</v>
      </c>
      <c r="C5513" s="104" t="s">
        <v>12</v>
      </c>
      <c r="D5513" s="129" t="s">
        <v>19373</v>
      </c>
    </row>
    <row r="5514" spans="1:4">
      <c r="A5514" s="105">
        <v>103343</v>
      </c>
      <c r="B5514" s="104" t="s">
        <v>13808</v>
      </c>
      <c r="C5514" s="104" t="s">
        <v>12</v>
      </c>
      <c r="D5514" s="129" t="s">
        <v>19374</v>
      </c>
    </row>
    <row r="5515" spans="1:4">
      <c r="A5515" s="105">
        <v>89453</v>
      </c>
      <c r="B5515" s="104" t="s">
        <v>5455</v>
      </c>
      <c r="C5515" s="104" t="s">
        <v>12</v>
      </c>
      <c r="D5515" s="129" t="s">
        <v>19375</v>
      </c>
    </row>
    <row r="5516" spans="1:4">
      <c r="A5516" s="105">
        <v>89454</v>
      </c>
      <c r="B5516" s="104" t="s">
        <v>5456</v>
      </c>
      <c r="C5516" s="104" t="s">
        <v>12</v>
      </c>
      <c r="D5516" s="129" t="s">
        <v>15043</v>
      </c>
    </row>
    <row r="5517" spans="1:4">
      <c r="A5517" s="105">
        <v>89455</v>
      </c>
      <c r="B5517" s="104" t="s">
        <v>5457</v>
      </c>
      <c r="C5517" s="104" t="s">
        <v>12</v>
      </c>
      <c r="D5517" s="129" t="s">
        <v>19376</v>
      </c>
    </row>
    <row r="5518" spans="1:4">
      <c r="A5518" s="105">
        <v>89456</v>
      </c>
      <c r="B5518" s="104" t="s">
        <v>5458</v>
      </c>
      <c r="C5518" s="104" t="s">
        <v>12</v>
      </c>
      <c r="D5518" s="129" t="s">
        <v>19377</v>
      </c>
    </row>
    <row r="5519" spans="1:4">
      <c r="A5519" s="105">
        <v>89457</v>
      </c>
      <c r="B5519" s="104" t="s">
        <v>5459</v>
      </c>
      <c r="C5519" s="104" t="s">
        <v>12</v>
      </c>
      <c r="D5519" s="129" t="s">
        <v>19378</v>
      </c>
    </row>
    <row r="5520" spans="1:4">
      <c r="A5520" s="105">
        <v>89458</v>
      </c>
      <c r="B5520" s="104" t="s">
        <v>5460</v>
      </c>
      <c r="C5520" s="104" t="s">
        <v>12</v>
      </c>
      <c r="D5520" s="129" t="s">
        <v>19379</v>
      </c>
    </row>
    <row r="5521" spans="1:4">
      <c r="A5521" s="105">
        <v>89459</v>
      </c>
      <c r="B5521" s="104" t="s">
        <v>5461</v>
      </c>
      <c r="C5521" s="104" t="s">
        <v>12</v>
      </c>
      <c r="D5521" s="129" t="s">
        <v>19070</v>
      </c>
    </row>
    <row r="5522" spans="1:4">
      <c r="A5522" s="105">
        <v>89460</v>
      </c>
      <c r="B5522" s="104" t="s">
        <v>5462</v>
      </c>
      <c r="C5522" s="104" t="s">
        <v>12</v>
      </c>
      <c r="D5522" s="129" t="s">
        <v>19380</v>
      </c>
    </row>
    <row r="5523" spans="1:4">
      <c r="A5523" s="105">
        <v>89462</v>
      </c>
      <c r="B5523" s="104" t="s">
        <v>5463</v>
      </c>
      <c r="C5523" s="104" t="s">
        <v>12</v>
      </c>
      <c r="D5523" s="129" t="s">
        <v>19381</v>
      </c>
    </row>
    <row r="5524" spans="1:4">
      <c r="A5524" s="105">
        <v>89463</v>
      </c>
      <c r="B5524" s="104" t="s">
        <v>5464</v>
      </c>
      <c r="C5524" s="104" t="s">
        <v>12</v>
      </c>
      <c r="D5524" s="129" t="s">
        <v>19382</v>
      </c>
    </row>
    <row r="5525" spans="1:4">
      <c r="A5525" s="105">
        <v>89464</v>
      </c>
      <c r="B5525" s="104" t="s">
        <v>5465</v>
      </c>
      <c r="C5525" s="104" t="s">
        <v>12</v>
      </c>
      <c r="D5525" s="129" t="s">
        <v>19383</v>
      </c>
    </row>
    <row r="5526" spans="1:4">
      <c r="A5526" s="105">
        <v>89465</v>
      </c>
      <c r="B5526" s="104" t="s">
        <v>5466</v>
      </c>
      <c r="C5526" s="104" t="s">
        <v>12</v>
      </c>
      <c r="D5526" s="129" t="s">
        <v>19384</v>
      </c>
    </row>
    <row r="5527" spans="1:4">
      <c r="A5527" s="105">
        <v>89466</v>
      </c>
      <c r="B5527" s="104" t="s">
        <v>5467</v>
      </c>
      <c r="C5527" s="104" t="s">
        <v>12</v>
      </c>
      <c r="D5527" s="129" t="s">
        <v>19385</v>
      </c>
    </row>
    <row r="5528" spans="1:4">
      <c r="A5528" s="105">
        <v>89467</v>
      </c>
      <c r="B5528" s="104" t="s">
        <v>5468</v>
      </c>
      <c r="C5528" s="104" t="s">
        <v>12</v>
      </c>
      <c r="D5528" s="129" t="s">
        <v>19386</v>
      </c>
    </row>
    <row r="5529" spans="1:4">
      <c r="A5529" s="105">
        <v>89468</v>
      </c>
      <c r="B5529" s="104" t="s">
        <v>5469</v>
      </c>
      <c r="C5529" s="104" t="s">
        <v>12</v>
      </c>
      <c r="D5529" s="129" t="s">
        <v>19387</v>
      </c>
    </row>
    <row r="5530" spans="1:4">
      <c r="A5530" s="105">
        <v>89469</v>
      </c>
      <c r="B5530" s="104" t="s">
        <v>5470</v>
      </c>
      <c r="C5530" s="104" t="s">
        <v>12</v>
      </c>
      <c r="D5530" s="129" t="s">
        <v>19388</v>
      </c>
    </row>
    <row r="5531" spans="1:4">
      <c r="A5531" s="105">
        <v>89470</v>
      </c>
      <c r="B5531" s="104" t="s">
        <v>5471</v>
      </c>
      <c r="C5531" s="104" t="s">
        <v>12</v>
      </c>
      <c r="D5531" s="129" t="s">
        <v>19389</v>
      </c>
    </row>
    <row r="5532" spans="1:4">
      <c r="A5532" s="105">
        <v>89471</v>
      </c>
      <c r="B5532" s="104" t="s">
        <v>5472</v>
      </c>
      <c r="C5532" s="104" t="s">
        <v>12</v>
      </c>
      <c r="D5532" s="129" t="s">
        <v>19390</v>
      </c>
    </row>
    <row r="5533" spans="1:4">
      <c r="A5533" s="105">
        <v>89472</v>
      </c>
      <c r="B5533" s="104" t="s">
        <v>5473</v>
      </c>
      <c r="C5533" s="104" t="s">
        <v>12</v>
      </c>
      <c r="D5533" s="129" t="s">
        <v>19391</v>
      </c>
    </row>
    <row r="5534" spans="1:4">
      <c r="A5534" s="105">
        <v>89473</v>
      </c>
      <c r="B5534" s="104" t="s">
        <v>5474</v>
      </c>
      <c r="C5534" s="104" t="s">
        <v>12</v>
      </c>
      <c r="D5534" s="129" t="s">
        <v>19392</v>
      </c>
    </row>
    <row r="5535" spans="1:4">
      <c r="A5535" s="105">
        <v>89474</v>
      </c>
      <c r="B5535" s="104" t="s">
        <v>5475</v>
      </c>
      <c r="C5535" s="104" t="s">
        <v>12</v>
      </c>
      <c r="D5535" s="129" t="s">
        <v>19393</v>
      </c>
    </row>
    <row r="5536" spans="1:4">
      <c r="A5536" s="105">
        <v>89475</v>
      </c>
      <c r="B5536" s="104" t="s">
        <v>5476</v>
      </c>
      <c r="C5536" s="104" t="s">
        <v>12</v>
      </c>
      <c r="D5536" s="129" t="s">
        <v>19394</v>
      </c>
    </row>
    <row r="5537" spans="1:4">
      <c r="A5537" s="105">
        <v>89476</v>
      </c>
      <c r="B5537" s="104" t="s">
        <v>5477</v>
      </c>
      <c r="C5537" s="104" t="s">
        <v>12</v>
      </c>
      <c r="D5537" s="129" t="s">
        <v>19395</v>
      </c>
    </row>
    <row r="5538" spans="1:4">
      <c r="A5538" s="105">
        <v>89477</v>
      </c>
      <c r="B5538" s="104" t="s">
        <v>5478</v>
      </c>
      <c r="C5538" s="104" t="s">
        <v>12</v>
      </c>
      <c r="D5538" s="129" t="s">
        <v>19396</v>
      </c>
    </row>
    <row r="5539" spans="1:4">
      <c r="A5539" s="105">
        <v>89478</v>
      </c>
      <c r="B5539" s="104" t="s">
        <v>5479</v>
      </c>
      <c r="C5539" s="104" t="s">
        <v>12</v>
      </c>
      <c r="D5539" s="129" t="s">
        <v>19397</v>
      </c>
    </row>
    <row r="5540" spans="1:4">
      <c r="A5540" s="105">
        <v>89479</v>
      </c>
      <c r="B5540" s="104" t="s">
        <v>5480</v>
      </c>
      <c r="C5540" s="104" t="s">
        <v>12</v>
      </c>
      <c r="D5540" s="129" t="s">
        <v>19398</v>
      </c>
    </row>
    <row r="5541" spans="1:4">
      <c r="A5541" s="105">
        <v>89480</v>
      </c>
      <c r="B5541" s="104" t="s">
        <v>5481</v>
      </c>
      <c r="C5541" s="104" t="s">
        <v>12</v>
      </c>
      <c r="D5541" s="129" t="s">
        <v>19399</v>
      </c>
    </row>
    <row r="5542" spans="1:4">
      <c r="A5542" s="105">
        <v>89483</v>
      </c>
      <c r="B5542" s="104" t="s">
        <v>5482</v>
      </c>
      <c r="C5542" s="104" t="s">
        <v>12</v>
      </c>
      <c r="D5542" s="129" t="s">
        <v>19400</v>
      </c>
    </row>
    <row r="5543" spans="1:4">
      <c r="A5543" s="105">
        <v>89484</v>
      </c>
      <c r="B5543" s="104" t="s">
        <v>5483</v>
      </c>
      <c r="C5543" s="104" t="s">
        <v>12</v>
      </c>
      <c r="D5543" s="129" t="s">
        <v>19401</v>
      </c>
    </row>
    <row r="5544" spans="1:4">
      <c r="A5544" s="105">
        <v>89486</v>
      </c>
      <c r="B5544" s="104" t="s">
        <v>5484</v>
      </c>
      <c r="C5544" s="104" t="s">
        <v>12</v>
      </c>
      <c r="D5544" s="129" t="s">
        <v>19402</v>
      </c>
    </row>
    <row r="5545" spans="1:4">
      <c r="A5545" s="105">
        <v>89487</v>
      </c>
      <c r="B5545" s="104" t="s">
        <v>5485</v>
      </c>
      <c r="C5545" s="104" t="s">
        <v>12</v>
      </c>
      <c r="D5545" s="129" t="s">
        <v>19403</v>
      </c>
    </row>
    <row r="5546" spans="1:4">
      <c r="A5546" s="105">
        <v>89488</v>
      </c>
      <c r="B5546" s="104" t="s">
        <v>5486</v>
      </c>
      <c r="C5546" s="104" t="s">
        <v>12</v>
      </c>
      <c r="D5546" s="129" t="s">
        <v>19404</v>
      </c>
    </row>
    <row r="5547" spans="1:4">
      <c r="A5547" s="105">
        <v>91815</v>
      </c>
      <c r="B5547" s="104" t="s">
        <v>5487</v>
      </c>
      <c r="C5547" s="104" t="s">
        <v>12</v>
      </c>
      <c r="D5547" s="129" t="s">
        <v>19405</v>
      </c>
    </row>
    <row r="5548" spans="1:4">
      <c r="A5548" s="105">
        <v>91816</v>
      </c>
      <c r="B5548" s="104" t="s">
        <v>5488</v>
      </c>
      <c r="C5548" s="104" t="s">
        <v>12</v>
      </c>
      <c r="D5548" s="129" t="s">
        <v>19370</v>
      </c>
    </row>
    <row r="5549" spans="1:4">
      <c r="A5549" s="105">
        <v>101161</v>
      </c>
      <c r="B5549" s="104" t="s">
        <v>5489</v>
      </c>
      <c r="C5549" s="104" t="s">
        <v>12</v>
      </c>
      <c r="D5549" s="129" t="s">
        <v>19406</v>
      </c>
    </row>
    <row r="5550" spans="1:4">
      <c r="A5550" s="105">
        <v>101163</v>
      </c>
      <c r="B5550" s="104" t="s">
        <v>5490</v>
      </c>
      <c r="C5550" s="104" t="s">
        <v>12</v>
      </c>
      <c r="D5550" s="129" t="s">
        <v>19407</v>
      </c>
    </row>
    <row r="5551" spans="1:4">
      <c r="A5551" s="105">
        <v>101164</v>
      </c>
      <c r="B5551" s="104" t="s">
        <v>5491</v>
      </c>
      <c r="C5551" s="104" t="s">
        <v>12</v>
      </c>
      <c r="D5551" s="129" t="s">
        <v>19408</v>
      </c>
    </row>
    <row r="5552" spans="1:4">
      <c r="A5552" s="105">
        <v>96358</v>
      </c>
      <c r="B5552" s="104" t="s">
        <v>5492</v>
      </c>
      <c r="C5552" s="104" t="s">
        <v>12</v>
      </c>
      <c r="D5552" s="129" t="s">
        <v>19409</v>
      </c>
    </row>
    <row r="5553" spans="1:4">
      <c r="A5553" s="105">
        <v>96359</v>
      </c>
      <c r="B5553" s="104" t="s">
        <v>5493</v>
      </c>
      <c r="C5553" s="104" t="s">
        <v>12</v>
      </c>
      <c r="D5553" s="129" t="s">
        <v>19410</v>
      </c>
    </row>
    <row r="5554" spans="1:4">
      <c r="A5554" s="105">
        <v>96360</v>
      </c>
      <c r="B5554" s="104" t="s">
        <v>5494</v>
      </c>
      <c r="C5554" s="104" t="s">
        <v>12</v>
      </c>
      <c r="D5554" s="129" t="s">
        <v>19411</v>
      </c>
    </row>
    <row r="5555" spans="1:4">
      <c r="A5555" s="105">
        <v>96361</v>
      </c>
      <c r="B5555" s="104" t="s">
        <v>5495</v>
      </c>
      <c r="C5555" s="104" t="s">
        <v>12</v>
      </c>
      <c r="D5555" s="129" t="s">
        <v>19412</v>
      </c>
    </row>
    <row r="5556" spans="1:4">
      <c r="A5556" s="105">
        <v>96362</v>
      </c>
      <c r="B5556" s="104" t="s">
        <v>5496</v>
      </c>
      <c r="C5556" s="104" t="s">
        <v>12</v>
      </c>
      <c r="D5556" s="129" t="s">
        <v>19413</v>
      </c>
    </row>
    <row r="5557" spans="1:4">
      <c r="A5557" s="105">
        <v>96363</v>
      </c>
      <c r="B5557" s="104" t="s">
        <v>5497</v>
      </c>
      <c r="C5557" s="104" t="s">
        <v>12</v>
      </c>
      <c r="D5557" s="129" t="s">
        <v>19414</v>
      </c>
    </row>
    <row r="5558" spans="1:4">
      <c r="A5558" s="105">
        <v>96364</v>
      </c>
      <c r="B5558" s="104" t="s">
        <v>5498</v>
      </c>
      <c r="C5558" s="104" t="s">
        <v>12</v>
      </c>
      <c r="D5558" s="129" t="s">
        <v>19415</v>
      </c>
    </row>
    <row r="5559" spans="1:4">
      <c r="A5559" s="105">
        <v>96365</v>
      </c>
      <c r="B5559" s="104" t="s">
        <v>5499</v>
      </c>
      <c r="C5559" s="104" t="s">
        <v>12</v>
      </c>
      <c r="D5559" s="129" t="s">
        <v>19416</v>
      </c>
    </row>
    <row r="5560" spans="1:4">
      <c r="A5560" s="105">
        <v>96366</v>
      </c>
      <c r="B5560" s="104" t="s">
        <v>5500</v>
      </c>
      <c r="C5560" s="104" t="s">
        <v>12</v>
      </c>
      <c r="D5560" s="129" t="s">
        <v>19417</v>
      </c>
    </row>
    <row r="5561" spans="1:4">
      <c r="A5561" s="105">
        <v>96367</v>
      </c>
      <c r="B5561" s="104" t="s">
        <v>5501</v>
      </c>
      <c r="C5561" s="104" t="s">
        <v>12</v>
      </c>
      <c r="D5561" s="129" t="s">
        <v>19418</v>
      </c>
    </row>
    <row r="5562" spans="1:4">
      <c r="A5562" s="105">
        <v>96368</v>
      </c>
      <c r="B5562" s="104" t="s">
        <v>5502</v>
      </c>
      <c r="C5562" s="104" t="s">
        <v>12</v>
      </c>
      <c r="D5562" s="129" t="s">
        <v>19419</v>
      </c>
    </row>
    <row r="5563" spans="1:4">
      <c r="A5563" s="105">
        <v>96369</v>
      </c>
      <c r="B5563" s="104" t="s">
        <v>5503</v>
      </c>
      <c r="C5563" s="104" t="s">
        <v>12</v>
      </c>
      <c r="D5563" s="129" t="s">
        <v>19420</v>
      </c>
    </row>
    <row r="5564" spans="1:4">
      <c r="A5564" s="105">
        <v>96370</v>
      </c>
      <c r="B5564" s="104" t="s">
        <v>5504</v>
      </c>
      <c r="C5564" s="104" t="s">
        <v>12</v>
      </c>
      <c r="D5564" s="129" t="s">
        <v>19421</v>
      </c>
    </row>
    <row r="5565" spans="1:4">
      <c r="A5565" s="105">
        <v>96371</v>
      </c>
      <c r="B5565" s="104" t="s">
        <v>5505</v>
      </c>
      <c r="C5565" s="104" t="s">
        <v>12</v>
      </c>
      <c r="D5565" s="129" t="s">
        <v>19422</v>
      </c>
    </row>
    <row r="5566" spans="1:4">
      <c r="A5566" s="105">
        <v>96373</v>
      </c>
      <c r="B5566" s="104" t="s">
        <v>5506</v>
      </c>
      <c r="C5566" s="104" t="s">
        <v>40</v>
      </c>
      <c r="D5566" s="129" t="s">
        <v>19423</v>
      </c>
    </row>
    <row r="5567" spans="1:4">
      <c r="A5567" s="105">
        <v>96374</v>
      </c>
      <c r="B5567" s="104" t="s">
        <v>5507</v>
      </c>
      <c r="C5567" s="104" t="s">
        <v>40</v>
      </c>
      <c r="D5567" s="129" t="s">
        <v>18219</v>
      </c>
    </row>
    <row r="5568" spans="1:4">
      <c r="A5568" s="105">
        <v>102235</v>
      </c>
      <c r="B5568" s="104" t="s">
        <v>5508</v>
      </c>
      <c r="C5568" s="104" t="s">
        <v>12</v>
      </c>
      <c r="D5568" s="129" t="s">
        <v>19424</v>
      </c>
    </row>
    <row r="5569" spans="1:4">
      <c r="A5569" s="105">
        <v>102253</v>
      </c>
      <c r="B5569" s="104" t="s">
        <v>5509</v>
      </c>
      <c r="C5569" s="104" t="s">
        <v>12</v>
      </c>
      <c r="D5569" s="129" t="s">
        <v>19425</v>
      </c>
    </row>
    <row r="5570" spans="1:4">
      <c r="A5570" s="105">
        <v>102254</v>
      </c>
      <c r="B5570" s="104" t="s">
        <v>235</v>
      </c>
      <c r="C5570" s="104" t="s">
        <v>12</v>
      </c>
      <c r="D5570" s="129" t="s">
        <v>19426</v>
      </c>
    </row>
    <row r="5571" spans="1:4">
      <c r="A5571" s="105">
        <v>102255</v>
      </c>
      <c r="B5571" s="104" t="s">
        <v>166</v>
      </c>
      <c r="C5571" s="104" t="s">
        <v>12</v>
      </c>
      <c r="D5571" s="129" t="s">
        <v>19427</v>
      </c>
    </row>
    <row r="5572" spans="1:4">
      <c r="A5572" s="105">
        <v>102256</v>
      </c>
      <c r="B5572" s="104" t="s">
        <v>5510</v>
      </c>
      <c r="C5572" s="104" t="s">
        <v>12</v>
      </c>
      <c r="D5572" s="129" t="s">
        <v>19428</v>
      </c>
    </row>
    <row r="5573" spans="1:4">
      <c r="A5573" s="105">
        <v>102257</v>
      </c>
      <c r="B5573" s="104" t="s">
        <v>5511</v>
      </c>
      <c r="C5573" s="104" t="s">
        <v>12</v>
      </c>
      <c r="D5573" s="129" t="s">
        <v>19429</v>
      </c>
    </row>
    <row r="5574" spans="1:4">
      <c r="A5574" s="105">
        <v>102258</v>
      </c>
      <c r="B5574" s="104" t="s">
        <v>5512</v>
      </c>
      <c r="C5574" s="104" t="s">
        <v>12</v>
      </c>
      <c r="D5574" s="129" t="s">
        <v>19430</v>
      </c>
    </row>
    <row r="5575" spans="1:4">
      <c r="A5575" s="105">
        <v>101154</v>
      </c>
      <c r="B5575" s="104" t="s">
        <v>5513</v>
      </c>
      <c r="C5575" s="104" t="s">
        <v>12</v>
      </c>
      <c r="D5575" s="129" t="s">
        <v>19431</v>
      </c>
    </row>
    <row r="5576" spans="1:4">
      <c r="A5576" s="105">
        <v>101155</v>
      </c>
      <c r="B5576" s="104" t="s">
        <v>5514</v>
      </c>
      <c r="C5576" s="104" t="s">
        <v>12</v>
      </c>
      <c r="D5576" s="129" t="s">
        <v>19432</v>
      </c>
    </row>
    <row r="5577" spans="1:4">
      <c r="A5577" s="105">
        <v>101156</v>
      </c>
      <c r="B5577" s="104" t="s">
        <v>5515</v>
      </c>
      <c r="C5577" s="104" t="s">
        <v>12</v>
      </c>
      <c r="D5577" s="129" t="s">
        <v>19433</v>
      </c>
    </row>
    <row r="5578" spans="1:4">
      <c r="A5578" s="105">
        <v>101810</v>
      </c>
      <c r="B5578" s="104" t="s">
        <v>5516</v>
      </c>
      <c r="C5578" s="104" t="s">
        <v>28</v>
      </c>
      <c r="D5578" s="129" t="s">
        <v>19434</v>
      </c>
    </row>
    <row r="5579" spans="1:4">
      <c r="A5579" s="105">
        <v>101811</v>
      </c>
      <c r="B5579" s="104" t="s">
        <v>5517</v>
      </c>
      <c r="C5579" s="104" t="s">
        <v>28</v>
      </c>
      <c r="D5579" s="129" t="s">
        <v>19435</v>
      </c>
    </row>
    <row r="5580" spans="1:4">
      <c r="A5580" s="105">
        <v>101812</v>
      </c>
      <c r="B5580" s="104" t="s">
        <v>5518</v>
      </c>
      <c r="C5580" s="104" t="s">
        <v>28</v>
      </c>
      <c r="D5580" s="129" t="s">
        <v>19436</v>
      </c>
    </row>
    <row r="5581" spans="1:4">
      <c r="A5581" s="105">
        <v>101813</v>
      </c>
      <c r="B5581" s="104" t="s">
        <v>5519</v>
      </c>
      <c r="C5581" s="104" t="s">
        <v>28</v>
      </c>
      <c r="D5581" s="129" t="s">
        <v>19437</v>
      </c>
    </row>
    <row r="5582" spans="1:4">
      <c r="A5582" s="105">
        <v>101814</v>
      </c>
      <c r="B5582" s="104" t="s">
        <v>5520</v>
      </c>
      <c r="C5582" s="104" t="s">
        <v>12</v>
      </c>
      <c r="D5582" s="129" t="s">
        <v>19438</v>
      </c>
    </row>
    <row r="5583" spans="1:4">
      <c r="A5583" s="105">
        <v>101815</v>
      </c>
      <c r="B5583" s="104" t="s">
        <v>5521</v>
      </c>
      <c r="C5583" s="104" t="s">
        <v>12</v>
      </c>
      <c r="D5583" s="129" t="s">
        <v>19439</v>
      </c>
    </row>
    <row r="5584" spans="1:4">
      <c r="A5584" s="105">
        <v>101816</v>
      </c>
      <c r="B5584" s="104" t="s">
        <v>5522</v>
      </c>
      <c r="C5584" s="104" t="s">
        <v>12</v>
      </c>
      <c r="D5584" s="129" t="s">
        <v>19440</v>
      </c>
    </row>
    <row r="5585" spans="1:4">
      <c r="A5585" s="105">
        <v>101817</v>
      </c>
      <c r="B5585" s="104" t="s">
        <v>5523</v>
      </c>
      <c r="C5585" s="104" t="s">
        <v>12</v>
      </c>
      <c r="D5585" s="129" t="s">
        <v>19441</v>
      </c>
    </row>
    <row r="5586" spans="1:4">
      <c r="A5586" s="105">
        <v>101818</v>
      </c>
      <c r="B5586" s="104" t="s">
        <v>5524</v>
      </c>
      <c r="C5586" s="104" t="s">
        <v>12</v>
      </c>
      <c r="D5586" s="129" t="s">
        <v>15453</v>
      </c>
    </row>
    <row r="5587" spans="1:4">
      <c r="A5587" s="105">
        <v>101819</v>
      </c>
      <c r="B5587" s="104" t="s">
        <v>5525</v>
      </c>
      <c r="C5587" s="104" t="s">
        <v>12</v>
      </c>
      <c r="D5587" s="129" t="s">
        <v>19442</v>
      </c>
    </row>
    <row r="5588" spans="1:4">
      <c r="A5588" s="105">
        <v>101820</v>
      </c>
      <c r="B5588" s="104" t="s">
        <v>5526</v>
      </c>
      <c r="C5588" s="104" t="s">
        <v>12</v>
      </c>
      <c r="D5588" s="129" t="s">
        <v>18080</v>
      </c>
    </row>
    <row r="5589" spans="1:4">
      <c r="A5589" s="105">
        <v>101822</v>
      </c>
      <c r="B5589" s="104" t="s">
        <v>5527</v>
      </c>
      <c r="C5589" s="104" t="s">
        <v>28</v>
      </c>
      <c r="D5589" s="129" t="s">
        <v>19443</v>
      </c>
    </row>
    <row r="5590" spans="1:4">
      <c r="A5590" s="105">
        <v>101823</v>
      </c>
      <c r="B5590" s="104" t="s">
        <v>5528</v>
      </c>
      <c r="C5590" s="104" t="s">
        <v>28</v>
      </c>
      <c r="D5590" s="129" t="s">
        <v>19444</v>
      </c>
    </row>
    <row r="5591" spans="1:4">
      <c r="A5591" s="105">
        <v>101824</v>
      </c>
      <c r="B5591" s="104" t="s">
        <v>5529</v>
      </c>
      <c r="C5591" s="104" t="s">
        <v>28</v>
      </c>
      <c r="D5591" s="129" t="s">
        <v>19445</v>
      </c>
    </row>
    <row r="5592" spans="1:4">
      <c r="A5592" s="105">
        <v>101825</v>
      </c>
      <c r="B5592" s="104" t="s">
        <v>5530</v>
      </c>
      <c r="C5592" s="104" t="s">
        <v>28</v>
      </c>
      <c r="D5592" s="129" t="s">
        <v>19446</v>
      </c>
    </row>
    <row r="5593" spans="1:4">
      <c r="A5593" s="105">
        <v>101826</v>
      </c>
      <c r="B5593" s="104" t="s">
        <v>5531</v>
      </c>
      <c r="C5593" s="104" t="s">
        <v>28</v>
      </c>
      <c r="D5593" s="129" t="s">
        <v>19447</v>
      </c>
    </row>
    <row r="5594" spans="1:4">
      <c r="A5594" s="105">
        <v>101827</v>
      </c>
      <c r="B5594" s="104" t="s">
        <v>5532</v>
      </c>
      <c r="C5594" s="104" t="s">
        <v>28</v>
      </c>
      <c r="D5594" s="129" t="s">
        <v>19448</v>
      </c>
    </row>
    <row r="5595" spans="1:4">
      <c r="A5595" s="105">
        <v>101828</v>
      </c>
      <c r="B5595" s="104" t="s">
        <v>5533</v>
      </c>
      <c r="C5595" s="104" t="s">
        <v>28</v>
      </c>
      <c r="D5595" s="129" t="s">
        <v>19449</v>
      </c>
    </row>
    <row r="5596" spans="1:4">
      <c r="A5596" s="105">
        <v>101829</v>
      </c>
      <c r="B5596" s="104" t="s">
        <v>13809</v>
      </c>
      <c r="C5596" s="104" t="s">
        <v>28</v>
      </c>
      <c r="D5596" s="129" t="s">
        <v>19450</v>
      </c>
    </row>
    <row r="5597" spans="1:4">
      <c r="A5597" s="105">
        <v>101830</v>
      </c>
      <c r="B5597" s="104" t="s">
        <v>13810</v>
      </c>
      <c r="C5597" s="104" t="s">
        <v>28</v>
      </c>
      <c r="D5597" s="129" t="s">
        <v>19451</v>
      </c>
    </row>
    <row r="5598" spans="1:4">
      <c r="A5598" s="105">
        <v>101831</v>
      </c>
      <c r="B5598" s="104" t="s">
        <v>13811</v>
      </c>
      <c r="C5598" s="104" t="s">
        <v>28</v>
      </c>
      <c r="D5598" s="129" t="s">
        <v>19452</v>
      </c>
    </row>
    <row r="5599" spans="1:4">
      <c r="A5599" s="105">
        <v>101832</v>
      </c>
      <c r="B5599" s="104" t="s">
        <v>5534</v>
      </c>
      <c r="C5599" s="104" t="s">
        <v>28</v>
      </c>
      <c r="D5599" s="129" t="s">
        <v>19453</v>
      </c>
    </row>
    <row r="5600" spans="1:4">
      <c r="A5600" s="105">
        <v>101833</v>
      </c>
      <c r="B5600" s="104" t="s">
        <v>5535</v>
      </c>
      <c r="C5600" s="104" t="s">
        <v>28</v>
      </c>
      <c r="D5600" s="129" t="s">
        <v>19454</v>
      </c>
    </row>
    <row r="5601" spans="1:4">
      <c r="A5601" s="105">
        <v>101834</v>
      </c>
      <c r="B5601" s="104" t="s">
        <v>5536</v>
      </c>
      <c r="C5601" s="104" t="s">
        <v>28</v>
      </c>
      <c r="D5601" s="129" t="s">
        <v>19455</v>
      </c>
    </row>
    <row r="5602" spans="1:4">
      <c r="A5602" s="105">
        <v>101835</v>
      </c>
      <c r="B5602" s="104" t="s">
        <v>5537</v>
      </c>
      <c r="C5602" s="104" t="s">
        <v>28</v>
      </c>
      <c r="D5602" s="129" t="s">
        <v>19456</v>
      </c>
    </row>
    <row r="5603" spans="1:4">
      <c r="A5603" s="105">
        <v>101836</v>
      </c>
      <c r="B5603" s="104" t="s">
        <v>5538</v>
      </c>
      <c r="C5603" s="104" t="s">
        <v>28</v>
      </c>
      <c r="D5603" s="129" t="s">
        <v>19457</v>
      </c>
    </row>
    <row r="5604" spans="1:4">
      <c r="A5604" s="105">
        <v>101837</v>
      </c>
      <c r="B5604" s="104" t="s">
        <v>5539</v>
      </c>
      <c r="C5604" s="104" t="s">
        <v>28</v>
      </c>
      <c r="D5604" s="129" t="s">
        <v>17407</v>
      </c>
    </row>
    <row r="5605" spans="1:4">
      <c r="A5605" s="105">
        <v>101838</v>
      </c>
      <c r="B5605" s="104" t="s">
        <v>5540</v>
      </c>
      <c r="C5605" s="104" t="s">
        <v>28</v>
      </c>
      <c r="D5605" s="129" t="s">
        <v>19458</v>
      </c>
    </row>
    <row r="5606" spans="1:4">
      <c r="A5606" s="105">
        <v>101839</v>
      </c>
      <c r="B5606" s="104" t="s">
        <v>5541</v>
      </c>
      <c r="C5606" s="104" t="s">
        <v>28</v>
      </c>
      <c r="D5606" s="129" t="s">
        <v>19459</v>
      </c>
    </row>
    <row r="5607" spans="1:4">
      <c r="A5607" s="105">
        <v>101840</v>
      </c>
      <c r="B5607" s="104" t="s">
        <v>5542</v>
      </c>
      <c r="C5607" s="104" t="s">
        <v>28</v>
      </c>
      <c r="D5607" s="129" t="s">
        <v>19460</v>
      </c>
    </row>
    <row r="5608" spans="1:4">
      <c r="A5608" s="105">
        <v>101841</v>
      </c>
      <c r="B5608" s="104" t="s">
        <v>5543</v>
      </c>
      <c r="C5608" s="104" t="s">
        <v>28</v>
      </c>
      <c r="D5608" s="129" t="s">
        <v>19461</v>
      </c>
    </row>
    <row r="5609" spans="1:4">
      <c r="A5609" s="105">
        <v>101842</v>
      </c>
      <c r="B5609" s="104" t="s">
        <v>5544</v>
      </c>
      <c r="C5609" s="104" t="s">
        <v>28</v>
      </c>
      <c r="D5609" s="129" t="s">
        <v>19462</v>
      </c>
    </row>
    <row r="5610" spans="1:4">
      <c r="A5610" s="105">
        <v>101843</v>
      </c>
      <c r="B5610" s="104" t="s">
        <v>13812</v>
      </c>
      <c r="C5610" s="104" t="s">
        <v>28</v>
      </c>
      <c r="D5610" s="129" t="s">
        <v>19463</v>
      </c>
    </row>
    <row r="5611" spans="1:4">
      <c r="A5611" s="105">
        <v>101844</v>
      </c>
      <c r="B5611" s="104" t="s">
        <v>13813</v>
      </c>
      <c r="C5611" s="104" t="s">
        <v>28</v>
      </c>
      <c r="D5611" s="129" t="s">
        <v>19464</v>
      </c>
    </row>
    <row r="5612" spans="1:4">
      <c r="A5612" s="105">
        <v>101845</v>
      </c>
      <c r="B5612" s="104" t="s">
        <v>13814</v>
      </c>
      <c r="C5612" s="104" t="s">
        <v>28</v>
      </c>
      <c r="D5612" s="129" t="s">
        <v>19465</v>
      </c>
    </row>
    <row r="5613" spans="1:4">
      <c r="A5613" s="105">
        <v>101846</v>
      </c>
      <c r="B5613" s="104" t="s">
        <v>5545</v>
      </c>
      <c r="C5613" s="104" t="s">
        <v>28</v>
      </c>
      <c r="D5613" s="129" t="s">
        <v>19466</v>
      </c>
    </row>
    <row r="5614" spans="1:4">
      <c r="A5614" s="105">
        <v>101847</v>
      </c>
      <c r="B5614" s="104" t="s">
        <v>5546</v>
      </c>
      <c r="C5614" s="104" t="s">
        <v>28</v>
      </c>
      <c r="D5614" s="129" t="s">
        <v>19467</v>
      </c>
    </row>
    <row r="5615" spans="1:4">
      <c r="A5615" s="105">
        <v>101848</v>
      </c>
      <c r="B5615" s="104" t="s">
        <v>5547</v>
      </c>
      <c r="C5615" s="104" t="s">
        <v>28</v>
      </c>
      <c r="D5615" s="129" t="s">
        <v>19468</v>
      </c>
    </row>
    <row r="5616" spans="1:4">
      <c r="A5616" s="105">
        <v>101849</v>
      </c>
      <c r="B5616" s="104" t="s">
        <v>5548</v>
      </c>
      <c r="C5616" s="104" t="s">
        <v>28</v>
      </c>
      <c r="D5616" s="129" t="s">
        <v>19469</v>
      </c>
    </row>
    <row r="5617" spans="1:4">
      <c r="A5617" s="105">
        <v>101850</v>
      </c>
      <c r="B5617" s="104" t="s">
        <v>5549</v>
      </c>
      <c r="C5617" s="104" t="s">
        <v>12</v>
      </c>
      <c r="D5617" s="129" t="s">
        <v>19470</v>
      </c>
    </row>
    <row r="5618" spans="1:4">
      <c r="A5618" s="105">
        <v>101851</v>
      </c>
      <c r="B5618" s="104" t="s">
        <v>5550</v>
      </c>
      <c r="C5618" s="104" t="s">
        <v>12</v>
      </c>
      <c r="D5618" s="129" t="s">
        <v>19471</v>
      </c>
    </row>
    <row r="5619" spans="1:4">
      <c r="A5619" s="105">
        <v>101852</v>
      </c>
      <c r="B5619" s="104" t="s">
        <v>5551</v>
      </c>
      <c r="C5619" s="104" t="s">
        <v>12</v>
      </c>
      <c r="D5619" s="129" t="s">
        <v>19472</v>
      </c>
    </row>
    <row r="5620" spans="1:4">
      <c r="A5620" s="105">
        <v>101853</v>
      </c>
      <c r="B5620" s="104" t="s">
        <v>5552</v>
      </c>
      <c r="C5620" s="104" t="s">
        <v>12</v>
      </c>
      <c r="D5620" s="129" t="s">
        <v>19473</v>
      </c>
    </row>
    <row r="5621" spans="1:4">
      <c r="A5621" s="105">
        <v>101854</v>
      </c>
      <c r="B5621" s="104" t="s">
        <v>5553</v>
      </c>
      <c r="C5621" s="104" t="s">
        <v>12</v>
      </c>
      <c r="D5621" s="129" t="s">
        <v>19474</v>
      </c>
    </row>
    <row r="5622" spans="1:4">
      <c r="A5622" s="105">
        <v>101855</v>
      </c>
      <c r="B5622" s="104" t="s">
        <v>5554</v>
      </c>
      <c r="C5622" s="104" t="s">
        <v>12</v>
      </c>
      <c r="D5622" s="129" t="s">
        <v>19475</v>
      </c>
    </row>
    <row r="5623" spans="1:4">
      <c r="A5623" s="105">
        <v>101856</v>
      </c>
      <c r="B5623" s="104" t="s">
        <v>5555</v>
      </c>
      <c r="C5623" s="104" t="s">
        <v>12</v>
      </c>
      <c r="D5623" s="129" t="s">
        <v>15808</v>
      </c>
    </row>
    <row r="5624" spans="1:4">
      <c r="A5624" s="105">
        <v>101857</v>
      </c>
      <c r="B5624" s="104" t="s">
        <v>5556</v>
      </c>
      <c r="C5624" s="104" t="s">
        <v>12</v>
      </c>
      <c r="D5624" s="129" t="s">
        <v>19476</v>
      </c>
    </row>
    <row r="5625" spans="1:4">
      <c r="A5625" s="105">
        <v>101858</v>
      </c>
      <c r="B5625" s="104" t="s">
        <v>5557</v>
      </c>
      <c r="C5625" s="104" t="s">
        <v>12</v>
      </c>
      <c r="D5625" s="129" t="s">
        <v>19477</v>
      </c>
    </row>
    <row r="5626" spans="1:4">
      <c r="A5626" s="105">
        <v>101859</v>
      </c>
      <c r="B5626" s="104" t="s">
        <v>5558</v>
      </c>
      <c r="C5626" s="104" t="s">
        <v>12</v>
      </c>
      <c r="D5626" s="129" t="s">
        <v>19478</v>
      </c>
    </row>
    <row r="5627" spans="1:4">
      <c r="A5627" s="105">
        <v>101860</v>
      </c>
      <c r="B5627" s="104" t="s">
        <v>5559</v>
      </c>
      <c r="C5627" s="104" t="s">
        <v>12</v>
      </c>
      <c r="D5627" s="129" t="s">
        <v>18231</v>
      </c>
    </row>
    <row r="5628" spans="1:4">
      <c r="A5628" s="105">
        <v>101861</v>
      </c>
      <c r="B5628" s="104" t="s">
        <v>5560</v>
      </c>
      <c r="C5628" s="104" t="s">
        <v>12</v>
      </c>
      <c r="D5628" s="129" t="s">
        <v>19479</v>
      </c>
    </row>
    <row r="5629" spans="1:4">
      <c r="A5629" s="105">
        <v>101862</v>
      </c>
      <c r="B5629" s="104" t="s">
        <v>5561</v>
      </c>
      <c r="C5629" s="104" t="s">
        <v>12</v>
      </c>
      <c r="D5629" s="129" t="s">
        <v>19480</v>
      </c>
    </row>
    <row r="5630" spans="1:4">
      <c r="A5630" s="105">
        <v>101863</v>
      </c>
      <c r="B5630" s="104" t="s">
        <v>5562</v>
      </c>
      <c r="C5630" s="104" t="s">
        <v>12</v>
      </c>
      <c r="D5630" s="129" t="s">
        <v>17809</v>
      </c>
    </row>
    <row r="5631" spans="1:4">
      <c r="A5631" s="105">
        <v>101864</v>
      </c>
      <c r="B5631" s="104" t="s">
        <v>5563</v>
      </c>
      <c r="C5631" s="104" t="s">
        <v>12</v>
      </c>
      <c r="D5631" s="129" t="s">
        <v>19481</v>
      </c>
    </row>
    <row r="5632" spans="1:4">
      <c r="A5632" s="105">
        <v>101865</v>
      </c>
      <c r="B5632" s="104" t="s">
        <v>5564</v>
      </c>
      <c r="C5632" s="104" t="s">
        <v>12</v>
      </c>
      <c r="D5632" s="129" t="s">
        <v>19482</v>
      </c>
    </row>
    <row r="5633" spans="1:4">
      <c r="A5633" s="105">
        <v>101866</v>
      </c>
      <c r="B5633" s="104" t="s">
        <v>5565</v>
      </c>
      <c r="C5633" s="104" t="s">
        <v>12</v>
      </c>
      <c r="D5633" s="129" t="s">
        <v>19483</v>
      </c>
    </row>
    <row r="5634" spans="1:4">
      <c r="A5634" s="105">
        <v>101867</v>
      </c>
      <c r="B5634" s="104" t="s">
        <v>5566</v>
      </c>
      <c r="C5634" s="104" t="s">
        <v>12</v>
      </c>
      <c r="D5634" s="129" t="s">
        <v>19484</v>
      </c>
    </row>
    <row r="5635" spans="1:4">
      <c r="A5635" s="105">
        <v>101868</v>
      </c>
      <c r="B5635" s="104" t="s">
        <v>5567</v>
      </c>
      <c r="C5635" s="104" t="s">
        <v>12</v>
      </c>
      <c r="D5635" s="129" t="s">
        <v>19485</v>
      </c>
    </row>
    <row r="5636" spans="1:4">
      <c r="A5636" s="105">
        <v>101869</v>
      </c>
      <c r="B5636" s="104" t="s">
        <v>5568</v>
      </c>
      <c r="C5636" s="104" t="s">
        <v>12</v>
      </c>
      <c r="D5636" s="129" t="s">
        <v>19486</v>
      </c>
    </row>
    <row r="5637" spans="1:4">
      <c r="A5637" s="105">
        <v>101870</v>
      </c>
      <c r="B5637" s="104" t="s">
        <v>5569</v>
      </c>
      <c r="C5637" s="104" t="s">
        <v>12</v>
      </c>
      <c r="D5637" s="129" t="s">
        <v>19487</v>
      </c>
    </row>
    <row r="5638" spans="1:4">
      <c r="A5638" s="105">
        <v>102096</v>
      </c>
      <c r="B5638" s="104" t="s">
        <v>5570</v>
      </c>
      <c r="C5638" s="104" t="s">
        <v>28</v>
      </c>
      <c r="D5638" s="129" t="s">
        <v>19488</v>
      </c>
    </row>
    <row r="5639" spans="1:4">
      <c r="A5639" s="105">
        <v>102098</v>
      </c>
      <c r="B5639" s="104" t="s">
        <v>5571</v>
      </c>
      <c r="C5639" s="104" t="s">
        <v>28</v>
      </c>
      <c r="D5639" s="129" t="s">
        <v>19489</v>
      </c>
    </row>
    <row r="5640" spans="1:4">
      <c r="A5640" s="105">
        <v>102101</v>
      </c>
      <c r="B5640" s="104" t="s">
        <v>5572</v>
      </c>
      <c r="C5640" s="104" t="s">
        <v>12</v>
      </c>
      <c r="D5640" s="129" t="s">
        <v>15664</v>
      </c>
    </row>
    <row r="5641" spans="1:4">
      <c r="A5641" s="105">
        <v>102988</v>
      </c>
      <c r="B5641" s="104" t="s">
        <v>5573</v>
      </c>
      <c r="C5641" s="104" t="s">
        <v>12</v>
      </c>
      <c r="D5641" s="129" t="s">
        <v>19490</v>
      </c>
    </row>
    <row r="5642" spans="1:4">
      <c r="A5642" s="105">
        <v>100576</v>
      </c>
      <c r="B5642" s="104" t="s">
        <v>5574</v>
      </c>
      <c r="C5642" s="104" t="s">
        <v>12</v>
      </c>
      <c r="D5642" s="129" t="s">
        <v>19311</v>
      </c>
    </row>
    <row r="5643" spans="1:4">
      <c r="A5643" s="105">
        <v>100577</v>
      </c>
      <c r="B5643" s="104" t="s">
        <v>5575</v>
      </c>
      <c r="C5643" s="104" t="s">
        <v>12</v>
      </c>
      <c r="D5643" s="129" t="s">
        <v>19491</v>
      </c>
    </row>
    <row r="5644" spans="1:4">
      <c r="A5644" s="105">
        <v>96388</v>
      </c>
      <c r="B5644" s="104" t="s">
        <v>5576</v>
      </c>
      <c r="C5644" s="104" t="s">
        <v>28</v>
      </c>
      <c r="D5644" s="129" t="s">
        <v>19160</v>
      </c>
    </row>
    <row r="5645" spans="1:4">
      <c r="A5645" s="105">
        <v>96389</v>
      </c>
      <c r="B5645" s="104" t="s">
        <v>5577</v>
      </c>
      <c r="C5645" s="104" t="s">
        <v>28</v>
      </c>
      <c r="D5645" s="129" t="s">
        <v>19492</v>
      </c>
    </row>
    <row r="5646" spans="1:4">
      <c r="A5646" s="105">
        <v>96390</v>
      </c>
      <c r="B5646" s="104" t="s">
        <v>5578</v>
      </c>
      <c r="C5646" s="104" t="s">
        <v>28</v>
      </c>
      <c r="D5646" s="129" t="s">
        <v>19493</v>
      </c>
    </row>
    <row r="5647" spans="1:4">
      <c r="A5647" s="105">
        <v>96391</v>
      </c>
      <c r="B5647" s="104" t="s">
        <v>5579</v>
      </c>
      <c r="C5647" s="104" t="s">
        <v>28</v>
      </c>
      <c r="D5647" s="129" t="s">
        <v>16006</v>
      </c>
    </row>
    <row r="5648" spans="1:4">
      <c r="A5648" s="105">
        <v>96392</v>
      </c>
      <c r="B5648" s="104" t="s">
        <v>5580</v>
      </c>
      <c r="C5648" s="104" t="s">
        <v>28</v>
      </c>
      <c r="D5648" s="129" t="s">
        <v>19494</v>
      </c>
    </row>
    <row r="5649" spans="1:4">
      <c r="A5649" s="105">
        <v>96396</v>
      </c>
      <c r="B5649" s="104" t="s">
        <v>5581</v>
      </c>
      <c r="C5649" s="104" t="s">
        <v>28</v>
      </c>
      <c r="D5649" s="129" t="s">
        <v>19495</v>
      </c>
    </row>
    <row r="5650" spans="1:4">
      <c r="A5650" s="105">
        <v>96397</v>
      </c>
      <c r="B5650" s="104" t="s">
        <v>5582</v>
      </c>
      <c r="C5650" s="104" t="s">
        <v>28</v>
      </c>
      <c r="D5650" s="129" t="s">
        <v>19496</v>
      </c>
    </row>
    <row r="5651" spans="1:4">
      <c r="A5651" s="105">
        <v>96398</v>
      </c>
      <c r="B5651" s="104" t="s">
        <v>5583</v>
      </c>
      <c r="C5651" s="104" t="s">
        <v>28</v>
      </c>
      <c r="D5651" s="129" t="s">
        <v>19497</v>
      </c>
    </row>
    <row r="5652" spans="1:4">
      <c r="A5652" s="105">
        <v>96399</v>
      </c>
      <c r="B5652" s="104" t="s">
        <v>5584</v>
      </c>
      <c r="C5652" s="104" t="s">
        <v>28</v>
      </c>
      <c r="D5652" s="129" t="s">
        <v>19498</v>
      </c>
    </row>
    <row r="5653" spans="1:4">
      <c r="A5653" s="105">
        <v>96400</v>
      </c>
      <c r="B5653" s="104" t="s">
        <v>5585</v>
      </c>
      <c r="C5653" s="104" t="s">
        <v>28</v>
      </c>
      <c r="D5653" s="129" t="s">
        <v>19499</v>
      </c>
    </row>
    <row r="5654" spans="1:4">
      <c r="A5654" s="105">
        <v>96402</v>
      </c>
      <c r="B5654" s="104" t="s">
        <v>5586</v>
      </c>
      <c r="C5654" s="104" t="s">
        <v>12</v>
      </c>
      <c r="D5654" s="129" t="s">
        <v>19500</v>
      </c>
    </row>
    <row r="5655" spans="1:4">
      <c r="A5655" s="105">
        <v>100564</v>
      </c>
      <c r="B5655" s="104" t="s">
        <v>5587</v>
      </c>
      <c r="C5655" s="104" t="s">
        <v>28</v>
      </c>
      <c r="D5655" s="129" t="s">
        <v>19501</v>
      </c>
    </row>
    <row r="5656" spans="1:4">
      <c r="A5656" s="105">
        <v>100565</v>
      </c>
      <c r="B5656" s="104" t="s">
        <v>5588</v>
      </c>
      <c r="C5656" s="104" t="s">
        <v>28</v>
      </c>
      <c r="D5656" s="129" t="s">
        <v>19502</v>
      </c>
    </row>
    <row r="5657" spans="1:4">
      <c r="A5657" s="105">
        <v>100566</v>
      </c>
      <c r="B5657" s="104" t="s">
        <v>5589</v>
      </c>
      <c r="C5657" s="104" t="s">
        <v>28</v>
      </c>
      <c r="D5657" s="129" t="s">
        <v>19503</v>
      </c>
    </row>
    <row r="5658" spans="1:4">
      <c r="A5658" s="105">
        <v>100567</v>
      </c>
      <c r="B5658" s="104" t="s">
        <v>5590</v>
      </c>
      <c r="C5658" s="104" t="s">
        <v>28</v>
      </c>
      <c r="D5658" s="129" t="s">
        <v>19504</v>
      </c>
    </row>
    <row r="5659" spans="1:4">
      <c r="A5659" s="105">
        <v>100568</v>
      </c>
      <c r="B5659" s="104" t="s">
        <v>5591</v>
      </c>
      <c r="C5659" s="104" t="s">
        <v>28</v>
      </c>
      <c r="D5659" s="129" t="s">
        <v>19505</v>
      </c>
    </row>
    <row r="5660" spans="1:4">
      <c r="A5660" s="105">
        <v>100569</v>
      </c>
      <c r="B5660" s="104" t="s">
        <v>5592</v>
      </c>
      <c r="C5660" s="104" t="s">
        <v>28</v>
      </c>
      <c r="D5660" s="129" t="s">
        <v>19506</v>
      </c>
    </row>
    <row r="5661" spans="1:4">
      <c r="A5661" s="105">
        <v>100570</v>
      </c>
      <c r="B5661" s="104" t="s">
        <v>5593</v>
      </c>
      <c r="C5661" s="104" t="s">
        <v>28</v>
      </c>
      <c r="D5661" s="129" t="s">
        <v>19507</v>
      </c>
    </row>
    <row r="5662" spans="1:4">
      <c r="A5662" s="105">
        <v>100571</v>
      </c>
      <c r="B5662" s="104" t="s">
        <v>5594</v>
      </c>
      <c r="C5662" s="104" t="s">
        <v>28</v>
      </c>
      <c r="D5662" s="129" t="s">
        <v>19508</v>
      </c>
    </row>
    <row r="5663" spans="1:4">
      <c r="A5663" s="105">
        <v>100572</v>
      </c>
      <c r="B5663" s="104" t="s">
        <v>5595</v>
      </c>
      <c r="C5663" s="104" t="s">
        <v>28</v>
      </c>
      <c r="D5663" s="129" t="s">
        <v>19509</v>
      </c>
    </row>
    <row r="5664" spans="1:4">
      <c r="A5664" s="105">
        <v>100573</v>
      </c>
      <c r="B5664" s="104" t="s">
        <v>5596</v>
      </c>
      <c r="C5664" s="104" t="s">
        <v>28</v>
      </c>
      <c r="D5664" s="129" t="s">
        <v>19510</v>
      </c>
    </row>
    <row r="5665" spans="1:4">
      <c r="A5665" s="105">
        <v>100574</v>
      </c>
      <c r="B5665" s="104" t="s">
        <v>5597</v>
      </c>
      <c r="C5665" s="104" t="s">
        <v>28</v>
      </c>
      <c r="D5665" s="129" t="s">
        <v>19511</v>
      </c>
    </row>
    <row r="5666" spans="1:4">
      <c r="A5666" s="105">
        <v>100575</v>
      </c>
      <c r="B5666" s="104" t="s">
        <v>5598</v>
      </c>
      <c r="C5666" s="104" t="s">
        <v>12</v>
      </c>
      <c r="D5666" s="129" t="s">
        <v>19512</v>
      </c>
    </row>
    <row r="5667" spans="1:4">
      <c r="A5667" s="105">
        <v>101767</v>
      </c>
      <c r="B5667" s="104" t="s">
        <v>5599</v>
      </c>
      <c r="C5667" s="104" t="s">
        <v>28</v>
      </c>
      <c r="D5667" s="129" t="s">
        <v>15788</v>
      </c>
    </row>
    <row r="5668" spans="1:4">
      <c r="A5668" s="105">
        <v>101768</v>
      </c>
      <c r="B5668" s="104" t="s">
        <v>5600</v>
      </c>
      <c r="C5668" s="104" t="s">
        <v>28</v>
      </c>
      <c r="D5668" s="129" t="s">
        <v>19513</v>
      </c>
    </row>
    <row r="5669" spans="1:4">
      <c r="A5669" s="105">
        <v>92391</v>
      </c>
      <c r="B5669" s="104" t="s">
        <v>5601</v>
      </c>
      <c r="C5669" s="104" t="s">
        <v>12</v>
      </c>
      <c r="D5669" s="129" t="s">
        <v>19514</v>
      </c>
    </row>
    <row r="5670" spans="1:4">
      <c r="A5670" s="105">
        <v>92392</v>
      </c>
      <c r="B5670" s="104" t="s">
        <v>5602</v>
      </c>
      <c r="C5670" s="104" t="s">
        <v>12</v>
      </c>
      <c r="D5670" s="129" t="s">
        <v>19515</v>
      </c>
    </row>
    <row r="5671" spans="1:4">
      <c r="A5671" s="105">
        <v>92393</v>
      </c>
      <c r="B5671" s="104" t="s">
        <v>5603</v>
      </c>
      <c r="C5671" s="104" t="s">
        <v>12</v>
      </c>
      <c r="D5671" s="129" t="s">
        <v>19516</v>
      </c>
    </row>
    <row r="5672" spans="1:4">
      <c r="A5672" s="105">
        <v>92394</v>
      </c>
      <c r="B5672" s="104" t="s">
        <v>5604</v>
      </c>
      <c r="C5672" s="104" t="s">
        <v>12</v>
      </c>
      <c r="D5672" s="129" t="s">
        <v>19517</v>
      </c>
    </row>
    <row r="5673" spans="1:4">
      <c r="A5673" s="105">
        <v>92395</v>
      </c>
      <c r="B5673" s="104" t="s">
        <v>5605</v>
      </c>
      <c r="C5673" s="104" t="s">
        <v>12</v>
      </c>
      <c r="D5673" s="129" t="s">
        <v>19518</v>
      </c>
    </row>
    <row r="5674" spans="1:4">
      <c r="A5674" s="105">
        <v>92396</v>
      </c>
      <c r="B5674" s="104" t="s">
        <v>5606</v>
      </c>
      <c r="C5674" s="104" t="s">
        <v>12</v>
      </c>
      <c r="D5674" s="129" t="s">
        <v>19519</v>
      </c>
    </row>
    <row r="5675" spans="1:4">
      <c r="A5675" s="105">
        <v>92397</v>
      </c>
      <c r="B5675" s="104" t="s">
        <v>5607</v>
      </c>
      <c r="C5675" s="104" t="s">
        <v>12</v>
      </c>
      <c r="D5675" s="129" t="s">
        <v>18269</v>
      </c>
    </row>
    <row r="5676" spans="1:4">
      <c r="A5676" s="105">
        <v>92398</v>
      </c>
      <c r="B5676" s="104" t="s">
        <v>5608</v>
      </c>
      <c r="C5676" s="104" t="s">
        <v>12</v>
      </c>
      <c r="D5676" s="129" t="s">
        <v>19520</v>
      </c>
    </row>
    <row r="5677" spans="1:4">
      <c r="A5677" s="105">
        <v>92399</v>
      </c>
      <c r="B5677" s="104" t="s">
        <v>5609</v>
      </c>
      <c r="C5677" s="104" t="s">
        <v>12</v>
      </c>
      <c r="D5677" s="129" t="s">
        <v>19521</v>
      </c>
    </row>
    <row r="5678" spans="1:4">
      <c r="A5678" s="105">
        <v>92400</v>
      </c>
      <c r="B5678" s="104" t="s">
        <v>5610</v>
      </c>
      <c r="C5678" s="104" t="s">
        <v>12</v>
      </c>
      <c r="D5678" s="129" t="s">
        <v>19522</v>
      </c>
    </row>
    <row r="5679" spans="1:4">
      <c r="A5679" s="105">
        <v>92401</v>
      </c>
      <c r="B5679" s="104" t="s">
        <v>5611</v>
      </c>
      <c r="C5679" s="104" t="s">
        <v>12</v>
      </c>
      <c r="D5679" s="129" t="s">
        <v>19523</v>
      </c>
    </row>
    <row r="5680" spans="1:4">
      <c r="A5680" s="105">
        <v>92402</v>
      </c>
      <c r="B5680" s="104" t="s">
        <v>5612</v>
      </c>
      <c r="C5680" s="104" t="s">
        <v>12</v>
      </c>
      <c r="D5680" s="129" t="s">
        <v>16745</v>
      </c>
    </row>
    <row r="5681" spans="1:4">
      <c r="A5681" s="105">
        <v>92403</v>
      </c>
      <c r="B5681" s="104" t="s">
        <v>5613</v>
      </c>
      <c r="C5681" s="104" t="s">
        <v>12</v>
      </c>
      <c r="D5681" s="129" t="s">
        <v>19524</v>
      </c>
    </row>
    <row r="5682" spans="1:4">
      <c r="A5682" s="105">
        <v>92404</v>
      </c>
      <c r="B5682" s="104" t="s">
        <v>5614</v>
      </c>
      <c r="C5682" s="104" t="s">
        <v>12</v>
      </c>
      <c r="D5682" s="129" t="s">
        <v>19525</v>
      </c>
    </row>
    <row r="5683" spans="1:4">
      <c r="A5683" s="105">
        <v>92405</v>
      </c>
      <c r="B5683" s="104" t="s">
        <v>5615</v>
      </c>
      <c r="C5683" s="104" t="s">
        <v>12</v>
      </c>
      <c r="D5683" s="129" t="s">
        <v>19526</v>
      </c>
    </row>
    <row r="5684" spans="1:4">
      <c r="A5684" s="105">
        <v>92406</v>
      </c>
      <c r="B5684" s="104" t="s">
        <v>5616</v>
      </c>
      <c r="C5684" s="104" t="s">
        <v>12</v>
      </c>
      <c r="D5684" s="129" t="s">
        <v>19527</v>
      </c>
    </row>
    <row r="5685" spans="1:4">
      <c r="A5685" s="105">
        <v>92407</v>
      </c>
      <c r="B5685" s="104" t="s">
        <v>5617</v>
      </c>
      <c r="C5685" s="104" t="s">
        <v>12</v>
      </c>
      <c r="D5685" s="129" t="s">
        <v>19528</v>
      </c>
    </row>
    <row r="5686" spans="1:4">
      <c r="A5686" s="105">
        <v>93679</v>
      </c>
      <c r="B5686" s="104" t="s">
        <v>5618</v>
      </c>
      <c r="C5686" s="104" t="s">
        <v>12</v>
      </c>
      <c r="D5686" s="129" t="s">
        <v>19529</v>
      </c>
    </row>
    <row r="5687" spans="1:4">
      <c r="A5687" s="105">
        <v>93680</v>
      </c>
      <c r="B5687" s="104" t="s">
        <v>5619</v>
      </c>
      <c r="C5687" s="104" t="s">
        <v>12</v>
      </c>
      <c r="D5687" s="129" t="s">
        <v>19530</v>
      </c>
    </row>
    <row r="5688" spans="1:4">
      <c r="A5688" s="105">
        <v>93681</v>
      </c>
      <c r="B5688" s="104" t="s">
        <v>5620</v>
      </c>
      <c r="C5688" s="104" t="s">
        <v>12</v>
      </c>
      <c r="D5688" s="129" t="s">
        <v>19531</v>
      </c>
    </row>
    <row r="5689" spans="1:4">
      <c r="A5689" s="105">
        <v>93682</v>
      </c>
      <c r="B5689" s="104" t="s">
        <v>5621</v>
      </c>
      <c r="C5689" s="104" t="s">
        <v>12</v>
      </c>
      <c r="D5689" s="129" t="s">
        <v>19532</v>
      </c>
    </row>
    <row r="5690" spans="1:4">
      <c r="A5690" s="105">
        <v>97104</v>
      </c>
      <c r="B5690" s="104" t="s">
        <v>5622</v>
      </c>
      <c r="C5690" s="104" t="s">
        <v>12</v>
      </c>
      <c r="D5690" s="129" t="s">
        <v>19533</v>
      </c>
    </row>
    <row r="5691" spans="1:4">
      <c r="A5691" s="105">
        <v>97105</v>
      </c>
      <c r="B5691" s="104" t="s">
        <v>5623</v>
      </c>
      <c r="C5691" s="104" t="s">
        <v>12</v>
      </c>
      <c r="D5691" s="129" t="s">
        <v>19534</v>
      </c>
    </row>
    <row r="5692" spans="1:4">
      <c r="A5692" s="105">
        <v>97106</v>
      </c>
      <c r="B5692" s="104" t="s">
        <v>5624</v>
      </c>
      <c r="C5692" s="104" t="s">
        <v>12</v>
      </c>
      <c r="D5692" s="129" t="s">
        <v>19535</v>
      </c>
    </row>
    <row r="5693" spans="1:4">
      <c r="A5693" s="105">
        <v>97107</v>
      </c>
      <c r="B5693" s="104" t="s">
        <v>5625</v>
      </c>
      <c r="C5693" s="104" t="s">
        <v>12</v>
      </c>
      <c r="D5693" s="129" t="s">
        <v>19536</v>
      </c>
    </row>
    <row r="5694" spans="1:4">
      <c r="A5694" s="105">
        <v>97108</v>
      </c>
      <c r="B5694" s="104" t="s">
        <v>5626</v>
      </c>
      <c r="C5694" s="104" t="s">
        <v>12</v>
      </c>
      <c r="D5694" s="129" t="s">
        <v>19537</v>
      </c>
    </row>
    <row r="5695" spans="1:4">
      <c r="A5695" s="105">
        <v>97109</v>
      </c>
      <c r="B5695" s="104" t="s">
        <v>5627</v>
      </c>
      <c r="C5695" s="104" t="s">
        <v>12</v>
      </c>
      <c r="D5695" s="129" t="s">
        <v>19538</v>
      </c>
    </row>
    <row r="5696" spans="1:4">
      <c r="A5696" s="105">
        <v>97110</v>
      </c>
      <c r="B5696" s="104" t="s">
        <v>5628</v>
      </c>
      <c r="C5696" s="104" t="s">
        <v>12</v>
      </c>
      <c r="D5696" s="129" t="s">
        <v>19539</v>
      </c>
    </row>
    <row r="5697" spans="1:4">
      <c r="A5697" s="105">
        <v>97111</v>
      </c>
      <c r="B5697" s="104" t="s">
        <v>5629</v>
      </c>
      <c r="C5697" s="104" t="s">
        <v>12</v>
      </c>
      <c r="D5697" s="129" t="s">
        <v>19540</v>
      </c>
    </row>
    <row r="5698" spans="1:4">
      <c r="A5698" s="105">
        <v>97112</v>
      </c>
      <c r="B5698" s="104" t="s">
        <v>5630</v>
      </c>
      <c r="C5698" s="104" t="s">
        <v>12</v>
      </c>
      <c r="D5698" s="129" t="s">
        <v>19541</v>
      </c>
    </row>
    <row r="5699" spans="1:4">
      <c r="A5699" s="105">
        <v>97113</v>
      </c>
      <c r="B5699" s="104" t="s">
        <v>5631</v>
      </c>
      <c r="C5699" s="104" t="s">
        <v>12</v>
      </c>
      <c r="D5699" s="129" t="s">
        <v>19542</v>
      </c>
    </row>
    <row r="5700" spans="1:4">
      <c r="A5700" s="105">
        <v>97114</v>
      </c>
      <c r="B5700" s="104" t="s">
        <v>5632</v>
      </c>
      <c r="C5700" s="104" t="s">
        <v>40</v>
      </c>
      <c r="D5700" s="129" t="s">
        <v>19543</v>
      </c>
    </row>
    <row r="5701" spans="1:4">
      <c r="A5701" s="105">
        <v>97115</v>
      </c>
      <c r="B5701" s="104" t="s">
        <v>5633</v>
      </c>
      <c r="C5701" s="104" t="s">
        <v>41</v>
      </c>
      <c r="D5701" s="129" t="s">
        <v>19544</v>
      </c>
    </row>
    <row r="5702" spans="1:4">
      <c r="A5702" s="105">
        <v>97116</v>
      </c>
      <c r="B5702" s="104" t="s">
        <v>5634</v>
      </c>
      <c r="C5702" s="104" t="s">
        <v>41</v>
      </c>
      <c r="D5702" s="129" t="s">
        <v>18217</v>
      </c>
    </row>
    <row r="5703" spans="1:4">
      <c r="A5703" s="105">
        <v>97117</v>
      </c>
      <c r="B5703" s="104" t="s">
        <v>5635</v>
      </c>
      <c r="C5703" s="104" t="s">
        <v>41</v>
      </c>
      <c r="D5703" s="129" t="s">
        <v>16967</v>
      </c>
    </row>
    <row r="5704" spans="1:4">
      <c r="A5704" s="105">
        <v>97118</v>
      </c>
      <c r="B5704" s="104" t="s">
        <v>5636</v>
      </c>
      <c r="C5704" s="104" t="s">
        <v>41</v>
      </c>
      <c r="D5704" s="129" t="s">
        <v>19545</v>
      </c>
    </row>
    <row r="5705" spans="1:4">
      <c r="A5705" s="105">
        <v>97119</v>
      </c>
      <c r="B5705" s="104" t="s">
        <v>5637</v>
      </c>
      <c r="C5705" s="104" t="s">
        <v>41</v>
      </c>
      <c r="D5705" s="129" t="s">
        <v>17283</v>
      </c>
    </row>
    <row r="5706" spans="1:4">
      <c r="A5706" s="105">
        <v>97120</v>
      </c>
      <c r="B5706" s="104" t="s">
        <v>5638</v>
      </c>
      <c r="C5706" s="104" t="s">
        <v>41</v>
      </c>
      <c r="D5706" s="129" t="s">
        <v>19546</v>
      </c>
    </row>
    <row r="5707" spans="1:4">
      <c r="A5707" s="105">
        <v>97802</v>
      </c>
      <c r="B5707" s="104" t="s">
        <v>5639</v>
      </c>
      <c r="C5707" s="104" t="s">
        <v>12</v>
      </c>
      <c r="D5707" s="129" t="s">
        <v>19547</v>
      </c>
    </row>
    <row r="5708" spans="1:4">
      <c r="A5708" s="105">
        <v>97803</v>
      </c>
      <c r="B5708" s="104" t="s">
        <v>5640</v>
      </c>
      <c r="C5708" s="104" t="s">
        <v>12</v>
      </c>
      <c r="D5708" s="129" t="s">
        <v>15184</v>
      </c>
    </row>
    <row r="5709" spans="1:4">
      <c r="A5709" s="105">
        <v>97805</v>
      </c>
      <c r="B5709" s="104" t="s">
        <v>5641</v>
      </c>
      <c r="C5709" s="104" t="s">
        <v>12</v>
      </c>
      <c r="D5709" s="129" t="s">
        <v>15105</v>
      </c>
    </row>
    <row r="5710" spans="1:4">
      <c r="A5710" s="105">
        <v>97806</v>
      </c>
      <c r="B5710" s="104" t="s">
        <v>5642</v>
      </c>
      <c r="C5710" s="104" t="s">
        <v>12</v>
      </c>
      <c r="D5710" s="129" t="s">
        <v>19548</v>
      </c>
    </row>
    <row r="5711" spans="1:4">
      <c r="A5711" s="105">
        <v>97807</v>
      </c>
      <c r="B5711" s="104" t="s">
        <v>5643</v>
      </c>
      <c r="C5711" s="104" t="s">
        <v>12</v>
      </c>
      <c r="D5711" s="129" t="s">
        <v>19222</v>
      </c>
    </row>
    <row r="5712" spans="1:4">
      <c r="A5712" s="105">
        <v>97809</v>
      </c>
      <c r="B5712" s="104" t="s">
        <v>5644</v>
      </c>
      <c r="C5712" s="104" t="s">
        <v>12</v>
      </c>
      <c r="D5712" s="129" t="s">
        <v>19295</v>
      </c>
    </row>
    <row r="5713" spans="1:4">
      <c r="A5713" s="105">
        <v>97810</v>
      </c>
      <c r="B5713" s="104" t="s">
        <v>5645</v>
      </c>
      <c r="C5713" s="104" t="s">
        <v>12</v>
      </c>
      <c r="D5713" s="129" t="s">
        <v>17917</v>
      </c>
    </row>
    <row r="5714" spans="1:4">
      <c r="A5714" s="105">
        <v>97811</v>
      </c>
      <c r="B5714" s="104" t="s">
        <v>5646</v>
      </c>
      <c r="C5714" s="104" t="s">
        <v>12</v>
      </c>
      <c r="D5714" s="129" t="s">
        <v>17279</v>
      </c>
    </row>
    <row r="5715" spans="1:4">
      <c r="A5715" s="105">
        <v>101167</v>
      </c>
      <c r="B5715" s="104" t="s">
        <v>5647</v>
      </c>
      <c r="C5715" s="104" t="s">
        <v>12</v>
      </c>
      <c r="D5715" s="129" t="s">
        <v>19549</v>
      </c>
    </row>
    <row r="5716" spans="1:4">
      <c r="A5716" s="105">
        <v>101168</v>
      </c>
      <c r="B5716" s="104" t="s">
        <v>5648</v>
      </c>
      <c r="C5716" s="104" t="s">
        <v>12</v>
      </c>
      <c r="D5716" s="129" t="s">
        <v>19550</v>
      </c>
    </row>
    <row r="5717" spans="1:4">
      <c r="A5717" s="105">
        <v>101169</v>
      </c>
      <c r="B5717" s="104" t="s">
        <v>5649</v>
      </c>
      <c r="C5717" s="104" t="s">
        <v>12</v>
      </c>
      <c r="D5717" s="129" t="s">
        <v>19551</v>
      </c>
    </row>
    <row r="5718" spans="1:4">
      <c r="A5718" s="105">
        <v>101170</v>
      </c>
      <c r="B5718" s="104" t="s">
        <v>5650</v>
      </c>
      <c r="C5718" s="104" t="s">
        <v>12</v>
      </c>
      <c r="D5718" s="129" t="s">
        <v>19552</v>
      </c>
    </row>
    <row r="5719" spans="1:4">
      <c r="A5719" s="105">
        <v>101171</v>
      </c>
      <c r="B5719" s="104" t="s">
        <v>5651</v>
      </c>
      <c r="C5719" s="104" t="s">
        <v>12</v>
      </c>
      <c r="D5719" s="129" t="s">
        <v>19553</v>
      </c>
    </row>
    <row r="5720" spans="1:4">
      <c r="A5720" s="105">
        <v>101172</v>
      </c>
      <c r="B5720" s="104" t="s">
        <v>5652</v>
      </c>
      <c r="C5720" s="104" t="s">
        <v>12</v>
      </c>
      <c r="D5720" s="129" t="s">
        <v>17285</v>
      </c>
    </row>
    <row r="5721" spans="1:4">
      <c r="A5721" s="105">
        <v>95995</v>
      </c>
      <c r="B5721" s="104" t="s">
        <v>5653</v>
      </c>
      <c r="C5721" s="104" t="s">
        <v>28</v>
      </c>
      <c r="D5721" s="129" t="s">
        <v>19554</v>
      </c>
    </row>
    <row r="5722" spans="1:4">
      <c r="A5722" s="105">
        <v>95996</v>
      </c>
      <c r="B5722" s="104" t="s">
        <v>5654</v>
      </c>
      <c r="C5722" s="104" t="s">
        <v>28</v>
      </c>
      <c r="D5722" s="129" t="s">
        <v>19555</v>
      </c>
    </row>
    <row r="5723" spans="1:4">
      <c r="A5723" s="105">
        <v>96001</v>
      </c>
      <c r="B5723" s="104" t="s">
        <v>5655</v>
      </c>
      <c r="C5723" s="104" t="s">
        <v>12</v>
      </c>
      <c r="D5723" s="129" t="s">
        <v>19289</v>
      </c>
    </row>
    <row r="5724" spans="1:4">
      <c r="A5724" s="105">
        <v>96393</v>
      </c>
      <c r="B5724" s="104" t="s">
        <v>5656</v>
      </c>
      <c r="C5724" s="104" t="s">
        <v>28</v>
      </c>
      <c r="D5724" s="129" t="s">
        <v>19556</v>
      </c>
    </row>
    <row r="5725" spans="1:4">
      <c r="A5725" s="105">
        <v>96394</v>
      </c>
      <c r="B5725" s="104" t="s">
        <v>5657</v>
      </c>
      <c r="C5725" s="104" t="s">
        <v>28</v>
      </c>
      <c r="D5725" s="129" t="s">
        <v>19557</v>
      </c>
    </row>
    <row r="5726" spans="1:4">
      <c r="A5726" s="105">
        <v>96395</v>
      </c>
      <c r="B5726" s="104" t="s">
        <v>5658</v>
      </c>
      <c r="C5726" s="104" t="s">
        <v>28</v>
      </c>
      <c r="D5726" s="129" t="s">
        <v>19558</v>
      </c>
    </row>
    <row r="5727" spans="1:4">
      <c r="A5727" s="105">
        <v>100624</v>
      </c>
      <c r="B5727" s="104" t="s">
        <v>5659</v>
      </c>
      <c r="C5727" s="104" t="s">
        <v>28</v>
      </c>
      <c r="D5727" s="129" t="s">
        <v>19559</v>
      </c>
    </row>
    <row r="5728" spans="1:4">
      <c r="A5728" s="105">
        <v>100625</v>
      </c>
      <c r="B5728" s="104" t="s">
        <v>5660</v>
      </c>
      <c r="C5728" s="104" t="s">
        <v>28</v>
      </c>
      <c r="D5728" s="129" t="s">
        <v>19560</v>
      </c>
    </row>
    <row r="5729" spans="1:4">
      <c r="A5729" s="105">
        <v>101020</v>
      </c>
      <c r="B5729" s="104" t="s">
        <v>5661</v>
      </c>
      <c r="C5729" s="104" t="s">
        <v>5662</v>
      </c>
      <c r="D5729" s="129" t="s">
        <v>19561</v>
      </c>
    </row>
    <row r="5730" spans="1:4">
      <c r="A5730" s="105">
        <v>101021</v>
      </c>
      <c r="B5730" s="104" t="s">
        <v>5663</v>
      </c>
      <c r="C5730" s="104" t="s">
        <v>5662</v>
      </c>
      <c r="D5730" s="129" t="s">
        <v>19562</v>
      </c>
    </row>
    <row r="5731" spans="1:4">
      <c r="A5731" s="105">
        <v>101022</v>
      </c>
      <c r="B5731" s="104" t="s">
        <v>5664</v>
      </c>
      <c r="C5731" s="104" t="s">
        <v>5662</v>
      </c>
      <c r="D5731" s="129" t="s">
        <v>19563</v>
      </c>
    </row>
    <row r="5732" spans="1:4">
      <c r="A5732" s="105">
        <v>101023</v>
      </c>
      <c r="B5732" s="104" t="s">
        <v>5665</v>
      </c>
      <c r="C5732" s="104" t="s">
        <v>5662</v>
      </c>
      <c r="D5732" s="129" t="s">
        <v>19564</v>
      </c>
    </row>
    <row r="5733" spans="1:4">
      <c r="A5733" s="105">
        <v>101024</v>
      </c>
      <c r="B5733" s="104" t="s">
        <v>5666</v>
      </c>
      <c r="C5733" s="104" t="s">
        <v>5662</v>
      </c>
      <c r="D5733" s="129" t="s">
        <v>19565</v>
      </c>
    </row>
    <row r="5734" spans="1:4">
      <c r="A5734" s="105">
        <v>101025</v>
      </c>
      <c r="B5734" s="104" t="s">
        <v>5667</v>
      </c>
      <c r="C5734" s="104" t="s">
        <v>5662</v>
      </c>
      <c r="D5734" s="129" t="s">
        <v>19566</v>
      </c>
    </row>
    <row r="5735" spans="1:4">
      <c r="A5735" s="105">
        <v>101026</v>
      </c>
      <c r="B5735" s="104" t="s">
        <v>5668</v>
      </c>
      <c r="C5735" s="104" t="s">
        <v>5662</v>
      </c>
      <c r="D5735" s="129" t="s">
        <v>19567</v>
      </c>
    </row>
    <row r="5736" spans="1:4">
      <c r="A5736" s="105">
        <v>101027</v>
      </c>
      <c r="B5736" s="104" t="s">
        <v>5669</v>
      </c>
      <c r="C5736" s="104" t="s">
        <v>5662</v>
      </c>
      <c r="D5736" s="129" t="s">
        <v>19568</v>
      </c>
    </row>
    <row r="5737" spans="1:4">
      <c r="A5737" s="105">
        <v>88411</v>
      </c>
      <c r="B5737" s="104" t="s">
        <v>350</v>
      </c>
      <c r="C5737" s="104" t="s">
        <v>12</v>
      </c>
      <c r="D5737" s="129" t="s">
        <v>19569</v>
      </c>
    </row>
    <row r="5738" spans="1:4">
      <c r="A5738" s="105">
        <v>88412</v>
      </c>
      <c r="B5738" s="104" t="s">
        <v>5670</v>
      </c>
      <c r="C5738" s="104" t="s">
        <v>12</v>
      </c>
      <c r="D5738" s="129" t="s">
        <v>19570</v>
      </c>
    </row>
    <row r="5739" spans="1:4">
      <c r="A5739" s="105">
        <v>88413</v>
      </c>
      <c r="B5739" s="104" t="s">
        <v>5671</v>
      </c>
      <c r="C5739" s="104" t="s">
        <v>12</v>
      </c>
      <c r="D5739" s="129" t="s">
        <v>15221</v>
      </c>
    </row>
    <row r="5740" spans="1:4">
      <c r="A5740" s="105">
        <v>88414</v>
      </c>
      <c r="B5740" s="104" t="s">
        <v>5672</v>
      </c>
      <c r="C5740" s="104" t="s">
        <v>12</v>
      </c>
      <c r="D5740" s="129" t="s">
        <v>15527</v>
      </c>
    </row>
    <row r="5741" spans="1:4">
      <c r="A5741" s="105">
        <v>88415</v>
      </c>
      <c r="B5741" s="104" t="s">
        <v>5673</v>
      </c>
      <c r="C5741" s="104" t="s">
        <v>12</v>
      </c>
      <c r="D5741" s="129" t="s">
        <v>19571</v>
      </c>
    </row>
    <row r="5742" spans="1:4">
      <c r="A5742" s="105">
        <v>88416</v>
      </c>
      <c r="B5742" s="104" t="s">
        <v>5674</v>
      </c>
      <c r="C5742" s="104" t="s">
        <v>12</v>
      </c>
      <c r="D5742" s="129" t="s">
        <v>17823</v>
      </c>
    </row>
    <row r="5743" spans="1:4">
      <c r="A5743" s="105">
        <v>88417</v>
      </c>
      <c r="B5743" s="104" t="s">
        <v>5675</v>
      </c>
      <c r="C5743" s="104" t="s">
        <v>12</v>
      </c>
      <c r="D5743" s="129" t="s">
        <v>18072</v>
      </c>
    </row>
    <row r="5744" spans="1:4">
      <c r="A5744" s="105">
        <v>88420</v>
      </c>
      <c r="B5744" s="104" t="s">
        <v>5676</v>
      </c>
      <c r="C5744" s="104" t="s">
        <v>12</v>
      </c>
      <c r="D5744" s="129" t="s">
        <v>16623</v>
      </c>
    </row>
    <row r="5745" spans="1:4">
      <c r="A5745" s="105">
        <v>88421</v>
      </c>
      <c r="B5745" s="104" t="s">
        <v>5677</v>
      </c>
      <c r="C5745" s="104" t="s">
        <v>12</v>
      </c>
      <c r="D5745" s="129" t="s">
        <v>19572</v>
      </c>
    </row>
    <row r="5746" spans="1:4">
      <c r="A5746" s="105">
        <v>88423</v>
      </c>
      <c r="B5746" s="104" t="s">
        <v>5678</v>
      </c>
      <c r="C5746" s="104" t="s">
        <v>12</v>
      </c>
      <c r="D5746" s="129" t="s">
        <v>19573</v>
      </c>
    </row>
    <row r="5747" spans="1:4">
      <c r="A5747" s="105">
        <v>88424</v>
      </c>
      <c r="B5747" s="104" t="s">
        <v>5679</v>
      </c>
      <c r="C5747" s="104" t="s">
        <v>12</v>
      </c>
      <c r="D5747" s="129" t="s">
        <v>15809</v>
      </c>
    </row>
    <row r="5748" spans="1:4">
      <c r="A5748" s="105">
        <v>88426</v>
      </c>
      <c r="B5748" s="104" t="s">
        <v>5680</v>
      </c>
      <c r="C5748" s="104" t="s">
        <v>12</v>
      </c>
      <c r="D5748" s="129" t="s">
        <v>19574</v>
      </c>
    </row>
    <row r="5749" spans="1:4">
      <c r="A5749" s="105">
        <v>88428</v>
      </c>
      <c r="B5749" s="104" t="s">
        <v>5681</v>
      </c>
      <c r="C5749" s="104" t="s">
        <v>12</v>
      </c>
      <c r="D5749" s="129" t="s">
        <v>15187</v>
      </c>
    </row>
    <row r="5750" spans="1:4">
      <c r="A5750" s="105">
        <v>88429</v>
      </c>
      <c r="B5750" s="104" t="s">
        <v>5682</v>
      </c>
      <c r="C5750" s="104" t="s">
        <v>12</v>
      </c>
      <c r="D5750" s="129" t="s">
        <v>19575</v>
      </c>
    </row>
    <row r="5751" spans="1:4">
      <c r="A5751" s="105">
        <v>88431</v>
      </c>
      <c r="B5751" s="104" t="s">
        <v>5683</v>
      </c>
      <c r="C5751" s="104" t="s">
        <v>12</v>
      </c>
      <c r="D5751" s="129" t="s">
        <v>15147</v>
      </c>
    </row>
    <row r="5752" spans="1:4">
      <c r="A5752" s="105">
        <v>88432</v>
      </c>
      <c r="B5752" s="104" t="s">
        <v>5684</v>
      </c>
      <c r="C5752" s="104" t="s">
        <v>12</v>
      </c>
      <c r="D5752" s="129" t="s">
        <v>19576</v>
      </c>
    </row>
    <row r="5753" spans="1:4">
      <c r="A5753" s="105">
        <v>88484</v>
      </c>
      <c r="B5753" s="104" t="s">
        <v>5685</v>
      </c>
      <c r="C5753" s="104" t="s">
        <v>12</v>
      </c>
      <c r="D5753" s="129" t="s">
        <v>15591</v>
      </c>
    </row>
    <row r="5754" spans="1:4">
      <c r="A5754" s="105">
        <v>88485</v>
      </c>
      <c r="B5754" s="104" t="s">
        <v>5686</v>
      </c>
      <c r="C5754" s="104" t="s">
        <v>12</v>
      </c>
      <c r="D5754" s="129" t="s">
        <v>19577</v>
      </c>
    </row>
    <row r="5755" spans="1:4">
      <c r="A5755" s="105">
        <v>88488</v>
      </c>
      <c r="B5755" s="104" t="s">
        <v>5687</v>
      </c>
      <c r="C5755" s="104" t="s">
        <v>12</v>
      </c>
      <c r="D5755" s="129" t="s">
        <v>19578</v>
      </c>
    </row>
    <row r="5756" spans="1:4">
      <c r="A5756" s="105">
        <v>88489</v>
      </c>
      <c r="B5756" s="104" t="s">
        <v>81</v>
      </c>
      <c r="C5756" s="104" t="s">
        <v>12</v>
      </c>
      <c r="D5756" s="129" t="s">
        <v>16933</v>
      </c>
    </row>
    <row r="5757" spans="1:4">
      <c r="A5757" s="105">
        <v>88494</v>
      </c>
      <c r="B5757" s="104" t="s">
        <v>5688</v>
      </c>
      <c r="C5757" s="104" t="s">
        <v>12</v>
      </c>
      <c r="D5757" s="129" t="s">
        <v>19579</v>
      </c>
    </row>
    <row r="5758" spans="1:4">
      <c r="A5758" s="105">
        <v>88495</v>
      </c>
      <c r="B5758" s="104" t="s">
        <v>5689</v>
      </c>
      <c r="C5758" s="104" t="s">
        <v>12</v>
      </c>
      <c r="D5758" s="129" t="s">
        <v>17199</v>
      </c>
    </row>
    <row r="5759" spans="1:4">
      <c r="A5759" s="105">
        <v>88496</v>
      </c>
      <c r="B5759" s="104" t="s">
        <v>5690</v>
      </c>
      <c r="C5759" s="104" t="s">
        <v>12</v>
      </c>
      <c r="D5759" s="129" t="s">
        <v>19481</v>
      </c>
    </row>
    <row r="5760" spans="1:4">
      <c r="A5760" s="105">
        <v>88497</v>
      </c>
      <c r="B5760" s="104" t="s">
        <v>5691</v>
      </c>
      <c r="C5760" s="104" t="s">
        <v>12</v>
      </c>
      <c r="D5760" s="129" t="s">
        <v>19580</v>
      </c>
    </row>
    <row r="5761" spans="1:4">
      <c r="A5761" s="105">
        <v>95305</v>
      </c>
      <c r="B5761" s="104" t="s">
        <v>5692</v>
      </c>
      <c r="C5761" s="104" t="s">
        <v>12</v>
      </c>
      <c r="D5761" s="129" t="s">
        <v>19581</v>
      </c>
    </row>
    <row r="5762" spans="1:4">
      <c r="A5762" s="105">
        <v>95306</v>
      </c>
      <c r="B5762" s="104" t="s">
        <v>5693</v>
      </c>
      <c r="C5762" s="104" t="s">
        <v>12</v>
      </c>
      <c r="D5762" s="129" t="s">
        <v>19258</v>
      </c>
    </row>
    <row r="5763" spans="1:4">
      <c r="A5763" s="105">
        <v>95622</v>
      </c>
      <c r="B5763" s="104" t="s">
        <v>352</v>
      </c>
      <c r="C5763" s="104" t="s">
        <v>12</v>
      </c>
      <c r="D5763" s="129" t="s">
        <v>19582</v>
      </c>
    </row>
    <row r="5764" spans="1:4">
      <c r="A5764" s="105">
        <v>95623</v>
      </c>
      <c r="B5764" s="104" t="s">
        <v>5694</v>
      </c>
      <c r="C5764" s="104" t="s">
        <v>12</v>
      </c>
      <c r="D5764" s="129" t="s">
        <v>19583</v>
      </c>
    </row>
    <row r="5765" spans="1:4">
      <c r="A5765" s="105">
        <v>95624</v>
      </c>
      <c r="B5765" s="104" t="s">
        <v>5695</v>
      </c>
      <c r="C5765" s="104" t="s">
        <v>12</v>
      </c>
      <c r="D5765" s="129" t="s">
        <v>19584</v>
      </c>
    </row>
    <row r="5766" spans="1:4">
      <c r="A5766" s="105">
        <v>95625</v>
      </c>
      <c r="B5766" s="104" t="s">
        <v>5696</v>
      </c>
      <c r="C5766" s="104" t="s">
        <v>12</v>
      </c>
      <c r="D5766" s="129" t="s">
        <v>19585</v>
      </c>
    </row>
    <row r="5767" spans="1:4">
      <c r="A5767" s="105">
        <v>95626</v>
      </c>
      <c r="B5767" s="104" t="s">
        <v>5697</v>
      </c>
      <c r="C5767" s="104" t="s">
        <v>12</v>
      </c>
      <c r="D5767" s="129" t="s">
        <v>19586</v>
      </c>
    </row>
    <row r="5768" spans="1:4">
      <c r="A5768" s="105">
        <v>96126</v>
      </c>
      <c r="B5768" s="104" t="s">
        <v>5698</v>
      </c>
      <c r="C5768" s="104" t="s">
        <v>12</v>
      </c>
      <c r="D5768" s="129" t="s">
        <v>17201</v>
      </c>
    </row>
    <row r="5769" spans="1:4">
      <c r="A5769" s="105">
        <v>96127</v>
      </c>
      <c r="B5769" s="104" t="s">
        <v>5699</v>
      </c>
      <c r="C5769" s="104" t="s">
        <v>12</v>
      </c>
      <c r="D5769" s="129" t="s">
        <v>19587</v>
      </c>
    </row>
    <row r="5770" spans="1:4">
      <c r="A5770" s="105">
        <v>96128</v>
      </c>
      <c r="B5770" s="104" t="s">
        <v>5700</v>
      </c>
      <c r="C5770" s="104" t="s">
        <v>12</v>
      </c>
      <c r="D5770" s="129" t="s">
        <v>19588</v>
      </c>
    </row>
    <row r="5771" spans="1:4">
      <c r="A5771" s="105">
        <v>96129</v>
      </c>
      <c r="B5771" s="104" t="s">
        <v>5701</v>
      </c>
      <c r="C5771" s="104" t="s">
        <v>12</v>
      </c>
      <c r="D5771" s="129" t="s">
        <v>19589</v>
      </c>
    </row>
    <row r="5772" spans="1:4">
      <c r="A5772" s="105">
        <v>96130</v>
      </c>
      <c r="B5772" s="104" t="s">
        <v>5702</v>
      </c>
      <c r="C5772" s="104" t="s">
        <v>12</v>
      </c>
      <c r="D5772" s="129" t="s">
        <v>17489</v>
      </c>
    </row>
    <row r="5773" spans="1:4">
      <c r="A5773" s="105">
        <v>96131</v>
      </c>
      <c r="B5773" s="104" t="s">
        <v>351</v>
      </c>
      <c r="C5773" s="104" t="s">
        <v>12</v>
      </c>
      <c r="D5773" s="129" t="s">
        <v>17907</v>
      </c>
    </row>
    <row r="5774" spans="1:4">
      <c r="A5774" s="105">
        <v>96132</v>
      </c>
      <c r="B5774" s="104" t="s">
        <v>5703</v>
      </c>
      <c r="C5774" s="104" t="s">
        <v>12</v>
      </c>
      <c r="D5774" s="129" t="s">
        <v>19590</v>
      </c>
    </row>
    <row r="5775" spans="1:4">
      <c r="A5775" s="105">
        <v>96133</v>
      </c>
      <c r="B5775" s="104" t="s">
        <v>5704</v>
      </c>
      <c r="C5775" s="104" t="s">
        <v>12</v>
      </c>
      <c r="D5775" s="129" t="s">
        <v>19591</v>
      </c>
    </row>
    <row r="5776" spans="1:4">
      <c r="A5776" s="105">
        <v>96134</v>
      </c>
      <c r="B5776" s="104" t="s">
        <v>5705</v>
      </c>
      <c r="C5776" s="104" t="s">
        <v>12</v>
      </c>
      <c r="D5776" s="129" t="s">
        <v>19592</v>
      </c>
    </row>
    <row r="5777" spans="1:4">
      <c r="A5777" s="105">
        <v>96135</v>
      </c>
      <c r="B5777" s="104" t="s">
        <v>5706</v>
      </c>
      <c r="C5777" s="104" t="s">
        <v>12</v>
      </c>
      <c r="D5777" s="129" t="s">
        <v>15187</v>
      </c>
    </row>
    <row r="5778" spans="1:4">
      <c r="A5778" s="105">
        <v>102193</v>
      </c>
      <c r="B5778" s="104" t="s">
        <v>5707</v>
      </c>
      <c r="C5778" s="104" t="s">
        <v>12</v>
      </c>
      <c r="D5778" s="129" t="s">
        <v>19542</v>
      </c>
    </row>
    <row r="5779" spans="1:4">
      <c r="A5779" s="105">
        <v>102194</v>
      </c>
      <c r="B5779" s="104" t="s">
        <v>5708</v>
      </c>
      <c r="C5779" s="104" t="s">
        <v>12</v>
      </c>
      <c r="D5779" s="129" t="s">
        <v>15319</v>
      </c>
    </row>
    <row r="5780" spans="1:4">
      <c r="A5780" s="105">
        <v>102197</v>
      </c>
      <c r="B5780" s="104" t="s">
        <v>5709</v>
      </c>
      <c r="C5780" s="104" t="s">
        <v>12</v>
      </c>
      <c r="D5780" s="129" t="s">
        <v>19593</v>
      </c>
    </row>
    <row r="5781" spans="1:4">
      <c r="A5781" s="105">
        <v>102200</v>
      </c>
      <c r="B5781" s="104" t="s">
        <v>5710</v>
      </c>
      <c r="C5781" s="104" t="s">
        <v>12</v>
      </c>
      <c r="D5781" s="129" t="s">
        <v>17489</v>
      </c>
    </row>
    <row r="5782" spans="1:4">
      <c r="A5782" s="105">
        <v>102201</v>
      </c>
      <c r="B5782" s="104" t="s">
        <v>13815</v>
      </c>
      <c r="C5782" s="104" t="s">
        <v>12</v>
      </c>
      <c r="D5782" s="129" t="s">
        <v>15172</v>
      </c>
    </row>
    <row r="5783" spans="1:4">
      <c r="A5783" s="105">
        <v>102202</v>
      </c>
      <c r="B5783" s="104" t="s">
        <v>5711</v>
      </c>
      <c r="C5783" s="104" t="s">
        <v>12</v>
      </c>
      <c r="D5783" s="129" t="s">
        <v>17811</v>
      </c>
    </row>
    <row r="5784" spans="1:4">
      <c r="A5784" s="105">
        <v>102203</v>
      </c>
      <c r="B5784" s="104" t="s">
        <v>5712</v>
      </c>
      <c r="C5784" s="104" t="s">
        <v>12</v>
      </c>
      <c r="D5784" s="129" t="s">
        <v>19594</v>
      </c>
    </row>
    <row r="5785" spans="1:4">
      <c r="A5785" s="105">
        <v>102204</v>
      </c>
      <c r="B5785" s="104" t="s">
        <v>5713</v>
      </c>
      <c r="C5785" s="104" t="s">
        <v>12</v>
      </c>
      <c r="D5785" s="129" t="s">
        <v>19595</v>
      </c>
    </row>
    <row r="5786" spans="1:4">
      <c r="A5786" s="105">
        <v>102205</v>
      </c>
      <c r="B5786" s="104" t="s">
        <v>5714</v>
      </c>
      <c r="C5786" s="104" t="s">
        <v>12</v>
      </c>
      <c r="D5786" s="129" t="s">
        <v>19596</v>
      </c>
    </row>
    <row r="5787" spans="1:4">
      <c r="A5787" s="105">
        <v>102207</v>
      </c>
      <c r="B5787" s="104" t="s">
        <v>5715</v>
      </c>
      <c r="C5787" s="104" t="s">
        <v>12</v>
      </c>
      <c r="D5787" s="129" t="s">
        <v>17261</v>
      </c>
    </row>
    <row r="5788" spans="1:4">
      <c r="A5788" s="105">
        <v>102208</v>
      </c>
      <c r="B5788" s="104" t="s">
        <v>5716</v>
      </c>
      <c r="C5788" s="104" t="s">
        <v>12</v>
      </c>
      <c r="D5788" s="129" t="s">
        <v>19597</v>
      </c>
    </row>
    <row r="5789" spans="1:4">
      <c r="A5789" s="105">
        <v>102209</v>
      </c>
      <c r="B5789" s="104" t="s">
        <v>5717</v>
      </c>
      <c r="C5789" s="104" t="s">
        <v>12</v>
      </c>
      <c r="D5789" s="129" t="s">
        <v>19598</v>
      </c>
    </row>
    <row r="5790" spans="1:4">
      <c r="A5790" s="105">
        <v>102210</v>
      </c>
      <c r="B5790" s="104" t="s">
        <v>5718</v>
      </c>
      <c r="C5790" s="104" t="s">
        <v>12</v>
      </c>
      <c r="D5790" s="129" t="s">
        <v>15535</v>
      </c>
    </row>
    <row r="5791" spans="1:4">
      <c r="A5791" s="105">
        <v>102213</v>
      </c>
      <c r="B5791" s="104" t="s">
        <v>5719</v>
      </c>
      <c r="C5791" s="104" t="s">
        <v>12</v>
      </c>
      <c r="D5791" s="129" t="s">
        <v>15340</v>
      </c>
    </row>
    <row r="5792" spans="1:4">
      <c r="A5792" s="105">
        <v>102214</v>
      </c>
      <c r="B5792" s="104" t="s">
        <v>5720</v>
      </c>
      <c r="C5792" s="104" t="s">
        <v>12</v>
      </c>
      <c r="D5792" s="129" t="s">
        <v>14861</v>
      </c>
    </row>
    <row r="5793" spans="1:4">
      <c r="A5793" s="105">
        <v>102215</v>
      </c>
      <c r="B5793" s="104" t="s">
        <v>5721</v>
      </c>
      <c r="C5793" s="104" t="s">
        <v>12</v>
      </c>
      <c r="D5793" s="129" t="s">
        <v>17147</v>
      </c>
    </row>
    <row r="5794" spans="1:4">
      <c r="A5794" s="105">
        <v>102217</v>
      </c>
      <c r="B5794" s="104" t="s">
        <v>5722</v>
      </c>
      <c r="C5794" s="104" t="s">
        <v>12</v>
      </c>
      <c r="D5794" s="129" t="s">
        <v>19599</v>
      </c>
    </row>
    <row r="5795" spans="1:4">
      <c r="A5795" s="105">
        <v>102218</v>
      </c>
      <c r="B5795" s="104" t="s">
        <v>5723</v>
      </c>
      <c r="C5795" s="104" t="s">
        <v>12</v>
      </c>
      <c r="D5795" s="129" t="s">
        <v>18252</v>
      </c>
    </row>
    <row r="5796" spans="1:4">
      <c r="A5796" s="105">
        <v>102219</v>
      </c>
      <c r="B5796" s="104" t="s">
        <v>5724</v>
      </c>
      <c r="C5796" s="104" t="s">
        <v>12</v>
      </c>
      <c r="D5796" s="129" t="s">
        <v>16927</v>
      </c>
    </row>
    <row r="5797" spans="1:4">
      <c r="A5797" s="105">
        <v>102220</v>
      </c>
      <c r="B5797" s="104" t="s">
        <v>5725</v>
      </c>
      <c r="C5797" s="104" t="s">
        <v>12</v>
      </c>
      <c r="D5797" s="129" t="s">
        <v>18626</v>
      </c>
    </row>
    <row r="5798" spans="1:4">
      <c r="A5798" s="105">
        <v>102223</v>
      </c>
      <c r="B5798" s="104" t="s">
        <v>5726</v>
      </c>
      <c r="C5798" s="104" t="s">
        <v>12</v>
      </c>
      <c r="D5798" s="129" t="s">
        <v>18203</v>
      </c>
    </row>
    <row r="5799" spans="1:4">
      <c r="A5799" s="105">
        <v>102224</v>
      </c>
      <c r="B5799" s="104" t="s">
        <v>5727</v>
      </c>
      <c r="C5799" s="104" t="s">
        <v>12</v>
      </c>
      <c r="D5799" s="129" t="s">
        <v>17430</v>
      </c>
    </row>
    <row r="5800" spans="1:4">
      <c r="A5800" s="105">
        <v>102225</v>
      </c>
      <c r="B5800" s="104" t="s">
        <v>5728</v>
      </c>
      <c r="C5800" s="104" t="s">
        <v>12</v>
      </c>
      <c r="D5800" s="129" t="s">
        <v>19600</v>
      </c>
    </row>
    <row r="5801" spans="1:4">
      <c r="A5801" s="105">
        <v>102227</v>
      </c>
      <c r="B5801" s="104" t="s">
        <v>5729</v>
      </c>
      <c r="C5801" s="104" t="s">
        <v>12</v>
      </c>
      <c r="D5801" s="129" t="s">
        <v>19601</v>
      </c>
    </row>
    <row r="5802" spans="1:4">
      <c r="A5802" s="105">
        <v>102228</v>
      </c>
      <c r="B5802" s="104" t="s">
        <v>5730</v>
      </c>
      <c r="C5802" s="104" t="s">
        <v>12</v>
      </c>
      <c r="D5802" s="129" t="s">
        <v>15910</v>
      </c>
    </row>
    <row r="5803" spans="1:4">
      <c r="A5803" s="105">
        <v>102229</v>
      </c>
      <c r="B5803" s="104" t="s">
        <v>5731</v>
      </c>
      <c r="C5803" s="104" t="s">
        <v>12</v>
      </c>
      <c r="D5803" s="129" t="s">
        <v>19602</v>
      </c>
    </row>
    <row r="5804" spans="1:4">
      <c r="A5804" s="105">
        <v>102230</v>
      </c>
      <c r="B5804" s="104" t="s">
        <v>5732</v>
      </c>
      <c r="C5804" s="104" t="s">
        <v>12</v>
      </c>
      <c r="D5804" s="129" t="s">
        <v>19603</v>
      </c>
    </row>
    <row r="5805" spans="1:4">
      <c r="A5805" s="105">
        <v>102233</v>
      </c>
      <c r="B5805" s="104" t="s">
        <v>5733</v>
      </c>
      <c r="C5805" s="104" t="s">
        <v>12</v>
      </c>
      <c r="D5805" s="129" t="s">
        <v>19604</v>
      </c>
    </row>
    <row r="5806" spans="1:4">
      <c r="A5806" s="105">
        <v>102234</v>
      </c>
      <c r="B5806" s="104" t="s">
        <v>5734</v>
      </c>
      <c r="C5806" s="104" t="s">
        <v>12</v>
      </c>
      <c r="D5806" s="129" t="s">
        <v>18231</v>
      </c>
    </row>
    <row r="5807" spans="1:4">
      <c r="A5807" s="105">
        <v>100716</v>
      </c>
      <c r="B5807" s="104" t="s">
        <v>5735</v>
      </c>
      <c r="C5807" s="104" t="s">
        <v>12</v>
      </c>
      <c r="D5807" s="129" t="s">
        <v>19605</v>
      </c>
    </row>
    <row r="5808" spans="1:4">
      <c r="A5808" s="105">
        <v>100717</v>
      </c>
      <c r="B5808" s="104" t="s">
        <v>5736</v>
      </c>
      <c r="C5808" s="104" t="s">
        <v>12</v>
      </c>
      <c r="D5808" s="129" t="s">
        <v>19606</v>
      </c>
    </row>
    <row r="5809" spans="1:4">
      <c r="A5809" s="105">
        <v>100718</v>
      </c>
      <c r="B5809" s="104" t="s">
        <v>5737</v>
      </c>
      <c r="C5809" s="104" t="s">
        <v>40</v>
      </c>
      <c r="D5809" s="129" t="s">
        <v>19607</v>
      </c>
    </row>
    <row r="5810" spans="1:4">
      <c r="A5810" s="105">
        <v>100719</v>
      </c>
      <c r="B5810" s="104" t="s">
        <v>5738</v>
      </c>
      <c r="C5810" s="104" t="s">
        <v>12</v>
      </c>
      <c r="D5810" s="129" t="s">
        <v>18338</v>
      </c>
    </row>
    <row r="5811" spans="1:4">
      <c r="A5811" s="105">
        <v>100720</v>
      </c>
      <c r="B5811" s="104" t="s">
        <v>5739</v>
      </c>
      <c r="C5811" s="104" t="s">
        <v>12</v>
      </c>
      <c r="D5811" s="129" t="s">
        <v>19608</v>
      </c>
    </row>
    <row r="5812" spans="1:4">
      <c r="A5812" s="105">
        <v>100721</v>
      </c>
      <c r="B5812" s="104" t="s">
        <v>5740</v>
      </c>
      <c r="C5812" s="104" t="s">
        <v>12</v>
      </c>
      <c r="D5812" s="129" t="s">
        <v>19207</v>
      </c>
    </row>
    <row r="5813" spans="1:4">
      <c r="A5813" s="105">
        <v>100722</v>
      </c>
      <c r="B5813" s="104" t="s">
        <v>5741</v>
      </c>
      <c r="C5813" s="104" t="s">
        <v>12</v>
      </c>
      <c r="D5813" s="129" t="s">
        <v>17435</v>
      </c>
    </row>
    <row r="5814" spans="1:4">
      <c r="A5814" s="105">
        <v>100723</v>
      </c>
      <c r="B5814" s="104" t="s">
        <v>5742</v>
      </c>
      <c r="C5814" s="104" t="s">
        <v>12</v>
      </c>
      <c r="D5814" s="129" t="s">
        <v>19609</v>
      </c>
    </row>
    <row r="5815" spans="1:4">
      <c r="A5815" s="105">
        <v>100724</v>
      </c>
      <c r="B5815" s="104" t="s">
        <v>5743</v>
      </c>
      <c r="C5815" s="104" t="s">
        <v>12</v>
      </c>
      <c r="D5815" s="129" t="s">
        <v>19610</v>
      </c>
    </row>
    <row r="5816" spans="1:4">
      <c r="A5816" s="105">
        <v>100725</v>
      </c>
      <c r="B5816" s="104" t="s">
        <v>5744</v>
      </c>
      <c r="C5816" s="104" t="s">
        <v>12</v>
      </c>
      <c r="D5816" s="129" t="s">
        <v>14947</v>
      </c>
    </row>
    <row r="5817" spans="1:4">
      <c r="A5817" s="105">
        <v>100726</v>
      </c>
      <c r="B5817" s="104" t="s">
        <v>5745</v>
      </c>
      <c r="C5817" s="104" t="s">
        <v>12</v>
      </c>
      <c r="D5817" s="129" t="s">
        <v>19141</v>
      </c>
    </row>
    <row r="5818" spans="1:4">
      <c r="A5818" s="105">
        <v>100727</v>
      </c>
      <c r="B5818" s="104" t="s">
        <v>5746</v>
      </c>
      <c r="C5818" s="104" t="s">
        <v>12</v>
      </c>
      <c r="D5818" s="129" t="s">
        <v>19611</v>
      </c>
    </row>
    <row r="5819" spans="1:4">
      <c r="A5819" s="105">
        <v>100728</v>
      </c>
      <c r="B5819" s="104" t="s">
        <v>5747</v>
      </c>
      <c r="C5819" s="104" t="s">
        <v>12</v>
      </c>
      <c r="D5819" s="129" t="s">
        <v>19612</v>
      </c>
    </row>
    <row r="5820" spans="1:4">
      <c r="A5820" s="105">
        <v>100729</v>
      </c>
      <c r="B5820" s="104" t="s">
        <v>5748</v>
      </c>
      <c r="C5820" s="104" t="s">
        <v>12</v>
      </c>
      <c r="D5820" s="129" t="s">
        <v>19613</v>
      </c>
    </row>
    <row r="5821" spans="1:4">
      <c r="A5821" s="105">
        <v>100730</v>
      </c>
      <c r="B5821" s="104" t="s">
        <v>5749</v>
      </c>
      <c r="C5821" s="104" t="s">
        <v>12</v>
      </c>
      <c r="D5821" s="129" t="s">
        <v>19614</v>
      </c>
    </row>
    <row r="5822" spans="1:4">
      <c r="A5822" s="105">
        <v>100733</v>
      </c>
      <c r="B5822" s="104" t="s">
        <v>5750</v>
      </c>
      <c r="C5822" s="104" t="s">
        <v>12</v>
      </c>
      <c r="D5822" s="129" t="s">
        <v>17301</v>
      </c>
    </row>
    <row r="5823" spans="1:4">
      <c r="A5823" s="105">
        <v>100734</v>
      </c>
      <c r="B5823" s="104" t="s">
        <v>5751</v>
      </c>
      <c r="C5823" s="104" t="s">
        <v>12</v>
      </c>
      <c r="D5823" s="129" t="s">
        <v>16004</v>
      </c>
    </row>
    <row r="5824" spans="1:4">
      <c r="A5824" s="105">
        <v>100735</v>
      </c>
      <c r="B5824" s="104" t="s">
        <v>5752</v>
      </c>
      <c r="C5824" s="104" t="s">
        <v>12</v>
      </c>
      <c r="D5824" s="129" t="s">
        <v>15720</v>
      </c>
    </row>
    <row r="5825" spans="1:4">
      <c r="A5825" s="105">
        <v>100736</v>
      </c>
      <c r="B5825" s="104" t="s">
        <v>5753</v>
      </c>
      <c r="C5825" s="104" t="s">
        <v>12</v>
      </c>
      <c r="D5825" s="129" t="s">
        <v>19615</v>
      </c>
    </row>
    <row r="5826" spans="1:4">
      <c r="A5826" s="105">
        <v>100739</v>
      </c>
      <c r="B5826" s="104" t="s">
        <v>5754</v>
      </c>
      <c r="C5826" s="104" t="s">
        <v>12</v>
      </c>
      <c r="D5826" s="129" t="s">
        <v>19616</v>
      </c>
    </row>
    <row r="5827" spans="1:4">
      <c r="A5827" s="105">
        <v>100740</v>
      </c>
      <c r="B5827" s="104" t="s">
        <v>5755</v>
      </c>
      <c r="C5827" s="104" t="s">
        <v>12</v>
      </c>
      <c r="D5827" s="129" t="s">
        <v>17213</v>
      </c>
    </row>
    <row r="5828" spans="1:4">
      <c r="A5828" s="105">
        <v>100741</v>
      </c>
      <c r="B5828" s="104" t="s">
        <v>5756</v>
      </c>
      <c r="C5828" s="104" t="s">
        <v>12</v>
      </c>
      <c r="D5828" s="129" t="s">
        <v>19617</v>
      </c>
    </row>
    <row r="5829" spans="1:4">
      <c r="A5829" s="105">
        <v>100742</v>
      </c>
      <c r="B5829" s="104" t="s">
        <v>5757</v>
      </c>
      <c r="C5829" s="104" t="s">
        <v>12</v>
      </c>
      <c r="D5829" s="129" t="s">
        <v>15735</v>
      </c>
    </row>
    <row r="5830" spans="1:4">
      <c r="A5830" s="105">
        <v>100743</v>
      </c>
      <c r="B5830" s="104" t="s">
        <v>5758</v>
      </c>
      <c r="C5830" s="104" t="s">
        <v>12</v>
      </c>
      <c r="D5830" s="129" t="s">
        <v>19595</v>
      </c>
    </row>
    <row r="5831" spans="1:4">
      <c r="A5831" s="105">
        <v>100744</v>
      </c>
      <c r="B5831" s="104" t="s">
        <v>5759</v>
      </c>
      <c r="C5831" s="104" t="s">
        <v>12</v>
      </c>
      <c r="D5831" s="129" t="s">
        <v>19618</v>
      </c>
    </row>
    <row r="5832" spans="1:4">
      <c r="A5832" s="105">
        <v>100745</v>
      </c>
      <c r="B5832" s="104" t="s">
        <v>5760</v>
      </c>
      <c r="C5832" s="104" t="s">
        <v>12</v>
      </c>
      <c r="D5832" s="129" t="s">
        <v>19619</v>
      </c>
    </row>
    <row r="5833" spans="1:4">
      <c r="A5833" s="105">
        <v>100746</v>
      </c>
      <c r="B5833" s="104" t="s">
        <v>5761</v>
      </c>
      <c r="C5833" s="104" t="s">
        <v>12</v>
      </c>
      <c r="D5833" s="129" t="s">
        <v>19620</v>
      </c>
    </row>
    <row r="5834" spans="1:4">
      <c r="A5834" s="105">
        <v>100747</v>
      </c>
      <c r="B5834" s="104" t="s">
        <v>5762</v>
      </c>
      <c r="C5834" s="104" t="s">
        <v>12</v>
      </c>
      <c r="D5834" s="129" t="s">
        <v>18635</v>
      </c>
    </row>
    <row r="5835" spans="1:4">
      <c r="A5835" s="105">
        <v>100748</v>
      </c>
      <c r="B5835" s="104" t="s">
        <v>5763</v>
      </c>
      <c r="C5835" s="104" t="s">
        <v>12</v>
      </c>
      <c r="D5835" s="129" t="s">
        <v>19621</v>
      </c>
    </row>
    <row r="5836" spans="1:4">
      <c r="A5836" s="105">
        <v>100749</v>
      </c>
      <c r="B5836" s="104" t="s">
        <v>5764</v>
      </c>
      <c r="C5836" s="104" t="s">
        <v>12</v>
      </c>
      <c r="D5836" s="129" t="s">
        <v>19622</v>
      </c>
    </row>
    <row r="5837" spans="1:4">
      <c r="A5837" s="105">
        <v>100750</v>
      </c>
      <c r="B5837" s="104" t="s">
        <v>5765</v>
      </c>
      <c r="C5837" s="104" t="s">
        <v>12</v>
      </c>
      <c r="D5837" s="129" t="s">
        <v>18073</v>
      </c>
    </row>
    <row r="5838" spans="1:4">
      <c r="A5838" s="105">
        <v>100751</v>
      </c>
      <c r="B5838" s="104" t="s">
        <v>5766</v>
      </c>
      <c r="C5838" s="104" t="s">
        <v>12</v>
      </c>
      <c r="D5838" s="129" t="s">
        <v>19623</v>
      </c>
    </row>
    <row r="5839" spans="1:4">
      <c r="A5839" s="105">
        <v>100752</v>
      </c>
      <c r="B5839" s="104" t="s">
        <v>5767</v>
      </c>
      <c r="C5839" s="104" t="s">
        <v>12</v>
      </c>
      <c r="D5839" s="129" t="s">
        <v>19624</v>
      </c>
    </row>
    <row r="5840" spans="1:4">
      <c r="A5840" s="105">
        <v>100753</v>
      </c>
      <c r="B5840" s="104" t="s">
        <v>5768</v>
      </c>
      <c r="C5840" s="104" t="s">
        <v>12</v>
      </c>
      <c r="D5840" s="129" t="s">
        <v>19625</v>
      </c>
    </row>
    <row r="5841" spans="1:4">
      <c r="A5841" s="105">
        <v>100754</v>
      </c>
      <c r="B5841" s="104" t="s">
        <v>5769</v>
      </c>
      <c r="C5841" s="104" t="s">
        <v>12</v>
      </c>
      <c r="D5841" s="129" t="s">
        <v>19626</v>
      </c>
    </row>
    <row r="5842" spans="1:4">
      <c r="A5842" s="105">
        <v>100757</v>
      </c>
      <c r="B5842" s="104" t="s">
        <v>5770</v>
      </c>
      <c r="C5842" s="104" t="s">
        <v>12</v>
      </c>
      <c r="D5842" s="129" t="s">
        <v>19627</v>
      </c>
    </row>
    <row r="5843" spans="1:4">
      <c r="A5843" s="105">
        <v>100758</v>
      </c>
      <c r="B5843" s="104" t="s">
        <v>5771</v>
      </c>
      <c r="C5843" s="104" t="s">
        <v>12</v>
      </c>
      <c r="D5843" s="129" t="s">
        <v>19628</v>
      </c>
    </row>
    <row r="5844" spans="1:4">
      <c r="A5844" s="105">
        <v>100759</v>
      </c>
      <c r="B5844" s="104" t="s">
        <v>252</v>
      </c>
      <c r="C5844" s="104" t="s">
        <v>12</v>
      </c>
      <c r="D5844" s="129" t="s">
        <v>19629</v>
      </c>
    </row>
    <row r="5845" spans="1:4">
      <c r="A5845" s="105">
        <v>100760</v>
      </c>
      <c r="B5845" s="104" t="s">
        <v>5772</v>
      </c>
      <c r="C5845" s="104" t="s">
        <v>12</v>
      </c>
      <c r="D5845" s="129" t="s">
        <v>19630</v>
      </c>
    </row>
    <row r="5846" spans="1:4">
      <c r="A5846" s="105">
        <v>100761</v>
      </c>
      <c r="B5846" s="104" t="s">
        <v>5773</v>
      </c>
      <c r="C5846" s="104" t="s">
        <v>12</v>
      </c>
      <c r="D5846" s="129" t="s">
        <v>19631</v>
      </c>
    </row>
    <row r="5847" spans="1:4">
      <c r="A5847" s="105">
        <v>100762</v>
      </c>
      <c r="B5847" s="104" t="s">
        <v>5774</v>
      </c>
      <c r="C5847" s="104" t="s">
        <v>12</v>
      </c>
      <c r="D5847" s="129" t="s">
        <v>19632</v>
      </c>
    </row>
    <row r="5848" spans="1:4">
      <c r="A5848" s="105">
        <v>102488</v>
      </c>
      <c r="B5848" s="104" t="s">
        <v>5775</v>
      </c>
      <c r="C5848" s="104" t="s">
        <v>12</v>
      </c>
      <c r="D5848" s="129" t="s">
        <v>19633</v>
      </c>
    </row>
    <row r="5849" spans="1:4">
      <c r="A5849" s="105">
        <v>102489</v>
      </c>
      <c r="B5849" s="104" t="s">
        <v>5776</v>
      </c>
      <c r="C5849" s="104" t="s">
        <v>12</v>
      </c>
      <c r="D5849" s="129" t="s">
        <v>19634</v>
      </c>
    </row>
    <row r="5850" spans="1:4">
      <c r="A5850" s="105">
        <v>102491</v>
      </c>
      <c r="B5850" s="104" t="s">
        <v>5777</v>
      </c>
      <c r="C5850" s="104" t="s">
        <v>12</v>
      </c>
      <c r="D5850" s="129" t="s">
        <v>19635</v>
      </c>
    </row>
    <row r="5851" spans="1:4">
      <c r="A5851" s="105">
        <v>102492</v>
      </c>
      <c r="B5851" s="104" t="s">
        <v>5778</v>
      </c>
      <c r="C5851" s="104" t="s">
        <v>12</v>
      </c>
      <c r="D5851" s="129" t="s">
        <v>19636</v>
      </c>
    </row>
    <row r="5852" spans="1:4">
      <c r="A5852" s="105">
        <v>102494</v>
      </c>
      <c r="B5852" s="104" t="s">
        <v>160</v>
      </c>
      <c r="C5852" s="104" t="s">
        <v>12</v>
      </c>
      <c r="D5852" s="129" t="s">
        <v>15767</v>
      </c>
    </row>
    <row r="5853" spans="1:4">
      <c r="A5853" s="105">
        <v>102496</v>
      </c>
      <c r="B5853" s="104" t="s">
        <v>5779</v>
      </c>
      <c r="C5853" s="104" t="s">
        <v>40</v>
      </c>
      <c r="D5853" s="129" t="s">
        <v>19637</v>
      </c>
    </row>
    <row r="5854" spans="1:4">
      <c r="A5854" s="105">
        <v>102497</v>
      </c>
      <c r="B5854" s="104" t="s">
        <v>5780</v>
      </c>
      <c r="C5854" s="104" t="s">
        <v>40</v>
      </c>
      <c r="D5854" s="129" t="s">
        <v>19638</v>
      </c>
    </row>
    <row r="5855" spans="1:4">
      <c r="A5855" s="105">
        <v>102498</v>
      </c>
      <c r="B5855" s="104" t="s">
        <v>5781</v>
      </c>
      <c r="C5855" s="104" t="s">
        <v>40</v>
      </c>
      <c r="D5855" s="129" t="s">
        <v>15686</v>
      </c>
    </row>
    <row r="5856" spans="1:4">
      <c r="A5856" s="105">
        <v>102499</v>
      </c>
      <c r="B5856" s="104" t="s">
        <v>5782</v>
      </c>
      <c r="C5856" s="104" t="s">
        <v>12</v>
      </c>
      <c r="D5856" s="129" t="s">
        <v>19639</v>
      </c>
    </row>
    <row r="5857" spans="1:4">
      <c r="A5857" s="105">
        <v>102500</v>
      </c>
      <c r="B5857" s="104" t="s">
        <v>5783</v>
      </c>
      <c r="C5857" s="104" t="s">
        <v>40</v>
      </c>
      <c r="D5857" s="129" t="s">
        <v>15670</v>
      </c>
    </row>
    <row r="5858" spans="1:4">
      <c r="A5858" s="105">
        <v>102501</v>
      </c>
      <c r="B5858" s="104" t="s">
        <v>5784</v>
      </c>
      <c r="C5858" s="104" t="s">
        <v>12</v>
      </c>
      <c r="D5858" s="129" t="s">
        <v>19640</v>
      </c>
    </row>
    <row r="5859" spans="1:4">
      <c r="A5859" s="105">
        <v>102504</v>
      </c>
      <c r="B5859" s="104" t="s">
        <v>5785</v>
      </c>
      <c r="C5859" s="104" t="s">
        <v>40</v>
      </c>
      <c r="D5859" s="129" t="s">
        <v>19594</v>
      </c>
    </row>
    <row r="5860" spans="1:4">
      <c r="A5860" s="105">
        <v>102505</v>
      </c>
      <c r="B5860" s="104" t="s">
        <v>5786</v>
      </c>
      <c r="C5860" s="104" t="s">
        <v>40</v>
      </c>
      <c r="D5860" s="129" t="s">
        <v>19641</v>
      </c>
    </row>
    <row r="5861" spans="1:4">
      <c r="A5861" s="105">
        <v>102506</v>
      </c>
      <c r="B5861" s="104" t="s">
        <v>5787</v>
      </c>
      <c r="C5861" s="104" t="s">
        <v>40</v>
      </c>
      <c r="D5861" s="129" t="s">
        <v>17195</v>
      </c>
    </row>
    <row r="5862" spans="1:4">
      <c r="A5862" s="105">
        <v>102507</v>
      </c>
      <c r="B5862" s="104" t="s">
        <v>5788</v>
      </c>
      <c r="C5862" s="104" t="s">
        <v>40</v>
      </c>
      <c r="D5862" s="129" t="s">
        <v>19642</v>
      </c>
    </row>
    <row r="5863" spans="1:4">
      <c r="A5863" s="105">
        <v>102508</v>
      </c>
      <c r="B5863" s="104" t="s">
        <v>5789</v>
      </c>
      <c r="C5863" s="104" t="s">
        <v>12</v>
      </c>
      <c r="D5863" s="129" t="s">
        <v>19643</v>
      </c>
    </row>
    <row r="5864" spans="1:4">
      <c r="A5864" s="105">
        <v>102509</v>
      </c>
      <c r="B5864" s="104" t="s">
        <v>5790</v>
      </c>
      <c r="C5864" s="104" t="s">
        <v>12</v>
      </c>
      <c r="D5864" s="129" t="s">
        <v>17207</v>
      </c>
    </row>
    <row r="5865" spans="1:4">
      <c r="A5865" s="105">
        <v>102512</v>
      </c>
      <c r="B5865" s="104" t="s">
        <v>5791</v>
      </c>
      <c r="C5865" s="104" t="s">
        <v>40</v>
      </c>
      <c r="D5865" s="129" t="s">
        <v>19644</v>
      </c>
    </row>
    <row r="5866" spans="1:4">
      <c r="A5866" s="105">
        <v>102513</v>
      </c>
      <c r="B5866" s="104" t="s">
        <v>5792</v>
      </c>
      <c r="C5866" s="104" t="s">
        <v>12</v>
      </c>
      <c r="D5866" s="129" t="s">
        <v>18239</v>
      </c>
    </row>
    <row r="5867" spans="1:4">
      <c r="A5867" s="105">
        <v>102520</v>
      </c>
      <c r="B5867" s="104" t="s">
        <v>5793</v>
      </c>
      <c r="C5867" s="104" t="s">
        <v>12</v>
      </c>
      <c r="D5867" s="129" t="s">
        <v>19645</v>
      </c>
    </row>
    <row r="5868" spans="1:4">
      <c r="A5868" s="105">
        <v>101749</v>
      </c>
      <c r="B5868" s="104" t="s">
        <v>5794</v>
      </c>
      <c r="C5868" s="104" t="s">
        <v>12</v>
      </c>
      <c r="D5868" s="129" t="s">
        <v>19646</v>
      </c>
    </row>
    <row r="5869" spans="1:4">
      <c r="A5869" s="105">
        <v>101750</v>
      </c>
      <c r="B5869" s="104" t="s">
        <v>5795</v>
      </c>
      <c r="C5869" s="104" t="s">
        <v>12</v>
      </c>
      <c r="D5869" s="129" t="s">
        <v>19647</v>
      </c>
    </row>
    <row r="5870" spans="1:4">
      <c r="A5870" s="105">
        <v>101729</v>
      </c>
      <c r="B5870" s="104" t="s">
        <v>5796</v>
      </c>
      <c r="C5870" s="104" t="s">
        <v>12</v>
      </c>
      <c r="D5870" s="129" t="s">
        <v>19648</v>
      </c>
    </row>
    <row r="5871" spans="1:4">
      <c r="A5871" s="105">
        <v>101746</v>
      </c>
      <c r="B5871" s="104" t="s">
        <v>5797</v>
      </c>
      <c r="C5871" s="104" t="s">
        <v>12</v>
      </c>
      <c r="D5871" s="129" t="s">
        <v>19649</v>
      </c>
    </row>
    <row r="5872" spans="1:4">
      <c r="A5872" s="105">
        <v>101751</v>
      </c>
      <c r="B5872" s="104" t="s">
        <v>5798</v>
      </c>
      <c r="C5872" s="104" t="s">
        <v>12</v>
      </c>
      <c r="D5872" s="129" t="s">
        <v>19650</v>
      </c>
    </row>
    <row r="5873" spans="1:4">
      <c r="A5873" s="105">
        <v>87246</v>
      </c>
      <c r="B5873" s="104" t="s">
        <v>5799</v>
      </c>
      <c r="C5873" s="104" t="s">
        <v>12</v>
      </c>
      <c r="D5873" s="129" t="s">
        <v>19651</v>
      </c>
    </row>
    <row r="5874" spans="1:4">
      <c r="A5874" s="105">
        <v>87247</v>
      </c>
      <c r="B5874" s="104" t="s">
        <v>5800</v>
      </c>
      <c r="C5874" s="104" t="s">
        <v>12</v>
      </c>
      <c r="D5874" s="129" t="s">
        <v>19652</v>
      </c>
    </row>
    <row r="5875" spans="1:4">
      <c r="A5875" s="105">
        <v>87248</v>
      </c>
      <c r="B5875" s="104" t="s">
        <v>5801</v>
      </c>
      <c r="C5875" s="104" t="s">
        <v>12</v>
      </c>
      <c r="D5875" s="129" t="s">
        <v>19653</v>
      </c>
    </row>
    <row r="5876" spans="1:4">
      <c r="A5876" s="105">
        <v>87249</v>
      </c>
      <c r="B5876" s="104" t="s">
        <v>5802</v>
      </c>
      <c r="C5876" s="104" t="s">
        <v>12</v>
      </c>
      <c r="D5876" s="129" t="s">
        <v>19654</v>
      </c>
    </row>
    <row r="5877" spans="1:4">
      <c r="A5877" s="105">
        <v>87250</v>
      </c>
      <c r="B5877" s="104" t="s">
        <v>5803</v>
      </c>
      <c r="C5877" s="104" t="s">
        <v>12</v>
      </c>
      <c r="D5877" s="129" t="s">
        <v>19655</v>
      </c>
    </row>
    <row r="5878" spans="1:4">
      <c r="A5878" s="105">
        <v>87251</v>
      </c>
      <c r="B5878" s="104" t="s">
        <v>5804</v>
      </c>
      <c r="C5878" s="104" t="s">
        <v>12</v>
      </c>
      <c r="D5878" s="129" t="s">
        <v>19656</v>
      </c>
    </row>
    <row r="5879" spans="1:4">
      <c r="A5879" s="105">
        <v>87255</v>
      </c>
      <c r="B5879" s="104" t="s">
        <v>5805</v>
      </c>
      <c r="C5879" s="104" t="s">
        <v>12</v>
      </c>
      <c r="D5879" s="129" t="s">
        <v>19657</v>
      </c>
    </row>
    <row r="5880" spans="1:4">
      <c r="A5880" s="105">
        <v>87256</v>
      </c>
      <c r="B5880" s="104" t="s">
        <v>5806</v>
      </c>
      <c r="C5880" s="104" t="s">
        <v>12</v>
      </c>
      <c r="D5880" s="129" t="s">
        <v>19658</v>
      </c>
    </row>
    <row r="5881" spans="1:4">
      <c r="A5881" s="105">
        <v>87257</v>
      </c>
      <c r="B5881" s="104" t="s">
        <v>5807</v>
      </c>
      <c r="C5881" s="104" t="s">
        <v>12</v>
      </c>
      <c r="D5881" s="129" t="s">
        <v>19659</v>
      </c>
    </row>
    <row r="5882" spans="1:4">
      <c r="A5882" s="105">
        <v>87258</v>
      </c>
      <c r="B5882" s="104" t="s">
        <v>5808</v>
      </c>
      <c r="C5882" s="104" t="s">
        <v>12</v>
      </c>
      <c r="D5882" s="129" t="s">
        <v>19660</v>
      </c>
    </row>
    <row r="5883" spans="1:4">
      <c r="A5883" s="105">
        <v>87259</v>
      </c>
      <c r="B5883" s="104" t="s">
        <v>5809</v>
      </c>
      <c r="C5883" s="104" t="s">
        <v>12</v>
      </c>
      <c r="D5883" s="129" t="s">
        <v>19661</v>
      </c>
    </row>
    <row r="5884" spans="1:4">
      <c r="A5884" s="105">
        <v>87260</v>
      </c>
      <c r="B5884" s="104" t="s">
        <v>5810</v>
      </c>
      <c r="C5884" s="104" t="s">
        <v>12</v>
      </c>
      <c r="D5884" s="129" t="s">
        <v>19662</v>
      </c>
    </row>
    <row r="5885" spans="1:4">
      <c r="A5885" s="105">
        <v>87261</v>
      </c>
      <c r="B5885" s="104" t="s">
        <v>5811</v>
      </c>
      <c r="C5885" s="104" t="s">
        <v>12</v>
      </c>
      <c r="D5885" s="129" t="s">
        <v>19663</v>
      </c>
    </row>
    <row r="5886" spans="1:4">
      <c r="A5886" s="105">
        <v>87262</v>
      </c>
      <c r="B5886" s="104" t="s">
        <v>5812</v>
      </c>
      <c r="C5886" s="104" t="s">
        <v>12</v>
      </c>
      <c r="D5886" s="129" t="s">
        <v>19664</v>
      </c>
    </row>
    <row r="5887" spans="1:4">
      <c r="A5887" s="105">
        <v>87263</v>
      </c>
      <c r="B5887" s="104" t="s">
        <v>69</v>
      </c>
      <c r="C5887" s="104" t="s">
        <v>12</v>
      </c>
      <c r="D5887" s="129" t="s">
        <v>19665</v>
      </c>
    </row>
    <row r="5888" spans="1:4">
      <c r="A5888" s="105">
        <v>89046</v>
      </c>
      <c r="B5888" s="104" t="s">
        <v>5813</v>
      </c>
      <c r="C5888" s="104" t="s">
        <v>12</v>
      </c>
      <c r="D5888" s="129" t="s">
        <v>19666</v>
      </c>
    </row>
    <row r="5889" spans="1:4">
      <c r="A5889" s="105">
        <v>89171</v>
      </c>
      <c r="B5889" s="104" t="s">
        <v>5814</v>
      </c>
      <c r="C5889" s="104" t="s">
        <v>12</v>
      </c>
      <c r="D5889" s="129" t="s">
        <v>19667</v>
      </c>
    </row>
    <row r="5890" spans="1:4">
      <c r="A5890" s="105">
        <v>93389</v>
      </c>
      <c r="B5890" s="104" t="s">
        <v>5815</v>
      </c>
      <c r="C5890" s="104" t="s">
        <v>12</v>
      </c>
      <c r="D5890" s="129" t="s">
        <v>19668</v>
      </c>
    </row>
    <row r="5891" spans="1:4">
      <c r="A5891" s="105">
        <v>93390</v>
      </c>
      <c r="B5891" s="104" t="s">
        <v>5816</v>
      </c>
      <c r="C5891" s="104" t="s">
        <v>12</v>
      </c>
      <c r="D5891" s="129" t="s">
        <v>18147</v>
      </c>
    </row>
    <row r="5892" spans="1:4">
      <c r="A5892" s="105">
        <v>93391</v>
      </c>
      <c r="B5892" s="104" t="s">
        <v>5817</v>
      </c>
      <c r="C5892" s="104" t="s">
        <v>12</v>
      </c>
      <c r="D5892" s="129" t="s">
        <v>19669</v>
      </c>
    </row>
    <row r="5893" spans="1:4">
      <c r="A5893" s="105">
        <v>98671</v>
      </c>
      <c r="B5893" s="104" t="s">
        <v>5818</v>
      </c>
      <c r="C5893" s="104" t="s">
        <v>12</v>
      </c>
      <c r="D5893" s="129" t="s">
        <v>19670</v>
      </c>
    </row>
    <row r="5894" spans="1:4">
      <c r="A5894" s="105">
        <v>98672</v>
      </c>
      <c r="B5894" s="104" t="s">
        <v>5819</v>
      </c>
      <c r="C5894" s="104" t="s">
        <v>12</v>
      </c>
      <c r="D5894" s="129" t="s">
        <v>19671</v>
      </c>
    </row>
    <row r="5895" spans="1:4">
      <c r="A5895" s="105">
        <v>98678</v>
      </c>
      <c r="B5895" s="104" t="s">
        <v>5820</v>
      </c>
      <c r="C5895" s="104" t="s">
        <v>12</v>
      </c>
      <c r="D5895" s="129" t="s">
        <v>19672</v>
      </c>
    </row>
    <row r="5896" spans="1:4">
      <c r="A5896" s="105">
        <v>98679</v>
      </c>
      <c r="B5896" s="104" t="s">
        <v>5821</v>
      </c>
      <c r="C5896" s="104" t="s">
        <v>12</v>
      </c>
      <c r="D5896" s="129" t="s">
        <v>19673</v>
      </c>
    </row>
    <row r="5897" spans="1:4">
      <c r="A5897" s="105">
        <v>98680</v>
      </c>
      <c r="B5897" s="104" t="s">
        <v>5822</v>
      </c>
      <c r="C5897" s="104" t="s">
        <v>12</v>
      </c>
      <c r="D5897" s="129" t="s">
        <v>19674</v>
      </c>
    </row>
    <row r="5898" spans="1:4">
      <c r="A5898" s="105">
        <v>98681</v>
      </c>
      <c r="B5898" s="104" t="s">
        <v>5823</v>
      </c>
      <c r="C5898" s="104" t="s">
        <v>12</v>
      </c>
      <c r="D5898" s="129" t="s">
        <v>19675</v>
      </c>
    </row>
    <row r="5899" spans="1:4">
      <c r="A5899" s="105">
        <v>98682</v>
      </c>
      <c r="B5899" s="104" t="s">
        <v>5824</v>
      </c>
      <c r="C5899" s="104" t="s">
        <v>12</v>
      </c>
      <c r="D5899" s="129" t="s">
        <v>19676</v>
      </c>
    </row>
    <row r="5900" spans="1:4">
      <c r="A5900" s="105">
        <v>98685</v>
      </c>
      <c r="B5900" s="104" t="s">
        <v>5825</v>
      </c>
      <c r="C5900" s="104" t="s">
        <v>40</v>
      </c>
      <c r="D5900" s="129" t="s">
        <v>19677</v>
      </c>
    </row>
    <row r="5901" spans="1:4">
      <c r="A5901" s="105">
        <v>98686</v>
      </c>
      <c r="B5901" s="104" t="s">
        <v>5826</v>
      </c>
      <c r="C5901" s="104" t="s">
        <v>40</v>
      </c>
      <c r="D5901" s="129" t="s">
        <v>19643</v>
      </c>
    </row>
    <row r="5902" spans="1:4">
      <c r="A5902" s="105">
        <v>98688</v>
      </c>
      <c r="B5902" s="104" t="s">
        <v>5827</v>
      </c>
      <c r="C5902" s="104" t="s">
        <v>40</v>
      </c>
      <c r="D5902" s="129" t="s">
        <v>19678</v>
      </c>
    </row>
    <row r="5903" spans="1:4">
      <c r="A5903" s="105">
        <v>98689</v>
      </c>
      <c r="B5903" s="104" t="s">
        <v>5828</v>
      </c>
      <c r="C5903" s="104" t="s">
        <v>40</v>
      </c>
      <c r="D5903" s="129" t="s">
        <v>19679</v>
      </c>
    </row>
    <row r="5904" spans="1:4">
      <c r="A5904" s="105">
        <v>101090</v>
      </c>
      <c r="B5904" s="104" t="s">
        <v>5829</v>
      </c>
      <c r="C5904" s="104" t="s">
        <v>12</v>
      </c>
      <c r="D5904" s="129" t="s">
        <v>19680</v>
      </c>
    </row>
    <row r="5905" spans="1:4">
      <c r="A5905" s="105">
        <v>101091</v>
      </c>
      <c r="B5905" s="104" t="s">
        <v>5830</v>
      </c>
      <c r="C5905" s="104" t="s">
        <v>12</v>
      </c>
      <c r="D5905" s="129" t="s">
        <v>19681</v>
      </c>
    </row>
    <row r="5906" spans="1:4">
      <c r="A5906" s="105">
        <v>101725</v>
      </c>
      <c r="B5906" s="104" t="s">
        <v>5831</v>
      </c>
      <c r="C5906" s="104" t="s">
        <v>12</v>
      </c>
      <c r="D5906" s="129" t="s">
        <v>19682</v>
      </c>
    </row>
    <row r="5907" spans="1:4">
      <c r="A5907" s="105">
        <v>101726</v>
      </c>
      <c r="B5907" s="104" t="s">
        <v>5832</v>
      </c>
      <c r="C5907" s="104" t="s">
        <v>12</v>
      </c>
      <c r="D5907" s="129" t="s">
        <v>19683</v>
      </c>
    </row>
    <row r="5908" spans="1:4">
      <c r="A5908" s="105">
        <v>101731</v>
      </c>
      <c r="B5908" s="104" t="s">
        <v>5833</v>
      </c>
      <c r="C5908" s="104" t="s">
        <v>12</v>
      </c>
      <c r="D5908" s="129" t="s">
        <v>19684</v>
      </c>
    </row>
    <row r="5909" spans="1:4">
      <c r="A5909" s="105">
        <v>101732</v>
      </c>
      <c r="B5909" s="104" t="s">
        <v>5834</v>
      </c>
      <c r="C5909" s="104" t="s">
        <v>12</v>
      </c>
      <c r="D5909" s="129" t="s">
        <v>19685</v>
      </c>
    </row>
    <row r="5910" spans="1:4">
      <c r="A5910" s="105">
        <v>101094</v>
      </c>
      <c r="B5910" s="104" t="s">
        <v>5835</v>
      </c>
      <c r="C5910" s="104" t="s">
        <v>40</v>
      </c>
      <c r="D5910" s="129" t="s">
        <v>19686</v>
      </c>
    </row>
    <row r="5911" spans="1:4">
      <c r="A5911" s="105">
        <v>101727</v>
      </c>
      <c r="B5911" s="104" t="s">
        <v>5836</v>
      </c>
      <c r="C5911" s="104" t="s">
        <v>12</v>
      </c>
      <c r="D5911" s="129" t="s">
        <v>19687</v>
      </c>
    </row>
    <row r="5912" spans="1:4">
      <c r="A5912" s="105">
        <v>101733</v>
      </c>
      <c r="B5912" s="104" t="s">
        <v>5837</v>
      </c>
      <c r="C5912" s="104" t="s">
        <v>12</v>
      </c>
      <c r="D5912" s="129" t="s">
        <v>19688</v>
      </c>
    </row>
    <row r="5913" spans="1:4">
      <c r="A5913" s="105">
        <v>101734</v>
      </c>
      <c r="B5913" s="104" t="s">
        <v>5838</v>
      </c>
      <c r="C5913" s="104" t="s">
        <v>12</v>
      </c>
      <c r="D5913" s="129" t="s">
        <v>19689</v>
      </c>
    </row>
    <row r="5914" spans="1:4">
      <c r="A5914" s="105">
        <v>101735</v>
      </c>
      <c r="B5914" s="104" t="s">
        <v>5839</v>
      </c>
      <c r="C5914" s="104" t="s">
        <v>12</v>
      </c>
      <c r="D5914" s="129" t="s">
        <v>19690</v>
      </c>
    </row>
    <row r="5915" spans="1:4">
      <c r="A5915" s="105">
        <v>101736</v>
      </c>
      <c r="B5915" s="104" t="s">
        <v>5840</v>
      </c>
      <c r="C5915" s="104" t="s">
        <v>12</v>
      </c>
      <c r="D5915" s="129" t="s">
        <v>19691</v>
      </c>
    </row>
    <row r="5916" spans="1:4">
      <c r="A5916" s="105">
        <v>101737</v>
      </c>
      <c r="B5916" s="104" t="s">
        <v>5841</v>
      </c>
      <c r="C5916" s="104" t="s">
        <v>12</v>
      </c>
      <c r="D5916" s="129" t="s">
        <v>19692</v>
      </c>
    </row>
    <row r="5917" spans="1:4">
      <c r="A5917" s="105">
        <v>101748</v>
      </c>
      <c r="B5917" s="104" t="s">
        <v>5842</v>
      </c>
      <c r="C5917" s="104" t="s">
        <v>12</v>
      </c>
      <c r="D5917" s="129" t="s">
        <v>19693</v>
      </c>
    </row>
    <row r="5918" spans="1:4">
      <c r="A5918" s="105">
        <v>101092</v>
      </c>
      <c r="B5918" s="104" t="s">
        <v>5843</v>
      </c>
      <c r="C5918" s="104" t="s">
        <v>12</v>
      </c>
      <c r="D5918" s="129" t="s">
        <v>19694</v>
      </c>
    </row>
    <row r="5919" spans="1:4">
      <c r="A5919" s="105">
        <v>101093</v>
      </c>
      <c r="B5919" s="104" t="s">
        <v>5844</v>
      </c>
      <c r="C5919" s="104" t="s">
        <v>12</v>
      </c>
      <c r="D5919" s="129" t="s">
        <v>19695</v>
      </c>
    </row>
    <row r="5920" spans="1:4">
      <c r="A5920" s="105">
        <v>98695</v>
      </c>
      <c r="B5920" s="104" t="s">
        <v>5845</v>
      </c>
      <c r="C5920" s="104" t="s">
        <v>40</v>
      </c>
      <c r="D5920" s="129" t="s">
        <v>19696</v>
      </c>
    </row>
    <row r="5921" spans="1:4">
      <c r="A5921" s="105">
        <v>98697</v>
      </c>
      <c r="B5921" s="104" t="s">
        <v>5846</v>
      </c>
      <c r="C5921" s="104" t="s">
        <v>40</v>
      </c>
      <c r="D5921" s="129" t="s">
        <v>15907</v>
      </c>
    </row>
    <row r="5922" spans="1:4">
      <c r="A5922" s="105">
        <v>101738</v>
      </c>
      <c r="B5922" s="104" t="s">
        <v>5847</v>
      </c>
      <c r="C5922" s="104" t="s">
        <v>40</v>
      </c>
      <c r="D5922" s="129" t="s">
        <v>18759</v>
      </c>
    </row>
    <row r="5923" spans="1:4">
      <c r="A5923" s="105">
        <v>101739</v>
      </c>
      <c r="B5923" s="104" t="s">
        <v>5848</v>
      </c>
      <c r="C5923" s="104" t="s">
        <v>40</v>
      </c>
      <c r="D5923" s="129" t="s">
        <v>18164</v>
      </c>
    </row>
    <row r="5924" spans="1:4">
      <c r="A5924" s="105">
        <v>88648</v>
      </c>
      <c r="B5924" s="104" t="s">
        <v>5849</v>
      </c>
      <c r="C5924" s="104" t="s">
        <v>40</v>
      </c>
      <c r="D5924" s="129" t="s">
        <v>15144</v>
      </c>
    </row>
    <row r="5925" spans="1:4">
      <c r="A5925" s="105">
        <v>88649</v>
      </c>
      <c r="B5925" s="104" t="s">
        <v>5850</v>
      </c>
      <c r="C5925" s="104" t="s">
        <v>40</v>
      </c>
      <c r="D5925" s="129" t="s">
        <v>19697</v>
      </c>
    </row>
    <row r="5926" spans="1:4">
      <c r="A5926" s="105">
        <v>88650</v>
      </c>
      <c r="B5926" s="104" t="s">
        <v>74</v>
      </c>
      <c r="C5926" s="104" t="s">
        <v>40</v>
      </c>
      <c r="D5926" s="129" t="s">
        <v>19698</v>
      </c>
    </row>
    <row r="5927" spans="1:4">
      <c r="A5927" s="105">
        <v>96467</v>
      </c>
      <c r="B5927" s="104" t="s">
        <v>5851</v>
      </c>
      <c r="C5927" s="104" t="s">
        <v>40</v>
      </c>
      <c r="D5927" s="129" t="s">
        <v>15772</v>
      </c>
    </row>
    <row r="5928" spans="1:4">
      <c r="A5928" s="105">
        <v>101740</v>
      </c>
      <c r="B5928" s="104" t="s">
        <v>5852</v>
      </c>
      <c r="C5928" s="104" t="s">
        <v>40</v>
      </c>
      <c r="D5928" s="129" t="s">
        <v>19699</v>
      </c>
    </row>
    <row r="5929" spans="1:4">
      <c r="A5929" s="105">
        <v>101741</v>
      </c>
      <c r="B5929" s="104" t="s">
        <v>5853</v>
      </c>
      <c r="C5929" s="104" t="s">
        <v>40</v>
      </c>
      <c r="D5929" s="129" t="s">
        <v>19622</v>
      </c>
    </row>
    <row r="5930" spans="1:4">
      <c r="A5930" s="105">
        <v>94990</v>
      </c>
      <c r="B5930" s="104" t="s">
        <v>5854</v>
      </c>
      <c r="C5930" s="104" t="s">
        <v>28</v>
      </c>
      <c r="D5930" s="129" t="s">
        <v>19700</v>
      </c>
    </row>
    <row r="5931" spans="1:4">
      <c r="A5931" s="105">
        <v>94991</v>
      </c>
      <c r="B5931" s="104" t="s">
        <v>5855</v>
      </c>
      <c r="C5931" s="104" t="s">
        <v>28</v>
      </c>
      <c r="D5931" s="129" t="s">
        <v>19701</v>
      </c>
    </row>
    <row r="5932" spans="1:4">
      <c r="A5932" s="105">
        <v>94992</v>
      </c>
      <c r="B5932" s="104" t="s">
        <v>5856</v>
      </c>
      <c r="C5932" s="104" t="s">
        <v>12</v>
      </c>
      <c r="D5932" s="129" t="s">
        <v>19702</v>
      </c>
    </row>
    <row r="5933" spans="1:4">
      <c r="A5933" s="105">
        <v>94993</v>
      </c>
      <c r="B5933" s="104" t="s">
        <v>5857</v>
      </c>
      <c r="C5933" s="104" t="s">
        <v>12</v>
      </c>
      <c r="D5933" s="129" t="s">
        <v>19703</v>
      </c>
    </row>
    <row r="5934" spans="1:4">
      <c r="A5934" s="105">
        <v>94994</v>
      </c>
      <c r="B5934" s="104" t="s">
        <v>5858</v>
      </c>
      <c r="C5934" s="104" t="s">
        <v>12</v>
      </c>
      <c r="D5934" s="129" t="s">
        <v>19704</v>
      </c>
    </row>
    <row r="5935" spans="1:4">
      <c r="A5935" s="105">
        <v>94995</v>
      </c>
      <c r="B5935" s="104" t="s">
        <v>5859</v>
      </c>
      <c r="C5935" s="104" t="s">
        <v>12</v>
      </c>
      <c r="D5935" s="129" t="s">
        <v>19705</v>
      </c>
    </row>
    <row r="5936" spans="1:4">
      <c r="A5936" s="105">
        <v>94996</v>
      </c>
      <c r="B5936" s="104" t="s">
        <v>5860</v>
      </c>
      <c r="C5936" s="104" t="s">
        <v>12</v>
      </c>
      <c r="D5936" s="129" t="s">
        <v>19706</v>
      </c>
    </row>
    <row r="5937" spans="1:4">
      <c r="A5937" s="105">
        <v>94997</v>
      </c>
      <c r="B5937" s="104" t="s">
        <v>5861</v>
      </c>
      <c r="C5937" s="104" t="s">
        <v>12</v>
      </c>
      <c r="D5937" s="129" t="s">
        <v>19707</v>
      </c>
    </row>
    <row r="5938" spans="1:4">
      <c r="A5938" s="105">
        <v>94998</v>
      </c>
      <c r="B5938" s="104" t="s">
        <v>5862</v>
      </c>
      <c r="C5938" s="104" t="s">
        <v>12</v>
      </c>
      <c r="D5938" s="129" t="s">
        <v>19708</v>
      </c>
    </row>
    <row r="5939" spans="1:4">
      <c r="A5939" s="105">
        <v>94999</v>
      </c>
      <c r="B5939" s="104" t="s">
        <v>5863</v>
      </c>
      <c r="C5939" s="104" t="s">
        <v>12</v>
      </c>
      <c r="D5939" s="129" t="s">
        <v>19709</v>
      </c>
    </row>
    <row r="5940" spans="1:4">
      <c r="A5940" s="105">
        <v>101747</v>
      </c>
      <c r="B5940" s="104" t="s">
        <v>5864</v>
      </c>
      <c r="C5940" s="104" t="s">
        <v>12</v>
      </c>
      <c r="D5940" s="129" t="s">
        <v>19710</v>
      </c>
    </row>
    <row r="5941" spans="1:4">
      <c r="A5941" s="105">
        <v>101743</v>
      </c>
      <c r="B5941" s="104" t="s">
        <v>5865</v>
      </c>
      <c r="C5941" s="104" t="s">
        <v>12</v>
      </c>
      <c r="D5941" s="129" t="s">
        <v>19711</v>
      </c>
    </row>
    <row r="5942" spans="1:4">
      <c r="A5942" s="105">
        <v>101744</v>
      </c>
      <c r="B5942" s="104" t="s">
        <v>5866</v>
      </c>
      <c r="C5942" s="104" t="s">
        <v>12</v>
      </c>
      <c r="D5942" s="129" t="s">
        <v>19712</v>
      </c>
    </row>
    <row r="5943" spans="1:4">
      <c r="A5943" s="105">
        <v>101745</v>
      </c>
      <c r="B5943" s="104" t="s">
        <v>5867</v>
      </c>
      <c r="C5943" s="104" t="s">
        <v>12</v>
      </c>
      <c r="D5943" s="129" t="s">
        <v>19713</v>
      </c>
    </row>
    <row r="5944" spans="1:4">
      <c r="A5944" s="105">
        <v>87620</v>
      </c>
      <c r="B5944" s="104" t="s">
        <v>5868</v>
      </c>
      <c r="C5944" s="104" t="s">
        <v>12</v>
      </c>
      <c r="D5944" s="129" t="s">
        <v>19714</v>
      </c>
    </row>
    <row r="5945" spans="1:4">
      <c r="A5945" s="105">
        <v>87622</v>
      </c>
      <c r="B5945" s="104" t="s">
        <v>5869</v>
      </c>
      <c r="C5945" s="104" t="s">
        <v>12</v>
      </c>
      <c r="D5945" s="129" t="s">
        <v>19715</v>
      </c>
    </row>
    <row r="5946" spans="1:4">
      <c r="A5946" s="105">
        <v>87623</v>
      </c>
      <c r="B5946" s="104" t="s">
        <v>5870</v>
      </c>
      <c r="C5946" s="104" t="s">
        <v>12</v>
      </c>
      <c r="D5946" s="129" t="s">
        <v>19110</v>
      </c>
    </row>
    <row r="5947" spans="1:4">
      <c r="A5947" s="105">
        <v>87624</v>
      </c>
      <c r="B5947" s="104" t="s">
        <v>5870</v>
      </c>
      <c r="C5947" s="104" t="s">
        <v>12</v>
      </c>
      <c r="D5947" s="129" t="s">
        <v>19716</v>
      </c>
    </row>
    <row r="5948" spans="1:4">
      <c r="A5948" s="105">
        <v>87630</v>
      </c>
      <c r="B5948" s="104" t="s">
        <v>5871</v>
      </c>
      <c r="C5948" s="104" t="s">
        <v>12</v>
      </c>
      <c r="D5948" s="129" t="s">
        <v>17152</v>
      </c>
    </row>
    <row r="5949" spans="1:4">
      <c r="A5949" s="105">
        <v>87632</v>
      </c>
      <c r="B5949" s="104" t="s">
        <v>5872</v>
      </c>
      <c r="C5949" s="104" t="s">
        <v>12</v>
      </c>
      <c r="D5949" s="129" t="s">
        <v>17832</v>
      </c>
    </row>
    <row r="5950" spans="1:4">
      <c r="A5950" s="105">
        <v>87633</v>
      </c>
      <c r="B5950" s="104" t="s">
        <v>5873</v>
      </c>
      <c r="C5950" s="104" t="s">
        <v>12</v>
      </c>
      <c r="D5950" s="129" t="s">
        <v>19717</v>
      </c>
    </row>
    <row r="5951" spans="1:4">
      <c r="A5951" s="105">
        <v>87634</v>
      </c>
      <c r="B5951" s="104" t="s">
        <v>5874</v>
      </c>
      <c r="C5951" s="104" t="s">
        <v>12</v>
      </c>
      <c r="D5951" s="129" t="s">
        <v>19718</v>
      </c>
    </row>
    <row r="5952" spans="1:4">
      <c r="A5952" s="105">
        <v>87640</v>
      </c>
      <c r="B5952" s="104" t="s">
        <v>5875</v>
      </c>
      <c r="C5952" s="104" t="s">
        <v>12</v>
      </c>
      <c r="D5952" s="129" t="s">
        <v>15032</v>
      </c>
    </row>
    <row r="5953" spans="1:4">
      <c r="A5953" s="105">
        <v>87642</v>
      </c>
      <c r="B5953" s="104" t="s">
        <v>5876</v>
      </c>
      <c r="C5953" s="104" t="s">
        <v>12</v>
      </c>
      <c r="D5953" s="129" t="s">
        <v>19719</v>
      </c>
    </row>
    <row r="5954" spans="1:4">
      <c r="A5954" s="105">
        <v>87643</v>
      </c>
      <c r="B5954" s="104" t="s">
        <v>5877</v>
      </c>
      <c r="C5954" s="104" t="s">
        <v>12</v>
      </c>
      <c r="D5954" s="129" t="s">
        <v>19720</v>
      </c>
    </row>
    <row r="5955" spans="1:4">
      <c r="A5955" s="105">
        <v>87644</v>
      </c>
      <c r="B5955" s="104" t="s">
        <v>5878</v>
      </c>
      <c r="C5955" s="104" t="s">
        <v>12</v>
      </c>
      <c r="D5955" s="129" t="s">
        <v>19721</v>
      </c>
    </row>
    <row r="5956" spans="1:4">
      <c r="A5956" s="105">
        <v>87680</v>
      </c>
      <c r="B5956" s="104" t="s">
        <v>5879</v>
      </c>
      <c r="C5956" s="104" t="s">
        <v>12</v>
      </c>
      <c r="D5956" s="129" t="s">
        <v>19722</v>
      </c>
    </row>
    <row r="5957" spans="1:4">
      <c r="A5957" s="105">
        <v>87682</v>
      </c>
      <c r="B5957" s="104" t="s">
        <v>5880</v>
      </c>
      <c r="C5957" s="104" t="s">
        <v>12</v>
      </c>
      <c r="D5957" s="129" t="s">
        <v>19723</v>
      </c>
    </row>
    <row r="5958" spans="1:4">
      <c r="A5958" s="105">
        <v>87683</v>
      </c>
      <c r="B5958" s="104" t="s">
        <v>5881</v>
      </c>
      <c r="C5958" s="104" t="s">
        <v>12</v>
      </c>
      <c r="D5958" s="129" t="s">
        <v>14905</v>
      </c>
    </row>
    <row r="5959" spans="1:4">
      <c r="A5959" s="105">
        <v>87684</v>
      </c>
      <c r="B5959" s="104" t="s">
        <v>5882</v>
      </c>
      <c r="C5959" s="104" t="s">
        <v>12</v>
      </c>
      <c r="D5959" s="129" t="s">
        <v>19724</v>
      </c>
    </row>
    <row r="5960" spans="1:4">
      <c r="A5960" s="105">
        <v>87690</v>
      </c>
      <c r="B5960" s="104" t="s">
        <v>5883</v>
      </c>
      <c r="C5960" s="104" t="s">
        <v>12</v>
      </c>
      <c r="D5960" s="129" t="s">
        <v>19725</v>
      </c>
    </row>
    <row r="5961" spans="1:4">
      <c r="A5961" s="105">
        <v>87692</v>
      </c>
      <c r="B5961" s="104" t="s">
        <v>5884</v>
      </c>
      <c r="C5961" s="104" t="s">
        <v>12</v>
      </c>
      <c r="D5961" s="129" t="s">
        <v>19726</v>
      </c>
    </row>
    <row r="5962" spans="1:4">
      <c r="A5962" s="105">
        <v>87693</v>
      </c>
      <c r="B5962" s="104" t="s">
        <v>5885</v>
      </c>
      <c r="C5962" s="104" t="s">
        <v>12</v>
      </c>
      <c r="D5962" s="129" t="s">
        <v>18739</v>
      </c>
    </row>
    <row r="5963" spans="1:4">
      <c r="A5963" s="105">
        <v>87694</v>
      </c>
      <c r="B5963" s="104" t="s">
        <v>5886</v>
      </c>
      <c r="C5963" s="104" t="s">
        <v>12</v>
      </c>
      <c r="D5963" s="129" t="s">
        <v>19727</v>
      </c>
    </row>
    <row r="5964" spans="1:4">
      <c r="A5964" s="105">
        <v>87700</v>
      </c>
      <c r="B5964" s="104" t="s">
        <v>5887</v>
      </c>
      <c r="C5964" s="104" t="s">
        <v>12</v>
      </c>
      <c r="D5964" s="129" t="s">
        <v>19728</v>
      </c>
    </row>
    <row r="5965" spans="1:4">
      <c r="A5965" s="105">
        <v>87702</v>
      </c>
      <c r="B5965" s="104" t="s">
        <v>5888</v>
      </c>
      <c r="C5965" s="104" t="s">
        <v>12</v>
      </c>
      <c r="D5965" s="129" t="s">
        <v>19729</v>
      </c>
    </row>
    <row r="5966" spans="1:4">
      <c r="A5966" s="105">
        <v>87703</v>
      </c>
      <c r="B5966" s="104" t="s">
        <v>5889</v>
      </c>
      <c r="C5966" s="104" t="s">
        <v>12</v>
      </c>
      <c r="D5966" s="129" t="s">
        <v>19730</v>
      </c>
    </row>
    <row r="5967" spans="1:4">
      <c r="A5967" s="105">
        <v>87704</v>
      </c>
      <c r="B5967" s="104" t="s">
        <v>5890</v>
      </c>
      <c r="C5967" s="104" t="s">
        <v>12</v>
      </c>
      <c r="D5967" s="129" t="s">
        <v>19731</v>
      </c>
    </row>
    <row r="5968" spans="1:4">
      <c r="A5968" s="105">
        <v>87735</v>
      </c>
      <c r="B5968" s="104" t="s">
        <v>5891</v>
      </c>
      <c r="C5968" s="104" t="s">
        <v>12</v>
      </c>
      <c r="D5968" s="129" t="s">
        <v>16404</v>
      </c>
    </row>
    <row r="5969" spans="1:4">
      <c r="A5969" s="105">
        <v>87737</v>
      </c>
      <c r="B5969" s="104" t="s">
        <v>5892</v>
      </c>
      <c r="C5969" s="104" t="s">
        <v>12</v>
      </c>
      <c r="D5969" s="129" t="s">
        <v>19732</v>
      </c>
    </row>
    <row r="5970" spans="1:4">
      <c r="A5970" s="105">
        <v>87738</v>
      </c>
      <c r="B5970" s="104" t="s">
        <v>5893</v>
      </c>
      <c r="C5970" s="104" t="s">
        <v>12</v>
      </c>
      <c r="D5970" s="129" t="s">
        <v>19733</v>
      </c>
    </row>
    <row r="5971" spans="1:4">
      <c r="A5971" s="105">
        <v>87739</v>
      </c>
      <c r="B5971" s="104" t="s">
        <v>5894</v>
      </c>
      <c r="C5971" s="104" t="s">
        <v>12</v>
      </c>
      <c r="D5971" s="129" t="s">
        <v>19734</v>
      </c>
    </row>
    <row r="5972" spans="1:4">
      <c r="A5972" s="105">
        <v>87745</v>
      </c>
      <c r="B5972" s="104" t="s">
        <v>5895</v>
      </c>
      <c r="C5972" s="104" t="s">
        <v>12</v>
      </c>
      <c r="D5972" s="129" t="s">
        <v>19735</v>
      </c>
    </row>
    <row r="5973" spans="1:4">
      <c r="A5973" s="105">
        <v>87747</v>
      </c>
      <c r="B5973" s="104" t="s">
        <v>5896</v>
      </c>
      <c r="C5973" s="104" t="s">
        <v>12</v>
      </c>
      <c r="D5973" s="129" t="s">
        <v>19736</v>
      </c>
    </row>
    <row r="5974" spans="1:4">
      <c r="A5974" s="105">
        <v>87748</v>
      </c>
      <c r="B5974" s="104" t="s">
        <v>5897</v>
      </c>
      <c r="C5974" s="104" t="s">
        <v>12</v>
      </c>
      <c r="D5974" s="129" t="s">
        <v>19737</v>
      </c>
    </row>
    <row r="5975" spans="1:4">
      <c r="A5975" s="105">
        <v>87749</v>
      </c>
      <c r="B5975" s="104" t="s">
        <v>5898</v>
      </c>
      <c r="C5975" s="104" t="s">
        <v>12</v>
      </c>
      <c r="D5975" s="129" t="s">
        <v>19738</v>
      </c>
    </row>
    <row r="5976" spans="1:4">
      <c r="A5976" s="105">
        <v>87755</v>
      </c>
      <c r="B5976" s="104" t="s">
        <v>5899</v>
      </c>
      <c r="C5976" s="104" t="s">
        <v>12</v>
      </c>
      <c r="D5976" s="129" t="s">
        <v>14750</v>
      </c>
    </row>
    <row r="5977" spans="1:4">
      <c r="A5977" s="105">
        <v>87757</v>
      </c>
      <c r="B5977" s="104" t="s">
        <v>5900</v>
      </c>
      <c r="C5977" s="104" t="s">
        <v>12</v>
      </c>
      <c r="D5977" s="129" t="s">
        <v>19739</v>
      </c>
    </row>
    <row r="5978" spans="1:4">
      <c r="A5978" s="105">
        <v>87758</v>
      </c>
      <c r="B5978" s="104" t="s">
        <v>5901</v>
      </c>
      <c r="C5978" s="104" t="s">
        <v>12</v>
      </c>
      <c r="D5978" s="129" t="s">
        <v>19740</v>
      </c>
    </row>
    <row r="5979" spans="1:4">
      <c r="A5979" s="105">
        <v>87759</v>
      </c>
      <c r="B5979" s="104" t="s">
        <v>5902</v>
      </c>
      <c r="C5979" s="104" t="s">
        <v>12</v>
      </c>
      <c r="D5979" s="129" t="s">
        <v>18438</v>
      </c>
    </row>
    <row r="5980" spans="1:4">
      <c r="A5980" s="105">
        <v>87765</v>
      </c>
      <c r="B5980" s="104" t="s">
        <v>5903</v>
      </c>
      <c r="C5980" s="104" t="s">
        <v>12</v>
      </c>
      <c r="D5980" s="129" t="s">
        <v>19741</v>
      </c>
    </row>
    <row r="5981" spans="1:4">
      <c r="A5981" s="105">
        <v>87767</v>
      </c>
      <c r="B5981" s="104" t="s">
        <v>5904</v>
      </c>
      <c r="C5981" s="104" t="s">
        <v>12</v>
      </c>
      <c r="D5981" s="129" t="s">
        <v>19327</v>
      </c>
    </row>
    <row r="5982" spans="1:4">
      <c r="A5982" s="105">
        <v>87768</v>
      </c>
      <c r="B5982" s="104" t="s">
        <v>5905</v>
      </c>
      <c r="C5982" s="104" t="s">
        <v>12</v>
      </c>
      <c r="D5982" s="129" t="s">
        <v>19742</v>
      </c>
    </row>
    <row r="5983" spans="1:4">
      <c r="A5983" s="105">
        <v>87769</v>
      </c>
      <c r="B5983" s="104" t="s">
        <v>5906</v>
      </c>
      <c r="C5983" s="104" t="s">
        <v>12</v>
      </c>
      <c r="D5983" s="129" t="s">
        <v>19743</v>
      </c>
    </row>
    <row r="5984" spans="1:4">
      <c r="A5984" s="105">
        <v>88470</v>
      </c>
      <c r="B5984" s="104" t="s">
        <v>5907</v>
      </c>
      <c r="C5984" s="104" t="s">
        <v>12</v>
      </c>
      <c r="D5984" s="129" t="s">
        <v>19744</v>
      </c>
    </row>
    <row r="5985" spans="1:4">
      <c r="A5985" s="105">
        <v>88471</v>
      </c>
      <c r="B5985" s="104" t="s">
        <v>5908</v>
      </c>
      <c r="C5985" s="104" t="s">
        <v>12</v>
      </c>
      <c r="D5985" s="129" t="s">
        <v>19745</v>
      </c>
    </row>
    <row r="5986" spans="1:4">
      <c r="A5986" s="105">
        <v>88472</v>
      </c>
      <c r="B5986" s="104" t="s">
        <v>5909</v>
      </c>
      <c r="C5986" s="104" t="s">
        <v>12</v>
      </c>
      <c r="D5986" s="129" t="s">
        <v>19746</v>
      </c>
    </row>
    <row r="5987" spans="1:4">
      <c r="A5987" s="105">
        <v>88476</v>
      </c>
      <c r="B5987" s="104" t="s">
        <v>5910</v>
      </c>
      <c r="C5987" s="104" t="s">
        <v>12</v>
      </c>
      <c r="D5987" s="129" t="s">
        <v>19747</v>
      </c>
    </row>
    <row r="5988" spans="1:4">
      <c r="A5988" s="105">
        <v>88477</v>
      </c>
      <c r="B5988" s="104" t="s">
        <v>5911</v>
      </c>
      <c r="C5988" s="104" t="s">
        <v>12</v>
      </c>
      <c r="D5988" s="129" t="s">
        <v>14782</v>
      </c>
    </row>
    <row r="5989" spans="1:4">
      <c r="A5989" s="105">
        <v>88478</v>
      </c>
      <c r="B5989" s="104" t="s">
        <v>5912</v>
      </c>
      <c r="C5989" s="104" t="s">
        <v>12</v>
      </c>
      <c r="D5989" s="129" t="s">
        <v>16306</v>
      </c>
    </row>
    <row r="5990" spans="1:4">
      <c r="A5990" s="105">
        <v>90930</v>
      </c>
      <c r="B5990" s="104" t="s">
        <v>5913</v>
      </c>
      <c r="C5990" s="104" t="s">
        <v>12</v>
      </c>
      <c r="D5990" s="129" t="s">
        <v>19748</v>
      </c>
    </row>
    <row r="5991" spans="1:4">
      <c r="A5991" s="105">
        <v>90932</v>
      </c>
      <c r="B5991" s="104" t="s">
        <v>5914</v>
      </c>
      <c r="C5991" s="104" t="s">
        <v>12</v>
      </c>
      <c r="D5991" s="129" t="s">
        <v>17358</v>
      </c>
    </row>
    <row r="5992" spans="1:4">
      <c r="A5992" s="105">
        <v>90933</v>
      </c>
      <c r="B5992" s="104" t="s">
        <v>5915</v>
      </c>
      <c r="C5992" s="104" t="s">
        <v>12</v>
      </c>
      <c r="D5992" s="129" t="s">
        <v>19749</v>
      </c>
    </row>
    <row r="5993" spans="1:4">
      <c r="A5993" s="105">
        <v>90934</v>
      </c>
      <c r="B5993" s="104" t="s">
        <v>5916</v>
      </c>
      <c r="C5993" s="104" t="s">
        <v>12</v>
      </c>
      <c r="D5993" s="129" t="s">
        <v>19750</v>
      </c>
    </row>
    <row r="5994" spans="1:4">
      <c r="A5994" s="105">
        <v>90940</v>
      </c>
      <c r="B5994" s="104" t="s">
        <v>5917</v>
      </c>
      <c r="C5994" s="104" t="s">
        <v>12</v>
      </c>
      <c r="D5994" s="129" t="s">
        <v>19751</v>
      </c>
    </row>
    <row r="5995" spans="1:4">
      <c r="A5995" s="105">
        <v>90942</v>
      </c>
      <c r="B5995" s="104" t="s">
        <v>5918</v>
      </c>
      <c r="C5995" s="104" t="s">
        <v>12</v>
      </c>
      <c r="D5995" s="129" t="s">
        <v>19752</v>
      </c>
    </row>
    <row r="5996" spans="1:4">
      <c r="A5996" s="105">
        <v>90943</v>
      </c>
      <c r="B5996" s="104" t="s">
        <v>5919</v>
      </c>
      <c r="C5996" s="104" t="s">
        <v>12</v>
      </c>
      <c r="D5996" s="129" t="s">
        <v>19063</v>
      </c>
    </row>
    <row r="5997" spans="1:4">
      <c r="A5997" s="105">
        <v>90944</v>
      </c>
      <c r="B5997" s="104" t="s">
        <v>5920</v>
      </c>
      <c r="C5997" s="104" t="s">
        <v>12</v>
      </c>
      <c r="D5997" s="129" t="s">
        <v>19753</v>
      </c>
    </row>
    <row r="5998" spans="1:4">
      <c r="A5998" s="105">
        <v>90950</v>
      </c>
      <c r="B5998" s="104" t="s">
        <v>5921</v>
      </c>
      <c r="C5998" s="104" t="s">
        <v>12</v>
      </c>
      <c r="D5998" s="129" t="s">
        <v>19754</v>
      </c>
    </row>
    <row r="5999" spans="1:4">
      <c r="A5999" s="105">
        <v>90952</v>
      </c>
      <c r="B5999" s="104" t="s">
        <v>5922</v>
      </c>
      <c r="C5999" s="104" t="s">
        <v>12</v>
      </c>
      <c r="D5999" s="129" t="s">
        <v>19755</v>
      </c>
    </row>
    <row r="6000" spans="1:4">
      <c r="A6000" s="105">
        <v>90953</v>
      </c>
      <c r="B6000" s="104" t="s">
        <v>5923</v>
      </c>
      <c r="C6000" s="104" t="s">
        <v>12</v>
      </c>
      <c r="D6000" s="129" t="s">
        <v>19756</v>
      </c>
    </row>
    <row r="6001" spans="1:4">
      <c r="A6001" s="105">
        <v>90954</v>
      </c>
      <c r="B6001" s="104" t="s">
        <v>5924</v>
      </c>
      <c r="C6001" s="104" t="s">
        <v>12</v>
      </c>
      <c r="D6001" s="129" t="s">
        <v>19757</v>
      </c>
    </row>
    <row r="6002" spans="1:4">
      <c r="A6002" s="105">
        <v>94438</v>
      </c>
      <c r="B6002" s="104" t="s">
        <v>5925</v>
      </c>
      <c r="C6002" s="104" t="s">
        <v>12</v>
      </c>
      <c r="D6002" s="129" t="s">
        <v>19758</v>
      </c>
    </row>
    <row r="6003" spans="1:4">
      <c r="A6003" s="105">
        <v>94439</v>
      </c>
      <c r="B6003" s="104" t="s">
        <v>12963</v>
      </c>
      <c r="C6003" s="104" t="s">
        <v>12</v>
      </c>
      <c r="D6003" s="129" t="s">
        <v>19759</v>
      </c>
    </row>
    <row r="6004" spans="1:4">
      <c r="A6004" s="105">
        <v>94779</v>
      </c>
      <c r="B6004" s="104" t="s">
        <v>5926</v>
      </c>
      <c r="C6004" s="104" t="s">
        <v>12</v>
      </c>
      <c r="D6004" s="129" t="s">
        <v>19760</v>
      </c>
    </row>
    <row r="6005" spans="1:4">
      <c r="A6005" s="105">
        <v>94782</v>
      </c>
      <c r="B6005" s="104" t="s">
        <v>12964</v>
      </c>
      <c r="C6005" s="104" t="s">
        <v>12</v>
      </c>
      <c r="D6005" s="129" t="s">
        <v>19761</v>
      </c>
    </row>
    <row r="6006" spans="1:4">
      <c r="A6006" s="105">
        <v>102803</v>
      </c>
      <c r="B6006" s="104" t="s">
        <v>5927</v>
      </c>
      <c r="C6006" s="104" t="s">
        <v>12</v>
      </c>
      <c r="D6006" s="129" t="s">
        <v>14829</v>
      </c>
    </row>
    <row r="6007" spans="1:4">
      <c r="A6007" s="105">
        <v>101742</v>
      </c>
      <c r="B6007" s="104" t="s">
        <v>5928</v>
      </c>
      <c r="C6007" s="104" t="s">
        <v>40</v>
      </c>
      <c r="D6007" s="129" t="s">
        <v>19762</v>
      </c>
    </row>
    <row r="6008" spans="1:4">
      <c r="A6008" s="105">
        <v>87871</v>
      </c>
      <c r="B6008" s="104" t="s">
        <v>5929</v>
      </c>
      <c r="C6008" s="104" t="s">
        <v>12</v>
      </c>
      <c r="D6008" s="129" t="s">
        <v>19763</v>
      </c>
    </row>
    <row r="6009" spans="1:4">
      <c r="A6009" s="105">
        <v>87872</v>
      </c>
      <c r="B6009" s="104" t="s">
        <v>5930</v>
      </c>
      <c r="C6009" s="104" t="s">
        <v>12</v>
      </c>
      <c r="D6009" s="129" t="s">
        <v>18336</v>
      </c>
    </row>
    <row r="6010" spans="1:4">
      <c r="A6010" s="105">
        <v>87873</v>
      </c>
      <c r="B6010" s="104" t="s">
        <v>5931</v>
      </c>
      <c r="C6010" s="104" t="s">
        <v>12</v>
      </c>
      <c r="D6010" s="129" t="s">
        <v>19764</v>
      </c>
    </row>
    <row r="6011" spans="1:4">
      <c r="A6011" s="105">
        <v>87874</v>
      </c>
      <c r="B6011" s="104" t="s">
        <v>5932</v>
      </c>
      <c r="C6011" s="104" t="s">
        <v>12</v>
      </c>
      <c r="D6011" s="129" t="s">
        <v>14740</v>
      </c>
    </row>
    <row r="6012" spans="1:4">
      <c r="A6012" s="105">
        <v>87876</v>
      </c>
      <c r="B6012" s="104" t="s">
        <v>5933</v>
      </c>
      <c r="C6012" s="104" t="s">
        <v>12</v>
      </c>
      <c r="D6012" s="129" t="s">
        <v>19765</v>
      </c>
    </row>
    <row r="6013" spans="1:4">
      <c r="A6013" s="105">
        <v>87877</v>
      </c>
      <c r="B6013" s="104" t="s">
        <v>5934</v>
      </c>
      <c r="C6013" s="104" t="s">
        <v>12</v>
      </c>
      <c r="D6013" s="129" t="s">
        <v>19766</v>
      </c>
    </row>
    <row r="6014" spans="1:4">
      <c r="A6014" s="105">
        <v>87878</v>
      </c>
      <c r="B6014" s="104" t="s">
        <v>5935</v>
      </c>
      <c r="C6014" s="104" t="s">
        <v>12</v>
      </c>
      <c r="D6014" s="129" t="s">
        <v>19767</v>
      </c>
    </row>
    <row r="6015" spans="1:4">
      <c r="A6015" s="105">
        <v>87879</v>
      </c>
      <c r="B6015" s="104" t="s">
        <v>5936</v>
      </c>
      <c r="C6015" s="104" t="s">
        <v>12</v>
      </c>
      <c r="D6015" s="129" t="s">
        <v>15727</v>
      </c>
    </row>
    <row r="6016" spans="1:4">
      <c r="A6016" s="105">
        <v>87881</v>
      </c>
      <c r="B6016" s="104" t="s">
        <v>5937</v>
      </c>
      <c r="C6016" s="104" t="s">
        <v>12</v>
      </c>
      <c r="D6016" s="129" t="s">
        <v>17266</v>
      </c>
    </row>
    <row r="6017" spans="1:4">
      <c r="A6017" s="105">
        <v>87882</v>
      </c>
      <c r="B6017" s="104" t="s">
        <v>5938</v>
      </c>
      <c r="C6017" s="104" t="s">
        <v>12</v>
      </c>
      <c r="D6017" s="129" t="s">
        <v>19768</v>
      </c>
    </row>
    <row r="6018" spans="1:4">
      <c r="A6018" s="105">
        <v>87884</v>
      </c>
      <c r="B6018" s="104" t="s">
        <v>5939</v>
      </c>
      <c r="C6018" s="104" t="s">
        <v>12</v>
      </c>
      <c r="D6018" s="129" t="s">
        <v>15650</v>
      </c>
    </row>
    <row r="6019" spans="1:4">
      <c r="A6019" s="105">
        <v>87885</v>
      </c>
      <c r="B6019" s="104" t="s">
        <v>5940</v>
      </c>
      <c r="C6019" s="104" t="s">
        <v>12</v>
      </c>
      <c r="D6019" s="129" t="s">
        <v>19769</v>
      </c>
    </row>
    <row r="6020" spans="1:4">
      <c r="A6020" s="105">
        <v>87886</v>
      </c>
      <c r="B6020" s="104" t="s">
        <v>5941</v>
      </c>
      <c r="C6020" s="104" t="s">
        <v>12</v>
      </c>
      <c r="D6020" s="129" t="s">
        <v>19585</v>
      </c>
    </row>
    <row r="6021" spans="1:4">
      <c r="A6021" s="105">
        <v>87887</v>
      </c>
      <c r="B6021" s="104" t="s">
        <v>5942</v>
      </c>
      <c r="C6021" s="104" t="s">
        <v>12</v>
      </c>
      <c r="D6021" s="129" t="s">
        <v>19217</v>
      </c>
    </row>
    <row r="6022" spans="1:4">
      <c r="A6022" s="105">
        <v>87888</v>
      </c>
      <c r="B6022" s="104" t="s">
        <v>5943</v>
      </c>
      <c r="C6022" s="104" t="s">
        <v>12</v>
      </c>
      <c r="D6022" s="129" t="s">
        <v>16887</v>
      </c>
    </row>
    <row r="6023" spans="1:4">
      <c r="A6023" s="105">
        <v>87889</v>
      </c>
      <c r="B6023" s="104" t="s">
        <v>5944</v>
      </c>
      <c r="C6023" s="104" t="s">
        <v>12</v>
      </c>
      <c r="D6023" s="129" t="s">
        <v>18174</v>
      </c>
    </row>
    <row r="6024" spans="1:4">
      <c r="A6024" s="105">
        <v>87891</v>
      </c>
      <c r="B6024" s="104" t="s">
        <v>5945</v>
      </c>
      <c r="C6024" s="104" t="s">
        <v>12</v>
      </c>
      <c r="D6024" s="129" t="s">
        <v>17276</v>
      </c>
    </row>
    <row r="6025" spans="1:4">
      <c r="A6025" s="105">
        <v>87892</v>
      </c>
      <c r="B6025" s="104" t="s">
        <v>5946</v>
      </c>
      <c r="C6025" s="104" t="s">
        <v>12</v>
      </c>
      <c r="D6025" s="129" t="s">
        <v>15170</v>
      </c>
    </row>
    <row r="6026" spans="1:4">
      <c r="A6026" s="105">
        <v>87893</v>
      </c>
      <c r="B6026" s="104" t="s">
        <v>5947</v>
      </c>
      <c r="C6026" s="104" t="s">
        <v>12</v>
      </c>
      <c r="D6026" s="129" t="s">
        <v>15586</v>
      </c>
    </row>
    <row r="6027" spans="1:4">
      <c r="A6027" s="105">
        <v>87894</v>
      </c>
      <c r="B6027" s="104" t="s">
        <v>5948</v>
      </c>
      <c r="C6027" s="104" t="s">
        <v>12</v>
      </c>
      <c r="D6027" s="129" t="s">
        <v>15630</v>
      </c>
    </row>
    <row r="6028" spans="1:4">
      <c r="A6028" s="105">
        <v>87896</v>
      </c>
      <c r="B6028" s="104" t="s">
        <v>5949</v>
      </c>
      <c r="C6028" s="104" t="s">
        <v>12</v>
      </c>
      <c r="D6028" s="129" t="s">
        <v>19770</v>
      </c>
    </row>
    <row r="6029" spans="1:4">
      <c r="A6029" s="105">
        <v>87897</v>
      </c>
      <c r="B6029" s="104" t="s">
        <v>5950</v>
      </c>
      <c r="C6029" s="104" t="s">
        <v>12</v>
      </c>
      <c r="D6029" s="129" t="s">
        <v>19771</v>
      </c>
    </row>
    <row r="6030" spans="1:4">
      <c r="A6030" s="105">
        <v>87899</v>
      </c>
      <c r="B6030" s="104" t="s">
        <v>5951</v>
      </c>
      <c r="C6030" s="104" t="s">
        <v>12</v>
      </c>
      <c r="D6030" s="129" t="s">
        <v>19772</v>
      </c>
    </row>
    <row r="6031" spans="1:4">
      <c r="A6031" s="105">
        <v>87900</v>
      </c>
      <c r="B6031" s="104" t="s">
        <v>5952</v>
      </c>
      <c r="C6031" s="104" t="s">
        <v>12</v>
      </c>
      <c r="D6031" s="129" t="s">
        <v>17281</v>
      </c>
    </row>
    <row r="6032" spans="1:4">
      <c r="A6032" s="105">
        <v>87902</v>
      </c>
      <c r="B6032" s="104" t="s">
        <v>5953</v>
      </c>
      <c r="C6032" s="104" t="s">
        <v>12</v>
      </c>
      <c r="D6032" s="129" t="s">
        <v>17270</v>
      </c>
    </row>
    <row r="6033" spans="1:4">
      <c r="A6033" s="105">
        <v>87903</v>
      </c>
      <c r="B6033" s="104" t="s">
        <v>5954</v>
      </c>
      <c r="C6033" s="104" t="s">
        <v>12</v>
      </c>
      <c r="D6033" s="129" t="s">
        <v>16903</v>
      </c>
    </row>
    <row r="6034" spans="1:4">
      <c r="A6034" s="105">
        <v>87904</v>
      </c>
      <c r="B6034" s="104" t="s">
        <v>5955</v>
      </c>
      <c r="C6034" s="104" t="s">
        <v>12</v>
      </c>
      <c r="D6034" s="129" t="s">
        <v>17393</v>
      </c>
    </row>
    <row r="6035" spans="1:4">
      <c r="A6035" s="105">
        <v>87905</v>
      </c>
      <c r="B6035" s="104" t="s">
        <v>5956</v>
      </c>
      <c r="C6035" s="104" t="s">
        <v>12</v>
      </c>
      <c r="D6035" s="129" t="s">
        <v>19773</v>
      </c>
    </row>
    <row r="6036" spans="1:4">
      <c r="A6036" s="105">
        <v>87907</v>
      </c>
      <c r="B6036" s="104" t="s">
        <v>5957</v>
      </c>
      <c r="C6036" s="104" t="s">
        <v>12</v>
      </c>
      <c r="D6036" s="129" t="s">
        <v>19774</v>
      </c>
    </row>
    <row r="6037" spans="1:4">
      <c r="A6037" s="105">
        <v>87908</v>
      </c>
      <c r="B6037" s="104" t="s">
        <v>5958</v>
      </c>
      <c r="C6037" s="104" t="s">
        <v>12</v>
      </c>
      <c r="D6037" s="129" t="s">
        <v>18234</v>
      </c>
    </row>
    <row r="6038" spans="1:4">
      <c r="A6038" s="105">
        <v>87910</v>
      </c>
      <c r="B6038" s="104" t="s">
        <v>5959</v>
      </c>
      <c r="C6038" s="104" t="s">
        <v>12</v>
      </c>
      <c r="D6038" s="129" t="s">
        <v>19775</v>
      </c>
    </row>
    <row r="6039" spans="1:4">
      <c r="A6039" s="105">
        <v>87911</v>
      </c>
      <c r="B6039" s="104" t="s">
        <v>5960</v>
      </c>
      <c r="C6039" s="104" t="s">
        <v>12</v>
      </c>
      <c r="D6039" s="129" t="s">
        <v>15549</v>
      </c>
    </row>
    <row r="6040" spans="1:4">
      <c r="A6040" s="105">
        <v>87411</v>
      </c>
      <c r="B6040" s="104" t="s">
        <v>5961</v>
      </c>
      <c r="C6040" s="104" t="s">
        <v>12</v>
      </c>
      <c r="D6040" s="129" t="s">
        <v>19202</v>
      </c>
    </row>
    <row r="6041" spans="1:4">
      <c r="A6041" s="105">
        <v>87412</v>
      </c>
      <c r="B6041" s="104" t="s">
        <v>5962</v>
      </c>
      <c r="C6041" s="104" t="s">
        <v>12</v>
      </c>
      <c r="D6041" s="129" t="s">
        <v>19548</v>
      </c>
    </row>
    <row r="6042" spans="1:4">
      <c r="A6042" s="105">
        <v>87413</v>
      </c>
      <c r="B6042" s="104" t="s">
        <v>5963</v>
      </c>
      <c r="C6042" s="104" t="s">
        <v>12</v>
      </c>
      <c r="D6042" s="129" t="s">
        <v>19776</v>
      </c>
    </row>
    <row r="6043" spans="1:4">
      <c r="A6043" s="105">
        <v>87414</v>
      </c>
      <c r="B6043" s="104" t="s">
        <v>5964</v>
      </c>
      <c r="C6043" s="104" t="s">
        <v>12</v>
      </c>
      <c r="D6043" s="129" t="s">
        <v>19777</v>
      </c>
    </row>
    <row r="6044" spans="1:4">
      <c r="A6044" s="105">
        <v>87415</v>
      </c>
      <c r="B6044" s="104" t="s">
        <v>5965</v>
      </c>
      <c r="C6044" s="104" t="s">
        <v>12</v>
      </c>
      <c r="D6044" s="129" t="s">
        <v>19778</v>
      </c>
    </row>
    <row r="6045" spans="1:4">
      <c r="A6045" s="105">
        <v>87416</v>
      </c>
      <c r="B6045" s="104" t="s">
        <v>5966</v>
      </c>
      <c r="C6045" s="104" t="s">
        <v>12</v>
      </c>
      <c r="D6045" s="129" t="s">
        <v>19779</v>
      </c>
    </row>
    <row r="6046" spans="1:4">
      <c r="A6046" s="105">
        <v>87417</v>
      </c>
      <c r="B6046" s="104" t="s">
        <v>5967</v>
      </c>
      <c r="C6046" s="104" t="s">
        <v>12</v>
      </c>
      <c r="D6046" s="129" t="s">
        <v>16653</v>
      </c>
    </row>
    <row r="6047" spans="1:4">
      <c r="A6047" s="105">
        <v>87418</v>
      </c>
      <c r="B6047" s="104" t="s">
        <v>5968</v>
      </c>
      <c r="C6047" s="104" t="s">
        <v>12</v>
      </c>
      <c r="D6047" s="129" t="s">
        <v>18685</v>
      </c>
    </row>
    <row r="6048" spans="1:4">
      <c r="A6048" s="105">
        <v>87419</v>
      </c>
      <c r="B6048" s="104" t="s">
        <v>5969</v>
      </c>
      <c r="C6048" s="104" t="s">
        <v>12</v>
      </c>
      <c r="D6048" s="129" t="s">
        <v>19780</v>
      </c>
    </row>
    <row r="6049" spans="1:4">
      <c r="A6049" s="105">
        <v>87420</v>
      </c>
      <c r="B6049" s="104" t="s">
        <v>5970</v>
      </c>
      <c r="C6049" s="104" t="s">
        <v>12</v>
      </c>
      <c r="D6049" s="129" t="s">
        <v>19781</v>
      </c>
    </row>
    <row r="6050" spans="1:4">
      <c r="A6050" s="105">
        <v>87421</v>
      </c>
      <c r="B6050" s="104" t="s">
        <v>5971</v>
      </c>
      <c r="C6050" s="104" t="s">
        <v>12</v>
      </c>
      <c r="D6050" s="129" t="s">
        <v>19782</v>
      </c>
    </row>
    <row r="6051" spans="1:4">
      <c r="A6051" s="105">
        <v>87422</v>
      </c>
      <c r="B6051" s="104" t="s">
        <v>5972</v>
      </c>
      <c r="C6051" s="104" t="s">
        <v>12</v>
      </c>
      <c r="D6051" s="129" t="s">
        <v>16777</v>
      </c>
    </row>
    <row r="6052" spans="1:4">
      <c r="A6052" s="105">
        <v>87423</v>
      </c>
      <c r="B6052" s="104" t="s">
        <v>5973</v>
      </c>
      <c r="C6052" s="104" t="s">
        <v>12</v>
      </c>
      <c r="D6052" s="129" t="s">
        <v>16292</v>
      </c>
    </row>
    <row r="6053" spans="1:4">
      <c r="A6053" s="105">
        <v>87424</v>
      </c>
      <c r="B6053" s="104" t="s">
        <v>5974</v>
      </c>
      <c r="C6053" s="104" t="s">
        <v>12</v>
      </c>
      <c r="D6053" s="129" t="s">
        <v>19779</v>
      </c>
    </row>
    <row r="6054" spans="1:4">
      <c r="A6054" s="105">
        <v>87425</v>
      </c>
      <c r="B6054" s="104" t="s">
        <v>5975</v>
      </c>
      <c r="C6054" s="104" t="s">
        <v>12</v>
      </c>
      <c r="D6054" s="129" t="s">
        <v>19783</v>
      </c>
    </row>
    <row r="6055" spans="1:4">
      <c r="A6055" s="105">
        <v>87426</v>
      </c>
      <c r="B6055" s="104" t="s">
        <v>5976</v>
      </c>
      <c r="C6055" s="104" t="s">
        <v>12</v>
      </c>
      <c r="D6055" s="129" t="s">
        <v>19784</v>
      </c>
    </row>
    <row r="6056" spans="1:4">
      <c r="A6056" s="105">
        <v>87427</v>
      </c>
      <c r="B6056" s="104" t="s">
        <v>5977</v>
      </c>
      <c r="C6056" s="104" t="s">
        <v>12</v>
      </c>
      <c r="D6056" s="129" t="s">
        <v>17828</v>
      </c>
    </row>
    <row r="6057" spans="1:4">
      <c r="A6057" s="105">
        <v>87428</v>
      </c>
      <c r="B6057" s="104" t="s">
        <v>5978</v>
      </c>
      <c r="C6057" s="104" t="s">
        <v>12</v>
      </c>
      <c r="D6057" s="129" t="s">
        <v>19785</v>
      </c>
    </row>
    <row r="6058" spans="1:4">
      <c r="A6058" s="105">
        <v>87429</v>
      </c>
      <c r="B6058" s="104" t="s">
        <v>5979</v>
      </c>
      <c r="C6058" s="104" t="s">
        <v>12</v>
      </c>
      <c r="D6058" s="129" t="s">
        <v>15806</v>
      </c>
    </row>
    <row r="6059" spans="1:4">
      <c r="A6059" s="105">
        <v>87430</v>
      </c>
      <c r="B6059" s="104" t="s">
        <v>5980</v>
      </c>
      <c r="C6059" s="104" t="s">
        <v>12</v>
      </c>
      <c r="D6059" s="129" t="s">
        <v>16971</v>
      </c>
    </row>
    <row r="6060" spans="1:4">
      <c r="A6060" s="105">
        <v>87431</v>
      </c>
      <c r="B6060" s="104" t="s">
        <v>5981</v>
      </c>
      <c r="C6060" s="104" t="s">
        <v>12</v>
      </c>
      <c r="D6060" s="129" t="s">
        <v>18248</v>
      </c>
    </row>
    <row r="6061" spans="1:4">
      <c r="A6061" s="105">
        <v>87432</v>
      </c>
      <c r="B6061" s="104" t="s">
        <v>5982</v>
      </c>
      <c r="C6061" s="104" t="s">
        <v>12</v>
      </c>
      <c r="D6061" s="129" t="s">
        <v>19786</v>
      </c>
    </row>
    <row r="6062" spans="1:4">
      <c r="A6062" s="105">
        <v>87433</v>
      </c>
      <c r="B6062" s="104" t="s">
        <v>5983</v>
      </c>
      <c r="C6062" s="104" t="s">
        <v>12</v>
      </c>
      <c r="D6062" s="129" t="s">
        <v>19787</v>
      </c>
    </row>
    <row r="6063" spans="1:4">
      <c r="A6063" s="105">
        <v>87434</v>
      </c>
      <c r="B6063" s="104" t="s">
        <v>5984</v>
      </c>
      <c r="C6063" s="104" t="s">
        <v>12</v>
      </c>
      <c r="D6063" s="129" t="s">
        <v>18104</v>
      </c>
    </row>
    <row r="6064" spans="1:4">
      <c r="A6064" s="105">
        <v>87435</v>
      </c>
      <c r="B6064" s="104" t="s">
        <v>5985</v>
      </c>
      <c r="C6064" s="104" t="s">
        <v>12</v>
      </c>
      <c r="D6064" s="129" t="s">
        <v>19788</v>
      </c>
    </row>
    <row r="6065" spans="1:4">
      <c r="A6065" s="105">
        <v>87436</v>
      </c>
      <c r="B6065" s="104" t="s">
        <v>5986</v>
      </c>
      <c r="C6065" s="104" t="s">
        <v>12</v>
      </c>
      <c r="D6065" s="129" t="s">
        <v>19789</v>
      </c>
    </row>
    <row r="6066" spans="1:4">
      <c r="A6066" s="105">
        <v>87437</v>
      </c>
      <c r="B6066" s="104" t="s">
        <v>5987</v>
      </c>
      <c r="C6066" s="104" t="s">
        <v>12</v>
      </c>
      <c r="D6066" s="129" t="s">
        <v>19790</v>
      </c>
    </row>
    <row r="6067" spans="1:4">
      <c r="A6067" s="105">
        <v>87438</v>
      </c>
      <c r="B6067" s="104" t="s">
        <v>5988</v>
      </c>
      <c r="C6067" s="104" t="s">
        <v>12</v>
      </c>
      <c r="D6067" s="129" t="s">
        <v>15623</v>
      </c>
    </row>
    <row r="6068" spans="1:4">
      <c r="A6068" s="105">
        <v>87439</v>
      </c>
      <c r="B6068" s="104" t="s">
        <v>5989</v>
      </c>
      <c r="C6068" s="104" t="s">
        <v>12</v>
      </c>
      <c r="D6068" s="129" t="s">
        <v>19791</v>
      </c>
    </row>
    <row r="6069" spans="1:4">
      <c r="A6069" s="105">
        <v>87440</v>
      </c>
      <c r="B6069" s="104" t="s">
        <v>5990</v>
      </c>
      <c r="C6069" s="104" t="s">
        <v>12</v>
      </c>
      <c r="D6069" s="129" t="s">
        <v>17818</v>
      </c>
    </row>
    <row r="6070" spans="1:4">
      <c r="A6070" s="105">
        <v>87527</v>
      </c>
      <c r="B6070" s="104" t="s">
        <v>5991</v>
      </c>
      <c r="C6070" s="104" t="s">
        <v>12</v>
      </c>
      <c r="D6070" s="129" t="s">
        <v>19792</v>
      </c>
    </row>
    <row r="6071" spans="1:4">
      <c r="A6071" s="105">
        <v>87528</v>
      </c>
      <c r="B6071" s="104" t="s">
        <v>5992</v>
      </c>
      <c r="C6071" s="104" t="s">
        <v>12</v>
      </c>
      <c r="D6071" s="129" t="s">
        <v>19793</v>
      </c>
    </row>
    <row r="6072" spans="1:4">
      <c r="A6072" s="105">
        <v>87529</v>
      </c>
      <c r="B6072" s="104" t="s">
        <v>5993</v>
      </c>
      <c r="C6072" s="104" t="s">
        <v>12</v>
      </c>
      <c r="D6072" s="129" t="s">
        <v>19794</v>
      </c>
    </row>
    <row r="6073" spans="1:4">
      <c r="A6073" s="105">
        <v>87530</v>
      </c>
      <c r="B6073" s="104" t="s">
        <v>5994</v>
      </c>
      <c r="C6073" s="104" t="s">
        <v>12</v>
      </c>
      <c r="D6073" s="129" t="s">
        <v>19795</v>
      </c>
    </row>
    <row r="6074" spans="1:4">
      <c r="A6074" s="105">
        <v>87531</v>
      </c>
      <c r="B6074" s="104" t="s">
        <v>5995</v>
      </c>
      <c r="C6074" s="104" t="s">
        <v>12</v>
      </c>
      <c r="D6074" s="129" t="s">
        <v>14781</v>
      </c>
    </row>
    <row r="6075" spans="1:4">
      <c r="A6075" s="105">
        <v>87532</v>
      </c>
      <c r="B6075" s="104" t="s">
        <v>5996</v>
      </c>
      <c r="C6075" s="104" t="s">
        <v>12</v>
      </c>
      <c r="D6075" s="129" t="s">
        <v>17446</v>
      </c>
    </row>
    <row r="6076" spans="1:4">
      <c r="A6076" s="105">
        <v>87535</v>
      </c>
      <c r="B6076" s="104" t="s">
        <v>5997</v>
      </c>
      <c r="C6076" s="104" t="s">
        <v>12</v>
      </c>
      <c r="D6076" s="129" t="s">
        <v>19796</v>
      </c>
    </row>
    <row r="6077" spans="1:4">
      <c r="A6077" s="105">
        <v>87536</v>
      </c>
      <c r="B6077" s="104" t="s">
        <v>5998</v>
      </c>
      <c r="C6077" s="104" t="s">
        <v>12</v>
      </c>
      <c r="D6077" s="129" t="s">
        <v>19797</v>
      </c>
    </row>
    <row r="6078" spans="1:4">
      <c r="A6078" s="105">
        <v>87537</v>
      </c>
      <c r="B6078" s="104" t="s">
        <v>5999</v>
      </c>
      <c r="C6078" s="104" t="s">
        <v>12</v>
      </c>
      <c r="D6078" s="129" t="s">
        <v>19798</v>
      </c>
    </row>
    <row r="6079" spans="1:4">
      <c r="A6079" s="105">
        <v>87538</v>
      </c>
      <c r="B6079" s="104" t="s">
        <v>6000</v>
      </c>
      <c r="C6079" s="104" t="s">
        <v>12</v>
      </c>
      <c r="D6079" s="129" t="s">
        <v>19799</v>
      </c>
    </row>
    <row r="6080" spans="1:4">
      <c r="A6080" s="105">
        <v>87539</v>
      </c>
      <c r="B6080" s="104" t="s">
        <v>6001</v>
      </c>
      <c r="C6080" s="104" t="s">
        <v>12</v>
      </c>
      <c r="D6080" s="129" t="s">
        <v>19800</v>
      </c>
    </row>
    <row r="6081" spans="1:4">
      <c r="A6081" s="105">
        <v>87541</v>
      </c>
      <c r="B6081" s="104" t="s">
        <v>6002</v>
      </c>
      <c r="C6081" s="104" t="s">
        <v>12</v>
      </c>
      <c r="D6081" s="129" t="s">
        <v>19801</v>
      </c>
    </row>
    <row r="6082" spans="1:4">
      <c r="A6082" s="105">
        <v>87543</v>
      </c>
      <c r="B6082" s="104" t="s">
        <v>61</v>
      </c>
      <c r="C6082" s="104" t="s">
        <v>12</v>
      </c>
      <c r="D6082" s="129" t="s">
        <v>19802</v>
      </c>
    </row>
    <row r="6083" spans="1:4">
      <c r="A6083" s="105">
        <v>87545</v>
      </c>
      <c r="B6083" s="104" t="s">
        <v>6003</v>
      </c>
      <c r="C6083" s="104" t="s">
        <v>12</v>
      </c>
      <c r="D6083" s="129" t="s">
        <v>19803</v>
      </c>
    </row>
    <row r="6084" spans="1:4">
      <c r="A6084" s="105">
        <v>87546</v>
      </c>
      <c r="B6084" s="104" t="s">
        <v>6004</v>
      </c>
      <c r="C6084" s="104" t="s">
        <v>12</v>
      </c>
      <c r="D6084" s="129" t="s">
        <v>19804</v>
      </c>
    </row>
    <row r="6085" spans="1:4">
      <c r="A6085" s="105">
        <v>87547</v>
      </c>
      <c r="B6085" s="104" t="s">
        <v>6005</v>
      </c>
      <c r="C6085" s="104" t="s">
        <v>12</v>
      </c>
      <c r="D6085" s="129" t="s">
        <v>18108</v>
      </c>
    </row>
    <row r="6086" spans="1:4">
      <c r="A6086" s="105">
        <v>87548</v>
      </c>
      <c r="B6086" s="104" t="s">
        <v>6006</v>
      </c>
      <c r="C6086" s="104" t="s">
        <v>12</v>
      </c>
      <c r="D6086" s="129" t="s">
        <v>19805</v>
      </c>
    </row>
    <row r="6087" spans="1:4">
      <c r="A6087" s="105">
        <v>87549</v>
      </c>
      <c r="B6087" s="104" t="s">
        <v>6007</v>
      </c>
      <c r="C6087" s="104" t="s">
        <v>12</v>
      </c>
      <c r="D6087" s="129" t="s">
        <v>19612</v>
      </c>
    </row>
    <row r="6088" spans="1:4">
      <c r="A6088" s="105">
        <v>87550</v>
      </c>
      <c r="B6088" s="104" t="s">
        <v>6008</v>
      </c>
      <c r="C6088" s="104" t="s">
        <v>12</v>
      </c>
      <c r="D6088" s="129" t="s">
        <v>17436</v>
      </c>
    </row>
    <row r="6089" spans="1:4">
      <c r="A6089" s="105">
        <v>87553</v>
      </c>
      <c r="B6089" s="104" t="s">
        <v>6009</v>
      </c>
      <c r="C6089" s="104" t="s">
        <v>12</v>
      </c>
      <c r="D6089" s="129" t="s">
        <v>19806</v>
      </c>
    </row>
    <row r="6090" spans="1:4">
      <c r="A6090" s="105">
        <v>87554</v>
      </c>
      <c r="B6090" s="104" t="s">
        <v>6010</v>
      </c>
      <c r="C6090" s="104" t="s">
        <v>12</v>
      </c>
      <c r="D6090" s="129" t="s">
        <v>18480</v>
      </c>
    </row>
    <row r="6091" spans="1:4">
      <c r="A6091" s="105">
        <v>87555</v>
      </c>
      <c r="B6091" s="104" t="s">
        <v>6011</v>
      </c>
      <c r="C6091" s="104" t="s">
        <v>12</v>
      </c>
      <c r="D6091" s="129" t="s">
        <v>18321</v>
      </c>
    </row>
    <row r="6092" spans="1:4">
      <c r="A6092" s="105">
        <v>87556</v>
      </c>
      <c r="B6092" s="104" t="s">
        <v>6012</v>
      </c>
      <c r="C6092" s="104" t="s">
        <v>12</v>
      </c>
      <c r="D6092" s="129" t="s">
        <v>19807</v>
      </c>
    </row>
    <row r="6093" spans="1:4">
      <c r="A6093" s="105">
        <v>87557</v>
      </c>
      <c r="B6093" s="104" t="s">
        <v>6013</v>
      </c>
      <c r="C6093" s="104" t="s">
        <v>12</v>
      </c>
      <c r="D6093" s="129" t="s">
        <v>19808</v>
      </c>
    </row>
    <row r="6094" spans="1:4">
      <c r="A6094" s="105">
        <v>87559</v>
      </c>
      <c r="B6094" s="104" t="s">
        <v>6014</v>
      </c>
      <c r="C6094" s="104" t="s">
        <v>12</v>
      </c>
      <c r="D6094" s="129" t="s">
        <v>19809</v>
      </c>
    </row>
    <row r="6095" spans="1:4">
      <c r="A6095" s="105">
        <v>87561</v>
      </c>
      <c r="B6095" s="104" t="s">
        <v>6015</v>
      </c>
      <c r="C6095" s="104" t="s">
        <v>12</v>
      </c>
      <c r="D6095" s="129" t="s">
        <v>19810</v>
      </c>
    </row>
    <row r="6096" spans="1:4">
      <c r="A6096" s="105">
        <v>87775</v>
      </c>
      <c r="B6096" s="104" t="s">
        <v>6016</v>
      </c>
      <c r="C6096" s="104" t="s">
        <v>12</v>
      </c>
      <c r="D6096" s="129" t="s">
        <v>19811</v>
      </c>
    </row>
    <row r="6097" spans="1:4">
      <c r="A6097" s="105">
        <v>87777</v>
      </c>
      <c r="B6097" s="104" t="s">
        <v>6017</v>
      </c>
      <c r="C6097" s="104" t="s">
        <v>12</v>
      </c>
      <c r="D6097" s="129" t="s">
        <v>19812</v>
      </c>
    </row>
    <row r="6098" spans="1:4">
      <c r="A6098" s="105">
        <v>87778</v>
      </c>
      <c r="B6098" s="104" t="s">
        <v>6018</v>
      </c>
      <c r="C6098" s="104" t="s">
        <v>12</v>
      </c>
      <c r="D6098" s="129" t="s">
        <v>19813</v>
      </c>
    </row>
    <row r="6099" spans="1:4">
      <c r="A6099" s="105">
        <v>87779</v>
      </c>
      <c r="B6099" s="104" t="s">
        <v>6019</v>
      </c>
      <c r="C6099" s="104" t="s">
        <v>12</v>
      </c>
      <c r="D6099" s="129" t="s">
        <v>19814</v>
      </c>
    </row>
    <row r="6100" spans="1:4">
      <c r="A6100" s="105">
        <v>87781</v>
      </c>
      <c r="B6100" s="104" t="s">
        <v>6020</v>
      </c>
      <c r="C6100" s="104" t="s">
        <v>12</v>
      </c>
      <c r="D6100" s="129" t="s">
        <v>19815</v>
      </c>
    </row>
    <row r="6101" spans="1:4">
      <c r="A6101" s="105">
        <v>87783</v>
      </c>
      <c r="B6101" s="104" t="s">
        <v>6021</v>
      </c>
      <c r="C6101" s="104" t="s">
        <v>12</v>
      </c>
      <c r="D6101" s="129" t="s">
        <v>19816</v>
      </c>
    </row>
    <row r="6102" spans="1:4">
      <c r="A6102" s="105">
        <v>87784</v>
      </c>
      <c r="B6102" s="104" t="s">
        <v>6022</v>
      </c>
      <c r="C6102" s="104" t="s">
        <v>12</v>
      </c>
      <c r="D6102" s="129" t="s">
        <v>19817</v>
      </c>
    </row>
    <row r="6103" spans="1:4">
      <c r="A6103" s="105">
        <v>87786</v>
      </c>
      <c r="B6103" s="104" t="s">
        <v>6023</v>
      </c>
      <c r="C6103" s="104" t="s">
        <v>12</v>
      </c>
      <c r="D6103" s="129" t="s">
        <v>19818</v>
      </c>
    </row>
    <row r="6104" spans="1:4">
      <c r="A6104" s="105">
        <v>87787</v>
      </c>
      <c r="B6104" s="104" t="s">
        <v>6024</v>
      </c>
      <c r="C6104" s="104" t="s">
        <v>12</v>
      </c>
      <c r="D6104" s="129" t="s">
        <v>19819</v>
      </c>
    </row>
    <row r="6105" spans="1:4">
      <c r="A6105" s="105">
        <v>87788</v>
      </c>
      <c r="B6105" s="104" t="s">
        <v>6025</v>
      </c>
      <c r="C6105" s="104" t="s">
        <v>12</v>
      </c>
      <c r="D6105" s="129" t="s">
        <v>19820</v>
      </c>
    </row>
    <row r="6106" spans="1:4">
      <c r="A6106" s="105">
        <v>87790</v>
      </c>
      <c r="B6106" s="104" t="s">
        <v>6026</v>
      </c>
      <c r="C6106" s="104" t="s">
        <v>12</v>
      </c>
      <c r="D6106" s="129" t="s">
        <v>19821</v>
      </c>
    </row>
    <row r="6107" spans="1:4">
      <c r="A6107" s="105">
        <v>87791</v>
      </c>
      <c r="B6107" s="104" t="s">
        <v>6027</v>
      </c>
      <c r="C6107" s="104" t="s">
        <v>12</v>
      </c>
      <c r="D6107" s="129" t="s">
        <v>19822</v>
      </c>
    </row>
    <row r="6108" spans="1:4">
      <c r="A6108" s="105">
        <v>87792</v>
      </c>
      <c r="B6108" s="104" t="s">
        <v>6028</v>
      </c>
      <c r="C6108" s="104" t="s">
        <v>12</v>
      </c>
      <c r="D6108" s="129" t="s">
        <v>19823</v>
      </c>
    </row>
    <row r="6109" spans="1:4">
      <c r="A6109" s="105">
        <v>87794</v>
      </c>
      <c r="B6109" s="104" t="s">
        <v>6029</v>
      </c>
      <c r="C6109" s="104" t="s">
        <v>12</v>
      </c>
      <c r="D6109" s="129" t="s">
        <v>19824</v>
      </c>
    </row>
    <row r="6110" spans="1:4">
      <c r="A6110" s="105">
        <v>87795</v>
      </c>
      <c r="B6110" s="104" t="s">
        <v>6030</v>
      </c>
      <c r="C6110" s="104" t="s">
        <v>12</v>
      </c>
      <c r="D6110" s="129" t="s">
        <v>19245</v>
      </c>
    </row>
    <row r="6111" spans="1:4">
      <c r="A6111" s="105">
        <v>87797</v>
      </c>
      <c r="B6111" s="104" t="s">
        <v>6031</v>
      </c>
      <c r="C6111" s="104" t="s">
        <v>12</v>
      </c>
      <c r="D6111" s="129" t="s">
        <v>19825</v>
      </c>
    </row>
    <row r="6112" spans="1:4">
      <c r="A6112" s="105">
        <v>87799</v>
      </c>
      <c r="B6112" s="104" t="s">
        <v>6032</v>
      </c>
      <c r="C6112" s="104" t="s">
        <v>12</v>
      </c>
      <c r="D6112" s="129" t="s">
        <v>17811</v>
      </c>
    </row>
    <row r="6113" spans="1:4">
      <c r="A6113" s="105">
        <v>87800</v>
      </c>
      <c r="B6113" s="104" t="s">
        <v>6033</v>
      </c>
      <c r="C6113" s="104" t="s">
        <v>12</v>
      </c>
      <c r="D6113" s="129" t="s">
        <v>19826</v>
      </c>
    </row>
    <row r="6114" spans="1:4">
      <c r="A6114" s="105">
        <v>87801</v>
      </c>
      <c r="B6114" s="104" t="s">
        <v>6034</v>
      </c>
      <c r="C6114" s="104" t="s">
        <v>12</v>
      </c>
      <c r="D6114" s="129" t="s">
        <v>19827</v>
      </c>
    </row>
    <row r="6115" spans="1:4">
      <c r="A6115" s="105">
        <v>87803</v>
      </c>
      <c r="B6115" s="104" t="s">
        <v>6035</v>
      </c>
      <c r="C6115" s="104" t="s">
        <v>12</v>
      </c>
      <c r="D6115" s="129" t="s">
        <v>16002</v>
      </c>
    </row>
    <row r="6116" spans="1:4">
      <c r="A6116" s="105">
        <v>87804</v>
      </c>
      <c r="B6116" s="104" t="s">
        <v>6036</v>
      </c>
      <c r="C6116" s="104" t="s">
        <v>12</v>
      </c>
      <c r="D6116" s="129" t="s">
        <v>19828</v>
      </c>
    </row>
    <row r="6117" spans="1:4">
      <c r="A6117" s="105">
        <v>87805</v>
      </c>
      <c r="B6117" s="104" t="s">
        <v>6037</v>
      </c>
      <c r="C6117" s="104" t="s">
        <v>12</v>
      </c>
      <c r="D6117" s="129" t="s">
        <v>19829</v>
      </c>
    </row>
    <row r="6118" spans="1:4">
      <c r="A6118" s="105">
        <v>87807</v>
      </c>
      <c r="B6118" s="104" t="s">
        <v>6038</v>
      </c>
      <c r="C6118" s="104" t="s">
        <v>12</v>
      </c>
      <c r="D6118" s="129" t="s">
        <v>19830</v>
      </c>
    </row>
    <row r="6119" spans="1:4">
      <c r="A6119" s="105">
        <v>87808</v>
      </c>
      <c r="B6119" s="104" t="s">
        <v>6039</v>
      </c>
      <c r="C6119" s="104" t="s">
        <v>12</v>
      </c>
      <c r="D6119" s="129" t="s">
        <v>15101</v>
      </c>
    </row>
    <row r="6120" spans="1:4">
      <c r="A6120" s="105">
        <v>87809</v>
      </c>
      <c r="B6120" s="104" t="s">
        <v>6040</v>
      </c>
      <c r="C6120" s="104" t="s">
        <v>12</v>
      </c>
      <c r="D6120" s="129" t="s">
        <v>19831</v>
      </c>
    </row>
    <row r="6121" spans="1:4">
      <c r="A6121" s="105">
        <v>87811</v>
      </c>
      <c r="B6121" s="104" t="s">
        <v>6041</v>
      </c>
      <c r="C6121" s="104" t="s">
        <v>12</v>
      </c>
      <c r="D6121" s="129" t="s">
        <v>19832</v>
      </c>
    </row>
    <row r="6122" spans="1:4">
      <c r="A6122" s="105">
        <v>87812</v>
      </c>
      <c r="B6122" s="104" t="s">
        <v>6042</v>
      </c>
      <c r="C6122" s="104" t="s">
        <v>12</v>
      </c>
      <c r="D6122" s="129" t="s">
        <v>19833</v>
      </c>
    </row>
    <row r="6123" spans="1:4">
      <c r="A6123" s="105">
        <v>87813</v>
      </c>
      <c r="B6123" s="104" t="s">
        <v>6043</v>
      </c>
      <c r="C6123" s="104" t="s">
        <v>12</v>
      </c>
      <c r="D6123" s="129" t="s">
        <v>19834</v>
      </c>
    </row>
    <row r="6124" spans="1:4">
      <c r="A6124" s="105">
        <v>87815</v>
      </c>
      <c r="B6124" s="104" t="s">
        <v>6044</v>
      </c>
      <c r="C6124" s="104" t="s">
        <v>12</v>
      </c>
      <c r="D6124" s="129" t="s">
        <v>19835</v>
      </c>
    </row>
    <row r="6125" spans="1:4">
      <c r="A6125" s="105">
        <v>87816</v>
      </c>
      <c r="B6125" s="104" t="s">
        <v>6045</v>
      </c>
      <c r="C6125" s="104" t="s">
        <v>12</v>
      </c>
      <c r="D6125" s="129" t="s">
        <v>19836</v>
      </c>
    </row>
    <row r="6126" spans="1:4">
      <c r="A6126" s="105">
        <v>87817</v>
      </c>
      <c r="B6126" s="104" t="s">
        <v>6046</v>
      </c>
      <c r="C6126" s="104" t="s">
        <v>12</v>
      </c>
      <c r="D6126" s="129" t="s">
        <v>19837</v>
      </c>
    </row>
    <row r="6127" spans="1:4">
      <c r="A6127" s="105">
        <v>87819</v>
      </c>
      <c r="B6127" s="104" t="s">
        <v>6047</v>
      </c>
      <c r="C6127" s="104" t="s">
        <v>12</v>
      </c>
      <c r="D6127" s="129" t="s">
        <v>19838</v>
      </c>
    </row>
    <row r="6128" spans="1:4">
      <c r="A6128" s="105">
        <v>87820</v>
      </c>
      <c r="B6128" s="104" t="s">
        <v>6048</v>
      </c>
      <c r="C6128" s="104" t="s">
        <v>12</v>
      </c>
      <c r="D6128" s="129" t="s">
        <v>19839</v>
      </c>
    </row>
    <row r="6129" spans="1:4">
      <c r="A6129" s="105">
        <v>87821</v>
      </c>
      <c r="B6129" s="104" t="s">
        <v>6049</v>
      </c>
      <c r="C6129" s="104" t="s">
        <v>12</v>
      </c>
      <c r="D6129" s="129" t="s">
        <v>19840</v>
      </c>
    </row>
    <row r="6130" spans="1:4">
      <c r="A6130" s="105">
        <v>87823</v>
      </c>
      <c r="B6130" s="104" t="s">
        <v>6050</v>
      </c>
      <c r="C6130" s="104" t="s">
        <v>12</v>
      </c>
      <c r="D6130" s="129" t="s">
        <v>19841</v>
      </c>
    </row>
    <row r="6131" spans="1:4">
      <c r="A6131" s="105">
        <v>87824</v>
      </c>
      <c r="B6131" s="104" t="s">
        <v>6051</v>
      </c>
      <c r="C6131" s="104" t="s">
        <v>12</v>
      </c>
      <c r="D6131" s="129" t="s">
        <v>17861</v>
      </c>
    </row>
    <row r="6132" spans="1:4">
      <c r="A6132" s="105">
        <v>87825</v>
      </c>
      <c r="B6132" s="104" t="s">
        <v>6052</v>
      </c>
      <c r="C6132" s="104" t="s">
        <v>12</v>
      </c>
      <c r="D6132" s="129" t="s">
        <v>19842</v>
      </c>
    </row>
    <row r="6133" spans="1:4">
      <c r="A6133" s="105">
        <v>87827</v>
      </c>
      <c r="B6133" s="104" t="s">
        <v>6053</v>
      </c>
      <c r="C6133" s="104" t="s">
        <v>12</v>
      </c>
      <c r="D6133" s="129" t="s">
        <v>19843</v>
      </c>
    </row>
    <row r="6134" spans="1:4">
      <c r="A6134" s="105">
        <v>87828</v>
      </c>
      <c r="B6134" s="104" t="s">
        <v>6054</v>
      </c>
      <c r="C6134" s="104" t="s">
        <v>12</v>
      </c>
      <c r="D6134" s="129" t="s">
        <v>19844</v>
      </c>
    </row>
    <row r="6135" spans="1:4">
      <c r="A6135" s="105">
        <v>87829</v>
      </c>
      <c r="B6135" s="104" t="s">
        <v>6055</v>
      </c>
      <c r="C6135" s="104" t="s">
        <v>12</v>
      </c>
      <c r="D6135" s="129" t="s">
        <v>17687</v>
      </c>
    </row>
    <row r="6136" spans="1:4">
      <c r="A6136" s="105">
        <v>87831</v>
      </c>
      <c r="B6136" s="104" t="s">
        <v>6056</v>
      </c>
      <c r="C6136" s="104" t="s">
        <v>12</v>
      </c>
      <c r="D6136" s="129" t="s">
        <v>19845</v>
      </c>
    </row>
    <row r="6137" spans="1:4">
      <c r="A6137" s="105">
        <v>87832</v>
      </c>
      <c r="B6137" s="104" t="s">
        <v>6057</v>
      </c>
      <c r="C6137" s="104" t="s">
        <v>12</v>
      </c>
      <c r="D6137" s="129" t="s">
        <v>19846</v>
      </c>
    </row>
    <row r="6138" spans="1:4">
      <c r="A6138" s="105">
        <v>87834</v>
      </c>
      <c r="B6138" s="104" t="s">
        <v>6058</v>
      </c>
      <c r="C6138" s="104" t="s">
        <v>12</v>
      </c>
      <c r="D6138" s="129" t="s">
        <v>19847</v>
      </c>
    </row>
    <row r="6139" spans="1:4">
      <c r="A6139" s="105">
        <v>87835</v>
      </c>
      <c r="B6139" s="104" t="s">
        <v>6059</v>
      </c>
      <c r="C6139" s="104" t="s">
        <v>12</v>
      </c>
      <c r="D6139" s="129" t="s">
        <v>19848</v>
      </c>
    </row>
    <row r="6140" spans="1:4">
      <c r="A6140" s="105">
        <v>87836</v>
      </c>
      <c r="B6140" s="104" t="s">
        <v>6060</v>
      </c>
      <c r="C6140" s="104" t="s">
        <v>12</v>
      </c>
      <c r="D6140" s="129" t="s">
        <v>19849</v>
      </c>
    </row>
    <row r="6141" spans="1:4">
      <c r="A6141" s="105">
        <v>87837</v>
      </c>
      <c r="B6141" s="104" t="s">
        <v>6061</v>
      </c>
      <c r="C6141" s="104" t="s">
        <v>12</v>
      </c>
      <c r="D6141" s="129" t="s">
        <v>19850</v>
      </c>
    </row>
    <row r="6142" spans="1:4">
      <c r="A6142" s="105">
        <v>87838</v>
      </c>
      <c r="B6142" s="104" t="s">
        <v>6062</v>
      </c>
      <c r="C6142" s="104" t="s">
        <v>12</v>
      </c>
      <c r="D6142" s="129" t="s">
        <v>19851</v>
      </c>
    </row>
    <row r="6143" spans="1:4">
      <c r="A6143" s="105">
        <v>87839</v>
      </c>
      <c r="B6143" s="104" t="s">
        <v>6063</v>
      </c>
      <c r="C6143" s="104" t="s">
        <v>12</v>
      </c>
      <c r="D6143" s="129" t="s">
        <v>19852</v>
      </c>
    </row>
    <row r="6144" spans="1:4">
      <c r="A6144" s="105">
        <v>87840</v>
      </c>
      <c r="B6144" s="104" t="s">
        <v>6064</v>
      </c>
      <c r="C6144" s="104" t="s">
        <v>12</v>
      </c>
      <c r="D6144" s="129" t="s">
        <v>19853</v>
      </c>
    </row>
    <row r="6145" spans="1:4">
      <c r="A6145" s="105">
        <v>87841</v>
      </c>
      <c r="B6145" s="104" t="s">
        <v>6065</v>
      </c>
      <c r="C6145" s="104" t="s">
        <v>12</v>
      </c>
      <c r="D6145" s="129" t="s">
        <v>19854</v>
      </c>
    </row>
    <row r="6146" spans="1:4">
      <c r="A6146" s="105">
        <v>87842</v>
      </c>
      <c r="B6146" s="104" t="s">
        <v>6066</v>
      </c>
      <c r="C6146" s="104" t="s">
        <v>12</v>
      </c>
      <c r="D6146" s="129" t="s">
        <v>19855</v>
      </c>
    </row>
    <row r="6147" spans="1:4">
      <c r="A6147" s="105">
        <v>87843</v>
      </c>
      <c r="B6147" s="104" t="s">
        <v>6067</v>
      </c>
      <c r="C6147" s="104" t="s">
        <v>12</v>
      </c>
      <c r="D6147" s="129" t="s">
        <v>19708</v>
      </c>
    </row>
    <row r="6148" spans="1:4">
      <c r="A6148" s="105">
        <v>87844</v>
      </c>
      <c r="B6148" s="104" t="s">
        <v>6068</v>
      </c>
      <c r="C6148" s="104" t="s">
        <v>12</v>
      </c>
      <c r="D6148" s="129" t="s">
        <v>19856</v>
      </c>
    </row>
    <row r="6149" spans="1:4">
      <c r="A6149" s="105">
        <v>87845</v>
      </c>
      <c r="B6149" s="104" t="s">
        <v>6069</v>
      </c>
      <c r="C6149" s="104" t="s">
        <v>12</v>
      </c>
      <c r="D6149" s="129" t="s">
        <v>19857</v>
      </c>
    </row>
    <row r="6150" spans="1:4">
      <c r="A6150" s="105">
        <v>87846</v>
      </c>
      <c r="B6150" s="104" t="s">
        <v>6070</v>
      </c>
      <c r="C6150" s="104" t="s">
        <v>12</v>
      </c>
      <c r="D6150" s="129" t="s">
        <v>19858</v>
      </c>
    </row>
    <row r="6151" spans="1:4">
      <c r="A6151" s="105">
        <v>87847</v>
      </c>
      <c r="B6151" s="104" t="s">
        <v>6071</v>
      </c>
      <c r="C6151" s="104" t="s">
        <v>12</v>
      </c>
      <c r="D6151" s="129" t="s">
        <v>19859</v>
      </c>
    </row>
    <row r="6152" spans="1:4">
      <c r="A6152" s="105">
        <v>87848</v>
      </c>
      <c r="B6152" s="104" t="s">
        <v>6072</v>
      </c>
      <c r="C6152" s="104" t="s">
        <v>12</v>
      </c>
      <c r="D6152" s="129" t="s">
        <v>19860</v>
      </c>
    </row>
    <row r="6153" spans="1:4">
      <c r="A6153" s="105">
        <v>87849</v>
      </c>
      <c r="B6153" s="104" t="s">
        <v>6073</v>
      </c>
      <c r="C6153" s="104" t="s">
        <v>12</v>
      </c>
      <c r="D6153" s="129" t="s">
        <v>19861</v>
      </c>
    </row>
    <row r="6154" spans="1:4">
      <c r="A6154" s="105">
        <v>87850</v>
      </c>
      <c r="B6154" s="104" t="s">
        <v>6074</v>
      </c>
      <c r="C6154" s="104" t="s">
        <v>12</v>
      </c>
      <c r="D6154" s="129" t="s">
        <v>19862</v>
      </c>
    </row>
    <row r="6155" spans="1:4">
      <c r="A6155" s="105">
        <v>87851</v>
      </c>
      <c r="B6155" s="104" t="s">
        <v>6075</v>
      </c>
      <c r="C6155" s="104" t="s">
        <v>12</v>
      </c>
      <c r="D6155" s="129" t="s">
        <v>19863</v>
      </c>
    </row>
    <row r="6156" spans="1:4">
      <c r="A6156" s="105">
        <v>87852</v>
      </c>
      <c r="B6156" s="104" t="s">
        <v>6076</v>
      </c>
      <c r="C6156" s="104" t="s">
        <v>12</v>
      </c>
      <c r="D6156" s="129" t="s">
        <v>19864</v>
      </c>
    </row>
    <row r="6157" spans="1:4">
      <c r="A6157" s="105">
        <v>87853</v>
      </c>
      <c r="B6157" s="104" t="s">
        <v>6077</v>
      </c>
      <c r="C6157" s="104" t="s">
        <v>12</v>
      </c>
      <c r="D6157" s="129" t="s">
        <v>19865</v>
      </c>
    </row>
    <row r="6158" spans="1:4">
      <c r="A6158" s="105">
        <v>87854</v>
      </c>
      <c r="B6158" s="104" t="s">
        <v>6078</v>
      </c>
      <c r="C6158" s="104" t="s">
        <v>12</v>
      </c>
      <c r="D6158" s="129" t="s">
        <v>19866</v>
      </c>
    </row>
    <row r="6159" spans="1:4">
      <c r="A6159" s="105">
        <v>87855</v>
      </c>
      <c r="B6159" s="104" t="s">
        <v>6079</v>
      </c>
      <c r="C6159" s="104" t="s">
        <v>12</v>
      </c>
      <c r="D6159" s="129" t="s">
        <v>19867</v>
      </c>
    </row>
    <row r="6160" spans="1:4">
      <c r="A6160" s="105">
        <v>87856</v>
      </c>
      <c r="B6160" s="104" t="s">
        <v>6080</v>
      </c>
      <c r="C6160" s="104" t="s">
        <v>12</v>
      </c>
      <c r="D6160" s="129" t="s">
        <v>19868</v>
      </c>
    </row>
    <row r="6161" spans="1:4">
      <c r="A6161" s="105">
        <v>87857</v>
      </c>
      <c r="B6161" s="104" t="s">
        <v>6081</v>
      </c>
      <c r="C6161" s="104" t="s">
        <v>12</v>
      </c>
      <c r="D6161" s="129" t="s">
        <v>19869</v>
      </c>
    </row>
    <row r="6162" spans="1:4">
      <c r="A6162" s="105">
        <v>87858</v>
      </c>
      <c r="B6162" s="104" t="s">
        <v>6082</v>
      </c>
      <c r="C6162" s="104" t="s">
        <v>12</v>
      </c>
      <c r="D6162" s="129" t="s">
        <v>19870</v>
      </c>
    </row>
    <row r="6163" spans="1:4">
      <c r="A6163" s="105">
        <v>87859</v>
      </c>
      <c r="B6163" s="104" t="s">
        <v>6083</v>
      </c>
      <c r="C6163" s="104" t="s">
        <v>12</v>
      </c>
      <c r="D6163" s="129" t="s">
        <v>19871</v>
      </c>
    </row>
    <row r="6164" spans="1:4">
      <c r="A6164" s="105">
        <v>89048</v>
      </c>
      <c r="B6164" s="104" t="s">
        <v>6084</v>
      </c>
      <c r="C6164" s="104" t="s">
        <v>12</v>
      </c>
      <c r="D6164" s="129" t="s">
        <v>19872</v>
      </c>
    </row>
    <row r="6165" spans="1:4">
      <c r="A6165" s="105">
        <v>89049</v>
      </c>
      <c r="B6165" s="104" t="s">
        <v>6085</v>
      </c>
      <c r="C6165" s="104" t="s">
        <v>12</v>
      </c>
      <c r="D6165" s="129" t="s">
        <v>19873</v>
      </c>
    </row>
    <row r="6166" spans="1:4">
      <c r="A6166" s="105">
        <v>89173</v>
      </c>
      <c r="B6166" s="104" t="s">
        <v>6086</v>
      </c>
      <c r="C6166" s="104" t="s">
        <v>12</v>
      </c>
      <c r="D6166" s="129" t="s">
        <v>18730</v>
      </c>
    </row>
    <row r="6167" spans="1:4">
      <c r="A6167" s="105">
        <v>90406</v>
      </c>
      <c r="B6167" s="104" t="s">
        <v>6087</v>
      </c>
      <c r="C6167" s="104" t="s">
        <v>12</v>
      </c>
      <c r="D6167" s="129" t="s">
        <v>19746</v>
      </c>
    </row>
    <row r="6168" spans="1:4">
      <c r="A6168" s="105">
        <v>90407</v>
      </c>
      <c r="B6168" s="104" t="s">
        <v>6088</v>
      </c>
      <c r="C6168" s="104" t="s">
        <v>12</v>
      </c>
      <c r="D6168" s="129" t="s">
        <v>18627</v>
      </c>
    </row>
    <row r="6169" spans="1:4">
      <c r="A6169" s="105">
        <v>90408</v>
      </c>
      <c r="B6169" s="104" t="s">
        <v>6089</v>
      </c>
      <c r="C6169" s="104" t="s">
        <v>12</v>
      </c>
      <c r="D6169" s="129" t="s">
        <v>19482</v>
      </c>
    </row>
    <row r="6170" spans="1:4">
      <c r="A6170" s="105">
        <v>90409</v>
      </c>
      <c r="B6170" s="104" t="s">
        <v>6090</v>
      </c>
      <c r="C6170" s="104" t="s">
        <v>12</v>
      </c>
      <c r="D6170" s="129" t="s">
        <v>19874</v>
      </c>
    </row>
    <row r="6171" spans="1:4">
      <c r="A6171" s="105">
        <v>87242</v>
      </c>
      <c r="B6171" s="104" t="s">
        <v>6091</v>
      </c>
      <c r="C6171" s="104" t="s">
        <v>12</v>
      </c>
      <c r="D6171" s="129" t="s">
        <v>19875</v>
      </c>
    </row>
    <row r="6172" spans="1:4">
      <c r="A6172" s="105">
        <v>87243</v>
      </c>
      <c r="B6172" s="104" t="s">
        <v>6092</v>
      </c>
      <c r="C6172" s="104" t="s">
        <v>12</v>
      </c>
      <c r="D6172" s="129" t="s">
        <v>19876</v>
      </c>
    </row>
    <row r="6173" spans="1:4">
      <c r="A6173" s="105">
        <v>87244</v>
      </c>
      <c r="B6173" s="104" t="s">
        <v>6093</v>
      </c>
      <c r="C6173" s="104" t="s">
        <v>12</v>
      </c>
      <c r="D6173" s="129" t="s">
        <v>19877</v>
      </c>
    </row>
    <row r="6174" spans="1:4">
      <c r="A6174" s="105">
        <v>87245</v>
      </c>
      <c r="B6174" s="104" t="s">
        <v>73</v>
      </c>
      <c r="C6174" s="104" t="s">
        <v>12</v>
      </c>
      <c r="D6174" s="129" t="s">
        <v>19878</v>
      </c>
    </row>
    <row r="6175" spans="1:4">
      <c r="A6175" s="105">
        <v>87264</v>
      </c>
      <c r="B6175" s="104" t="s">
        <v>6094</v>
      </c>
      <c r="C6175" s="104" t="s">
        <v>12</v>
      </c>
      <c r="D6175" s="129" t="s">
        <v>19879</v>
      </c>
    </row>
    <row r="6176" spans="1:4">
      <c r="A6176" s="105">
        <v>87265</v>
      </c>
      <c r="B6176" s="104" t="s">
        <v>6095</v>
      </c>
      <c r="C6176" s="104" t="s">
        <v>12</v>
      </c>
      <c r="D6176" s="129" t="s">
        <v>19880</v>
      </c>
    </row>
    <row r="6177" spans="1:4">
      <c r="A6177" s="105">
        <v>87266</v>
      </c>
      <c r="B6177" s="104" t="s">
        <v>6096</v>
      </c>
      <c r="C6177" s="104" t="s">
        <v>12</v>
      </c>
      <c r="D6177" s="129" t="s">
        <v>19881</v>
      </c>
    </row>
    <row r="6178" spans="1:4">
      <c r="A6178" s="105">
        <v>87267</v>
      </c>
      <c r="B6178" s="104" t="s">
        <v>6097</v>
      </c>
      <c r="C6178" s="104" t="s">
        <v>12</v>
      </c>
      <c r="D6178" s="129" t="s">
        <v>17783</v>
      </c>
    </row>
    <row r="6179" spans="1:4">
      <c r="A6179" s="105">
        <v>87268</v>
      </c>
      <c r="B6179" s="104" t="s">
        <v>6098</v>
      </c>
      <c r="C6179" s="104" t="s">
        <v>12</v>
      </c>
      <c r="D6179" s="129" t="s">
        <v>19882</v>
      </c>
    </row>
    <row r="6180" spans="1:4">
      <c r="A6180" s="105">
        <v>87269</v>
      </c>
      <c r="B6180" s="104" t="s">
        <v>6099</v>
      </c>
      <c r="C6180" s="104" t="s">
        <v>12</v>
      </c>
      <c r="D6180" s="129" t="s">
        <v>19883</v>
      </c>
    </row>
    <row r="6181" spans="1:4">
      <c r="A6181" s="105">
        <v>87270</v>
      </c>
      <c r="B6181" s="104" t="s">
        <v>6100</v>
      </c>
      <c r="C6181" s="104" t="s">
        <v>12</v>
      </c>
      <c r="D6181" s="129" t="s">
        <v>19884</v>
      </c>
    </row>
    <row r="6182" spans="1:4">
      <c r="A6182" s="105">
        <v>87271</v>
      </c>
      <c r="B6182" s="104" t="s">
        <v>6101</v>
      </c>
      <c r="C6182" s="104" t="s">
        <v>12</v>
      </c>
      <c r="D6182" s="129" t="s">
        <v>17452</v>
      </c>
    </row>
    <row r="6183" spans="1:4">
      <c r="A6183" s="105">
        <v>87272</v>
      </c>
      <c r="B6183" s="104" t="s">
        <v>6102</v>
      </c>
      <c r="C6183" s="104" t="s">
        <v>12</v>
      </c>
      <c r="D6183" s="129" t="s">
        <v>16309</v>
      </c>
    </row>
    <row r="6184" spans="1:4">
      <c r="A6184" s="105">
        <v>87273</v>
      </c>
      <c r="B6184" s="104" t="s">
        <v>6103</v>
      </c>
      <c r="C6184" s="104" t="s">
        <v>12</v>
      </c>
      <c r="D6184" s="129" t="s">
        <v>19885</v>
      </c>
    </row>
    <row r="6185" spans="1:4">
      <c r="A6185" s="105">
        <v>87274</v>
      </c>
      <c r="B6185" s="104" t="s">
        <v>6104</v>
      </c>
      <c r="C6185" s="104" t="s">
        <v>12</v>
      </c>
      <c r="D6185" s="129" t="s">
        <v>19886</v>
      </c>
    </row>
    <row r="6186" spans="1:4">
      <c r="A6186" s="105">
        <v>87275</v>
      </c>
      <c r="B6186" s="104" t="s">
        <v>6105</v>
      </c>
      <c r="C6186" s="104" t="s">
        <v>12</v>
      </c>
      <c r="D6186" s="129" t="s">
        <v>19887</v>
      </c>
    </row>
    <row r="6187" spans="1:4">
      <c r="A6187" s="105">
        <v>88786</v>
      </c>
      <c r="B6187" s="104" t="s">
        <v>6106</v>
      </c>
      <c r="C6187" s="104" t="s">
        <v>12</v>
      </c>
      <c r="D6187" s="129" t="s">
        <v>19888</v>
      </c>
    </row>
    <row r="6188" spans="1:4">
      <c r="A6188" s="105">
        <v>88787</v>
      </c>
      <c r="B6188" s="104" t="s">
        <v>6107</v>
      </c>
      <c r="C6188" s="104" t="s">
        <v>12</v>
      </c>
      <c r="D6188" s="129" t="s">
        <v>19889</v>
      </c>
    </row>
    <row r="6189" spans="1:4">
      <c r="A6189" s="105">
        <v>88788</v>
      </c>
      <c r="B6189" s="104" t="s">
        <v>6108</v>
      </c>
      <c r="C6189" s="104" t="s">
        <v>12</v>
      </c>
      <c r="D6189" s="129" t="s">
        <v>19890</v>
      </c>
    </row>
    <row r="6190" spans="1:4">
      <c r="A6190" s="105">
        <v>88789</v>
      </c>
      <c r="B6190" s="104" t="s">
        <v>6109</v>
      </c>
      <c r="C6190" s="104" t="s">
        <v>12</v>
      </c>
      <c r="D6190" s="129" t="s">
        <v>19891</v>
      </c>
    </row>
    <row r="6191" spans="1:4">
      <c r="A6191" s="105">
        <v>89045</v>
      </c>
      <c r="B6191" s="104" t="s">
        <v>6110</v>
      </c>
      <c r="C6191" s="104" t="s">
        <v>12</v>
      </c>
      <c r="D6191" s="129" t="s">
        <v>19892</v>
      </c>
    </row>
    <row r="6192" spans="1:4">
      <c r="A6192" s="105">
        <v>89170</v>
      </c>
      <c r="B6192" s="104" t="s">
        <v>12965</v>
      </c>
      <c r="C6192" s="104" t="s">
        <v>12</v>
      </c>
      <c r="D6192" s="129" t="s">
        <v>19893</v>
      </c>
    </row>
    <row r="6193" spans="1:4">
      <c r="A6193" s="105">
        <v>93392</v>
      </c>
      <c r="B6193" s="104" t="s">
        <v>6111</v>
      </c>
      <c r="C6193" s="104" t="s">
        <v>12</v>
      </c>
      <c r="D6193" s="129" t="s">
        <v>19894</v>
      </c>
    </row>
    <row r="6194" spans="1:4">
      <c r="A6194" s="105">
        <v>93393</v>
      </c>
      <c r="B6194" s="104" t="s">
        <v>6112</v>
      </c>
      <c r="C6194" s="104" t="s">
        <v>12</v>
      </c>
      <c r="D6194" s="129" t="s">
        <v>17499</v>
      </c>
    </row>
    <row r="6195" spans="1:4">
      <c r="A6195" s="105">
        <v>93394</v>
      </c>
      <c r="B6195" s="104" t="s">
        <v>6113</v>
      </c>
      <c r="C6195" s="104" t="s">
        <v>12</v>
      </c>
      <c r="D6195" s="129" t="s">
        <v>19895</v>
      </c>
    </row>
    <row r="6196" spans="1:4">
      <c r="A6196" s="105">
        <v>93395</v>
      </c>
      <c r="B6196" s="104" t="s">
        <v>6114</v>
      </c>
      <c r="C6196" s="104" t="s">
        <v>12</v>
      </c>
      <c r="D6196" s="129" t="s">
        <v>19896</v>
      </c>
    </row>
    <row r="6197" spans="1:4">
      <c r="A6197" s="105">
        <v>99194</v>
      </c>
      <c r="B6197" s="104" t="s">
        <v>6115</v>
      </c>
      <c r="C6197" s="104" t="s">
        <v>12</v>
      </c>
      <c r="D6197" s="129" t="s">
        <v>19897</v>
      </c>
    </row>
    <row r="6198" spans="1:4">
      <c r="A6198" s="105">
        <v>99195</v>
      </c>
      <c r="B6198" s="104" t="s">
        <v>6116</v>
      </c>
      <c r="C6198" s="104" t="s">
        <v>12</v>
      </c>
      <c r="D6198" s="129" t="s">
        <v>19898</v>
      </c>
    </row>
    <row r="6199" spans="1:4">
      <c r="A6199" s="105">
        <v>99196</v>
      </c>
      <c r="B6199" s="104" t="s">
        <v>6117</v>
      </c>
      <c r="C6199" s="104" t="s">
        <v>12</v>
      </c>
      <c r="D6199" s="129" t="s">
        <v>19899</v>
      </c>
    </row>
    <row r="6200" spans="1:4">
      <c r="A6200" s="105">
        <v>99198</v>
      </c>
      <c r="B6200" s="104" t="s">
        <v>6118</v>
      </c>
      <c r="C6200" s="104" t="s">
        <v>12</v>
      </c>
      <c r="D6200" s="129" t="s">
        <v>17470</v>
      </c>
    </row>
    <row r="6201" spans="1:4">
      <c r="A6201" s="105">
        <v>101965</v>
      </c>
      <c r="B6201" s="104" t="s">
        <v>6119</v>
      </c>
      <c r="C6201" s="104" t="s">
        <v>40</v>
      </c>
      <c r="D6201" s="129" t="s">
        <v>19900</v>
      </c>
    </row>
    <row r="6202" spans="1:4">
      <c r="A6202" s="105">
        <v>101966</v>
      </c>
      <c r="B6202" s="104" t="s">
        <v>6120</v>
      </c>
      <c r="C6202" s="104" t="s">
        <v>40</v>
      </c>
      <c r="D6202" s="129" t="s">
        <v>19901</v>
      </c>
    </row>
    <row r="6203" spans="1:4">
      <c r="A6203" s="105">
        <v>101979</v>
      </c>
      <c r="B6203" s="104" t="s">
        <v>6121</v>
      </c>
      <c r="C6203" s="104" t="s">
        <v>40</v>
      </c>
      <c r="D6203" s="129" t="s">
        <v>14951</v>
      </c>
    </row>
    <row r="6204" spans="1:4">
      <c r="A6204" s="105">
        <v>96112</v>
      </c>
      <c r="B6204" s="104" t="s">
        <v>6122</v>
      </c>
      <c r="C6204" s="104" t="s">
        <v>12</v>
      </c>
      <c r="D6204" s="129" t="s">
        <v>19902</v>
      </c>
    </row>
    <row r="6205" spans="1:4">
      <c r="A6205" s="105">
        <v>96117</v>
      </c>
      <c r="B6205" s="104" t="s">
        <v>6123</v>
      </c>
      <c r="C6205" s="104" t="s">
        <v>12</v>
      </c>
      <c r="D6205" s="129" t="s">
        <v>19903</v>
      </c>
    </row>
    <row r="6206" spans="1:4">
      <c r="A6206" s="105">
        <v>96122</v>
      </c>
      <c r="B6206" s="104" t="s">
        <v>6124</v>
      </c>
      <c r="C6206" s="104" t="s">
        <v>40</v>
      </c>
      <c r="D6206" s="129" t="s">
        <v>19904</v>
      </c>
    </row>
    <row r="6207" spans="1:4">
      <c r="A6207" s="105">
        <v>96109</v>
      </c>
      <c r="B6207" s="104" t="s">
        <v>6125</v>
      </c>
      <c r="C6207" s="104" t="s">
        <v>12</v>
      </c>
      <c r="D6207" s="129" t="s">
        <v>16404</v>
      </c>
    </row>
    <row r="6208" spans="1:4">
      <c r="A6208" s="105">
        <v>96110</v>
      </c>
      <c r="B6208" s="104" t="s">
        <v>6126</v>
      </c>
      <c r="C6208" s="104" t="s">
        <v>12</v>
      </c>
      <c r="D6208" s="129" t="s">
        <v>19905</v>
      </c>
    </row>
    <row r="6209" spans="1:4">
      <c r="A6209" s="105">
        <v>96113</v>
      </c>
      <c r="B6209" s="104" t="s">
        <v>417</v>
      </c>
      <c r="C6209" s="104" t="s">
        <v>12</v>
      </c>
      <c r="D6209" s="129" t="s">
        <v>15263</v>
      </c>
    </row>
    <row r="6210" spans="1:4">
      <c r="A6210" s="105">
        <v>96114</v>
      </c>
      <c r="B6210" s="104" t="s">
        <v>6127</v>
      </c>
      <c r="C6210" s="104" t="s">
        <v>12</v>
      </c>
      <c r="D6210" s="129" t="s">
        <v>19906</v>
      </c>
    </row>
    <row r="6211" spans="1:4">
      <c r="A6211" s="105">
        <v>96120</v>
      </c>
      <c r="B6211" s="104" t="s">
        <v>6128</v>
      </c>
      <c r="C6211" s="104" t="s">
        <v>40</v>
      </c>
      <c r="D6211" s="129" t="s">
        <v>19907</v>
      </c>
    </row>
    <row r="6212" spans="1:4">
      <c r="A6212" s="105">
        <v>96123</v>
      </c>
      <c r="B6212" s="104" t="s">
        <v>6129</v>
      </c>
      <c r="C6212" s="104" t="s">
        <v>40</v>
      </c>
      <c r="D6212" s="129" t="s">
        <v>19908</v>
      </c>
    </row>
    <row r="6213" spans="1:4">
      <c r="A6213" s="105">
        <v>99054</v>
      </c>
      <c r="B6213" s="104" t="s">
        <v>6130</v>
      </c>
      <c r="C6213" s="104" t="s">
        <v>12</v>
      </c>
      <c r="D6213" s="129" t="s">
        <v>19909</v>
      </c>
    </row>
    <row r="6214" spans="1:4">
      <c r="A6214" s="105">
        <v>96111</v>
      </c>
      <c r="B6214" s="104" t="s">
        <v>6131</v>
      </c>
      <c r="C6214" s="104" t="s">
        <v>12</v>
      </c>
      <c r="D6214" s="129" t="s">
        <v>19910</v>
      </c>
    </row>
    <row r="6215" spans="1:4">
      <c r="A6215" s="105">
        <v>96116</v>
      </c>
      <c r="B6215" s="104" t="s">
        <v>6132</v>
      </c>
      <c r="C6215" s="104" t="s">
        <v>12</v>
      </c>
      <c r="D6215" s="129" t="s">
        <v>19911</v>
      </c>
    </row>
    <row r="6216" spans="1:4">
      <c r="A6216" s="105">
        <v>96121</v>
      </c>
      <c r="B6216" s="104" t="s">
        <v>6133</v>
      </c>
      <c r="C6216" s="104" t="s">
        <v>40</v>
      </c>
      <c r="D6216" s="129" t="s">
        <v>19912</v>
      </c>
    </row>
    <row r="6217" spans="1:4">
      <c r="A6217" s="105">
        <v>96485</v>
      </c>
      <c r="B6217" s="104" t="s">
        <v>6134</v>
      </c>
      <c r="C6217" s="104" t="s">
        <v>12</v>
      </c>
      <c r="D6217" s="129" t="s">
        <v>19913</v>
      </c>
    </row>
    <row r="6218" spans="1:4">
      <c r="A6218" s="105">
        <v>96486</v>
      </c>
      <c r="B6218" s="104" t="s">
        <v>6135</v>
      </c>
      <c r="C6218" s="104" t="s">
        <v>12</v>
      </c>
      <c r="D6218" s="129" t="s">
        <v>19914</v>
      </c>
    </row>
    <row r="6219" spans="1:4">
      <c r="A6219" s="105">
        <v>91514</v>
      </c>
      <c r="B6219" s="104" t="s">
        <v>6136</v>
      </c>
      <c r="C6219" s="104" t="s">
        <v>12</v>
      </c>
      <c r="D6219" s="129" t="s">
        <v>15609</v>
      </c>
    </row>
    <row r="6220" spans="1:4">
      <c r="A6220" s="105">
        <v>91515</v>
      </c>
      <c r="B6220" s="104" t="s">
        <v>6137</v>
      </c>
      <c r="C6220" s="104" t="s">
        <v>12</v>
      </c>
      <c r="D6220" s="129" t="s">
        <v>18872</v>
      </c>
    </row>
    <row r="6221" spans="1:4">
      <c r="A6221" s="105">
        <v>91516</v>
      </c>
      <c r="B6221" s="104" t="s">
        <v>6138</v>
      </c>
      <c r="C6221" s="104" t="s">
        <v>12</v>
      </c>
      <c r="D6221" s="129" t="s">
        <v>15740</v>
      </c>
    </row>
    <row r="6222" spans="1:4">
      <c r="A6222" s="105">
        <v>91517</v>
      </c>
      <c r="B6222" s="104" t="s">
        <v>6139</v>
      </c>
      <c r="C6222" s="104" t="s">
        <v>12</v>
      </c>
      <c r="D6222" s="129" t="s">
        <v>16323</v>
      </c>
    </row>
    <row r="6223" spans="1:4">
      <c r="A6223" s="105">
        <v>91519</v>
      </c>
      <c r="B6223" s="104" t="s">
        <v>6140</v>
      </c>
      <c r="C6223" s="104" t="s">
        <v>12</v>
      </c>
      <c r="D6223" s="129" t="s">
        <v>19915</v>
      </c>
    </row>
    <row r="6224" spans="1:4">
      <c r="A6224" s="105">
        <v>91520</v>
      </c>
      <c r="B6224" s="104" t="s">
        <v>6141</v>
      </c>
      <c r="C6224" s="104" t="s">
        <v>12</v>
      </c>
      <c r="D6224" s="129" t="s">
        <v>19916</v>
      </c>
    </row>
    <row r="6225" spans="1:4">
      <c r="A6225" s="105">
        <v>91522</v>
      </c>
      <c r="B6225" s="104" t="s">
        <v>6142</v>
      </c>
      <c r="C6225" s="104" t="s">
        <v>12</v>
      </c>
      <c r="D6225" s="129" t="s">
        <v>19917</v>
      </c>
    </row>
    <row r="6226" spans="1:4">
      <c r="A6226" s="105">
        <v>91525</v>
      </c>
      <c r="B6226" s="104" t="s">
        <v>6143</v>
      </c>
      <c r="C6226" s="104" t="s">
        <v>12</v>
      </c>
      <c r="D6226" s="129" t="s">
        <v>15311</v>
      </c>
    </row>
    <row r="6227" spans="1:4">
      <c r="A6227" s="105">
        <v>87280</v>
      </c>
      <c r="B6227" s="104" t="s">
        <v>6144</v>
      </c>
      <c r="C6227" s="104" t="s">
        <v>28</v>
      </c>
      <c r="D6227" s="129" t="s">
        <v>19918</v>
      </c>
    </row>
    <row r="6228" spans="1:4">
      <c r="A6228" s="105">
        <v>87281</v>
      </c>
      <c r="B6228" s="104" t="s">
        <v>6145</v>
      </c>
      <c r="C6228" s="104" t="s">
        <v>28</v>
      </c>
      <c r="D6228" s="129" t="s">
        <v>19919</v>
      </c>
    </row>
    <row r="6229" spans="1:4">
      <c r="A6229" s="105">
        <v>87283</v>
      </c>
      <c r="B6229" s="104" t="s">
        <v>6146</v>
      </c>
      <c r="C6229" s="104" t="s">
        <v>28</v>
      </c>
      <c r="D6229" s="129" t="s">
        <v>19920</v>
      </c>
    </row>
    <row r="6230" spans="1:4">
      <c r="A6230" s="105">
        <v>87284</v>
      </c>
      <c r="B6230" s="104" t="s">
        <v>6147</v>
      </c>
      <c r="C6230" s="104" t="s">
        <v>28</v>
      </c>
      <c r="D6230" s="129" t="s">
        <v>19921</v>
      </c>
    </row>
    <row r="6231" spans="1:4">
      <c r="A6231" s="105">
        <v>87286</v>
      </c>
      <c r="B6231" s="104" t="s">
        <v>6148</v>
      </c>
      <c r="C6231" s="104" t="s">
        <v>28</v>
      </c>
      <c r="D6231" s="129" t="s">
        <v>19922</v>
      </c>
    </row>
    <row r="6232" spans="1:4">
      <c r="A6232" s="105">
        <v>87287</v>
      </c>
      <c r="B6232" s="104" t="s">
        <v>6149</v>
      </c>
      <c r="C6232" s="104" t="s">
        <v>28</v>
      </c>
      <c r="D6232" s="129" t="s">
        <v>19923</v>
      </c>
    </row>
    <row r="6233" spans="1:4">
      <c r="A6233" s="105">
        <v>87289</v>
      </c>
      <c r="B6233" s="104" t="s">
        <v>6150</v>
      </c>
      <c r="C6233" s="104" t="s">
        <v>28</v>
      </c>
      <c r="D6233" s="129" t="s">
        <v>19924</v>
      </c>
    </row>
    <row r="6234" spans="1:4">
      <c r="A6234" s="105">
        <v>87290</v>
      </c>
      <c r="B6234" s="104" t="s">
        <v>6151</v>
      </c>
      <c r="C6234" s="104" t="s">
        <v>28</v>
      </c>
      <c r="D6234" s="129" t="s">
        <v>19925</v>
      </c>
    </row>
    <row r="6235" spans="1:4">
      <c r="A6235" s="105">
        <v>87292</v>
      </c>
      <c r="B6235" s="104" t="s">
        <v>6152</v>
      </c>
      <c r="C6235" s="104" t="s">
        <v>28</v>
      </c>
      <c r="D6235" s="129" t="s">
        <v>19926</v>
      </c>
    </row>
    <row r="6236" spans="1:4">
      <c r="A6236" s="105">
        <v>87294</v>
      </c>
      <c r="B6236" s="104" t="s">
        <v>6153</v>
      </c>
      <c r="C6236" s="104" t="s">
        <v>28</v>
      </c>
      <c r="D6236" s="129" t="s">
        <v>16988</v>
      </c>
    </row>
    <row r="6237" spans="1:4">
      <c r="A6237" s="105">
        <v>87295</v>
      </c>
      <c r="B6237" s="104" t="s">
        <v>6154</v>
      </c>
      <c r="C6237" s="104" t="s">
        <v>28</v>
      </c>
      <c r="D6237" s="129" t="s">
        <v>19927</v>
      </c>
    </row>
    <row r="6238" spans="1:4">
      <c r="A6238" s="105">
        <v>87296</v>
      </c>
      <c r="B6238" s="104" t="s">
        <v>6155</v>
      </c>
      <c r="C6238" s="104" t="s">
        <v>28</v>
      </c>
      <c r="D6238" s="129" t="s">
        <v>19928</v>
      </c>
    </row>
    <row r="6239" spans="1:4">
      <c r="A6239" s="105">
        <v>87298</v>
      </c>
      <c r="B6239" s="104" t="s">
        <v>6156</v>
      </c>
      <c r="C6239" s="104" t="s">
        <v>28</v>
      </c>
      <c r="D6239" s="129" t="s">
        <v>19929</v>
      </c>
    </row>
    <row r="6240" spans="1:4">
      <c r="A6240" s="105">
        <v>87299</v>
      </c>
      <c r="B6240" s="104" t="s">
        <v>6157</v>
      </c>
      <c r="C6240" s="104" t="s">
        <v>28</v>
      </c>
      <c r="D6240" s="129" t="s">
        <v>19930</v>
      </c>
    </row>
    <row r="6241" spans="1:4">
      <c r="A6241" s="105">
        <v>87301</v>
      </c>
      <c r="B6241" s="104" t="s">
        <v>6158</v>
      </c>
      <c r="C6241" s="104" t="s">
        <v>28</v>
      </c>
      <c r="D6241" s="129" t="s">
        <v>19931</v>
      </c>
    </row>
    <row r="6242" spans="1:4">
      <c r="A6242" s="105">
        <v>87302</v>
      </c>
      <c r="B6242" s="104" t="s">
        <v>6159</v>
      </c>
      <c r="C6242" s="104" t="s">
        <v>28</v>
      </c>
      <c r="D6242" s="129" t="s">
        <v>19932</v>
      </c>
    </row>
    <row r="6243" spans="1:4">
      <c r="A6243" s="105">
        <v>87304</v>
      </c>
      <c r="B6243" s="104" t="s">
        <v>6160</v>
      </c>
      <c r="C6243" s="104" t="s">
        <v>28</v>
      </c>
      <c r="D6243" s="129" t="s">
        <v>19933</v>
      </c>
    </row>
    <row r="6244" spans="1:4">
      <c r="A6244" s="105">
        <v>87305</v>
      </c>
      <c r="B6244" s="104" t="s">
        <v>6161</v>
      </c>
      <c r="C6244" s="104" t="s">
        <v>28</v>
      </c>
      <c r="D6244" s="129" t="s">
        <v>19934</v>
      </c>
    </row>
    <row r="6245" spans="1:4">
      <c r="A6245" s="105">
        <v>87307</v>
      </c>
      <c r="B6245" s="104" t="s">
        <v>6162</v>
      </c>
      <c r="C6245" s="104" t="s">
        <v>28</v>
      </c>
      <c r="D6245" s="129" t="s">
        <v>19935</v>
      </c>
    </row>
    <row r="6246" spans="1:4">
      <c r="A6246" s="105">
        <v>87308</v>
      </c>
      <c r="B6246" s="104" t="s">
        <v>6163</v>
      </c>
      <c r="C6246" s="104" t="s">
        <v>28</v>
      </c>
      <c r="D6246" s="129" t="s">
        <v>19936</v>
      </c>
    </row>
    <row r="6247" spans="1:4">
      <c r="A6247" s="105">
        <v>87310</v>
      </c>
      <c r="B6247" s="104" t="s">
        <v>6164</v>
      </c>
      <c r="C6247" s="104" t="s">
        <v>28</v>
      </c>
      <c r="D6247" s="129" t="s">
        <v>19937</v>
      </c>
    </row>
    <row r="6248" spans="1:4">
      <c r="A6248" s="105">
        <v>87311</v>
      </c>
      <c r="B6248" s="104" t="s">
        <v>6165</v>
      </c>
      <c r="C6248" s="104" t="s">
        <v>28</v>
      </c>
      <c r="D6248" s="129" t="s">
        <v>19938</v>
      </c>
    </row>
    <row r="6249" spans="1:4">
      <c r="A6249" s="105">
        <v>87313</v>
      </c>
      <c r="B6249" s="104" t="s">
        <v>6166</v>
      </c>
      <c r="C6249" s="104" t="s">
        <v>28</v>
      </c>
      <c r="D6249" s="129" t="s">
        <v>19939</v>
      </c>
    </row>
    <row r="6250" spans="1:4">
      <c r="A6250" s="105">
        <v>87314</v>
      </c>
      <c r="B6250" s="104" t="s">
        <v>6167</v>
      </c>
      <c r="C6250" s="104" t="s">
        <v>28</v>
      </c>
      <c r="D6250" s="129" t="s">
        <v>19940</v>
      </c>
    </row>
    <row r="6251" spans="1:4">
      <c r="A6251" s="105">
        <v>87316</v>
      </c>
      <c r="B6251" s="104" t="s">
        <v>6168</v>
      </c>
      <c r="C6251" s="104" t="s">
        <v>28</v>
      </c>
      <c r="D6251" s="129" t="s">
        <v>19941</v>
      </c>
    </row>
    <row r="6252" spans="1:4">
      <c r="A6252" s="105">
        <v>87317</v>
      </c>
      <c r="B6252" s="104" t="s">
        <v>6169</v>
      </c>
      <c r="C6252" s="104" t="s">
        <v>28</v>
      </c>
      <c r="D6252" s="129" t="s">
        <v>19942</v>
      </c>
    </row>
    <row r="6253" spans="1:4">
      <c r="A6253" s="105">
        <v>87319</v>
      </c>
      <c r="B6253" s="104" t="s">
        <v>6170</v>
      </c>
      <c r="C6253" s="104" t="s">
        <v>28</v>
      </c>
      <c r="D6253" s="129" t="s">
        <v>19943</v>
      </c>
    </row>
    <row r="6254" spans="1:4">
      <c r="A6254" s="105">
        <v>87320</v>
      </c>
      <c r="B6254" s="104" t="s">
        <v>6171</v>
      </c>
      <c r="C6254" s="104" t="s">
        <v>28</v>
      </c>
      <c r="D6254" s="129" t="s">
        <v>19944</v>
      </c>
    </row>
    <row r="6255" spans="1:4">
      <c r="A6255" s="105">
        <v>87322</v>
      </c>
      <c r="B6255" s="104" t="s">
        <v>6172</v>
      </c>
      <c r="C6255" s="104" t="s">
        <v>28</v>
      </c>
      <c r="D6255" s="129" t="s">
        <v>19945</v>
      </c>
    </row>
    <row r="6256" spans="1:4">
      <c r="A6256" s="105">
        <v>87323</v>
      </c>
      <c r="B6256" s="104" t="s">
        <v>6173</v>
      </c>
      <c r="C6256" s="104" t="s">
        <v>28</v>
      </c>
      <c r="D6256" s="129" t="s">
        <v>19946</v>
      </c>
    </row>
    <row r="6257" spans="1:4">
      <c r="A6257" s="105">
        <v>87325</v>
      </c>
      <c r="B6257" s="104" t="s">
        <v>6174</v>
      </c>
      <c r="C6257" s="104" t="s">
        <v>28</v>
      </c>
      <c r="D6257" s="129" t="s">
        <v>19947</v>
      </c>
    </row>
    <row r="6258" spans="1:4">
      <c r="A6258" s="105">
        <v>87326</v>
      </c>
      <c r="B6258" s="104" t="s">
        <v>6175</v>
      </c>
      <c r="C6258" s="104" t="s">
        <v>28</v>
      </c>
      <c r="D6258" s="129" t="s">
        <v>19948</v>
      </c>
    </row>
    <row r="6259" spans="1:4">
      <c r="A6259" s="105">
        <v>87327</v>
      </c>
      <c r="B6259" s="104" t="s">
        <v>6176</v>
      </c>
      <c r="C6259" s="104" t="s">
        <v>28</v>
      </c>
      <c r="D6259" s="129" t="s">
        <v>19949</v>
      </c>
    </row>
    <row r="6260" spans="1:4">
      <c r="A6260" s="105">
        <v>87328</v>
      </c>
      <c r="B6260" s="104" t="s">
        <v>6177</v>
      </c>
      <c r="C6260" s="104" t="s">
        <v>28</v>
      </c>
      <c r="D6260" s="129" t="s">
        <v>19950</v>
      </c>
    </row>
    <row r="6261" spans="1:4">
      <c r="A6261" s="105">
        <v>87329</v>
      </c>
      <c r="B6261" s="104" t="s">
        <v>6178</v>
      </c>
      <c r="C6261" s="104" t="s">
        <v>28</v>
      </c>
      <c r="D6261" s="129" t="s">
        <v>19951</v>
      </c>
    </row>
    <row r="6262" spans="1:4">
      <c r="A6262" s="105">
        <v>87330</v>
      </c>
      <c r="B6262" s="104" t="s">
        <v>6179</v>
      </c>
      <c r="C6262" s="104" t="s">
        <v>28</v>
      </c>
      <c r="D6262" s="129" t="s">
        <v>19952</v>
      </c>
    </row>
    <row r="6263" spans="1:4">
      <c r="A6263" s="105">
        <v>87331</v>
      </c>
      <c r="B6263" s="104" t="s">
        <v>6180</v>
      </c>
      <c r="C6263" s="104" t="s">
        <v>28</v>
      </c>
      <c r="D6263" s="129" t="s">
        <v>19953</v>
      </c>
    </row>
    <row r="6264" spans="1:4">
      <c r="A6264" s="105">
        <v>87332</v>
      </c>
      <c r="B6264" s="104" t="s">
        <v>6181</v>
      </c>
      <c r="C6264" s="104" t="s">
        <v>28</v>
      </c>
      <c r="D6264" s="129" t="s">
        <v>19954</v>
      </c>
    </row>
    <row r="6265" spans="1:4">
      <c r="A6265" s="105">
        <v>87333</v>
      </c>
      <c r="B6265" s="104" t="s">
        <v>6182</v>
      </c>
      <c r="C6265" s="104" t="s">
        <v>28</v>
      </c>
      <c r="D6265" s="129" t="s">
        <v>19955</v>
      </c>
    </row>
    <row r="6266" spans="1:4">
      <c r="A6266" s="105">
        <v>87334</v>
      </c>
      <c r="B6266" s="104" t="s">
        <v>6183</v>
      </c>
      <c r="C6266" s="104" t="s">
        <v>28</v>
      </c>
      <c r="D6266" s="129" t="s">
        <v>19956</v>
      </c>
    </row>
    <row r="6267" spans="1:4">
      <c r="A6267" s="105">
        <v>87335</v>
      </c>
      <c r="B6267" s="104" t="s">
        <v>6184</v>
      </c>
      <c r="C6267" s="104" t="s">
        <v>28</v>
      </c>
      <c r="D6267" s="129" t="s">
        <v>19957</v>
      </c>
    </row>
    <row r="6268" spans="1:4">
      <c r="A6268" s="105">
        <v>87336</v>
      </c>
      <c r="B6268" s="104" t="s">
        <v>6185</v>
      </c>
      <c r="C6268" s="104" t="s">
        <v>28</v>
      </c>
      <c r="D6268" s="129" t="s">
        <v>19958</v>
      </c>
    </row>
    <row r="6269" spans="1:4">
      <c r="A6269" s="105">
        <v>87337</v>
      </c>
      <c r="B6269" s="104" t="s">
        <v>6186</v>
      </c>
      <c r="C6269" s="104" t="s">
        <v>28</v>
      </c>
      <c r="D6269" s="129" t="s">
        <v>19959</v>
      </c>
    </row>
    <row r="6270" spans="1:4">
      <c r="A6270" s="105">
        <v>87338</v>
      </c>
      <c r="B6270" s="104" t="s">
        <v>6187</v>
      </c>
      <c r="C6270" s="104" t="s">
        <v>28</v>
      </c>
      <c r="D6270" s="129" t="s">
        <v>19960</v>
      </c>
    </row>
    <row r="6271" spans="1:4">
      <c r="A6271" s="105">
        <v>87339</v>
      </c>
      <c r="B6271" s="104" t="s">
        <v>6188</v>
      </c>
      <c r="C6271" s="104" t="s">
        <v>28</v>
      </c>
      <c r="D6271" s="129" t="s">
        <v>19961</v>
      </c>
    </row>
    <row r="6272" spans="1:4">
      <c r="A6272" s="105">
        <v>87340</v>
      </c>
      <c r="B6272" s="104" t="s">
        <v>6189</v>
      </c>
      <c r="C6272" s="104" t="s">
        <v>28</v>
      </c>
      <c r="D6272" s="129" t="s">
        <v>19962</v>
      </c>
    </row>
    <row r="6273" spans="1:4">
      <c r="A6273" s="105">
        <v>87341</v>
      </c>
      <c r="B6273" s="104" t="s">
        <v>6190</v>
      </c>
      <c r="C6273" s="104" t="s">
        <v>28</v>
      </c>
      <c r="D6273" s="129" t="s">
        <v>19963</v>
      </c>
    </row>
    <row r="6274" spans="1:4">
      <c r="A6274" s="105">
        <v>87342</v>
      </c>
      <c r="B6274" s="104" t="s">
        <v>6191</v>
      </c>
      <c r="C6274" s="104" t="s">
        <v>28</v>
      </c>
      <c r="D6274" s="129" t="s">
        <v>19964</v>
      </c>
    </row>
    <row r="6275" spans="1:4">
      <c r="A6275" s="105">
        <v>87343</v>
      </c>
      <c r="B6275" s="104" t="s">
        <v>6192</v>
      </c>
      <c r="C6275" s="104" t="s">
        <v>28</v>
      </c>
      <c r="D6275" s="129" t="s">
        <v>19965</v>
      </c>
    </row>
    <row r="6276" spans="1:4">
      <c r="A6276" s="105">
        <v>87344</v>
      </c>
      <c r="B6276" s="104" t="s">
        <v>6193</v>
      </c>
      <c r="C6276" s="104" t="s">
        <v>28</v>
      </c>
      <c r="D6276" s="129" t="s">
        <v>19966</v>
      </c>
    </row>
    <row r="6277" spans="1:4">
      <c r="A6277" s="105">
        <v>87345</v>
      </c>
      <c r="B6277" s="104" t="s">
        <v>6194</v>
      </c>
      <c r="C6277" s="104" t="s">
        <v>28</v>
      </c>
      <c r="D6277" s="129" t="s">
        <v>19967</v>
      </c>
    </row>
    <row r="6278" spans="1:4">
      <c r="A6278" s="105">
        <v>87346</v>
      </c>
      <c r="B6278" s="104" t="s">
        <v>6195</v>
      </c>
      <c r="C6278" s="104" t="s">
        <v>28</v>
      </c>
      <c r="D6278" s="129" t="s">
        <v>19968</v>
      </c>
    </row>
    <row r="6279" spans="1:4">
      <c r="A6279" s="105">
        <v>87347</v>
      </c>
      <c r="B6279" s="104" t="s">
        <v>6196</v>
      </c>
      <c r="C6279" s="104" t="s">
        <v>28</v>
      </c>
      <c r="D6279" s="129" t="s">
        <v>19969</v>
      </c>
    </row>
    <row r="6280" spans="1:4">
      <c r="A6280" s="105">
        <v>87348</v>
      </c>
      <c r="B6280" s="104" t="s">
        <v>6197</v>
      </c>
      <c r="C6280" s="104" t="s">
        <v>28</v>
      </c>
      <c r="D6280" s="129" t="s">
        <v>19970</v>
      </c>
    </row>
    <row r="6281" spans="1:4">
      <c r="A6281" s="105">
        <v>87349</v>
      </c>
      <c r="B6281" s="104" t="s">
        <v>6198</v>
      </c>
      <c r="C6281" s="104" t="s">
        <v>28</v>
      </c>
      <c r="D6281" s="129" t="s">
        <v>19971</v>
      </c>
    </row>
    <row r="6282" spans="1:4">
      <c r="A6282" s="105">
        <v>87350</v>
      </c>
      <c r="B6282" s="104" t="s">
        <v>6199</v>
      </c>
      <c r="C6282" s="104" t="s">
        <v>28</v>
      </c>
      <c r="D6282" s="129" t="s">
        <v>19972</v>
      </c>
    </row>
    <row r="6283" spans="1:4">
      <c r="A6283" s="105">
        <v>87351</v>
      </c>
      <c r="B6283" s="104" t="s">
        <v>6200</v>
      </c>
      <c r="C6283" s="104" t="s">
        <v>28</v>
      </c>
      <c r="D6283" s="129" t="s">
        <v>19973</v>
      </c>
    </row>
    <row r="6284" spans="1:4">
      <c r="A6284" s="105">
        <v>87352</v>
      </c>
      <c r="B6284" s="104" t="s">
        <v>6201</v>
      </c>
      <c r="C6284" s="104" t="s">
        <v>28</v>
      </c>
      <c r="D6284" s="129" t="s">
        <v>19974</v>
      </c>
    </row>
    <row r="6285" spans="1:4">
      <c r="A6285" s="105">
        <v>87353</v>
      </c>
      <c r="B6285" s="104" t="s">
        <v>6202</v>
      </c>
      <c r="C6285" s="104" t="s">
        <v>28</v>
      </c>
      <c r="D6285" s="129" t="s">
        <v>19975</v>
      </c>
    </row>
    <row r="6286" spans="1:4">
      <c r="A6286" s="105">
        <v>87354</v>
      </c>
      <c r="B6286" s="104" t="s">
        <v>6203</v>
      </c>
      <c r="C6286" s="104" t="s">
        <v>28</v>
      </c>
      <c r="D6286" s="129" t="s">
        <v>19976</v>
      </c>
    </row>
    <row r="6287" spans="1:4">
      <c r="A6287" s="105">
        <v>87355</v>
      </c>
      <c r="B6287" s="104" t="s">
        <v>6204</v>
      </c>
      <c r="C6287" s="104" t="s">
        <v>28</v>
      </c>
      <c r="D6287" s="129" t="s">
        <v>19977</v>
      </c>
    </row>
    <row r="6288" spans="1:4">
      <c r="A6288" s="105">
        <v>87356</v>
      </c>
      <c r="B6288" s="104" t="s">
        <v>6205</v>
      </c>
      <c r="C6288" s="104" t="s">
        <v>28</v>
      </c>
      <c r="D6288" s="129" t="s">
        <v>19978</v>
      </c>
    </row>
    <row r="6289" spans="1:4">
      <c r="A6289" s="105">
        <v>87357</v>
      </c>
      <c r="B6289" s="104" t="s">
        <v>6206</v>
      </c>
      <c r="C6289" s="104" t="s">
        <v>28</v>
      </c>
      <c r="D6289" s="129" t="s">
        <v>18825</v>
      </c>
    </row>
    <row r="6290" spans="1:4">
      <c r="A6290" s="105">
        <v>87358</v>
      </c>
      <c r="B6290" s="104" t="s">
        <v>6207</v>
      </c>
      <c r="C6290" s="104" t="s">
        <v>28</v>
      </c>
      <c r="D6290" s="129" t="s">
        <v>19979</v>
      </c>
    </row>
    <row r="6291" spans="1:4">
      <c r="A6291" s="105">
        <v>87359</v>
      </c>
      <c r="B6291" s="104" t="s">
        <v>6208</v>
      </c>
      <c r="C6291" s="104" t="s">
        <v>28</v>
      </c>
      <c r="D6291" s="129" t="s">
        <v>19980</v>
      </c>
    </row>
    <row r="6292" spans="1:4">
      <c r="A6292" s="105">
        <v>87360</v>
      </c>
      <c r="B6292" s="104" t="s">
        <v>6209</v>
      </c>
      <c r="C6292" s="104" t="s">
        <v>28</v>
      </c>
      <c r="D6292" s="129" t="s">
        <v>19981</v>
      </c>
    </row>
    <row r="6293" spans="1:4">
      <c r="A6293" s="105">
        <v>87361</v>
      </c>
      <c r="B6293" s="104" t="s">
        <v>6210</v>
      </c>
      <c r="C6293" s="104" t="s">
        <v>28</v>
      </c>
      <c r="D6293" s="129" t="s">
        <v>19982</v>
      </c>
    </row>
    <row r="6294" spans="1:4">
      <c r="A6294" s="105">
        <v>87362</v>
      </c>
      <c r="B6294" s="104" t="s">
        <v>6211</v>
      </c>
      <c r="C6294" s="104" t="s">
        <v>28</v>
      </c>
      <c r="D6294" s="129" t="s">
        <v>19983</v>
      </c>
    </row>
    <row r="6295" spans="1:4">
      <c r="A6295" s="105">
        <v>87363</v>
      </c>
      <c r="B6295" s="104" t="s">
        <v>6212</v>
      </c>
      <c r="C6295" s="104" t="s">
        <v>28</v>
      </c>
      <c r="D6295" s="129" t="s">
        <v>19984</v>
      </c>
    </row>
    <row r="6296" spans="1:4">
      <c r="A6296" s="105">
        <v>87364</v>
      </c>
      <c r="B6296" s="104" t="s">
        <v>6213</v>
      </c>
      <c r="C6296" s="104" t="s">
        <v>28</v>
      </c>
      <c r="D6296" s="129" t="s">
        <v>19985</v>
      </c>
    </row>
    <row r="6297" spans="1:4">
      <c r="A6297" s="105">
        <v>87365</v>
      </c>
      <c r="B6297" s="104" t="s">
        <v>6214</v>
      </c>
      <c r="C6297" s="104" t="s">
        <v>28</v>
      </c>
      <c r="D6297" s="129" t="s">
        <v>19986</v>
      </c>
    </row>
    <row r="6298" spans="1:4">
      <c r="A6298" s="105">
        <v>87366</v>
      </c>
      <c r="B6298" s="104" t="s">
        <v>6215</v>
      </c>
      <c r="C6298" s="104" t="s">
        <v>28</v>
      </c>
      <c r="D6298" s="129" t="s">
        <v>19987</v>
      </c>
    </row>
    <row r="6299" spans="1:4">
      <c r="A6299" s="105">
        <v>87367</v>
      </c>
      <c r="B6299" s="104" t="s">
        <v>6216</v>
      </c>
      <c r="C6299" s="104" t="s">
        <v>28</v>
      </c>
      <c r="D6299" s="129" t="s">
        <v>19988</v>
      </c>
    </row>
    <row r="6300" spans="1:4">
      <c r="A6300" s="105">
        <v>87368</v>
      </c>
      <c r="B6300" s="104" t="s">
        <v>6217</v>
      </c>
      <c r="C6300" s="104" t="s">
        <v>28</v>
      </c>
      <c r="D6300" s="129" t="s">
        <v>19989</v>
      </c>
    </row>
    <row r="6301" spans="1:4">
      <c r="A6301" s="105">
        <v>87369</v>
      </c>
      <c r="B6301" s="104" t="s">
        <v>6218</v>
      </c>
      <c r="C6301" s="104" t="s">
        <v>28</v>
      </c>
      <c r="D6301" s="129" t="s">
        <v>19990</v>
      </c>
    </row>
    <row r="6302" spans="1:4">
      <c r="A6302" s="105">
        <v>87370</v>
      </c>
      <c r="B6302" s="104" t="s">
        <v>6219</v>
      </c>
      <c r="C6302" s="104" t="s">
        <v>28</v>
      </c>
      <c r="D6302" s="129" t="s">
        <v>19991</v>
      </c>
    </row>
    <row r="6303" spans="1:4">
      <c r="A6303" s="105">
        <v>87371</v>
      </c>
      <c r="B6303" s="104" t="s">
        <v>6220</v>
      </c>
      <c r="C6303" s="104" t="s">
        <v>28</v>
      </c>
      <c r="D6303" s="129" t="s">
        <v>19992</v>
      </c>
    </row>
    <row r="6304" spans="1:4">
      <c r="A6304" s="105">
        <v>87372</v>
      </c>
      <c r="B6304" s="104" t="s">
        <v>6221</v>
      </c>
      <c r="C6304" s="104" t="s">
        <v>28</v>
      </c>
      <c r="D6304" s="129" t="s">
        <v>19993</v>
      </c>
    </row>
    <row r="6305" spans="1:4">
      <c r="A6305" s="105">
        <v>87373</v>
      </c>
      <c r="B6305" s="104" t="s">
        <v>6222</v>
      </c>
      <c r="C6305" s="104" t="s">
        <v>28</v>
      </c>
      <c r="D6305" s="129" t="s">
        <v>19994</v>
      </c>
    </row>
    <row r="6306" spans="1:4">
      <c r="A6306" s="105">
        <v>87374</v>
      </c>
      <c r="B6306" s="104" t="s">
        <v>6223</v>
      </c>
      <c r="C6306" s="104" t="s">
        <v>28</v>
      </c>
      <c r="D6306" s="129" t="s">
        <v>19995</v>
      </c>
    </row>
    <row r="6307" spans="1:4">
      <c r="A6307" s="105">
        <v>87375</v>
      </c>
      <c r="B6307" s="104" t="s">
        <v>6224</v>
      </c>
      <c r="C6307" s="104" t="s">
        <v>28</v>
      </c>
      <c r="D6307" s="129" t="s">
        <v>19996</v>
      </c>
    </row>
    <row r="6308" spans="1:4">
      <c r="A6308" s="105">
        <v>87376</v>
      </c>
      <c r="B6308" s="104" t="s">
        <v>6225</v>
      </c>
      <c r="C6308" s="104" t="s">
        <v>28</v>
      </c>
      <c r="D6308" s="129" t="s">
        <v>19997</v>
      </c>
    </row>
    <row r="6309" spans="1:4">
      <c r="A6309" s="105">
        <v>87377</v>
      </c>
      <c r="B6309" s="104" t="s">
        <v>6226</v>
      </c>
      <c r="C6309" s="104" t="s">
        <v>28</v>
      </c>
      <c r="D6309" s="129" t="s">
        <v>19998</v>
      </c>
    </row>
    <row r="6310" spans="1:4">
      <c r="A6310" s="105">
        <v>87378</v>
      </c>
      <c r="B6310" s="104" t="s">
        <v>6227</v>
      </c>
      <c r="C6310" s="104" t="s">
        <v>28</v>
      </c>
      <c r="D6310" s="129" t="s">
        <v>17851</v>
      </c>
    </row>
    <row r="6311" spans="1:4">
      <c r="A6311" s="105">
        <v>87379</v>
      </c>
      <c r="B6311" s="104" t="s">
        <v>6228</v>
      </c>
      <c r="C6311" s="104" t="s">
        <v>28</v>
      </c>
      <c r="D6311" s="129" t="s">
        <v>19999</v>
      </c>
    </row>
    <row r="6312" spans="1:4">
      <c r="A6312" s="105">
        <v>87380</v>
      </c>
      <c r="B6312" s="104" t="s">
        <v>6229</v>
      </c>
      <c r="C6312" s="104" t="s">
        <v>28</v>
      </c>
      <c r="D6312" s="129" t="s">
        <v>20000</v>
      </c>
    </row>
    <row r="6313" spans="1:4">
      <c r="A6313" s="105">
        <v>87381</v>
      </c>
      <c r="B6313" s="104" t="s">
        <v>6230</v>
      </c>
      <c r="C6313" s="104" t="s">
        <v>28</v>
      </c>
      <c r="D6313" s="129" t="s">
        <v>20001</v>
      </c>
    </row>
    <row r="6314" spans="1:4">
      <c r="A6314" s="105">
        <v>87382</v>
      </c>
      <c r="B6314" s="104" t="s">
        <v>6231</v>
      </c>
      <c r="C6314" s="104" t="s">
        <v>28</v>
      </c>
      <c r="D6314" s="129" t="s">
        <v>20002</v>
      </c>
    </row>
    <row r="6315" spans="1:4">
      <c r="A6315" s="105">
        <v>87383</v>
      </c>
      <c r="B6315" s="104" t="s">
        <v>6232</v>
      </c>
      <c r="C6315" s="104" t="s">
        <v>28</v>
      </c>
      <c r="D6315" s="129" t="s">
        <v>20003</v>
      </c>
    </row>
    <row r="6316" spans="1:4">
      <c r="A6316" s="105">
        <v>87384</v>
      </c>
      <c r="B6316" s="104" t="s">
        <v>6233</v>
      </c>
      <c r="C6316" s="104" t="s">
        <v>28</v>
      </c>
      <c r="D6316" s="129" t="s">
        <v>20004</v>
      </c>
    </row>
    <row r="6317" spans="1:4">
      <c r="A6317" s="105">
        <v>87385</v>
      </c>
      <c r="B6317" s="104" t="s">
        <v>6234</v>
      </c>
      <c r="C6317" s="104" t="s">
        <v>28</v>
      </c>
      <c r="D6317" s="129" t="s">
        <v>20005</v>
      </c>
    </row>
    <row r="6318" spans="1:4">
      <c r="A6318" s="105">
        <v>87386</v>
      </c>
      <c r="B6318" s="104" t="s">
        <v>6235</v>
      </c>
      <c r="C6318" s="104" t="s">
        <v>28</v>
      </c>
      <c r="D6318" s="129" t="s">
        <v>20006</v>
      </c>
    </row>
    <row r="6319" spans="1:4">
      <c r="A6319" s="105">
        <v>87387</v>
      </c>
      <c r="B6319" s="104" t="s">
        <v>6236</v>
      </c>
      <c r="C6319" s="104" t="s">
        <v>28</v>
      </c>
      <c r="D6319" s="129" t="s">
        <v>20007</v>
      </c>
    </row>
    <row r="6320" spans="1:4">
      <c r="A6320" s="105">
        <v>87388</v>
      </c>
      <c r="B6320" s="104" t="s">
        <v>6237</v>
      </c>
      <c r="C6320" s="104" t="s">
        <v>28</v>
      </c>
      <c r="D6320" s="129" t="s">
        <v>20008</v>
      </c>
    </row>
    <row r="6321" spans="1:4">
      <c r="A6321" s="105">
        <v>87389</v>
      </c>
      <c r="B6321" s="104" t="s">
        <v>6238</v>
      </c>
      <c r="C6321" s="104" t="s">
        <v>28</v>
      </c>
      <c r="D6321" s="129" t="s">
        <v>20009</v>
      </c>
    </row>
    <row r="6322" spans="1:4">
      <c r="A6322" s="105">
        <v>87390</v>
      </c>
      <c r="B6322" s="104" t="s">
        <v>6239</v>
      </c>
      <c r="C6322" s="104" t="s">
        <v>28</v>
      </c>
      <c r="D6322" s="129" t="s">
        <v>20010</v>
      </c>
    </row>
    <row r="6323" spans="1:4">
      <c r="A6323" s="105">
        <v>87391</v>
      </c>
      <c r="B6323" s="104" t="s">
        <v>6240</v>
      </c>
      <c r="C6323" s="104" t="s">
        <v>28</v>
      </c>
      <c r="D6323" s="129" t="s">
        <v>20011</v>
      </c>
    </row>
    <row r="6324" spans="1:4">
      <c r="A6324" s="105">
        <v>87393</v>
      </c>
      <c r="B6324" s="104" t="s">
        <v>6241</v>
      </c>
      <c r="C6324" s="104" t="s">
        <v>28</v>
      </c>
      <c r="D6324" s="129" t="s">
        <v>20012</v>
      </c>
    </row>
    <row r="6325" spans="1:4">
      <c r="A6325" s="105">
        <v>87394</v>
      </c>
      <c r="B6325" s="104" t="s">
        <v>6242</v>
      </c>
      <c r="C6325" s="104" t="s">
        <v>28</v>
      </c>
      <c r="D6325" s="129" t="s">
        <v>20013</v>
      </c>
    </row>
    <row r="6326" spans="1:4">
      <c r="A6326" s="105">
        <v>87395</v>
      </c>
      <c r="B6326" s="104" t="s">
        <v>6243</v>
      </c>
      <c r="C6326" s="104" t="s">
        <v>28</v>
      </c>
      <c r="D6326" s="129" t="s">
        <v>20014</v>
      </c>
    </row>
    <row r="6327" spans="1:4">
      <c r="A6327" s="105">
        <v>87396</v>
      </c>
      <c r="B6327" s="104" t="s">
        <v>6244</v>
      </c>
      <c r="C6327" s="104" t="s">
        <v>28</v>
      </c>
      <c r="D6327" s="129" t="s">
        <v>20015</v>
      </c>
    </row>
    <row r="6328" spans="1:4">
      <c r="A6328" s="105">
        <v>87397</v>
      </c>
      <c r="B6328" s="104" t="s">
        <v>6245</v>
      </c>
      <c r="C6328" s="104" t="s">
        <v>28</v>
      </c>
      <c r="D6328" s="129" t="s">
        <v>20016</v>
      </c>
    </row>
    <row r="6329" spans="1:4">
      <c r="A6329" s="105">
        <v>87398</v>
      </c>
      <c r="B6329" s="104" t="s">
        <v>6246</v>
      </c>
      <c r="C6329" s="104" t="s">
        <v>28</v>
      </c>
      <c r="D6329" s="129" t="s">
        <v>20017</v>
      </c>
    </row>
    <row r="6330" spans="1:4">
      <c r="A6330" s="105">
        <v>87399</v>
      </c>
      <c r="B6330" s="104" t="s">
        <v>6247</v>
      </c>
      <c r="C6330" s="104" t="s">
        <v>28</v>
      </c>
      <c r="D6330" s="129" t="s">
        <v>20018</v>
      </c>
    </row>
    <row r="6331" spans="1:4">
      <c r="A6331" s="105">
        <v>87401</v>
      </c>
      <c r="B6331" s="104" t="s">
        <v>6248</v>
      </c>
      <c r="C6331" s="104" t="s">
        <v>28</v>
      </c>
      <c r="D6331" s="129" t="s">
        <v>20019</v>
      </c>
    </row>
    <row r="6332" spans="1:4">
      <c r="A6332" s="105">
        <v>87402</v>
      </c>
      <c r="B6332" s="104" t="s">
        <v>6249</v>
      </c>
      <c r="C6332" s="104" t="s">
        <v>28</v>
      </c>
      <c r="D6332" s="129" t="s">
        <v>20020</v>
      </c>
    </row>
    <row r="6333" spans="1:4">
      <c r="A6333" s="105">
        <v>87404</v>
      </c>
      <c r="B6333" s="104" t="s">
        <v>6250</v>
      </c>
      <c r="C6333" s="104" t="s">
        <v>28</v>
      </c>
      <c r="D6333" s="129" t="s">
        <v>20021</v>
      </c>
    </row>
    <row r="6334" spans="1:4">
      <c r="A6334" s="105">
        <v>87405</v>
      </c>
      <c r="B6334" s="104" t="s">
        <v>6251</v>
      </c>
      <c r="C6334" s="104" t="s">
        <v>28</v>
      </c>
      <c r="D6334" s="129" t="s">
        <v>20022</v>
      </c>
    </row>
    <row r="6335" spans="1:4">
      <c r="A6335" s="105">
        <v>87407</v>
      </c>
      <c r="B6335" s="104" t="s">
        <v>6252</v>
      </c>
      <c r="C6335" s="104" t="s">
        <v>28</v>
      </c>
      <c r="D6335" s="129" t="s">
        <v>20023</v>
      </c>
    </row>
    <row r="6336" spans="1:4">
      <c r="A6336" s="105">
        <v>87408</v>
      </c>
      <c r="B6336" s="104" t="s">
        <v>6253</v>
      </c>
      <c r="C6336" s="104" t="s">
        <v>28</v>
      </c>
      <c r="D6336" s="129" t="s">
        <v>20024</v>
      </c>
    </row>
    <row r="6337" spans="1:4">
      <c r="A6337" s="105">
        <v>87410</v>
      </c>
      <c r="B6337" s="104" t="s">
        <v>6254</v>
      </c>
      <c r="C6337" s="104" t="s">
        <v>28</v>
      </c>
      <c r="D6337" s="129" t="s">
        <v>20025</v>
      </c>
    </row>
    <row r="6338" spans="1:4">
      <c r="A6338" s="105">
        <v>88626</v>
      </c>
      <c r="B6338" s="104" t="s">
        <v>6255</v>
      </c>
      <c r="C6338" s="104" t="s">
        <v>28</v>
      </c>
      <c r="D6338" s="129" t="s">
        <v>20026</v>
      </c>
    </row>
    <row r="6339" spans="1:4">
      <c r="A6339" s="105">
        <v>88627</v>
      </c>
      <c r="B6339" s="104" t="s">
        <v>6256</v>
      </c>
      <c r="C6339" s="104" t="s">
        <v>28</v>
      </c>
      <c r="D6339" s="129" t="s">
        <v>20027</v>
      </c>
    </row>
    <row r="6340" spans="1:4">
      <c r="A6340" s="105">
        <v>88628</v>
      </c>
      <c r="B6340" s="104" t="s">
        <v>6257</v>
      </c>
      <c r="C6340" s="104" t="s">
        <v>28</v>
      </c>
      <c r="D6340" s="129" t="s">
        <v>20028</v>
      </c>
    </row>
    <row r="6341" spans="1:4">
      <c r="A6341" s="105">
        <v>88629</v>
      </c>
      <c r="B6341" s="104" t="s">
        <v>6258</v>
      </c>
      <c r="C6341" s="104" t="s">
        <v>28</v>
      </c>
      <c r="D6341" s="129" t="s">
        <v>20029</v>
      </c>
    </row>
    <row r="6342" spans="1:4">
      <c r="A6342" s="105">
        <v>88630</v>
      </c>
      <c r="B6342" s="104" t="s">
        <v>6259</v>
      </c>
      <c r="C6342" s="104" t="s">
        <v>28</v>
      </c>
      <c r="D6342" s="129" t="s">
        <v>20030</v>
      </c>
    </row>
    <row r="6343" spans="1:4">
      <c r="A6343" s="105">
        <v>88631</v>
      </c>
      <c r="B6343" s="104" t="s">
        <v>6260</v>
      </c>
      <c r="C6343" s="104" t="s">
        <v>28</v>
      </c>
      <c r="D6343" s="129" t="s">
        <v>20031</v>
      </c>
    </row>
    <row r="6344" spans="1:4">
      <c r="A6344" s="105">
        <v>88715</v>
      </c>
      <c r="B6344" s="104" t="s">
        <v>6261</v>
      </c>
      <c r="C6344" s="104" t="s">
        <v>28</v>
      </c>
      <c r="D6344" s="129" t="s">
        <v>20032</v>
      </c>
    </row>
    <row r="6345" spans="1:4">
      <c r="A6345" s="105">
        <v>95563</v>
      </c>
      <c r="B6345" s="104" t="s">
        <v>6262</v>
      </c>
      <c r="C6345" s="104" t="s">
        <v>28</v>
      </c>
      <c r="D6345" s="129" t="s">
        <v>20033</v>
      </c>
    </row>
    <row r="6346" spans="1:4">
      <c r="A6346" s="105">
        <v>100464</v>
      </c>
      <c r="B6346" s="104" t="s">
        <v>6263</v>
      </c>
      <c r="C6346" s="104" t="s">
        <v>28</v>
      </c>
      <c r="D6346" s="129" t="s">
        <v>20034</v>
      </c>
    </row>
    <row r="6347" spans="1:4">
      <c r="A6347" s="105">
        <v>100465</v>
      </c>
      <c r="B6347" s="104" t="s">
        <v>6264</v>
      </c>
      <c r="C6347" s="104" t="s">
        <v>28</v>
      </c>
      <c r="D6347" s="129" t="s">
        <v>20035</v>
      </c>
    </row>
    <row r="6348" spans="1:4">
      <c r="A6348" s="105">
        <v>100466</v>
      </c>
      <c r="B6348" s="104" t="s">
        <v>6265</v>
      </c>
      <c r="C6348" s="104" t="s">
        <v>28</v>
      </c>
      <c r="D6348" s="129" t="s">
        <v>20036</v>
      </c>
    </row>
    <row r="6349" spans="1:4">
      <c r="A6349" s="105">
        <v>100468</v>
      </c>
      <c r="B6349" s="104" t="s">
        <v>6266</v>
      </c>
      <c r="C6349" s="104" t="s">
        <v>28</v>
      </c>
      <c r="D6349" s="129" t="s">
        <v>20037</v>
      </c>
    </row>
    <row r="6350" spans="1:4">
      <c r="A6350" s="105">
        <v>100469</v>
      </c>
      <c r="B6350" s="104" t="s">
        <v>6267</v>
      </c>
      <c r="C6350" s="104" t="s">
        <v>28</v>
      </c>
      <c r="D6350" s="129" t="s">
        <v>20038</v>
      </c>
    </row>
    <row r="6351" spans="1:4">
      <c r="A6351" s="105">
        <v>100470</v>
      </c>
      <c r="B6351" s="104" t="s">
        <v>6268</v>
      </c>
      <c r="C6351" s="104" t="s">
        <v>28</v>
      </c>
      <c r="D6351" s="129" t="s">
        <v>20039</v>
      </c>
    </row>
    <row r="6352" spans="1:4">
      <c r="A6352" s="105">
        <v>100472</v>
      </c>
      <c r="B6352" s="104" t="s">
        <v>6269</v>
      </c>
      <c r="C6352" s="104" t="s">
        <v>28</v>
      </c>
      <c r="D6352" s="129" t="s">
        <v>20040</v>
      </c>
    </row>
    <row r="6353" spans="1:4">
      <c r="A6353" s="105">
        <v>100473</v>
      </c>
      <c r="B6353" s="104" t="s">
        <v>6270</v>
      </c>
      <c r="C6353" s="104" t="s">
        <v>28</v>
      </c>
      <c r="D6353" s="129" t="s">
        <v>20041</v>
      </c>
    </row>
    <row r="6354" spans="1:4">
      <c r="A6354" s="105">
        <v>100474</v>
      </c>
      <c r="B6354" s="104" t="s">
        <v>6271</v>
      </c>
      <c r="C6354" s="104" t="s">
        <v>28</v>
      </c>
      <c r="D6354" s="129" t="s">
        <v>20042</v>
      </c>
    </row>
    <row r="6355" spans="1:4">
      <c r="A6355" s="105">
        <v>100475</v>
      </c>
      <c r="B6355" s="104" t="s">
        <v>6272</v>
      </c>
      <c r="C6355" s="104" t="s">
        <v>28</v>
      </c>
      <c r="D6355" s="129" t="s">
        <v>20043</v>
      </c>
    </row>
    <row r="6356" spans="1:4">
      <c r="A6356" s="105">
        <v>100477</v>
      </c>
      <c r="B6356" s="104" t="s">
        <v>6273</v>
      </c>
      <c r="C6356" s="104" t="s">
        <v>28</v>
      </c>
      <c r="D6356" s="129" t="s">
        <v>20044</v>
      </c>
    </row>
    <row r="6357" spans="1:4">
      <c r="A6357" s="105">
        <v>100478</v>
      </c>
      <c r="B6357" s="104" t="s">
        <v>6274</v>
      </c>
      <c r="C6357" s="104" t="s">
        <v>28</v>
      </c>
      <c r="D6357" s="129" t="s">
        <v>20045</v>
      </c>
    </row>
    <row r="6358" spans="1:4">
      <c r="A6358" s="105">
        <v>100479</v>
      </c>
      <c r="B6358" s="104" t="s">
        <v>6275</v>
      </c>
      <c r="C6358" s="104" t="s">
        <v>28</v>
      </c>
      <c r="D6358" s="129" t="s">
        <v>20046</v>
      </c>
    </row>
    <row r="6359" spans="1:4">
      <c r="A6359" s="105">
        <v>100480</v>
      </c>
      <c r="B6359" s="104" t="s">
        <v>6276</v>
      </c>
      <c r="C6359" s="104" t="s">
        <v>28</v>
      </c>
      <c r="D6359" s="129" t="s">
        <v>20047</v>
      </c>
    </row>
    <row r="6360" spans="1:4">
      <c r="A6360" s="105">
        <v>100481</v>
      </c>
      <c r="B6360" s="104" t="s">
        <v>6277</v>
      </c>
      <c r="C6360" s="104" t="s">
        <v>28</v>
      </c>
      <c r="D6360" s="129" t="s">
        <v>20048</v>
      </c>
    </row>
    <row r="6361" spans="1:4">
      <c r="A6361" s="105">
        <v>100483</v>
      </c>
      <c r="B6361" s="104" t="s">
        <v>6278</v>
      </c>
      <c r="C6361" s="104" t="s">
        <v>28</v>
      </c>
      <c r="D6361" s="129" t="s">
        <v>20049</v>
      </c>
    </row>
    <row r="6362" spans="1:4">
      <c r="A6362" s="105">
        <v>100484</v>
      </c>
      <c r="B6362" s="104" t="s">
        <v>6279</v>
      </c>
      <c r="C6362" s="104" t="s">
        <v>28</v>
      </c>
      <c r="D6362" s="129" t="s">
        <v>20050</v>
      </c>
    </row>
    <row r="6363" spans="1:4">
      <c r="A6363" s="105">
        <v>100485</v>
      </c>
      <c r="B6363" s="104" t="s">
        <v>6280</v>
      </c>
      <c r="C6363" s="104" t="s">
        <v>28</v>
      </c>
      <c r="D6363" s="129" t="s">
        <v>20051</v>
      </c>
    </row>
    <row r="6364" spans="1:4">
      <c r="A6364" s="105">
        <v>100486</v>
      </c>
      <c r="B6364" s="104" t="s">
        <v>6281</v>
      </c>
      <c r="C6364" s="104" t="s">
        <v>28</v>
      </c>
      <c r="D6364" s="129" t="s">
        <v>20052</v>
      </c>
    </row>
    <row r="6365" spans="1:4">
      <c r="A6365" s="105">
        <v>100487</v>
      </c>
      <c r="B6365" s="104" t="s">
        <v>6282</v>
      </c>
      <c r="C6365" s="104" t="s">
        <v>28</v>
      </c>
      <c r="D6365" s="129" t="s">
        <v>20053</v>
      </c>
    </row>
    <row r="6366" spans="1:4">
      <c r="A6366" s="105">
        <v>100488</v>
      </c>
      <c r="B6366" s="104" t="s">
        <v>6283</v>
      </c>
      <c r="C6366" s="104" t="s">
        <v>28</v>
      </c>
      <c r="D6366" s="129" t="s">
        <v>20054</v>
      </c>
    </row>
    <row r="6367" spans="1:4">
      <c r="A6367" s="105">
        <v>100489</v>
      </c>
      <c r="B6367" s="104" t="s">
        <v>6284</v>
      </c>
      <c r="C6367" s="104" t="s">
        <v>28</v>
      </c>
      <c r="D6367" s="129" t="s">
        <v>20055</v>
      </c>
    </row>
    <row r="6368" spans="1:4">
      <c r="A6368" s="105">
        <v>100490</v>
      </c>
      <c r="B6368" s="104" t="s">
        <v>6285</v>
      </c>
      <c r="C6368" s="104" t="s">
        <v>28</v>
      </c>
      <c r="D6368" s="129" t="s">
        <v>20056</v>
      </c>
    </row>
    <row r="6369" spans="1:4">
      <c r="A6369" s="105">
        <v>100491</v>
      </c>
      <c r="B6369" s="104" t="s">
        <v>6286</v>
      </c>
      <c r="C6369" s="104" t="s">
        <v>28</v>
      </c>
      <c r="D6369" s="129" t="s">
        <v>20057</v>
      </c>
    </row>
    <row r="6370" spans="1:4">
      <c r="A6370" s="105">
        <v>100492</v>
      </c>
      <c r="B6370" s="104" t="s">
        <v>6287</v>
      </c>
      <c r="C6370" s="104" t="s">
        <v>28</v>
      </c>
      <c r="D6370" s="129" t="s">
        <v>20058</v>
      </c>
    </row>
    <row r="6371" spans="1:4">
      <c r="A6371" s="105">
        <v>92121</v>
      </c>
      <c r="B6371" s="104" t="s">
        <v>6288</v>
      </c>
      <c r="C6371" s="104" t="s">
        <v>28</v>
      </c>
      <c r="D6371" s="129" t="s">
        <v>20059</v>
      </c>
    </row>
    <row r="6372" spans="1:4">
      <c r="A6372" s="105">
        <v>92122</v>
      </c>
      <c r="B6372" s="104" t="s">
        <v>6289</v>
      </c>
      <c r="C6372" s="104" t="s">
        <v>28</v>
      </c>
      <c r="D6372" s="129" t="s">
        <v>14809</v>
      </c>
    </row>
    <row r="6373" spans="1:4">
      <c r="A6373" s="105">
        <v>92123</v>
      </c>
      <c r="B6373" s="104" t="s">
        <v>6290</v>
      </c>
      <c r="C6373" s="104" t="s">
        <v>28</v>
      </c>
      <c r="D6373" s="129" t="s">
        <v>18233</v>
      </c>
    </row>
    <row r="6374" spans="1:4">
      <c r="A6374" s="105">
        <v>100195</v>
      </c>
      <c r="B6374" s="104" t="s">
        <v>6291</v>
      </c>
      <c r="C6374" s="104" t="s">
        <v>6292</v>
      </c>
      <c r="D6374" s="129" t="s">
        <v>15827</v>
      </c>
    </row>
    <row r="6375" spans="1:4">
      <c r="A6375" s="105">
        <v>100196</v>
      </c>
      <c r="B6375" s="104" t="s">
        <v>6293</v>
      </c>
      <c r="C6375" s="104" t="s">
        <v>6292</v>
      </c>
      <c r="D6375" s="129" t="s">
        <v>20060</v>
      </c>
    </row>
    <row r="6376" spans="1:4">
      <c r="A6376" s="105">
        <v>100197</v>
      </c>
      <c r="B6376" s="104" t="s">
        <v>6294</v>
      </c>
      <c r="C6376" s="104" t="s">
        <v>6292</v>
      </c>
      <c r="D6376" s="129" t="s">
        <v>15822</v>
      </c>
    </row>
    <row r="6377" spans="1:4">
      <c r="A6377" s="105">
        <v>100198</v>
      </c>
      <c r="B6377" s="104" t="s">
        <v>6295</v>
      </c>
      <c r="C6377" s="104" t="s">
        <v>6292</v>
      </c>
      <c r="D6377" s="129" t="s">
        <v>20061</v>
      </c>
    </row>
    <row r="6378" spans="1:4">
      <c r="A6378" s="105">
        <v>100199</v>
      </c>
      <c r="B6378" s="104" t="s">
        <v>6296</v>
      </c>
      <c r="C6378" s="104" t="s">
        <v>6292</v>
      </c>
      <c r="D6378" s="129" t="s">
        <v>15377</v>
      </c>
    </row>
    <row r="6379" spans="1:4">
      <c r="A6379" s="105">
        <v>100200</v>
      </c>
      <c r="B6379" s="104" t="s">
        <v>6297</v>
      </c>
      <c r="C6379" s="104" t="s">
        <v>6292</v>
      </c>
      <c r="D6379" s="129" t="s">
        <v>15292</v>
      </c>
    </row>
    <row r="6380" spans="1:4">
      <c r="A6380" s="105">
        <v>100201</v>
      </c>
      <c r="B6380" s="104" t="s">
        <v>6298</v>
      </c>
      <c r="C6380" s="104" t="s">
        <v>6292</v>
      </c>
      <c r="D6380" s="129" t="s">
        <v>15646</v>
      </c>
    </row>
    <row r="6381" spans="1:4">
      <c r="A6381" s="105">
        <v>100202</v>
      </c>
      <c r="B6381" s="104" t="s">
        <v>6299</v>
      </c>
      <c r="C6381" s="104" t="s">
        <v>6292</v>
      </c>
      <c r="D6381" s="129" t="s">
        <v>14843</v>
      </c>
    </row>
    <row r="6382" spans="1:4">
      <c r="A6382" s="105">
        <v>100203</v>
      </c>
      <c r="B6382" s="104" t="s">
        <v>6300</v>
      </c>
      <c r="C6382" s="104" t="s">
        <v>6292</v>
      </c>
      <c r="D6382" s="129" t="s">
        <v>20062</v>
      </c>
    </row>
    <row r="6383" spans="1:4">
      <c r="A6383" s="105">
        <v>100204</v>
      </c>
      <c r="B6383" s="104" t="s">
        <v>6301</v>
      </c>
      <c r="C6383" s="104" t="s">
        <v>6292</v>
      </c>
      <c r="D6383" s="129" t="s">
        <v>19512</v>
      </c>
    </row>
    <row r="6384" spans="1:4">
      <c r="A6384" s="105">
        <v>100205</v>
      </c>
      <c r="B6384" s="104" t="s">
        <v>6302</v>
      </c>
      <c r="C6384" s="104" t="s">
        <v>6303</v>
      </c>
      <c r="D6384" s="129" t="s">
        <v>20063</v>
      </c>
    </row>
    <row r="6385" spans="1:4">
      <c r="A6385" s="105">
        <v>100206</v>
      </c>
      <c r="B6385" s="104" t="s">
        <v>6304</v>
      </c>
      <c r="C6385" s="104" t="s">
        <v>6303</v>
      </c>
      <c r="D6385" s="129" t="s">
        <v>20064</v>
      </c>
    </row>
    <row r="6386" spans="1:4">
      <c r="A6386" s="105">
        <v>100207</v>
      </c>
      <c r="B6386" s="104" t="s">
        <v>6305</v>
      </c>
      <c r="C6386" s="104" t="s">
        <v>6303</v>
      </c>
      <c r="D6386" s="129" t="s">
        <v>20065</v>
      </c>
    </row>
    <row r="6387" spans="1:4">
      <c r="A6387" s="105">
        <v>100208</v>
      </c>
      <c r="B6387" s="104" t="s">
        <v>6306</v>
      </c>
      <c r="C6387" s="104" t="s">
        <v>6307</v>
      </c>
      <c r="D6387" s="129" t="s">
        <v>20066</v>
      </c>
    </row>
    <row r="6388" spans="1:4">
      <c r="A6388" s="105">
        <v>100209</v>
      </c>
      <c r="B6388" s="104" t="s">
        <v>6308</v>
      </c>
      <c r="C6388" s="104" t="s">
        <v>6307</v>
      </c>
      <c r="D6388" s="129" t="s">
        <v>14853</v>
      </c>
    </row>
    <row r="6389" spans="1:4">
      <c r="A6389" s="105">
        <v>100210</v>
      </c>
      <c r="B6389" s="104" t="s">
        <v>6309</v>
      </c>
      <c r="C6389" s="104" t="s">
        <v>6307</v>
      </c>
      <c r="D6389" s="129" t="s">
        <v>17781</v>
      </c>
    </row>
    <row r="6390" spans="1:4">
      <c r="A6390" s="105">
        <v>100211</v>
      </c>
      <c r="B6390" s="104" t="s">
        <v>6310</v>
      </c>
      <c r="C6390" s="104" t="s">
        <v>6307</v>
      </c>
      <c r="D6390" s="129" t="s">
        <v>18846</v>
      </c>
    </row>
    <row r="6391" spans="1:4">
      <c r="A6391" s="105">
        <v>100212</v>
      </c>
      <c r="B6391" s="104" t="s">
        <v>6311</v>
      </c>
      <c r="C6391" s="104" t="s">
        <v>6307</v>
      </c>
      <c r="D6391" s="129" t="s">
        <v>15530</v>
      </c>
    </row>
    <row r="6392" spans="1:4">
      <c r="A6392" s="105">
        <v>100213</v>
      </c>
      <c r="B6392" s="104" t="s">
        <v>6312</v>
      </c>
      <c r="C6392" s="104" t="s">
        <v>6307</v>
      </c>
      <c r="D6392" s="129" t="s">
        <v>20067</v>
      </c>
    </row>
    <row r="6393" spans="1:4">
      <c r="A6393" s="105">
        <v>100214</v>
      </c>
      <c r="B6393" s="104" t="s">
        <v>6313</v>
      </c>
      <c r="C6393" s="104" t="s">
        <v>6307</v>
      </c>
      <c r="D6393" s="129" t="s">
        <v>20068</v>
      </c>
    </row>
    <row r="6394" spans="1:4">
      <c r="A6394" s="105">
        <v>100215</v>
      </c>
      <c r="B6394" s="104" t="s">
        <v>6314</v>
      </c>
      <c r="C6394" s="104" t="s">
        <v>6307</v>
      </c>
      <c r="D6394" s="129" t="s">
        <v>20069</v>
      </c>
    </row>
    <row r="6395" spans="1:4">
      <c r="A6395" s="105">
        <v>100216</v>
      </c>
      <c r="B6395" s="104" t="s">
        <v>6315</v>
      </c>
      <c r="C6395" s="104" t="s">
        <v>6307</v>
      </c>
      <c r="D6395" s="129" t="s">
        <v>15490</v>
      </c>
    </row>
    <row r="6396" spans="1:4">
      <c r="A6396" s="105">
        <v>100217</v>
      </c>
      <c r="B6396" s="104" t="s">
        <v>6316</v>
      </c>
      <c r="C6396" s="104" t="s">
        <v>6307</v>
      </c>
      <c r="D6396" s="129" t="s">
        <v>20070</v>
      </c>
    </row>
    <row r="6397" spans="1:4">
      <c r="A6397" s="105">
        <v>100218</v>
      </c>
      <c r="B6397" s="104" t="s">
        <v>6317</v>
      </c>
      <c r="C6397" s="104" t="s">
        <v>6307</v>
      </c>
      <c r="D6397" s="129" t="s">
        <v>15481</v>
      </c>
    </row>
    <row r="6398" spans="1:4">
      <c r="A6398" s="105">
        <v>100219</v>
      </c>
      <c r="B6398" s="104" t="s">
        <v>6318</v>
      </c>
      <c r="C6398" s="104" t="s">
        <v>6307</v>
      </c>
      <c r="D6398" s="129" t="s">
        <v>15289</v>
      </c>
    </row>
    <row r="6399" spans="1:4">
      <c r="A6399" s="105">
        <v>100220</v>
      </c>
      <c r="B6399" s="104" t="s">
        <v>6319</v>
      </c>
      <c r="C6399" s="104" t="s">
        <v>6320</v>
      </c>
      <c r="D6399" s="129" t="s">
        <v>20071</v>
      </c>
    </row>
    <row r="6400" spans="1:4">
      <c r="A6400" s="105">
        <v>100221</v>
      </c>
      <c r="B6400" s="104" t="s">
        <v>6321</v>
      </c>
      <c r="C6400" s="104" t="s">
        <v>6320</v>
      </c>
      <c r="D6400" s="129" t="s">
        <v>17930</v>
      </c>
    </row>
    <row r="6401" spans="1:4">
      <c r="A6401" s="105">
        <v>100222</v>
      </c>
      <c r="B6401" s="104" t="s">
        <v>6322</v>
      </c>
      <c r="C6401" s="104" t="s">
        <v>6320</v>
      </c>
      <c r="D6401" s="129" t="s">
        <v>17275</v>
      </c>
    </row>
    <row r="6402" spans="1:4">
      <c r="A6402" s="105">
        <v>100223</v>
      </c>
      <c r="B6402" s="104" t="s">
        <v>6323</v>
      </c>
      <c r="C6402" s="104" t="s">
        <v>6320</v>
      </c>
      <c r="D6402" s="129" t="s">
        <v>14822</v>
      </c>
    </row>
    <row r="6403" spans="1:4">
      <c r="A6403" s="105">
        <v>100224</v>
      </c>
      <c r="B6403" s="104" t="s">
        <v>6324</v>
      </c>
      <c r="C6403" s="104" t="s">
        <v>6320</v>
      </c>
      <c r="D6403" s="129" t="s">
        <v>20070</v>
      </c>
    </row>
    <row r="6404" spans="1:4">
      <c r="A6404" s="105">
        <v>100225</v>
      </c>
      <c r="B6404" s="104" t="s">
        <v>6325</v>
      </c>
      <c r="C6404" s="104" t="s">
        <v>6326</v>
      </c>
      <c r="D6404" s="129" t="s">
        <v>15481</v>
      </c>
    </row>
    <row r="6405" spans="1:4">
      <c r="A6405" s="105">
        <v>100226</v>
      </c>
      <c r="B6405" s="104" t="s">
        <v>6327</v>
      </c>
      <c r="C6405" s="104" t="s">
        <v>6326</v>
      </c>
      <c r="D6405" s="129" t="s">
        <v>16661</v>
      </c>
    </row>
    <row r="6406" spans="1:4">
      <c r="A6406" s="105">
        <v>100227</v>
      </c>
      <c r="B6406" s="104" t="s">
        <v>6328</v>
      </c>
      <c r="C6406" s="104" t="s">
        <v>6326</v>
      </c>
      <c r="D6406" s="129" t="s">
        <v>15724</v>
      </c>
    </row>
    <row r="6407" spans="1:4">
      <c r="A6407" s="105">
        <v>100228</v>
      </c>
      <c r="B6407" s="104" t="s">
        <v>6329</v>
      </c>
      <c r="C6407" s="104" t="s">
        <v>6326</v>
      </c>
      <c r="D6407" s="129" t="s">
        <v>15277</v>
      </c>
    </row>
    <row r="6408" spans="1:4">
      <c r="A6408" s="105">
        <v>100229</v>
      </c>
      <c r="B6408" s="104" t="s">
        <v>6330</v>
      </c>
      <c r="C6408" s="104" t="s">
        <v>41</v>
      </c>
      <c r="D6408" s="129" t="s">
        <v>15684</v>
      </c>
    </row>
    <row r="6409" spans="1:4">
      <c r="A6409" s="105">
        <v>100230</v>
      </c>
      <c r="B6409" s="104" t="s">
        <v>6331</v>
      </c>
      <c r="C6409" s="104" t="s">
        <v>41</v>
      </c>
      <c r="D6409" s="129" t="s">
        <v>15426</v>
      </c>
    </row>
    <row r="6410" spans="1:4">
      <c r="A6410" s="105">
        <v>100231</v>
      </c>
      <c r="B6410" s="104" t="s">
        <v>6332</v>
      </c>
      <c r="C6410" s="104" t="s">
        <v>41</v>
      </c>
      <c r="D6410" s="129" t="s">
        <v>15354</v>
      </c>
    </row>
    <row r="6411" spans="1:4">
      <c r="A6411" s="105">
        <v>100232</v>
      </c>
      <c r="B6411" s="104" t="s">
        <v>6333</v>
      </c>
      <c r="C6411" s="104" t="s">
        <v>183</v>
      </c>
      <c r="D6411" s="129" t="s">
        <v>15524</v>
      </c>
    </row>
    <row r="6412" spans="1:4">
      <c r="A6412" s="105">
        <v>100233</v>
      </c>
      <c r="B6412" s="104" t="s">
        <v>6334</v>
      </c>
      <c r="C6412" s="104" t="s">
        <v>183</v>
      </c>
      <c r="D6412" s="129" t="s">
        <v>15693</v>
      </c>
    </row>
    <row r="6413" spans="1:4">
      <c r="A6413" s="105">
        <v>100234</v>
      </c>
      <c r="B6413" s="104" t="s">
        <v>6335</v>
      </c>
      <c r="C6413" s="104" t="s">
        <v>12</v>
      </c>
      <c r="D6413" s="129" t="s">
        <v>15763</v>
      </c>
    </row>
    <row r="6414" spans="1:4">
      <c r="A6414" s="105">
        <v>100235</v>
      </c>
      <c r="B6414" s="104" t="s">
        <v>6336</v>
      </c>
      <c r="C6414" s="104" t="s">
        <v>34</v>
      </c>
      <c r="D6414" s="129" t="s">
        <v>15354</v>
      </c>
    </row>
    <row r="6415" spans="1:4">
      <c r="A6415" s="105">
        <v>100236</v>
      </c>
      <c r="B6415" s="104" t="s">
        <v>6337</v>
      </c>
      <c r="C6415" s="104" t="s">
        <v>6338</v>
      </c>
      <c r="D6415" s="129" t="s">
        <v>20072</v>
      </c>
    </row>
    <row r="6416" spans="1:4">
      <c r="A6416" s="105">
        <v>100237</v>
      </c>
      <c r="B6416" s="104" t="s">
        <v>6339</v>
      </c>
      <c r="C6416" s="104" t="s">
        <v>6338</v>
      </c>
      <c r="D6416" s="129" t="s">
        <v>20073</v>
      </c>
    </row>
    <row r="6417" spans="1:4">
      <c r="A6417" s="105">
        <v>100238</v>
      </c>
      <c r="B6417" s="104" t="s">
        <v>6340</v>
      </c>
      <c r="C6417" s="104" t="s">
        <v>6338</v>
      </c>
      <c r="D6417" s="129" t="s">
        <v>18840</v>
      </c>
    </row>
    <row r="6418" spans="1:4">
      <c r="A6418" s="105">
        <v>100239</v>
      </c>
      <c r="B6418" s="104" t="s">
        <v>6341</v>
      </c>
      <c r="C6418" s="104" t="s">
        <v>6338</v>
      </c>
      <c r="D6418" s="129" t="s">
        <v>20074</v>
      </c>
    </row>
    <row r="6419" spans="1:4">
      <c r="A6419" s="105">
        <v>100240</v>
      </c>
      <c r="B6419" s="104" t="s">
        <v>6342</v>
      </c>
      <c r="C6419" s="104" t="s">
        <v>6338</v>
      </c>
      <c r="D6419" s="129" t="s">
        <v>15786</v>
      </c>
    </row>
    <row r="6420" spans="1:4">
      <c r="A6420" s="105">
        <v>100241</v>
      </c>
      <c r="B6420" s="104" t="s">
        <v>6343</v>
      </c>
      <c r="C6420" s="104" t="s">
        <v>6338</v>
      </c>
      <c r="D6420" s="129" t="s">
        <v>20074</v>
      </c>
    </row>
    <row r="6421" spans="1:4">
      <c r="A6421" s="105">
        <v>100242</v>
      </c>
      <c r="B6421" s="104" t="s">
        <v>6344</v>
      </c>
      <c r="C6421" s="104" t="s">
        <v>6338</v>
      </c>
      <c r="D6421" s="129" t="s">
        <v>16326</v>
      </c>
    </row>
    <row r="6422" spans="1:4">
      <c r="A6422" s="105">
        <v>100243</v>
      </c>
      <c r="B6422" s="104" t="s">
        <v>6345</v>
      </c>
      <c r="C6422" s="104" t="s">
        <v>6338</v>
      </c>
      <c r="D6422" s="129" t="s">
        <v>20070</v>
      </c>
    </row>
    <row r="6423" spans="1:4">
      <c r="A6423" s="105">
        <v>100244</v>
      </c>
      <c r="B6423" s="104" t="s">
        <v>6346</v>
      </c>
      <c r="C6423" s="104" t="s">
        <v>6338</v>
      </c>
      <c r="D6423" s="129" t="s">
        <v>15786</v>
      </c>
    </row>
    <row r="6424" spans="1:4">
      <c r="A6424" s="105">
        <v>100245</v>
      </c>
      <c r="B6424" s="104" t="s">
        <v>6347</v>
      </c>
      <c r="C6424" s="104" t="s">
        <v>6338</v>
      </c>
      <c r="D6424" s="129" t="s">
        <v>20075</v>
      </c>
    </row>
    <row r="6425" spans="1:4">
      <c r="A6425" s="105">
        <v>100246</v>
      </c>
      <c r="B6425" s="104" t="s">
        <v>6348</v>
      </c>
      <c r="C6425" s="104" t="s">
        <v>6338</v>
      </c>
      <c r="D6425" s="129" t="s">
        <v>15577</v>
      </c>
    </row>
    <row r="6426" spans="1:4">
      <c r="A6426" s="105">
        <v>100247</v>
      </c>
      <c r="B6426" s="104" t="s">
        <v>6349</v>
      </c>
      <c r="C6426" s="104" t="s">
        <v>6338</v>
      </c>
      <c r="D6426" s="129" t="s">
        <v>20073</v>
      </c>
    </row>
    <row r="6427" spans="1:4">
      <c r="A6427" s="105">
        <v>100248</v>
      </c>
      <c r="B6427" s="104" t="s">
        <v>6350</v>
      </c>
      <c r="C6427" s="104" t="s">
        <v>6338</v>
      </c>
      <c r="D6427" s="129" t="s">
        <v>19263</v>
      </c>
    </row>
    <row r="6428" spans="1:4">
      <c r="A6428" s="105">
        <v>100249</v>
      </c>
      <c r="B6428" s="104" t="s">
        <v>6351</v>
      </c>
      <c r="C6428" s="104" t="s">
        <v>6338</v>
      </c>
      <c r="D6428" s="129" t="s">
        <v>15577</v>
      </c>
    </row>
    <row r="6429" spans="1:4">
      <c r="A6429" s="105">
        <v>100250</v>
      </c>
      <c r="B6429" s="104" t="s">
        <v>6352</v>
      </c>
      <c r="C6429" s="104" t="s">
        <v>6338</v>
      </c>
      <c r="D6429" s="129" t="s">
        <v>20076</v>
      </c>
    </row>
    <row r="6430" spans="1:4">
      <c r="A6430" s="105">
        <v>100251</v>
      </c>
      <c r="B6430" s="104" t="s">
        <v>6353</v>
      </c>
      <c r="C6430" s="104" t="s">
        <v>6338</v>
      </c>
      <c r="D6430" s="129" t="s">
        <v>19263</v>
      </c>
    </row>
    <row r="6431" spans="1:4">
      <c r="A6431" s="105">
        <v>100252</v>
      </c>
      <c r="B6431" s="104" t="s">
        <v>6354</v>
      </c>
      <c r="C6431" s="104" t="s">
        <v>6338</v>
      </c>
      <c r="D6431" s="129" t="s">
        <v>16326</v>
      </c>
    </row>
    <row r="6432" spans="1:4">
      <c r="A6432" s="105">
        <v>100253</v>
      </c>
      <c r="B6432" s="104" t="s">
        <v>6355</v>
      </c>
      <c r="C6432" s="104" t="s">
        <v>6338</v>
      </c>
      <c r="D6432" s="129" t="s">
        <v>19477</v>
      </c>
    </row>
    <row r="6433" spans="1:4">
      <c r="A6433" s="105">
        <v>100254</v>
      </c>
      <c r="B6433" s="104" t="s">
        <v>6356</v>
      </c>
      <c r="C6433" s="104" t="s">
        <v>6338</v>
      </c>
      <c r="D6433" s="129" t="s">
        <v>20077</v>
      </c>
    </row>
    <row r="6434" spans="1:4">
      <c r="A6434" s="105">
        <v>100255</v>
      </c>
      <c r="B6434" s="104" t="s">
        <v>6357</v>
      </c>
      <c r="C6434" s="104" t="s">
        <v>6338</v>
      </c>
      <c r="D6434" s="129" t="s">
        <v>19250</v>
      </c>
    </row>
    <row r="6435" spans="1:4">
      <c r="A6435" s="105">
        <v>100256</v>
      </c>
      <c r="B6435" s="104" t="s">
        <v>6358</v>
      </c>
      <c r="C6435" s="104" t="s">
        <v>6338</v>
      </c>
      <c r="D6435" s="129" t="s">
        <v>15631</v>
      </c>
    </row>
    <row r="6436" spans="1:4">
      <c r="A6436" s="105">
        <v>100257</v>
      </c>
      <c r="B6436" s="104" t="s">
        <v>6359</v>
      </c>
      <c r="C6436" s="104" t="s">
        <v>6338</v>
      </c>
      <c r="D6436" s="129" t="s">
        <v>18840</v>
      </c>
    </row>
    <row r="6437" spans="1:4">
      <c r="A6437" s="105">
        <v>100258</v>
      </c>
      <c r="B6437" s="104" t="s">
        <v>6360</v>
      </c>
      <c r="C6437" s="104" t="s">
        <v>6338</v>
      </c>
      <c r="D6437" s="129" t="s">
        <v>19250</v>
      </c>
    </row>
    <row r="6438" spans="1:4">
      <c r="A6438" s="105">
        <v>100259</v>
      </c>
      <c r="B6438" s="104" t="s">
        <v>6361</v>
      </c>
      <c r="C6438" s="104" t="s">
        <v>6338</v>
      </c>
      <c r="D6438" s="129" t="s">
        <v>19477</v>
      </c>
    </row>
    <row r="6439" spans="1:4">
      <c r="A6439" s="105">
        <v>100260</v>
      </c>
      <c r="B6439" s="104" t="s">
        <v>6362</v>
      </c>
      <c r="C6439" s="104" t="s">
        <v>6292</v>
      </c>
      <c r="D6439" s="129" t="s">
        <v>19289</v>
      </c>
    </row>
    <row r="6440" spans="1:4">
      <c r="A6440" s="105">
        <v>100261</v>
      </c>
      <c r="B6440" s="104" t="s">
        <v>6363</v>
      </c>
      <c r="C6440" s="104" t="s">
        <v>6292</v>
      </c>
      <c r="D6440" s="129" t="s">
        <v>15478</v>
      </c>
    </row>
    <row r="6441" spans="1:4">
      <c r="A6441" s="105">
        <v>100262</v>
      </c>
      <c r="B6441" s="104" t="s">
        <v>6364</v>
      </c>
      <c r="C6441" s="104" t="s">
        <v>6292</v>
      </c>
      <c r="D6441" s="129" t="s">
        <v>16660</v>
      </c>
    </row>
    <row r="6442" spans="1:4">
      <c r="A6442" s="105">
        <v>100263</v>
      </c>
      <c r="B6442" s="104" t="s">
        <v>6365</v>
      </c>
      <c r="C6442" s="104" t="s">
        <v>6292</v>
      </c>
      <c r="D6442" s="129" t="s">
        <v>20078</v>
      </c>
    </row>
    <row r="6443" spans="1:4">
      <c r="A6443" s="105">
        <v>100264</v>
      </c>
      <c r="B6443" s="104" t="s">
        <v>6366</v>
      </c>
      <c r="C6443" s="104" t="s">
        <v>6320</v>
      </c>
      <c r="D6443" s="129" t="s">
        <v>20079</v>
      </c>
    </row>
    <row r="6444" spans="1:4">
      <c r="A6444" s="105">
        <v>100265</v>
      </c>
      <c r="B6444" s="104" t="s">
        <v>6367</v>
      </c>
      <c r="C6444" s="104" t="s">
        <v>12</v>
      </c>
      <c r="D6444" s="129" t="s">
        <v>15601</v>
      </c>
    </row>
    <row r="6445" spans="1:4">
      <c r="A6445" s="105">
        <v>100266</v>
      </c>
      <c r="B6445" s="104" t="s">
        <v>6368</v>
      </c>
      <c r="C6445" s="104" t="s">
        <v>6307</v>
      </c>
      <c r="D6445" s="129" t="s">
        <v>20080</v>
      </c>
    </row>
    <row r="6446" spans="1:4">
      <c r="A6446" s="105">
        <v>100267</v>
      </c>
      <c r="B6446" s="104" t="s">
        <v>6369</v>
      </c>
      <c r="C6446" s="104" t="s">
        <v>183</v>
      </c>
      <c r="D6446" s="129" t="s">
        <v>20081</v>
      </c>
    </row>
    <row r="6447" spans="1:4">
      <c r="A6447" s="105">
        <v>100268</v>
      </c>
      <c r="B6447" s="104" t="s">
        <v>6370</v>
      </c>
      <c r="C6447" s="104" t="s">
        <v>6307</v>
      </c>
      <c r="D6447" s="129" t="s">
        <v>20080</v>
      </c>
    </row>
    <row r="6448" spans="1:4">
      <c r="A6448" s="105">
        <v>100269</v>
      </c>
      <c r="B6448" s="104" t="s">
        <v>6371</v>
      </c>
      <c r="C6448" s="104" t="s">
        <v>183</v>
      </c>
      <c r="D6448" s="129" t="s">
        <v>20081</v>
      </c>
    </row>
    <row r="6449" spans="1:4">
      <c r="A6449" s="105">
        <v>100270</v>
      </c>
      <c r="B6449" s="104" t="s">
        <v>6372</v>
      </c>
      <c r="C6449" s="104" t="s">
        <v>6307</v>
      </c>
      <c r="D6449" s="129" t="s">
        <v>20082</v>
      </c>
    </row>
    <row r="6450" spans="1:4">
      <c r="A6450" s="105">
        <v>100271</v>
      </c>
      <c r="B6450" s="104" t="s">
        <v>6373</v>
      </c>
      <c r="C6450" s="104" t="s">
        <v>6320</v>
      </c>
      <c r="D6450" s="129" t="s">
        <v>20083</v>
      </c>
    </row>
    <row r="6451" spans="1:4">
      <c r="A6451" s="105">
        <v>100272</v>
      </c>
      <c r="B6451" s="104" t="s">
        <v>6374</v>
      </c>
      <c r="C6451" s="104" t="s">
        <v>12</v>
      </c>
      <c r="D6451" s="129" t="s">
        <v>19491</v>
      </c>
    </row>
    <row r="6452" spans="1:4">
      <c r="A6452" s="105">
        <v>100273</v>
      </c>
      <c r="B6452" s="104" t="s">
        <v>6375</v>
      </c>
      <c r="C6452" s="104" t="s">
        <v>6292</v>
      </c>
      <c r="D6452" s="129" t="s">
        <v>15748</v>
      </c>
    </row>
    <row r="6453" spans="1:4">
      <c r="A6453" s="105">
        <v>100274</v>
      </c>
      <c r="B6453" s="104" t="s">
        <v>6376</v>
      </c>
      <c r="C6453" s="104" t="s">
        <v>6320</v>
      </c>
      <c r="D6453" s="129" t="s">
        <v>20084</v>
      </c>
    </row>
    <row r="6454" spans="1:4">
      <c r="A6454" s="105">
        <v>100275</v>
      </c>
      <c r="B6454" s="104" t="s">
        <v>6377</v>
      </c>
      <c r="C6454" s="104" t="s">
        <v>6320</v>
      </c>
      <c r="D6454" s="129" t="s">
        <v>20085</v>
      </c>
    </row>
    <row r="6455" spans="1:4">
      <c r="A6455" s="105">
        <v>100276</v>
      </c>
      <c r="B6455" s="104" t="s">
        <v>6378</v>
      </c>
      <c r="C6455" s="104" t="s">
        <v>6320</v>
      </c>
      <c r="D6455" s="129" t="s">
        <v>19204</v>
      </c>
    </row>
    <row r="6456" spans="1:4">
      <c r="A6456" s="105">
        <v>100277</v>
      </c>
      <c r="B6456" s="104" t="s">
        <v>6379</v>
      </c>
      <c r="C6456" s="104" t="s">
        <v>6320</v>
      </c>
      <c r="D6456" s="129" t="s">
        <v>19302</v>
      </c>
    </row>
    <row r="6457" spans="1:4">
      <c r="A6457" s="105">
        <v>100278</v>
      </c>
      <c r="B6457" s="104" t="s">
        <v>6380</v>
      </c>
      <c r="C6457" s="104" t="s">
        <v>6307</v>
      </c>
      <c r="D6457" s="129" t="s">
        <v>20086</v>
      </c>
    </row>
    <row r="6458" spans="1:4">
      <c r="A6458" s="105">
        <v>100279</v>
      </c>
      <c r="B6458" s="104" t="s">
        <v>6381</v>
      </c>
      <c r="C6458" s="104" t="s">
        <v>183</v>
      </c>
      <c r="D6458" s="129" t="s">
        <v>20087</v>
      </c>
    </row>
    <row r="6459" spans="1:4">
      <c r="A6459" s="105">
        <v>100280</v>
      </c>
      <c r="B6459" s="104" t="s">
        <v>6382</v>
      </c>
      <c r="C6459" s="104" t="s">
        <v>6307</v>
      </c>
      <c r="D6459" s="129" t="s">
        <v>18864</v>
      </c>
    </row>
    <row r="6460" spans="1:4">
      <c r="A6460" s="105">
        <v>100281</v>
      </c>
      <c r="B6460" s="104" t="s">
        <v>6383</v>
      </c>
      <c r="C6460" s="104" t="s">
        <v>6307</v>
      </c>
      <c r="D6460" s="129" t="s">
        <v>20088</v>
      </c>
    </row>
    <row r="6461" spans="1:4">
      <c r="A6461" s="105">
        <v>100282</v>
      </c>
      <c r="B6461" s="104" t="s">
        <v>6384</v>
      </c>
      <c r="C6461" s="104" t="s">
        <v>6320</v>
      </c>
      <c r="D6461" s="129" t="s">
        <v>20089</v>
      </c>
    </row>
    <row r="6462" spans="1:4">
      <c r="A6462" s="105">
        <v>100283</v>
      </c>
      <c r="B6462" s="104" t="s">
        <v>6385</v>
      </c>
      <c r="C6462" s="104" t="s">
        <v>6320</v>
      </c>
      <c r="D6462" s="129" t="s">
        <v>20090</v>
      </c>
    </row>
    <row r="6463" spans="1:4">
      <c r="A6463" s="105">
        <v>100284</v>
      </c>
      <c r="B6463" s="104" t="s">
        <v>6386</v>
      </c>
      <c r="C6463" s="104" t="s">
        <v>6320</v>
      </c>
      <c r="D6463" s="129" t="s">
        <v>19769</v>
      </c>
    </row>
    <row r="6464" spans="1:4">
      <c r="A6464" s="105">
        <v>100285</v>
      </c>
      <c r="B6464" s="104" t="s">
        <v>6387</v>
      </c>
      <c r="C6464" s="104" t="s">
        <v>6338</v>
      </c>
      <c r="D6464" s="129" t="s">
        <v>19792</v>
      </c>
    </row>
    <row r="6465" spans="1:4">
      <c r="A6465" s="105">
        <v>100286</v>
      </c>
      <c r="B6465" s="104" t="s">
        <v>6388</v>
      </c>
      <c r="C6465" s="104" t="s">
        <v>6338</v>
      </c>
      <c r="D6465" s="129" t="s">
        <v>20091</v>
      </c>
    </row>
    <row r="6466" spans="1:4">
      <c r="A6466" s="105">
        <v>100287</v>
      </c>
      <c r="B6466" s="104" t="s">
        <v>6389</v>
      </c>
      <c r="C6466" s="104" t="s">
        <v>6338</v>
      </c>
      <c r="D6466" s="129" t="s">
        <v>19263</v>
      </c>
    </row>
    <row r="6467" spans="1:4">
      <c r="A6467" s="105">
        <v>99802</v>
      </c>
      <c r="B6467" s="104" t="s">
        <v>6390</v>
      </c>
      <c r="C6467" s="104" t="s">
        <v>12</v>
      </c>
      <c r="D6467" s="129" t="s">
        <v>15714</v>
      </c>
    </row>
    <row r="6468" spans="1:4">
      <c r="A6468" s="105">
        <v>99803</v>
      </c>
      <c r="B6468" s="104" t="s">
        <v>6391</v>
      </c>
      <c r="C6468" s="104" t="s">
        <v>12</v>
      </c>
      <c r="D6468" s="129" t="s">
        <v>19542</v>
      </c>
    </row>
    <row r="6469" spans="1:4">
      <c r="A6469" s="105">
        <v>99804</v>
      </c>
      <c r="B6469" s="104" t="s">
        <v>12966</v>
      </c>
      <c r="C6469" s="104" t="s">
        <v>12</v>
      </c>
      <c r="D6469" s="129" t="s">
        <v>15691</v>
      </c>
    </row>
    <row r="6470" spans="1:4">
      <c r="A6470" s="105">
        <v>99805</v>
      </c>
      <c r="B6470" s="104" t="s">
        <v>6392</v>
      </c>
      <c r="C6470" s="104" t="s">
        <v>12</v>
      </c>
      <c r="D6470" s="129" t="s">
        <v>20092</v>
      </c>
    </row>
    <row r="6471" spans="1:4">
      <c r="A6471" s="105">
        <v>99806</v>
      </c>
      <c r="B6471" s="104" t="s">
        <v>6393</v>
      </c>
      <c r="C6471" s="104" t="s">
        <v>12</v>
      </c>
      <c r="D6471" s="129" t="s">
        <v>20093</v>
      </c>
    </row>
    <row r="6472" spans="1:4">
      <c r="A6472" s="105">
        <v>99807</v>
      </c>
      <c r="B6472" s="104" t="s">
        <v>12967</v>
      </c>
      <c r="C6472" s="104" t="s">
        <v>12</v>
      </c>
      <c r="D6472" s="129" t="s">
        <v>20094</v>
      </c>
    </row>
    <row r="6473" spans="1:4">
      <c r="A6473" s="105">
        <v>99808</v>
      </c>
      <c r="B6473" s="104" t="s">
        <v>6394</v>
      </c>
      <c r="C6473" s="104" t="s">
        <v>12</v>
      </c>
      <c r="D6473" s="129" t="s">
        <v>20095</v>
      </c>
    </row>
    <row r="6474" spans="1:4">
      <c r="A6474" s="105">
        <v>99809</v>
      </c>
      <c r="B6474" s="104" t="s">
        <v>6395</v>
      </c>
      <c r="C6474" s="104" t="s">
        <v>12</v>
      </c>
      <c r="D6474" s="129" t="s">
        <v>20096</v>
      </c>
    </row>
    <row r="6475" spans="1:4">
      <c r="A6475" s="105">
        <v>99810</v>
      </c>
      <c r="B6475" s="104" t="s">
        <v>12968</v>
      </c>
      <c r="C6475" s="104" t="s">
        <v>12</v>
      </c>
      <c r="D6475" s="129" t="s">
        <v>19255</v>
      </c>
    </row>
    <row r="6476" spans="1:4">
      <c r="A6476" s="105">
        <v>99811</v>
      </c>
      <c r="B6476" s="104" t="s">
        <v>6396</v>
      </c>
      <c r="C6476" s="104" t="s">
        <v>12</v>
      </c>
      <c r="D6476" s="129" t="s">
        <v>20097</v>
      </c>
    </row>
    <row r="6477" spans="1:4">
      <c r="A6477" s="105">
        <v>99812</v>
      </c>
      <c r="B6477" s="104" t="s">
        <v>6397</v>
      </c>
      <c r="C6477" s="104" t="s">
        <v>12</v>
      </c>
      <c r="D6477" s="129" t="s">
        <v>15472</v>
      </c>
    </row>
    <row r="6478" spans="1:4">
      <c r="A6478" s="105">
        <v>99813</v>
      </c>
      <c r="B6478" s="104" t="s">
        <v>12969</v>
      </c>
      <c r="C6478" s="104" t="s">
        <v>12</v>
      </c>
      <c r="D6478" s="129" t="s">
        <v>15357</v>
      </c>
    </row>
    <row r="6479" spans="1:4">
      <c r="A6479" s="105">
        <v>99814</v>
      </c>
      <c r="B6479" s="104" t="s">
        <v>6398</v>
      </c>
      <c r="C6479" s="104" t="s">
        <v>12</v>
      </c>
      <c r="D6479" s="129" t="s">
        <v>20098</v>
      </c>
    </row>
    <row r="6480" spans="1:4">
      <c r="A6480" s="105">
        <v>99815</v>
      </c>
      <c r="B6480" s="104" t="s">
        <v>12970</v>
      </c>
      <c r="C6480" s="104" t="s">
        <v>183</v>
      </c>
      <c r="D6480" s="129" t="s">
        <v>20099</v>
      </c>
    </row>
    <row r="6481" spans="1:4">
      <c r="A6481" s="105">
        <v>99816</v>
      </c>
      <c r="B6481" s="104" t="s">
        <v>12971</v>
      </c>
      <c r="C6481" s="104" t="s">
        <v>183</v>
      </c>
      <c r="D6481" s="129" t="s">
        <v>15611</v>
      </c>
    </row>
    <row r="6482" spans="1:4">
      <c r="A6482" s="105">
        <v>99817</v>
      </c>
      <c r="B6482" s="104" t="s">
        <v>12972</v>
      </c>
      <c r="C6482" s="104" t="s">
        <v>183</v>
      </c>
      <c r="D6482" s="129" t="s">
        <v>14816</v>
      </c>
    </row>
    <row r="6483" spans="1:4">
      <c r="A6483" s="105">
        <v>99818</v>
      </c>
      <c r="B6483" s="104" t="s">
        <v>12973</v>
      </c>
      <c r="C6483" s="104" t="s">
        <v>183</v>
      </c>
      <c r="D6483" s="129" t="s">
        <v>14816</v>
      </c>
    </row>
    <row r="6484" spans="1:4">
      <c r="A6484" s="105">
        <v>99819</v>
      </c>
      <c r="B6484" s="104" t="s">
        <v>12974</v>
      </c>
      <c r="C6484" s="104" t="s">
        <v>12</v>
      </c>
      <c r="D6484" s="129" t="s">
        <v>16908</v>
      </c>
    </row>
    <row r="6485" spans="1:4">
      <c r="A6485" s="105">
        <v>99820</v>
      </c>
      <c r="B6485" s="104" t="s">
        <v>12975</v>
      </c>
      <c r="C6485" s="104" t="s">
        <v>12</v>
      </c>
      <c r="D6485" s="129" t="s">
        <v>20100</v>
      </c>
    </row>
    <row r="6486" spans="1:4">
      <c r="A6486" s="105">
        <v>99821</v>
      </c>
      <c r="B6486" s="104" t="s">
        <v>12976</v>
      </c>
      <c r="C6486" s="104" t="s">
        <v>12</v>
      </c>
      <c r="D6486" s="129" t="s">
        <v>20101</v>
      </c>
    </row>
    <row r="6487" spans="1:4">
      <c r="A6487" s="105">
        <v>99822</v>
      </c>
      <c r="B6487" s="104" t="s">
        <v>6399</v>
      </c>
      <c r="C6487" s="104" t="s">
        <v>12</v>
      </c>
      <c r="D6487" s="129" t="s">
        <v>15724</v>
      </c>
    </row>
    <row r="6488" spans="1:4">
      <c r="A6488" s="105">
        <v>99823</v>
      </c>
      <c r="B6488" s="104" t="s">
        <v>12977</v>
      </c>
      <c r="C6488" s="104" t="s">
        <v>12</v>
      </c>
      <c r="D6488" s="129" t="s">
        <v>15458</v>
      </c>
    </row>
    <row r="6489" spans="1:4">
      <c r="A6489" s="105">
        <v>99824</v>
      </c>
      <c r="B6489" s="104" t="s">
        <v>12978</v>
      </c>
      <c r="C6489" s="104" t="s">
        <v>12</v>
      </c>
      <c r="D6489" s="129" t="s">
        <v>20102</v>
      </c>
    </row>
    <row r="6490" spans="1:4">
      <c r="A6490" s="105">
        <v>99825</v>
      </c>
      <c r="B6490" s="104" t="s">
        <v>12979</v>
      </c>
      <c r="C6490" s="104" t="s">
        <v>12</v>
      </c>
      <c r="D6490" s="129" t="s">
        <v>15592</v>
      </c>
    </row>
    <row r="6491" spans="1:4">
      <c r="A6491" s="105">
        <v>99826</v>
      </c>
      <c r="B6491" s="104" t="s">
        <v>6400</v>
      </c>
      <c r="C6491" s="104" t="s">
        <v>12</v>
      </c>
      <c r="D6491" s="129" t="s">
        <v>20103</v>
      </c>
    </row>
    <row r="6492" spans="1:4">
      <c r="A6492" s="105">
        <v>97010</v>
      </c>
      <c r="B6492" s="104" t="s">
        <v>6401</v>
      </c>
      <c r="C6492" s="104" t="s">
        <v>40</v>
      </c>
      <c r="D6492" s="129" t="s">
        <v>20104</v>
      </c>
    </row>
    <row r="6493" spans="1:4">
      <c r="A6493" s="105">
        <v>97011</v>
      </c>
      <c r="B6493" s="104" t="s">
        <v>6402</v>
      </c>
      <c r="C6493" s="104" t="s">
        <v>40</v>
      </c>
      <c r="D6493" s="129" t="s">
        <v>20105</v>
      </c>
    </row>
    <row r="6494" spans="1:4">
      <c r="A6494" s="105">
        <v>97012</v>
      </c>
      <c r="B6494" s="104" t="s">
        <v>6403</v>
      </c>
      <c r="C6494" s="104" t="s">
        <v>40</v>
      </c>
      <c r="D6494" s="129" t="s">
        <v>20106</v>
      </c>
    </row>
    <row r="6495" spans="1:4">
      <c r="A6495" s="105">
        <v>97013</v>
      </c>
      <c r="B6495" s="104" t="s">
        <v>6404</v>
      </c>
      <c r="C6495" s="104" t="s">
        <v>40</v>
      </c>
      <c r="D6495" s="129" t="s">
        <v>20107</v>
      </c>
    </row>
    <row r="6496" spans="1:4">
      <c r="A6496" s="105">
        <v>97014</v>
      </c>
      <c r="B6496" s="104" t="s">
        <v>6405</v>
      </c>
      <c r="C6496" s="104" t="s">
        <v>40</v>
      </c>
      <c r="D6496" s="129" t="s">
        <v>20108</v>
      </c>
    </row>
    <row r="6497" spans="1:4">
      <c r="A6497" s="105">
        <v>97015</v>
      </c>
      <c r="B6497" s="104" t="s">
        <v>6406</v>
      </c>
      <c r="C6497" s="104" t="s">
        <v>40</v>
      </c>
      <c r="D6497" s="129" t="s">
        <v>20109</v>
      </c>
    </row>
    <row r="6498" spans="1:4">
      <c r="A6498" s="105">
        <v>97016</v>
      </c>
      <c r="B6498" s="104" t="s">
        <v>6407</v>
      </c>
      <c r="C6498" s="104" t="s">
        <v>40</v>
      </c>
      <c r="D6498" s="129" t="s">
        <v>20110</v>
      </c>
    </row>
    <row r="6499" spans="1:4">
      <c r="A6499" s="105">
        <v>97017</v>
      </c>
      <c r="B6499" s="104" t="s">
        <v>6408</v>
      </c>
      <c r="C6499" s="104" t="s">
        <v>40</v>
      </c>
      <c r="D6499" s="129" t="s">
        <v>20111</v>
      </c>
    </row>
    <row r="6500" spans="1:4">
      <c r="A6500" s="105">
        <v>97018</v>
      </c>
      <c r="B6500" s="104" t="s">
        <v>6409</v>
      </c>
      <c r="C6500" s="104" t="s">
        <v>40</v>
      </c>
      <c r="D6500" s="129" t="s">
        <v>15614</v>
      </c>
    </row>
    <row r="6501" spans="1:4">
      <c r="A6501" s="105">
        <v>97031</v>
      </c>
      <c r="B6501" s="104" t="s">
        <v>6410</v>
      </c>
      <c r="C6501" s="104" t="s">
        <v>40</v>
      </c>
      <c r="D6501" s="129" t="s">
        <v>20112</v>
      </c>
    </row>
    <row r="6502" spans="1:4">
      <c r="A6502" s="105">
        <v>97032</v>
      </c>
      <c r="B6502" s="104" t="s">
        <v>6411</v>
      </c>
      <c r="C6502" s="104" t="s">
        <v>40</v>
      </c>
      <c r="D6502" s="129" t="s">
        <v>20113</v>
      </c>
    </row>
    <row r="6503" spans="1:4">
      <c r="A6503" s="105">
        <v>97033</v>
      </c>
      <c r="B6503" s="104" t="s">
        <v>6412</v>
      </c>
      <c r="C6503" s="104" t="s">
        <v>40</v>
      </c>
      <c r="D6503" s="129" t="s">
        <v>20114</v>
      </c>
    </row>
    <row r="6504" spans="1:4">
      <c r="A6504" s="105">
        <v>97034</v>
      </c>
      <c r="B6504" s="104" t="s">
        <v>6413</v>
      </c>
      <c r="C6504" s="104" t="s">
        <v>40</v>
      </c>
      <c r="D6504" s="129" t="s">
        <v>20115</v>
      </c>
    </row>
    <row r="6505" spans="1:4">
      <c r="A6505" s="105">
        <v>97039</v>
      </c>
      <c r="B6505" s="104" t="s">
        <v>6414</v>
      </c>
      <c r="C6505" s="104" t="s">
        <v>12</v>
      </c>
      <c r="D6505" s="129" t="s">
        <v>20116</v>
      </c>
    </row>
    <row r="6506" spans="1:4">
      <c r="A6506" s="105">
        <v>97040</v>
      </c>
      <c r="B6506" s="104" t="s">
        <v>6415</v>
      </c>
      <c r="C6506" s="104" t="s">
        <v>12</v>
      </c>
      <c r="D6506" s="129" t="s">
        <v>20117</v>
      </c>
    </row>
    <row r="6507" spans="1:4">
      <c r="A6507" s="105">
        <v>97041</v>
      </c>
      <c r="B6507" s="104" t="s">
        <v>6416</v>
      </c>
      <c r="C6507" s="104" t="s">
        <v>12</v>
      </c>
      <c r="D6507" s="129" t="s">
        <v>20118</v>
      </c>
    </row>
    <row r="6508" spans="1:4">
      <c r="A6508" s="105">
        <v>97046</v>
      </c>
      <c r="B6508" s="104" t="s">
        <v>6417</v>
      </c>
      <c r="C6508" s="104" t="s">
        <v>12</v>
      </c>
      <c r="D6508" s="129" t="s">
        <v>20119</v>
      </c>
    </row>
    <row r="6509" spans="1:4">
      <c r="A6509" s="105">
        <v>97047</v>
      </c>
      <c r="B6509" s="104" t="s">
        <v>6418</v>
      </c>
      <c r="C6509" s="104" t="s">
        <v>12</v>
      </c>
      <c r="D6509" s="129" t="s">
        <v>15765</v>
      </c>
    </row>
    <row r="6510" spans="1:4">
      <c r="A6510" s="105">
        <v>97048</v>
      </c>
      <c r="B6510" s="104" t="s">
        <v>6419</v>
      </c>
      <c r="C6510" s="104" t="s">
        <v>12</v>
      </c>
      <c r="D6510" s="129" t="s">
        <v>15473</v>
      </c>
    </row>
    <row r="6511" spans="1:4">
      <c r="A6511" s="105">
        <v>97054</v>
      </c>
      <c r="B6511" s="104" t="s">
        <v>6420</v>
      </c>
      <c r="C6511" s="104" t="s">
        <v>183</v>
      </c>
      <c r="D6511" s="129" t="s">
        <v>20120</v>
      </c>
    </row>
    <row r="6512" spans="1:4">
      <c r="A6512" s="105">
        <v>97062</v>
      </c>
      <c r="B6512" s="104" t="s">
        <v>6421</v>
      </c>
      <c r="C6512" s="104" t="s">
        <v>12</v>
      </c>
      <c r="D6512" s="129" t="s">
        <v>17263</v>
      </c>
    </row>
    <row r="6513" spans="1:4">
      <c r="A6513" s="105">
        <v>97063</v>
      </c>
      <c r="B6513" s="104" t="s">
        <v>158</v>
      </c>
      <c r="C6513" s="104" t="s">
        <v>12</v>
      </c>
      <c r="D6513" s="129" t="s">
        <v>19774</v>
      </c>
    </row>
    <row r="6514" spans="1:4">
      <c r="A6514" s="105">
        <v>97064</v>
      </c>
      <c r="B6514" s="104" t="s">
        <v>6422</v>
      </c>
      <c r="C6514" s="104" t="s">
        <v>40</v>
      </c>
      <c r="D6514" s="129" t="s">
        <v>20121</v>
      </c>
    </row>
    <row r="6515" spans="1:4">
      <c r="A6515" s="105">
        <v>97065</v>
      </c>
      <c r="B6515" s="104" t="s">
        <v>6423</v>
      </c>
      <c r="C6515" s="104" t="s">
        <v>28</v>
      </c>
      <c r="D6515" s="129" t="s">
        <v>15587</v>
      </c>
    </row>
    <row r="6516" spans="1:4">
      <c r="A6516" s="105">
        <v>97066</v>
      </c>
      <c r="B6516" s="104" t="s">
        <v>6424</v>
      </c>
      <c r="C6516" s="104" t="s">
        <v>12</v>
      </c>
      <c r="D6516" s="129" t="s">
        <v>20122</v>
      </c>
    </row>
    <row r="6517" spans="1:4">
      <c r="A6517" s="105">
        <v>97067</v>
      </c>
      <c r="B6517" s="104" t="s">
        <v>6425</v>
      </c>
      <c r="C6517" s="104" t="s">
        <v>40</v>
      </c>
      <c r="D6517" s="129" t="s">
        <v>20123</v>
      </c>
    </row>
    <row r="6518" spans="1:4">
      <c r="A6518" s="105">
        <v>97621</v>
      </c>
      <c r="B6518" s="104" t="s">
        <v>6426</v>
      </c>
      <c r="C6518" s="104" t="s">
        <v>28</v>
      </c>
      <c r="D6518" s="129" t="s">
        <v>20124</v>
      </c>
    </row>
    <row r="6519" spans="1:4">
      <c r="A6519" s="105">
        <v>97622</v>
      </c>
      <c r="B6519" s="104" t="s">
        <v>6427</v>
      </c>
      <c r="C6519" s="104" t="s">
        <v>28</v>
      </c>
      <c r="D6519" s="129" t="s">
        <v>20125</v>
      </c>
    </row>
    <row r="6520" spans="1:4">
      <c r="A6520" s="105">
        <v>97623</v>
      </c>
      <c r="B6520" s="104" t="s">
        <v>6428</v>
      </c>
      <c r="C6520" s="104" t="s">
        <v>28</v>
      </c>
      <c r="D6520" s="129" t="s">
        <v>20126</v>
      </c>
    </row>
    <row r="6521" spans="1:4">
      <c r="A6521" s="105">
        <v>97624</v>
      </c>
      <c r="B6521" s="104" t="s">
        <v>6429</v>
      </c>
      <c r="C6521" s="104" t="s">
        <v>28</v>
      </c>
      <c r="D6521" s="129" t="s">
        <v>20127</v>
      </c>
    </row>
    <row r="6522" spans="1:4">
      <c r="A6522" s="105">
        <v>97625</v>
      </c>
      <c r="B6522" s="104" t="s">
        <v>6430</v>
      </c>
      <c r="C6522" s="104" t="s">
        <v>28</v>
      </c>
      <c r="D6522" s="129" t="s">
        <v>18450</v>
      </c>
    </row>
    <row r="6523" spans="1:4">
      <c r="A6523" s="105">
        <v>97626</v>
      </c>
      <c r="B6523" s="104" t="s">
        <v>6431</v>
      </c>
      <c r="C6523" s="104" t="s">
        <v>28</v>
      </c>
      <c r="D6523" s="129" t="s">
        <v>20128</v>
      </c>
    </row>
    <row r="6524" spans="1:4">
      <c r="A6524" s="105">
        <v>97627</v>
      </c>
      <c r="B6524" s="104" t="s">
        <v>6432</v>
      </c>
      <c r="C6524" s="104" t="s">
        <v>28</v>
      </c>
      <c r="D6524" s="129" t="s">
        <v>20129</v>
      </c>
    </row>
    <row r="6525" spans="1:4">
      <c r="A6525" s="105">
        <v>97628</v>
      </c>
      <c r="B6525" s="104" t="s">
        <v>6433</v>
      </c>
      <c r="C6525" s="104" t="s">
        <v>28</v>
      </c>
      <c r="D6525" s="129" t="s">
        <v>20130</v>
      </c>
    </row>
    <row r="6526" spans="1:4">
      <c r="A6526" s="105">
        <v>97629</v>
      </c>
      <c r="B6526" s="104" t="s">
        <v>6434</v>
      </c>
      <c r="C6526" s="104" t="s">
        <v>28</v>
      </c>
      <c r="D6526" s="129" t="s">
        <v>20131</v>
      </c>
    </row>
    <row r="6527" spans="1:4">
      <c r="A6527" s="105">
        <v>97631</v>
      </c>
      <c r="B6527" s="104" t="s">
        <v>6435</v>
      </c>
      <c r="C6527" s="104" t="s">
        <v>12</v>
      </c>
      <c r="D6527" s="129" t="s">
        <v>20132</v>
      </c>
    </row>
    <row r="6528" spans="1:4">
      <c r="A6528" s="105">
        <v>97632</v>
      </c>
      <c r="B6528" s="104" t="s">
        <v>6436</v>
      </c>
      <c r="C6528" s="104" t="s">
        <v>40</v>
      </c>
      <c r="D6528" s="129" t="s">
        <v>15661</v>
      </c>
    </row>
    <row r="6529" spans="1:4">
      <c r="A6529" s="105">
        <v>97633</v>
      </c>
      <c r="B6529" s="104" t="s">
        <v>33</v>
      </c>
      <c r="C6529" s="104" t="s">
        <v>12</v>
      </c>
      <c r="D6529" s="129" t="s">
        <v>20133</v>
      </c>
    </row>
    <row r="6530" spans="1:4">
      <c r="A6530" s="105">
        <v>97634</v>
      </c>
      <c r="B6530" s="104" t="s">
        <v>6437</v>
      </c>
      <c r="C6530" s="104" t="s">
        <v>12</v>
      </c>
      <c r="D6530" s="129" t="s">
        <v>19764</v>
      </c>
    </row>
    <row r="6531" spans="1:4">
      <c r="A6531" s="105">
        <v>97635</v>
      </c>
      <c r="B6531" s="104" t="s">
        <v>6438</v>
      </c>
      <c r="C6531" s="104" t="s">
        <v>12</v>
      </c>
      <c r="D6531" s="129" t="s">
        <v>20134</v>
      </c>
    </row>
    <row r="6532" spans="1:4">
      <c r="A6532" s="105">
        <v>97636</v>
      </c>
      <c r="B6532" s="104" t="s">
        <v>6439</v>
      </c>
      <c r="C6532" s="104" t="s">
        <v>12</v>
      </c>
      <c r="D6532" s="129" t="s">
        <v>19205</v>
      </c>
    </row>
    <row r="6533" spans="1:4">
      <c r="A6533" s="105">
        <v>97637</v>
      </c>
      <c r="B6533" s="104" t="s">
        <v>6440</v>
      </c>
      <c r="C6533" s="104" t="s">
        <v>12</v>
      </c>
      <c r="D6533" s="129" t="s">
        <v>14937</v>
      </c>
    </row>
    <row r="6534" spans="1:4">
      <c r="A6534" s="105">
        <v>97638</v>
      </c>
      <c r="B6534" s="104" t="s">
        <v>9</v>
      </c>
      <c r="C6534" s="104" t="s">
        <v>12</v>
      </c>
      <c r="D6534" s="129" t="s">
        <v>15582</v>
      </c>
    </row>
    <row r="6535" spans="1:4">
      <c r="A6535" s="105">
        <v>97639</v>
      </c>
      <c r="B6535" s="104" t="s">
        <v>6441</v>
      </c>
      <c r="C6535" s="104" t="s">
        <v>12</v>
      </c>
      <c r="D6535" s="129" t="s">
        <v>20135</v>
      </c>
    </row>
    <row r="6536" spans="1:4">
      <c r="A6536" s="105">
        <v>97640</v>
      </c>
      <c r="B6536" s="104" t="s">
        <v>6442</v>
      </c>
      <c r="C6536" s="104" t="s">
        <v>12</v>
      </c>
      <c r="D6536" s="129" t="s">
        <v>20136</v>
      </c>
    </row>
    <row r="6537" spans="1:4">
      <c r="A6537" s="105">
        <v>97641</v>
      </c>
      <c r="B6537" s="104" t="s">
        <v>10</v>
      </c>
      <c r="C6537" s="104" t="s">
        <v>12</v>
      </c>
      <c r="D6537" s="129" t="s">
        <v>18059</v>
      </c>
    </row>
    <row r="6538" spans="1:4">
      <c r="A6538" s="105">
        <v>97642</v>
      </c>
      <c r="B6538" s="104" t="s">
        <v>6443</v>
      </c>
      <c r="C6538" s="104" t="s">
        <v>12</v>
      </c>
      <c r="D6538" s="129" t="s">
        <v>20137</v>
      </c>
    </row>
    <row r="6539" spans="1:4">
      <c r="A6539" s="105">
        <v>97643</v>
      </c>
      <c r="B6539" s="104" t="s">
        <v>6444</v>
      </c>
      <c r="C6539" s="104" t="s">
        <v>12</v>
      </c>
      <c r="D6539" s="129" t="s">
        <v>19221</v>
      </c>
    </row>
    <row r="6540" spans="1:4">
      <c r="A6540" s="105">
        <v>97644</v>
      </c>
      <c r="B6540" s="104" t="s">
        <v>11</v>
      </c>
      <c r="C6540" s="104" t="s">
        <v>12</v>
      </c>
      <c r="D6540" s="129" t="s">
        <v>20138</v>
      </c>
    </row>
    <row r="6541" spans="1:4">
      <c r="A6541" s="105">
        <v>97645</v>
      </c>
      <c r="B6541" s="104" t="s">
        <v>13</v>
      </c>
      <c r="C6541" s="104" t="s">
        <v>12</v>
      </c>
      <c r="D6541" s="129" t="s">
        <v>19796</v>
      </c>
    </row>
    <row r="6542" spans="1:4">
      <c r="A6542" s="105">
        <v>97647</v>
      </c>
      <c r="B6542" s="104" t="s">
        <v>6445</v>
      </c>
      <c r="C6542" s="104" t="s">
        <v>12</v>
      </c>
      <c r="D6542" s="129" t="s">
        <v>20139</v>
      </c>
    </row>
    <row r="6543" spans="1:4">
      <c r="A6543" s="105">
        <v>97648</v>
      </c>
      <c r="B6543" s="104" t="s">
        <v>6446</v>
      </c>
      <c r="C6543" s="104" t="s">
        <v>12</v>
      </c>
      <c r="D6543" s="129" t="s">
        <v>20140</v>
      </c>
    </row>
    <row r="6544" spans="1:4">
      <c r="A6544" s="105">
        <v>97649</v>
      </c>
      <c r="B6544" s="104" t="s">
        <v>6447</v>
      </c>
      <c r="C6544" s="104" t="s">
        <v>12</v>
      </c>
      <c r="D6544" s="129" t="s">
        <v>15664</v>
      </c>
    </row>
    <row r="6545" spans="1:4">
      <c r="A6545" s="105">
        <v>97650</v>
      </c>
      <c r="B6545" s="104" t="s">
        <v>6448</v>
      </c>
      <c r="C6545" s="104" t="s">
        <v>12</v>
      </c>
      <c r="D6545" s="129" t="s">
        <v>19133</v>
      </c>
    </row>
    <row r="6546" spans="1:4">
      <c r="A6546" s="105">
        <v>97651</v>
      </c>
      <c r="B6546" s="104" t="s">
        <v>6449</v>
      </c>
      <c r="C6546" s="104" t="s">
        <v>183</v>
      </c>
      <c r="D6546" s="129" t="s">
        <v>20141</v>
      </c>
    </row>
    <row r="6547" spans="1:4">
      <c r="A6547" s="105">
        <v>97652</v>
      </c>
      <c r="B6547" s="104" t="s">
        <v>6450</v>
      </c>
      <c r="C6547" s="104" t="s">
        <v>183</v>
      </c>
      <c r="D6547" s="129" t="s">
        <v>20142</v>
      </c>
    </row>
    <row r="6548" spans="1:4">
      <c r="A6548" s="105">
        <v>97653</v>
      </c>
      <c r="B6548" s="104" t="s">
        <v>6451</v>
      </c>
      <c r="C6548" s="104" t="s">
        <v>183</v>
      </c>
      <c r="D6548" s="129" t="s">
        <v>20143</v>
      </c>
    </row>
    <row r="6549" spans="1:4">
      <c r="A6549" s="105">
        <v>97654</v>
      </c>
      <c r="B6549" s="104" t="s">
        <v>6452</v>
      </c>
      <c r="C6549" s="104" t="s">
        <v>183</v>
      </c>
      <c r="D6549" s="129" t="s">
        <v>20144</v>
      </c>
    </row>
    <row r="6550" spans="1:4">
      <c r="A6550" s="105">
        <v>97655</v>
      </c>
      <c r="B6550" s="104" t="s">
        <v>6453</v>
      </c>
      <c r="C6550" s="104" t="s">
        <v>12</v>
      </c>
      <c r="D6550" s="129" t="s">
        <v>17923</v>
      </c>
    </row>
    <row r="6551" spans="1:4">
      <c r="A6551" s="105">
        <v>97656</v>
      </c>
      <c r="B6551" s="104" t="s">
        <v>6454</v>
      </c>
      <c r="C6551" s="104" t="s">
        <v>183</v>
      </c>
      <c r="D6551" s="129" t="s">
        <v>20145</v>
      </c>
    </row>
    <row r="6552" spans="1:4">
      <c r="A6552" s="105">
        <v>97657</v>
      </c>
      <c r="B6552" s="104" t="s">
        <v>6455</v>
      </c>
      <c r="C6552" s="104" t="s">
        <v>183</v>
      </c>
      <c r="D6552" s="129" t="s">
        <v>20146</v>
      </c>
    </row>
    <row r="6553" spans="1:4">
      <c r="A6553" s="105">
        <v>97658</v>
      </c>
      <c r="B6553" s="104" t="s">
        <v>6456</v>
      </c>
      <c r="C6553" s="104" t="s">
        <v>183</v>
      </c>
      <c r="D6553" s="129" t="s">
        <v>20147</v>
      </c>
    </row>
    <row r="6554" spans="1:4">
      <c r="A6554" s="105">
        <v>97659</v>
      </c>
      <c r="B6554" s="104" t="s">
        <v>6457</v>
      </c>
      <c r="C6554" s="104" t="s">
        <v>183</v>
      </c>
      <c r="D6554" s="129" t="s">
        <v>20148</v>
      </c>
    </row>
    <row r="6555" spans="1:4">
      <c r="A6555" s="105">
        <v>97660</v>
      </c>
      <c r="B6555" s="104" t="s">
        <v>6458</v>
      </c>
      <c r="C6555" s="104" t="s">
        <v>183</v>
      </c>
      <c r="D6555" s="129" t="s">
        <v>15283</v>
      </c>
    </row>
    <row r="6556" spans="1:4">
      <c r="A6556" s="105">
        <v>97661</v>
      </c>
      <c r="B6556" s="104" t="s">
        <v>6459</v>
      </c>
      <c r="C6556" s="104" t="s">
        <v>40</v>
      </c>
      <c r="D6556" s="129" t="s">
        <v>15283</v>
      </c>
    </row>
    <row r="6557" spans="1:4">
      <c r="A6557" s="105">
        <v>97662</v>
      </c>
      <c r="B6557" s="104" t="s">
        <v>6460</v>
      </c>
      <c r="C6557" s="104" t="s">
        <v>40</v>
      </c>
      <c r="D6557" s="129" t="s">
        <v>15289</v>
      </c>
    </row>
    <row r="6558" spans="1:4">
      <c r="A6558" s="105">
        <v>97663</v>
      </c>
      <c r="B6558" s="104" t="s">
        <v>31</v>
      </c>
      <c r="C6558" s="104" t="s">
        <v>183</v>
      </c>
      <c r="D6558" s="129" t="s">
        <v>20149</v>
      </c>
    </row>
    <row r="6559" spans="1:4">
      <c r="A6559" s="105">
        <v>97664</v>
      </c>
      <c r="B6559" s="104" t="s">
        <v>6461</v>
      </c>
      <c r="C6559" s="104" t="s">
        <v>183</v>
      </c>
      <c r="D6559" s="129" t="s">
        <v>15285</v>
      </c>
    </row>
    <row r="6560" spans="1:4">
      <c r="A6560" s="105">
        <v>97665</v>
      </c>
      <c r="B6560" s="104" t="s">
        <v>163</v>
      </c>
      <c r="C6560" s="104" t="s">
        <v>183</v>
      </c>
      <c r="D6560" s="129" t="s">
        <v>20150</v>
      </c>
    </row>
    <row r="6561" spans="1:4">
      <c r="A6561" s="105">
        <v>97666</v>
      </c>
      <c r="B6561" s="104" t="s">
        <v>6462</v>
      </c>
      <c r="C6561" s="104" t="s">
        <v>183</v>
      </c>
      <c r="D6561" s="129" t="s">
        <v>15423</v>
      </c>
    </row>
    <row r="6562" spans="1:4">
      <c r="A6562" s="105">
        <v>95967</v>
      </c>
      <c r="B6562" s="104" t="s">
        <v>6463</v>
      </c>
      <c r="C6562" s="104" t="s">
        <v>16</v>
      </c>
      <c r="D6562" s="129" t="s">
        <v>20151</v>
      </c>
    </row>
    <row r="6563" spans="1:4">
      <c r="A6563" s="105">
        <v>99058</v>
      </c>
      <c r="B6563" s="104" t="s">
        <v>6464</v>
      </c>
      <c r="C6563" s="104" t="s">
        <v>183</v>
      </c>
      <c r="D6563" s="129" t="s">
        <v>20152</v>
      </c>
    </row>
    <row r="6564" spans="1:4">
      <c r="A6564" s="105">
        <v>99059</v>
      </c>
      <c r="B6564" s="104" t="s">
        <v>6465</v>
      </c>
      <c r="C6564" s="104" t="s">
        <v>40</v>
      </c>
      <c r="D6564" s="129" t="s">
        <v>20153</v>
      </c>
    </row>
    <row r="6565" spans="1:4">
      <c r="A6565" s="105">
        <v>99060</v>
      </c>
      <c r="B6565" s="104" t="s">
        <v>6466</v>
      </c>
      <c r="C6565" s="104" t="s">
        <v>183</v>
      </c>
      <c r="D6565" s="129" t="s">
        <v>20154</v>
      </c>
    </row>
    <row r="6566" spans="1:4">
      <c r="A6566" s="105">
        <v>99061</v>
      </c>
      <c r="B6566" s="104" t="s">
        <v>6467</v>
      </c>
      <c r="C6566" s="104" t="s">
        <v>183</v>
      </c>
      <c r="D6566" s="129" t="s">
        <v>15044</v>
      </c>
    </row>
    <row r="6567" spans="1:4">
      <c r="A6567" s="105">
        <v>99062</v>
      </c>
      <c r="B6567" s="104" t="s">
        <v>6468</v>
      </c>
      <c r="C6567" s="104" t="s">
        <v>183</v>
      </c>
      <c r="D6567" s="129" t="s">
        <v>15661</v>
      </c>
    </row>
    <row r="6568" spans="1:4">
      <c r="A6568" s="105">
        <v>99063</v>
      </c>
      <c r="B6568" s="104" t="s">
        <v>6469</v>
      </c>
      <c r="C6568" s="104" t="s">
        <v>40</v>
      </c>
      <c r="D6568" s="129" t="s">
        <v>20155</v>
      </c>
    </row>
    <row r="6569" spans="1:4">
      <c r="A6569" s="105">
        <v>99064</v>
      </c>
      <c r="B6569" s="104" t="s">
        <v>6470</v>
      </c>
      <c r="C6569" s="104" t="s">
        <v>40</v>
      </c>
      <c r="D6569" s="129" t="s">
        <v>15292</v>
      </c>
    </row>
    <row r="6570" spans="1:4">
      <c r="A6570" s="105">
        <v>93588</v>
      </c>
      <c r="B6570" s="104" t="s">
        <v>6471</v>
      </c>
      <c r="C6570" s="104" t="s">
        <v>6303</v>
      </c>
      <c r="D6570" s="129" t="s">
        <v>20067</v>
      </c>
    </row>
    <row r="6571" spans="1:4">
      <c r="A6571" s="105">
        <v>93589</v>
      </c>
      <c r="B6571" s="104" t="s">
        <v>6472</v>
      </c>
      <c r="C6571" s="104" t="s">
        <v>6303</v>
      </c>
      <c r="D6571" s="129" t="s">
        <v>20156</v>
      </c>
    </row>
    <row r="6572" spans="1:4">
      <c r="A6572" s="105">
        <v>93590</v>
      </c>
      <c r="B6572" s="104" t="s">
        <v>6473</v>
      </c>
      <c r="C6572" s="104" t="s">
        <v>6303</v>
      </c>
      <c r="D6572" s="129" t="s">
        <v>20093</v>
      </c>
    </row>
    <row r="6573" spans="1:4">
      <c r="A6573" s="105">
        <v>93591</v>
      </c>
      <c r="B6573" s="104" t="s">
        <v>6474</v>
      </c>
      <c r="C6573" s="104" t="s">
        <v>6303</v>
      </c>
      <c r="D6573" s="129" t="s">
        <v>20157</v>
      </c>
    </row>
    <row r="6574" spans="1:4">
      <c r="A6574" s="105">
        <v>93592</v>
      </c>
      <c r="B6574" s="104" t="s">
        <v>6475</v>
      </c>
      <c r="C6574" s="104" t="s">
        <v>6303</v>
      </c>
      <c r="D6574" s="129" t="s">
        <v>19916</v>
      </c>
    </row>
    <row r="6575" spans="1:4">
      <c r="A6575" s="105">
        <v>93593</v>
      </c>
      <c r="B6575" s="104" t="s">
        <v>6476</v>
      </c>
      <c r="C6575" s="104" t="s">
        <v>6303</v>
      </c>
      <c r="D6575" s="129" t="s">
        <v>15674</v>
      </c>
    </row>
    <row r="6576" spans="1:4">
      <c r="A6576" s="105">
        <v>93594</v>
      </c>
      <c r="B6576" s="104" t="s">
        <v>6477</v>
      </c>
      <c r="C6576" s="104" t="s">
        <v>5407</v>
      </c>
      <c r="D6576" s="129" t="s">
        <v>15781</v>
      </c>
    </row>
    <row r="6577" spans="1:4">
      <c r="A6577" s="105">
        <v>93595</v>
      </c>
      <c r="B6577" s="104" t="s">
        <v>6478</v>
      </c>
      <c r="C6577" s="104" t="s">
        <v>5407</v>
      </c>
      <c r="D6577" s="129" t="s">
        <v>20136</v>
      </c>
    </row>
    <row r="6578" spans="1:4">
      <c r="A6578" s="105">
        <v>93596</v>
      </c>
      <c r="B6578" s="104" t="s">
        <v>6479</v>
      </c>
      <c r="C6578" s="104" t="s">
        <v>5407</v>
      </c>
      <c r="D6578" s="129" t="s">
        <v>15306</v>
      </c>
    </row>
    <row r="6579" spans="1:4">
      <c r="A6579" s="105">
        <v>93597</v>
      </c>
      <c r="B6579" s="104" t="s">
        <v>6480</v>
      </c>
      <c r="C6579" s="104" t="s">
        <v>5407</v>
      </c>
      <c r="D6579" s="129" t="s">
        <v>20158</v>
      </c>
    </row>
    <row r="6580" spans="1:4">
      <c r="A6580" s="105">
        <v>93598</v>
      </c>
      <c r="B6580" s="104" t="s">
        <v>6481</v>
      </c>
      <c r="C6580" s="104" t="s">
        <v>5407</v>
      </c>
      <c r="D6580" s="129" t="s">
        <v>15649</v>
      </c>
    </row>
    <row r="6581" spans="1:4">
      <c r="A6581" s="105">
        <v>93599</v>
      </c>
      <c r="B6581" s="104" t="s">
        <v>6482</v>
      </c>
      <c r="C6581" s="104" t="s">
        <v>5407</v>
      </c>
      <c r="D6581" s="129" t="s">
        <v>15596</v>
      </c>
    </row>
    <row r="6582" spans="1:4">
      <c r="A6582" s="105">
        <v>95425</v>
      </c>
      <c r="B6582" s="104" t="s">
        <v>6483</v>
      </c>
      <c r="C6582" s="104" t="s">
        <v>6303</v>
      </c>
      <c r="D6582" s="129" t="s">
        <v>19300</v>
      </c>
    </row>
    <row r="6583" spans="1:4">
      <c r="A6583" s="105">
        <v>95426</v>
      </c>
      <c r="B6583" s="104" t="s">
        <v>6484</v>
      </c>
      <c r="C6583" s="104" t="s">
        <v>6303</v>
      </c>
      <c r="D6583" s="129" t="s">
        <v>19301</v>
      </c>
    </row>
    <row r="6584" spans="1:4">
      <c r="A6584" s="105">
        <v>95427</v>
      </c>
      <c r="B6584" s="104" t="s">
        <v>6485</v>
      </c>
      <c r="C6584" s="104" t="s">
        <v>6303</v>
      </c>
      <c r="D6584" s="129" t="s">
        <v>15483</v>
      </c>
    </row>
    <row r="6585" spans="1:4">
      <c r="A6585" s="105">
        <v>95428</v>
      </c>
      <c r="B6585" s="104" t="s">
        <v>6486</v>
      </c>
      <c r="C6585" s="104" t="s">
        <v>5407</v>
      </c>
      <c r="D6585" s="129" t="s">
        <v>14845</v>
      </c>
    </row>
    <row r="6586" spans="1:4">
      <c r="A6586" s="105">
        <v>95429</v>
      </c>
      <c r="B6586" s="104" t="s">
        <v>6487</v>
      </c>
      <c r="C6586" s="104" t="s">
        <v>5407</v>
      </c>
      <c r="D6586" s="129" t="s">
        <v>15477</v>
      </c>
    </row>
    <row r="6587" spans="1:4">
      <c r="A6587" s="105">
        <v>95430</v>
      </c>
      <c r="B6587" s="104" t="s">
        <v>6488</v>
      </c>
      <c r="C6587" s="104" t="s">
        <v>5407</v>
      </c>
      <c r="D6587" s="129" t="s">
        <v>20159</v>
      </c>
    </row>
    <row r="6588" spans="1:4">
      <c r="A6588" s="105">
        <v>95875</v>
      </c>
      <c r="B6588" s="104" t="s">
        <v>6489</v>
      </c>
      <c r="C6588" s="104" t="s">
        <v>6303</v>
      </c>
      <c r="D6588" s="129" t="s">
        <v>20160</v>
      </c>
    </row>
    <row r="6589" spans="1:4">
      <c r="A6589" s="105">
        <v>95876</v>
      </c>
      <c r="B6589" s="104" t="s">
        <v>6490</v>
      </c>
      <c r="C6589" s="104" t="s">
        <v>6303</v>
      </c>
      <c r="D6589" s="129" t="s">
        <v>20156</v>
      </c>
    </row>
    <row r="6590" spans="1:4">
      <c r="A6590" s="105">
        <v>95877</v>
      </c>
      <c r="B6590" s="104" t="s">
        <v>6491</v>
      </c>
      <c r="C6590" s="104" t="s">
        <v>6303</v>
      </c>
      <c r="D6590" s="129" t="s">
        <v>19302</v>
      </c>
    </row>
    <row r="6591" spans="1:4">
      <c r="A6591" s="105">
        <v>95878</v>
      </c>
      <c r="B6591" s="104" t="s">
        <v>6492</v>
      </c>
      <c r="C6591" s="104" t="s">
        <v>5407</v>
      </c>
      <c r="D6591" s="129" t="s">
        <v>20161</v>
      </c>
    </row>
    <row r="6592" spans="1:4">
      <c r="A6592" s="105">
        <v>95879</v>
      </c>
      <c r="B6592" s="104" t="s">
        <v>6493</v>
      </c>
      <c r="C6592" s="104" t="s">
        <v>5407</v>
      </c>
      <c r="D6592" s="129" t="s">
        <v>19122</v>
      </c>
    </row>
    <row r="6593" spans="1:4">
      <c r="A6593" s="105">
        <v>95880</v>
      </c>
      <c r="B6593" s="104" t="s">
        <v>6494</v>
      </c>
      <c r="C6593" s="104" t="s">
        <v>5407</v>
      </c>
      <c r="D6593" s="129" t="s">
        <v>15648</v>
      </c>
    </row>
    <row r="6594" spans="1:4">
      <c r="A6594" s="105">
        <v>97912</v>
      </c>
      <c r="B6594" s="104" t="s">
        <v>6495</v>
      </c>
      <c r="C6594" s="104" t="s">
        <v>6303</v>
      </c>
      <c r="D6594" s="129" t="s">
        <v>20162</v>
      </c>
    </row>
    <row r="6595" spans="1:4">
      <c r="A6595" s="105">
        <v>97913</v>
      </c>
      <c r="B6595" s="104" t="s">
        <v>6496</v>
      </c>
      <c r="C6595" s="104" t="s">
        <v>6303</v>
      </c>
      <c r="D6595" s="129" t="s">
        <v>20073</v>
      </c>
    </row>
    <row r="6596" spans="1:4">
      <c r="A6596" s="105">
        <v>97914</v>
      </c>
      <c r="B6596" s="104" t="s">
        <v>6497</v>
      </c>
      <c r="C6596" s="104" t="s">
        <v>6303</v>
      </c>
      <c r="D6596" s="129" t="s">
        <v>20163</v>
      </c>
    </row>
    <row r="6597" spans="1:4">
      <c r="A6597" s="105">
        <v>97915</v>
      </c>
      <c r="B6597" s="104" t="s">
        <v>6498</v>
      </c>
      <c r="C6597" s="104" t="s">
        <v>6303</v>
      </c>
      <c r="D6597" s="129" t="s">
        <v>15286</v>
      </c>
    </row>
    <row r="6598" spans="1:4">
      <c r="A6598" s="105">
        <v>100937</v>
      </c>
      <c r="B6598" s="104" t="s">
        <v>6499</v>
      </c>
      <c r="C6598" s="104" t="s">
        <v>6303</v>
      </c>
      <c r="D6598" s="129" t="s">
        <v>14941</v>
      </c>
    </row>
    <row r="6599" spans="1:4">
      <c r="A6599" s="105">
        <v>100938</v>
      </c>
      <c r="B6599" s="104" t="s">
        <v>6500</v>
      </c>
      <c r="C6599" s="104" t="s">
        <v>6303</v>
      </c>
      <c r="D6599" s="129" t="s">
        <v>18029</v>
      </c>
    </row>
    <row r="6600" spans="1:4">
      <c r="A6600" s="105">
        <v>100939</v>
      </c>
      <c r="B6600" s="104" t="s">
        <v>6501</v>
      </c>
      <c r="C6600" s="104" t="s">
        <v>6303</v>
      </c>
      <c r="D6600" s="129" t="s">
        <v>15756</v>
      </c>
    </row>
    <row r="6601" spans="1:4">
      <c r="A6601" s="105">
        <v>100940</v>
      </c>
      <c r="B6601" s="104" t="s">
        <v>6502</v>
      </c>
      <c r="C6601" s="104" t="s">
        <v>6303</v>
      </c>
      <c r="D6601" s="129" t="s">
        <v>15608</v>
      </c>
    </row>
    <row r="6602" spans="1:4">
      <c r="A6602" s="105">
        <v>100941</v>
      </c>
      <c r="B6602" s="104" t="s">
        <v>6503</v>
      </c>
      <c r="C6602" s="104" t="s">
        <v>5407</v>
      </c>
      <c r="D6602" s="129" t="s">
        <v>15587</v>
      </c>
    </row>
    <row r="6603" spans="1:4">
      <c r="A6603" s="105">
        <v>100942</v>
      </c>
      <c r="B6603" s="104" t="s">
        <v>6504</v>
      </c>
      <c r="C6603" s="104" t="s">
        <v>5407</v>
      </c>
      <c r="D6603" s="129" t="s">
        <v>15670</v>
      </c>
    </row>
    <row r="6604" spans="1:4">
      <c r="A6604" s="105">
        <v>100943</v>
      </c>
      <c r="B6604" s="104" t="s">
        <v>6505</v>
      </c>
      <c r="C6604" s="104" t="s">
        <v>5407</v>
      </c>
      <c r="D6604" s="129" t="s">
        <v>15774</v>
      </c>
    </row>
    <row r="6605" spans="1:4">
      <c r="A6605" s="105">
        <v>100944</v>
      </c>
      <c r="B6605" s="104" t="s">
        <v>6506</v>
      </c>
      <c r="C6605" s="104" t="s">
        <v>5407</v>
      </c>
      <c r="D6605" s="129" t="s">
        <v>20164</v>
      </c>
    </row>
    <row r="6606" spans="1:4">
      <c r="A6606" s="105">
        <v>100945</v>
      </c>
      <c r="B6606" s="104" t="s">
        <v>6507</v>
      </c>
      <c r="C6606" s="104" t="s">
        <v>5407</v>
      </c>
      <c r="D6606" s="129" t="s">
        <v>14841</v>
      </c>
    </row>
    <row r="6607" spans="1:4">
      <c r="A6607" s="105">
        <v>100946</v>
      </c>
      <c r="B6607" s="104" t="s">
        <v>6508</v>
      </c>
      <c r="C6607" s="104" t="s">
        <v>5407</v>
      </c>
      <c r="D6607" s="129" t="s">
        <v>20102</v>
      </c>
    </row>
    <row r="6608" spans="1:4">
      <c r="A6608" s="105">
        <v>100947</v>
      </c>
      <c r="B6608" s="104" t="s">
        <v>6509</v>
      </c>
      <c r="C6608" s="104" t="s">
        <v>5407</v>
      </c>
      <c r="D6608" s="129" t="s">
        <v>20165</v>
      </c>
    </row>
    <row r="6609" spans="1:4">
      <c r="A6609" s="105">
        <v>100948</v>
      </c>
      <c r="B6609" s="104" t="s">
        <v>6510</v>
      </c>
      <c r="C6609" s="104" t="s">
        <v>5407</v>
      </c>
      <c r="D6609" s="129" t="s">
        <v>15603</v>
      </c>
    </row>
    <row r="6610" spans="1:4">
      <c r="A6610" s="105">
        <v>100949</v>
      </c>
      <c r="B6610" s="104" t="s">
        <v>6511</v>
      </c>
      <c r="C6610" s="104" t="s">
        <v>5407</v>
      </c>
      <c r="D6610" s="129" t="s">
        <v>15690</v>
      </c>
    </row>
    <row r="6611" spans="1:4">
      <c r="A6611" s="105">
        <v>100950</v>
      </c>
      <c r="B6611" s="104" t="s">
        <v>6512</v>
      </c>
      <c r="C6611" s="104" t="s">
        <v>5407</v>
      </c>
      <c r="D6611" s="129" t="s">
        <v>20166</v>
      </c>
    </row>
    <row r="6612" spans="1:4">
      <c r="A6612" s="105">
        <v>100951</v>
      </c>
      <c r="B6612" s="104" t="s">
        <v>6513</v>
      </c>
      <c r="C6612" s="104" t="s">
        <v>5407</v>
      </c>
      <c r="D6612" s="129" t="s">
        <v>19183</v>
      </c>
    </row>
    <row r="6613" spans="1:4">
      <c r="A6613" s="105">
        <v>100952</v>
      </c>
      <c r="B6613" s="104" t="s">
        <v>6514</v>
      </c>
      <c r="C6613" s="104" t="s">
        <v>5407</v>
      </c>
      <c r="D6613" s="129" t="s">
        <v>20167</v>
      </c>
    </row>
    <row r="6614" spans="1:4">
      <c r="A6614" s="105">
        <v>100953</v>
      </c>
      <c r="B6614" s="104" t="s">
        <v>6515</v>
      </c>
      <c r="C6614" s="104" t="s">
        <v>5407</v>
      </c>
      <c r="D6614" s="129" t="s">
        <v>15480</v>
      </c>
    </row>
    <row r="6615" spans="1:4">
      <c r="A6615" s="105">
        <v>100954</v>
      </c>
      <c r="B6615" s="104" t="s">
        <v>6516</v>
      </c>
      <c r="C6615" s="104" t="s">
        <v>5407</v>
      </c>
      <c r="D6615" s="129" t="s">
        <v>15631</v>
      </c>
    </row>
    <row r="6616" spans="1:4">
      <c r="A6616" s="105">
        <v>100955</v>
      </c>
      <c r="B6616" s="104" t="s">
        <v>6517</v>
      </c>
      <c r="C6616" s="104" t="s">
        <v>6303</v>
      </c>
      <c r="D6616" s="129" t="s">
        <v>15663</v>
      </c>
    </row>
    <row r="6617" spans="1:4">
      <c r="A6617" s="105">
        <v>100956</v>
      </c>
      <c r="B6617" s="104" t="s">
        <v>6518</v>
      </c>
      <c r="C6617" s="104" t="s">
        <v>6303</v>
      </c>
      <c r="D6617" s="129" t="s">
        <v>18055</v>
      </c>
    </row>
    <row r="6618" spans="1:4">
      <c r="A6618" s="105">
        <v>100957</v>
      </c>
      <c r="B6618" s="104" t="s">
        <v>6519</v>
      </c>
      <c r="C6618" s="104" t="s">
        <v>6303</v>
      </c>
      <c r="D6618" s="129" t="s">
        <v>20168</v>
      </c>
    </row>
    <row r="6619" spans="1:4">
      <c r="A6619" s="105">
        <v>100958</v>
      </c>
      <c r="B6619" s="104" t="s">
        <v>6520</v>
      </c>
      <c r="C6619" s="104" t="s">
        <v>6303</v>
      </c>
      <c r="D6619" s="129" t="s">
        <v>19570</v>
      </c>
    </row>
    <row r="6620" spans="1:4">
      <c r="A6620" s="105">
        <v>100959</v>
      </c>
      <c r="B6620" s="104" t="s">
        <v>6521</v>
      </c>
      <c r="C6620" s="104" t="s">
        <v>6303</v>
      </c>
      <c r="D6620" s="129" t="s">
        <v>18174</v>
      </c>
    </row>
    <row r="6621" spans="1:4">
      <c r="A6621" s="105">
        <v>100960</v>
      </c>
      <c r="B6621" s="104" t="s">
        <v>6522</v>
      </c>
      <c r="C6621" s="104" t="s">
        <v>6303</v>
      </c>
      <c r="D6621" s="129" t="s">
        <v>15728</v>
      </c>
    </row>
    <row r="6622" spans="1:4">
      <c r="A6622" s="105">
        <v>100961</v>
      </c>
      <c r="B6622" s="104" t="s">
        <v>6523</v>
      </c>
      <c r="C6622" s="104" t="s">
        <v>6303</v>
      </c>
      <c r="D6622" s="129" t="s">
        <v>15592</v>
      </c>
    </row>
    <row r="6623" spans="1:4">
      <c r="A6623" s="105">
        <v>100962</v>
      </c>
      <c r="B6623" s="104" t="s">
        <v>6524</v>
      </c>
      <c r="C6623" s="104" t="s">
        <v>6303</v>
      </c>
      <c r="D6623" s="129" t="s">
        <v>20169</v>
      </c>
    </row>
    <row r="6624" spans="1:4">
      <c r="A6624" s="105">
        <v>100963</v>
      </c>
      <c r="B6624" s="104" t="s">
        <v>6525</v>
      </c>
      <c r="C6624" s="104" t="s">
        <v>6303</v>
      </c>
      <c r="D6624" s="129" t="s">
        <v>19491</v>
      </c>
    </row>
    <row r="6625" spans="1:4">
      <c r="A6625" s="105">
        <v>100964</v>
      </c>
      <c r="B6625" s="104" t="s">
        <v>6526</v>
      </c>
      <c r="C6625" s="104" t="s">
        <v>6303</v>
      </c>
      <c r="D6625" s="129" t="s">
        <v>20170</v>
      </c>
    </row>
    <row r="6626" spans="1:4">
      <c r="A6626" s="105">
        <v>100973</v>
      </c>
      <c r="B6626" s="104" t="s">
        <v>6527</v>
      </c>
      <c r="C6626" s="104" t="s">
        <v>28</v>
      </c>
      <c r="D6626" s="129" t="s">
        <v>14819</v>
      </c>
    </row>
    <row r="6627" spans="1:4">
      <c r="A6627" s="105">
        <v>100974</v>
      </c>
      <c r="B6627" s="104" t="s">
        <v>6528</v>
      </c>
      <c r="C6627" s="104" t="s">
        <v>28</v>
      </c>
      <c r="D6627" s="129" t="s">
        <v>17155</v>
      </c>
    </row>
    <row r="6628" spans="1:4">
      <c r="A6628" s="105">
        <v>100975</v>
      </c>
      <c r="B6628" s="104" t="s">
        <v>6529</v>
      </c>
      <c r="C6628" s="104" t="s">
        <v>28</v>
      </c>
      <c r="D6628" s="129" t="s">
        <v>17233</v>
      </c>
    </row>
    <row r="6629" spans="1:4">
      <c r="A6629" s="105">
        <v>100965</v>
      </c>
      <c r="B6629" s="104" t="s">
        <v>6530</v>
      </c>
      <c r="C6629" s="104" t="s">
        <v>5407</v>
      </c>
      <c r="D6629" s="129" t="s">
        <v>20158</v>
      </c>
    </row>
    <row r="6630" spans="1:4">
      <c r="A6630" s="105">
        <v>100966</v>
      </c>
      <c r="B6630" s="104" t="s">
        <v>6531</v>
      </c>
      <c r="C6630" s="104" t="s">
        <v>5407</v>
      </c>
      <c r="D6630" s="129" t="s">
        <v>15649</v>
      </c>
    </row>
    <row r="6631" spans="1:4">
      <c r="A6631" s="105">
        <v>100969</v>
      </c>
      <c r="B6631" s="104" t="s">
        <v>6532</v>
      </c>
      <c r="C6631" s="104" t="s">
        <v>5407</v>
      </c>
      <c r="D6631" s="129" t="s">
        <v>20171</v>
      </c>
    </row>
    <row r="6632" spans="1:4">
      <c r="A6632" s="105">
        <v>100970</v>
      </c>
      <c r="B6632" s="104" t="s">
        <v>6533</v>
      </c>
      <c r="C6632" s="104" t="s">
        <v>5407</v>
      </c>
      <c r="D6632" s="129" t="s">
        <v>20172</v>
      </c>
    </row>
    <row r="6633" spans="1:4">
      <c r="A6633" s="105">
        <v>102330</v>
      </c>
      <c r="B6633" s="104" t="s">
        <v>6534</v>
      </c>
      <c r="C6633" s="104" t="s">
        <v>5407</v>
      </c>
      <c r="D6633" s="129" t="s">
        <v>20136</v>
      </c>
    </row>
    <row r="6634" spans="1:4">
      <c r="A6634" s="105">
        <v>102331</v>
      </c>
      <c r="B6634" s="104" t="s">
        <v>6535</v>
      </c>
      <c r="C6634" s="104" t="s">
        <v>5407</v>
      </c>
      <c r="D6634" s="129" t="s">
        <v>15605</v>
      </c>
    </row>
    <row r="6635" spans="1:4">
      <c r="A6635" s="105">
        <v>102332</v>
      </c>
      <c r="B6635" s="104" t="s">
        <v>6536</v>
      </c>
      <c r="C6635" s="104" t="s">
        <v>5407</v>
      </c>
      <c r="D6635" s="129" t="s">
        <v>19542</v>
      </c>
    </row>
    <row r="6636" spans="1:4">
      <c r="A6636" s="105">
        <v>102333</v>
      </c>
      <c r="B6636" s="104" t="s">
        <v>6537</v>
      </c>
      <c r="C6636" s="104" t="s">
        <v>5407</v>
      </c>
      <c r="D6636" s="129" t="s">
        <v>15483</v>
      </c>
    </row>
    <row r="6637" spans="1:4">
      <c r="A6637" s="105">
        <v>101019</v>
      </c>
      <c r="B6637" s="104" t="s">
        <v>6538</v>
      </c>
      <c r="C6637" s="104" t="s">
        <v>5662</v>
      </c>
      <c r="D6637" s="129" t="s">
        <v>20173</v>
      </c>
    </row>
    <row r="6638" spans="1:4">
      <c r="A6638" s="105">
        <v>101479</v>
      </c>
      <c r="B6638" s="104" t="s">
        <v>6539</v>
      </c>
      <c r="C6638" s="104" t="s">
        <v>5662</v>
      </c>
      <c r="D6638" s="129" t="s">
        <v>20174</v>
      </c>
    </row>
    <row r="6639" spans="1:4">
      <c r="A6639" s="105">
        <v>102568</v>
      </c>
      <c r="B6639" s="104" t="s">
        <v>6540</v>
      </c>
      <c r="C6639" s="104" t="s">
        <v>5662</v>
      </c>
      <c r="D6639" s="129" t="s">
        <v>20175</v>
      </c>
    </row>
    <row r="6640" spans="1:4">
      <c r="A6640" s="105">
        <v>100976</v>
      </c>
      <c r="B6640" s="104" t="s">
        <v>6541</v>
      </c>
      <c r="C6640" s="104" t="s">
        <v>28</v>
      </c>
      <c r="D6640" s="129" t="s">
        <v>19774</v>
      </c>
    </row>
    <row r="6641" spans="1:4">
      <c r="A6641" s="105">
        <v>100977</v>
      </c>
      <c r="B6641" s="104" t="s">
        <v>6542</v>
      </c>
      <c r="C6641" s="104" t="s">
        <v>28</v>
      </c>
      <c r="D6641" s="129" t="s">
        <v>17716</v>
      </c>
    </row>
    <row r="6642" spans="1:4">
      <c r="A6642" s="105">
        <v>100978</v>
      </c>
      <c r="B6642" s="104" t="s">
        <v>6543</v>
      </c>
      <c r="C6642" s="104" t="s">
        <v>28</v>
      </c>
      <c r="D6642" s="129" t="s">
        <v>20176</v>
      </c>
    </row>
    <row r="6643" spans="1:4">
      <c r="A6643" s="105">
        <v>100979</v>
      </c>
      <c r="B6643" s="104" t="s">
        <v>6544</v>
      </c>
      <c r="C6643" s="104" t="s">
        <v>28</v>
      </c>
      <c r="D6643" s="129" t="s">
        <v>17184</v>
      </c>
    </row>
    <row r="6644" spans="1:4">
      <c r="A6644" s="105">
        <v>100980</v>
      </c>
      <c r="B6644" s="104" t="s">
        <v>6545</v>
      </c>
      <c r="C6644" s="104" t="s">
        <v>28</v>
      </c>
      <c r="D6644" s="129" t="s">
        <v>20177</v>
      </c>
    </row>
    <row r="6645" spans="1:4">
      <c r="A6645" s="105">
        <v>100981</v>
      </c>
      <c r="B6645" s="104" t="s">
        <v>6546</v>
      </c>
      <c r="C6645" s="104" t="s">
        <v>28</v>
      </c>
      <c r="D6645" s="129" t="s">
        <v>14853</v>
      </c>
    </row>
    <row r="6646" spans="1:4">
      <c r="A6646" s="105">
        <v>100982</v>
      </c>
      <c r="B6646" s="104" t="s">
        <v>6547</v>
      </c>
      <c r="C6646" s="104" t="s">
        <v>28</v>
      </c>
      <c r="D6646" s="129" t="s">
        <v>15768</v>
      </c>
    </row>
    <row r="6647" spans="1:4">
      <c r="A6647" s="105">
        <v>100983</v>
      </c>
      <c r="B6647" s="104" t="s">
        <v>6548</v>
      </c>
      <c r="C6647" s="104" t="s">
        <v>28</v>
      </c>
      <c r="D6647" s="129" t="s">
        <v>15523</v>
      </c>
    </row>
    <row r="6648" spans="1:4">
      <c r="A6648" s="105">
        <v>100984</v>
      </c>
      <c r="B6648" s="104" t="s">
        <v>6549</v>
      </c>
      <c r="C6648" s="104" t="s">
        <v>28</v>
      </c>
      <c r="D6648" s="129" t="s">
        <v>19606</v>
      </c>
    </row>
    <row r="6649" spans="1:4">
      <c r="A6649" s="105">
        <v>100985</v>
      </c>
      <c r="B6649" s="104" t="s">
        <v>6550</v>
      </c>
      <c r="C6649" s="104" t="s">
        <v>28</v>
      </c>
      <c r="D6649" s="129" t="s">
        <v>15530</v>
      </c>
    </row>
    <row r="6650" spans="1:4">
      <c r="A6650" s="105">
        <v>100986</v>
      </c>
      <c r="B6650" s="104" t="s">
        <v>6551</v>
      </c>
      <c r="C6650" s="104" t="s">
        <v>28</v>
      </c>
      <c r="D6650" s="129" t="s">
        <v>20178</v>
      </c>
    </row>
    <row r="6651" spans="1:4">
      <c r="A6651" s="105">
        <v>100987</v>
      </c>
      <c r="B6651" s="104" t="s">
        <v>6552</v>
      </c>
      <c r="C6651" s="104" t="s">
        <v>28</v>
      </c>
      <c r="D6651" s="129" t="s">
        <v>15604</v>
      </c>
    </row>
    <row r="6652" spans="1:4">
      <c r="A6652" s="105">
        <v>100988</v>
      </c>
      <c r="B6652" s="104" t="s">
        <v>6553</v>
      </c>
      <c r="C6652" s="104" t="s">
        <v>28</v>
      </c>
      <c r="D6652" s="129" t="s">
        <v>20179</v>
      </c>
    </row>
    <row r="6653" spans="1:4">
      <c r="A6653" s="105">
        <v>100989</v>
      </c>
      <c r="B6653" s="104" t="s">
        <v>6554</v>
      </c>
      <c r="C6653" s="104" t="s">
        <v>5662</v>
      </c>
      <c r="D6653" s="129" t="s">
        <v>20180</v>
      </c>
    </row>
    <row r="6654" spans="1:4">
      <c r="A6654" s="105">
        <v>100990</v>
      </c>
      <c r="B6654" s="104" t="s">
        <v>6555</v>
      </c>
      <c r="C6654" s="104" t="s">
        <v>5662</v>
      </c>
      <c r="D6654" s="129" t="s">
        <v>15539</v>
      </c>
    </row>
    <row r="6655" spans="1:4">
      <c r="A6655" s="105">
        <v>100991</v>
      </c>
      <c r="B6655" s="104" t="s">
        <v>6556</v>
      </c>
      <c r="C6655" s="104" t="s">
        <v>5662</v>
      </c>
      <c r="D6655" s="129" t="s">
        <v>15796</v>
      </c>
    </row>
    <row r="6656" spans="1:4">
      <c r="A6656" s="105">
        <v>100992</v>
      </c>
      <c r="B6656" s="104" t="s">
        <v>6557</v>
      </c>
      <c r="C6656" s="104" t="s">
        <v>5662</v>
      </c>
      <c r="D6656" s="129" t="s">
        <v>15143</v>
      </c>
    </row>
    <row r="6657" spans="1:4">
      <c r="A6657" s="105">
        <v>100993</v>
      </c>
      <c r="B6657" s="104" t="s">
        <v>6558</v>
      </c>
      <c r="C6657" s="104" t="s">
        <v>5662</v>
      </c>
      <c r="D6657" s="129" t="s">
        <v>15471</v>
      </c>
    </row>
    <row r="6658" spans="1:4">
      <c r="A6658" s="105">
        <v>100994</v>
      </c>
      <c r="B6658" s="104" t="s">
        <v>6559</v>
      </c>
      <c r="C6658" s="104" t="s">
        <v>5662</v>
      </c>
      <c r="D6658" s="129" t="s">
        <v>20181</v>
      </c>
    </row>
    <row r="6659" spans="1:4">
      <c r="A6659" s="105">
        <v>100995</v>
      </c>
      <c r="B6659" s="104" t="s">
        <v>6560</v>
      </c>
      <c r="C6659" s="104" t="s">
        <v>5662</v>
      </c>
      <c r="D6659" s="129" t="s">
        <v>20182</v>
      </c>
    </row>
    <row r="6660" spans="1:4">
      <c r="A6660" s="105">
        <v>100996</v>
      </c>
      <c r="B6660" s="104" t="s">
        <v>6561</v>
      </c>
      <c r="C6660" s="104" t="s">
        <v>5662</v>
      </c>
      <c r="D6660" s="129" t="s">
        <v>15266</v>
      </c>
    </row>
    <row r="6661" spans="1:4">
      <c r="A6661" s="105">
        <v>100997</v>
      </c>
      <c r="B6661" s="104" t="s">
        <v>6562</v>
      </c>
      <c r="C6661" s="104" t="s">
        <v>5662</v>
      </c>
      <c r="D6661" s="129" t="s">
        <v>20176</v>
      </c>
    </row>
    <row r="6662" spans="1:4">
      <c r="A6662" s="105">
        <v>100998</v>
      </c>
      <c r="B6662" s="104" t="s">
        <v>6563</v>
      </c>
      <c r="C6662" s="104" t="s">
        <v>5662</v>
      </c>
      <c r="D6662" s="129" t="s">
        <v>20183</v>
      </c>
    </row>
    <row r="6663" spans="1:4">
      <c r="A6663" s="105">
        <v>100999</v>
      </c>
      <c r="B6663" s="104" t="s">
        <v>6564</v>
      </c>
      <c r="C6663" s="104" t="s">
        <v>5662</v>
      </c>
      <c r="D6663" s="129" t="s">
        <v>18070</v>
      </c>
    </row>
    <row r="6664" spans="1:4">
      <c r="A6664" s="105">
        <v>101000</v>
      </c>
      <c r="B6664" s="104" t="s">
        <v>6565</v>
      </c>
      <c r="C6664" s="104" t="s">
        <v>5662</v>
      </c>
      <c r="D6664" s="129" t="s">
        <v>20176</v>
      </c>
    </row>
    <row r="6665" spans="1:4">
      <c r="A6665" s="105">
        <v>101001</v>
      </c>
      <c r="B6665" s="104" t="s">
        <v>6566</v>
      </c>
      <c r="C6665" s="104" t="s">
        <v>5662</v>
      </c>
      <c r="D6665" s="129" t="s">
        <v>20184</v>
      </c>
    </row>
    <row r="6666" spans="1:4">
      <c r="A6666" s="105">
        <v>101002</v>
      </c>
      <c r="B6666" s="104" t="s">
        <v>6567</v>
      </c>
      <c r="C6666" s="104" t="s">
        <v>5662</v>
      </c>
      <c r="D6666" s="129" t="s">
        <v>15539</v>
      </c>
    </row>
    <row r="6667" spans="1:4">
      <c r="A6667" s="105">
        <v>101003</v>
      </c>
      <c r="B6667" s="104" t="s">
        <v>6568</v>
      </c>
      <c r="C6667" s="104" t="s">
        <v>5662</v>
      </c>
      <c r="D6667" s="129" t="s">
        <v>15007</v>
      </c>
    </row>
    <row r="6668" spans="1:4">
      <c r="A6668" s="105">
        <v>101004</v>
      </c>
      <c r="B6668" s="104" t="s">
        <v>6569</v>
      </c>
      <c r="C6668" s="104" t="s">
        <v>5662</v>
      </c>
      <c r="D6668" s="129" t="s">
        <v>18148</v>
      </c>
    </row>
    <row r="6669" spans="1:4">
      <c r="A6669" s="105">
        <v>101005</v>
      </c>
      <c r="B6669" s="104" t="s">
        <v>6570</v>
      </c>
      <c r="C6669" s="104" t="s">
        <v>28</v>
      </c>
      <c r="D6669" s="129" t="s">
        <v>20185</v>
      </c>
    </row>
    <row r="6670" spans="1:4">
      <c r="A6670" s="105">
        <v>101006</v>
      </c>
      <c r="B6670" s="104" t="s">
        <v>6571</v>
      </c>
      <c r="C6670" s="104" t="s">
        <v>28</v>
      </c>
      <c r="D6670" s="129" t="s">
        <v>20186</v>
      </c>
    </row>
    <row r="6671" spans="1:4">
      <c r="A6671" s="105">
        <v>101007</v>
      </c>
      <c r="B6671" s="104" t="s">
        <v>6572</v>
      </c>
      <c r="C6671" s="104" t="s">
        <v>28</v>
      </c>
      <c r="D6671" s="129" t="s">
        <v>20180</v>
      </c>
    </row>
    <row r="6672" spans="1:4">
      <c r="A6672" s="105">
        <v>101008</v>
      </c>
      <c r="B6672" s="104" t="s">
        <v>6573</v>
      </c>
      <c r="C6672" s="104" t="s">
        <v>28</v>
      </c>
      <c r="D6672" s="129" t="s">
        <v>20187</v>
      </c>
    </row>
    <row r="6673" spans="1:4">
      <c r="A6673" s="105">
        <v>101009</v>
      </c>
      <c r="B6673" s="104" t="s">
        <v>6574</v>
      </c>
      <c r="C6673" s="104" t="s">
        <v>5662</v>
      </c>
      <c r="D6673" s="129" t="s">
        <v>20188</v>
      </c>
    </row>
    <row r="6674" spans="1:4">
      <c r="A6674" s="105">
        <v>101010</v>
      </c>
      <c r="B6674" s="104" t="s">
        <v>6575</v>
      </c>
      <c r="C6674" s="104" t="s">
        <v>5662</v>
      </c>
      <c r="D6674" s="129" t="s">
        <v>20189</v>
      </c>
    </row>
    <row r="6675" spans="1:4">
      <c r="A6675" s="105">
        <v>101013</v>
      </c>
      <c r="B6675" s="104" t="s">
        <v>6576</v>
      </c>
      <c r="C6675" s="104" t="s">
        <v>5662</v>
      </c>
      <c r="D6675" s="129" t="s">
        <v>20190</v>
      </c>
    </row>
    <row r="6676" spans="1:4">
      <c r="A6676" s="105">
        <v>101014</v>
      </c>
      <c r="B6676" s="104" t="s">
        <v>6577</v>
      </c>
      <c r="C6676" s="104" t="s">
        <v>5662</v>
      </c>
      <c r="D6676" s="129" t="s">
        <v>20191</v>
      </c>
    </row>
    <row r="6677" spans="1:4">
      <c r="A6677" s="105">
        <v>101015</v>
      </c>
      <c r="B6677" s="104" t="s">
        <v>6578</v>
      </c>
      <c r="C6677" s="104" t="s">
        <v>5662</v>
      </c>
      <c r="D6677" s="129" t="s">
        <v>16798</v>
      </c>
    </row>
    <row r="6678" spans="1:4">
      <c r="A6678" s="105">
        <v>101016</v>
      </c>
      <c r="B6678" s="104" t="s">
        <v>6579</v>
      </c>
      <c r="C6678" s="104" t="s">
        <v>5662</v>
      </c>
      <c r="D6678" s="129" t="s">
        <v>20192</v>
      </c>
    </row>
    <row r="6679" spans="1:4">
      <c r="A6679" s="105">
        <v>101017</v>
      </c>
      <c r="B6679" s="104" t="s">
        <v>6580</v>
      </c>
      <c r="C6679" s="104" t="s">
        <v>5662</v>
      </c>
      <c r="D6679" s="129" t="s">
        <v>20193</v>
      </c>
    </row>
    <row r="6680" spans="1:4">
      <c r="A6680" s="105">
        <v>101018</v>
      </c>
      <c r="B6680" s="104" t="s">
        <v>6581</v>
      </c>
      <c r="C6680" s="104" t="s">
        <v>5662</v>
      </c>
      <c r="D6680" s="129" t="s">
        <v>20194</v>
      </c>
    </row>
    <row r="6681" spans="1:4">
      <c r="A6681" s="105">
        <v>101463</v>
      </c>
      <c r="B6681" s="104" t="s">
        <v>6582</v>
      </c>
      <c r="C6681" s="104" t="s">
        <v>5662</v>
      </c>
      <c r="D6681" s="129" t="s">
        <v>15253</v>
      </c>
    </row>
    <row r="6682" spans="1:4">
      <c r="A6682" s="105">
        <v>101464</v>
      </c>
      <c r="B6682" s="104" t="s">
        <v>6583</v>
      </c>
      <c r="C6682" s="104" t="s">
        <v>5662</v>
      </c>
      <c r="D6682" s="129" t="s">
        <v>20195</v>
      </c>
    </row>
    <row r="6683" spans="1:4">
      <c r="A6683" s="105">
        <v>101465</v>
      </c>
      <c r="B6683" s="104" t="s">
        <v>6584</v>
      </c>
      <c r="C6683" s="104" t="s">
        <v>5662</v>
      </c>
      <c r="D6683" s="129" t="s">
        <v>15392</v>
      </c>
    </row>
    <row r="6684" spans="1:4">
      <c r="A6684" s="105">
        <v>101466</v>
      </c>
      <c r="B6684" s="104" t="s">
        <v>6585</v>
      </c>
      <c r="C6684" s="104" t="s">
        <v>5662</v>
      </c>
      <c r="D6684" s="129" t="s">
        <v>17489</v>
      </c>
    </row>
    <row r="6685" spans="1:4">
      <c r="A6685" s="105">
        <v>101467</v>
      </c>
      <c r="B6685" s="104" t="s">
        <v>6586</v>
      </c>
      <c r="C6685" s="104" t="s">
        <v>5662</v>
      </c>
      <c r="D6685" s="129" t="s">
        <v>18069</v>
      </c>
    </row>
    <row r="6686" spans="1:4">
      <c r="A6686" s="105">
        <v>101468</v>
      </c>
      <c r="B6686" s="104" t="s">
        <v>6587</v>
      </c>
      <c r="C6686" s="104" t="s">
        <v>5662</v>
      </c>
      <c r="D6686" s="129" t="s">
        <v>19229</v>
      </c>
    </row>
    <row r="6687" spans="1:4">
      <c r="A6687" s="105">
        <v>101469</v>
      </c>
      <c r="B6687" s="104" t="s">
        <v>6588</v>
      </c>
      <c r="C6687" s="104" t="s">
        <v>5662</v>
      </c>
      <c r="D6687" s="129" t="s">
        <v>20196</v>
      </c>
    </row>
    <row r="6688" spans="1:4">
      <c r="A6688" s="105">
        <v>101470</v>
      </c>
      <c r="B6688" s="104" t="s">
        <v>6589</v>
      </c>
      <c r="C6688" s="104" t="s">
        <v>5662</v>
      </c>
      <c r="D6688" s="129" t="s">
        <v>18688</v>
      </c>
    </row>
    <row r="6689" spans="1:4">
      <c r="A6689" s="105">
        <v>101471</v>
      </c>
      <c r="B6689" s="104" t="s">
        <v>6590</v>
      </c>
      <c r="C6689" s="104" t="s">
        <v>5662</v>
      </c>
      <c r="D6689" s="129" t="s">
        <v>20197</v>
      </c>
    </row>
    <row r="6690" spans="1:4">
      <c r="A6690" s="105">
        <v>101472</v>
      </c>
      <c r="B6690" s="104" t="s">
        <v>6591</v>
      </c>
      <c r="C6690" s="104" t="s">
        <v>5662</v>
      </c>
      <c r="D6690" s="129" t="s">
        <v>20198</v>
      </c>
    </row>
    <row r="6691" spans="1:4">
      <c r="A6691" s="105">
        <v>101473</v>
      </c>
      <c r="B6691" s="104" t="s">
        <v>6592</v>
      </c>
      <c r="C6691" s="104" t="s">
        <v>5662</v>
      </c>
      <c r="D6691" s="129" t="s">
        <v>20199</v>
      </c>
    </row>
    <row r="6692" spans="1:4">
      <c r="A6692" s="105">
        <v>101474</v>
      </c>
      <c r="B6692" s="104" t="s">
        <v>6593</v>
      </c>
      <c r="C6692" s="104" t="s">
        <v>5662</v>
      </c>
      <c r="D6692" s="129" t="s">
        <v>17201</v>
      </c>
    </row>
    <row r="6693" spans="1:4">
      <c r="A6693" s="105">
        <v>101475</v>
      </c>
      <c r="B6693" s="104" t="s">
        <v>6594</v>
      </c>
      <c r="C6693" s="104" t="s">
        <v>5662</v>
      </c>
      <c r="D6693" s="129" t="s">
        <v>19082</v>
      </c>
    </row>
    <row r="6694" spans="1:4">
      <c r="A6694" s="105">
        <v>101476</v>
      </c>
      <c r="B6694" s="104" t="s">
        <v>6595</v>
      </c>
      <c r="C6694" s="104" t="s">
        <v>5662</v>
      </c>
      <c r="D6694" s="129" t="s">
        <v>19599</v>
      </c>
    </row>
    <row r="6695" spans="1:4">
      <c r="A6695" s="105">
        <v>101477</v>
      </c>
      <c r="B6695" s="104" t="s">
        <v>6596</v>
      </c>
      <c r="C6695" s="104" t="s">
        <v>5662</v>
      </c>
      <c r="D6695" s="129" t="s">
        <v>20200</v>
      </c>
    </row>
    <row r="6696" spans="1:4">
      <c r="A6696" s="105">
        <v>101478</v>
      </c>
      <c r="B6696" s="104" t="s">
        <v>6597</v>
      </c>
      <c r="C6696" s="104" t="s">
        <v>5662</v>
      </c>
      <c r="D6696" s="129" t="s">
        <v>17204</v>
      </c>
    </row>
    <row r="6697" spans="1:4">
      <c r="A6697" s="105">
        <v>101480</v>
      </c>
      <c r="B6697" s="104" t="s">
        <v>6598</v>
      </c>
      <c r="C6697" s="104" t="s">
        <v>5662</v>
      </c>
      <c r="D6697" s="129" t="s">
        <v>20201</v>
      </c>
    </row>
    <row r="6698" spans="1:4">
      <c r="A6698" s="105">
        <v>101481</v>
      </c>
      <c r="B6698" s="104" t="s">
        <v>6599</v>
      </c>
      <c r="C6698" s="104" t="s">
        <v>5662</v>
      </c>
      <c r="D6698" s="129" t="s">
        <v>19019</v>
      </c>
    </row>
    <row r="6699" spans="1:4">
      <c r="A6699" s="105">
        <v>101482</v>
      </c>
      <c r="B6699" s="104" t="s">
        <v>6600</v>
      </c>
      <c r="C6699" s="104" t="s">
        <v>5662</v>
      </c>
      <c r="D6699" s="129" t="s">
        <v>20202</v>
      </c>
    </row>
    <row r="6700" spans="1:4">
      <c r="A6700" s="105">
        <v>101483</v>
      </c>
      <c r="B6700" s="104" t="s">
        <v>6601</v>
      </c>
      <c r="C6700" s="104" t="s">
        <v>5662</v>
      </c>
      <c r="D6700" s="129" t="s">
        <v>20203</v>
      </c>
    </row>
    <row r="6701" spans="1:4">
      <c r="A6701" s="105">
        <v>101484</v>
      </c>
      <c r="B6701" s="104" t="s">
        <v>6602</v>
      </c>
      <c r="C6701" s="104" t="s">
        <v>5662</v>
      </c>
      <c r="D6701" s="129" t="s">
        <v>20204</v>
      </c>
    </row>
    <row r="6702" spans="1:4">
      <c r="A6702" s="105">
        <v>101485</v>
      </c>
      <c r="B6702" s="104" t="s">
        <v>6603</v>
      </c>
      <c r="C6702" s="104" t="s">
        <v>5662</v>
      </c>
      <c r="D6702" s="129" t="s">
        <v>20205</v>
      </c>
    </row>
    <row r="6703" spans="1:4">
      <c r="A6703" s="105">
        <v>101486</v>
      </c>
      <c r="B6703" s="104" t="s">
        <v>6604</v>
      </c>
      <c r="C6703" s="104" t="s">
        <v>5662</v>
      </c>
      <c r="D6703" s="129" t="s">
        <v>20206</v>
      </c>
    </row>
    <row r="6704" spans="1:4">
      <c r="A6704" s="105">
        <v>101487</v>
      </c>
      <c r="B6704" s="104" t="s">
        <v>6605</v>
      </c>
      <c r="C6704" s="104" t="s">
        <v>5662</v>
      </c>
      <c r="D6704" s="129" t="s">
        <v>20207</v>
      </c>
    </row>
    <row r="6705" spans="1:4">
      <c r="A6705" s="105">
        <v>101488</v>
      </c>
      <c r="B6705" s="104" t="s">
        <v>6606</v>
      </c>
      <c r="C6705" s="104" t="s">
        <v>5662</v>
      </c>
      <c r="D6705" s="129" t="s">
        <v>20208</v>
      </c>
    </row>
    <row r="6706" spans="1:4">
      <c r="A6706" s="105">
        <v>101188</v>
      </c>
      <c r="B6706" s="104" t="s">
        <v>6607</v>
      </c>
      <c r="C6706" s="104" t="s">
        <v>40</v>
      </c>
      <c r="D6706" s="129" t="s">
        <v>15796</v>
      </c>
    </row>
    <row r="6707" spans="1:4">
      <c r="A6707" s="105">
        <v>101189</v>
      </c>
      <c r="B6707" s="104" t="s">
        <v>6608</v>
      </c>
      <c r="C6707" s="104" t="s">
        <v>40</v>
      </c>
      <c r="D6707" s="129" t="s">
        <v>20209</v>
      </c>
    </row>
    <row r="6708" spans="1:4">
      <c r="A6708" s="105">
        <v>101190</v>
      </c>
      <c r="B6708" s="104" t="s">
        <v>6609</v>
      </c>
      <c r="C6708" s="104" t="s">
        <v>40</v>
      </c>
      <c r="D6708" s="129" t="s">
        <v>20210</v>
      </c>
    </row>
    <row r="6709" spans="1:4">
      <c r="A6709" s="105">
        <v>101191</v>
      </c>
      <c r="B6709" s="104" t="s">
        <v>6610</v>
      </c>
      <c r="C6709" s="104" t="s">
        <v>40</v>
      </c>
      <c r="D6709" s="129" t="s">
        <v>18371</v>
      </c>
    </row>
    <row r="6710" spans="1:4">
      <c r="A6710" s="105">
        <v>101192</v>
      </c>
      <c r="B6710" s="104" t="s">
        <v>6611</v>
      </c>
      <c r="C6710" s="104" t="s">
        <v>40</v>
      </c>
      <c r="D6710" s="129" t="s">
        <v>20211</v>
      </c>
    </row>
    <row r="6711" spans="1:4">
      <c r="A6711" s="105">
        <v>101193</v>
      </c>
      <c r="B6711" s="104" t="s">
        <v>6612</v>
      </c>
      <c r="C6711" s="104" t="s">
        <v>40</v>
      </c>
      <c r="D6711" s="129" t="s">
        <v>20212</v>
      </c>
    </row>
    <row r="6712" spans="1:4">
      <c r="A6712" s="105">
        <v>101194</v>
      </c>
      <c r="B6712" s="104" t="s">
        <v>6613</v>
      </c>
      <c r="C6712" s="104" t="s">
        <v>40</v>
      </c>
      <c r="D6712" s="129" t="s">
        <v>20213</v>
      </c>
    </row>
    <row r="6713" spans="1:4">
      <c r="A6713" s="105">
        <v>101197</v>
      </c>
      <c r="B6713" s="104" t="s">
        <v>6614</v>
      </c>
      <c r="C6713" s="104" t="s">
        <v>40</v>
      </c>
      <c r="D6713" s="129" t="s">
        <v>20214</v>
      </c>
    </row>
    <row r="6714" spans="1:4">
      <c r="A6714" s="105">
        <v>101198</v>
      </c>
      <c r="B6714" s="104" t="s">
        <v>6615</v>
      </c>
      <c r="C6714" s="104" t="s">
        <v>40</v>
      </c>
      <c r="D6714" s="129" t="s">
        <v>20215</v>
      </c>
    </row>
    <row r="6715" spans="1:4">
      <c r="A6715" s="105">
        <v>101199</v>
      </c>
      <c r="B6715" s="104" t="s">
        <v>6616</v>
      </c>
      <c r="C6715" s="104" t="s">
        <v>40</v>
      </c>
      <c r="D6715" s="129" t="s">
        <v>20216</v>
      </c>
    </row>
    <row r="6716" spans="1:4">
      <c r="A6716" s="105">
        <v>101200</v>
      </c>
      <c r="B6716" s="104" t="s">
        <v>6617</v>
      </c>
      <c r="C6716" s="104" t="s">
        <v>40</v>
      </c>
      <c r="D6716" s="129" t="s">
        <v>20217</v>
      </c>
    </row>
    <row r="6717" spans="1:4">
      <c r="A6717" s="105">
        <v>101201</v>
      </c>
      <c r="B6717" s="104" t="s">
        <v>6618</v>
      </c>
      <c r="C6717" s="104" t="s">
        <v>40</v>
      </c>
      <c r="D6717" s="129" t="s">
        <v>20218</v>
      </c>
    </row>
    <row r="6718" spans="1:4">
      <c r="A6718" s="105">
        <v>101202</v>
      </c>
      <c r="B6718" s="104" t="s">
        <v>6619</v>
      </c>
      <c r="C6718" s="104" t="s">
        <v>40</v>
      </c>
      <c r="D6718" s="129" t="s">
        <v>20219</v>
      </c>
    </row>
    <row r="6719" spans="1:4">
      <c r="A6719" s="105">
        <v>101203</v>
      </c>
      <c r="B6719" s="104" t="s">
        <v>6620</v>
      </c>
      <c r="C6719" s="104" t="s">
        <v>40</v>
      </c>
      <c r="D6719" s="129" t="s">
        <v>16398</v>
      </c>
    </row>
    <row r="6720" spans="1:4">
      <c r="A6720" s="105">
        <v>101204</v>
      </c>
      <c r="B6720" s="104" t="s">
        <v>6621</v>
      </c>
      <c r="C6720" s="104" t="s">
        <v>40</v>
      </c>
      <c r="D6720" s="129" t="s">
        <v>18168</v>
      </c>
    </row>
    <row r="6721" spans="1:4">
      <c r="A6721" s="105">
        <v>101205</v>
      </c>
      <c r="B6721" s="104" t="s">
        <v>6622</v>
      </c>
      <c r="C6721" s="104" t="s">
        <v>40</v>
      </c>
      <c r="D6721" s="129" t="s">
        <v>20219</v>
      </c>
    </row>
    <row r="6722" spans="1:4">
      <c r="A6722" s="105">
        <v>102362</v>
      </c>
      <c r="B6722" s="104" t="s">
        <v>6623</v>
      </c>
      <c r="C6722" s="104" t="s">
        <v>12</v>
      </c>
      <c r="D6722" s="129" t="s">
        <v>20220</v>
      </c>
    </row>
    <row r="6723" spans="1:4">
      <c r="A6723" s="105">
        <v>102363</v>
      </c>
      <c r="B6723" s="104" t="s">
        <v>6624</v>
      </c>
      <c r="C6723" s="104" t="s">
        <v>12</v>
      </c>
      <c r="D6723" s="129" t="s">
        <v>20221</v>
      </c>
    </row>
    <row r="6724" spans="1:4">
      <c r="A6724" s="105">
        <v>102364</v>
      </c>
      <c r="B6724" s="104" t="s">
        <v>6625</v>
      </c>
      <c r="C6724" s="104" t="s">
        <v>12</v>
      </c>
      <c r="D6724" s="129" t="s">
        <v>20222</v>
      </c>
    </row>
    <row r="6725" spans="1:4">
      <c r="A6725" s="105">
        <v>98509</v>
      </c>
      <c r="B6725" s="104" t="s">
        <v>6626</v>
      </c>
      <c r="C6725" s="104" t="s">
        <v>183</v>
      </c>
      <c r="D6725" s="129" t="s">
        <v>17099</v>
      </c>
    </row>
    <row r="6726" spans="1:4">
      <c r="A6726" s="105">
        <v>98510</v>
      </c>
      <c r="B6726" s="104" t="s">
        <v>6627</v>
      </c>
      <c r="C6726" s="104" t="s">
        <v>183</v>
      </c>
      <c r="D6726" s="129" t="s">
        <v>20223</v>
      </c>
    </row>
    <row r="6727" spans="1:4">
      <c r="A6727" s="105">
        <v>98511</v>
      </c>
      <c r="B6727" s="104" t="s">
        <v>6628</v>
      </c>
      <c r="C6727" s="104" t="s">
        <v>183</v>
      </c>
      <c r="D6727" s="129" t="s">
        <v>20224</v>
      </c>
    </row>
    <row r="6728" spans="1:4">
      <c r="A6728" s="105">
        <v>98516</v>
      </c>
      <c r="B6728" s="104" t="s">
        <v>6629</v>
      </c>
      <c r="C6728" s="104" t="s">
        <v>183</v>
      </c>
      <c r="D6728" s="129" t="s">
        <v>20225</v>
      </c>
    </row>
    <row r="6729" spans="1:4">
      <c r="A6729" s="105">
        <v>98519</v>
      </c>
      <c r="B6729" s="104" t="s">
        <v>6630</v>
      </c>
      <c r="C6729" s="104" t="s">
        <v>12</v>
      </c>
      <c r="D6729" s="129" t="s">
        <v>15742</v>
      </c>
    </row>
    <row r="6730" spans="1:4">
      <c r="A6730" s="105">
        <v>98520</v>
      </c>
      <c r="B6730" s="104" t="s">
        <v>6631</v>
      </c>
      <c r="C6730" s="104" t="s">
        <v>12</v>
      </c>
      <c r="D6730" s="129" t="s">
        <v>14817</v>
      </c>
    </row>
    <row r="6731" spans="1:4">
      <c r="A6731" s="105">
        <v>98521</v>
      </c>
      <c r="B6731" s="104" t="s">
        <v>6632</v>
      </c>
      <c r="C6731" s="104" t="s">
        <v>12</v>
      </c>
      <c r="D6731" s="129" t="s">
        <v>15338</v>
      </c>
    </row>
    <row r="6732" spans="1:4">
      <c r="A6732" s="105">
        <v>98522</v>
      </c>
      <c r="B6732" s="104" t="s">
        <v>6633</v>
      </c>
      <c r="C6732" s="104" t="s">
        <v>40</v>
      </c>
      <c r="D6732" s="129" t="s">
        <v>20226</v>
      </c>
    </row>
    <row r="6733" spans="1:4">
      <c r="A6733" s="105">
        <v>98524</v>
      </c>
      <c r="B6733" s="104" t="s">
        <v>6634</v>
      </c>
      <c r="C6733" s="104" t="s">
        <v>12</v>
      </c>
      <c r="D6733" s="129" t="s">
        <v>15677</v>
      </c>
    </row>
    <row r="6734" spans="1:4">
      <c r="A6734" s="105">
        <v>98503</v>
      </c>
      <c r="B6734" s="104" t="s">
        <v>6635</v>
      </c>
      <c r="C6734" s="104" t="s">
        <v>12</v>
      </c>
      <c r="D6734" s="129" t="s">
        <v>20227</v>
      </c>
    </row>
    <row r="6735" spans="1:4">
      <c r="A6735" s="105">
        <v>98504</v>
      </c>
      <c r="B6735" s="104" t="s">
        <v>6636</v>
      </c>
      <c r="C6735" s="104" t="s">
        <v>12</v>
      </c>
      <c r="D6735" s="129" t="s">
        <v>15146</v>
      </c>
    </row>
    <row r="6736" spans="1:4">
      <c r="A6736" s="105">
        <v>98505</v>
      </c>
      <c r="B6736" s="104" t="s">
        <v>6637</v>
      </c>
      <c r="C6736" s="104" t="s">
        <v>12</v>
      </c>
      <c r="D6736" s="129" t="s">
        <v>20228</v>
      </c>
    </row>
    <row r="6737" spans="1:4">
      <c r="A6737" s="105">
        <v>103185</v>
      </c>
      <c r="B6737" s="104" t="s">
        <v>12980</v>
      </c>
      <c r="C6737" s="104" t="s">
        <v>183</v>
      </c>
      <c r="D6737" s="129" t="s">
        <v>20229</v>
      </c>
    </row>
    <row r="6738" spans="1:4">
      <c r="A6738" s="105">
        <v>103186</v>
      </c>
      <c r="B6738" s="104" t="s">
        <v>12981</v>
      </c>
      <c r="C6738" s="104" t="s">
        <v>183</v>
      </c>
      <c r="D6738" s="129" t="s">
        <v>20230</v>
      </c>
    </row>
    <row r="6739" spans="1:4">
      <c r="A6739" s="105">
        <v>103187</v>
      </c>
      <c r="B6739" s="104" t="s">
        <v>12982</v>
      </c>
      <c r="C6739" s="104" t="s">
        <v>183</v>
      </c>
      <c r="D6739" s="129" t="s">
        <v>20231</v>
      </c>
    </row>
    <row r="6740" spans="1:4">
      <c r="A6740" s="105">
        <v>103188</v>
      </c>
      <c r="B6740" s="104" t="s">
        <v>12983</v>
      </c>
      <c r="C6740" s="104" t="s">
        <v>183</v>
      </c>
      <c r="D6740" s="129" t="s">
        <v>20232</v>
      </c>
    </row>
    <row r="6741" spans="1:4">
      <c r="A6741" s="105">
        <v>103189</v>
      </c>
      <c r="B6741" s="104" t="s">
        <v>12984</v>
      </c>
      <c r="C6741" s="104" t="s">
        <v>183</v>
      </c>
      <c r="D6741" s="129" t="s">
        <v>20233</v>
      </c>
    </row>
    <row r="6742" spans="1:4">
      <c r="A6742" s="105">
        <v>103190</v>
      </c>
      <c r="B6742" s="104" t="s">
        <v>12985</v>
      </c>
      <c r="C6742" s="104" t="s">
        <v>183</v>
      </c>
      <c r="D6742" s="129" t="s">
        <v>20234</v>
      </c>
    </row>
    <row r="6743" spans="1:4">
      <c r="A6743" s="105">
        <v>103191</v>
      </c>
      <c r="B6743" s="104" t="s">
        <v>12986</v>
      </c>
      <c r="C6743" s="104" t="s">
        <v>183</v>
      </c>
      <c r="D6743" s="129" t="s">
        <v>20235</v>
      </c>
    </row>
    <row r="6744" spans="1:4">
      <c r="A6744" s="105">
        <v>103192</v>
      </c>
      <c r="B6744" s="104" t="s">
        <v>12987</v>
      </c>
      <c r="C6744" s="104" t="s">
        <v>183</v>
      </c>
      <c r="D6744" s="129" t="s">
        <v>20236</v>
      </c>
    </row>
    <row r="6745" spans="1:4">
      <c r="A6745" s="105">
        <v>103193</v>
      </c>
      <c r="B6745" s="104" t="s">
        <v>12988</v>
      </c>
      <c r="C6745" s="104" t="s">
        <v>183</v>
      </c>
      <c r="D6745" s="129" t="s">
        <v>20237</v>
      </c>
    </row>
    <row r="6746" spans="1:4">
      <c r="A6746" s="105">
        <v>103194</v>
      </c>
      <c r="B6746" s="104" t="s">
        <v>12989</v>
      </c>
      <c r="C6746" s="104" t="s">
        <v>183</v>
      </c>
      <c r="D6746" s="129" t="s">
        <v>20238</v>
      </c>
    </row>
    <row r="6747" spans="1:4">
      <c r="A6747" s="105">
        <v>103195</v>
      </c>
      <c r="B6747" s="104" t="s">
        <v>12990</v>
      </c>
      <c r="C6747" s="104" t="s">
        <v>183</v>
      </c>
      <c r="D6747" s="129" t="s">
        <v>20239</v>
      </c>
    </row>
    <row r="6748" spans="1:4">
      <c r="A6748" s="105">
        <v>103205</v>
      </c>
      <c r="B6748" s="104" t="s">
        <v>12991</v>
      </c>
      <c r="C6748" s="104" t="s">
        <v>183</v>
      </c>
      <c r="D6748" s="129" t="s">
        <v>20240</v>
      </c>
    </row>
    <row r="6749" spans="1:4">
      <c r="A6749" s="105">
        <v>103206</v>
      </c>
      <c r="B6749" s="104" t="s">
        <v>12992</v>
      </c>
      <c r="C6749" s="104" t="s">
        <v>183</v>
      </c>
      <c r="D6749" s="129" t="s">
        <v>20241</v>
      </c>
    </row>
    <row r="6750" spans="1:4">
      <c r="A6750" s="105">
        <v>103207</v>
      </c>
      <c r="B6750" s="104" t="s">
        <v>12993</v>
      </c>
      <c r="C6750" s="104" t="s">
        <v>183</v>
      </c>
      <c r="D6750" s="129" t="s">
        <v>20242</v>
      </c>
    </row>
    <row r="6751" spans="1:4">
      <c r="A6751" s="105">
        <v>103208</v>
      </c>
      <c r="B6751" s="104" t="s">
        <v>12994</v>
      </c>
      <c r="C6751" s="104" t="s">
        <v>183</v>
      </c>
      <c r="D6751" s="129" t="s">
        <v>20243</v>
      </c>
    </row>
    <row r="6752" spans="1:4">
      <c r="A6752" s="105">
        <v>103209</v>
      </c>
      <c r="B6752" s="104" t="s">
        <v>12995</v>
      </c>
      <c r="C6752" s="104" t="s">
        <v>183</v>
      </c>
      <c r="D6752" s="129" t="s">
        <v>20244</v>
      </c>
    </row>
    <row r="6753" spans="1:4">
      <c r="A6753" s="105">
        <v>103210</v>
      </c>
      <c r="B6753" s="104" t="s">
        <v>12996</v>
      </c>
      <c r="C6753" s="104" t="s">
        <v>183</v>
      </c>
      <c r="D6753" s="129" t="s">
        <v>20245</v>
      </c>
    </row>
    <row r="6754" spans="1:4">
      <c r="A6754" s="105">
        <v>103304</v>
      </c>
      <c r="B6754" s="104" t="s">
        <v>13816</v>
      </c>
      <c r="C6754" s="104" t="s">
        <v>183</v>
      </c>
      <c r="D6754" s="129" t="s">
        <v>20246</v>
      </c>
    </row>
    <row r="6755" spans="1:4">
      <c r="A6755" s="105">
        <v>103307</v>
      </c>
      <c r="B6755" s="104" t="s">
        <v>13817</v>
      </c>
      <c r="C6755" s="104" t="s">
        <v>183</v>
      </c>
      <c r="D6755" s="129" t="s">
        <v>20247</v>
      </c>
    </row>
    <row r="6756" spans="1:4">
      <c r="A6756" s="105">
        <v>103310</v>
      </c>
      <c r="B6756" s="104" t="s">
        <v>13818</v>
      </c>
      <c r="C6756" s="104" t="s">
        <v>183</v>
      </c>
      <c r="D6756" s="129" t="s">
        <v>20248</v>
      </c>
    </row>
    <row r="6757" spans="1:4">
      <c r="A6757" s="105">
        <v>103314</v>
      </c>
      <c r="B6757" s="104" t="s">
        <v>13819</v>
      </c>
      <c r="C6757" s="104" t="s">
        <v>12</v>
      </c>
      <c r="D6757" s="129" t="s">
        <v>16864</v>
      </c>
    </row>
    <row r="6758" spans="1:4">
      <c r="A6758" s="105">
        <v>103315</v>
      </c>
      <c r="B6758" s="104" t="s">
        <v>13820</v>
      </c>
      <c r="C6758" s="104" t="s">
        <v>12</v>
      </c>
      <c r="D6758" s="129" t="s">
        <v>20249</v>
      </c>
    </row>
    <row r="6759" spans="1:4">
      <c r="A6759" s="105">
        <v>98525</v>
      </c>
      <c r="B6759" s="104" t="s">
        <v>6638</v>
      </c>
      <c r="C6759" s="104" t="s">
        <v>12</v>
      </c>
      <c r="D6759" s="129" t="s">
        <v>15347</v>
      </c>
    </row>
    <row r="6760" spans="1:4">
      <c r="A6760" s="105">
        <v>98526</v>
      </c>
      <c r="B6760" s="104" t="s">
        <v>6639</v>
      </c>
      <c r="C6760" s="104" t="s">
        <v>183</v>
      </c>
      <c r="D6760" s="129" t="s">
        <v>20250</v>
      </c>
    </row>
    <row r="6761" spans="1:4">
      <c r="A6761" s="105">
        <v>98527</v>
      </c>
      <c r="B6761" s="104" t="s">
        <v>6640</v>
      </c>
      <c r="C6761" s="104" t="s">
        <v>183</v>
      </c>
      <c r="D6761" s="129" t="s">
        <v>20251</v>
      </c>
    </row>
    <row r="6762" spans="1:4">
      <c r="A6762" s="105">
        <v>98528</v>
      </c>
      <c r="B6762" s="104" t="s">
        <v>6641</v>
      </c>
      <c r="C6762" s="104" t="s">
        <v>183</v>
      </c>
      <c r="D6762" s="129" t="s">
        <v>20252</v>
      </c>
    </row>
    <row r="6763" spans="1:4">
      <c r="A6763" s="105">
        <v>98529</v>
      </c>
      <c r="B6763" s="104" t="s">
        <v>6642</v>
      </c>
      <c r="C6763" s="104" t="s">
        <v>183</v>
      </c>
      <c r="D6763" s="129" t="s">
        <v>19880</v>
      </c>
    </row>
    <row r="6764" spans="1:4">
      <c r="A6764" s="105">
        <v>98530</v>
      </c>
      <c r="B6764" s="104" t="s">
        <v>6643</v>
      </c>
      <c r="C6764" s="104" t="s">
        <v>183</v>
      </c>
      <c r="D6764" s="129" t="s">
        <v>20253</v>
      </c>
    </row>
    <row r="6765" spans="1:4">
      <c r="A6765" s="105">
        <v>98531</v>
      </c>
      <c r="B6765" s="104" t="s">
        <v>6644</v>
      </c>
      <c r="C6765" s="104" t="s">
        <v>183</v>
      </c>
      <c r="D6765" s="129" t="s">
        <v>20254</v>
      </c>
    </row>
    <row r="6766" spans="1:4">
      <c r="A6766" s="105">
        <v>98532</v>
      </c>
      <c r="B6766" s="104" t="s">
        <v>6645</v>
      </c>
      <c r="C6766" s="104" t="s">
        <v>183</v>
      </c>
      <c r="D6766" s="129" t="s">
        <v>20255</v>
      </c>
    </row>
    <row r="6767" spans="1:4">
      <c r="A6767" s="105">
        <v>98533</v>
      </c>
      <c r="B6767" s="104" t="s">
        <v>6646</v>
      </c>
      <c r="C6767" s="104" t="s">
        <v>183</v>
      </c>
      <c r="D6767" s="129" t="s">
        <v>20256</v>
      </c>
    </row>
    <row r="6768" spans="1:4">
      <c r="A6768" s="105">
        <v>98534</v>
      </c>
      <c r="B6768" s="104" t="s">
        <v>6647</v>
      </c>
      <c r="C6768" s="104" t="s">
        <v>183</v>
      </c>
      <c r="D6768" s="129" t="s">
        <v>20257</v>
      </c>
    </row>
    <row r="6769" spans="1:4">
      <c r="A6769" s="105">
        <v>98535</v>
      </c>
      <c r="B6769" s="104" t="s">
        <v>6648</v>
      </c>
      <c r="C6769" s="104" t="s">
        <v>183</v>
      </c>
      <c r="D6769" s="129" t="s">
        <v>20258</v>
      </c>
    </row>
    <row r="6770" spans="1:4">
      <c r="A6770" s="105">
        <v>88238</v>
      </c>
      <c r="B6770" s="104" t="s">
        <v>6649</v>
      </c>
      <c r="C6770" s="104" t="s">
        <v>16</v>
      </c>
      <c r="D6770" s="129" t="s">
        <v>20259</v>
      </c>
    </row>
    <row r="6771" spans="1:4">
      <c r="A6771" s="105">
        <v>88239</v>
      </c>
      <c r="B6771" s="104" t="s">
        <v>6650</v>
      </c>
      <c r="C6771" s="104" t="s">
        <v>16</v>
      </c>
      <c r="D6771" s="129" t="s">
        <v>15800</v>
      </c>
    </row>
    <row r="6772" spans="1:4">
      <c r="A6772" s="105">
        <v>88240</v>
      </c>
      <c r="B6772" s="104" t="s">
        <v>6651</v>
      </c>
      <c r="C6772" s="104" t="s">
        <v>16</v>
      </c>
      <c r="D6772" s="129" t="s">
        <v>19197</v>
      </c>
    </row>
    <row r="6773" spans="1:4">
      <c r="A6773" s="105">
        <v>88241</v>
      </c>
      <c r="B6773" s="104" t="s">
        <v>6652</v>
      </c>
      <c r="C6773" s="104" t="s">
        <v>16</v>
      </c>
      <c r="D6773" s="129" t="s">
        <v>20259</v>
      </c>
    </row>
    <row r="6774" spans="1:4">
      <c r="A6774" s="105">
        <v>88242</v>
      </c>
      <c r="B6774" s="104" t="s">
        <v>229</v>
      </c>
      <c r="C6774" s="104" t="s">
        <v>16</v>
      </c>
      <c r="D6774" s="129" t="s">
        <v>16889</v>
      </c>
    </row>
    <row r="6775" spans="1:4">
      <c r="A6775" s="105">
        <v>88243</v>
      </c>
      <c r="B6775" s="104" t="s">
        <v>6653</v>
      </c>
      <c r="C6775" s="104" t="s">
        <v>16</v>
      </c>
      <c r="D6775" s="129" t="s">
        <v>20260</v>
      </c>
    </row>
    <row r="6776" spans="1:4">
      <c r="A6776" s="105">
        <v>88245</v>
      </c>
      <c r="B6776" s="104" t="s">
        <v>6654</v>
      </c>
      <c r="C6776" s="104" t="s">
        <v>16</v>
      </c>
      <c r="D6776" s="129" t="s">
        <v>18384</v>
      </c>
    </row>
    <row r="6777" spans="1:4">
      <c r="A6777" s="105">
        <v>88246</v>
      </c>
      <c r="B6777" s="104" t="s">
        <v>6655</v>
      </c>
      <c r="C6777" s="104" t="s">
        <v>16</v>
      </c>
      <c r="D6777" s="129" t="s">
        <v>18278</v>
      </c>
    </row>
    <row r="6778" spans="1:4">
      <c r="A6778" s="105">
        <v>88247</v>
      </c>
      <c r="B6778" s="104" t="s">
        <v>137</v>
      </c>
      <c r="C6778" s="104" t="s">
        <v>16</v>
      </c>
      <c r="D6778" s="129" t="s">
        <v>20259</v>
      </c>
    </row>
    <row r="6779" spans="1:4">
      <c r="A6779" s="105">
        <v>88248</v>
      </c>
      <c r="B6779" s="104" t="s">
        <v>128</v>
      </c>
      <c r="C6779" s="104" t="s">
        <v>16</v>
      </c>
      <c r="D6779" s="129" t="s">
        <v>20261</v>
      </c>
    </row>
    <row r="6780" spans="1:4">
      <c r="A6780" s="105">
        <v>88249</v>
      </c>
      <c r="B6780" s="104" t="s">
        <v>6656</v>
      </c>
      <c r="C6780" s="104" t="s">
        <v>16</v>
      </c>
      <c r="D6780" s="129" t="s">
        <v>18697</v>
      </c>
    </row>
    <row r="6781" spans="1:4">
      <c r="A6781" s="105">
        <v>88250</v>
      </c>
      <c r="B6781" s="104" t="s">
        <v>6657</v>
      </c>
      <c r="C6781" s="104" t="s">
        <v>16</v>
      </c>
      <c r="D6781" s="129" t="s">
        <v>15380</v>
      </c>
    </row>
    <row r="6782" spans="1:4">
      <c r="A6782" s="105">
        <v>88251</v>
      </c>
      <c r="B6782" s="104" t="s">
        <v>6658</v>
      </c>
      <c r="C6782" s="104" t="s">
        <v>16</v>
      </c>
      <c r="D6782" s="129" t="s">
        <v>15749</v>
      </c>
    </row>
    <row r="6783" spans="1:4">
      <c r="A6783" s="105">
        <v>88252</v>
      </c>
      <c r="B6783" s="104" t="s">
        <v>6659</v>
      </c>
      <c r="C6783" s="104" t="s">
        <v>16</v>
      </c>
      <c r="D6783" s="129" t="s">
        <v>18248</v>
      </c>
    </row>
    <row r="6784" spans="1:4">
      <c r="A6784" s="105">
        <v>88253</v>
      </c>
      <c r="B6784" s="104" t="s">
        <v>6660</v>
      </c>
      <c r="C6784" s="104" t="s">
        <v>16</v>
      </c>
      <c r="D6784" s="129" t="s">
        <v>18270</v>
      </c>
    </row>
    <row r="6785" spans="1:4">
      <c r="A6785" s="105">
        <v>88255</v>
      </c>
      <c r="B6785" s="104" t="s">
        <v>6661</v>
      </c>
      <c r="C6785" s="104" t="s">
        <v>16</v>
      </c>
      <c r="D6785" s="129" t="s">
        <v>18667</v>
      </c>
    </row>
    <row r="6786" spans="1:4">
      <c r="A6786" s="105">
        <v>88256</v>
      </c>
      <c r="B6786" s="104" t="s">
        <v>15</v>
      </c>
      <c r="C6786" s="104" t="s">
        <v>16</v>
      </c>
      <c r="D6786" s="129" t="s">
        <v>20262</v>
      </c>
    </row>
    <row r="6787" spans="1:4">
      <c r="A6787" s="105">
        <v>88257</v>
      </c>
      <c r="B6787" s="104" t="s">
        <v>6662</v>
      </c>
      <c r="C6787" s="104" t="s">
        <v>16</v>
      </c>
      <c r="D6787" s="129" t="s">
        <v>19198</v>
      </c>
    </row>
    <row r="6788" spans="1:4">
      <c r="A6788" s="105">
        <v>88258</v>
      </c>
      <c r="B6788" s="104" t="s">
        <v>6663</v>
      </c>
      <c r="C6788" s="104" t="s">
        <v>16</v>
      </c>
      <c r="D6788" s="129" t="s">
        <v>17282</v>
      </c>
    </row>
    <row r="6789" spans="1:4">
      <c r="A6789" s="105">
        <v>88260</v>
      </c>
      <c r="B6789" s="104" t="s">
        <v>6664</v>
      </c>
      <c r="C6789" s="104" t="s">
        <v>16</v>
      </c>
      <c r="D6789" s="129" t="s">
        <v>20263</v>
      </c>
    </row>
    <row r="6790" spans="1:4">
      <c r="A6790" s="105">
        <v>88261</v>
      </c>
      <c r="B6790" s="104" t="s">
        <v>6665</v>
      </c>
      <c r="C6790" s="104" t="s">
        <v>16</v>
      </c>
      <c r="D6790" s="129" t="s">
        <v>20194</v>
      </c>
    </row>
    <row r="6791" spans="1:4">
      <c r="A6791" s="105">
        <v>88262</v>
      </c>
      <c r="B6791" s="104" t="s">
        <v>42</v>
      </c>
      <c r="C6791" s="104" t="s">
        <v>16</v>
      </c>
      <c r="D6791" s="129" t="s">
        <v>20264</v>
      </c>
    </row>
    <row r="6792" spans="1:4">
      <c r="A6792" s="105">
        <v>88263</v>
      </c>
      <c r="B6792" s="104" t="s">
        <v>6666</v>
      </c>
      <c r="C6792" s="104" t="s">
        <v>16</v>
      </c>
      <c r="D6792" s="129" t="s">
        <v>20265</v>
      </c>
    </row>
    <row r="6793" spans="1:4">
      <c r="A6793" s="105">
        <v>88264</v>
      </c>
      <c r="B6793" s="104" t="s">
        <v>136</v>
      </c>
      <c r="C6793" s="104" t="s">
        <v>16</v>
      </c>
      <c r="D6793" s="129" t="s">
        <v>20266</v>
      </c>
    </row>
    <row r="6794" spans="1:4">
      <c r="A6794" s="105">
        <v>88265</v>
      </c>
      <c r="B6794" s="104" t="s">
        <v>6667</v>
      </c>
      <c r="C6794" s="104" t="s">
        <v>16</v>
      </c>
      <c r="D6794" s="129" t="s">
        <v>20266</v>
      </c>
    </row>
    <row r="6795" spans="1:4">
      <c r="A6795" s="105">
        <v>88266</v>
      </c>
      <c r="B6795" s="104" t="s">
        <v>6668</v>
      </c>
      <c r="C6795" s="104" t="s">
        <v>16</v>
      </c>
      <c r="D6795" s="129" t="s">
        <v>20267</v>
      </c>
    </row>
    <row r="6796" spans="1:4">
      <c r="A6796" s="105">
        <v>88267</v>
      </c>
      <c r="B6796" s="104" t="s">
        <v>138</v>
      </c>
      <c r="C6796" s="104" t="s">
        <v>16</v>
      </c>
      <c r="D6796" s="129" t="s">
        <v>20268</v>
      </c>
    </row>
    <row r="6797" spans="1:4">
      <c r="A6797" s="105">
        <v>88269</v>
      </c>
      <c r="B6797" s="104" t="s">
        <v>6669</v>
      </c>
      <c r="C6797" s="104" t="s">
        <v>16</v>
      </c>
      <c r="D6797" s="129" t="s">
        <v>20269</v>
      </c>
    </row>
    <row r="6798" spans="1:4">
      <c r="A6798" s="105">
        <v>88270</v>
      </c>
      <c r="B6798" s="104" t="s">
        <v>6670</v>
      </c>
      <c r="C6798" s="104" t="s">
        <v>16</v>
      </c>
      <c r="D6798" s="129" t="s">
        <v>20270</v>
      </c>
    </row>
    <row r="6799" spans="1:4">
      <c r="A6799" s="105">
        <v>88272</v>
      </c>
      <c r="B6799" s="104" t="s">
        <v>6671</v>
      </c>
      <c r="C6799" s="104" t="s">
        <v>16</v>
      </c>
      <c r="D6799" s="129" t="s">
        <v>15876</v>
      </c>
    </row>
    <row r="6800" spans="1:4">
      <c r="A6800" s="105">
        <v>88273</v>
      </c>
      <c r="B6800" s="104" t="s">
        <v>6672</v>
      </c>
      <c r="C6800" s="104" t="s">
        <v>16</v>
      </c>
      <c r="D6800" s="129" t="s">
        <v>20271</v>
      </c>
    </row>
    <row r="6801" spans="1:4">
      <c r="A6801" s="105">
        <v>88274</v>
      </c>
      <c r="B6801" s="104" t="s">
        <v>191</v>
      </c>
      <c r="C6801" s="104" t="s">
        <v>16</v>
      </c>
      <c r="D6801" s="129" t="s">
        <v>20262</v>
      </c>
    </row>
    <row r="6802" spans="1:4">
      <c r="A6802" s="105">
        <v>88275</v>
      </c>
      <c r="B6802" s="104" t="s">
        <v>6673</v>
      </c>
      <c r="C6802" s="104" t="s">
        <v>16</v>
      </c>
      <c r="D6802" s="129" t="s">
        <v>15388</v>
      </c>
    </row>
    <row r="6803" spans="1:4">
      <c r="A6803" s="105">
        <v>88277</v>
      </c>
      <c r="B6803" s="104" t="s">
        <v>6674</v>
      </c>
      <c r="C6803" s="104" t="s">
        <v>16</v>
      </c>
      <c r="D6803" s="129" t="s">
        <v>16633</v>
      </c>
    </row>
    <row r="6804" spans="1:4">
      <c r="A6804" s="105">
        <v>88278</v>
      </c>
      <c r="B6804" s="104" t="s">
        <v>6675</v>
      </c>
      <c r="C6804" s="104" t="s">
        <v>16</v>
      </c>
      <c r="D6804" s="129" t="s">
        <v>16696</v>
      </c>
    </row>
    <row r="6805" spans="1:4">
      <c r="A6805" s="105">
        <v>88279</v>
      </c>
      <c r="B6805" s="104" t="s">
        <v>6676</v>
      </c>
      <c r="C6805" s="104" t="s">
        <v>16</v>
      </c>
      <c r="D6805" s="129" t="s">
        <v>18551</v>
      </c>
    </row>
    <row r="6806" spans="1:4">
      <c r="A6806" s="105">
        <v>88281</v>
      </c>
      <c r="B6806" s="104" t="s">
        <v>6677</v>
      </c>
      <c r="C6806" s="104" t="s">
        <v>16</v>
      </c>
      <c r="D6806" s="129" t="s">
        <v>20272</v>
      </c>
    </row>
    <row r="6807" spans="1:4">
      <c r="A6807" s="105">
        <v>88282</v>
      </c>
      <c r="B6807" s="104" t="s">
        <v>6678</v>
      </c>
      <c r="C6807" s="104" t="s">
        <v>16</v>
      </c>
      <c r="D6807" s="129" t="s">
        <v>20273</v>
      </c>
    </row>
    <row r="6808" spans="1:4">
      <c r="A6808" s="105">
        <v>88283</v>
      </c>
      <c r="B6808" s="104" t="s">
        <v>6679</v>
      </c>
      <c r="C6808" s="104" t="s">
        <v>16</v>
      </c>
      <c r="D6808" s="129" t="s">
        <v>20274</v>
      </c>
    </row>
    <row r="6809" spans="1:4">
      <c r="A6809" s="105">
        <v>88284</v>
      </c>
      <c r="B6809" s="104" t="s">
        <v>6680</v>
      </c>
      <c r="C6809" s="104" t="s">
        <v>16</v>
      </c>
      <c r="D6809" s="129" t="s">
        <v>20275</v>
      </c>
    </row>
    <row r="6810" spans="1:4">
      <c r="A6810" s="105">
        <v>88285</v>
      </c>
      <c r="B6810" s="104" t="s">
        <v>6681</v>
      </c>
      <c r="C6810" s="104" t="s">
        <v>16</v>
      </c>
      <c r="D6810" s="129" t="s">
        <v>18410</v>
      </c>
    </row>
    <row r="6811" spans="1:4">
      <c r="A6811" s="105">
        <v>88286</v>
      </c>
      <c r="B6811" s="104" t="s">
        <v>6682</v>
      </c>
      <c r="C6811" s="104" t="s">
        <v>16</v>
      </c>
      <c r="D6811" s="129" t="s">
        <v>20276</v>
      </c>
    </row>
    <row r="6812" spans="1:4">
      <c r="A6812" s="105">
        <v>88288</v>
      </c>
      <c r="B6812" s="104" t="s">
        <v>6683</v>
      </c>
      <c r="C6812" s="104" t="s">
        <v>16</v>
      </c>
      <c r="D6812" s="129" t="s">
        <v>20277</v>
      </c>
    </row>
    <row r="6813" spans="1:4">
      <c r="A6813" s="105">
        <v>88291</v>
      </c>
      <c r="B6813" s="104" t="s">
        <v>6684</v>
      </c>
      <c r="C6813" s="104" t="s">
        <v>16</v>
      </c>
      <c r="D6813" s="129" t="s">
        <v>16965</v>
      </c>
    </row>
    <row r="6814" spans="1:4">
      <c r="A6814" s="105">
        <v>88292</v>
      </c>
      <c r="B6814" s="104" t="s">
        <v>6685</v>
      </c>
      <c r="C6814" s="104" t="s">
        <v>16</v>
      </c>
      <c r="D6814" s="129" t="s">
        <v>20278</v>
      </c>
    </row>
    <row r="6815" spans="1:4">
      <c r="A6815" s="105">
        <v>88293</v>
      </c>
      <c r="B6815" s="104" t="s">
        <v>6686</v>
      </c>
      <c r="C6815" s="104" t="s">
        <v>16</v>
      </c>
      <c r="D6815" s="129" t="s">
        <v>16912</v>
      </c>
    </row>
    <row r="6816" spans="1:4">
      <c r="A6816" s="105">
        <v>88294</v>
      </c>
      <c r="B6816" s="104" t="s">
        <v>6687</v>
      </c>
      <c r="C6816" s="104" t="s">
        <v>16</v>
      </c>
      <c r="D6816" s="129" t="s">
        <v>19113</v>
      </c>
    </row>
    <row r="6817" spans="1:4">
      <c r="A6817" s="105">
        <v>88295</v>
      </c>
      <c r="B6817" s="104" t="s">
        <v>6688</v>
      </c>
      <c r="C6817" s="104" t="s">
        <v>16</v>
      </c>
      <c r="D6817" s="129" t="s">
        <v>16326</v>
      </c>
    </row>
    <row r="6818" spans="1:4">
      <c r="A6818" s="105">
        <v>88296</v>
      </c>
      <c r="B6818" s="104" t="s">
        <v>6689</v>
      </c>
      <c r="C6818" s="104" t="s">
        <v>16</v>
      </c>
      <c r="D6818" s="129" t="s">
        <v>18550</v>
      </c>
    </row>
    <row r="6819" spans="1:4">
      <c r="A6819" s="105">
        <v>88297</v>
      </c>
      <c r="B6819" s="104" t="s">
        <v>6690</v>
      </c>
      <c r="C6819" s="104" t="s">
        <v>16</v>
      </c>
      <c r="D6819" s="129" t="s">
        <v>15320</v>
      </c>
    </row>
    <row r="6820" spans="1:4">
      <c r="A6820" s="105">
        <v>88298</v>
      </c>
      <c r="B6820" s="104" t="s">
        <v>6691</v>
      </c>
      <c r="C6820" s="104" t="s">
        <v>16</v>
      </c>
      <c r="D6820" s="129" t="s">
        <v>20279</v>
      </c>
    </row>
    <row r="6821" spans="1:4">
      <c r="A6821" s="105">
        <v>88299</v>
      </c>
      <c r="B6821" s="104" t="s">
        <v>6692</v>
      </c>
      <c r="C6821" s="104" t="s">
        <v>16</v>
      </c>
      <c r="D6821" s="129" t="s">
        <v>15049</v>
      </c>
    </row>
    <row r="6822" spans="1:4">
      <c r="A6822" s="105">
        <v>88300</v>
      </c>
      <c r="B6822" s="104" t="s">
        <v>6693</v>
      </c>
      <c r="C6822" s="104" t="s">
        <v>16</v>
      </c>
      <c r="D6822" s="129" t="s">
        <v>14873</v>
      </c>
    </row>
    <row r="6823" spans="1:4">
      <c r="A6823" s="105">
        <v>88301</v>
      </c>
      <c r="B6823" s="104" t="s">
        <v>6694</v>
      </c>
      <c r="C6823" s="104" t="s">
        <v>16</v>
      </c>
      <c r="D6823" s="129" t="s">
        <v>17995</v>
      </c>
    </row>
    <row r="6824" spans="1:4">
      <c r="A6824" s="105">
        <v>88302</v>
      </c>
      <c r="B6824" s="104" t="s">
        <v>6695</v>
      </c>
      <c r="C6824" s="104" t="s">
        <v>16</v>
      </c>
      <c r="D6824" s="129" t="s">
        <v>20280</v>
      </c>
    </row>
    <row r="6825" spans="1:4">
      <c r="A6825" s="105">
        <v>88303</v>
      </c>
      <c r="B6825" s="104" t="s">
        <v>6696</v>
      </c>
      <c r="C6825" s="104" t="s">
        <v>16</v>
      </c>
      <c r="D6825" s="129" t="s">
        <v>16653</v>
      </c>
    </row>
    <row r="6826" spans="1:4">
      <c r="A6826" s="105">
        <v>88304</v>
      </c>
      <c r="B6826" s="104" t="s">
        <v>6697</v>
      </c>
      <c r="C6826" s="104" t="s">
        <v>16</v>
      </c>
      <c r="D6826" s="129" t="s">
        <v>19625</v>
      </c>
    </row>
    <row r="6827" spans="1:4">
      <c r="A6827" s="105">
        <v>88306</v>
      </c>
      <c r="B6827" s="104" t="s">
        <v>6698</v>
      </c>
      <c r="C6827" s="104" t="s">
        <v>16</v>
      </c>
      <c r="D6827" s="129" t="s">
        <v>18592</v>
      </c>
    </row>
    <row r="6828" spans="1:4">
      <c r="A6828" s="105">
        <v>88307</v>
      </c>
      <c r="B6828" s="104" t="s">
        <v>6699</v>
      </c>
      <c r="C6828" s="104" t="s">
        <v>16</v>
      </c>
      <c r="D6828" s="129" t="s">
        <v>20186</v>
      </c>
    </row>
    <row r="6829" spans="1:4">
      <c r="A6829" s="105">
        <v>88308</v>
      </c>
      <c r="B6829" s="104" t="s">
        <v>6700</v>
      </c>
      <c r="C6829" s="104" t="s">
        <v>16</v>
      </c>
      <c r="D6829" s="129" t="s">
        <v>20262</v>
      </c>
    </row>
    <row r="6830" spans="1:4">
      <c r="A6830" s="105">
        <v>88309</v>
      </c>
      <c r="B6830" s="104" t="s">
        <v>29</v>
      </c>
      <c r="C6830" s="104" t="s">
        <v>16</v>
      </c>
      <c r="D6830" s="129" t="s">
        <v>20281</v>
      </c>
    </row>
    <row r="6831" spans="1:4">
      <c r="A6831" s="105">
        <v>88310</v>
      </c>
      <c r="B6831" s="104" t="s">
        <v>159</v>
      </c>
      <c r="C6831" s="104" t="s">
        <v>16</v>
      </c>
      <c r="D6831" s="129" t="s">
        <v>20282</v>
      </c>
    </row>
    <row r="6832" spans="1:4">
      <c r="A6832" s="105">
        <v>88311</v>
      </c>
      <c r="B6832" s="104" t="s">
        <v>6701</v>
      </c>
      <c r="C6832" s="104" t="s">
        <v>16</v>
      </c>
      <c r="D6832" s="129" t="s">
        <v>20283</v>
      </c>
    </row>
    <row r="6833" spans="1:4">
      <c r="A6833" s="105">
        <v>88312</v>
      </c>
      <c r="B6833" s="104" t="s">
        <v>6702</v>
      </c>
      <c r="C6833" s="104" t="s">
        <v>16</v>
      </c>
      <c r="D6833" s="129" t="s">
        <v>20282</v>
      </c>
    </row>
    <row r="6834" spans="1:4">
      <c r="A6834" s="105">
        <v>88313</v>
      </c>
      <c r="B6834" s="104" t="s">
        <v>6703</v>
      </c>
      <c r="C6834" s="104" t="s">
        <v>16</v>
      </c>
      <c r="D6834" s="129" t="s">
        <v>20284</v>
      </c>
    </row>
    <row r="6835" spans="1:4">
      <c r="A6835" s="105">
        <v>88314</v>
      </c>
      <c r="B6835" s="104" t="s">
        <v>6704</v>
      </c>
      <c r="C6835" s="104" t="s">
        <v>16</v>
      </c>
      <c r="D6835" s="129" t="s">
        <v>20285</v>
      </c>
    </row>
    <row r="6836" spans="1:4">
      <c r="A6836" s="105">
        <v>88315</v>
      </c>
      <c r="B6836" s="104" t="s">
        <v>157</v>
      </c>
      <c r="C6836" s="104" t="s">
        <v>16</v>
      </c>
      <c r="D6836" s="129" t="s">
        <v>18384</v>
      </c>
    </row>
    <row r="6837" spans="1:4">
      <c r="A6837" s="105">
        <v>88316</v>
      </c>
      <c r="B6837" s="104" t="s">
        <v>17</v>
      </c>
      <c r="C6837" s="104" t="s">
        <v>16</v>
      </c>
      <c r="D6837" s="129" t="s">
        <v>20286</v>
      </c>
    </row>
    <row r="6838" spans="1:4">
      <c r="A6838" s="105">
        <v>88317</v>
      </c>
      <c r="B6838" s="104" t="s">
        <v>6705</v>
      </c>
      <c r="C6838" s="104" t="s">
        <v>16</v>
      </c>
      <c r="D6838" s="129" t="s">
        <v>20287</v>
      </c>
    </row>
    <row r="6839" spans="1:4">
      <c r="A6839" s="105">
        <v>88318</v>
      </c>
      <c r="B6839" s="104" t="s">
        <v>6706</v>
      </c>
      <c r="C6839" s="104" t="s">
        <v>16</v>
      </c>
      <c r="D6839" s="129" t="s">
        <v>20288</v>
      </c>
    </row>
    <row r="6840" spans="1:4">
      <c r="A6840" s="105">
        <v>88320</v>
      </c>
      <c r="B6840" s="104" t="s">
        <v>6707</v>
      </c>
      <c r="C6840" s="104" t="s">
        <v>16</v>
      </c>
      <c r="D6840" s="129" t="s">
        <v>20264</v>
      </c>
    </row>
    <row r="6841" spans="1:4">
      <c r="A6841" s="105">
        <v>88321</v>
      </c>
      <c r="B6841" s="104" t="s">
        <v>6708</v>
      </c>
      <c r="C6841" s="104" t="s">
        <v>16</v>
      </c>
      <c r="D6841" s="129" t="s">
        <v>18245</v>
      </c>
    </row>
    <row r="6842" spans="1:4">
      <c r="A6842" s="105">
        <v>88322</v>
      </c>
      <c r="B6842" s="104" t="s">
        <v>6709</v>
      </c>
      <c r="C6842" s="104" t="s">
        <v>16</v>
      </c>
      <c r="D6842" s="129" t="s">
        <v>20289</v>
      </c>
    </row>
    <row r="6843" spans="1:4">
      <c r="A6843" s="105">
        <v>88323</v>
      </c>
      <c r="B6843" s="104" t="s">
        <v>6710</v>
      </c>
      <c r="C6843" s="104" t="s">
        <v>16</v>
      </c>
      <c r="D6843" s="129" t="s">
        <v>18138</v>
      </c>
    </row>
    <row r="6844" spans="1:4">
      <c r="A6844" s="105">
        <v>88324</v>
      </c>
      <c r="B6844" s="104" t="s">
        <v>6711</v>
      </c>
      <c r="C6844" s="104" t="s">
        <v>16</v>
      </c>
      <c r="D6844" s="129" t="s">
        <v>20290</v>
      </c>
    </row>
    <row r="6845" spans="1:4">
      <c r="A6845" s="105">
        <v>88325</v>
      </c>
      <c r="B6845" s="104" t="s">
        <v>243</v>
      </c>
      <c r="C6845" s="104" t="s">
        <v>16</v>
      </c>
      <c r="D6845" s="129" t="s">
        <v>20291</v>
      </c>
    </row>
    <row r="6846" spans="1:4">
      <c r="A6846" s="105">
        <v>88326</v>
      </c>
      <c r="B6846" s="104" t="s">
        <v>6712</v>
      </c>
      <c r="C6846" s="104" t="s">
        <v>16</v>
      </c>
      <c r="D6846" s="129" t="s">
        <v>18171</v>
      </c>
    </row>
    <row r="6847" spans="1:4">
      <c r="A6847" s="105">
        <v>88377</v>
      </c>
      <c r="B6847" s="104" t="s">
        <v>6713</v>
      </c>
      <c r="C6847" s="104" t="s">
        <v>16</v>
      </c>
      <c r="D6847" s="129" t="s">
        <v>17945</v>
      </c>
    </row>
    <row r="6848" spans="1:4">
      <c r="A6848" s="105">
        <v>88441</v>
      </c>
      <c r="B6848" s="104" t="s">
        <v>6714</v>
      </c>
      <c r="C6848" s="104" t="s">
        <v>16</v>
      </c>
      <c r="D6848" s="129" t="s">
        <v>14745</v>
      </c>
    </row>
    <row r="6849" spans="1:4">
      <c r="A6849" s="105">
        <v>88597</v>
      </c>
      <c r="B6849" s="104" t="s">
        <v>6715</v>
      </c>
      <c r="C6849" s="104" t="s">
        <v>16</v>
      </c>
      <c r="D6849" s="129" t="s">
        <v>15169</v>
      </c>
    </row>
    <row r="6850" spans="1:4">
      <c r="A6850" s="105">
        <v>90766</v>
      </c>
      <c r="B6850" s="104" t="s">
        <v>6716</v>
      </c>
      <c r="C6850" s="104" t="s">
        <v>16</v>
      </c>
      <c r="D6850" s="129" t="s">
        <v>20292</v>
      </c>
    </row>
    <row r="6851" spans="1:4">
      <c r="A6851" s="105">
        <v>90767</v>
      </c>
      <c r="B6851" s="104" t="s">
        <v>6717</v>
      </c>
      <c r="C6851" s="104" t="s">
        <v>16</v>
      </c>
      <c r="D6851" s="129" t="s">
        <v>20293</v>
      </c>
    </row>
    <row r="6852" spans="1:4">
      <c r="A6852" s="105">
        <v>90768</v>
      </c>
      <c r="B6852" s="104" t="s">
        <v>6718</v>
      </c>
      <c r="C6852" s="104" t="s">
        <v>16</v>
      </c>
      <c r="D6852" s="129" t="s">
        <v>20294</v>
      </c>
    </row>
    <row r="6853" spans="1:4">
      <c r="A6853" s="105">
        <v>90769</v>
      </c>
      <c r="B6853" s="104" t="s">
        <v>6719</v>
      </c>
      <c r="C6853" s="104" t="s">
        <v>16</v>
      </c>
      <c r="D6853" s="129" t="s">
        <v>18721</v>
      </c>
    </row>
    <row r="6854" spans="1:4">
      <c r="A6854" s="105">
        <v>90770</v>
      </c>
      <c r="B6854" s="104" t="s">
        <v>6720</v>
      </c>
      <c r="C6854" s="104" t="s">
        <v>16</v>
      </c>
      <c r="D6854" s="129" t="s">
        <v>20295</v>
      </c>
    </row>
    <row r="6855" spans="1:4">
      <c r="A6855" s="105">
        <v>90771</v>
      </c>
      <c r="B6855" s="104" t="s">
        <v>6721</v>
      </c>
      <c r="C6855" s="104" t="s">
        <v>16</v>
      </c>
      <c r="D6855" s="129" t="s">
        <v>20296</v>
      </c>
    </row>
    <row r="6856" spans="1:4">
      <c r="A6856" s="105">
        <v>90772</v>
      </c>
      <c r="B6856" s="104" t="s">
        <v>49</v>
      </c>
      <c r="C6856" s="104" t="s">
        <v>16</v>
      </c>
      <c r="D6856" s="129" t="s">
        <v>20297</v>
      </c>
    </row>
    <row r="6857" spans="1:4">
      <c r="A6857" s="105">
        <v>90773</v>
      </c>
      <c r="B6857" s="104" t="s">
        <v>6722</v>
      </c>
      <c r="C6857" s="104" t="s">
        <v>16</v>
      </c>
      <c r="D6857" s="129" t="s">
        <v>20298</v>
      </c>
    </row>
    <row r="6858" spans="1:4">
      <c r="A6858" s="105">
        <v>90775</v>
      </c>
      <c r="B6858" s="104" t="s">
        <v>6723</v>
      </c>
      <c r="C6858" s="104" t="s">
        <v>16</v>
      </c>
      <c r="D6858" s="129" t="s">
        <v>20299</v>
      </c>
    </row>
    <row r="6859" spans="1:4">
      <c r="A6859" s="105">
        <v>90776</v>
      </c>
      <c r="B6859" s="104" t="s">
        <v>6724</v>
      </c>
      <c r="C6859" s="104" t="s">
        <v>16</v>
      </c>
      <c r="D6859" s="129" t="s">
        <v>20300</v>
      </c>
    </row>
    <row r="6860" spans="1:4">
      <c r="A6860" s="105">
        <v>90777</v>
      </c>
      <c r="B6860" s="104" t="s">
        <v>6725</v>
      </c>
      <c r="C6860" s="104" t="s">
        <v>16</v>
      </c>
      <c r="D6860" s="129" t="s">
        <v>20301</v>
      </c>
    </row>
    <row r="6861" spans="1:4">
      <c r="A6861" s="105">
        <v>90778</v>
      </c>
      <c r="B6861" s="104" t="s">
        <v>46</v>
      </c>
      <c r="C6861" s="104" t="s">
        <v>16</v>
      </c>
      <c r="D6861" s="129" t="s">
        <v>20302</v>
      </c>
    </row>
    <row r="6862" spans="1:4">
      <c r="A6862" s="105">
        <v>90779</v>
      </c>
      <c r="B6862" s="104" t="s">
        <v>6726</v>
      </c>
      <c r="C6862" s="104" t="s">
        <v>16</v>
      </c>
      <c r="D6862" s="129" t="s">
        <v>20303</v>
      </c>
    </row>
    <row r="6863" spans="1:4">
      <c r="A6863" s="105">
        <v>90780</v>
      </c>
      <c r="B6863" s="104" t="s">
        <v>47</v>
      </c>
      <c r="C6863" s="104" t="s">
        <v>16</v>
      </c>
      <c r="D6863" s="129" t="s">
        <v>20304</v>
      </c>
    </row>
    <row r="6864" spans="1:4">
      <c r="A6864" s="105">
        <v>90781</v>
      </c>
      <c r="B6864" s="104" t="s">
        <v>48</v>
      </c>
      <c r="C6864" s="104" t="s">
        <v>16</v>
      </c>
      <c r="D6864" s="129" t="s">
        <v>15508</v>
      </c>
    </row>
    <row r="6865" spans="1:4">
      <c r="A6865" s="105">
        <v>91677</v>
      </c>
      <c r="B6865" s="104" t="s">
        <v>6727</v>
      </c>
      <c r="C6865" s="104" t="s">
        <v>16</v>
      </c>
      <c r="D6865" s="129" t="s">
        <v>20305</v>
      </c>
    </row>
    <row r="6866" spans="1:4">
      <c r="A6866" s="105">
        <v>91678</v>
      </c>
      <c r="B6866" s="104" t="s">
        <v>6728</v>
      </c>
      <c r="C6866" s="104" t="s">
        <v>16</v>
      </c>
      <c r="D6866" s="129" t="s">
        <v>15396</v>
      </c>
    </row>
    <row r="6867" spans="1:4">
      <c r="A6867" s="105">
        <v>93558</v>
      </c>
      <c r="B6867" s="104" t="s">
        <v>6729</v>
      </c>
      <c r="C6867" s="104" t="s">
        <v>6730</v>
      </c>
      <c r="D6867" s="129" t="s">
        <v>20306</v>
      </c>
    </row>
    <row r="6868" spans="1:4">
      <c r="A6868" s="105">
        <v>93559</v>
      </c>
      <c r="B6868" s="104" t="s">
        <v>6715</v>
      </c>
      <c r="C6868" s="104" t="s">
        <v>6730</v>
      </c>
      <c r="D6868" s="129" t="s">
        <v>20307</v>
      </c>
    </row>
    <row r="6869" spans="1:4">
      <c r="A6869" s="105">
        <v>93560</v>
      </c>
      <c r="B6869" s="104" t="s">
        <v>6722</v>
      </c>
      <c r="C6869" s="104" t="s">
        <v>6730</v>
      </c>
      <c r="D6869" s="129" t="s">
        <v>20308</v>
      </c>
    </row>
    <row r="6870" spans="1:4">
      <c r="A6870" s="105">
        <v>93561</v>
      </c>
      <c r="B6870" s="104" t="s">
        <v>6723</v>
      </c>
      <c r="C6870" s="104" t="s">
        <v>6730</v>
      </c>
      <c r="D6870" s="129" t="s">
        <v>20309</v>
      </c>
    </row>
    <row r="6871" spans="1:4">
      <c r="A6871" s="105">
        <v>93562</v>
      </c>
      <c r="B6871" s="104" t="s">
        <v>6721</v>
      </c>
      <c r="C6871" s="104" t="s">
        <v>6730</v>
      </c>
      <c r="D6871" s="129" t="s">
        <v>20310</v>
      </c>
    </row>
    <row r="6872" spans="1:4">
      <c r="A6872" s="105">
        <v>93563</v>
      </c>
      <c r="B6872" s="104" t="s">
        <v>6716</v>
      </c>
      <c r="C6872" s="104" t="s">
        <v>6730</v>
      </c>
      <c r="D6872" s="129" t="s">
        <v>20311</v>
      </c>
    </row>
    <row r="6873" spans="1:4">
      <c r="A6873" s="105">
        <v>93564</v>
      </c>
      <c r="B6873" s="104" t="s">
        <v>6717</v>
      </c>
      <c r="C6873" s="104" t="s">
        <v>6730</v>
      </c>
      <c r="D6873" s="129" t="s">
        <v>20312</v>
      </c>
    </row>
    <row r="6874" spans="1:4">
      <c r="A6874" s="105">
        <v>93565</v>
      </c>
      <c r="B6874" s="104" t="s">
        <v>6725</v>
      </c>
      <c r="C6874" s="104" t="s">
        <v>6730</v>
      </c>
      <c r="D6874" s="129" t="s">
        <v>20313</v>
      </c>
    </row>
    <row r="6875" spans="1:4">
      <c r="A6875" s="105">
        <v>93566</v>
      </c>
      <c r="B6875" s="104" t="s">
        <v>49</v>
      </c>
      <c r="C6875" s="104" t="s">
        <v>6730</v>
      </c>
      <c r="D6875" s="129" t="s">
        <v>20314</v>
      </c>
    </row>
    <row r="6876" spans="1:4">
      <c r="A6876" s="105">
        <v>93567</v>
      </c>
      <c r="B6876" s="104" t="s">
        <v>46</v>
      </c>
      <c r="C6876" s="104" t="s">
        <v>6730</v>
      </c>
      <c r="D6876" s="129" t="s">
        <v>20315</v>
      </c>
    </row>
    <row r="6877" spans="1:4">
      <c r="A6877" s="105">
        <v>93568</v>
      </c>
      <c r="B6877" s="104" t="s">
        <v>6726</v>
      </c>
      <c r="C6877" s="104" t="s">
        <v>6730</v>
      </c>
      <c r="D6877" s="129" t="s">
        <v>20316</v>
      </c>
    </row>
    <row r="6878" spans="1:4">
      <c r="A6878" s="105">
        <v>93569</v>
      </c>
      <c r="B6878" s="104" t="s">
        <v>6731</v>
      </c>
      <c r="C6878" s="104" t="s">
        <v>6730</v>
      </c>
      <c r="D6878" s="129" t="s">
        <v>20317</v>
      </c>
    </row>
    <row r="6879" spans="1:4">
      <c r="A6879" s="105">
        <v>93570</v>
      </c>
      <c r="B6879" s="104" t="s">
        <v>6732</v>
      </c>
      <c r="C6879" s="104" t="s">
        <v>6730</v>
      </c>
      <c r="D6879" s="129" t="s">
        <v>20318</v>
      </c>
    </row>
    <row r="6880" spans="1:4">
      <c r="A6880" s="105">
        <v>93571</v>
      </c>
      <c r="B6880" s="104" t="s">
        <v>6733</v>
      </c>
      <c r="C6880" s="104" t="s">
        <v>6730</v>
      </c>
      <c r="D6880" s="129" t="s">
        <v>20319</v>
      </c>
    </row>
    <row r="6881" spans="1:4">
      <c r="A6881" s="105">
        <v>93572</v>
      </c>
      <c r="B6881" s="104" t="s">
        <v>6734</v>
      </c>
      <c r="C6881" s="104" t="s">
        <v>6730</v>
      </c>
      <c r="D6881" s="129" t="s">
        <v>20320</v>
      </c>
    </row>
    <row r="6882" spans="1:4">
      <c r="A6882" s="105">
        <v>94295</v>
      </c>
      <c r="B6882" s="104" t="s">
        <v>47</v>
      </c>
      <c r="C6882" s="104" t="s">
        <v>6730</v>
      </c>
      <c r="D6882" s="129" t="s">
        <v>20321</v>
      </c>
    </row>
    <row r="6883" spans="1:4">
      <c r="A6883" s="105">
        <v>94296</v>
      </c>
      <c r="B6883" s="104" t="s">
        <v>48</v>
      </c>
      <c r="C6883" s="104" t="s">
        <v>6730</v>
      </c>
      <c r="D6883" s="129" t="s">
        <v>20322</v>
      </c>
    </row>
    <row r="6884" spans="1:4">
      <c r="A6884" s="105">
        <v>95308</v>
      </c>
      <c r="B6884" s="104" t="s">
        <v>6735</v>
      </c>
      <c r="C6884" s="104" t="s">
        <v>16</v>
      </c>
      <c r="D6884" s="129" t="s">
        <v>15376</v>
      </c>
    </row>
    <row r="6885" spans="1:4">
      <c r="A6885" s="105">
        <v>95309</v>
      </c>
      <c r="B6885" s="104" t="s">
        <v>6736</v>
      </c>
      <c r="C6885" s="104" t="s">
        <v>16</v>
      </c>
      <c r="D6885" s="129" t="s">
        <v>20323</v>
      </c>
    </row>
    <row r="6886" spans="1:4">
      <c r="A6886" s="105">
        <v>95310</v>
      </c>
      <c r="B6886" s="104" t="s">
        <v>6737</v>
      </c>
      <c r="C6886" s="104" t="s">
        <v>16</v>
      </c>
      <c r="D6886" s="129" t="s">
        <v>15602</v>
      </c>
    </row>
    <row r="6887" spans="1:4">
      <c r="A6887" s="105">
        <v>95311</v>
      </c>
      <c r="B6887" s="104" t="s">
        <v>6738</v>
      </c>
      <c r="C6887" s="104" t="s">
        <v>16</v>
      </c>
      <c r="D6887" s="129" t="s">
        <v>15376</v>
      </c>
    </row>
    <row r="6888" spans="1:4">
      <c r="A6888" s="105">
        <v>95312</v>
      </c>
      <c r="B6888" s="104" t="s">
        <v>6739</v>
      </c>
      <c r="C6888" s="104" t="s">
        <v>16</v>
      </c>
      <c r="D6888" s="129" t="s">
        <v>15693</v>
      </c>
    </row>
    <row r="6889" spans="1:4">
      <c r="A6889" s="105">
        <v>95313</v>
      </c>
      <c r="B6889" s="104" t="s">
        <v>6740</v>
      </c>
      <c r="C6889" s="104" t="s">
        <v>16</v>
      </c>
      <c r="D6889" s="129" t="s">
        <v>15334</v>
      </c>
    </row>
    <row r="6890" spans="1:4">
      <c r="A6890" s="105">
        <v>95314</v>
      </c>
      <c r="B6890" s="104" t="s">
        <v>6741</v>
      </c>
      <c r="C6890" s="104" t="s">
        <v>16</v>
      </c>
      <c r="D6890" s="129" t="s">
        <v>15693</v>
      </c>
    </row>
    <row r="6891" spans="1:4">
      <c r="A6891" s="105">
        <v>95315</v>
      </c>
      <c r="B6891" s="104" t="s">
        <v>6742</v>
      </c>
      <c r="C6891" s="104" t="s">
        <v>16</v>
      </c>
      <c r="D6891" s="129" t="s">
        <v>15543</v>
      </c>
    </row>
    <row r="6892" spans="1:4">
      <c r="A6892" s="105">
        <v>95316</v>
      </c>
      <c r="B6892" s="104" t="s">
        <v>6743</v>
      </c>
      <c r="C6892" s="104" t="s">
        <v>16</v>
      </c>
      <c r="D6892" s="129" t="s">
        <v>20119</v>
      </c>
    </row>
    <row r="6893" spans="1:4">
      <c r="A6893" s="105">
        <v>95317</v>
      </c>
      <c r="B6893" s="104" t="s">
        <v>6744</v>
      </c>
      <c r="C6893" s="104" t="s">
        <v>16</v>
      </c>
      <c r="D6893" s="129" t="s">
        <v>15504</v>
      </c>
    </row>
    <row r="6894" spans="1:4">
      <c r="A6894" s="105">
        <v>95318</v>
      </c>
      <c r="B6894" s="104" t="s">
        <v>6745</v>
      </c>
      <c r="C6894" s="104" t="s">
        <v>16</v>
      </c>
      <c r="D6894" s="129" t="s">
        <v>15693</v>
      </c>
    </row>
    <row r="6895" spans="1:4">
      <c r="A6895" s="105">
        <v>95319</v>
      </c>
      <c r="B6895" s="104" t="s">
        <v>6746</v>
      </c>
      <c r="C6895" s="104" t="s">
        <v>16</v>
      </c>
      <c r="D6895" s="129" t="s">
        <v>19512</v>
      </c>
    </row>
    <row r="6896" spans="1:4">
      <c r="A6896" s="105">
        <v>95320</v>
      </c>
      <c r="B6896" s="104" t="s">
        <v>6747</v>
      </c>
      <c r="C6896" s="104" t="s">
        <v>16</v>
      </c>
      <c r="D6896" s="129" t="s">
        <v>15334</v>
      </c>
    </row>
    <row r="6897" spans="1:4">
      <c r="A6897" s="105">
        <v>95321</v>
      </c>
      <c r="B6897" s="104" t="s">
        <v>6748</v>
      </c>
      <c r="C6897" s="104" t="s">
        <v>16</v>
      </c>
      <c r="D6897" s="129" t="s">
        <v>15376</v>
      </c>
    </row>
    <row r="6898" spans="1:4">
      <c r="A6898" s="105">
        <v>95322</v>
      </c>
      <c r="B6898" s="104" t="s">
        <v>6749</v>
      </c>
      <c r="C6898" s="104" t="s">
        <v>16</v>
      </c>
      <c r="D6898" s="129" t="s">
        <v>15492</v>
      </c>
    </row>
    <row r="6899" spans="1:4">
      <c r="A6899" s="105">
        <v>95323</v>
      </c>
      <c r="B6899" s="104" t="s">
        <v>6750</v>
      </c>
      <c r="C6899" s="104" t="s">
        <v>16</v>
      </c>
      <c r="D6899" s="129" t="s">
        <v>20323</v>
      </c>
    </row>
    <row r="6900" spans="1:4">
      <c r="A6900" s="105">
        <v>95324</v>
      </c>
      <c r="B6900" s="104" t="s">
        <v>6751</v>
      </c>
      <c r="C6900" s="104" t="s">
        <v>16</v>
      </c>
      <c r="D6900" s="129" t="s">
        <v>15576</v>
      </c>
    </row>
    <row r="6901" spans="1:4">
      <c r="A6901" s="105">
        <v>95325</v>
      </c>
      <c r="B6901" s="104" t="s">
        <v>6752</v>
      </c>
      <c r="C6901" s="104" t="s">
        <v>16</v>
      </c>
      <c r="D6901" s="129" t="s">
        <v>15543</v>
      </c>
    </row>
    <row r="6902" spans="1:4">
      <c r="A6902" s="105">
        <v>95326</v>
      </c>
      <c r="B6902" s="104" t="s">
        <v>6753</v>
      </c>
      <c r="C6902" s="104" t="s">
        <v>16</v>
      </c>
      <c r="D6902" s="129" t="s">
        <v>15492</v>
      </c>
    </row>
    <row r="6903" spans="1:4">
      <c r="A6903" s="105">
        <v>95328</v>
      </c>
      <c r="B6903" s="104" t="s">
        <v>6754</v>
      </c>
      <c r="C6903" s="104" t="s">
        <v>16</v>
      </c>
      <c r="D6903" s="129" t="s">
        <v>15765</v>
      </c>
    </row>
    <row r="6904" spans="1:4">
      <c r="A6904" s="105">
        <v>95329</v>
      </c>
      <c r="B6904" s="104" t="s">
        <v>6755</v>
      </c>
      <c r="C6904" s="104" t="s">
        <v>16</v>
      </c>
      <c r="D6904" s="129" t="s">
        <v>15758</v>
      </c>
    </row>
    <row r="6905" spans="1:4">
      <c r="A6905" s="105">
        <v>95330</v>
      </c>
      <c r="B6905" s="104" t="s">
        <v>6756</v>
      </c>
      <c r="C6905" s="104" t="s">
        <v>16</v>
      </c>
      <c r="D6905" s="129" t="s">
        <v>15693</v>
      </c>
    </row>
    <row r="6906" spans="1:4">
      <c r="A6906" s="105">
        <v>95331</v>
      </c>
      <c r="B6906" s="104" t="s">
        <v>6757</v>
      </c>
      <c r="C6906" s="104" t="s">
        <v>16</v>
      </c>
      <c r="D6906" s="129" t="s">
        <v>19512</v>
      </c>
    </row>
    <row r="6907" spans="1:4">
      <c r="A6907" s="105">
        <v>95332</v>
      </c>
      <c r="B6907" s="104" t="s">
        <v>6758</v>
      </c>
      <c r="C6907" s="104" t="s">
        <v>16</v>
      </c>
      <c r="D6907" s="129" t="s">
        <v>15605</v>
      </c>
    </row>
    <row r="6908" spans="1:4">
      <c r="A6908" s="105">
        <v>95333</v>
      </c>
      <c r="B6908" s="104" t="s">
        <v>6759</v>
      </c>
      <c r="C6908" s="104" t="s">
        <v>16</v>
      </c>
      <c r="D6908" s="129" t="s">
        <v>15605</v>
      </c>
    </row>
    <row r="6909" spans="1:4">
      <c r="A6909" s="105">
        <v>95334</v>
      </c>
      <c r="B6909" s="104" t="s">
        <v>6760</v>
      </c>
      <c r="C6909" s="104" t="s">
        <v>16</v>
      </c>
      <c r="D6909" s="129" t="s">
        <v>20159</v>
      </c>
    </row>
    <row r="6910" spans="1:4">
      <c r="A6910" s="105">
        <v>95335</v>
      </c>
      <c r="B6910" s="104" t="s">
        <v>6761</v>
      </c>
      <c r="C6910" s="104" t="s">
        <v>16</v>
      </c>
      <c r="D6910" s="129" t="s">
        <v>15277</v>
      </c>
    </row>
    <row r="6911" spans="1:4">
      <c r="A6911" s="105">
        <v>95337</v>
      </c>
      <c r="B6911" s="104" t="s">
        <v>6762</v>
      </c>
      <c r="C6911" s="104" t="s">
        <v>16</v>
      </c>
      <c r="D6911" s="129" t="s">
        <v>15693</v>
      </c>
    </row>
    <row r="6912" spans="1:4">
      <c r="A6912" s="105">
        <v>95338</v>
      </c>
      <c r="B6912" s="104" t="s">
        <v>6763</v>
      </c>
      <c r="C6912" s="104" t="s">
        <v>16</v>
      </c>
      <c r="D6912" s="129" t="s">
        <v>15277</v>
      </c>
    </row>
    <row r="6913" spans="1:4">
      <c r="A6913" s="105">
        <v>95339</v>
      </c>
      <c r="B6913" s="104" t="s">
        <v>6764</v>
      </c>
      <c r="C6913" s="104" t="s">
        <v>16</v>
      </c>
      <c r="D6913" s="129" t="s">
        <v>15725</v>
      </c>
    </row>
    <row r="6914" spans="1:4">
      <c r="A6914" s="105">
        <v>95340</v>
      </c>
      <c r="B6914" s="104" t="s">
        <v>6765</v>
      </c>
      <c r="C6914" s="104" t="s">
        <v>16</v>
      </c>
      <c r="D6914" s="129" t="s">
        <v>15758</v>
      </c>
    </row>
    <row r="6915" spans="1:4">
      <c r="A6915" s="105">
        <v>95341</v>
      </c>
      <c r="B6915" s="104" t="s">
        <v>6766</v>
      </c>
      <c r="C6915" s="104" t="s">
        <v>16</v>
      </c>
      <c r="D6915" s="129" t="s">
        <v>15576</v>
      </c>
    </row>
    <row r="6916" spans="1:4">
      <c r="A6916" s="105">
        <v>95342</v>
      </c>
      <c r="B6916" s="104" t="s">
        <v>6767</v>
      </c>
      <c r="C6916" s="104" t="s">
        <v>16</v>
      </c>
      <c r="D6916" s="129" t="s">
        <v>15473</v>
      </c>
    </row>
    <row r="6917" spans="1:4">
      <c r="A6917" s="105">
        <v>95343</v>
      </c>
      <c r="B6917" s="104" t="s">
        <v>6768</v>
      </c>
      <c r="C6917" s="104" t="s">
        <v>16</v>
      </c>
      <c r="D6917" s="129" t="s">
        <v>15693</v>
      </c>
    </row>
    <row r="6918" spans="1:4">
      <c r="A6918" s="105">
        <v>95344</v>
      </c>
      <c r="B6918" s="104" t="s">
        <v>6769</v>
      </c>
      <c r="C6918" s="104" t="s">
        <v>16</v>
      </c>
      <c r="D6918" s="129" t="s">
        <v>15473</v>
      </c>
    </row>
    <row r="6919" spans="1:4">
      <c r="A6919" s="105">
        <v>95345</v>
      </c>
      <c r="B6919" s="104" t="s">
        <v>6770</v>
      </c>
      <c r="C6919" s="104" t="s">
        <v>16</v>
      </c>
      <c r="D6919" s="129" t="s">
        <v>15306</v>
      </c>
    </row>
    <row r="6920" spans="1:4">
      <c r="A6920" s="105">
        <v>95346</v>
      </c>
      <c r="B6920" s="104" t="s">
        <v>6771</v>
      </c>
      <c r="C6920" s="104" t="s">
        <v>16</v>
      </c>
      <c r="D6920" s="129" t="s">
        <v>15470</v>
      </c>
    </row>
    <row r="6921" spans="1:4">
      <c r="A6921" s="105">
        <v>95347</v>
      </c>
      <c r="B6921" s="104" t="s">
        <v>6772</v>
      </c>
      <c r="C6921" s="104" t="s">
        <v>16</v>
      </c>
      <c r="D6921" s="129" t="s">
        <v>15470</v>
      </c>
    </row>
    <row r="6922" spans="1:4">
      <c r="A6922" s="105">
        <v>95348</v>
      </c>
      <c r="B6922" s="104" t="s">
        <v>6773</v>
      </c>
      <c r="C6922" s="104" t="s">
        <v>16</v>
      </c>
      <c r="D6922" s="129" t="s">
        <v>15602</v>
      </c>
    </row>
    <row r="6923" spans="1:4">
      <c r="A6923" s="105">
        <v>95349</v>
      </c>
      <c r="B6923" s="104" t="s">
        <v>6774</v>
      </c>
      <c r="C6923" s="104" t="s">
        <v>16</v>
      </c>
      <c r="D6923" s="129" t="s">
        <v>15492</v>
      </c>
    </row>
    <row r="6924" spans="1:4">
      <c r="A6924" s="105">
        <v>95350</v>
      </c>
      <c r="B6924" s="104" t="s">
        <v>6775</v>
      </c>
      <c r="C6924" s="104" t="s">
        <v>16</v>
      </c>
      <c r="D6924" s="129" t="s">
        <v>15470</v>
      </c>
    </row>
    <row r="6925" spans="1:4">
      <c r="A6925" s="105">
        <v>95351</v>
      </c>
      <c r="B6925" s="104" t="s">
        <v>6776</v>
      </c>
      <c r="C6925" s="104" t="s">
        <v>16</v>
      </c>
      <c r="D6925" s="129" t="s">
        <v>15248</v>
      </c>
    </row>
    <row r="6926" spans="1:4">
      <c r="A6926" s="105">
        <v>95352</v>
      </c>
      <c r="B6926" s="104" t="s">
        <v>6777</v>
      </c>
      <c r="C6926" s="104" t="s">
        <v>16</v>
      </c>
      <c r="D6926" s="129" t="s">
        <v>15470</v>
      </c>
    </row>
    <row r="6927" spans="1:4">
      <c r="A6927" s="105">
        <v>95354</v>
      </c>
      <c r="B6927" s="104" t="s">
        <v>6778</v>
      </c>
      <c r="C6927" s="104" t="s">
        <v>16</v>
      </c>
      <c r="D6927" s="129" t="s">
        <v>15602</v>
      </c>
    </row>
    <row r="6928" spans="1:4">
      <c r="A6928" s="105">
        <v>95355</v>
      </c>
      <c r="B6928" s="104" t="s">
        <v>6779</v>
      </c>
      <c r="C6928" s="104" t="s">
        <v>16</v>
      </c>
      <c r="D6928" s="129" t="s">
        <v>15685</v>
      </c>
    </row>
    <row r="6929" spans="1:4">
      <c r="A6929" s="105">
        <v>95356</v>
      </c>
      <c r="B6929" s="104" t="s">
        <v>6780</v>
      </c>
      <c r="C6929" s="104" t="s">
        <v>16</v>
      </c>
      <c r="D6929" s="129" t="s">
        <v>19512</v>
      </c>
    </row>
    <row r="6930" spans="1:4">
      <c r="A6930" s="105">
        <v>95357</v>
      </c>
      <c r="B6930" s="104" t="s">
        <v>6781</v>
      </c>
      <c r="C6930" s="104" t="s">
        <v>16</v>
      </c>
      <c r="D6930" s="129" t="s">
        <v>15693</v>
      </c>
    </row>
    <row r="6931" spans="1:4">
      <c r="A6931" s="105">
        <v>95358</v>
      </c>
      <c r="B6931" s="104" t="s">
        <v>6782</v>
      </c>
      <c r="C6931" s="104" t="s">
        <v>16</v>
      </c>
      <c r="D6931" s="129" t="s">
        <v>20323</v>
      </c>
    </row>
    <row r="6932" spans="1:4">
      <c r="A6932" s="105">
        <v>95359</v>
      </c>
      <c r="B6932" s="104" t="s">
        <v>6783</v>
      </c>
      <c r="C6932" s="104" t="s">
        <v>16</v>
      </c>
      <c r="D6932" s="129" t="s">
        <v>20323</v>
      </c>
    </row>
    <row r="6933" spans="1:4">
      <c r="A6933" s="105">
        <v>95360</v>
      </c>
      <c r="B6933" s="104" t="s">
        <v>6784</v>
      </c>
      <c r="C6933" s="104" t="s">
        <v>16</v>
      </c>
      <c r="D6933" s="129" t="s">
        <v>15376</v>
      </c>
    </row>
    <row r="6934" spans="1:4">
      <c r="A6934" s="105">
        <v>95361</v>
      </c>
      <c r="B6934" s="104" t="s">
        <v>6785</v>
      </c>
      <c r="C6934" s="104" t="s">
        <v>16</v>
      </c>
      <c r="D6934" s="129" t="s">
        <v>15216</v>
      </c>
    </row>
    <row r="6935" spans="1:4">
      <c r="A6935" s="105">
        <v>95362</v>
      </c>
      <c r="B6935" s="104" t="s">
        <v>6786</v>
      </c>
      <c r="C6935" s="104" t="s">
        <v>16</v>
      </c>
      <c r="D6935" s="129" t="s">
        <v>19512</v>
      </c>
    </row>
    <row r="6936" spans="1:4">
      <c r="A6936" s="105">
        <v>95363</v>
      </c>
      <c r="B6936" s="104" t="s">
        <v>6787</v>
      </c>
      <c r="C6936" s="104" t="s">
        <v>16</v>
      </c>
      <c r="D6936" s="129" t="s">
        <v>15334</v>
      </c>
    </row>
    <row r="6937" spans="1:4">
      <c r="A6937" s="105">
        <v>95364</v>
      </c>
      <c r="B6937" s="104" t="s">
        <v>6788</v>
      </c>
      <c r="C6937" s="104" t="s">
        <v>16</v>
      </c>
      <c r="D6937" s="129" t="s">
        <v>15685</v>
      </c>
    </row>
    <row r="6938" spans="1:4">
      <c r="A6938" s="105">
        <v>95365</v>
      </c>
      <c r="B6938" s="104" t="s">
        <v>6789</v>
      </c>
      <c r="C6938" s="104" t="s">
        <v>16</v>
      </c>
      <c r="D6938" s="129" t="s">
        <v>15473</v>
      </c>
    </row>
    <row r="6939" spans="1:4">
      <c r="A6939" s="105">
        <v>95366</v>
      </c>
      <c r="B6939" s="104" t="s">
        <v>6790</v>
      </c>
      <c r="C6939" s="104" t="s">
        <v>16</v>
      </c>
      <c r="D6939" s="129" t="s">
        <v>15685</v>
      </c>
    </row>
    <row r="6940" spans="1:4">
      <c r="A6940" s="105">
        <v>95367</v>
      </c>
      <c r="B6940" s="104" t="s">
        <v>6791</v>
      </c>
      <c r="C6940" s="104" t="s">
        <v>16</v>
      </c>
      <c r="D6940" s="129" t="s">
        <v>15685</v>
      </c>
    </row>
    <row r="6941" spans="1:4">
      <c r="A6941" s="105">
        <v>95368</v>
      </c>
      <c r="B6941" s="104" t="s">
        <v>6792</v>
      </c>
      <c r="C6941" s="104" t="s">
        <v>16</v>
      </c>
      <c r="D6941" s="129" t="s">
        <v>15765</v>
      </c>
    </row>
    <row r="6942" spans="1:4">
      <c r="A6942" s="105">
        <v>95369</v>
      </c>
      <c r="B6942" s="104" t="s">
        <v>6793</v>
      </c>
      <c r="C6942" s="104" t="s">
        <v>16</v>
      </c>
      <c r="D6942" s="129" t="s">
        <v>19512</v>
      </c>
    </row>
    <row r="6943" spans="1:4">
      <c r="A6943" s="105">
        <v>95370</v>
      </c>
      <c r="B6943" s="104" t="s">
        <v>6794</v>
      </c>
      <c r="C6943" s="104" t="s">
        <v>16</v>
      </c>
      <c r="D6943" s="129" t="s">
        <v>15576</v>
      </c>
    </row>
    <row r="6944" spans="1:4">
      <c r="A6944" s="105">
        <v>95371</v>
      </c>
      <c r="B6944" s="104" t="s">
        <v>6795</v>
      </c>
      <c r="C6944" s="104" t="s">
        <v>16</v>
      </c>
      <c r="D6944" s="129" t="s">
        <v>20324</v>
      </c>
    </row>
    <row r="6945" spans="1:4">
      <c r="A6945" s="105">
        <v>95372</v>
      </c>
      <c r="B6945" s="104" t="s">
        <v>6796</v>
      </c>
      <c r="C6945" s="104" t="s">
        <v>16</v>
      </c>
      <c r="D6945" s="129" t="s">
        <v>15576</v>
      </c>
    </row>
    <row r="6946" spans="1:4">
      <c r="A6946" s="105">
        <v>95373</v>
      </c>
      <c r="B6946" s="104" t="s">
        <v>6797</v>
      </c>
      <c r="C6946" s="104" t="s">
        <v>16</v>
      </c>
      <c r="D6946" s="129" t="s">
        <v>15504</v>
      </c>
    </row>
    <row r="6947" spans="1:4">
      <c r="A6947" s="105">
        <v>95374</v>
      </c>
      <c r="B6947" s="104" t="s">
        <v>6798</v>
      </c>
      <c r="C6947" s="104" t="s">
        <v>16</v>
      </c>
      <c r="D6947" s="129" t="s">
        <v>15576</v>
      </c>
    </row>
    <row r="6948" spans="1:4">
      <c r="A6948" s="105">
        <v>95375</v>
      </c>
      <c r="B6948" s="104" t="s">
        <v>6799</v>
      </c>
      <c r="C6948" s="104" t="s">
        <v>16</v>
      </c>
      <c r="D6948" s="129" t="s">
        <v>15576</v>
      </c>
    </row>
    <row r="6949" spans="1:4">
      <c r="A6949" s="105">
        <v>95376</v>
      </c>
      <c r="B6949" s="104" t="s">
        <v>6800</v>
      </c>
      <c r="C6949" s="104" t="s">
        <v>16</v>
      </c>
      <c r="D6949" s="129" t="s">
        <v>15492</v>
      </c>
    </row>
    <row r="6950" spans="1:4">
      <c r="A6950" s="105">
        <v>95377</v>
      </c>
      <c r="B6950" s="104" t="s">
        <v>6801</v>
      </c>
      <c r="C6950" s="104" t="s">
        <v>16</v>
      </c>
      <c r="D6950" s="129" t="s">
        <v>15693</v>
      </c>
    </row>
    <row r="6951" spans="1:4">
      <c r="A6951" s="105">
        <v>95378</v>
      </c>
      <c r="B6951" s="104" t="s">
        <v>6802</v>
      </c>
      <c r="C6951" s="104" t="s">
        <v>16</v>
      </c>
      <c r="D6951" s="129" t="s">
        <v>15248</v>
      </c>
    </row>
    <row r="6952" spans="1:4">
      <c r="A6952" s="105">
        <v>95379</v>
      </c>
      <c r="B6952" s="104" t="s">
        <v>6803</v>
      </c>
      <c r="C6952" s="104" t="s">
        <v>16</v>
      </c>
      <c r="D6952" s="129" t="s">
        <v>15693</v>
      </c>
    </row>
    <row r="6953" spans="1:4">
      <c r="A6953" s="105">
        <v>95380</v>
      </c>
      <c r="B6953" s="104" t="s">
        <v>6804</v>
      </c>
      <c r="C6953" s="104" t="s">
        <v>16</v>
      </c>
      <c r="D6953" s="129" t="s">
        <v>15248</v>
      </c>
    </row>
    <row r="6954" spans="1:4">
      <c r="A6954" s="105">
        <v>95382</v>
      </c>
      <c r="B6954" s="104" t="s">
        <v>6805</v>
      </c>
      <c r="C6954" s="104" t="s">
        <v>16</v>
      </c>
      <c r="D6954" s="129" t="s">
        <v>15693</v>
      </c>
    </row>
    <row r="6955" spans="1:4">
      <c r="A6955" s="105">
        <v>95383</v>
      </c>
      <c r="B6955" s="104" t="s">
        <v>6806</v>
      </c>
      <c r="C6955" s="104" t="s">
        <v>16</v>
      </c>
      <c r="D6955" s="129" t="s">
        <v>20323</v>
      </c>
    </row>
    <row r="6956" spans="1:4">
      <c r="A6956" s="105">
        <v>95384</v>
      </c>
      <c r="B6956" s="104" t="s">
        <v>6807</v>
      </c>
      <c r="C6956" s="104" t="s">
        <v>16</v>
      </c>
      <c r="D6956" s="129" t="s">
        <v>15576</v>
      </c>
    </row>
    <row r="6957" spans="1:4">
      <c r="A6957" s="105">
        <v>95385</v>
      </c>
      <c r="B6957" s="104" t="s">
        <v>6808</v>
      </c>
      <c r="C6957" s="104" t="s">
        <v>16</v>
      </c>
      <c r="D6957" s="129" t="s">
        <v>15693</v>
      </c>
    </row>
    <row r="6958" spans="1:4">
      <c r="A6958" s="105">
        <v>95386</v>
      </c>
      <c r="B6958" s="104" t="s">
        <v>6809</v>
      </c>
      <c r="C6958" s="104" t="s">
        <v>16</v>
      </c>
      <c r="D6958" s="129" t="s">
        <v>15376</v>
      </c>
    </row>
    <row r="6959" spans="1:4">
      <c r="A6959" s="105">
        <v>95387</v>
      </c>
      <c r="B6959" s="104" t="s">
        <v>6810</v>
      </c>
      <c r="C6959" s="104" t="s">
        <v>16</v>
      </c>
      <c r="D6959" s="129" t="s">
        <v>15543</v>
      </c>
    </row>
    <row r="6960" spans="1:4">
      <c r="A6960" s="105">
        <v>95388</v>
      </c>
      <c r="B6960" s="104" t="s">
        <v>6811</v>
      </c>
      <c r="C6960" s="104" t="s">
        <v>16</v>
      </c>
      <c r="D6960" s="129" t="s">
        <v>15216</v>
      </c>
    </row>
    <row r="6961" spans="1:4">
      <c r="A6961" s="105">
        <v>95389</v>
      </c>
      <c r="B6961" s="104" t="s">
        <v>6812</v>
      </c>
      <c r="C6961" s="104" t="s">
        <v>16</v>
      </c>
      <c r="D6961" s="129" t="s">
        <v>15602</v>
      </c>
    </row>
    <row r="6962" spans="1:4">
      <c r="A6962" s="105">
        <v>95390</v>
      </c>
      <c r="B6962" s="104" t="s">
        <v>6813</v>
      </c>
      <c r="C6962" s="104" t="s">
        <v>16</v>
      </c>
      <c r="D6962" s="129" t="s">
        <v>15470</v>
      </c>
    </row>
    <row r="6963" spans="1:4">
      <c r="A6963" s="105">
        <v>95391</v>
      </c>
      <c r="B6963" s="104" t="s">
        <v>6814</v>
      </c>
      <c r="C6963" s="104" t="s">
        <v>16</v>
      </c>
      <c r="D6963" s="129" t="s">
        <v>15473</v>
      </c>
    </row>
    <row r="6964" spans="1:4">
      <c r="A6964" s="105">
        <v>95392</v>
      </c>
      <c r="B6964" s="104" t="s">
        <v>6815</v>
      </c>
      <c r="C6964" s="104" t="s">
        <v>16</v>
      </c>
      <c r="D6964" s="129" t="s">
        <v>15216</v>
      </c>
    </row>
    <row r="6965" spans="1:4">
      <c r="A6965" s="105">
        <v>95393</v>
      </c>
      <c r="B6965" s="104" t="s">
        <v>6816</v>
      </c>
      <c r="C6965" s="104" t="s">
        <v>16</v>
      </c>
      <c r="D6965" s="129" t="s">
        <v>15194</v>
      </c>
    </row>
    <row r="6966" spans="1:4">
      <c r="A6966" s="105">
        <v>95394</v>
      </c>
      <c r="B6966" s="104" t="s">
        <v>6817</v>
      </c>
      <c r="C6966" s="104" t="s">
        <v>16</v>
      </c>
      <c r="D6966" s="129" t="s">
        <v>15306</v>
      </c>
    </row>
    <row r="6967" spans="1:4">
      <c r="A6967" s="105">
        <v>95395</v>
      </c>
      <c r="B6967" s="104" t="s">
        <v>6818</v>
      </c>
      <c r="C6967" s="104" t="s">
        <v>16</v>
      </c>
      <c r="D6967" s="129" t="s">
        <v>15521</v>
      </c>
    </row>
    <row r="6968" spans="1:4">
      <c r="A6968" s="105">
        <v>95396</v>
      </c>
      <c r="B6968" s="104" t="s">
        <v>6819</v>
      </c>
      <c r="C6968" s="104" t="s">
        <v>16</v>
      </c>
      <c r="D6968" s="129" t="s">
        <v>20325</v>
      </c>
    </row>
    <row r="6969" spans="1:4">
      <c r="A6969" s="105">
        <v>95397</v>
      </c>
      <c r="B6969" s="104" t="s">
        <v>6820</v>
      </c>
      <c r="C6969" s="104" t="s">
        <v>16</v>
      </c>
      <c r="D6969" s="129" t="s">
        <v>15685</v>
      </c>
    </row>
    <row r="6970" spans="1:4">
      <c r="A6970" s="105">
        <v>95398</v>
      </c>
      <c r="B6970" s="104" t="s">
        <v>6821</v>
      </c>
      <c r="C6970" s="104" t="s">
        <v>16</v>
      </c>
      <c r="D6970" s="129" t="s">
        <v>15470</v>
      </c>
    </row>
    <row r="6971" spans="1:4">
      <c r="A6971" s="105">
        <v>95399</v>
      </c>
      <c r="B6971" s="104" t="s">
        <v>6822</v>
      </c>
      <c r="C6971" s="104" t="s">
        <v>16</v>
      </c>
      <c r="D6971" s="129" t="s">
        <v>15602</v>
      </c>
    </row>
    <row r="6972" spans="1:4">
      <c r="A6972" s="105">
        <v>95400</v>
      </c>
      <c r="B6972" s="104" t="s">
        <v>6823</v>
      </c>
      <c r="C6972" s="104" t="s">
        <v>16</v>
      </c>
      <c r="D6972" s="129" t="s">
        <v>15685</v>
      </c>
    </row>
    <row r="6973" spans="1:4">
      <c r="A6973" s="105">
        <v>95401</v>
      </c>
      <c r="B6973" s="104" t="s">
        <v>6824</v>
      </c>
      <c r="C6973" s="104" t="s">
        <v>16</v>
      </c>
      <c r="D6973" s="129" t="s">
        <v>19543</v>
      </c>
    </row>
    <row r="6974" spans="1:4">
      <c r="A6974" s="105">
        <v>95402</v>
      </c>
      <c r="B6974" s="104" t="s">
        <v>6825</v>
      </c>
      <c r="C6974" s="104" t="s">
        <v>16</v>
      </c>
      <c r="D6974" s="129" t="s">
        <v>19607</v>
      </c>
    </row>
    <row r="6975" spans="1:4">
      <c r="A6975" s="105">
        <v>95403</v>
      </c>
      <c r="B6975" s="104" t="s">
        <v>6826</v>
      </c>
      <c r="C6975" s="104" t="s">
        <v>16</v>
      </c>
      <c r="D6975" s="129" t="s">
        <v>20136</v>
      </c>
    </row>
    <row r="6976" spans="1:4">
      <c r="A6976" s="105">
        <v>95404</v>
      </c>
      <c r="B6976" s="104" t="s">
        <v>6827</v>
      </c>
      <c r="C6976" s="104" t="s">
        <v>16</v>
      </c>
      <c r="D6976" s="129" t="s">
        <v>20160</v>
      </c>
    </row>
    <row r="6977" spans="1:4">
      <c r="A6977" s="105">
        <v>95405</v>
      </c>
      <c r="B6977" s="104" t="s">
        <v>6828</v>
      </c>
      <c r="C6977" s="104" t="s">
        <v>16</v>
      </c>
      <c r="D6977" s="129" t="s">
        <v>20326</v>
      </c>
    </row>
    <row r="6978" spans="1:4">
      <c r="A6978" s="105">
        <v>95406</v>
      </c>
      <c r="B6978" s="104" t="s">
        <v>6829</v>
      </c>
      <c r="C6978" s="104" t="s">
        <v>16</v>
      </c>
      <c r="D6978" s="129" t="s">
        <v>15473</v>
      </c>
    </row>
    <row r="6979" spans="1:4">
      <c r="A6979" s="105">
        <v>95407</v>
      </c>
      <c r="B6979" s="104" t="s">
        <v>6830</v>
      </c>
      <c r="C6979" s="104" t="s">
        <v>16</v>
      </c>
      <c r="D6979" s="129" t="s">
        <v>20163</v>
      </c>
    </row>
    <row r="6980" spans="1:4">
      <c r="A6980" s="105">
        <v>95408</v>
      </c>
      <c r="B6980" s="104" t="s">
        <v>6831</v>
      </c>
      <c r="C6980" s="104" t="s">
        <v>6730</v>
      </c>
      <c r="D6980" s="129" t="s">
        <v>20327</v>
      </c>
    </row>
    <row r="6981" spans="1:4">
      <c r="A6981" s="105">
        <v>95409</v>
      </c>
      <c r="B6981" s="104" t="s">
        <v>6832</v>
      </c>
      <c r="C6981" s="104" t="s">
        <v>6730</v>
      </c>
      <c r="D6981" s="129" t="s">
        <v>16945</v>
      </c>
    </row>
    <row r="6982" spans="1:4">
      <c r="A6982" s="105">
        <v>95410</v>
      </c>
      <c r="B6982" s="104" t="s">
        <v>6833</v>
      </c>
      <c r="C6982" s="104" t="s">
        <v>6730</v>
      </c>
      <c r="D6982" s="129" t="s">
        <v>20328</v>
      </c>
    </row>
    <row r="6983" spans="1:4">
      <c r="A6983" s="105">
        <v>95411</v>
      </c>
      <c r="B6983" s="104" t="s">
        <v>6834</v>
      </c>
      <c r="C6983" s="104" t="s">
        <v>6730</v>
      </c>
      <c r="D6983" s="129" t="s">
        <v>17186</v>
      </c>
    </row>
    <row r="6984" spans="1:4">
      <c r="A6984" s="105">
        <v>95412</v>
      </c>
      <c r="B6984" s="104" t="s">
        <v>6835</v>
      </c>
      <c r="C6984" s="104" t="s">
        <v>6730</v>
      </c>
      <c r="D6984" s="129" t="s">
        <v>17186</v>
      </c>
    </row>
    <row r="6985" spans="1:4">
      <c r="A6985" s="105">
        <v>95413</v>
      </c>
      <c r="B6985" s="104" t="s">
        <v>6836</v>
      </c>
      <c r="C6985" s="104" t="s">
        <v>6730</v>
      </c>
      <c r="D6985" s="129" t="s">
        <v>20329</v>
      </c>
    </row>
    <row r="6986" spans="1:4">
      <c r="A6986" s="105">
        <v>95414</v>
      </c>
      <c r="B6986" s="104" t="s">
        <v>6837</v>
      </c>
      <c r="C6986" s="104" t="s">
        <v>6730</v>
      </c>
      <c r="D6986" s="129" t="s">
        <v>19174</v>
      </c>
    </row>
    <row r="6987" spans="1:4">
      <c r="A6987" s="105">
        <v>95415</v>
      </c>
      <c r="B6987" s="104" t="s">
        <v>6838</v>
      </c>
      <c r="C6987" s="104" t="s">
        <v>6730</v>
      </c>
      <c r="D6987" s="129" t="s">
        <v>20330</v>
      </c>
    </row>
    <row r="6988" spans="1:4">
      <c r="A6988" s="105">
        <v>95416</v>
      </c>
      <c r="B6988" s="104" t="s">
        <v>6839</v>
      </c>
      <c r="C6988" s="104" t="s">
        <v>6730</v>
      </c>
      <c r="D6988" s="129" t="s">
        <v>20331</v>
      </c>
    </row>
    <row r="6989" spans="1:4">
      <c r="A6989" s="105">
        <v>95417</v>
      </c>
      <c r="B6989" s="104" t="s">
        <v>6840</v>
      </c>
      <c r="C6989" s="104" t="s">
        <v>6730</v>
      </c>
      <c r="D6989" s="129" t="s">
        <v>20332</v>
      </c>
    </row>
    <row r="6990" spans="1:4">
      <c r="A6990" s="105">
        <v>95418</v>
      </c>
      <c r="B6990" s="104" t="s">
        <v>6841</v>
      </c>
      <c r="C6990" s="104" t="s">
        <v>6730</v>
      </c>
      <c r="D6990" s="129" t="s">
        <v>20333</v>
      </c>
    </row>
    <row r="6991" spans="1:4">
      <c r="A6991" s="105">
        <v>95419</v>
      </c>
      <c r="B6991" s="104" t="s">
        <v>6842</v>
      </c>
      <c r="C6991" s="104" t="s">
        <v>6730</v>
      </c>
      <c r="D6991" s="129" t="s">
        <v>20334</v>
      </c>
    </row>
    <row r="6992" spans="1:4">
      <c r="A6992" s="105">
        <v>95420</v>
      </c>
      <c r="B6992" s="104" t="s">
        <v>6843</v>
      </c>
      <c r="C6992" s="104" t="s">
        <v>6730</v>
      </c>
      <c r="D6992" s="129" t="s">
        <v>20335</v>
      </c>
    </row>
    <row r="6993" spans="1:4">
      <c r="A6993" s="105">
        <v>95421</v>
      </c>
      <c r="B6993" s="104" t="s">
        <v>6844</v>
      </c>
      <c r="C6993" s="104" t="s">
        <v>6730</v>
      </c>
      <c r="D6993" s="129" t="s">
        <v>20336</v>
      </c>
    </row>
    <row r="6994" spans="1:4">
      <c r="A6994" s="105">
        <v>95422</v>
      </c>
      <c r="B6994" s="104" t="s">
        <v>6845</v>
      </c>
      <c r="C6994" s="104" t="s">
        <v>6730</v>
      </c>
      <c r="D6994" s="129" t="s">
        <v>20337</v>
      </c>
    </row>
    <row r="6995" spans="1:4">
      <c r="A6995" s="105">
        <v>95423</v>
      </c>
      <c r="B6995" s="104" t="s">
        <v>6846</v>
      </c>
      <c r="C6995" s="104" t="s">
        <v>6730</v>
      </c>
      <c r="D6995" s="129" t="s">
        <v>20338</v>
      </c>
    </row>
    <row r="6996" spans="1:4">
      <c r="A6996" s="105">
        <v>95424</v>
      </c>
      <c r="B6996" s="104" t="s">
        <v>6847</v>
      </c>
      <c r="C6996" s="104" t="s">
        <v>6730</v>
      </c>
      <c r="D6996" s="129" t="s">
        <v>17487</v>
      </c>
    </row>
    <row r="6997" spans="1:4">
      <c r="A6997" s="105">
        <v>100288</v>
      </c>
      <c r="B6997" s="104" t="s">
        <v>6848</v>
      </c>
      <c r="C6997" s="104" t="s">
        <v>16</v>
      </c>
      <c r="D6997" s="129" t="s">
        <v>15492</v>
      </c>
    </row>
    <row r="6998" spans="1:4">
      <c r="A6998" s="105">
        <v>100289</v>
      </c>
      <c r="B6998" s="104" t="s">
        <v>6849</v>
      </c>
      <c r="C6998" s="104" t="s">
        <v>16</v>
      </c>
      <c r="D6998" s="129" t="s">
        <v>20339</v>
      </c>
    </row>
    <row r="6999" spans="1:4">
      <c r="A6999" s="105">
        <v>100290</v>
      </c>
      <c r="B6999" s="104" t="s">
        <v>6850</v>
      </c>
      <c r="C6999" s="104" t="s">
        <v>16</v>
      </c>
      <c r="D6999" s="129" t="s">
        <v>15470</v>
      </c>
    </row>
    <row r="7000" spans="1:4">
      <c r="A7000" s="105">
        <v>100291</v>
      </c>
      <c r="B7000" s="104" t="s">
        <v>6851</v>
      </c>
      <c r="C7000" s="104" t="s">
        <v>16</v>
      </c>
      <c r="D7000" s="129" t="s">
        <v>20323</v>
      </c>
    </row>
    <row r="7001" spans="1:4">
      <c r="A7001" s="105">
        <v>100292</v>
      </c>
      <c r="B7001" s="104" t="s">
        <v>6852</v>
      </c>
      <c r="C7001" s="104" t="s">
        <v>16</v>
      </c>
      <c r="D7001" s="129" t="s">
        <v>16661</v>
      </c>
    </row>
    <row r="7002" spans="1:4">
      <c r="A7002" s="105">
        <v>100293</v>
      </c>
      <c r="B7002" s="104" t="s">
        <v>6853</v>
      </c>
      <c r="C7002" s="104" t="s">
        <v>16</v>
      </c>
      <c r="D7002" s="129" t="s">
        <v>15693</v>
      </c>
    </row>
    <row r="7003" spans="1:4">
      <c r="A7003" s="105">
        <v>100294</v>
      </c>
      <c r="B7003" s="104" t="s">
        <v>6854</v>
      </c>
      <c r="C7003" s="104" t="s">
        <v>16</v>
      </c>
      <c r="D7003" s="129" t="s">
        <v>15194</v>
      </c>
    </row>
    <row r="7004" spans="1:4">
      <c r="A7004" s="105">
        <v>100295</v>
      </c>
      <c r="B7004" s="104" t="s">
        <v>6855</v>
      </c>
      <c r="C7004" s="104" t="s">
        <v>16</v>
      </c>
      <c r="D7004" s="129" t="s">
        <v>15590</v>
      </c>
    </row>
    <row r="7005" spans="1:4">
      <c r="A7005" s="105">
        <v>100296</v>
      </c>
      <c r="B7005" s="104" t="s">
        <v>6856</v>
      </c>
      <c r="C7005" s="104" t="s">
        <v>16</v>
      </c>
      <c r="D7005" s="129" t="s">
        <v>20062</v>
      </c>
    </row>
    <row r="7006" spans="1:4">
      <c r="A7006" s="105">
        <v>100297</v>
      </c>
      <c r="B7006" s="104" t="s">
        <v>6857</v>
      </c>
      <c r="C7006" s="104" t="s">
        <v>16</v>
      </c>
      <c r="D7006" s="129" t="s">
        <v>15474</v>
      </c>
    </row>
    <row r="7007" spans="1:4">
      <c r="A7007" s="105">
        <v>100298</v>
      </c>
      <c r="B7007" s="104" t="s">
        <v>6858</v>
      </c>
      <c r="C7007" s="104" t="s">
        <v>16</v>
      </c>
      <c r="D7007" s="129" t="s">
        <v>15590</v>
      </c>
    </row>
    <row r="7008" spans="1:4">
      <c r="A7008" s="105">
        <v>100299</v>
      </c>
      <c r="B7008" s="104" t="s">
        <v>6859</v>
      </c>
      <c r="C7008" s="104" t="s">
        <v>16</v>
      </c>
      <c r="D7008" s="129" t="s">
        <v>20340</v>
      </c>
    </row>
    <row r="7009" spans="1:4">
      <c r="A7009" s="105">
        <v>100300</v>
      </c>
      <c r="B7009" s="104" t="s">
        <v>6860</v>
      </c>
      <c r="C7009" s="104" t="s">
        <v>16</v>
      </c>
      <c r="D7009" s="129" t="s">
        <v>20341</v>
      </c>
    </row>
    <row r="7010" spans="1:4">
      <c r="A7010" s="105">
        <v>100301</v>
      </c>
      <c r="B7010" s="104" t="s">
        <v>6861</v>
      </c>
      <c r="C7010" s="104" t="s">
        <v>16</v>
      </c>
      <c r="D7010" s="129" t="s">
        <v>15735</v>
      </c>
    </row>
    <row r="7011" spans="1:4">
      <c r="A7011" s="105">
        <v>100302</v>
      </c>
      <c r="B7011" s="104" t="s">
        <v>6862</v>
      </c>
      <c r="C7011" s="104" t="s">
        <v>16</v>
      </c>
      <c r="D7011" s="129" t="s">
        <v>20342</v>
      </c>
    </row>
    <row r="7012" spans="1:4">
      <c r="A7012" s="105">
        <v>100303</v>
      </c>
      <c r="B7012" s="104" t="s">
        <v>6863</v>
      </c>
      <c r="C7012" s="104" t="s">
        <v>16</v>
      </c>
      <c r="D7012" s="129" t="s">
        <v>16889</v>
      </c>
    </row>
    <row r="7013" spans="1:4">
      <c r="A7013" s="105">
        <v>100304</v>
      </c>
      <c r="B7013" s="104" t="s">
        <v>6864</v>
      </c>
      <c r="C7013" s="104" t="s">
        <v>16</v>
      </c>
      <c r="D7013" s="129" t="s">
        <v>19364</v>
      </c>
    </row>
    <row r="7014" spans="1:4">
      <c r="A7014" s="105">
        <v>100305</v>
      </c>
      <c r="B7014" s="104" t="s">
        <v>6865</v>
      </c>
      <c r="C7014" s="104" t="s">
        <v>16</v>
      </c>
      <c r="D7014" s="129" t="s">
        <v>20343</v>
      </c>
    </row>
    <row r="7015" spans="1:4">
      <c r="A7015" s="105">
        <v>100306</v>
      </c>
      <c r="B7015" s="104" t="s">
        <v>6866</v>
      </c>
      <c r="C7015" s="104" t="s">
        <v>16</v>
      </c>
      <c r="D7015" s="129" t="s">
        <v>20344</v>
      </c>
    </row>
    <row r="7016" spans="1:4">
      <c r="A7016" s="105">
        <v>100307</v>
      </c>
      <c r="B7016" s="104" t="s">
        <v>6867</v>
      </c>
      <c r="C7016" s="104" t="s">
        <v>16</v>
      </c>
      <c r="D7016" s="129" t="s">
        <v>20274</v>
      </c>
    </row>
    <row r="7017" spans="1:4">
      <c r="A7017" s="105">
        <v>100308</v>
      </c>
      <c r="B7017" s="104" t="s">
        <v>6868</v>
      </c>
      <c r="C7017" s="104" t="s">
        <v>16</v>
      </c>
      <c r="D7017" s="129" t="s">
        <v>20345</v>
      </c>
    </row>
    <row r="7018" spans="1:4">
      <c r="A7018" s="105">
        <v>100309</v>
      </c>
      <c r="B7018" s="104" t="s">
        <v>6869</v>
      </c>
      <c r="C7018" s="104" t="s">
        <v>16</v>
      </c>
      <c r="D7018" s="129" t="s">
        <v>17400</v>
      </c>
    </row>
    <row r="7019" spans="1:4">
      <c r="A7019" s="105">
        <v>100310</v>
      </c>
      <c r="B7019" s="104" t="s">
        <v>6870</v>
      </c>
      <c r="C7019" s="104" t="s">
        <v>6730</v>
      </c>
      <c r="D7019" s="129" t="s">
        <v>15547</v>
      </c>
    </row>
    <row r="7020" spans="1:4">
      <c r="A7020" s="105">
        <v>100311</v>
      </c>
      <c r="B7020" s="104" t="s">
        <v>6871</v>
      </c>
      <c r="C7020" s="104" t="s">
        <v>6730</v>
      </c>
      <c r="D7020" s="129" t="s">
        <v>20346</v>
      </c>
    </row>
    <row r="7021" spans="1:4">
      <c r="A7021" s="105">
        <v>100312</v>
      </c>
      <c r="B7021" s="104" t="s">
        <v>6872</v>
      </c>
      <c r="C7021" s="104" t="s">
        <v>6730</v>
      </c>
      <c r="D7021" s="129" t="s">
        <v>20347</v>
      </c>
    </row>
    <row r="7022" spans="1:4">
      <c r="A7022" s="105">
        <v>100313</v>
      </c>
      <c r="B7022" s="104" t="s">
        <v>6873</v>
      </c>
      <c r="C7022" s="104" t="s">
        <v>6730</v>
      </c>
      <c r="D7022" s="129" t="s">
        <v>20348</v>
      </c>
    </row>
    <row r="7023" spans="1:4">
      <c r="A7023" s="105">
        <v>100314</v>
      </c>
      <c r="B7023" s="104" t="s">
        <v>6874</v>
      </c>
      <c r="C7023" s="104" t="s">
        <v>6730</v>
      </c>
      <c r="D7023" s="129" t="s">
        <v>20349</v>
      </c>
    </row>
    <row r="7024" spans="1:4">
      <c r="A7024" s="105">
        <v>100315</v>
      </c>
      <c r="B7024" s="104" t="s">
        <v>6875</v>
      </c>
      <c r="C7024" s="104" t="s">
        <v>6730</v>
      </c>
      <c r="D7024" s="129" t="s">
        <v>20350</v>
      </c>
    </row>
    <row r="7025" spans="1:4">
      <c r="A7025" s="105">
        <v>100316</v>
      </c>
      <c r="B7025" s="104" t="s">
        <v>6860</v>
      </c>
      <c r="C7025" s="104" t="s">
        <v>6730</v>
      </c>
      <c r="D7025" s="129" t="s">
        <v>20351</v>
      </c>
    </row>
    <row r="7026" spans="1:4">
      <c r="A7026" s="105">
        <v>100317</v>
      </c>
      <c r="B7026" s="104" t="s">
        <v>6876</v>
      </c>
      <c r="C7026" s="104" t="s">
        <v>6730</v>
      </c>
      <c r="D7026" s="129" t="s">
        <v>20352</v>
      </c>
    </row>
    <row r="7027" spans="1:4">
      <c r="A7027" s="105">
        <v>100318</v>
      </c>
      <c r="B7027" s="104" t="s">
        <v>6864</v>
      </c>
      <c r="C7027" s="104" t="s">
        <v>6730</v>
      </c>
      <c r="D7027" s="129" t="s">
        <v>20353</v>
      </c>
    </row>
    <row r="7028" spans="1:4">
      <c r="A7028" s="105">
        <v>100319</v>
      </c>
      <c r="B7028" s="104" t="s">
        <v>6865</v>
      </c>
      <c r="C7028" s="104" t="s">
        <v>6730</v>
      </c>
      <c r="D7028" s="129" t="s">
        <v>20354</v>
      </c>
    </row>
    <row r="7029" spans="1:4">
      <c r="A7029" s="105">
        <v>100320</v>
      </c>
      <c r="B7029" s="104" t="s">
        <v>6866</v>
      </c>
      <c r="C7029" s="104" t="s">
        <v>6730</v>
      </c>
      <c r="D7029" s="129" t="s">
        <v>20355</v>
      </c>
    </row>
    <row r="7030" spans="1:4">
      <c r="A7030" s="105">
        <v>100321</v>
      </c>
      <c r="B7030" s="104" t="s">
        <v>6869</v>
      </c>
      <c r="C7030" s="104" t="s">
        <v>6730</v>
      </c>
      <c r="D7030" s="129" t="s">
        <v>20356</v>
      </c>
    </row>
    <row r="7031" spans="1:4">
      <c r="A7031" s="105">
        <v>100533</v>
      </c>
      <c r="B7031" s="104" t="s">
        <v>6877</v>
      </c>
      <c r="C7031" s="104" t="s">
        <v>16</v>
      </c>
      <c r="D7031" s="129" t="s">
        <v>20357</v>
      </c>
    </row>
    <row r="7032" spans="1:4">
      <c r="A7032" s="105">
        <v>100534</v>
      </c>
      <c r="B7032" s="104" t="s">
        <v>6877</v>
      </c>
      <c r="C7032" s="104" t="s">
        <v>6730</v>
      </c>
      <c r="D7032" s="129" t="s">
        <v>20358</v>
      </c>
    </row>
    <row r="7033" spans="1:4">
      <c r="A7033" s="105">
        <v>100535</v>
      </c>
      <c r="B7033" s="104" t="s">
        <v>6878</v>
      </c>
      <c r="C7033" s="104" t="s">
        <v>16</v>
      </c>
      <c r="D7033" s="129" t="s">
        <v>15425</v>
      </c>
    </row>
    <row r="7034" spans="1:4">
      <c r="A7034" s="105">
        <v>100536</v>
      </c>
      <c r="B7034" s="104" t="s">
        <v>6879</v>
      </c>
      <c r="C7034" s="104" t="s">
        <v>6730</v>
      </c>
      <c r="D7034" s="129" t="s">
        <v>14877</v>
      </c>
    </row>
    <row r="7035" spans="1:4">
      <c r="A7035" s="105">
        <v>101284</v>
      </c>
      <c r="B7035" s="104" t="s">
        <v>6880</v>
      </c>
      <c r="C7035" s="104" t="s">
        <v>16</v>
      </c>
      <c r="D7035" s="129" t="s">
        <v>15649</v>
      </c>
    </row>
    <row r="7036" spans="1:4">
      <c r="A7036" s="105">
        <v>101285</v>
      </c>
      <c r="B7036" s="104" t="s">
        <v>6881</v>
      </c>
      <c r="C7036" s="104" t="s">
        <v>16</v>
      </c>
      <c r="D7036" s="129" t="s">
        <v>20340</v>
      </c>
    </row>
    <row r="7037" spans="1:4">
      <c r="A7037" s="105">
        <v>101286</v>
      </c>
      <c r="B7037" s="104" t="s">
        <v>6882</v>
      </c>
      <c r="C7037" s="104" t="s">
        <v>6730</v>
      </c>
      <c r="D7037" s="129" t="s">
        <v>20359</v>
      </c>
    </row>
    <row r="7038" spans="1:4">
      <c r="A7038" s="105">
        <v>101287</v>
      </c>
      <c r="B7038" s="104" t="s">
        <v>6883</v>
      </c>
      <c r="C7038" s="104" t="s">
        <v>6730</v>
      </c>
      <c r="D7038" s="129" t="s">
        <v>20360</v>
      </c>
    </row>
    <row r="7039" spans="1:4">
      <c r="A7039" s="105">
        <v>101288</v>
      </c>
      <c r="B7039" s="104" t="s">
        <v>6884</v>
      </c>
      <c r="C7039" s="104" t="s">
        <v>6730</v>
      </c>
      <c r="D7039" s="129" t="s">
        <v>19610</v>
      </c>
    </row>
    <row r="7040" spans="1:4">
      <c r="A7040" s="105">
        <v>101289</v>
      </c>
      <c r="B7040" s="104" t="s">
        <v>6885</v>
      </c>
      <c r="C7040" s="104" t="s">
        <v>6730</v>
      </c>
      <c r="D7040" s="129" t="s">
        <v>20359</v>
      </c>
    </row>
    <row r="7041" spans="1:4">
      <c r="A7041" s="105">
        <v>101290</v>
      </c>
      <c r="B7041" s="104" t="s">
        <v>6886</v>
      </c>
      <c r="C7041" s="104" t="s">
        <v>6730</v>
      </c>
      <c r="D7041" s="129" t="s">
        <v>20361</v>
      </c>
    </row>
    <row r="7042" spans="1:4">
      <c r="A7042" s="105">
        <v>101291</v>
      </c>
      <c r="B7042" s="104" t="s">
        <v>6887</v>
      </c>
      <c r="C7042" s="104" t="s">
        <v>6730</v>
      </c>
      <c r="D7042" s="129" t="s">
        <v>20362</v>
      </c>
    </row>
    <row r="7043" spans="1:4">
      <c r="A7043" s="105">
        <v>101292</v>
      </c>
      <c r="B7043" s="104" t="s">
        <v>6888</v>
      </c>
      <c r="C7043" s="104" t="s">
        <v>6730</v>
      </c>
      <c r="D7043" s="129" t="s">
        <v>16898</v>
      </c>
    </row>
    <row r="7044" spans="1:4">
      <c r="A7044" s="105">
        <v>101293</v>
      </c>
      <c r="B7044" s="104" t="s">
        <v>6889</v>
      </c>
      <c r="C7044" s="104" t="s">
        <v>6730</v>
      </c>
      <c r="D7044" s="129" t="s">
        <v>16895</v>
      </c>
    </row>
    <row r="7045" spans="1:4">
      <c r="A7045" s="105">
        <v>101294</v>
      </c>
      <c r="B7045" s="104" t="s">
        <v>6890</v>
      </c>
      <c r="C7045" s="104" t="s">
        <v>6730</v>
      </c>
      <c r="D7045" s="129" t="s">
        <v>20189</v>
      </c>
    </row>
    <row r="7046" spans="1:4">
      <c r="A7046" s="105">
        <v>101295</v>
      </c>
      <c r="B7046" s="104" t="s">
        <v>6891</v>
      </c>
      <c r="C7046" s="104" t="s">
        <v>6730</v>
      </c>
      <c r="D7046" s="129" t="s">
        <v>20363</v>
      </c>
    </row>
    <row r="7047" spans="1:4">
      <c r="A7047" s="105">
        <v>101296</v>
      </c>
      <c r="B7047" s="104" t="s">
        <v>6892</v>
      </c>
      <c r="C7047" s="104" t="s">
        <v>6730</v>
      </c>
      <c r="D7047" s="129" t="s">
        <v>20364</v>
      </c>
    </row>
    <row r="7048" spans="1:4">
      <c r="A7048" s="105">
        <v>101297</v>
      </c>
      <c r="B7048" s="104" t="s">
        <v>6893</v>
      </c>
      <c r="C7048" s="104" t="s">
        <v>6730</v>
      </c>
      <c r="D7048" s="129" t="s">
        <v>20365</v>
      </c>
    </row>
    <row r="7049" spans="1:4">
      <c r="A7049" s="105">
        <v>101298</v>
      </c>
      <c r="B7049" s="104" t="s">
        <v>6894</v>
      </c>
      <c r="C7049" s="104" t="s">
        <v>6730</v>
      </c>
      <c r="D7049" s="129" t="s">
        <v>18153</v>
      </c>
    </row>
    <row r="7050" spans="1:4">
      <c r="A7050" s="105">
        <v>101299</v>
      </c>
      <c r="B7050" s="104" t="s">
        <v>6895</v>
      </c>
      <c r="C7050" s="104" t="s">
        <v>6730</v>
      </c>
      <c r="D7050" s="129" t="s">
        <v>20363</v>
      </c>
    </row>
    <row r="7051" spans="1:4">
      <c r="A7051" s="105">
        <v>101300</v>
      </c>
      <c r="B7051" s="104" t="s">
        <v>6896</v>
      </c>
      <c r="C7051" s="104" t="s">
        <v>6730</v>
      </c>
      <c r="D7051" s="129" t="s">
        <v>20359</v>
      </c>
    </row>
    <row r="7052" spans="1:4">
      <c r="A7052" s="105">
        <v>101301</v>
      </c>
      <c r="B7052" s="104" t="s">
        <v>6897</v>
      </c>
      <c r="C7052" s="104" t="s">
        <v>6730</v>
      </c>
      <c r="D7052" s="129" t="s">
        <v>20366</v>
      </c>
    </row>
    <row r="7053" spans="1:4">
      <c r="A7053" s="105">
        <v>101302</v>
      </c>
      <c r="B7053" s="104" t="s">
        <v>6898</v>
      </c>
      <c r="C7053" s="104" t="s">
        <v>6730</v>
      </c>
      <c r="D7053" s="129" t="s">
        <v>19634</v>
      </c>
    </row>
    <row r="7054" spans="1:4">
      <c r="A7054" s="105">
        <v>101303</v>
      </c>
      <c r="B7054" s="104" t="s">
        <v>6899</v>
      </c>
      <c r="C7054" s="104" t="s">
        <v>6730</v>
      </c>
      <c r="D7054" s="129" t="s">
        <v>20367</v>
      </c>
    </row>
    <row r="7055" spans="1:4">
      <c r="A7055" s="105">
        <v>101304</v>
      </c>
      <c r="B7055" s="104" t="s">
        <v>6900</v>
      </c>
      <c r="C7055" s="104" t="s">
        <v>6730</v>
      </c>
      <c r="D7055" s="129" t="s">
        <v>20368</v>
      </c>
    </row>
    <row r="7056" spans="1:4">
      <c r="A7056" s="105">
        <v>101305</v>
      </c>
      <c r="B7056" s="104" t="s">
        <v>6901</v>
      </c>
      <c r="C7056" s="104" t="s">
        <v>6730</v>
      </c>
      <c r="D7056" s="129" t="s">
        <v>20369</v>
      </c>
    </row>
    <row r="7057" spans="1:4">
      <c r="A7057" s="105">
        <v>101307</v>
      </c>
      <c r="B7057" s="104" t="s">
        <v>6902</v>
      </c>
      <c r="C7057" s="104" t="s">
        <v>6730</v>
      </c>
      <c r="D7057" s="129" t="s">
        <v>20370</v>
      </c>
    </row>
    <row r="7058" spans="1:4">
      <c r="A7058" s="105">
        <v>101308</v>
      </c>
      <c r="B7058" s="104" t="s">
        <v>6903</v>
      </c>
      <c r="C7058" s="104" t="s">
        <v>6730</v>
      </c>
      <c r="D7058" s="129" t="s">
        <v>20371</v>
      </c>
    </row>
    <row r="7059" spans="1:4">
      <c r="A7059" s="105">
        <v>101309</v>
      </c>
      <c r="B7059" s="104" t="s">
        <v>6904</v>
      </c>
      <c r="C7059" s="104" t="s">
        <v>6730</v>
      </c>
      <c r="D7059" s="129" t="s">
        <v>20361</v>
      </c>
    </row>
    <row r="7060" spans="1:4">
      <c r="A7060" s="105">
        <v>101310</v>
      </c>
      <c r="B7060" s="104" t="s">
        <v>6905</v>
      </c>
      <c r="C7060" s="104" t="s">
        <v>6730</v>
      </c>
      <c r="D7060" s="129" t="s">
        <v>20372</v>
      </c>
    </row>
    <row r="7061" spans="1:4">
      <c r="A7061" s="105">
        <v>101311</v>
      </c>
      <c r="B7061" s="104" t="s">
        <v>6906</v>
      </c>
      <c r="C7061" s="104" t="s">
        <v>6730</v>
      </c>
      <c r="D7061" s="129" t="s">
        <v>16895</v>
      </c>
    </row>
    <row r="7062" spans="1:4">
      <c r="A7062" s="105">
        <v>101312</v>
      </c>
      <c r="B7062" s="104" t="s">
        <v>6907</v>
      </c>
      <c r="C7062" s="104" t="s">
        <v>6730</v>
      </c>
      <c r="D7062" s="129" t="s">
        <v>17300</v>
      </c>
    </row>
    <row r="7063" spans="1:4">
      <c r="A7063" s="105">
        <v>101313</v>
      </c>
      <c r="B7063" s="104" t="s">
        <v>6908</v>
      </c>
      <c r="C7063" s="104" t="s">
        <v>6730</v>
      </c>
      <c r="D7063" s="129" t="s">
        <v>20373</v>
      </c>
    </row>
    <row r="7064" spans="1:4">
      <c r="A7064" s="105">
        <v>101314</v>
      </c>
      <c r="B7064" s="104" t="s">
        <v>6909</v>
      </c>
      <c r="C7064" s="104" t="s">
        <v>6730</v>
      </c>
      <c r="D7064" s="129" t="s">
        <v>20373</v>
      </c>
    </row>
    <row r="7065" spans="1:4">
      <c r="A7065" s="105">
        <v>101315</v>
      </c>
      <c r="B7065" s="104" t="s">
        <v>6910</v>
      </c>
      <c r="C7065" s="104" t="s">
        <v>6730</v>
      </c>
      <c r="D7065" s="129" t="s">
        <v>20374</v>
      </c>
    </row>
    <row r="7066" spans="1:4">
      <c r="A7066" s="105">
        <v>101316</v>
      </c>
      <c r="B7066" s="104" t="s">
        <v>6911</v>
      </c>
      <c r="C7066" s="104" t="s">
        <v>6730</v>
      </c>
      <c r="D7066" s="129" t="s">
        <v>18128</v>
      </c>
    </row>
    <row r="7067" spans="1:4">
      <c r="A7067" s="105">
        <v>101317</v>
      </c>
      <c r="B7067" s="104" t="s">
        <v>6912</v>
      </c>
      <c r="C7067" s="104" t="s">
        <v>6730</v>
      </c>
      <c r="D7067" s="129" t="s">
        <v>20375</v>
      </c>
    </row>
    <row r="7068" spans="1:4">
      <c r="A7068" s="105">
        <v>101318</v>
      </c>
      <c r="B7068" s="104" t="s">
        <v>6913</v>
      </c>
      <c r="C7068" s="104" t="s">
        <v>6730</v>
      </c>
      <c r="D7068" s="129" t="s">
        <v>20376</v>
      </c>
    </row>
    <row r="7069" spans="1:4">
      <c r="A7069" s="105">
        <v>101319</v>
      </c>
      <c r="B7069" s="104" t="s">
        <v>6914</v>
      </c>
      <c r="C7069" s="104" t="s">
        <v>6730</v>
      </c>
      <c r="D7069" s="129" t="s">
        <v>20377</v>
      </c>
    </row>
    <row r="7070" spans="1:4">
      <c r="A7070" s="105">
        <v>101320</v>
      </c>
      <c r="B7070" s="104" t="s">
        <v>6915</v>
      </c>
      <c r="C7070" s="104" t="s">
        <v>6730</v>
      </c>
      <c r="D7070" s="129" t="s">
        <v>18264</v>
      </c>
    </row>
    <row r="7071" spans="1:4">
      <c r="A7071" s="105">
        <v>101322</v>
      </c>
      <c r="B7071" s="104" t="s">
        <v>6916</v>
      </c>
      <c r="C7071" s="104" t="s">
        <v>6730</v>
      </c>
      <c r="D7071" s="129" t="s">
        <v>19640</v>
      </c>
    </row>
    <row r="7072" spans="1:4">
      <c r="A7072" s="105">
        <v>101323</v>
      </c>
      <c r="B7072" s="104" t="s">
        <v>6917</v>
      </c>
      <c r="C7072" s="104" t="s">
        <v>6730</v>
      </c>
      <c r="D7072" s="129" t="s">
        <v>20378</v>
      </c>
    </row>
    <row r="7073" spans="1:4">
      <c r="A7073" s="105">
        <v>101324</v>
      </c>
      <c r="B7073" s="104" t="s">
        <v>6918</v>
      </c>
      <c r="C7073" s="104" t="s">
        <v>6730</v>
      </c>
      <c r="D7073" s="129" t="s">
        <v>20379</v>
      </c>
    </row>
    <row r="7074" spans="1:4">
      <c r="A7074" s="105">
        <v>101325</v>
      </c>
      <c r="B7074" s="104" t="s">
        <v>6919</v>
      </c>
      <c r="C7074" s="104" t="s">
        <v>6730</v>
      </c>
      <c r="D7074" s="129" t="s">
        <v>14764</v>
      </c>
    </row>
    <row r="7075" spans="1:4">
      <c r="A7075" s="105">
        <v>101326</v>
      </c>
      <c r="B7075" s="104" t="s">
        <v>6920</v>
      </c>
      <c r="C7075" s="104" t="s">
        <v>6730</v>
      </c>
      <c r="D7075" s="129" t="s">
        <v>19773</v>
      </c>
    </row>
    <row r="7076" spans="1:4">
      <c r="A7076" s="105">
        <v>101327</v>
      </c>
      <c r="B7076" s="104" t="s">
        <v>6921</v>
      </c>
      <c r="C7076" s="104" t="s">
        <v>6730</v>
      </c>
      <c r="D7076" s="129" t="s">
        <v>18539</v>
      </c>
    </row>
    <row r="7077" spans="1:4">
      <c r="A7077" s="105">
        <v>101328</v>
      </c>
      <c r="B7077" s="104" t="s">
        <v>6922</v>
      </c>
      <c r="C7077" s="104" t="s">
        <v>6730</v>
      </c>
      <c r="D7077" s="129" t="s">
        <v>20380</v>
      </c>
    </row>
    <row r="7078" spans="1:4">
      <c r="A7078" s="105">
        <v>101329</v>
      </c>
      <c r="B7078" s="104" t="s">
        <v>6923</v>
      </c>
      <c r="C7078" s="104" t="s">
        <v>6730</v>
      </c>
      <c r="D7078" s="129" t="s">
        <v>20381</v>
      </c>
    </row>
    <row r="7079" spans="1:4">
      <c r="A7079" s="105">
        <v>101330</v>
      </c>
      <c r="B7079" s="104" t="s">
        <v>6924</v>
      </c>
      <c r="C7079" s="104" t="s">
        <v>6730</v>
      </c>
      <c r="D7079" s="129" t="s">
        <v>19228</v>
      </c>
    </row>
    <row r="7080" spans="1:4">
      <c r="A7080" s="105">
        <v>101331</v>
      </c>
      <c r="B7080" s="104" t="s">
        <v>6925</v>
      </c>
      <c r="C7080" s="104" t="s">
        <v>6730</v>
      </c>
      <c r="D7080" s="129" t="s">
        <v>20368</v>
      </c>
    </row>
    <row r="7081" spans="1:4">
      <c r="A7081" s="105">
        <v>101332</v>
      </c>
      <c r="B7081" s="104" t="s">
        <v>6926</v>
      </c>
      <c r="C7081" s="104" t="s">
        <v>6730</v>
      </c>
      <c r="D7081" s="129" t="s">
        <v>20382</v>
      </c>
    </row>
    <row r="7082" spans="1:4">
      <c r="A7082" s="105">
        <v>101333</v>
      </c>
      <c r="B7082" s="104" t="s">
        <v>6927</v>
      </c>
      <c r="C7082" s="104" t="s">
        <v>6730</v>
      </c>
      <c r="D7082" s="129" t="s">
        <v>20185</v>
      </c>
    </row>
    <row r="7083" spans="1:4">
      <c r="A7083" s="105">
        <v>101334</v>
      </c>
      <c r="B7083" s="104" t="s">
        <v>6928</v>
      </c>
      <c r="C7083" s="104" t="s">
        <v>6730</v>
      </c>
      <c r="D7083" s="129" t="s">
        <v>17949</v>
      </c>
    </row>
    <row r="7084" spans="1:4">
      <c r="A7084" s="105">
        <v>101335</v>
      </c>
      <c r="B7084" s="104" t="s">
        <v>6929</v>
      </c>
      <c r="C7084" s="104" t="s">
        <v>6730</v>
      </c>
      <c r="D7084" s="129" t="s">
        <v>20383</v>
      </c>
    </row>
    <row r="7085" spans="1:4">
      <c r="A7085" s="105">
        <v>101336</v>
      </c>
      <c r="B7085" s="104" t="s">
        <v>6930</v>
      </c>
      <c r="C7085" s="104" t="s">
        <v>6730</v>
      </c>
      <c r="D7085" s="129" t="s">
        <v>17830</v>
      </c>
    </row>
    <row r="7086" spans="1:4">
      <c r="A7086" s="105">
        <v>101337</v>
      </c>
      <c r="B7086" s="104" t="s">
        <v>6931</v>
      </c>
      <c r="C7086" s="104" t="s">
        <v>6730</v>
      </c>
      <c r="D7086" s="129" t="s">
        <v>17236</v>
      </c>
    </row>
    <row r="7087" spans="1:4">
      <c r="A7087" s="105">
        <v>101338</v>
      </c>
      <c r="B7087" s="104" t="s">
        <v>6932</v>
      </c>
      <c r="C7087" s="104" t="s">
        <v>6730</v>
      </c>
      <c r="D7087" s="129" t="s">
        <v>15600</v>
      </c>
    </row>
    <row r="7088" spans="1:4">
      <c r="A7088" s="105">
        <v>101339</v>
      </c>
      <c r="B7088" s="104" t="s">
        <v>6933</v>
      </c>
      <c r="C7088" s="104" t="s">
        <v>6730</v>
      </c>
      <c r="D7088" s="129" t="s">
        <v>20384</v>
      </c>
    </row>
    <row r="7089" spans="1:4">
      <c r="A7089" s="105">
        <v>101340</v>
      </c>
      <c r="B7089" s="104" t="s">
        <v>6934</v>
      </c>
      <c r="C7089" s="104" t="s">
        <v>6730</v>
      </c>
      <c r="D7089" s="129" t="s">
        <v>20385</v>
      </c>
    </row>
    <row r="7090" spans="1:4">
      <c r="A7090" s="105">
        <v>101341</v>
      </c>
      <c r="B7090" s="104" t="s">
        <v>6935</v>
      </c>
      <c r="C7090" s="104" t="s">
        <v>6730</v>
      </c>
      <c r="D7090" s="129" t="s">
        <v>20386</v>
      </c>
    </row>
    <row r="7091" spans="1:4">
      <c r="A7091" s="105">
        <v>101342</v>
      </c>
      <c r="B7091" s="104" t="s">
        <v>6936</v>
      </c>
      <c r="C7091" s="104" t="s">
        <v>6730</v>
      </c>
      <c r="D7091" s="129" t="s">
        <v>19604</v>
      </c>
    </row>
    <row r="7092" spans="1:4">
      <c r="A7092" s="105">
        <v>101343</v>
      </c>
      <c r="B7092" s="104" t="s">
        <v>6937</v>
      </c>
      <c r="C7092" s="104" t="s">
        <v>6730</v>
      </c>
      <c r="D7092" s="129" t="s">
        <v>16895</v>
      </c>
    </row>
    <row r="7093" spans="1:4">
      <c r="A7093" s="105">
        <v>101344</v>
      </c>
      <c r="B7093" s="104" t="s">
        <v>6938</v>
      </c>
      <c r="C7093" s="104" t="s">
        <v>6730</v>
      </c>
      <c r="D7093" s="129" t="s">
        <v>20387</v>
      </c>
    </row>
    <row r="7094" spans="1:4">
      <c r="A7094" s="105">
        <v>101345</v>
      </c>
      <c r="B7094" s="104" t="s">
        <v>6939</v>
      </c>
      <c r="C7094" s="104" t="s">
        <v>6730</v>
      </c>
      <c r="D7094" s="129" t="s">
        <v>20388</v>
      </c>
    </row>
    <row r="7095" spans="1:4">
      <c r="A7095" s="105">
        <v>101346</v>
      </c>
      <c r="B7095" s="104" t="s">
        <v>6940</v>
      </c>
      <c r="C7095" s="104" t="s">
        <v>6730</v>
      </c>
      <c r="D7095" s="129" t="s">
        <v>19206</v>
      </c>
    </row>
    <row r="7096" spans="1:4">
      <c r="A7096" s="105">
        <v>101347</v>
      </c>
      <c r="B7096" s="104" t="s">
        <v>6941</v>
      </c>
      <c r="C7096" s="104" t="s">
        <v>6730</v>
      </c>
      <c r="D7096" s="129" t="s">
        <v>19635</v>
      </c>
    </row>
    <row r="7097" spans="1:4">
      <c r="A7097" s="105">
        <v>101348</v>
      </c>
      <c r="B7097" s="104" t="s">
        <v>6942</v>
      </c>
      <c r="C7097" s="104" t="s">
        <v>6730</v>
      </c>
      <c r="D7097" s="129" t="s">
        <v>20389</v>
      </c>
    </row>
    <row r="7098" spans="1:4">
      <c r="A7098" s="105">
        <v>101349</v>
      </c>
      <c r="B7098" s="104" t="s">
        <v>6943</v>
      </c>
      <c r="C7098" s="104" t="s">
        <v>6730</v>
      </c>
      <c r="D7098" s="129" t="s">
        <v>15531</v>
      </c>
    </row>
    <row r="7099" spans="1:4">
      <c r="A7099" s="105">
        <v>101350</v>
      </c>
      <c r="B7099" s="104" t="s">
        <v>6944</v>
      </c>
      <c r="C7099" s="104" t="s">
        <v>6730</v>
      </c>
      <c r="D7099" s="129" t="s">
        <v>16320</v>
      </c>
    </row>
    <row r="7100" spans="1:4">
      <c r="A7100" s="105">
        <v>101351</v>
      </c>
      <c r="B7100" s="104" t="s">
        <v>6945</v>
      </c>
      <c r="C7100" s="104" t="s">
        <v>6730</v>
      </c>
      <c r="D7100" s="129" t="s">
        <v>16931</v>
      </c>
    </row>
    <row r="7101" spans="1:4">
      <c r="A7101" s="105">
        <v>101352</v>
      </c>
      <c r="B7101" s="104" t="s">
        <v>6946</v>
      </c>
      <c r="C7101" s="104" t="s">
        <v>6730</v>
      </c>
      <c r="D7101" s="129" t="s">
        <v>16901</v>
      </c>
    </row>
    <row r="7102" spans="1:4">
      <c r="A7102" s="105">
        <v>101353</v>
      </c>
      <c r="B7102" s="104" t="s">
        <v>6947</v>
      </c>
      <c r="C7102" s="104" t="s">
        <v>6730</v>
      </c>
      <c r="D7102" s="129" t="s">
        <v>19246</v>
      </c>
    </row>
    <row r="7103" spans="1:4">
      <c r="A7103" s="105">
        <v>101354</v>
      </c>
      <c r="B7103" s="104" t="s">
        <v>6948</v>
      </c>
      <c r="C7103" s="104" t="s">
        <v>6730</v>
      </c>
      <c r="D7103" s="129" t="s">
        <v>20390</v>
      </c>
    </row>
    <row r="7104" spans="1:4">
      <c r="A7104" s="105">
        <v>101355</v>
      </c>
      <c r="B7104" s="104" t="s">
        <v>6949</v>
      </c>
      <c r="C7104" s="104" t="s">
        <v>6730</v>
      </c>
      <c r="D7104" s="129" t="s">
        <v>20391</v>
      </c>
    </row>
    <row r="7105" spans="1:4">
      <c r="A7105" s="105">
        <v>101356</v>
      </c>
      <c r="B7105" s="104" t="s">
        <v>6950</v>
      </c>
      <c r="C7105" s="104" t="s">
        <v>6730</v>
      </c>
      <c r="D7105" s="129" t="s">
        <v>20368</v>
      </c>
    </row>
    <row r="7106" spans="1:4">
      <c r="A7106" s="105">
        <v>101357</v>
      </c>
      <c r="B7106" s="104" t="s">
        <v>6951</v>
      </c>
      <c r="C7106" s="104" t="s">
        <v>6730</v>
      </c>
      <c r="D7106" s="129" t="s">
        <v>15253</v>
      </c>
    </row>
    <row r="7107" spans="1:4">
      <c r="A7107" s="105">
        <v>101358</v>
      </c>
      <c r="B7107" s="104" t="s">
        <v>6952</v>
      </c>
      <c r="C7107" s="104" t="s">
        <v>6730</v>
      </c>
      <c r="D7107" s="129" t="s">
        <v>20368</v>
      </c>
    </row>
    <row r="7108" spans="1:4">
      <c r="A7108" s="105">
        <v>101359</v>
      </c>
      <c r="B7108" s="104" t="s">
        <v>6953</v>
      </c>
      <c r="C7108" s="104" t="s">
        <v>6730</v>
      </c>
      <c r="D7108" s="129" t="s">
        <v>20392</v>
      </c>
    </row>
    <row r="7109" spans="1:4">
      <c r="A7109" s="105">
        <v>101360</v>
      </c>
      <c r="B7109" s="104" t="s">
        <v>6954</v>
      </c>
      <c r="C7109" s="104" t="s">
        <v>6730</v>
      </c>
      <c r="D7109" s="129" t="s">
        <v>20368</v>
      </c>
    </row>
    <row r="7110" spans="1:4">
      <c r="A7110" s="105">
        <v>101361</v>
      </c>
      <c r="B7110" s="104" t="s">
        <v>6955</v>
      </c>
      <c r="C7110" s="104" t="s">
        <v>6730</v>
      </c>
      <c r="D7110" s="129" t="s">
        <v>20393</v>
      </c>
    </row>
    <row r="7111" spans="1:4">
      <c r="A7111" s="105">
        <v>101362</v>
      </c>
      <c r="B7111" s="104" t="s">
        <v>6956</v>
      </c>
      <c r="C7111" s="104" t="s">
        <v>6730</v>
      </c>
      <c r="D7111" s="129" t="s">
        <v>20394</v>
      </c>
    </row>
    <row r="7112" spans="1:4">
      <c r="A7112" s="105">
        <v>101363</v>
      </c>
      <c r="B7112" s="104" t="s">
        <v>6957</v>
      </c>
      <c r="C7112" s="104" t="s">
        <v>6730</v>
      </c>
      <c r="D7112" s="129" t="s">
        <v>16895</v>
      </c>
    </row>
    <row r="7113" spans="1:4">
      <c r="A7113" s="105">
        <v>101364</v>
      </c>
      <c r="B7113" s="104" t="s">
        <v>6958</v>
      </c>
      <c r="C7113" s="104" t="s">
        <v>6730</v>
      </c>
      <c r="D7113" s="129" t="s">
        <v>17377</v>
      </c>
    </row>
    <row r="7114" spans="1:4">
      <c r="A7114" s="105">
        <v>101365</v>
      </c>
      <c r="B7114" s="104" t="s">
        <v>6959</v>
      </c>
      <c r="C7114" s="104" t="s">
        <v>6730</v>
      </c>
      <c r="D7114" s="129" t="s">
        <v>16895</v>
      </c>
    </row>
    <row r="7115" spans="1:4">
      <c r="A7115" s="105">
        <v>101366</v>
      </c>
      <c r="B7115" s="104" t="s">
        <v>6960</v>
      </c>
      <c r="C7115" s="104" t="s">
        <v>6730</v>
      </c>
      <c r="D7115" s="129" t="s">
        <v>20395</v>
      </c>
    </row>
    <row r="7116" spans="1:4">
      <c r="A7116" s="105">
        <v>101367</v>
      </c>
      <c r="B7116" s="104" t="s">
        <v>6961</v>
      </c>
      <c r="C7116" s="104" t="s">
        <v>6730</v>
      </c>
      <c r="D7116" s="129" t="s">
        <v>16895</v>
      </c>
    </row>
    <row r="7117" spans="1:4">
      <c r="A7117" s="105">
        <v>101368</v>
      </c>
      <c r="B7117" s="104" t="s">
        <v>6962</v>
      </c>
      <c r="C7117" s="104" t="s">
        <v>6730</v>
      </c>
      <c r="D7117" s="129" t="s">
        <v>18138</v>
      </c>
    </row>
    <row r="7118" spans="1:4">
      <c r="A7118" s="105">
        <v>101369</v>
      </c>
      <c r="B7118" s="104" t="s">
        <v>6963</v>
      </c>
      <c r="C7118" s="104" t="s">
        <v>6730</v>
      </c>
      <c r="D7118" s="129" t="s">
        <v>20396</v>
      </c>
    </row>
    <row r="7119" spans="1:4">
      <c r="A7119" s="105">
        <v>101370</v>
      </c>
      <c r="B7119" s="104" t="s">
        <v>6964</v>
      </c>
      <c r="C7119" s="104" t="s">
        <v>6730</v>
      </c>
      <c r="D7119" s="129" t="s">
        <v>20397</v>
      </c>
    </row>
    <row r="7120" spans="1:4">
      <c r="A7120" s="105">
        <v>101371</v>
      </c>
      <c r="B7120" s="104" t="s">
        <v>6965</v>
      </c>
      <c r="C7120" s="104" t="s">
        <v>6730</v>
      </c>
      <c r="D7120" s="129" t="s">
        <v>15390</v>
      </c>
    </row>
    <row r="7121" spans="1:4">
      <c r="A7121" s="105">
        <v>101372</v>
      </c>
      <c r="B7121" s="104" t="s">
        <v>6966</v>
      </c>
      <c r="C7121" s="104" t="s">
        <v>6730</v>
      </c>
      <c r="D7121" s="129" t="s">
        <v>15572</v>
      </c>
    </row>
    <row r="7122" spans="1:4">
      <c r="A7122" s="105">
        <v>101373</v>
      </c>
      <c r="B7122" s="104" t="s">
        <v>6967</v>
      </c>
      <c r="C7122" s="104" t="s">
        <v>16</v>
      </c>
      <c r="D7122" s="129" t="s">
        <v>20398</v>
      </c>
    </row>
    <row r="7123" spans="1:4">
      <c r="A7123" s="105">
        <v>101374</v>
      </c>
      <c r="B7123" s="104" t="s">
        <v>6649</v>
      </c>
      <c r="C7123" s="104" t="s">
        <v>6730</v>
      </c>
      <c r="D7123" s="129" t="s">
        <v>20399</v>
      </c>
    </row>
    <row r="7124" spans="1:4">
      <c r="A7124" s="105">
        <v>101375</v>
      </c>
      <c r="B7124" s="104" t="s">
        <v>6968</v>
      </c>
      <c r="C7124" s="104" t="s">
        <v>6730</v>
      </c>
      <c r="D7124" s="129" t="s">
        <v>20400</v>
      </c>
    </row>
    <row r="7125" spans="1:4">
      <c r="A7125" s="105">
        <v>101376</v>
      </c>
      <c r="B7125" s="104" t="s">
        <v>6969</v>
      </c>
      <c r="C7125" s="104" t="s">
        <v>6730</v>
      </c>
      <c r="D7125" s="129" t="s">
        <v>20401</v>
      </c>
    </row>
    <row r="7126" spans="1:4">
      <c r="A7126" s="105">
        <v>101377</v>
      </c>
      <c r="B7126" s="104" t="s">
        <v>6652</v>
      </c>
      <c r="C7126" s="104" t="s">
        <v>6730</v>
      </c>
      <c r="D7126" s="129" t="s">
        <v>20399</v>
      </c>
    </row>
    <row r="7127" spans="1:4">
      <c r="A7127" s="105">
        <v>101378</v>
      </c>
      <c r="B7127" s="104" t="s">
        <v>6861</v>
      </c>
      <c r="C7127" s="104" t="s">
        <v>6730</v>
      </c>
      <c r="D7127" s="129" t="s">
        <v>20402</v>
      </c>
    </row>
    <row r="7128" spans="1:4">
      <c r="A7128" s="105">
        <v>101379</v>
      </c>
      <c r="B7128" s="104" t="s">
        <v>6970</v>
      </c>
      <c r="C7128" s="104" t="s">
        <v>6730</v>
      </c>
      <c r="D7128" s="129" t="s">
        <v>20403</v>
      </c>
    </row>
    <row r="7129" spans="1:4">
      <c r="A7129" s="105">
        <v>101380</v>
      </c>
      <c r="B7129" s="104" t="s">
        <v>6653</v>
      </c>
      <c r="C7129" s="104" t="s">
        <v>6730</v>
      </c>
      <c r="D7129" s="129" t="s">
        <v>20404</v>
      </c>
    </row>
    <row r="7130" spans="1:4">
      <c r="A7130" s="105">
        <v>101381</v>
      </c>
      <c r="B7130" s="104" t="s">
        <v>6654</v>
      </c>
      <c r="C7130" s="104" t="s">
        <v>6730</v>
      </c>
      <c r="D7130" s="129" t="s">
        <v>20405</v>
      </c>
    </row>
    <row r="7131" spans="1:4">
      <c r="A7131" s="105">
        <v>101382</v>
      </c>
      <c r="B7131" s="104" t="s">
        <v>6971</v>
      </c>
      <c r="C7131" s="104" t="s">
        <v>6730</v>
      </c>
      <c r="D7131" s="129" t="s">
        <v>20406</v>
      </c>
    </row>
    <row r="7132" spans="1:4">
      <c r="A7132" s="105">
        <v>101383</v>
      </c>
      <c r="B7132" s="104" t="s">
        <v>6863</v>
      </c>
      <c r="C7132" s="104" t="s">
        <v>6730</v>
      </c>
      <c r="D7132" s="129" t="s">
        <v>20407</v>
      </c>
    </row>
    <row r="7133" spans="1:4">
      <c r="A7133" s="105">
        <v>101384</v>
      </c>
      <c r="B7133" s="104" t="s">
        <v>128</v>
      </c>
      <c r="C7133" s="104" t="s">
        <v>6730</v>
      </c>
      <c r="D7133" s="129" t="s">
        <v>20408</v>
      </c>
    </row>
    <row r="7134" spans="1:4">
      <c r="A7134" s="105">
        <v>101385</v>
      </c>
      <c r="B7134" s="104" t="s">
        <v>6972</v>
      </c>
      <c r="C7134" s="104" t="s">
        <v>6730</v>
      </c>
      <c r="D7134" s="129" t="s">
        <v>20409</v>
      </c>
    </row>
    <row r="7135" spans="1:4">
      <c r="A7135" s="105">
        <v>101386</v>
      </c>
      <c r="B7135" s="104" t="s">
        <v>6657</v>
      </c>
      <c r="C7135" s="104" t="s">
        <v>6730</v>
      </c>
      <c r="D7135" s="129" t="s">
        <v>20410</v>
      </c>
    </row>
    <row r="7136" spans="1:4">
      <c r="A7136" s="105">
        <v>101387</v>
      </c>
      <c r="B7136" s="104" t="s">
        <v>6973</v>
      </c>
      <c r="C7136" s="104" t="s">
        <v>6730</v>
      </c>
      <c r="D7136" s="129" t="s">
        <v>20407</v>
      </c>
    </row>
    <row r="7137" spans="1:4">
      <c r="A7137" s="105">
        <v>101388</v>
      </c>
      <c r="B7137" s="104" t="s">
        <v>6659</v>
      </c>
      <c r="C7137" s="104" t="s">
        <v>6730</v>
      </c>
      <c r="D7137" s="129" t="s">
        <v>20411</v>
      </c>
    </row>
    <row r="7138" spans="1:4">
      <c r="A7138" s="105">
        <v>101389</v>
      </c>
      <c r="B7138" s="104" t="s">
        <v>6660</v>
      </c>
      <c r="C7138" s="104" t="s">
        <v>6730</v>
      </c>
      <c r="D7138" s="129" t="s">
        <v>20412</v>
      </c>
    </row>
    <row r="7139" spans="1:4">
      <c r="A7139" s="105">
        <v>101390</v>
      </c>
      <c r="B7139" s="104" t="s">
        <v>6974</v>
      </c>
      <c r="C7139" s="104" t="s">
        <v>6730</v>
      </c>
      <c r="D7139" s="129" t="s">
        <v>20413</v>
      </c>
    </row>
    <row r="7140" spans="1:4">
      <c r="A7140" s="105">
        <v>101391</v>
      </c>
      <c r="B7140" s="104" t="s">
        <v>6975</v>
      </c>
      <c r="C7140" s="104" t="s">
        <v>6730</v>
      </c>
      <c r="D7140" s="129" t="s">
        <v>20414</v>
      </c>
    </row>
    <row r="7141" spans="1:4">
      <c r="A7141" s="105">
        <v>101392</v>
      </c>
      <c r="B7141" s="104" t="s">
        <v>6976</v>
      </c>
      <c r="C7141" s="104" t="s">
        <v>6730</v>
      </c>
      <c r="D7141" s="129" t="s">
        <v>20415</v>
      </c>
    </row>
    <row r="7142" spans="1:4">
      <c r="A7142" s="105">
        <v>101394</v>
      </c>
      <c r="B7142" s="104" t="s">
        <v>6664</v>
      </c>
      <c r="C7142" s="104" t="s">
        <v>6730</v>
      </c>
      <c r="D7142" s="129" t="s">
        <v>20416</v>
      </c>
    </row>
    <row r="7143" spans="1:4">
      <c r="A7143" s="105">
        <v>101395</v>
      </c>
      <c r="B7143" s="104" t="s">
        <v>6977</v>
      </c>
      <c r="C7143" s="104" t="s">
        <v>6730</v>
      </c>
      <c r="D7143" s="129" t="s">
        <v>20417</v>
      </c>
    </row>
    <row r="7144" spans="1:4">
      <c r="A7144" s="105">
        <v>101396</v>
      </c>
      <c r="B7144" s="104" t="s">
        <v>6978</v>
      </c>
      <c r="C7144" s="104" t="s">
        <v>6730</v>
      </c>
      <c r="D7144" s="129" t="s">
        <v>20418</v>
      </c>
    </row>
    <row r="7145" spans="1:4">
      <c r="A7145" s="105">
        <v>101397</v>
      </c>
      <c r="B7145" s="104" t="s">
        <v>42</v>
      </c>
      <c r="C7145" s="104" t="s">
        <v>6730</v>
      </c>
      <c r="D7145" s="129" t="s">
        <v>20419</v>
      </c>
    </row>
    <row r="7146" spans="1:4">
      <c r="A7146" s="105">
        <v>101398</v>
      </c>
      <c r="B7146" s="104" t="s">
        <v>6979</v>
      </c>
      <c r="C7146" s="104" t="s">
        <v>6730</v>
      </c>
      <c r="D7146" s="129" t="s">
        <v>20420</v>
      </c>
    </row>
    <row r="7147" spans="1:4">
      <c r="A7147" s="105">
        <v>101399</v>
      </c>
      <c r="B7147" s="104" t="s">
        <v>136</v>
      </c>
      <c r="C7147" s="104" t="s">
        <v>6730</v>
      </c>
      <c r="D7147" s="129" t="s">
        <v>20421</v>
      </c>
    </row>
    <row r="7148" spans="1:4">
      <c r="A7148" s="105">
        <v>101400</v>
      </c>
      <c r="B7148" s="104" t="s">
        <v>6980</v>
      </c>
      <c r="C7148" s="104" t="s">
        <v>6730</v>
      </c>
      <c r="D7148" s="129" t="s">
        <v>20421</v>
      </c>
    </row>
    <row r="7149" spans="1:4">
      <c r="A7149" s="105">
        <v>101401</v>
      </c>
      <c r="B7149" s="104" t="s">
        <v>6668</v>
      </c>
      <c r="C7149" s="104" t="s">
        <v>6730</v>
      </c>
      <c r="D7149" s="129" t="s">
        <v>20422</v>
      </c>
    </row>
    <row r="7150" spans="1:4">
      <c r="A7150" s="105">
        <v>101402</v>
      </c>
      <c r="B7150" s="104" t="s">
        <v>138</v>
      </c>
      <c r="C7150" s="104" t="s">
        <v>6730</v>
      </c>
      <c r="D7150" s="129" t="s">
        <v>20423</v>
      </c>
    </row>
    <row r="7151" spans="1:4">
      <c r="A7151" s="105">
        <v>101403</v>
      </c>
      <c r="B7151" s="104" t="s">
        <v>6967</v>
      </c>
      <c r="C7151" s="104" t="s">
        <v>6730</v>
      </c>
      <c r="D7151" s="129" t="s">
        <v>20424</v>
      </c>
    </row>
    <row r="7152" spans="1:4">
      <c r="A7152" s="105">
        <v>101404</v>
      </c>
      <c r="B7152" s="104" t="s">
        <v>6727</v>
      </c>
      <c r="C7152" s="104" t="s">
        <v>6730</v>
      </c>
      <c r="D7152" s="129" t="s">
        <v>20425</v>
      </c>
    </row>
    <row r="7153" spans="1:4">
      <c r="A7153" s="105">
        <v>101405</v>
      </c>
      <c r="B7153" s="104" t="s">
        <v>6728</v>
      </c>
      <c r="C7153" s="104" t="s">
        <v>6730</v>
      </c>
      <c r="D7153" s="129" t="s">
        <v>20426</v>
      </c>
    </row>
    <row r="7154" spans="1:4">
      <c r="A7154" s="105">
        <v>101407</v>
      </c>
      <c r="B7154" s="104" t="s">
        <v>6669</v>
      </c>
      <c r="C7154" s="104" t="s">
        <v>6730</v>
      </c>
      <c r="D7154" s="129" t="s">
        <v>20427</v>
      </c>
    </row>
    <row r="7155" spans="1:4">
      <c r="A7155" s="105">
        <v>101408</v>
      </c>
      <c r="B7155" s="104" t="s">
        <v>6670</v>
      </c>
      <c r="C7155" s="104" t="s">
        <v>6730</v>
      </c>
      <c r="D7155" s="129" t="s">
        <v>20428</v>
      </c>
    </row>
    <row r="7156" spans="1:4">
      <c r="A7156" s="105">
        <v>101409</v>
      </c>
      <c r="B7156" s="104" t="s">
        <v>6981</v>
      </c>
      <c r="C7156" s="104" t="s">
        <v>6730</v>
      </c>
      <c r="D7156" s="129" t="s">
        <v>20429</v>
      </c>
    </row>
    <row r="7157" spans="1:4">
      <c r="A7157" s="105">
        <v>101410</v>
      </c>
      <c r="B7157" s="104" t="s">
        <v>6714</v>
      </c>
      <c r="C7157" s="104" t="s">
        <v>6730</v>
      </c>
      <c r="D7157" s="129" t="s">
        <v>20430</v>
      </c>
    </row>
    <row r="7158" spans="1:4">
      <c r="A7158" s="105">
        <v>101411</v>
      </c>
      <c r="B7158" s="104" t="s">
        <v>6982</v>
      </c>
      <c r="C7158" s="104" t="s">
        <v>6730</v>
      </c>
      <c r="D7158" s="129" t="s">
        <v>20431</v>
      </c>
    </row>
    <row r="7159" spans="1:4">
      <c r="A7159" s="105">
        <v>101412</v>
      </c>
      <c r="B7159" s="104" t="s">
        <v>6983</v>
      </c>
      <c r="C7159" s="104" t="s">
        <v>6730</v>
      </c>
      <c r="D7159" s="129" t="s">
        <v>20432</v>
      </c>
    </row>
    <row r="7160" spans="1:4">
      <c r="A7160" s="105">
        <v>101413</v>
      </c>
      <c r="B7160" s="104" t="s">
        <v>6672</v>
      </c>
      <c r="C7160" s="104" t="s">
        <v>6730</v>
      </c>
      <c r="D7160" s="129" t="s">
        <v>20433</v>
      </c>
    </row>
    <row r="7161" spans="1:4">
      <c r="A7161" s="105">
        <v>101414</v>
      </c>
      <c r="B7161" s="104" t="s">
        <v>6984</v>
      </c>
      <c r="C7161" s="104" t="s">
        <v>6730</v>
      </c>
      <c r="D7161" s="129" t="s">
        <v>20414</v>
      </c>
    </row>
    <row r="7162" spans="1:4">
      <c r="A7162" s="105">
        <v>101415</v>
      </c>
      <c r="B7162" s="104" t="s">
        <v>6985</v>
      </c>
      <c r="C7162" s="104" t="s">
        <v>6730</v>
      </c>
      <c r="D7162" s="129" t="s">
        <v>20434</v>
      </c>
    </row>
    <row r="7163" spans="1:4">
      <c r="A7163" s="105">
        <v>101416</v>
      </c>
      <c r="B7163" s="104" t="s">
        <v>6868</v>
      </c>
      <c r="C7163" s="104" t="s">
        <v>6730</v>
      </c>
      <c r="D7163" s="129" t="s">
        <v>20435</v>
      </c>
    </row>
    <row r="7164" spans="1:4">
      <c r="A7164" s="105">
        <v>101417</v>
      </c>
      <c r="B7164" s="104" t="s">
        <v>6986</v>
      </c>
      <c r="C7164" s="104" t="s">
        <v>6730</v>
      </c>
      <c r="D7164" s="129" t="s">
        <v>20436</v>
      </c>
    </row>
    <row r="7165" spans="1:4">
      <c r="A7165" s="105">
        <v>101418</v>
      </c>
      <c r="B7165" s="104" t="s">
        <v>6987</v>
      </c>
      <c r="C7165" s="104" t="s">
        <v>6730</v>
      </c>
      <c r="D7165" s="129" t="s">
        <v>20437</v>
      </c>
    </row>
    <row r="7166" spans="1:4">
      <c r="A7166" s="105">
        <v>101419</v>
      </c>
      <c r="B7166" s="104" t="s">
        <v>6988</v>
      </c>
      <c r="C7166" s="104" t="s">
        <v>6730</v>
      </c>
      <c r="D7166" s="129" t="s">
        <v>20438</v>
      </c>
    </row>
    <row r="7167" spans="1:4">
      <c r="A7167" s="105">
        <v>101420</v>
      </c>
      <c r="B7167" s="104" t="s">
        <v>6989</v>
      </c>
      <c r="C7167" s="104" t="s">
        <v>6730</v>
      </c>
      <c r="D7167" s="129" t="s">
        <v>20439</v>
      </c>
    </row>
    <row r="7168" spans="1:4">
      <c r="A7168" s="105">
        <v>101421</v>
      </c>
      <c r="B7168" s="104" t="s">
        <v>6990</v>
      </c>
      <c r="C7168" s="104" t="s">
        <v>6730</v>
      </c>
      <c r="D7168" s="129" t="s">
        <v>20440</v>
      </c>
    </row>
    <row r="7169" spans="1:4">
      <c r="A7169" s="105">
        <v>101422</v>
      </c>
      <c r="B7169" s="104" t="s">
        <v>6991</v>
      </c>
      <c r="C7169" s="104" t="s">
        <v>6730</v>
      </c>
      <c r="D7169" s="129" t="s">
        <v>20441</v>
      </c>
    </row>
    <row r="7170" spans="1:4">
      <c r="A7170" s="105">
        <v>101423</v>
      </c>
      <c r="B7170" s="104" t="s">
        <v>6992</v>
      </c>
      <c r="C7170" s="104" t="s">
        <v>6730</v>
      </c>
      <c r="D7170" s="129" t="s">
        <v>20442</v>
      </c>
    </row>
    <row r="7171" spans="1:4">
      <c r="A7171" s="105">
        <v>101424</v>
      </c>
      <c r="B7171" s="104" t="s">
        <v>6993</v>
      </c>
      <c r="C7171" s="104" t="s">
        <v>6730</v>
      </c>
      <c r="D7171" s="129" t="s">
        <v>20443</v>
      </c>
    </row>
    <row r="7172" spans="1:4">
      <c r="A7172" s="105">
        <v>101425</v>
      </c>
      <c r="B7172" s="104" t="s">
        <v>6994</v>
      </c>
      <c r="C7172" s="104" t="s">
        <v>6730</v>
      </c>
      <c r="D7172" s="129" t="s">
        <v>20444</v>
      </c>
    </row>
    <row r="7173" spans="1:4">
      <c r="A7173" s="105">
        <v>101426</v>
      </c>
      <c r="B7173" s="104" t="s">
        <v>6995</v>
      </c>
      <c r="C7173" s="104" t="s">
        <v>6730</v>
      </c>
      <c r="D7173" s="129" t="s">
        <v>20445</v>
      </c>
    </row>
    <row r="7174" spans="1:4">
      <c r="A7174" s="105">
        <v>101427</v>
      </c>
      <c r="B7174" s="104" t="s">
        <v>6684</v>
      </c>
      <c r="C7174" s="104" t="s">
        <v>6730</v>
      </c>
      <c r="D7174" s="129" t="s">
        <v>20446</v>
      </c>
    </row>
    <row r="7175" spans="1:4">
      <c r="A7175" s="105">
        <v>101428</v>
      </c>
      <c r="B7175" s="104" t="s">
        <v>6996</v>
      </c>
      <c r="C7175" s="104" t="s">
        <v>6730</v>
      </c>
      <c r="D7175" s="129" t="s">
        <v>20447</v>
      </c>
    </row>
    <row r="7176" spans="1:4">
      <c r="A7176" s="105">
        <v>101429</v>
      </c>
      <c r="B7176" s="104" t="s">
        <v>6997</v>
      </c>
      <c r="C7176" s="104" t="s">
        <v>6730</v>
      </c>
      <c r="D7176" s="129" t="s">
        <v>20448</v>
      </c>
    </row>
    <row r="7177" spans="1:4">
      <c r="A7177" s="105">
        <v>101430</v>
      </c>
      <c r="B7177" s="104" t="s">
        <v>6998</v>
      </c>
      <c r="C7177" s="104" t="s">
        <v>6730</v>
      </c>
      <c r="D7177" s="129" t="s">
        <v>20449</v>
      </c>
    </row>
    <row r="7178" spans="1:4">
      <c r="A7178" s="105">
        <v>101431</v>
      </c>
      <c r="B7178" s="104" t="s">
        <v>6687</v>
      </c>
      <c r="C7178" s="104" t="s">
        <v>6730</v>
      </c>
      <c r="D7178" s="129" t="s">
        <v>20450</v>
      </c>
    </row>
    <row r="7179" spans="1:4">
      <c r="A7179" s="105">
        <v>101432</v>
      </c>
      <c r="B7179" s="104" t="s">
        <v>6999</v>
      </c>
      <c r="C7179" s="104" t="s">
        <v>6730</v>
      </c>
      <c r="D7179" s="129" t="s">
        <v>20451</v>
      </c>
    </row>
    <row r="7180" spans="1:4">
      <c r="A7180" s="105">
        <v>101433</v>
      </c>
      <c r="B7180" s="104" t="s">
        <v>6689</v>
      </c>
      <c r="C7180" s="104" t="s">
        <v>6730</v>
      </c>
      <c r="D7180" s="129" t="s">
        <v>20452</v>
      </c>
    </row>
    <row r="7181" spans="1:4">
      <c r="A7181" s="105">
        <v>101434</v>
      </c>
      <c r="B7181" s="104" t="s">
        <v>7000</v>
      </c>
      <c r="C7181" s="104" t="s">
        <v>6730</v>
      </c>
      <c r="D7181" s="129" t="s">
        <v>20453</v>
      </c>
    </row>
    <row r="7182" spans="1:4">
      <c r="A7182" s="105">
        <v>101435</v>
      </c>
      <c r="B7182" s="104" t="s">
        <v>7001</v>
      </c>
      <c r="C7182" s="104" t="s">
        <v>6730</v>
      </c>
      <c r="D7182" s="129" t="s">
        <v>20454</v>
      </c>
    </row>
    <row r="7183" spans="1:4">
      <c r="A7183" s="105">
        <v>101436</v>
      </c>
      <c r="B7183" s="104" t="s">
        <v>6691</v>
      </c>
      <c r="C7183" s="104" t="s">
        <v>6730</v>
      </c>
      <c r="D7183" s="129" t="s">
        <v>20455</v>
      </c>
    </row>
    <row r="7184" spans="1:4">
      <c r="A7184" s="105">
        <v>101437</v>
      </c>
      <c r="B7184" s="104" t="s">
        <v>7002</v>
      </c>
      <c r="C7184" s="104" t="s">
        <v>6730</v>
      </c>
      <c r="D7184" s="129" t="s">
        <v>20456</v>
      </c>
    </row>
    <row r="7185" spans="1:4">
      <c r="A7185" s="105">
        <v>101438</v>
      </c>
      <c r="B7185" s="104" t="s">
        <v>6693</v>
      </c>
      <c r="C7185" s="104" t="s">
        <v>6730</v>
      </c>
      <c r="D7185" s="129" t="s">
        <v>20457</v>
      </c>
    </row>
    <row r="7186" spans="1:4">
      <c r="A7186" s="105">
        <v>101439</v>
      </c>
      <c r="B7186" s="104" t="s">
        <v>6694</v>
      </c>
      <c r="C7186" s="104" t="s">
        <v>6730</v>
      </c>
      <c r="D7186" s="129" t="s">
        <v>20458</v>
      </c>
    </row>
    <row r="7187" spans="1:4">
      <c r="A7187" s="105">
        <v>101440</v>
      </c>
      <c r="B7187" s="104" t="s">
        <v>7003</v>
      </c>
      <c r="C7187" s="104" t="s">
        <v>6730</v>
      </c>
      <c r="D7187" s="129" t="s">
        <v>20459</v>
      </c>
    </row>
    <row r="7188" spans="1:4">
      <c r="A7188" s="105">
        <v>101441</v>
      </c>
      <c r="B7188" s="104" t="s">
        <v>6696</v>
      </c>
      <c r="C7188" s="104" t="s">
        <v>6730</v>
      </c>
      <c r="D7188" s="129" t="s">
        <v>20460</v>
      </c>
    </row>
    <row r="7189" spans="1:4">
      <c r="A7189" s="105">
        <v>101442</v>
      </c>
      <c r="B7189" s="104" t="s">
        <v>7004</v>
      </c>
      <c r="C7189" s="104" t="s">
        <v>6730</v>
      </c>
      <c r="D7189" s="129" t="s">
        <v>20461</v>
      </c>
    </row>
    <row r="7190" spans="1:4">
      <c r="A7190" s="105">
        <v>101443</v>
      </c>
      <c r="B7190" s="104" t="s">
        <v>6697</v>
      </c>
      <c r="C7190" s="104" t="s">
        <v>6730</v>
      </c>
      <c r="D7190" s="129" t="s">
        <v>20462</v>
      </c>
    </row>
    <row r="7191" spans="1:4">
      <c r="A7191" s="105">
        <v>101444</v>
      </c>
      <c r="B7191" s="104" t="s">
        <v>6700</v>
      </c>
      <c r="C7191" s="104" t="s">
        <v>6730</v>
      </c>
      <c r="D7191" s="129" t="s">
        <v>20414</v>
      </c>
    </row>
    <row r="7192" spans="1:4">
      <c r="A7192" s="105">
        <v>101445</v>
      </c>
      <c r="B7192" s="104" t="s">
        <v>29</v>
      </c>
      <c r="C7192" s="104" t="s">
        <v>6730</v>
      </c>
      <c r="D7192" s="129" t="s">
        <v>20463</v>
      </c>
    </row>
    <row r="7193" spans="1:4">
      <c r="A7193" s="105">
        <v>101446</v>
      </c>
      <c r="B7193" s="104" t="s">
        <v>159</v>
      </c>
      <c r="C7193" s="104" t="s">
        <v>6730</v>
      </c>
      <c r="D7193" s="129" t="s">
        <v>20464</v>
      </c>
    </row>
    <row r="7194" spans="1:4">
      <c r="A7194" s="105">
        <v>101447</v>
      </c>
      <c r="B7194" s="104" t="s">
        <v>6701</v>
      </c>
      <c r="C7194" s="104" t="s">
        <v>6730</v>
      </c>
      <c r="D7194" s="129" t="s">
        <v>20465</v>
      </c>
    </row>
    <row r="7195" spans="1:4">
      <c r="A7195" s="105">
        <v>101448</v>
      </c>
      <c r="B7195" s="104" t="s">
        <v>6702</v>
      </c>
      <c r="C7195" s="104" t="s">
        <v>6730</v>
      </c>
      <c r="D7195" s="129" t="s">
        <v>20464</v>
      </c>
    </row>
    <row r="7196" spans="1:4">
      <c r="A7196" s="105">
        <v>101449</v>
      </c>
      <c r="B7196" s="104" t="s">
        <v>7005</v>
      </c>
      <c r="C7196" s="104" t="s">
        <v>6730</v>
      </c>
      <c r="D7196" s="129" t="s">
        <v>20466</v>
      </c>
    </row>
    <row r="7197" spans="1:4">
      <c r="A7197" s="105">
        <v>101450</v>
      </c>
      <c r="B7197" s="104" t="s">
        <v>6704</v>
      </c>
      <c r="C7197" s="104" t="s">
        <v>6730</v>
      </c>
      <c r="D7197" s="129" t="s">
        <v>20467</v>
      </c>
    </row>
    <row r="7198" spans="1:4">
      <c r="A7198" s="105">
        <v>101451</v>
      </c>
      <c r="B7198" s="104" t="s">
        <v>157</v>
      </c>
      <c r="C7198" s="104" t="s">
        <v>6730</v>
      </c>
      <c r="D7198" s="129" t="s">
        <v>20405</v>
      </c>
    </row>
    <row r="7199" spans="1:4">
      <c r="A7199" s="105">
        <v>101452</v>
      </c>
      <c r="B7199" s="104" t="s">
        <v>7006</v>
      </c>
      <c r="C7199" s="104" t="s">
        <v>6730</v>
      </c>
      <c r="D7199" s="129" t="s">
        <v>20468</v>
      </c>
    </row>
    <row r="7200" spans="1:4">
      <c r="A7200" s="105">
        <v>101453</v>
      </c>
      <c r="B7200" s="104" t="s">
        <v>6705</v>
      </c>
      <c r="C7200" s="104" t="s">
        <v>6730</v>
      </c>
      <c r="D7200" s="129" t="s">
        <v>20469</v>
      </c>
    </row>
    <row r="7201" spans="1:4">
      <c r="A7201" s="105">
        <v>101454</v>
      </c>
      <c r="B7201" s="104" t="s">
        <v>7007</v>
      </c>
      <c r="C7201" s="104" t="s">
        <v>6730</v>
      </c>
      <c r="D7201" s="129" t="s">
        <v>20470</v>
      </c>
    </row>
    <row r="7202" spans="1:4">
      <c r="A7202" s="105">
        <v>101455</v>
      </c>
      <c r="B7202" s="104" t="s">
        <v>6707</v>
      </c>
      <c r="C7202" s="104" t="s">
        <v>6730</v>
      </c>
      <c r="D7202" s="129" t="s">
        <v>20419</v>
      </c>
    </row>
    <row r="7203" spans="1:4">
      <c r="A7203" s="105">
        <v>101456</v>
      </c>
      <c r="B7203" s="104" t="s">
        <v>7008</v>
      </c>
      <c r="C7203" s="104" t="s">
        <v>6730</v>
      </c>
      <c r="D7203" s="129" t="s">
        <v>20471</v>
      </c>
    </row>
    <row r="7204" spans="1:4">
      <c r="A7204" s="105">
        <v>101457</v>
      </c>
      <c r="B7204" s="104" t="s">
        <v>7009</v>
      </c>
      <c r="C7204" s="104" t="s">
        <v>6730</v>
      </c>
      <c r="D7204" s="129" t="s">
        <v>20472</v>
      </c>
    </row>
    <row r="7205" spans="1:4">
      <c r="A7205" s="105">
        <v>101458</v>
      </c>
      <c r="B7205" s="104" t="s">
        <v>7010</v>
      </c>
      <c r="C7205" s="104" t="s">
        <v>6730</v>
      </c>
      <c r="D7205" s="129" t="s">
        <v>20473</v>
      </c>
    </row>
    <row r="7206" spans="1:4">
      <c r="A7206" s="105">
        <v>101459</v>
      </c>
      <c r="B7206" s="104" t="s">
        <v>243</v>
      </c>
      <c r="C7206" s="104" t="s">
        <v>6730</v>
      </c>
      <c r="D7206" s="129" t="s">
        <v>20474</v>
      </c>
    </row>
    <row r="7207" spans="1:4">
      <c r="A7207" s="105">
        <v>101460</v>
      </c>
      <c r="B7207" s="104" t="s">
        <v>6849</v>
      </c>
      <c r="C7207" s="104" t="s">
        <v>6730</v>
      </c>
      <c r="D7207" s="129" t="s">
        <v>20475</v>
      </c>
    </row>
    <row r="7208" spans="1:4">
      <c r="A7208">
        <v>2418</v>
      </c>
      <c r="B7208" t="s">
        <v>7760</v>
      </c>
      <c r="C7208" t="s">
        <v>427</v>
      </c>
      <c r="D7208" s="106">
        <v>9.99</v>
      </c>
    </row>
    <row r="7209" spans="1:4">
      <c r="A7209">
        <v>3378</v>
      </c>
      <c r="B7209" t="s">
        <v>7761</v>
      </c>
      <c r="C7209" t="s">
        <v>427</v>
      </c>
      <c r="D7209" s="106">
        <v>76.37</v>
      </c>
    </row>
    <row r="7210" spans="1:4">
      <c r="A7210">
        <v>3380</v>
      </c>
      <c r="B7210" t="s">
        <v>7762</v>
      </c>
      <c r="C7210" t="s">
        <v>427</v>
      </c>
      <c r="D7210" s="106">
        <v>53.46</v>
      </c>
    </row>
    <row r="7211" spans="1:4">
      <c r="A7211">
        <v>3379</v>
      </c>
      <c r="B7211" t="s">
        <v>7763</v>
      </c>
      <c r="C7211" t="s">
        <v>427</v>
      </c>
      <c r="D7211" s="106">
        <v>51.61</v>
      </c>
    </row>
    <row r="7212" spans="1:4">
      <c r="A7212">
        <v>615</v>
      </c>
      <c r="B7212" t="s">
        <v>7764</v>
      </c>
      <c r="C7212" t="s">
        <v>426</v>
      </c>
      <c r="D7212" s="106">
        <v>561.08000000000004</v>
      </c>
    </row>
    <row r="7213" spans="1:4">
      <c r="A7213">
        <v>606</v>
      </c>
      <c r="B7213" t="s">
        <v>7765</v>
      </c>
      <c r="C7213" t="s">
        <v>426</v>
      </c>
      <c r="D7213" s="106">
        <v>881.39</v>
      </c>
    </row>
    <row r="7214" spans="1:4">
      <c r="A7214">
        <v>13382</v>
      </c>
      <c r="B7214" t="s">
        <v>7766</v>
      </c>
      <c r="C7214" t="s">
        <v>427</v>
      </c>
      <c r="D7214" s="106">
        <v>587.27</v>
      </c>
    </row>
    <row r="7215" spans="1:4">
      <c r="A7215">
        <v>11199</v>
      </c>
      <c r="B7215" t="s">
        <v>7767</v>
      </c>
      <c r="C7215" t="s">
        <v>427</v>
      </c>
      <c r="D7215" s="107">
        <v>1264.72</v>
      </c>
    </row>
    <row r="7216" spans="1:4">
      <c r="A7216">
        <v>21136</v>
      </c>
      <c r="B7216" t="s">
        <v>7768</v>
      </c>
      <c r="C7216" t="s">
        <v>429</v>
      </c>
      <c r="D7216" s="106">
        <v>13.96</v>
      </c>
    </row>
    <row r="7217" spans="1:4">
      <c r="A7217">
        <v>21128</v>
      </c>
      <c r="B7217" t="s">
        <v>7769</v>
      </c>
      <c r="C7217" t="s">
        <v>429</v>
      </c>
      <c r="D7217" s="106">
        <v>10.8</v>
      </c>
    </row>
    <row r="7218" spans="1:4">
      <c r="A7218">
        <v>21130</v>
      </c>
      <c r="B7218" t="s">
        <v>7770</v>
      </c>
      <c r="C7218" t="s">
        <v>429</v>
      </c>
      <c r="D7218" s="106">
        <v>27.27</v>
      </c>
    </row>
    <row r="7219" spans="1:4">
      <c r="A7219">
        <v>21135</v>
      </c>
      <c r="B7219" t="s">
        <v>7771</v>
      </c>
      <c r="C7219" t="s">
        <v>429</v>
      </c>
      <c r="D7219" s="106">
        <v>26.85</v>
      </c>
    </row>
    <row r="7220" spans="1:4">
      <c r="A7220">
        <v>38605</v>
      </c>
      <c r="B7220" t="s">
        <v>7772</v>
      </c>
      <c r="C7220" t="s">
        <v>427</v>
      </c>
      <c r="D7220" s="106">
        <v>136.82</v>
      </c>
    </row>
    <row r="7221" spans="1:4">
      <c r="A7221">
        <v>11270</v>
      </c>
      <c r="B7221" t="s">
        <v>7773</v>
      </c>
      <c r="C7221" t="s">
        <v>427</v>
      </c>
      <c r="D7221" s="106">
        <v>2.96</v>
      </c>
    </row>
    <row r="7222" spans="1:4">
      <c r="A7222">
        <v>412</v>
      </c>
      <c r="B7222" t="s">
        <v>7774</v>
      </c>
      <c r="C7222" t="s">
        <v>427</v>
      </c>
      <c r="D7222" s="106">
        <v>1.28</v>
      </c>
    </row>
    <row r="7223" spans="1:4">
      <c r="A7223">
        <v>414</v>
      </c>
      <c r="B7223" t="s">
        <v>7775</v>
      </c>
      <c r="C7223" t="s">
        <v>427</v>
      </c>
      <c r="D7223" s="106">
        <v>0.08</v>
      </c>
    </row>
    <row r="7224" spans="1:4">
      <c r="A7224">
        <v>410</v>
      </c>
      <c r="B7224" t="s">
        <v>7776</v>
      </c>
      <c r="C7224" t="s">
        <v>427</v>
      </c>
      <c r="D7224" s="106">
        <v>0.19</v>
      </c>
    </row>
    <row r="7225" spans="1:4">
      <c r="A7225">
        <v>411</v>
      </c>
      <c r="B7225" t="s">
        <v>7777</v>
      </c>
      <c r="C7225" t="s">
        <v>427</v>
      </c>
      <c r="D7225" s="106">
        <v>0.25</v>
      </c>
    </row>
    <row r="7226" spans="1:4">
      <c r="A7226">
        <v>408</v>
      </c>
      <c r="B7226" t="s">
        <v>7778</v>
      </c>
      <c r="C7226" t="s">
        <v>427</v>
      </c>
      <c r="D7226" s="106">
        <v>1.24</v>
      </c>
    </row>
    <row r="7227" spans="1:4">
      <c r="A7227">
        <v>39131</v>
      </c>
      <c r="B7227" t="s">
        <v>7779</v>
      </c>
      <c r="C7227" t="s">
        <v>427</v>
      </c>
      <c r="D7227" s="106">
        <v>4.28</v>
      </c>
    </row>
    <row r="7228" spans="1:4">
      <c r="A7228">
        <v>394</v>
      </c>
      <c r="B7228" t="s">
        <v>7780</v>
      </c>
      <c r="C7228" t="s">
        <v>427</v>
      </c>
      <c r="D7228" s="106">
        <v>4.34</v>
      </c>
    </row>
    <row r="7229" spans="1:4">
      <c r="A7229">
        <v>39130</v>
      </c>
      <c r="B7229" t="s">
        <v>7781</v>
      </c>
      <c r="C7229" t="s">
        <v>427</v>
      </c>
      <c r="D7229" s="106">
        <v>3.91</v>
      </c>
    </row>
    <row r="7230" spans="1:4">
      <c r="A7230">
        <v>395</v>
      </c>
      <c r="B7230" t="s">
        <v>7782</v>
      </c>
      <c r="C7230" t="s">
        <v>427</v>
      </c>
      <c r="D7230" s="106">
        <v>4.18</v>
      </c>
    </row>
    <row r="7231" spans="1:4">
      <c r="A7231">
        <v>39127</v>
      </c>
      <c r="B7231" t="s">
        <v>7783</v>
      </c>
      <c r="C7231" t="s">
        <v>427</v>
      </c>
      <c r="D7231" s="106">
        <v>2.06</v>
      </c>
    </row>
    <row r="7232" spans="1:4">
      <c r="A7232">
        <v>392</v>
      </c>
      <c r="B7232" t="s">
        <v>7784</v>
      </c>
      <c r="C7232" t="s">
        <v>427</v>
      </c>
      <c r="D7232" s="106">
        <v>2.11</v>
      </c>
    </row>
    <row r="7233" spans="1:4">
      <c r="A7233">
        <v>39129</v>
      </c>
      <c r="B7233" t="s">
        <v>7785</v>
      </c>
      <c r="C7233" t="s">
        <v>427</v>
      </c>
      <c r="D7233" s="106">
        <v>2.41</v>
      </c>
    </row>
    <row r="7234" spans="1:4">
      <c r="A7234">
        <v>393</v>
      </c>
      <c r="B7234" t="s">
        <v>7786</v>
      </c>
      <c r="C7234" t="s">
        <v>427</v>
      </c>
      <c r="D7234" s="106">
        <v>2.52</v>
      </c>
    </row>
    <row r="7235" spans="1:4">
      <c r="A7235">
        <v>39133</v>
      </c>
      <c r="B7235" t="s">
        <v>7787</v>
      </c>
      <c r="C7235" t="s">
        <v>427</v>
      </c>
      <c r="D7235" s="106">
        <v>5.62</v>
      </c>
    </row>
    <row r="7236" spans="1:4">
      <c r="A7236">
        <v>397</v>
      </c>
      <c r="B7236" t="s">
        <v>7788</v>
      </c>
      <c r="C7236" t="s">
        <v>427</v>
      </c>
      <c r="D7236" s="106">
        <v>6.21</v>
      </c>
    </row>
    <row r="7237" spans="1:4">
      <c r="A7237">
        <v>39132</v>
      </c>
      <c r="B7237" t="s">
        <v>7789</v>
      </c>
      <c r="C7237" t="s">
        <v>427</v>
      </c>
      <c r="D7237" s="106">
        <v>4.5</v>
      </c>
    </row>
    <row r="7238" spans="1:4">
      <c r="A7238">
        <v>396</v>
      </c>
      <c r="B7238" t="s">
        <v>7790</v>
      </c>
      <c r="C7238" t="s">
        <v>427</v>
      </c>
      <c r="D7238" s="106">
        <v>4.82</v>
      </c>
    </row>
    <row r="7239" spans="1:4">
      <c r="A7239">
        <v>39135</v>
      </c>
      <c r="B7239" t="s">
        <v>7791</v>
      </c>
      <c r="C7239" t="s">
        <v>427</v>
      </c>
      <c r="D7239" s="106">
        <v>9</v>
      </c>
    </row>
    <row r="7240" spans="1:4">
      <c r="A7240">
        <v>39128</v>
      </c>
      <c r="B7240" t="s">
        <v>7792</v>
      </c>
      <c r="C7240" t="s">
        <v>427</v>
      </c>
      <c r="D7240" s="106">
        <v>2.25</v>
      </c>
    </row>
    <row r="7241" spans="1:4">
      <c r="A7241">
        <v>400</v>
      </c>
      <c r="B7241" t="s">
        <v>7793</v>
      </c>
      <c r="C7241" t="s">
        <v>427</v>
      </c>
      <c r="D7241" s="106">
        <v>2.19</v>
      </c>
    </row>
    <row r="7242" spans="1:4">
      <c r="A7242">
        <v>39125</v>
      </c>
      <c r="B7242" t="s">
        <v>7794</v>
      </c>
      <c r="C7242" t="s">
        <v>427</v>
      </c>
      <c r="D7242" s="106">
        <v>2.25</v>
      </c>
    </row>
    <row r="7243" spans="1:4">
      <c r="A7243">
        <v>39134</v>
      </c>
      <c r="B7243" t="s">
        <v>7795</v>
      </c>
      <c r="C7243" t="s">
        <v>427</v>
      </c>
      <c r="D7243" s="106">
        <v>7.5</v>
      </c>
    </row>
    <row r="7244" spans="1:4">
      <c r="A7244">
        <v>398</v>
      </c>
      <c r="B7244" t="s">
        <v>7796</v>
      </c>
      <c r="C7244" t="s">
        <v>427</v>
      </c>
      <c r="D7244" s="106">
        <v>6.91</v>
      </c>
    </row>
    <row r="7245" spans="1:4">
      <c r="A7245">
        <v>39126</v>
      </c>
      <c r="B7245" t="s">
        <v>7797</v>
      </c>
      <c r="C7245" t="s">
        <v>427</v>
      </c>
      <c r="D7245" s="106">
        <v>10.130000000000001</v>
      </c>
    </row>
    <row r="7246" spans="1:4">
      <c r="A7246">
        <v>399</v>
      </c>
      <c r="B7246" t="s">
        <v>7798</v>
      </c>
      <c r="C7246" t="s">
        <v>427</v>
      </c>
      <c r="D7246" s="106">
        <v>8.92</v>
      </c>
    </row>
    <row r="7247" spans="1:4">
      <c r="A7247">
        <v>39158</v>
      </c>
      <c r="B7247" t="s">
        <v>7799</v>
      </c>
      <c r="C7247" t="s">
        <v>427</v>
      </c>
      <c r="D7247" s="106">
        <v>23.96</v>
      </c>
    </row>
    <row r="7248" spans="1:4">
      <c r="A7248">
        <v>39141</v>
      </c>
      <c r="B7248" t="s">
        <v>7800</v>
      </c>
      <c r="C7248" t="s">
        <v>427</v>
      </c>
      <c r="D7248" s="106">
        <v>1.74</v>
      </c>
    </row>
    <row r="7249" spans="1:4">
      <c r="A7249">
        <v>39140</v>
      </c>
      <c r="B7249" t="s">
        <v>7801</v>
      </c>
      <c r="C7249" t="s">
        <v>427</v>
      </c>
      <c r="D7249" s="106">
        <v>1.58</v>
      </c>
    </row>
    <row r="7250" spans="1:4">
      <c r="A7250">
        <v>39137</v>
      </c>
      <c r="B7250" t="s">
        <v>7802</v>
      </c>
      <c r="C7250" t="s">
        <v>427</v>
      </c>
      <c r="D7250" s="106">
        <v>0.91</v>
      </c>
    </row>
    <row r="7251" spans="1:4">
      <c r="A7251">
        <v>39139</v>
      </c>
      <c r="B7251" t="s">
        <v>7803</v>
      </c>
      <c r="C7251" t="s">
        <v>427</v>
      </c>
      <c r="D7251" s="106">
        <v>1.31</v>
      </c>
    </row>
    <row r="7252" spans="1:4">
      <c r="A7252">
        <v>39143</v>
      </c>
      <c r="B7252" t="s">
        <v>7804</v>
      </c>
      <c r="C7252" t="s">
        <v>427</v>
      </c>
      <c r="D7252" s="106">
        <v>3.59</v>
      </c>
    </row>
    <row r="7253" spans="1:4">
      <c r="A7253">
        <v>39142</v>
      </c>
      <c r="B7253" t="s">
        <v>7805</v>
      </c>
      <c r="C7253" t="s">
        <v>427</v>
      </c>
      <c r="D7253" s="106">
        <v>2.57</v>
      </c>
    </row>
    <row r="7254" spans="1:4">
      <c r="A7254">
        <v>39138</v>
      </c>
      <c r="B7254" t="s">
        <v>7806</v>
      </c>
      <c r="C7254" t="s">
        <v>427</v>
      </c>
      <c r="D7254" s="106">
        <v>0.96</v>
      </c>
    </row>
    <row r="7255" spans="1:4">
      <c r="A7255">
        <v>39136</v>
      </c>
      <c r="B7255" t="s">
        <v>7807</v>
      </c>
      <c r="C7255" t="s">
        <v>427</v>
      </c>
      <c r="D7255" s="106">
        <v>0.64</v>
      </c>
    </row>
    <row r="7256" spans="1:4">
      <c r="A7256">
        <v>39144</v>
      </c>
      <c r="B7256" t="s">
        <v>7808</v>
      </c>
      <c r="C7256" t="s">
        <v>427</v>
      </c>
      <c r="D7256" s="106">
        <v>4.18</v>
      </c>
    </row>
    <row r="7257" spans="1:4">
      <c r="A7257">
        <v>39145</v>
      </c>
      <c r="B7257" t="s">
        <v>7809</v>
      </c>
      <c r="C7257" t="s">
        <v>427</v>
      </c>
      <c r="D7257" s="106">
        <v>6.88</v>
      </c>
    </row>
    <row r="7258" spans="1:4">
      <c r="A7258">
        <v>12615</v>
      </c>
      <c r="B7258" t="s">
        <v>7810</v>
      </c>
      <c r="C7258" t="s">
        <v>427</v>
      </c>
      <c r="D7258" s="106">
        <v>4.46</v>
      </c>
    </row>
    <row r="7259" spans="1:4">
      <c r="A7259">
        <v>11927</v>
      </c>
      <c r="B7259" t="s">
        <v>7811</v>
      </c>
      <c r="C7259" t="s">
        <v>427</v>
      </c>
      <c r="D7259" s="106">
        <v>8.84</v>
      </c>
    </row>
    <row r="7260" spans="1:4">
      <c r="A7260">
        <v>11928</v>
      </c>
      <c r="B7260" t="s">
        <v>7812</v>
      </c>
      <c r="C7260" t="s">
        <v>427</v>
      </c>
      <c r="D7260" s="106">
        <v>10.130000000000001</v>
      </c>
    </row>
    <row r="7261" spans="1:4">
      <c r="A7261">
        <v>11929</v>
      </c>
      <c r="B7261" t="s">
        <v>7813</v>
      </c>
      <c r="C7261" t="s">
        <v>427</v>
      </c>
      <c r="D7261" s="106">
        <v>15.67</v>
      </c>
    </row>
    <row r="7262" spans="1:4">
      <c r="A7262">
        <v>36801</v>
      </c>
      <c r="B7262" t="s">
        <v>13406</v>
      </c>
      <c r="C7262" t="s">
        <v>427</v>
      </c>
      <c r="D7262" s="106">
        <v>30.46</v>
      </c>
    </row>
    <row r="7263" spans="1:4">
      <c r="A7263">
        <v>36246</v>
      </c>
      <c r="B7263" t="s">
        <v>7814</v>
      </c>
      <c r="C7263" t="s">
        <v>429</v>
      </c>
      <c r="D7263" s="106">
        <v>5</v>
      </c>
    </row>
    <row r="7264" spans="1:4">
      <c r="A7264">
        <v>37600</v>
      </c>
      <c r="B7264" t="s">
        <v>7815</v>
      </c>
      <c r="C7264" t="s">
        <v>427</v>
      </c>
      <c r="D7264" s="106">
        <v>123.71</v>
      </c>
    </row>
    <row r="7265" spans="1:4">
      <c r="A7265">
        <v>37599</v>
      </c>
      <c r="B7265" t="s">
        <v>7816</v>
      </c>
      <c r="C7265" t="s">
        <v>427</v>
      </c>
      <c r="D7265" s="106">
        <v>115.15</v>
      </c>
    </row>
    <row r="7266" spans="1:4">
      <c r="A7266">
        <v>1</v>
      </c>
      <c r="B7266" t="s">
        <v>20476</v>
      </c>
      <c r="C7266" t="s">
        <v>430</v>
      </c>
      <c r="D7266" s="106">
        <v>76.47</v>
      </c>
    </row>
    <row r="7267" spans="1:4">
      <c r="A7267">
        <v>3</v>
      </c>
      <c r="B7267" t="s">
        <v>7817</v>
      </c>
      <c r="C7267" t="s">
        <v>428</v>
      </c>
      <c r="D7267" s="106">
        <v>10.61</v>
      </c>
    </row>
    <row r="7268" spans="1:4">
      <c r="A7268">
        <v>43054</v>
      </c>
      <c r="B7268" t="s">
        <v>7818</v>
      </c>
      <c r="C7268" t="s">
        <v>430</v>
      </c>
      <c r="D7268" s="106">
        <v>11.25</v>
      </c>
    </row>
    <row r="7269" spans="1:4">
      <c r="A7269">
        <v>42402</v>
      </c>
      <c r="B7269" t="s">
        <v>7819</v>
      </c>
      <c r="C7269" t="s">
        <v>430</v>
      </c>
      <c r="D7269" s="106">
        <v>10.75</v>
      </c>
    </row>
    <row r="7270" spans="1:4">
      <c r="A7270">
        <v>42403</v>
      </c>
      <c r="B7270" t="s">
        <v>7820</v>
      </c>
      <c r="C7270" t="s">
        <v>430</v>
      </c>
      <c r="D7270" s="106">
        <v>13.79</v>
      </c>
    </row>
    <row r="7271" spans="1:4">
      <c r="A7271">
        <v>42404</v>
      </c>
      <c r="B7271" t="s">
        <v>7821</v>
      </c>
      <c r="C7271" t="s">
        <v>430</v>
      </c>
      <c r="D7271" s="106">
        <v>13.71</v>
      </c>
    </row>
    <row r="7272" spans="1:4">
      <c r="A7272">
        <v>42405</v>
      </c>
      <c r="B7272" t="s">
        <v>7822</v>
      </c>
      <c r="C7272" t="s">
        <v>430</v>
      </c>
      <c r="D7272" s="106">
        <v>14.61</v>
      </c>
    </row>
    <row r="7273" spans="1:4">
      <c r="A7273">
        <v>34341</v>
      </c>
      <c r="B7273" t="s">
        <v>7823</v>
      </c>
      <c r="C7273" t="s">
        <v>430</v>
      </c>
      <c r="D7273" s="106">
        <v>12.68</v>
      </c>
    </row>
    <row r="7274" spans="1:4">
      <c r="A7274">
        <v>43053</v>
      </c>
      <c r="B7274" t="s">
        <v>7824</v>
      </c>
      <c r="C7274" t="s">
        <v>430</v>
      </c>
      <c r="D7274" s="106">
        <v>10.050000000000001</v>
      </c>
    </row>
    <row r="7275" spans="1:4">
      <c r="A7275">
        <v>43058</v>
      </c>
      <c r="B7275" t="s">
        <v>7825</v>
      </c>
      <c r="C7275" t="s">
        <v>430</v>
      </c>
      <c r="D7275" s="106">
        <v>10.42</v>
      </c>
    </row>
    <row r="7276" spans="1:4">
      <c r="A7276">
        <v>34</v>
      </c>
      <c r="B7276" t="s">
        <v>7826</v>
      </c>
      <c r="C7276" t="s">
        <v>430</v>
      </c>
      <c r="D7276" s="106">
        <v>10.47</v>
      </c>
    </row>
    <row r="7277" spans="1:4">
      <c r="A7277">
        <v>43055</v>
      </c>
      <c r="B7277" t="s">
        <v>7827</v>
      </c>
      <c r="C7277" t="s">
        <v>430</v>
      </c>
      <c r="D7277" s="106">
        <v>9.07</v>
      </c>
    </row>
    <row r="7278" spans="1:4">
      <c r="A7278">
        <v>43056</v>
      </c>
      <c r="B7278" t="s">
        <v>7828</v>
      </c>
      <c r="C7278" t="s">
        <v>430</v>
      </c>
      <c r="D7278" s="106">
        <v>10.46</v>
      </c>
    </row>
    <row r="7279" spans="1:4">
      <c r="A7279">
        <v>43057</v>
      </c>
      <c r="B7279" t="s">
        <v>7829</v>
      </c>
      <c r="C7279" t="s">
        <v>430</v>
      </c>
      <c r="D7279" s="106">
        <v>11.49</v>
      </c>
    </row>
    <row r="7280" spans="1:4">
      <c r="A7280">
        <v>34449</v>
      </c>
      <c r="B7280" t="s">
        <v>7830</v>
      </c>
      <c r="C7280" t="s">
        <v>430</v>
      </c>
      <c r="D7280" s="106">
        <v>12.28</v>
      </c>
    </row>
    <row r="7281" spans="1:4">
      <c r="A7281">
        <v>32</v>
      </c>
      <c r="B7281" t="s">
        <v>7831</v>
      </c>
      <c r="C7281" t="s">
        <v>430</v>
      </c>
      <c r="D7281" s="106">
        <v>11.05</v>
      </c>
    </row>
    <row r="7282" spans="1:4">
      <c r="A7282">
        <v>33</v>
      </c>
      <c r="B7282" t="s">
        <v>7832</v>
      </c>
      <c r="C7282" t="s">
        <v>430</v>
      </c>
      <c r="D7282" s="106">
        <v>11.11</v>
      </c>
    </row>
    <row r="7283" spans="1:4">
      <c r="A7283">
        <v>43061</v>
      </c>
      <c r="B7283" t="s">
        <v>7833</v>
      </c>
      <c r="C7283" t="s">
        <v>430</v>
      </c>
      <c r="D7283" s="106">
        <v>10.38</v>
      </c>
    </row>
    <row r="7284" spans="1:4">
      <c r="A7284">
        <v>43059</v>
      </c>
      <c r="B7284" t="s">
        <v>7834</v>
      </c>
      <c r="C7284" t="s">
        <v>430</v>
      </c>
      <c r="D7284" s="106">
        <v>9.91</v>
      </c>
    </row>
    <row r="7285" spans="1:4">
      <c r="A7285">
        <v>43062</v>
      </c>
      <c r="B7285" t="s">
        <v>7835</v>
      </c>
      <c r="C7285" t="s">
        <v>430</v>
      </c>
      <c r="D7285" s="106">
        <v>10.98</v>
      </c>
    </row>
    <row r="7286" spans="1:4">
      <c r="A7286">
        <v>43060</v>
      </c>
      <c r="B7286" t="s">
        <v>7836</v>
      </c>
      <c r="C7286" t="s">
        <v>430</v>
      </c>
      <c r="D7286" s="106">
        <v>8.6300000000000008</v>
      </c>
    </row>
    <row r="7287" spans="1:4">
      <c r="A7287">
        <v>20063</v>
      </c>
      <c r="B7287" t="s">
        <v>7837</v>
      </c>
      <c r="C7287" t="s">
        <v>427</v>
      </c>
      <c r="D7287" s="106">
        <v>4.4400000000000004</v>
      </c>
    </row>
    <row r="7288" spans="1:4">
      <c r="A7288">
        <v>40410</v>
      </c>
      <c r="B7288" t="s">
        <v>7838</v>
      </c>
      <c r="C7288" t="s">
        <v>427</v>
      </c>
      <c r="D7288" s="106">
        <v>31.27</v>
      </c>
    </row>
    <row r="7289" spans="1:4">
      <c r="A7289">
        <v>40411</v>
      </c>
      <c r="B7289" t="s">
        <v>7839</v>
      </c>
      <c r="C7289" t="s">
        <v>427</v>
      </c>
      <c r="D7289" s="106">
        <v>33.93</v>
      </c>
    </row>
    <row r="7290" spans="1:4">
      <c r="A7290">
        <v>40412</v>
      </c>
      <c r="B7290" t="s">
        <v>7840</v>
      </c>
      <c r="C7290" t="s">
        <v>427</v>
      </c>
      <c r="D7290" s="106">
        <v>38.090000000000003</v>
      </c>
    </row>
    <row r="7291" spans="1:4">
      <c r="A7291">
        <v>38838</v>
      </c>
      <c r="B7291" t="s">
        <v>7841</v>
      </c>
      <c r="C7291" t="s">
        <v>427</v>
      </c>
      <c r="D7291" s="106">
        <v>11.14</v>
      </c>
    </row>
    <row r="7292" spans="1:4">
      <c r="A7292">
        <v>38839</v>
      </c>
      <c r="B7292" t="s">
        <v>7842</v>
      </c>
      <c r="C7292" t="s">
        <v>427</v>
      </c>
      <c r="D7292" s="106">
        <v>13.11</v>
      </c>
    </row>
    <row r="7293" spans="1:4">
      <c r="A7293">
        <v>55</v>
      </c>
      <c r="B7293" t="s">
        <v>7843</v>
      </c>
      <c r="C7293" t="s">
        <v>427</v>
      </c>
      <c r="D7293" s="106">
        <v>5</v>
      </c>
    </row>
    <row r="7294" spans="1:4">
      <c r="A7294">
        <v>61</v>
      </c>
      <c r="B7294" t="s">
        <v>7844</v>
      </c>
      <c r="C7294" t="s">
        <v>427</v>
      </c>
      <c r="D7294" s="106">
        <v>4.7300000000000004</v>
      </c>
    </row>
    <row r="7295" spans="1:4">
      <c r="A7295">
        <v>62</v>
      </c>
      <c r="B7295" t="s">
        <v>7845</v>
      </c>
      <c r="C7295" t="s">
        <v>427</v>
      </c>
      <c r="D7295" s="106">
        <v>9.8000000000000007</v>
      </c>
    </row>
    <row r="7296" spans="1:4">
      <c r="A7296">
        <v>77</v>
      </c>
      <c r="B7296" t="s">
        <v>7846</v>
      </c>
      <c r="C7296" t="s">
        <v>427</v>
      </c>
      <c r="D7296" s="106">
        <v>1.22</v>
      </c>
    </row>
    <row r="7297" spans="1:4">
      <c r="A7297">
        <v>76</v>
      </c>
      <c r="B7297" t="s">
        <v>7847</v>
      </c>
      <c r="C7297" t="s">
        <v>427</v>
      </c>
      <c r="D7297" s="106">
        <v>1.25</v>
      </c>
    </row>
    <row r="7298" spans="1:4">
      <c r="A7298">
        <v>67</v>
      </c>
      <c r="B7298" t="s">
        <v>7848</v>
      </c>
      <c r="C7298" t="s">
        <v>427</v>
      </c>
      <c r="D7298" s="106">
        <v>12.03</v>
      </c>
    </row>
    <row r="7299" spans="1:4">
      <c r="A7299">
        <v>71</v>
      </c>
      <c r="B7299" t="s">
        <v>7849</v>
      </c>
      <c r="C7299" t="s">
        <v>427</v>
      </c>
      <c r="D7299" s="106">
        <v>22.11</v>
      </c>
    </row>
    <row r="7300" spans="1:4">
      <c r="A7300">
        <v>73</v>
      </c>
      <c r="B7300" t="s">
        <v>7850</v>
      </c>
      <c r="C7300" t="s">
        <v>427</v>
      </c>
      <c r="D7300" s="106">
        <v>16.510000000000002</v>
      </c>
    </row>
    <row r="7301" spans="1:4">
      <c r="A7301">
        <v>103</v>
      </c>
      <c r="B7301" t="s">
        <v>7851</v>
      </c>
      <c r="C7301" t="s">
        <v>427</v>
      </c>
      <c r="D7301" s="106">
        <v>49.11</v>
      </c>
    </row>
    <row r="7302" spans="1:4">
      <c r="A7302">
        <v>107</v>
      </c>
      <c r="B7302" t="s">
        <v>7852</v>
      </c>
      <c r="C7302" t="s">
        <v>427</v>
      </c>
      <c r="D7302" s="106">
        <v>0.77</v>
      </c>
    </row>
    <row r="7303" spans="1:4">
      <c r="A7303">
        <v>65</v>
      </c>
      <c r="B7303" t="s">
        <v>7853</v>
      </c>
      <c r="C7303" t="s">
        <v>427</v>
      </c>
      <c r="D7303" s="106">
        <v>0.95</v>
      </c>
    </row>
    <row r="7304" spans="1:4">
      <c r="A7304">
        <v>108</v>
      </c>
      <c r="B7304" t="s">
        <v>7854</v>
      </c>
      <c r="C7304" t="s">
        <v>427</v>
      </c>
      <c r="D7304" s="106">
        <v>1.96</v>
      </c>
    </row>
    <row r="7305" spans="1:4">
      <c r="A7305">
        <v>110</v>
      </c>
      <c r="B7305" t="s">
        <v>7855</v>
      </c>
      <c r="C7305" t="s">
        <v>427</v>
      </c>
      <c r="D7305" s="106">
        <v>7.58</v>
      </c>
    </row>
    <row r="7306" spans="1:4">
      <c r="A7306">
        <v>109</v>
      </c>
      <c r="B7306" t="s">
        <v>7856</v>
      </c>
      <c r="C7306" t="s">
        <v>427</v>
      </c>
      <c r="D7306" s="106">
        <v>3.74</v>
      </c>
    </row>
    <row r="7307" spans="1:4">
      <c r="A7307">
        <v>111</v>
      </c>
      <c r="B7307" t="s">
        <v>7857</v>
      </c>
      <c r="C7307" t="s">
        <v>427</v>
      </c>
      <c r="D7307" s="106">
        <v>8.74</v>
      </c>
    </row>
    <row r="7308" spans="1:4">
      <c r="A7308">
        <v>112</v>
      </c>
      <c r="B7308" t="s">
        <v>7858</v>
      </c>
      <c r="C7308" t="s">
        <v>427</v>
      </c>
      <c r="D7308" s="106">
        <v>4.76</v>
      </c>
    </row>
    <row r="7309" spans="1:4">
      <c r="A7309">
        <v>113</v>
      </c>
      <c r="B7309" t="s">
        <v>7859</v>
      </c>
      <c r="C7309" t="s">
        <v>427</v>
      </c>
      <c r="D7309" s="106">
        <v>12.92</v>
      </c>
    </row>
    <row r="7310" spans="1:4">
      <c r="A7310">
        <v>104</v>
      </c>
      <c r="B7310" t="s">
        <v>7860</v>
      </c>
      <c r="C7310" t="s">
        <v>427</v>
      </c>
      <c r="D7310" s="106">
        <v>18.79</v>
      </c>
    </row>
    <row r="7311" spans="1:4">
      <c r="A7311">
        <v>102</v>
      </c>
      <c r="B7311" t="s">
        <v>7861</v>
      </c>
      <c r="C7311" t="s">
        <v>427</v>
      </c>
      <c r="D7311" s="106">
        <v>30.84</v>
      </c>
    </row>
    <row r="7312" spans="1:4">
      <c r="A7312">
        <v>95</v>
      </c>
      <c r="B7312" t="s">
        <v>7862</v>
      </c>
      <c r="C7312" t="s">
        <v>427</v>
      </c>
      <c r="D7312" s="106">
        <v>10.44</v>
      </c>
    </row>
    <row r="7313" spans="1:4">
      <c r="A7313">
        <v>96</v>
      </c>
      <c r="B7313" t="s">
        <v>7863</v>
      </c>
      <c r="C7313" t="s">
        <v>427</v>
      </c>
      <c r="D7313" s="106">
        <v>12.01</v>
      </c>
    </row>
    <row r="7314" spans="1:4">
      <c r="A7314">
        <v>97</v>
      </c>
      <c r="B7314" t="s">
        <v>7864</v>
      </c>
      <c r="C7314" t="s">
        <v>427</v>
      </c>
      <c r="D7314" s="106">
        <v>15.59</v>
      </c>
    </row>
    <row r="7315" spans="1:4">
      <c r="A7315">
        <v>98</v>
      </c>
      <c r="B7315" t="s">
        <v>7865</v>
      </c>
      <c r="C7315" t="s">
        <v>427</v>
      </c>
      <c r="D7315" s="106">
        <v>21.01</v>
      </c>
    </row>
    <row r="7316" spans="1:4">
      <c r="A7316">
        <v>99</v>
      </c>
      <c r="B7316" t="s">
        <v>7866</v>
      </c>
      <c r="C7316" t="s">
        <v>427</v>
      </c>
      <c r="D7316" s="106">
        <v>25.49</v>
      </c>
    </row>
    <row r="7317" spans="1:4">
      <c r="A7317">
        <v>100</v>
      </c>
      <c r="B7317" t="s">
        <v>7867</v>
      </c>
      <c r="C7317" t="s">
        <v>427</v>
      </c>
      <c r="D7317" s="106">
        <v>35.56</v>
      </c>
    </row>
    <row r="7318" spans="1:4">
      <c r="A7318">
        <v>75</v>
      </c>
      <c r="B7318" t="s">
        <v>7868</v>
      </c>
      <c r="C7318" t="s">
        <v>427</v>
      </c>
      <c r="D7318" s="106">
        <v>370.58</v>
      </c>
    </row>
    <row r="7319" spans="1:4">
      <c r="A7319">
        <v>114</v>
      </c>
      <c r="B7319" t="s">
        <v>7869</v>
      </c>
      <c r="C7319" t="s">
        <v>427</v>
      </c>
      <c r="D7319" s="106">
        <v>13.5</v>
      </c>
    </row>
    <row r="7320" spans="1:4">
      <c r="A7320">
        <v>68</v>
      </c>
      <c r="B7320" t="s">
        <v>7870</v>
      </c>
      <c r="C7320" t="s">
        <v>427</v>
      </c>
      <c r="D7320" s="106">
        <v>20.65</v>
      </c>
    </row>
    <row r="7321" spans="1:4">
      <c r="A7321">
        <v>86</v>
      </c>
      <c r="B7321" t="s">
        <v>7871</v>
      </c>
      <c r="C7321" t="s">
        <v>427</v>
      </c>
      <c r="D7321" s="106">
        <v>38.39</v>
      </c>
    </row>
    <row r="7322" spans="1:4">
      <c r="A7322">
        <v>66</v>
      </c>
      <c r="B7322" t="s">
        <v>7872</v>
      </c>
      <c r="C7322" t="s">
        <v>427</v>
      </c>
      <c r="D7322" s="106">
        <v>38.520000000000003</v>
      </c>
    </row>
    <row r="7323" spans="1:4">
      <c r="A7323">
        <v>69</v>
      </c>
      <c r="B7323" t="s">
        <v>7873</v>
      </c>
      <c r="C7323" t="s">
        <v>427</v>
      </c>
      <c r="D7323" s="106">
        <v>58.88</v>
      </c>
    </row>
    <row r="7324" spans="1:4">
      <c r="A7324">
        <v>83</v>
      </c>
      <c r="B7324" t="s">
        <v>7874</v>
      </c>
      <c r="C7324" t="s">
        <v>427</v>
      </c>
      <c r="D7324" s="106">
        <v>188.07</v>
      </c>
    </row>
    <row r="7325" spans="1:4">
      <c r="A7325">
        <v>74</v>
      </c>
      <c r="B7325" t="s">
        <v>7875</v>
      </c>
      <c r="C7325" t="s">
        <v>427</v>
      </c>
      <c r="D7325" s="106">
        <v>262.56</v>
      </c>
    </row>
    <row r="7326" spans="1:4">
      <c r="A7326">
        <v>106</v>
      </c>
      <c r="B7326" t="s">
        <v>7876</v>
      </c>
      <c r="C7326" t="s">
        <v>427</v>
      </c>
      <c r="D7326" s="106">
        <v>398.88</v>
      </c>
    </row>
    <row r="7327" spans="1:4">
      <c r="A7327">
        <v>87</v>
      </c>
      <c r="B7327" t="s">
        <v>7877</v>
      </c>
      <c r="C7327" t="s">
        <v>427</v>
      </c>
      <c r="D7327" s="106">
        <v>18.96</v>
      </c>
    </row>
    <row r="7328" spans="1:4">
      <c r="A7328">
        <v>88</v>
      </c>
      <c r="B7328" t="s">
        <v>7878</v>
      </c>
      <c r="C7328" t="s">
        <v>427</v>
      </c>
      <c r="D7328" s="106">
        <v>21.16</v>
      </c>
    </row>
    <row r="7329" spans="1:4">
      <c r="A7329">
        <v>89</v>
      </c>
      <c r="B7329" t="s">
        <v>7879</v>
      </c>
      <c r="C7329" t="s">
        <v>427</v>
      </c>
      <c r="D7329" s="106">
        <v>31.29</v>
      </c>
    </row>
    <row r="7330" spans="1:4">
      <c r="A7330">
        <v>90</v>
      </c>
      <c r="B7330" t="s">
        <v>7880</v>
      </c>
      <c r="C7330" t="s">
        <v>427</v>
      </c>
      <c r="D7330" s="106">
        <v>35.840000000000003</v>
      </c>
    </row>
    <row r="7331" spans="1:4">
      <c r="A7331">
        <v>81</v>
      </c>
      <c r="B7331" t="s">
        <v>7881</v>
      </c>
      <c r="C7331" t="s">
        <v>427</v>
      </c>
      <c r="D7331" s="106">
        <v>61.31</v>
      </c>
    </row>
    <row r="7332" spans="1:4">
      <c r="A7332">
        <v>82</v>
      </c>
      <c r="B7332" t="s">
        <v>7882</v>
      </c>
      <c r="C7332" t="s">
        <v>427</v>
      </c>
      <c r="D7332" s="106">
        <v>238</v>
      </c>
    </row>
    <row r="7333" spans="1:4">
      <c r="A7333">
        <v>105</v>
      </c>
      <c r="B7333" t="s">
        <v>7883</v>
      </c>
      <c r="C7333" t="s">
        <v>427</v>
      </c>
      <c r="D7333" s="106">
        <v>278.64</v>
      </c>
    </row>
    <row r="7334" spans="1:4">
      <c r="A7334">
        <v>60</v>
      </c>
      <c r="B7334" t="s">
        <v>7884</v>
      </c>
      <c r="C7334" t="s">
        <v>427</v>
      </c>
      <c r="D7334" s="106">
        <v>6.49</v>
      </c>
    </row>
    <row r="7335" spans="1:4">
      <c r="A7335">
        <v>72</v>
      </c>
      <c r="B7335" t="s">
        <v>7885</v>
      </c>
      <c r="C7335" t="s">
        <v>427</v>
      </c>
      <c r="D7335" s="106">
        <v>37.479999999999997</v>
      </c>
    </row>
    <row r="7336" spans="1:4">
      <c r="A7336">
        <v>70</v>
      </c>
      <c r="B7336" t="s">
        <v>7886</v>
      </c>
      <c r="C7336" t="s">
        <v>427</v>
      </c>
      <c r="D7336" s="106">
        <v>31.34</v>
      </c>
    </row>
    <row r="7337" spans="1:4">
      <c r="A7337">
        <v>85</v>
      </c>
      <c r="B7337" t="s">
        <v>7887</v>
      </c>
      <c r="C7337" t="s">
        <v>427</v>
      </c>
      <c r="D7337" s="106">
        <v>45.49</v>
      </c>
    </row>
    <row r="7338" spans="1:4">
      <c r="A7338">
        <v>84</v>
      </c>
      <c r="B7338" t="s">
        <v>7888</v>
      </c>
      <c r="C7338" t="s">
        <v>427</v>
      </c>
      <c r="D7338" s="106">
        <v>0.52</v>
      </c>
    </row>
    <row r="7339" spans="1:4">
      <c r="A7339">
        <v>37997</v>
      </c>
      <c r="B7339" t="s">
        <v>7889</v>
      </c>
      <c r="C7339" t="s">
        <v>427</v>
      </c>
      <c r="D7339" s="106">
        <v>8.9499999999999993</v>
      </c>
    </row>
    <row r="7340" spans="1:4">
      <c r="A7340">
        <v>37998</v>
      </c>
      <c r="B7340" t="s">
        <v>7890</v>
      </c>
      <c r="C7340" t="s">
        <v>427</v>
      </c>
      <c r="D7340" s="106">
        <v>9.27</v>
      </c>
    </row>
    <row r="7341" spans="1:4">
      <c r="A7341">
        <v>10899</v>
      </c>
      <c r="B7341" t="s">
        <v>7891</v>
      </c>
      <c r="C7341" t="s">
        <v>427</v>
      </c>
      <c r="D7341" s="106">
        <v>68.12</v>
      </c>
    </row>
    <row r="7342" spans="1:4">
      <c r="A7342">
        <v>10900</v>
      </c>
      <c r="B7342" t="s">
        <v>7892</v>
      </c>
      <c r="C7342" t="s">
        <v>427</v>
      </c>
      <c r="D7342" s="106">
        <v>53.31</v>
      </c>
    </row>
    <row r="7343" spans="1:4">
      <c r="A7343">
        <v>46</v>
      </c>
      <c r="B7343" t="s">
        <v>7893</v>
      </c>
      <c r="C7343" t="s">
        <v>427</v>
      </c>
      <c r="D7343" s="106">
        <v>58.46</v>
      </c>
    </row>
    <row r="7344" spans="1:4">
      <c r="A7344">
        <v>51</v>
      </c>
      <c r="B7344" t="s">
        <v>7894</v>
      </c>
      <c r="C7344" t="s">
        <v>427</v>
      </c>
      <c r="D7344" s="106">
        <v>161.27000000000001</v>
      </c>
    </row>
    <row r="7345" spans="1:4">
      <c r="A7345">
        <v>12863</v>
      </c>
      <c r="B7345" t="s">
        <v>7895</v>
      </c>
      <c r="C7345" t="s">
        <v>427</v>
      </c>
      <c r="D7345" s="106">
        <v>37.14</v>
      </c>
    </row>
    <row r="7346" spans="1:4">
      <c r="A7346">
        <v>50</v>
      </c>
      <c r="B7346" t="s">
        <v>7896</v>
      </c>
      <c r="C7346" t="s">
        <v>427</v>
      </c>
      <c r="D7346" s="106">
        <v>84.21</v>
      </c>
    </row>
    <row r="7347" spans="1:4">
      <c r="A7347">
        <v>47</v>
      </c>
      <c r="B7347" t="s">
        <v>7897</v>
      </c>
      <c r="C7347" t="s">
        <v>427</v>
      </c>
      <c r="D7347" s="106">
        <v>99.95</v>
      </c>
    </row>
    <row r="7348" spans="1:4">
      <c r="A7348">
        <v>48</v>
      </c>
      <c r="B7348" t="s">
        <v>7898</v>
      </c>
      <c r="C7348" t="s">
        <v>427</v>
      </c>
      <c r="D7348" s="106">
        <v>26.07</v>
      </c>
    </row>
    <row r="7349" spans="1:4">
      <c r="A7349">
        <v>52</v>
      </c>
      <c r="B7349" t="s">
        <v>7899</v>
      </c>
      <c r="C7349" t="s">
        <v>427</v>
      </c>
      <c r="D7349" s="106">
        <v>19.809999999999999</v>
      </c>
    </row>
    <row r="7350" spans="1:4">
      <c r="A7350">
        <v>43</v>
      </c>
      <c r="B7350" t="s">
        <v>7900</v>
      </c>
      <c r="C7350" t="s">
        <v>427</v>
      </c>
      <c r="D7350" s="106">
        <v>66.849999999999994</v>
      </c>
    </row>
    <row r="7351" spans="1:4">
      <c r="A7351">
        <v>39719</v>
      </c>
      <c r="B7351" t="s">
        <v>7901</v>
      </c>
      <c r="C7351" t="s">
        <v>428</v>
      </c>
      <c r="D7351" s="106">
        <v>200.15</v>
      </c>
    </row>
    <row r="7352" spans="1:4">
      <c r="A7352">
        <v>3410</v>
      </c>
      <c r="B7352" t="s">
        <v>7902</v>
      </c>
      <c r="C7352" t="s">
        <v>430</v>
      </c>
      <c r="D7352" s="106">
        <v>45.02</v>
      </c>
    </row>
    <row r="7353" spans="1:4">
      <c r="A7353">
        <v>4791</v>
      </c>
      <c r="B7353" t="s">
        <v>7903</v>
      </c>
      <c r="C7353" t="s">
        <v>430</v>
      </c>
      <c r="D7353" s="106">
        <v>19.12</v>
      </c>
    </row>
    <row r="7354" spans="1:4">
      <c r="A7354">
        <v>157</v>
      </c>
      <c r="B7354" t="s">
        <v>7904</v>
      </c>
      <c r="C7354" t="s">
        <v>430</v>
      </c>
      <c r="D7354" s="106">
        <v>113.65</v>
      </c>
    </row>
    <row r="7355" spans="1:4">
      <c r="A7355">
        <v>156</v>
      </c>
      <c r="B7355" t="s">
        <v>7905</v>
      </c>
      <c r="C7355" t="s">
        <v>430</v>
      </c>
      <c r="D7355" s="106">
        <v>40.46</v>
      </c>
    </row>
    <row r="7356" spans="1:4">
      <c r="A7356">
        <v>131</v>
      </c>
      <c r="B7356" t="s">
        <v>7906</v>
      </c>
      <c r="C7356" t="s">
        <v>430</v>
      </c>
      <c r="D7356" s="106">
        <v>34.6</v>
      </c>
    </row>
    <row r="7357" spans="1:4">
      <c r="A7357">
        <v>21114</v>
      </c>
      <c r="B7357" t="s">
        <v>7907</v>
      </c>
      <c r="C7357" t="s">
        <v>427</v>
      </c>
      <c r="D7357" s="106">
        <v>39.450000000000003</v>
      </c>
    </row>
    <row r="7358" spans="1:4">
      <c r="A7358">
        <v>119</v>
      </c>
      <c r="B7358" t="s">
        <v>7908</v>
      </c>
      <c r="C7358" t="s">
        <v>427</v>
      </c>
      <c r="D7358" s="106">
        <v>10</v>
      </c>
    </row>
    <row r="7359" spans="1:4">
      <c r="A7359">
        <v>122</v>
      </c>
      <c r="B7359" t="s">
        <v>7909</v>
      </c>
      <c r="C7359" t="s">
        <v>427</v>
      </c>
      <c r="D7359" s="106">
        <v>76.94</v>
      </c>
    </row>
    <row r="7360" spans="1:4">
      <c r="A7360">
        <v>20080</v>
      </c>
      <c r="B7360" t="s">
        <v>7910</v>
      </c>
      <c r="C7360" t="s">
        <v>427</v>
      </c>
      <c r="D7360" s="106">
        <v>25.11</v>
      </c>
    </row>
    <row r="7361" spans="1:4">
      <c r="A7361">
        <v>124</v>
      </c>
      <c r="B7361" t="s">
        <v>7911</v>
      </c>
      <c r="C7361" t="s">
        <v>428</v>
      </c>
      <c r="D7361" s="106">
        <v>13.34</v>
      </c>
    </row>
    <row r="7362" spans="1:4">
      <c r="A7362">
        <v>7334</v>
      </c>
      <c r="B7362" t="s">
        <v>7912</v>
      </c>
      <c r="C7362" t="s">
        <v>428</v>
      </c>
      <c r="D7362" s="106">
        <v>26.6</v>
      </c>
    </row>
    <row r="7363" spans="1:4">
      <c r="A7363">
        <v>123</v>
      </c>
      <c r="B7363" t="s">
        <v>7913</v>
      </c>
      <c r="C7363" t="s">
        <v>428</v>
      </c>
      <c r="D7363" s="106">
        <v>5.46</v>
      </c>
    </row>
    <row r="7364" spans="1:4">
      <c r="A7364">
        <v>127</v>
      </c>
      <c r="B7364" t="s">
        <v>7914</v>
      </c>
      <c r="C7364" t="s">
        <v>428</v>
      </c>
      <c r="D7364" s="106">
        <v>13.03</v>
      </c>
    </row>
    <row r="7365" spans="1:4">
      <c r="A7365">
        <v>41373</v>
      </c>
      <c r="B7365" t="s">
        <v>7915</v>
      </c>
      <c r="C7365" t="s">
        <v>428</v>
      </c>
      <c r="D7365" s="106">
        <v>18.16</v>
      </c>
    </row>
    <row r="7366" spans="1:4">
      <c r="A7366">
        <v>133</v>
      </c>
      <c r="B7366" t="s">
        <v>7916</v>
      </c>
      <c r="C7366" t="s">
        <v>428</v>
      </c>
      <c r="D7366" s="106">
        <v>5.41</v>
      </c>
    </row>
    <row r="7367" spans="1:4">
      <c r="A7367">
        <v>43617</v>
      </c>
      <c r="B7367" t="s">
        <v>7917</v>
      </c>
      <c r="C7367" t="s">
        <v>428</v>
      </c>
      <c r="D7367" s="106">
        <v>6.05</v>
      </c>
    </row>
    <row r="7368" spans="1:4">
      <c r="A7368">
        <v>132</v>
      </c>
      <c r="B7368" t="s">
        <v>7918</v>
      </c>
      <c r="C7368" t="s">
        <v>428</v>
      </c>
      <c r="D7368" s="106">
        <v>5.61</v>
      </c>
    </row>
    <row r="7369" spans="1:4">
      <c r="A7369">
        <v>43618</v>
      </c>
      <c r="B7369" t="s">
        <v>7919</v>
      </c>
      <c r="C7369" t="s">
        <v>430</v>
      </c>
      <c r="D7369" s="106">
        <v>14.13</v>
      </c>
    </row>
    <row r="7370" spans="1:4">
      <c r="A7370">
        <v>37476</v>
      </c>
      <c r="B7370" t="s">
        <v>7920</v>
      </c>
      <c r="C7370" t="s">
        <v>427</v>
      </c>
      <c r="D7370" s="107">
        <v>3261.17</v>
      </c>
    </row>
    <row r="7371" spans="1:4">
      <c r="A7371">
        <v>37478</v>
      </c>
      <c r="B7371" t="s">
        <v>7921</v>
      </c>
      <c r="C7371" t="s">
        <v>427</v>
      </c>
      <c r="D7371" s="107">
        <v>4084.7</v>
      </c>
    </row>
    <row r="7372" spans="1:4">
      <c r="A7372">
        <v>37477</v>
      </c>
      <c r="B7372" t="s">
        <v>7922</v>
      </c>
      <c r="C7372" t="s">
        <v>427</v>
      </c>
      <c r="D7372" s="107">
        <v>5534.11</v>
      </c>
    </row>
    <row r="7373" spans="1:4">
      <c r="A7373">
        <v>37479</v>
      </c>
      <c r="B7373" t="s">
        <v>7923</v>
      </c>
      <c r="C7373" t="s">
        <v>427</v>
      </c>
      <c r="D7373" s="107">
        <v>6563.52</v>
      </c>
    </row>
    <row r="7374" spans="1:4">
      <c r="A7374">
        <v>4319</v>
      </c>
      <c r="B7374" t="s">
        <v>7924</v>
      </c>
      <c r="C7374" t="s">
        <v>427</v>
      </c>
      <c r="D7374" s="106">
        <v>1.72</v>
      </c>
    </row>
    <row r="7375" spans="1:4">
      <c r="A7375">
        <v>42409</v>
      </c>
      <c r="B7375" t="s">
        <v>7925</v>
      </c>
      <c r="C7375" t="s">
        <v>430</v>
      </c>
      <c r="D7375" s="106">
        <v>8.89</v>
      </c>
    </row>
    <row r="7376" spans="1:4">
      <c r="A7376">
        <v>40553</v>
      </c>
      <c r="B7376" t="s">
        <v>7926</v>
      </c>
      <c r="C7376" t="s">
        <v>431</v>
      </c>
      <c r="D7376" s="106">
        <v>40.58</v>
      </c>
    </row>
    <row r="7377" spans="1:4">
      <c r="A7377">
        <v>6114</v>
      </c>
      <c r="B7377" t="s">
        <v>13407</v>
      </c>
      <c r="C7377" t="s">
        <v>432</v>
      </c>
      <c r="D7377" s="106">
        <v>11.83</v>
      </c>
    </row>
    <row r="7378" spans="1:4">
      <c r="A7378">
        <v>40912</v>
      </c>
      <c r="B7378" t="s">
        <v>7927</v>
      </c>
      <c r="C7378" t="s">
        <v>433</v>
      </c>
      <c r="D7378" s="107">
        <v>2094.4499999999998</v>
      </c>
    </row>
    <row r="7379" spans="1:4">
      <c r="A7379">
        <v>247</v>
      </c>
      <c r="B7379" t="s">
        <v>7928</v>
      </c>
      <c r="C7379" t="s">
        <v>432</v>
      </c>
      <c r="D7379" s="106">
        <v>11.58</v>
      </c>
    </row>
    <row r="7380" spans="1:4">
      <c r="A7380">
        <v>40919</v>
      </c>
      <c r="B7380" t="s">
        <v>7929</v>
      </c>
      <c r="C7380" t="s">
        <v>433</v>
      </c>
      <c r="D7380" s="107">
        <v>2046.78</v>
      </c>
    </row>
    <row r="7381" spans="1:4">
      <c r="A7381">
        <v>40984</v>
      </c>
      <c r="B7381" t="s">
        <v>7930</v>
      </c>
      <c r="C7381" t="s">
        <v>433</v>
      </c>
      <c r="D7381" s="107">
        <v>1504.49</v>
      </c>
    </row>
    <row r="7382" spans="1:4">
      <c r="A7382">
        <v>44499</v>
      </c>
      <c r="B7382" t="s">
        <v>13408</v>
      </c>
      <c r="C7382" t="s">
        <v>432</v>
      </c>
      <c r="D7382" s="106">
        <v>8.51</v>
      </c>
    </row>
    <row r="7383" spans="1:4">
      <c r="A7383">
        <v>248</v>
      </c>
      <c r="B7383" t="s">
        <v>13409</v>
      </c>
      <c r="C7383" t="s">
        <v>432</v>
      </c>
      <c r="D7383" s="106">
        <v>11.83</v>
      </c>
    </row>
    <row r="7384" spans="1:4">
      <c r="A7384">
        <v>41086</v>
      </c>
      <c r="B7384" t="s">
        <v>7931</v>
      </c>
      <c r="C7384" t="s">
        <v>433</v>
      </c>
      <c r="D7384" s="107">
        <v>2094.4499999999998</v>
      </c>
    </row>
    <row r="7385" spans="1:4">
      <c r="A7385">
        <v>34466</v>
      </c>
      <c r="B7385" t="s">
        <v>20477</v>
      </c>
      <c r="C7385" t="s">
        <v>432</v>
      </c>
      <c r="D7385" s="106">
        <v>12.82</v>
      </c>
    </row>
    <row r="7386" spans="1:4">
      <c r="A7386">
        <v>41083</v>
      </c>
      <c r="B7386" t="s">
        <v>7932</v>
      </c>
      <c r="C7386" t="s">
        <v>433</v>
      </c>
      <c r="D7386" s="107">
        <v>2268.0700000000002</v>
      </c>
    </row>
    <row r="7387" spans="1:4">
      <c r="A7387">
        <v>252</v>
      </c>
      <c r="B7387" t="s">
        <v>13410</v>
      </c>
      <c r="C7387" t="s">
        <v>432</v>
      </c>
      <c r="D7387" s="106">
        <v>12.82</v>
      </c>
    </row>
    <row r="7388" spans="1:4">
      <c r="A7388">
        <v>40909</v>
      </c>
      <c r="B7388" t="s">
        <v>7933</v>
      </c>
      <c r="C7388" t="s">
        <v>433</v>
      </c>
      <c r="D7388" s="107">
        <v>2268.0700000000002</v>
      </c>
    </row>
    <row r="7389" spans="1:4">
      <c r="A7389">
        <v>242</v>
      </c>
      <c r="B7389" t="s">
        <v>7934</v>
      </c>
      <c r="C7389" t="s">
        <v>432</v>
      </c>
      <c r="D7389" s="106">
        <v>12.82</v>
      </c>
    </row>
    <row r="7390" spans="1:4">
      <c r="A7390">
        <v>41085</v>
      </c>
      <c r="B7390" t="s">
        <v>7935</v>
      </c>
      <c r="C7390" t="s">
        <v>433</v>
      </c>
      <c r="D7390" s="107">
        <v>2266.7600000000002</v>
      </c>
    </row>
    <row r="7391" spans="1:4">
      <c r="A7391">
        <v>427</v>
      </c>
      <c r="B7391" t="s">
        <v>7936</v>
      </c>
      <c r="C7391" t="s">
        <v>427</v>
      </c>
      <c r="D7391" s="106">
        <v>8.73</v>
      </c>
    </row>
    <row r="7392" spans="1:4">
      <c r="A7392">
        <v>417</v>
      </c>
      <c r="B7392" t="s">
        <v>7937</v>
      </c>
      <c r="C7392" t="s">
        <v>427</v>
      </c>
      <c r="D7392" s="106">
        <v>4.1100000000000003</v>
      </c>
    </row>
    <row r="7393" spans="1:4">
      <c r="A7393">
        <v>11273</v>
      </c>
      <c r="B7393" t="s">
        <v>7938</v>
      </c>
      <c r="C7393" t="s">
        <v>427</v>
      </c>
      <c r="D7393" s="106">
        <v>12.77</v>
      </c>
    </row>
    <row r="7394" spans="1:4">
      <c r="A7394">
        <v>11272</v>
      </c>
      <c r="B7394" t="s">
        <v>7939</v>
      </c>
      <c r="C7394" t="s">
        <v>427</v>
      </c>
      <c r="D7394" s="106">
        <v>7.71</v>
      </c>
    </row>
    <row r="7395" spans="1:4">
      <c r="A7395">
        <v>11275</v>
      </c>
      <c r="B7395" t="s">
        <v>7940</v>
      </c>
      <c r="C7395" t="s">
        <v>427</v>
      </c>
      <c r="D7395" s="106">
        <v>3.09</v>
      </c>
    </row>
    <row r="7396" spans="1:4">
      <c r="A7396">
        <v>11274</v>
      </c>
      <c r="B7396" t="s">
        <v>7941</v>
      </c>
      <c r="C7396" t="s">
        <v>427</v>
      </c>
      <c r="D7396" s="106">
        <v>2.36</v>
      </c>
    </row>
    <row r="7397" spans="1:4">
      <c r="A7397">
        <v>38470</v>
      </c>
      <c r="B7397" t="s">
        <v>7942</v>
      </c>
      <c r="C7397" t="s">
        <v>427</v>
      </c>
      <c r="D7397" s="106">
        <v>41.6</v>
      </c>
    </row>
    <row r="7398" spans="1:4">
      <c r="A7398">
        <v>38547</v>
      </c>
      <c r="B7398" t="s">
        <v>7943</v>
      </c>
      <c r="C7398" t="s">
        <v>427</v>
      </c>
      <c r="D7398" s="106">
        <v>113.52</v>
      </c>
    </row>
    <row r="7399" spans="1:4">
      <c r="A7399">
        <v>38469</v>
      </c>
      <c r="B7399" t="s">
        <v>7944</v>
      </c>
      <c r="C7399" t="s">
        <v>427</v>
      </c>
      <c r="D7399" s="106">
        <v>122.06</v>
      </c>
    </row>
    <row r="7400" spans="1:4">
      <c r="A7400">
        <v>38467</v>
      </c>
      <c r="B7400" t="s">
        <v>7945</v>
      </c>
      <c r="C7400" t="s">
        <v>427</v>
      </c>
      <c r="D7400" s="106">
        <v>68.680000000000007</v>
      </c>
    </row>
    <row r="7401" spans="1:4">
      <c r="A7401">
        <v>38468</v>
      </c>
      <c r="B7401" t="s">
        <v>7946</v>
      </c>
      <c r="C7401" t="s">
        <v>427</v>
      </c>
      <c r="D7401" s="106">
        <v>75.58</v>
      </c>
    </row>
    <row r="7402" spans="1:4">
      <c r="A7402">
        <v>38471</v>
      </c>
      <c r="B7402" t="s">
        <v>7947</v>
      </c>
      <c r="C7402" t="s">
        <v>427</v>
      </c>
      <c r="D7402" s="106">
        <v>98.15</v>
      </c>
    </row>
    <row r="7403" spans="1:4">
      <c r="A7403">
        <v>37370</v>
      </c>
      <c r="B7403" t="s">
        <v>7948</v>
      </c>
      <c r="C7403" t="s">
        <v>432</v>
      </c>
      <c r="D7403" s="106">
        <v>1.52</v>
      </c>
    </row>
    <row r="7404" spans="1:4">
      <c r="A7404">
        <v>40862</v>
      </c>
      <c r="B7404" t="s">
        <v>7949</v>
      </c>
      <c r="C7404" t="s">
        <v>433</v>
      </c>
      <c r="D7404" s="106">
        <v>286.18</v>
      </c>
    </row>
    <row r="7405" spans="1:4">
      <c r="A7405">
        <v>10658</v>
      </c>
      <c r="B7405" t="s">
        <v>7950</v>
      </c>
      <c r="C7405" t="s">
        <v>427</v>
      </c>
      <c r="D7405" s="107">
        <v>7309.5</v>
      </c>
    </row>
    <row r="7406" spans="1:4">
      <c r="A7406">
        <v>253</v>
      </c>
      <c r="B7406" t="s">
        <v>7951</v>
      </c>
      <c r="C7406" t="s">
        <v>432</v>
      </c>
      <c r="D7406" s="106">
        <v>15.93</v>
      </c>
    </row>
    <row r="7407" spans="1:4">
      <c r="A7407">
        <v>40809</v>
      </c>
      <c r="B7407" t="s">
        <v>7952</v>
      </c>
      <c r="C7407" t="s">
        <v>433</v>
      </c>
      <c r="D7407" s="107">
        <v>2814.94</v>
      </c>
    </row>
    <row r="7408" spans="1:4">
      <c r="A7408">
        <v>42428</v>
      </c>
      <c r="B7408" t="s">
        <v>7953</v>
      </c>
      <c r="C7408" t="s">
        <v>427</v>
      </c>
      <c r="D7408" s="107">
        <v>2230</v>
      </c>
    </row>
    <row r="7409" spans="1:4">
      <c r="A7409">
        <v>583</v>
      </c>
      <c r="B7409" t="s">
        <v>7954</v>
      </c>
      <c r="C7409" t="s">
        <v>430</v>
      </c>
      <c r="D7409" s="106">
        <v>46.64</v>
      </c>
    </row>
    <row r="7410" spans="1:4">
      <c r="A7410">
        <v>301</v>
      </c>
      <c r="B7410" t="s">
        <v>7955</v>
      </c>
      <c r="C7410" t="s">
        <v>427</v>
      </c>
      <c r="D7410" s="106">
        <v>4.84</v>
      </c>
    </row>
    <row r="7411" spans="1:4">
      <c r="A7411">
        <v>296</v>
      </c>
      <c r="B7411" t="s">
        <v>13411</v>
      </c>
      <c r="C7411" t="s">
        <v>427</v>
      </c>
      <c r="D7411" s="106">
        <v>2.73</v>
      </c>
    </row>
    <row r="7412" spans="1:4">
      <c r="A7412">
        <v>297</v>
      </c>
      <c r="B7412" t="s">
        <v>13412</v>
      </c>
      <c r="C7412" t="s">
        <v>427</v>
      </c>
      <c r="D7412" s="106">
        <v>4.0199999999999996</v>
      </c>
    </row>
    <row r="7413" spans="1:4">
      <c r="A7413">
        <v>299</v>
      </c>
      <c r="B7413" t="s">
        <v>13413</v>
      </c>
      <c r="C7413" t="s">
        <v>427</v>
      </c>
      <c r="D7413" s="106">
        <v>5.68</v>
      </c>
    </row>
    <row r="7414" spans="1:4">
      <c r="A7414">
        <v>300</v>
      </c>
      <c r="B7414" t="s">
        <v>7956</v>
      </c>
      <c r="C7414" t="s">
        <v>427</v>
      </c>
      <c r="D7414" s="106">
        <v>19.649999999999999</v>
      </c>
    </row>
    <row r="7415" spans="1:4">
      <c r="A7415">
        <v>20085</v>
      </c>
      <c r="B7415" t="s">
        <v>7957</v>
      </c>
      <c r="C7415" t="s">
        <v>427</v>
      </c>
      <c r="D7415" s="106">
        <v>3.59</v>
      </c>
    </row>
    <row r="7416" spans="1:4">
      <c r="A7416">
        <v>298</v>
      </c>
      <c r="B7416" t="s">
        <v>13414</v>
      </c>
      <c r="C7416" t="s">
        <v>427</v>
      </c>
      <c r="D7416" s="106">
        <v>4.3600000000000003</v>
      </c>
    </row>
    <row r="7417" spans="1:4">
      <c r="A7417">
        <v>311</v>
      </c>
      <c r="B7417" t="s">
        <v>7958</v>
      </c>
      <c r="C7417" t="s">
        <v>427</v>
      </c>
      <c r="D7417" s="106">
        <v>16.2</v>
      </c>
    </row>
    <row r="7418" spans="1:4">
      <c r="A7418">
        <v>318</v>
      </c>
      <c r="B7418" t="s">
        <v>7959</v>
      </c>
      <c r="C7418" t="s">
        <v>427</v>
      </c>
      <c r="D7418" s="106">
        <v>32.630000000000003</v>
      </c>
    </row>
    <row r="7419" spans="1:4">
      <c r="A7419">
        <v>319</v>
      </c>
      <c r="B7419" t="s">
        <v>7960</v>
      </c>
      <c r="C7419" t="s">
        <v>427</v>
      </c>
      <c r="D7419" s="106">
        <v>51.16</v>
      </c>
    </row>
    <row r="7420" spans="1:4">
      <c r="A7420">
        <v>303</v>
      </c>
      <c r="B7420" t="s">
        <v>7961</v>
      </c>
      <c r="C7420" t="s">
        <v>427</v>
      </c>
      <c r="D7420" s="106">
        <v>5.36</v>
      </c>
    </row>
    <row r="7421" spans="1:4">
      <c r="A7421">
        <v>305</v>
      </c>
      <c r="B7421" t="s">
        <v>7962</v>
      </c>
      <c r="C7421" t="s">
        <v>427</v>
      </c>
      <c r="D7421" s="106">
        <v>16.87</v>
      </c>
    </row>
    <row r="7422" spans="1:4">
      <c r="A7422">
        <v>306</v>
      </c>
      <c r="B7422" t="s">
        <v>7963</v>
      </c>
      <c r="C7422" t="s">
        <v>427</v>
      </c>
      <c r="D7422" s="106">
        <v>25.58</v>
      </c>
    </row>
    <row r="7423" spans="1:4">
      <c r="A7423">
        <v>307</v>
      </c>
      <c r="B7423" t="s">
        <v>7964</v>
      </c>
      <c r="C7423" t="s">
        <v>427</v>
      </c>
      <c r="D7423" s="106">
        <v>64.63</v>
      </c>
    </row>
    <row r="7424" spans="1:4">
      <c r="A7424">
        <v>309</v>
      </c>
      <c r="B7424" t="s">
        <v>7965</v>
      </c>
      <c r="C7424" t="s">
        <v>427</v>
      </c>
      <c r="D7424" s="106">
        <v>105.87</v>
      </c>
    </row>
    <row r="7425" spans="1:4">
      <c r="A7425">
        <v>310</v>
      </c>
      <c r="B7425" t="s">
        <v>7966</v>
      </c>
      <c r="C7425" t="s">
        <v>427</v>
      </c>
      <c r="D7425" s="106">
        <v>146.72999999999999</v>
      </c>
    </row>
    <row r="7426" spans="1:4">
      <c r="A7426">
        <v>328</v>
      </c>
      <c r="B7426" t="s">
        <v>7967</v>
      </c>
      <c r="C7426" t="s">
        <v>427</v>
      </c>
      <c r="D7426" s="106">
        <v>12.83</v>
      </c>
    </row>
    <row r="7427" spans="1:4">
      <c r="A7427">
        <v>325</v>
      </c>
      <c r="B7427" t="s">
        <v>7968</v>
      </c>
      <c r="C7427" t="s">
        <v>427</v>
      </c>
      <c r="D7427" s="106">
        <v>3.78</v>
      </c>
    </row>
    <row r="7428" spans="1:4">
      <c r="A7428">
        <v>20326</v>
      </c>
      <c r="B7428" t="s">
        <v>7969</v>
      </c>
      <c r="C7428" t="s">
        <v>427</v>
      </c>
      <c r="D7428" s="106">
        <v>6.92</v>
      </c>
    </row>
    <row r="7429" spans="1:4">
      <c r="A7429">
        <v>329</v>
      </c>
      <c r="B7429" t="s">
        <v>7970</v>
      </c>
      <c r="C7429" t="s">
        <v>427</v>
      </c>
      <c r="D7429" s="106">
        <v>10.73</v>
      </c>
    </row>
    <row r="7430" spans="1:4">
      <c r="A7430">
        <v>308</v>
      </c>
      <c r="B7430" t="s">
        <v>7971</v>
      </c>
      <c r="C7430" t="s">
        <v>427</v>
      </c>
      <c r="D7430" s="106">
        <v>144.24</v>
      </c>
    </row>
    <row r="7431" spans="1:4">
      <c r="A7431">
        <v>39642</v>
      </c>
      <c r="B7431" t="s">
        <v>13415</v>
      </c>
      <c r="C7431" t="s">
        <v>427</v>
      </c>
      <c r="D7431" s="106">
        <v>4.75</v>
      </c>
    </row>
    <row r="7432" spans="1:4">
      <c r="A7432">
        <v>39641</v>
      </c>
      <c r="B7432" t="s">
        <v>13416</v>
      </c>
      <c r="C7432" t="s">
        <v>427</v>
      </c>
      <c r="D7432" s="106">
        <v>4.17</v>
      </c>
    </row>
    <row r="7433" spans="1:4">
      <c r="A7433">
        <v>39643</v>
      </c>
      <c r="B7433" t="s">
        <v>13417</v>
      </c>
      <c r="C7433" t="s">
        <v>427</v>
      </c>
      <c r="D7433" s="106">
        <v>5.58</v>
      </c>
    </row>
    <row r="7434" spans="1:4">
      <c r="A7434">
        <v>39644</v>
      </c>
      <c r="B7434" t="s">
        <v>13418</v>
      </c>
      <c r="C7434" t="s">
        <v>427</v>
      </c>
      <c r="D7434" s="106">
        <v>8.65</v>
      </c>
    </row>
    <row r="7435" spans="1:4">
      <c r="A7435">
        <v>39645</v>
      </c>
      <c r="B7435" t="s">
        <v>13419</v>
      </c>
      <c r="C7435" t="s">
        <v>427</v>
      </c>
      <c r="D7435" s="106">
        <v>9.48</v>
      </c>
    </row>
    <row r="7436" spans="1:4">
      <c r="A7436">
        <v>41610</v>
      </c>
      <c r="B7436" t="s">
        <v>7972</v>
      </c>
      <c r="C7436" t="s">
        <v>427</v>
      </c>
      <c r="D7436" s="106">
        <v>605.03</v>
      </c>
    </row>
    <row r="7437" spans="1:4">
      <c r="A7437">
        <v>41611</v>
      </c>
      <c r="B7437" t="s">
        <v>7973</v>
      </c>
      <c r="C7437" t="s">
        <v>427</v>
      </c>
      <c r="D7437" s="106">
        <v>953.64</v>
      </c>
    </row>
    <row r="7438" spans="1:4">
      <c r="A7438">
        <v>41612</v>
      </c>
      <c r="B7438" t="s">
        <v>7974</v>
      </c>
      <c r="C7438" t="s">
        <v>427</v>
      </c>
      <c r="D7438" s="107">
        <v>1339.05</v>
      </c>
    </row>
    <row r="7439" spans="1:4">
      <c r="A7439">
        <v>41637</v>
      </c>
      <c r="B7439" t="s">
        <v>7975</v>
      </c>
      <c r="C7439" t="s">
        <v>427</v>
      </c>
      <c r="D7439" s="106">
        <v>125.17</v>
      </c>
    </row>
    <row r="7440" spans="1:4">
      <c r="A7440">
        <v>41638</v>
      </c>
      <c r="B7440" t="s">
        <v>7976</v>
      </c>
      <c r="C7440" t="s">
        <v>427</v>
      </c>
      <c r="D7440" s="106">
        <v>163.05000000000001</v>
      </c>
    </row>
    <row r="7441" spans="1:4">
      <c r="A7441">
        <v>41639</v>
      </c>
      <c r="B7441" t="s">
        <v>7977</v>
      </c>
      <c r="C7441" t="s">
        <v>427</v>
      </c>
      <c r="D7441" s="106">
        <v>394.47</v>
      </c>
    </row>
    <row r="7442" spans="1:4">
      <c r="A7442">
        <v>11789</v>
      </c>
      <c r="B7442" t="s">
        <v>7978</v>
      </c>
      <c r="C7442" t="s">
        <v>427</v>
      </c>
      <c r="D7442" s="106">
        <v>1.1599999999999999</v>
      </c>
    </row>
    <row r="7443" spans="1:4">
      <c r="A7443">
        <v>20975</v>
      </c>
      <c r="B7443" t="s">
        <v>7979</v>
      </c>
      <c r="C7443" t="s">
        <v>427</v>
      </c>
      <c r="D7443" s="106">
        <v>10.68</v>
      </c>
    </row>
    <row r="7444" spans="1:4">
      <c r="A7444">
        <v>20976</v>
      </c>
      <c r="B7444" t="s">
        <v>7980</v>
      </c>
      <c r="C7444" t="s">
        <v>427</v>
      </c>
      <c r="D7444" s="106">
        <v>16.14</v>
      </c>
    </row>
    <row r="7445" spans="1:4">
      <c r="A7445">
        <v>40340</v>
      </c>
      <c r="B7445" t="s">
        <v>13420</v>
      </c>
      <c r="C7445" t="s">
        <v>427</v>
      </c>
      <c r="D7445" s="106">
        <v>35.6</v>
      </c>
    </row>
    <row r="7446" spans="1:4">
      <c r="A7446">
        <v>40341</v>
      </c>
      <c r="B7446" t="s">
        <v>13421</v>
      </c>
      <c r="C7446" t="s">
        <v>427</v>
      </c>
      <c r="D7446" s="106">
        <v>42.49</v>
      </c>
    </row>
    <row r="7447" spans="1:4">
      <c r="A7447">
        <v>40342</v>
      </c>
      <c r="B7447" t="s">
        <v>13422</v>
      </c>
      <c r="C7447" t="s">
        <v>427</v>
      </c>
      <c r="D7447" s="106">
        <v>50.68</v>
      </c>
    </row>
    <row r="7448" spans="1:4">
      <c r="A7448">
        <v>40343</v>
      </c>
      <c r="B7448" t="s">
        <v>13423</v>
      </c>
      <c r="C7448" t="s">
        <v>427</v>
      </c>
      <c r="D7448" s="106">
        <v>60.11</v>
      </c>
    </row>
    <row r="7449" spans="1:4">
      <c r="A7449">
        <v>40344</v>
      </c>
      <c r="B7449" t="s">
        <v>13424</v>
      </c>
      <c r="C7449" t="s">
        <v>427</v>
      </c>
      <c r="D7449" s="106">
        <v>81.94</v>
      </c>
    </row>
    <row r="7450" spans="1:4">
      <c r="A7450">
        <v>40345</v>
      </c>
      <c r="B7450" t="s">
        <v>13425</v>
      </c>
      <c r="C7450" t="s">
        <v>427</v>
      </c>
      <c r="D7450" s="106">
        <v>100.97</v>
      </c>
    </row>
    <row r="7451" spans="1:4">
      <c r="A7451">
        <v>40346</v>
      </c>
      <c r="B7451" t="s">
        <v>13426</v>
      </c>
      <c r="C7451" t="s">
        <v>427</v>
      </c>
      <c r="D7451" s="106">
        <v>117.12</v>
      </c>
    </row>
    <row r="7452" spans="1:4">
      <c r="A7452">
        <v>40347</v>
      </c>
      <c r="B7452" t="s">
        <v>13427</v>
      </c>
      <c r="C7452" t="s">
        <v>427</v>
      </c>
      <c r="D7452" s="106">
        <v>147.16</v>
      </c>
    </row>
    <row r="7453" spans="1:4">
      <c r="A7453">
        <v>6138</v>
      </c>
      <c r="B7453" t="s">
        <v>7981</v>
      </c>
      <c r="C7453" t="s">
        <v>427</v>
      </c>
      <c r="D7453" s="106">
        <v>11.55</v>
      </c>
    </row>
    <row r="7454" spans="1:4">
      <c r="A7454">
        <v>38840</v>
      </c>
      <c r="B7454" t="s">
        <v>7982</v>
      </c>
      <c r="C7454" t="s">
        <v>427</v>
      </c>
      <c r="D7454" s="106">
        <v>3.12</v>
      </c>
    </row>
    <row r="7455" spans="1:4">
      <c r="A7455">
        <v>38841</v>
      </c>
      <c r="B7455" t="s">
        <v>7983</v>
      </c>
      <c r="C7455" t="s">
        <v>427</v>
      </c>
      <c r="D7455" s="106">
        <v>3.46</v>
      </c>
    </row>
    <row r="7456" spans="1:4">
      <c r="A7456">
        <v>38842</v>
      </c>
      <c r="B7456" t="s">
        <v>7984</v>
      </c>
      <c r="C7456" t="s">
        <v>427</v>
      </c>
      <c r="D7456" s="106">
        <v>6.83</v>
      </c>
    </row>
    <row r="7457" spans="1:4">
      <c r="A7457">
        <v>38843</v>
      </c>
      <c r="B7457" t="s">
        <v>7985</v>
      </c>
      <c r="C7457" t="s">
        <v>427</v>
      </c>
      <c r="D7457" s="106">
        <v>10.68</v>
      </c>
    </row>
    <row r="7458" spans="1:4">
      <c r="A7458">
        <v>43424</v>
      </c>
      <c r="B7458" t="s">
        <v>7986</v>
      </c>
      <c r="C7458" t="s">
        <v>427</v>
      </c>
      <c r="D7458" s="106">
        <v>506.91</v>
      </c>
    </row>
    <row r="7459" spans="1:4">
      <c r="A7459">
        <v>43426</v>
      </c>
      <c r="B7459" t="s">
        <v>7987</v>
      </c>
      <c r="C7459" t="s">
        <v>427</v>
      </c>
      <c r="D7459" s="107">
        <v>1748.35</v>
      </c>
    </row>
    <row r="7460" spans="1:4">
      <c r="A7460">
        <v>12565</v>
      </c>
      <c r="B7460" t="s">
        <v>7988</v>
      </c>
      <c r="C7460" t="s">
        <v>427</v>
      </c>
      <c r="D7460" s="106">
        <v>613.12</v>
      </c>
    </row>
    <row r="7461" spans="1:4">
      <c r="A7461">
        <v>12567</v>
      </c>
      <c r="B7461" t="s">
        <v>7989</v>
      </c>
      <c r="C7461" t="s">
        <v>427</v>
      </c>
      <c r="D7461" s="106">
        <v>823.52</v>
      </c>
    </row>
    <row r="7462" spans="1:4">
      <c r="A7462">
        <v>12568</v>
      </c>
      <c r="B7462" t="s">
        <v>7990</v>
      </c>
      <c r="C7462" t="s">
        <v>427</v>
      </c>
      <c r="D7462" s="107">
        <v>1152.94</v>
      </c>
    </row>
    <row r="7463" spans="1:4">
      <c r="A7463">
        <v>43441</v>
      </c>
      <c r="B7463" t="s">
        <v>7991</v>
      </c>
      <c r="C7463" t="s">
        <v>427</v>
      </c>
      <c r="D7463" s="106">
        <v>148.22999999999999</v>
      </c>
    </row>
    <row r="7464" spans="1:4">
      <c r="A7464">
        <v>43423</v>
      </c>
      <c r="B7464" t="s">
        <v>7992</v>
      </c>
      <c r="C7464" t="s">
        <v>427</v>
      </c>
      <c r="D7464" s="106">
        <v>69.17</v>
      </c>
    </row>
    <row r="7465" spans="1:4">
      <c r="A7465">
        <v>12532</v>
      </c>
      <c r="B7465" t="s">
        <v>7993</v>
      </c>
      <c r="C7465" t="s">
        <v>427</v>
      </c>
      <c r="D7465" s="106">
        <v>106.68</v>
      </c>
    </row>
    <row r="7466" spans="1:4">
      <c r="A7466">
        <v>43444</v>
      </c>
      <c r="B7466" t="s">
        <v>7994</v>
      </c>
      <c r="C7466" t="s">
        <v>427</v>
      </c>
      <c r="D7466" s="106">
        <v>358.23</v>
      </c>
    </row>
    <row r="7467" spans="1:4">
      <c r="A7467">
        <v>12551</v>
      </c>
      <c r="B7467" t="s">
        <v>7995</v>
      </c>
      <c r="C7467" t="s">
        <v>427</v>
      </c>
      <c r="D7467" s="106">
        <v>255.59</v>
      </c>
    </row>
    <row r="7468" spans="1:4">
      <c r="A7468">
        <v>43442</v>
      </c>
      <c r="B7468" t="s">
        <v>7996</v>
      </c>
      <c r="C7468" t="s">
        <v>427</v>
      </c>
      <c r="D7468" s="106">
        <v>197.64</v>
      </c>
    </row>
    <row r="7469" spans="1:4">
      <c r="A7469">
        <v>43443</v>
      </c>
      <c r="B7469" t="s">
        <v>7997</v>
      </c>
      <c r="C7469" t="s">
        <v>427</v>
      </c>
      <c r="D7469" s="106">
        <v>259.41000000000003</v>
      </c>
    </row>
    <row r="7470" spans="1:4">
      <c r="A7470">
        <v>12544</v>
      </c>
      <c r="B7470" t="s">
        <v>7998</v>
      </c>
      <c r="C7470" t="s">
        <v>427</v>
      </c>
      <c r="D7470" s="106">
        <v>139.99</v>
      </c>
    </row>
    <row r="7471" spans="1:4">
      <c r="A7471">
        <v>12547</v>
      </c>
      <c r="B7471" t="s">
        <v>7999</v>
      </c>
      <c r="C7471" t="s">
        <v>427</v>
      </c>
      <c r="D7471" s="106">
        <v>188.29</v>
      </c>
    </row>
    <row r="7472" spans="1:4">
      <c r="A7472">
        <v>43445</v>
      </c>
      <c r="B7472" t="s">
        <v>8000</v>
      </c>
      <c r="C7472" t="s">
        <v>427</v>
      </c>
      <c r="D7472" s="106">
        <v>494.11</v>
      </c>
    </row>
    <row r="7473" spans="1:4">
      <c r="A7473">
        <v>12563</v>
      </c>
      <c r="B7473" t="s">
        <v>8001</v>
      </c>
      <c r="C7473" t="s">
        <v>427</v>
      </c>
      <c r="D7473" s="106">
        <v>353.52</v>
      </c>
    </row>
    <row r="7474" spans="1:4">
      <c r="A7474">
        <v>43425</v>
      </c>
      <c r="B7474" t="s">
        <v>8002</v>
      </c>
      <c r="C7474" t="s">
        <v>427</v>
      </c>
      <c r="D7474" s="106">
        <v>222.35</v>
      </c>
    </row>
    <row r="7475" spans="1:4">
      <c r="A7475">
        <v>43446</v>
      </c>
      <c r="B7475" t="s">
        <v>8003</v>
      </c>
      <c r="C7475" t="s">
        <v>427</v>
      </c>
      <c r="D7475" s="106">
        <v>469.41</v>
      </c>
    </row>
    <row r="7476" spans="1:4">
      <c r="A7476">
        <v>43447</v>
      </c>
      <c r="B7476" t="s">
        <v>8004</v>
      </c>
      <c r="C7476" t="s">
        <v>427</v>
      </c>
      <c r="D7476" s="106">
        <v>576.47</v>
      </c>
    </row>
    <row r="7477" spans="1:4">
      <c r="A7477">
        <v>43448</v>
      </c>
      <c r="B7477" t="s">
        <v>8005</v>
      </c>
      <c r="C7477" t="s">
        <v>427</v>
      </c>
      <c r="D7477" s="106">
        <v>807.05</v>
      </c>
    </row>
    <row r="7478" spans="1:4">
      <c r="A7478">
        <v>13761</v>
      </c>
      <c r="B7478" t="s">
        <v>8006</v>
      </c>
      <c r="C7478" t="s">
        <v>427</v>
      </c>
      <c r="D7478" s="107">
        <v>4179.04</v>
      </c>
    </row>
    <row r="7479" spans="1:4">
      <c r="A7479">
        <v>4814</v>
      </c>
      <c r="B7479" t="s">
        <v>8007</v>
      </c>
      <c r="C7479" t="s">
        <v>427</v>
      </c>
      <c r="D7479" s="106">
        <v>82.25</v>
      </c>
    </row>
    <row r="7480" spans="1:4">
      <c r="A7480">
        <v>44473</v>
      </c>
      <c r="B7480" t="s">
        <v>8008</v>
      </c>
      <c r="C7480" t="s">
        <v>427</v>
      </c>
      <c r="D7480" s="107">
        <v>2481.38</v>
      </c>
    </row>
    <row r="7481" spans="1:4">
      <c r="A7481">
        <v>6122</v>
      </c>
      <c r="B7481" t="s">
        <v>8009</v>
      </c>
      <c r="C7481" t="s">
        <v>432</v>
      </c>
      <c r="D7481" s="106">
        <v>15.31</v>
      </c>
    </row>
    <row r="7482" spans="1:4">
      <c r="A7482">
        <v>40810</v>
      </c>
      <c r="B7482" t="s">
        <v>8010</v>
      </c>
      <c r="C7482" t="s">
        <v>433</v>
      </c>
      <c r="D7482" s="107">
        <v>2708.43</v>
      </c>
    </row>
    <row r="7483" spans="1:4">
      <c r="A7483">
        <v>21100</v>
      </c>
      <c r="B7483" t="s">
        <v>8011</v>
      </c>
      <c r="C7483" t="s">
        <v>427</v>
      </c>
      <c r="D7483" s="107">
        <v>3047.95</v>
      </c>
    </row>
    <row r="7484" spans="1:4">
      <c r="A7484">
        <v>11816</v>
      </c>
      <c r="B7484" t="s">
        <v>8012</v>
      </c>
      <c r="C7484" t="s">
        <v>427</v>
      </c>
      <c r="D7484" s="107">
        <v>3250</v>
      </c>
    </row>
    <row r="7485" spans="1:4">
      <c r="A7485">
        <v>11814</v>
      </c>
      <c r="B7485" t="s">
        <v>8013</v>
      </c>
      <c r="C7485" t="s">
        <v>427</v>
      </c>
      <c r="D7485" s="107">
        <v>7074.43</v>
      </c>
    </row>
    <row r="7486" spans="1:4">
      <c r="A7486">
        <v>14186</v>
      </c>
      <c r="B7486" t="s">
        <v>8014</v>
      </c>
      <c r="C7486" t="s">
        <v>427</v>
      </c>
      <c r="D7486" s="107">
        <v>8882.91</v>
      </c>
    </row>
    <row r="7487" spans="1:4">
      <c r="A7487">
        <v>14185</v>
      </c>
      <c r="B7487" t="s">
        <v>8015</v>
      </c>
      <c r="C7487" t="s">
        <v>427</v>
      </c>
      <c r="D7487" s="107">
        <v>11506.83</v>
      </c>
    </row>
    <row r="7488" spans="1:4">
      <c r="A7488">
        <v>11811</v>
      </c>
      <c r="B7488" t="s">
        <v>8016</v>
      </c>
      <c r="C7488" t="s">
        <v>427</v>
      </c>
      <c r="D7488" s="107">
        <v>4399.7700000000004</v>
      </c>
    </row>
    <row r="7489" spans="1:4">
      <c r="A7489">
        <v>44498</v>
      </c>
      <c r="B7489" t="s">
        <v>13428</v>
      </c>
      <c r="C7489" t="s">
        <v>427</v>
      </c>
      <c r="D7489" s="107">
        <v>290224.43</v>
      </c>
    </row>
    <row r="7490" spans="1:4">
      <c r="A7490">
        <v>34469</v>
      </c>
      <c r="B7490" t="s">
        <v>8017</v>
      </c>
      <c r="C7490" t="s">
        <v>427</v>
      </c>
      <c r="D7490" s="107">
        <v>10161.91</v>
      </c>
    </row>
    <row r="7491" spans="1:4">
      <c r="A7491">
        <v>34476</v>
      </c>
      <c r="B7491" t="s">
        <v>8018</v>
      </c>
      <c r="C7491" t="s">
        <v>427</v>
      </c>
      <c r="D7491" s="107">
        <v>5299.86</v>
      </c>
    </row>
    <row r="7492" spans="1:4">
      <c r="A7492">
        <v>34477</v>
      </c>
      <c r="B7492" t="s">
        <v>8019</v>
      </c>
      <c r="C7492" t="s">
        <v>427</v>
      </c>
      <c r="D7492" s="107">
        <v>7033.94</v>
      </c>
    </row>
    <row r="7493" spans="1:4">
      <c r="A7493">
        <v>34482</v>
      </c>
      <c r="B7493" t="s">
        <v>8020</v>
      </c>
      <c r="C7493" t="s">
        <v>427</v>
      </c>
      <c r="D7493" s="107">
        <v>6569.31</v>
      </c>
    </row>
    <row r="7494" spans="1:4">
      <c r="A7494">
        <v>34472</v>
      </c>
      <c r="B7494" t="s">
        <v>8021</v>
      </c>
      <c r="C7494" t="s">
        <v>427</v>
      </c>
      <c r="D7494" s="107">
        <v>3126.5</v>
      </c>
    </row>
    <row r="7495" spans="1:4">
      <c r="A7495">
        <v>42425</v>
      </c>
      <c r="B7495" t="s">
        <v>8022</v>
      </c>
      <c r="C7495" t="s">
        <v>427</v>
      </c>
      <c r="D7495" s="107">
        <v>2337.4299999999998</v>
      </c>
    </row>
    <row r="7496" spans="1:4">
      <c r="A7496">
        <v>42422</v>
      </c>
      <c r="B7496" t="s">
        <v>8023</v>
      </c>
      <c r="C7496" t="s">
        <v>427</v>
      </c>
      <c r="D7496" s="107">
        <v>3470</v>
      </c>
    </row>
    <row r="7497" spans="1:4">
      <c r="A7497">
        <v>43184</v>
      </c>
      <c r="B7497" t="s">
        <v>8024</v>
      </c>
      <c r="C7497" t="s">
        <v>427</v>
      </c>
      <c r="D7497" s="107">
        <v>4795.87</v>
      </c>
    </row>
    <row r="7498" spans="1:4">
      <c r="A7498">
        <v>42424</v>
      </c>
      <c r="B7498" t="s">
        <v>8025</v>
      </c>
      <c r="C7498" t="s">
        <v>427</v>
      </c>
      <c r="D7498" s="107">
        <v>2087.5300000000002</v>
      </c>
    </row>
    <row r="7499" spans="1:4">
      <c r="A7499">
        <v>42421</v>
      </c>
      <c r="B7499" t="s">
        <v>8026</v>
      </c>
      <c r="C7499" t="s">
        <v>427</v>
      </c>
      <c r="D7499" s="107">
        <v>19006.75</v>
      </c>
    </row>
    <row r="7500" spans="1:4">
      <c r="A7500">
        <v>42416</v>
      </c>
      <c r="B7500" t="s">
        <v>8027</v>
      </c>
      <c r="C7500" t="s">
        <v>427</v>
      </c>
      <c r="D7500" s="107">
        <v>8999.11</v>
      </c>
    </row>
    <row r="7501" spans="1:4">
      <c r="A7501">
        <v>42417</v>
      </c>
      <c r="B7501" t="s">
        <v>8028</v>
      </c>
      <c r="C7501" t="s">
        <v>427</v>
      </c>
      <c r="D7501" s="107">
        <v>10088.74</v>
      </c>
    </row>
    <row r="7502" spans="1:4">
      <c r="A7502">
        <v>42419</v>
      </c>
      <c r="B7502" t="s">
        <v>8029</v>
      </c>
      <c r="C7502" t="s">
        <v>427</v>
      </c>
      <c r="D7502" s="107">
        <v>11398.14</v>
      </c>
    </row>
    <row r="7503" spans="1:4">
      <c r="A7503">
        <v>42420</v>
      </c>
      <c r="B7503" t="s">
        <v>8030</v>
      </c>
      <c r="C7503" t="s">
        <v>427</v>
      </c>
      <c r="D7503" s="107">
        <v>15665.89</v>
      </c>
    </row>
    <row r="7504" spans="1:4">
      <c r="A7504">
        <v>43195</v>
      </c>
      <c r="B7504" t="s">
        <v>8031</v>
      </c>
      <c r="C7504" t="s">
        <v>427</v>
      </c>
      <c r="D7504" s="107">
        <v>5516.18</v>
      </c>
    </row>
    <row r="7505" spans="1:4">
      <c r="A7505">
        <v>43196</v>
      </c>
      <c r="B7505" t="s">
        <v>8032</v>
      </c>
      <c r="C7505" t="s">
        <v>427</v>
      </c>
      <c r="D7505" s="107">
        <v>6836.52</v>
      </c>
    </row>
    <row r="7506" spans="1:4">
      <c r="A7506">
        <v>43198</v>
      </c>
      <c r="B7506" t="s">
        <v>8033</v>
      </c>
      <c r="C7506" t="s">
        <v>427</v>
      </c>
      <c r="D7506" s="107">
        <v>10158.9</v>
      </c>
    </row>
    <row r="7507" spans="1:4">
      <c r="A7507">
        <v>43199</v>
      </c>
      <c r="B7507" t="s">
        <v>8034</v>
      </c>
      <c r="C7507" t="s">
        <v>427</v>
      </c>
      <c r="D7507" s="107">
        <v>10531.16</v>
      </c>
    </row>
    <row r="7508" spans="1:4">
      <c r="A7508">
        <v>43200</v>
      </c>
      <c r="B7508" t="s">
        <v>8035</v>
      </c>
      <c r="C7508" t="s">
        <v>427</v>
      </c>
      <c r="D7508" s="107">
        <v>12085.27</v>
      </c>
    </row>
    <row r="7509" spans="1:4">
      <c r="A7509">
        <v>39556</v>
      </c>
      <c r="B7509" t="s">
        <v>8036</v>
      </c>
      <c r="C7509" t="s">
        <v>427</v>
      </c>
      <c r="D7509" s="107">
        <v>6600.62</v>
      </c>
    </row>
    <row r="7510" spans="1:4">
      <c r="A7510">
        <v>39557</v>
      </c>
      <c r="B7510" t="s">
        <v>8037</v>
      </c>
      <c r="C7510" t="s">
        <v>427</v>
      </c>
      <c r="D7510" s="107">
        <v>7107.43</v>
      </c>
    </row>
    <row r="7511" spans="1:4">
      <c r="A7511">
        <v>39559</v>
      </c>
      <c r="B7511" t="s">
        <v>8038</v>
      </c>
      <c r="C7511" t="s">
        <v>427</v>
      </c>
      <c r="D7511" s="107">
        <v>10503.41</v>
      </c>
    </row>
    <row r="7512" spans="1:4">
      <c r="A7512">
        <v>39560</v>
      </c>
      <c r="B7512" t="s">
        <v>8039</v>
      </c>
      <c r="C7512" t="s">
        <v>427</v>
      </c>
      <c r="D7512" s="107">
        <v>12151.42</v>
      </c>
    </row>
    <row r="7513" spans="1:4">
      <c r="A7513">
        <v>39561</v>
      </c>
      <c r="B7513" t="s">
        <v>8040</v>
      </c>
      <c r="C7513" t="s">
        <v>427</v>
      </c>
      <c r="D7513" s="107">
        <v>12711.94</v>
      </c>
    </row>
    <row r="7514" spans="1:4">
      <c r="A7514">
        <v>43190</v>
      </c>
      <c r="B7514" t="s">
        <v>8041</v>
      </c>
      <c r="C7514" t="s">
        <v>427</v>
      </c>
      <c r="D7514" s="107">
        <v>1875.94</v>
      </c>
    </row>
    <row r="7515" spans="1:4">
      <c r="A7515">
        <v>39555</v>
      </c>
      <c r="B7515" t="s">
        <v>8042</v>
      </c>
      <c r="C7515" t="s">
        <v>427</v>
      </c>
      <c r="D7515" s="107">
        <v>2029.29</v>
      </c>
    </row>
    <row r="7516" spans="1:4">
      <c r="A7516">
        <v>43191</v>
      </c>
      <c r="B7516" t="s">
        <v>8043</v>
      </c>
      <c r="C7516" t="s">
        <v>427</v>
      </c>
      <c r="D7516" s="107">
        <v>2699.23</v>
      </c>
    </row>
    <row r="7517" spans="1:4">
      <c r="A7517">
        <v>39548</v>
      </c>
      <c r="B7517" t="s">
        <v>8044</v>
      </c>
      <c r="C7517" t="s">
        <v>427</v>
      </c>
      <c r="D7517" s="107">
        <v>3010.06</v>
      </c>
    </row>
    <row r="7518" spans="1:4">
      <c r="A7518">
        <v>43192</v>
      </c>
      <c r="B7518" t="s">
        <v>8045</v>
      </c>
      <c r="C7518" t="s">
        <v>427</v>
      </c>
      <c r="D7518" s="107">
        <v>3535.75</v>
      </c>
    </row>
    <row r="7519" spans="1:4">
      <c r="A7519">
        <v>39554</v>
      </c>
      <c r="B7519" t="s">
        <v>8046</v>
      </c>
      <c r="C7519" t="s">
        <v>427</v>
      </c>
      <c r="D7519" s="107">
        <v>3980.36</v>
      </c>
    </row>
    <row r="7520" spans="1:4">
      <c r="A7520">
        <v>43194</v>
      </c>
      <c r="B7520" t="s">
        <v>8047</v>
      </c>
      <c r="C7520" t="s">
        <v>427</v>
      </c>
      <c r="D7520" s="107">
        <v>1607.06</v>
      </c>
    </row>
    <row r="7521" spans="1:4">
      <c r="A7521">
        <v>39551</v>
      </c>
      <c r="B7521" t="s">
        <v>8048</v>
      </c>
      <c r="C7521" t="s">
        <v>427</v>
      </c>
      <c r="D7521" s="107">
        <v>1769.55</v>
      </c>
    </row>
    <row r="7522" spans="1:4">
      <c r="A7522">
        <v>43185</v>
      </c>
      <c r="B7522" t="s">
        <v>8049</v>
      </c>
      <c r="C7522" t="s">
        <v>427</v>
      </c>
      <c r="D7522" s="107">
        <v>5028.75</v>
      </c>
    </row>
    <row r="7523" spans="1:4">
      <c r="A7523">
        <v>43186</v>
      </c>
      <c r="B7523" t="s">
        <v>8050</v>
      </c>
      <c r="C7523" t="s">
        <v>427</v>
      </c>
      <c r="D7523" s="107">
        <v>5304.31</v>
      </c>
    </row>
    <row r="7524" spans="1:4">
      <c r="A7524">
        <v>43187</v>
      </c>
      <c r="B7524" t="s">
        <v>8051</v>
      </c>
      <c r="C7524" t="s">
        <v>427</v>
      </c>
      <c r="D7524" s="107">
        <v>7038.88</v>
      </c>
    </row>
    <row r="7525" spans="1:4">
      <c r="A7525">
        <v>43188</v>
      </c>
      <c r="B7525" t="s">
        <v>8052</v>
      </c>
      <c r="C7525" t="s">
        <v>427</v>
      </c>
      <c r="D7525" s="107">
        <v>8528.5300000000007</v>
      </c>
    </row>
    <row r="7526" spans="1:4">
      <c r="A7526">
        <v>43189</v>
      </c>
      <c r="B7526" t="s">
        <v>8053</v>
      </c>
      <c r="C7526" t="s">
        <v>427</v>
      </c>
      <c r="D7526" s="107">
        <v>9593.18</v>
      </c>
    </row>
    <row r="7527" spans="1:4">
      <c r="A7527">
        <v>39580</v>
      </c>
      <c r="B7527" t="s">
        <v>8054</v>
      </c>
      <c r="C7527" t="s">
        <v>427</v>
      </c>
      <c r="D7527" s="107">
        <v>75598.179999999993</v>
      </c>
    </row>
    <row r="7528" spans="1:4">
      <c r="A7528">
        <v>39577</v>
      </c>
      <c r="B7528" t="s">
        <v>8055</v>
      </c>
      <c r="C7528" t="s">
        <v>427</v>
      </c>
      <c r="D7528" s="107">
        <v>23662.07</v>
      </c>
    </row>
    <row r="7529" spans="1:4">
      <c r="A7529">
        <v>39578</v>
      </c>
      <c r="B7529" t="s">
        <v>8056</v>
      </c>
      <c r="C7529" t="s">
        <v>427</v>
      </c>
      <c r="D7529" s="107">
        <v>30536.37</v>
      </c>
    </row>
    <row r="7530" spans="1:4">
      <c r="A7530">
        <v>39579</v>
      </c>
      <c r="B7530" t="s">
        <v>8057</v>
      </c>
      <c r="C7530" t="s">
        <v>427</v>
      </c>
      <c r="D7530" s="107">
        <v>44428.02</v>
      </c>
    </row>
    <row r="7531" spans="1:4">
      <c r="A7531">
        <v>39826</v>
      </c>
      <c r="B7531" t="s">
        <v>8058</v>
      </c>
      <c r="C7531" t="s">
        <v>427</v>
      </c>
      <c r="D7531" s="107">
        <v>5456.57</v>
      </c>
    </row>
    <row r="7532" spans="1:4">
      <c r="A7532">
        <v>10700</v>
      </c>
      <c r="B7532" t="s">
        <v>8059</v>
      </c>
      <c r="C7532" t="s">
        <v>427</v>
      </c>
      <c r="D7532" s="107">
        <v>28471.98</v>
      </c>
    </row>
    <row r="7533" spans="1:4">
      <c r="A7533">
        <v>346</v>
      </c>
      <c r="B7533" t="s">
        <v>8060</v>
      </c>
      <c r="C7533" t="s">
        <v>430</v>
      </c>
      <c r="D7533" s="106">
        <v>23.69</v>
      </c>
    </row>
    <row r="7534" spans="1:4">
      <c r="A7534">
        <v>3312</v>
      </c>
      <c r="B7534" t="s">
        <v>8061</v>
      </c>
      <c r="C7534" t="s">
        <v>430</v>
      </c>
      <c r="D7534" s="106">
        <v>23.26</v>
      </c>
    </row>
    <row r="7535" spans="1:4">
      <c r="A7535">
        <v>339</v>
      </c>
      <c r="B7535" t="s">
        <v>8062</v>
      </c>
      <c r="C7535" t="s">
        <v>429</v>
      </c>
      <c r="D7535" s="106">
        <v>1.22</v>
      </c>
    </row>
    <row r="7536" spans="1:4">
      <c r="A7536">
        <v>340</v>
      </c>
      <c r="B7536" t="s">
        <v>8063</v>
      </c>
      <c r="C7536" t="s">
        <v>429</v>
      </c>
      <c r="D7536" s="106">
        <v>1.1000000000000001</v>
      </c>
    </row>
    <row r="7537" spans="1:4">
      <c r="A7537">
        <v>43130</v>
      </c>
      <c r="B7537" t="s">
        <v>8064</v>
      </c>
      <c r="C7537" t="s">
        <v>430</v>
      </c>
      <c r="D7537" s="106">
        <v>20</v>
      </c>
    </row>
    <row r="7538" spans="1:4">
      <c r="A7538">
        <v>344</v>
      </c>
      <c r="B7538" t="s">
        <v>8065</v>
      </c>
      <c r="C7538" t="s">
        <v>430</v>
      </c>
      <c r="D7538" s="106">
        <v>26.29</v>
      </c>
    </row>
    <row r="7539" spans="1:4">
      <c r="A7539">
        <v>345</v>
      </c>
      <c r="B7539" t="s">
        <v>8066</v>
      </c>
      <c r="C7539" t="s">
        <v>430</v>
      </c>
      <c r="D7539" s="106">
        <v>28.52</v>
      </c>
    </row>
    <row r="7540" spans="1:4">
      <c r="A7540">
        <v>43131</v>
      </c>
      <c r="B7540" t="s">
        <v>8067</v>
      </c>
      <c r="C7540" t="s">
        <v>430</v>
      </c>
      <c r="D7540" s="106">
        <v>23.23</v>
      </c>
    </row>
    <row r="7541" spans="1:4">
      <c r="A7541">
        <v>3313</v>
      </c>
      <c r="B7541" t="s">
        <v>8068</v>
      </c>
      <c r="C7541" t="s">
        <v>430</v>
      </c>
      <c r="D7541" s="106">
        <v>29.93</v>
      </c>
    </row>
    <row r="7542" spans="1:4">
      <c r="A7542">
        <v>43132</v>
      </c>
      <c r="B7542" t="s">
        <v>8069</v>
      </c>
      <c r="C7542" t="s">
        <v>430</v>
      </c>
      <c r="D7542" s="106">
        <v>20</v>
      </c>
    </row>
    <row r="7543" spans="1:4">
      <c r="A7543">
        <v>366</v>
      </c>
      <c r="B7543" t="s">
        <v>8070</v>
      </c>
      <c r="C7543" t="s">
        <v>431</v>
      </c>
      <c r="D7543" s="106">
        <v>83.5</v>
      </c>
    </row>
    <row r="7544" spans="1:4">
      <c r="A7544">
        <v>367</v>
      </c>
      <c r="B7544" t="s">
        <v>8071</v>
      </c>
      <c r="C7544" t="s">
        <v>431</v>
      </c>
      <c r="D7544" s="106">
        <v>84.59</v>
      </c>
    </row>
    <row r="7545" spans="1:4">
      <c r="A7545">
        <v>370</v>
      </c>
      <c r="B7545" t="s">
        <v>8072</v>
      </c>
      <c r="C7545" t="s">
        <v>431</v>
      </c>
      <c r="D7545" s="106">
        <v>83.5</v>
      </c>
    </row>
    <row r="7546" spans="1:4">
      <c r="A7546">
        <v>368</v>
      </c>
      <c r="B7546" t="s">
        <v>8073</v>
      </c>
      <c r="C7546" t="s">
        <v>431</v>
      </c>
      <c r="D7546" s="106">
        <v>41.75</v>
      </c>
    </row>
    <row r="7547" spans="1:4">
      <c r="A7547">
        <v>11075</v>
      </c>
      <c r="B7547" t="s">
        <v>8074</v>
      </c>
      <c r="C7547" t="s">
        <v>431</v>
      </c>
      <c r="D7547" s="106">
        <v>958.32</v>
      </c>
    </row>
    <row r="7548" spans="1:4">
      <c r="A7548">
        <v>1381</v>
      </c>
      <c r="B7548" t="s">
        <v>8075</v>
      </c>
      <c r="C7548" t="s">
        <v>430</v>
      </c>
      <c r="D7548" s="106">
        <v>0.82</v>
      </c>
    </row>
    <row r="7549" spans="1:4">
      <c r="A7549">
        <v>34353</v>
      </c>
      <c r="B7549" t="s">
        <v>8076</v>
      </c>
      <c r="C7549" t="s">
        <v>430</v>
      </c>
      <c r="D7549" s="106">
        <v>1.52</v>
      </c>
    </row>
    <row r="7550" spans="1:4">
      <c r="A7550">
        <v>37595</v>
      </c>
      <c r="B7550" t="s">
        <v>8077</v>
      </c>
      <c r="C7550" t="s">
        <v>430</v>
      </c>
      <c r="D7550" s="106">
        <v>2.52</v>
      </c>
    </row>
    <row r="7551" spans="1:4">
      <c r="A7551">
        <v>37596</v>
      </c>
      <c r="B7551" t="s">
        <v>8078</v>
      </c>
      <c r="C7551" t="s">
        <v>430</v>
      </c>
      <c r="D7551" s="106">
        <v>2.89</v>
      </c>
    </row>
    <row r="7552" spans="1:4">
      <c r="A7552">
        <v>371</v>
      </c>
      <c r="B7552" t="s">
        <v>8079</v>
      </c>
      <c r="C7552" t="s">
        <v>430</v>
      </c>
      <c r="D7552" s="106">
        <v>0.89</v>
      </c>
    </row>
    <row r="7553" spans="1:4">
      <c r="A7553">
        <v>37553</v>
      </c>
      <c r="B7553" t="s">
        <v>8080</v>
      </c>
      <c r="C7553" t="s">
        <v>430</v>
      </c>
      <c r="D7553" s="106">
        <v>1.67</v>
      </c>
    </row>
    <row r="7554" spans="1:4">
      <c r="A7554">
        <v>37552</v>
      </c>
      <c r="B7554" t="s">
        <v>8081</v>
      </c>
      <c r="C7554" t="s">
        <v>430</v>
      </c>
      <c r="D7554" s="106">
        <v>2.69</v>
      </c>
    </row>
    <row r="7555" spans="1:4">
      <c r="A7555">
        <v>36880</v>
      </c>
      <c r="B7555" t="s">
        <v>8082</v>
      </c>
      <c r="C7555" t="s">
        <v>430</v>
      </c>
      <c r="D7555" s="106">
        <v>2.73</v>
      </c>
    </row>
    <row r="7556" spans="1:4">
      <c r="A7556">
        <v>34355</v>
      </c>
      <c r="B7556" t="s">
        <v>8083</v>
      </c>
      <c r="C7556" t="s">
        <v>430</v>
      </c>
      <c r="D7556" s="106">
        <v>2.35</v>
      </c>
    </row>
    <row r="7557" spans="1:4">
      <c r="A7557">
        <v>130</v>
      </c>
      <c r="B7557" t="s">
        <v>8084</v>
      </c>
      <c r="C7557" t="s">
        <v>430</v>
      </c>
      <c r="D7557" s="106">
        <v>3.11</v>
      </c>
    </row>
    <row r="7558" spans="1:4">
      <c r="A7558">
        <v>135</v>
      </c>
      <c r="B7558" t="s">
        <v>8085</v>
      </c>
      <c r="C7558" t="s">
        <v>430</v>
      </c>
      <c r="D7558" s="106">
        <v>2.5</v>
      </c>
    </row>
    <row r="7559" spans="1:4">
      <c r="A7559">
        <v>36886</v>
      </c>
      <c r="B7559" t="s">
        <v>8086</v>
      </c>
      <c r="C7559" t="s">
        <v>430</v>
      </c>
      <c r="D7559" s="106">
        <v>0.85</v>
      </c>
    </row>
    <row r="7560" spans="1:4">
      <c r="A7560">
        <v>38546</v>
      </c>
      <c r="B7560" t="s">
        <v>8087</v>
      </c>
      <c r="C7560" t="s">
        <v>431</v>
      </c>
      <c r="D7560" s="106">
        <v>567.39</v>
      </c>
    </row>
    <row r="7561" spans="1:4">
      <c r="A7561">
        <v>34549</v>
      </c>
      <c r="B7561" t="s">
        <v>8088</v>
      </c>
      <c r="C7561" t="s">
        <v>431</v>
      </c>
      <c r="D7561" s="106">
        <v>745.61</v>
      </c>
    </row>
    <row r="7562" spans="1:4">
      <c r="A7562">
        <v>6081</v>
      </c>
      <c r="B7562" t="s">
        <v>8089</v>
      </c>
      <c r="C7562" t="s">
        <v>431</v>
      </c>
      <c r="D7562" s="106">
        <v>52.19</v>
      </c>
    </row>
    <row r="7563" spans="1:4">
      <c r="A7563">
        <v>6077</v>
      </c>
      <c r="B7563" t="s">
        <v>8090</v>
      </c>
      <c r="C7563" t="s">
        <v>431</v>
      </c>
      <c r="D7563" s="106">
        <v>37.28</v>
      </c>
    </row>
    <row r="7564" spans="1:4">
      <c r="A7564">
        <v>6079</v>
      </c>
      <c r="B7564" t="s">
        <v>8091</v>
      </c>
      <c r="C7564" t="s">
        <v>431</v>
      </c>
      <c r="D7564" s="106">
        <v>37.28</v>
      </c>
    </row>
    <row r="7565" spans="1:4">
      <c r="A7565">
        <v>1091</v>
      </c>
      <c r="B7565" t="s">
        <v>8092</v>
      </c>
      <c r="C7565" t="s">
        <v>427</v>
      </c>
      <c r="D7565" s="106">
        <v>34.78</v>
      </c>
    </row>
    <row r="7566" spans="1:4">
      <c r="A7566">
        <v>1094</v>
      </c>
      <c r="B7566" t="s">
        <v>8093</v>
      </c>
      <c r="C7566" t="s">
        <v>427</v>
      </c>
      <c r="D7566" s="106">
        <v>24.32</v>
      </c>
    </row>
    <row r="7567" spans="1:4">
      <c r="A7567">
        <v>1095</v>
      </c>
      <c r="B7567" t="s">
        <v>8094</v>
      </c>
      <c r="C7567" t="s">
        <v>427</v>
      </c>
      <c r="D7567" s="106">
        <v>51.69</v>
      </c>
    </row>
    <row r="7568" spans="1:4">
      <c r="A7568">
        <v>1092</v>
      </c>
      <c r="B7568" t="s">
        <v>8095</v>
      </c>
      <c r="C7568" t="s">
        <v>427</v>
      </c>
      <c r="D7568" s="106">
        <v>40</v>
      </c>
    </row>
    <row r="7569" spans="1:4">
      <c r="A7569">
        <v>1093</v>
      </c>
      <c r="B7569" t="s">
        <v>8096</v>
      </c>
      <c r="C7569" t="s">
        <v>427</v>
      </c>
      <c r="D7569" s="106">
        <v>93.41</v>
      </c>
    </row>
    <row r="7570" spans="1:4">
      <c r="A7570">
        <v>1090</v>
      </c>
      <c r="B7570" t="s">
        <v>8097</v>
      </c>
      <c r="C7570" t="s">
        <v>427</v>
      </c>
      <c r="D7570" s="106">
        <v>66.88</v>
      </c>
    </row>
    <row r="7571" spans="1:4">
      <c r="A7571">
        <v>1096</v>
      </c>
      <c r="B7571" t="s">
        <v>8098</v>
      </c>
      <c r="C7571" t="s">
        <v>427</v>
      </c>
      <c r="D7571" s="106">
        <v>120.36</v>
      </c>
    </row>
    <row r="7572" spans="1:4">
      <c r="A7572">
        <v>1097</v>
      </c>
      <c r="B7572" t="s">
        <v>8099</v>
      </c>
      <c r="C7572" t="s">
        <v>427</v>
      </c>
      <c r="D7572" s="106">
        <v>102.17</v>
      </c>
    </row>
    <row r="7573" spans="1:4">
      <c r="A7573">
        <v>378</v>
      </c>
      <c r="B7573" t="s">
        <v>13429</v>
      </c>
      <c r="C7573" t="s">
        <v>432</v>
      </c>
      <c r="D7573" s="106">
        <v>15.93</v>
      </c>
    </row>
    <row r="7574" spans="1:4">
      <c r="A7574">
        <v>40911</v>
      </c>
      <c r="B7574" t="s">
        <v>8100</v>
      </c>
      <c r="C7574" t="s">
        <v>433</v>
      </c>
      <c r="D7574" s="107">
        <v>2814.94</v>
      </c>
    </row>
    <row r="7575" spans="1:4">
      <c r="A7575">
        <v>33939</v>
      </c>
      <c r="B7575" t="s">
        <v>8101</v>
      </c>
      <c r="C7575" t="s">
        <v>432</v>
      </c>
      <c r="D7575" s="106">
        <v>67.16</v>
      </c>
    </row>
    <row r="7576" spans="1:4">
      <c r="A7576">
        <v>40815</v>
      </c>
      <c r="B7576" t="s">
        <v>8102</v>
      </c>
      <c r="C7576" t="s">
        <v>433</v>
      </c>
      <c r="D7576" s="107">
        <v>11868.52</v>
      </c>
    </row>
    <row r="7577" spans="1:4">
      <c r="A7577">
        <v>34760</v>
      </c>
      <c r="B7577" t="s">
        <v>8103</v>
      </c>
      <c r="C7577" t="s">
        <v>432</v>
      </c>
      <c r="D7577" s="106">
        <v>63.43</v>
      </c>
    </row>
    <row r="7578" spans="1:4">
      <c r="A7578">
        <v>40935</v>
      </c>
      <c r="B7578" t="s">
        <v>8104</v>
      </c>
      <c r="C7578" t="s">
        <v>433</v>
      </c>
      <c r="D7578" s="107">
        <v>11206.77</v>
      </c>
    </row>
    <row r="7579" spans="1:4">
      <c r="A7579">
        <v>33952</v>
      </c>
      <c r="B7579" t="s">
        <v>8105</v>
      </c>
      <c r="C7579" t="s">
        <v>432</v>
      </c>
      <c r="D7579" s="106">
        <v>95.4</v>
      </c>
    </row>
    <row r="7580" spans="1:4">
      <c r="A7580">
        <v>40816</v>
      </c>
      <c r="B7580" t="s">
        <v>8106</v>
      </c>
      <c r="C7580" t="s">
        <v>433</v>
      </c>
      <c r="D7580" s="107">
        <v>16858.23</v>
      </c>
    </row>
    <row r="7581" spans="1:4">
      <c r="A7581">
        <v>33953</v>
      </c>
      <c r="B7581" t="s">
        <v>8107</v>
      </c>
      <c r="C7581" t="s">
        <v>432</v>
      </c>
      <c r="D7581" s="106">
        <v>126.13</v>
      </c>
    </row>
    <row r="7582" spans="1:4">
      <c r="A7582">
        <v>40817</v>
      </c>
      <c r="B7582" t="s">
        <v>8108</v>
      </c>
      <c r="C7582" t="s">
        <v>433</v>
      </c>
      <c r="D7582" s="107">
        <v>22288.080000000002</v>
      </c>
    </row>
    <row r="7583" spans="1:4">
      <c r="A7583">
        <v>13348</v>
      </c>
      <c r="B7583" t="s">
        <v>8109</v>
      </c>
      <c r="C7583" t="s">
        <v>427</v>
      </c>
      <c r="D7583" s="106">
        <v>0.92</v>
      </c>
    </row>
    <row r="7584" spans="1:4">
      <c r="A7584">
        <v>39211</v>
      </c>
      <c r="B7584" t="s">
        <v>8110</v>
      </c>
      <c r="C7584" t="s">
        <v>427</v>
      </c>
      <c r="D7584" s="106">
        <v>1.31</v>
      </c>
    </row>
    <row r="7585" spans="1:4">
      <c r="A7585">
        <v>39212</v>
      </c>
      <c r="B7585" t="s">
        <v>8111</v>
      </c>
      <c r="C7585" t="s">
        <v>427</v>
      </c>
      <c r="D7585" s="106">
        <v>1.46</v>
      </c>
    </row>
    <row r="7586" spans="1:4">
      <c r="A7586">
        <v>39208</v>
      </c>
      <c r="B7586" t="s">
        <v>8112</v>
      </c>
      <c r="C7586" t="s">
        <v>427</v>
      </c>
      <c r="D7586" s="106">
        <v>0.4</v>
      </c>
    </row>
    <row r="7587" spans="1:4">
      <c r="A7587">
        <v>39210</v>
      </c>
      <c r="B7587" t="s">
        <v>8113</v>
      </c>
      <c r="C7587" t="s">
        <v>427</v>
      </c>
      <c r="D7587" s="106">
        <v>0.73</v>
      </c>
    </row>
    <row r="7588" spans="1:4">
      <c r="A7588">
        <v>39214</v>
      </c>
      <c r="B7588" t="s">
        <v>8114</v>
      </c>
      <c r="C7588" t="s">
        <v>427</v>
      </c>
      <c r="D7588" s="106">
        <v>2.7</v>
      </c>
    </row>
    <row r="7589" spans="1:4">
      <c r="A7589">
        <v>39213</v>
      </c>
      <c r="B7589" t="s">
        <v>8115</v>
      </c>
      <c r="C7589" t="s">
        <v>427</v>
      </c>
      <c r="D7589" s="106">
        <v>1.91</v>
      </c>
    </row>
    <row r="7590" spans="1:4">
      <c r="A7590">
        <v>39209</v>
      </c>
      <c r="B7590" t="s">
        <v>8116</v>
      </c>
      <c r="C7590" t="s">
        <v>427</v>
      </c>
      <c r="D7590" s="106">
        <v>0.47</v>
      </c>
    </row>
    <row r="7591" spans="1:4">
      <c r="A7591">
        <v>39207</v>
      </c>
      <c r="B7591" t="s">
        <v>8117</v>
      </c>
      <c r="C7591" t="s">
        <v>427</v>
      </c>
      <c r="D7591" s="106">
        <v>0.73</v>
      </c>
    </row>
    <row r="7592" spans="1:4">
      <c r="A7592">
        <v>39215</v>
      </c>
      <c r="B7592" t="s">
        <v>8118</v>
      </c>
      <c r="C7592" t="s">
        <v>427</v>
      </c>
      <c r="D7592" s="106">
        <v>4.92</v>
      </c>
    </row>
    <row r="7593" spans="1:4">
      <c r="A7593">
        <v>39216</v>
      </c>
      <c r="B7593" t="s">
        <v>8119</v>
      </c>
      <c r="C7593" t="s">
        <v>427</v>
      </c>
      <c r="D7593" s="106">
        <v>6.87</v>
      </c>
    </row>
    <row r="7594" spans="1:4">
      <c r="A7594">
        <v>11267</v>
      </c>
      <c r="B7594" t="s">
        <v>8120</v>
      </c>
      <c r="C7594" t="s">
        <v>427</v>
      </c>
      <c r="D7594" s="106">
        <v>0.8</v>
      </c>
    </row>
    <row r="7595" spans="1:4">
      <c r="A7595">
        <v>379</v>
      </c>
      <c r="B7595" t="s">
        <v>8121</v>
      </c>
      <c r="C7595" t="s">
        <v>427</v>
      </c>
      <c r="D7595" s="106">
        <v>0.81</v>
      </c>
    </row>
    <row r="7596" spans="1:4">
      <c r="A7596">
        <v>510</v>
      </c>
      <c r="B7596" t="s">
        <v>8122</v>
      </c>
      <c r="C7596" t="s">
        <v>430</v>
      </c>
      <c r="D7596" s="106">
        <v>11.44</v>
      </c>
    </row>
    <row r="7597" spans="1:4">
      <c r="A7597">
        <v>516</v>
      </c>
      <c r="B7597" t="s">
        <v>8123</v>
      </c>
      <c r="C7597" t="s">
        <v>430</v>
      </c>
      <c r="D7597" s="106">
        <v>13.56</v>
      </c>
    </row>
    <row r="7598" spans="1:4">
      <c r="A7598">
        <v>509</v>
      </c>
      <c r="B7598" t="s">
        <v>8124</v>
      </c>
      <c r="C7598" t="s">
        <v>430</v>
      </c>
      <c r="D7598" s="106">
        <v>15.21</v>
      </c>
    </row>
    <row r="7599" spans="1:4">
      <c r="A7599">
        <v>40331</v>
      </c>
      <c r="B7599" t="s">
        <v>8125</v>
      </c>
      <c r="C7599" t="s">
        <v>432</v>
      </c>
      <c r="D7599" s="106">
        <v>13.83</v>
      </c>
    </row>
    <row r="7600" spans="1:4">
      <c r="A7600">
        <v>40930</v>
      </c>
      <c r="B7600" t="s">
        <v>8126</v>
      </c>
      <c r="C7600" t="s">
        <v>433</v>
      </c>
      <c r="D7600" s="107">
        <v>2444.81</v>
      </c>
    </row>
    <row r="7601" spans="1:4">
      <c r="A7601">
        <v>11761</v>
      </c>
      <c r="B7601" t="s">
        <v>8127</v>
      </c>
      <c r="C7601" t="s">
        <v>427</v>
      </c>
      <c r="D7601" s="106">
        <v>93.87</v>
      </c>
    </row>
    <row r="7602" spans="1:4">
      <c r="A7602">
        <v>377</v>
      </c>
      <c r="B7602" t="s">
        <v>8128</v>
      </c>
      <c r="C7602" t="s">
        <v>427</v>
      </c>
      <c r="D7602" s="106">
        <v>44.11</v>
      </c>
    </row>
    <row r="7603" spans="1:4">
      <c r="A7603">
        <v>7588</v>
      </c>
      <c r="B7603" t="s">
        <v>8129</v>
      </c>
      <c r="C7603" t="s">
        <v>427</v>
      </c>
      <c r="D7603" s="106">
        <v>45.71</v>
      </c>
    </row>
    <row r="7604" spans="1:4">
      <c r="A7604">
        <v>34392</v>
      </c>
      <c r="B7604" t="s">
        <v>8130</v>
      </c>
      <c r="C7604" t="s">
        <v>432</v>
      </c>
      <c r="D7604" s="106">
        <v>12.2</v>
      </c>
    </row>
    <row r="7605" spans="1:4">
      <c r="A7605">
        <v>40908</v>
      </c>
      <c r="B7605" t="s">
        <v>8131</v>
      </c>
      <c r="C7605" t="s">
        <v>433</v>
      </c>
      <c r="D7605" s="107">
        <v>2156.94</v>
      </c>
    </row>
    <row r="7606" spans="1:4">
      <c r="A7606">
        <v>34551</v>
      </c>
      <c r="B7606" t="s">
        <v>13430</v>
      </c>
      <c r="C7606" t="s">
        <v>432</v>
      </c>
      <c r="D7606" s="106">
        <v>11.83</v>
      </c>
    </row>
    <row r="7607" spans="1:4">
      <c r="A7607">
        <v>41078</v>
      </c>
      <c r="B7607" t="s">
        <v>8132</v>
      </c>
      <c r="C7607" t="s">
        <v>433</v>
      </c>
      <c r="D7607" s="107">
        <v>2094.4499999999998</v>
      </c>
    </row>
    <row r="7608" spans="1:4">
      <c r="A7608">
        <v>246</v>
      </c>
      <c r="B7608" t="s">
        <v>20478</v>
      </c>
      <c r="C7608" t="s">
        <v>432</v>
      </c>
      <c r="D7608" s="106">
        <v>12.82</v>
      </c>
    </row>
    <row r="7609" spans="1:4">
      <c r="A7609">
        <v>40927</v>
      </c>
      <c r="B7609" t="s">
        <v>8133</v>
      </c>
      <c r="C7609" t="s">
        <v>433</v>
      </c>
      <c r="D7609" s="107">
        <v>2268.12</v>
      </c>
    </row>
    <row r="7610" spans="1:4">
      <c r="A7610">
        <v>2350</v>
      </c>
      <c r="B7610" t="s">
        <v>8134</v>
      </c>
      <c r="C7610" t="s">
        <v>432</v>
      </c>
      <c r="D7610" s="106">
        <v>12.84</v>
      </c>
    </row>
    <row r="7611" spans="1:4">
      <c r="A7611">
        <v>40812</v>
      </c>
      <c r="B7611" t="s">
        <v>8135</v>
      </c>
      <c r="C7611" t="s">
        <v>433</v>
      </c>
      <c r="D7611" s="107">
        <v>2269.59</v>
      </c>
    </row>
    <row r="7612" spans="1:4">
      <c r="A7612">
        <v>245</v>
      </c>
      <c r="B7612" t="s">
        <v>8136</v>
      </c>
      <c r="C7612" t="s">
        <v>432</v>
      </c>
      <c r="D7612" s="106">
        <v>21.85</v>
      </c>
    </row>
    <row r="7613" spans="1:4">
      <c r="A7613">
        <v>41090</v>
      </c>
      <c r="B7613" t="s">
        <v>8137</v>
      </c>
      <c r="C7613" t="s">
        <v>433</v>
      </c>
      <c r="D7613" s="107">
        <v>3862.32</v>
      </c>
    </row>
    <row r="7614" spans="1:4">
      <c r="A7614">
        <v>251</v>
      </c>
      <c r="B7614" t="s">
        <v>8138</v>
      </c>
      <c r="C7614" t="s">
        <v>432</v>
      </c>
      <c r="D7614" s="106">
        <v>10.31</v>
      </c>
    </row>
    <row r="7615" spans="1:4">
      <c r="A7615">
        <v>40975</v>
      </c>
      <c r="B7615" t="s">
        <v>8139</v>
      </c>
      <c r="C7615" t="s">
        <v>433</v>
      </c>
      <c r="D7615" s="107">
        <v>1825.02</v>
      </c>
    </row>
    <row r="7616" spans="1:4">
      <c r="A7616">
        <v>6127</v>
      </c>
      <c r="B7616" t="s">
        <v>13431</v>
      </c>
      <c r="C7616" t="s">
        <v>432</v>
      </c>
      <c r="D7616" s="106">
        <v>11.83</v>
      </c>
    </row>
    <row r="7617" spans="1:4">
      <c r="A7617">
        <v>41072</v>
      </c>
      <c r="B7617" t="s">
        <v>8140</v>
      </c>
      <c r="C7617" t="s">
        <v>433</v>
      </c>
      <c r="D7617" s="107">
        <v>2094.4499999999998</v>
      </c>
    </row>
    <row r="7618" spans="1:4">
      <c r="A7618">
        <v>6121</v>
      </c>
      <c r="B7618" t="s">
        <v>8141</v>
      </c>
      <c r="C7618" t="s">
        <v>432</v>
      </c>
      <c r="D7618" s="106">
        <v>11.85</v>
      </c>
    </row>
    <row r="7619" spans="1:4">
      <c r="A7619">
        <v>41071</v>
      </c>
      <c r="B7619" t="s">
        <v>8142</v>
      </c>
      <c r="C7619" t="s">
        <v>433</v>
      </c>
      <c r="D7619" s="107">
        <v>2095.1</v>
      </c>
    </row>
    <row r="7620" spans="1:4">
      <c r="A7620">
        <v>244</v>
      </c>
      <c r="B7620" t="s">
        <v>8143</v>
      </c>
      <c r="C7620" t="s">
        <v>432</v>
      </c>
      <c r="D7620" s="106">
        <v>6.49</v>
      </c>
    </row>
    <row r="7621" spans="1:4">
      <c r="A7621">
        <v>41093</v>
      </c>
      <c r="B7621" t="s">
        <v>8144</v>
      </c>
      <c r="C7621" t="s">
        <v>433</v>
      </c>
      <c r="D7621" s="107">
        <v>1149.8599999999999</v>
      </c>
    </row>
    <row r="7622" spans="1:4">
      <c r="A7622">
        <v>532</v>
      </c>
      <c r="B7622" t="s">
        <v>8145</v>
      </c>
      <c r="C7622" t="s">
        <v>432</v>
      </c>
      <c r="D7622" s="106">
        <v>23.52</v>
      </c>
    </row>
    <row r="7623" spans="1:4">
      <c r="A7623">
        <v>40931</v>
      </c>
      <c r="B7623" t="s">
        <v>8146</v>
      </c>
      <c r="C7623" t="s">
        <v>433</v>
      </c>
      <c r="D7623" s="107">
        <v>4159.8500000000004</v>
      </c>
    </row>
    <row r="7624" spans="1:4">
      <c r="A7624">
        <v>36150</v>
      </c>
      <c r="B7624" t="s">
        <v>8147</v>
      </c>
      <c r="C7624" t="s">
        <v>427</v>
      </c>
      <c r="D7624" s="106">
        <v>59.4</v>
      </c>
    </row>
    <row r="7625" spans="1:4">
      <c r="A7625">
        <v>4760</v>
      </c>
      <c r="B7625" t="s">
        <v>13432</v>
      </c>
      <c r="C7625" t="s">
        <v>432</v>
      </c>
      <c r="D7625" s="106">
        <v>15.93</v>
      </c>
    </row>
    <row r="7626" spans="1:4">
      <c r="A7626">
        <v>41069</v>
      </c>
      <c r="B7626" t="s">
        <v>8148</v>
      </c>
      <c r="C7626" t="s">
        <v>433</v>
      </c>
      <c r="D7626" s="107">
        <v>2814.94</v>
      </c>
    </row>
    <row r="7627" spans="1:4">
      <c r="A7627">
        <v>10422</v>
      </c>
      <c r="B7627" t="s">
        <v>8149</v>
      </c>
      <c r="C7627" t="s">
        <v>427</v>
      </c>
      <c r="D7627" s="106">
        <v>352.16</v>
      </c>
    </row>
    <row r="7628" spans="1:4">
      <c r="A7628">
        <v>44019</v>
      </c>
      <c r="B7628" t="s">
        <v>8150</v>
      </c>
      <c r="C7628" t="s">
        <v>427</v>
      </c>
      <c r="D7628" s="106">
        <v>487.47</v>
      </c>
    </row>
    <row r="7629" spans="1:4">
      <c r="A7629">
        <v>36520</v>
      </c>
      <c r="B7629" t="s">
        <v>8151</v>
      </c>
      <c r="C7629" t="s">
        <v>427</v>
      </c>
      <c r="D7629" s="106">
        <v>592.71</v>
      </c>
    </row>
    <row r="7630" spans="1:4">
      <c r="A7630">
        <v>42319</v>
      </c>
      <c r="B7630" t="s">
        <v>8152</v>
      </c>
      <c r="C7630" t="s">
        <v>427</v>
      </c>
      <c r="D7630" s="106">
        <v>531.1</v>
      </c>
    </row>
    <row r="7631" spans="1:4">
      <c r="A7631">
        <v>10420</v>
      </c>
      <c r="B7631" t="s">
        <v>8153</v>
      </c>
      <c r="C7631" t="s">
        <v>427</v>
      </c>
      <c r="D7631" s="106">
        <v>188.4</v>
      </c>
    </row>
    <row r="7632" spans="1:4">
      <c r="A7632">
        <v>10421</v>
      </c>
      <c r="B7632" t="s">
        <v>8154</v>
      </c>
      <c r="C7632" t="s">
        <v>427</v>
      </c>
      <c r="D7632" s="106">
        <v>207.03</v>
      </c>
    </row>
    <row r="7633" spans="1:4">
      <c r="A7633">
        <v>11786</v>
      </c>
      <c r="B7633" t="s">
        <v>8155</v>
      </c>
      <c r="C7633" t="s">
        <v>427</v>
      </c>
      <c r="D7633" s="106">
        <v>417.45</v>
      </c>
    </row>
    <row r="7634" spans="1:4">
      <c r="A7634">
        <v>10</v>
      </c>
      <c r="B7634" t="s">
        <v>8156</v>
      </c>
      <c r="C7634" t="s">
        <v>427</v>
      </c>
      <c r="D7634" s="106">
        <v>18.39</v>
      </c>
    </row>
    <row r="7635" spans="1:4">
      <c r="A7635">
        <v>4815</v>
      </c>
      <c r="B7635" t="s">
        <v>8157</v>
      </c>
      <c r="C7635" t="s">
        <v>427</v>
      </c>
      <c r="D7635" s="106">
        <v>8.4</v>
      </c>
    </row>
    <row r="7636" spans="1:4">
      <c r="A7636">
        <v>541</v>
      </c>
      <c r="B7636" t="s">
        <v>8158</v>
      </c>
      <c r="C7636" t="s">
        <v>427</v>
      </c>
      <c r="D7636" s="106">
        <v>168.5</v>
      </c>
    </row>
    <row r="7637" spans="1:4">
      <c r="A7637">
        <v>542</v>
      </c>
      <c r="B7637" t="s">
        <v>8159</v>
      </c>
      <c r="C7637" t="s">
        <v>427</v>
      </c>
      <c r="D7637" s="106">
        <v>211.21</v>
      </c>
    </row>
    <row r="7638" spans="1:4">
      <c r="A7638">
        <v>540</v>
      </c>
      <c r="B7638" t="s">
        <v>8160</v>
      </c>
      <c r="C7638" t="s">
        <v>427</v>
      </c>
      <c r="D7638" s="106">
        <v>475.97</v>
      </c>
    </row>
    <row r="7639" spans="1:4">
      <c r="A7639">
        <v>38364</v>
      </c>
      <c r="B7639" t="s">
        <v>8161</v>
      </c>
      <c r="C7639" t="s">
        <v>427</v>
      </c>
      <c r="D7639" s="106">
        <v>780.92</v>
      </c>
    </row>
    <row r="7640" spans="1:4">
      <c r="A7640">
        <v>11692</v>
      </c>
      <c r="B7640" t="s">
        <v>8162</v>
      </c>
      <c r="C7640" t="s">
        <v>426</v>
      </c>
      <c r="D7640" s="106">
        <v>463.09</v>
      </c>
    </row>
    <row r="7641" spans="1:4">
      <c r="A7641">
        <v>1746</v>
      </c>
      <c r="B7641" t="s">
        <v>8163</v>
      </c>
      <c r="C7641" t="s">
        <v>427</v>
      </c>
      <c r="D7641" s="106">
        <v>286</v>
      </c>
    </row>
    <row r="7642" spans="1:4">
      <c r="A7642">
        <v>1748</v>
      </c>
      <c r="B7642" t="s">
        <v>8164</v>
      </c>
      <c r="C7642" t="s">
        <v>427</v>
      </c>
      <c r="D7642" s="106">
        <v>380.31</v>
      </c>
    </row>
    <row r="7643" spans="1:4">
      <c r="A7643">
        <v>1749</v>
      </c>
      <c r="B7643" t="s">
        <v>8165</v>
      </c>
      <c r="C7643" t="s">
        <v>427</v>
      </c>
      <c r="D7643" s="106">
        <v>551</v>
      </c>
    </row>
    <row r="7644" spans="1:4">
      <c r="A7644">
        <v>37412</v>
      </c>
      <c r="B7644" t="s">
        <v>8166</v>
      </c>
      <c r="C7644" t="s">
        <v>427</v>
      </c>
      <c r="D7644" s="106">
        <v>279.56</v>
      </c>
    </row>
    <row r="7645" spans="1:4">
      <c r="A7645">
        <v>1745</v>
      </c>
      <c r="B7645" t="s">
        <v>8167</v>
      </c>
      <c r="C7645" t="s">
        <v>427</v>
      </c>
      <c r="D7645" s="106">
        <v>332.44</v>
      </c>
    </row>
    <row r="7646" spans="1:4">
      <c r="A7646">
        <v>1750</v>
      </c>
      <c r="B7646" t="s">
        <v>8168</v>
      </c>
      <c r="C7646" t="s">
        <v>427</v>
      </c>
      <c r="D7646" s="106">
        <v>776.86</v>
      </c>
    </row>
    <row r="7647" spans="1:4">
      <c r="A7647">
        <v>11687</v>
      </c>
      <c r="B7647" t="s">
        <v>8169</v>
      </c>
      <c r="C7647" t="s">
        <v>429</v>
      </c>
      <c r="D7647" s="107">
        <v>1237.78</v>
      </c>
    </row>
    <row r="7648" spans="1:4">
      <c r="A7648">
        <v>11689</v>
      </c>
      <c r="B7648" t="s">
        <v>8170</v>
      </c>
      <c r="C7648" t="s">
        <v>429</v>
      </c>
      <c r="D7648" s="107">
        <v>1550.86</v>
      </c>
    </row>
    <row r="7649" spans="1:4">
      <c r="A7649">
        <v>11693</v>
      </c>
      <c r="B7649" t="s">
        <v>8171</v>
      </c>
      <c r="C7649" t="s">
        <v>426</v>
      </c>
      <c r="D7649" s="106">
        <v>186.83</v>
      </c>
    </row>
    <row r="7650" spans="1:4">
      <c r="A7650">
        <v>36215</v>
      </c>
      <c r="B7650" t="s">
        <v>8172</v>
      </c>
      <c r="C7650" t="s">
        <v>427</v>
      </c>
      <c r="D7650" s="107">
        <v>1043.6400000000001</v>
      </c>
    </row>
    <row r="7651" spans="1:4">
      <c r="A7651">
        <v>42439</v>
      </c>
      <c r="B7651" t="s">
        <v>8173</v>
      </c>
      <c r="C7651" t="s">
        <v>427</v>
      </c>
      <c r="D7651" s="107">
        <v>1186.04</v>
      </c>
    </row>
    <row r="7652" spans="1:4">
      <c r="A7652">
        <v>38381</v>
      </c>
      <c r="B7652" t="s">
        <v>8174</v>
      </c>
      <c r="C7652" t="s">
        <v>427</v>
      </c>
      <c r="D7652" s="106">
        <v>10.039999999999999</v>
      </c>
    </row>
    <row r="7653" spans="1:4">
      <c r="A7653">
        <v>39621</v>
      </c>
      <c r="B7653" t="s">
        <v>8175</v>
      </c>
      <c r="C7653" t="s">
        <v>434</v>
      </c>
      <c r="D7653" s="107">
        <v>1077.03</v>
      </c>
    </row>
    <row r="7654" spans="1:4">
      <c r="A7654">
        <v>39624</v>
      </c>
      <c r="B7654" t="s">
        <v>8176</v>
      </c>
      <c r="C7654" t="s">
        <v>434</v>
      </c>
      <c r="D7654" s="107">
        <v>1188.0899999999999</v>
      </c>
    </row>
    <row r="7655" spans="1:4">
      <c r="A7655">
        <v>39615</v>
      </c>
      <c r="B7655" t="s">
        <v>8177</v>
      </c>
      <c r="C7655" t="s">
        <v>427</v>
      </c>
      <c r="D7655" s="106">
        <v>480.1</v>
      </c>
    </row>
    <row r="7656" spans="1:4">
      <c r="A7656">
        <v>39620</v>
      </c>
      <c r="B7656" t="s">
        <v>8178</v>
      </c>
      <c r="C7656" t="s">
        <v>427</v>
      </c>
      <c r="D7656" s="106">
        <v>733.24</v>
      </c>
    </row>
    <row r="7657" spans="1:4">
      <c r="A7657">
        <v>39623</v>
      </c>
      <c r="B7657" t="s">
        <v>8179</v>
      </c>
      <c r="C7657" t="s">
        <v>427</v>
      </c>
      <c r="D7657" s="106">
        <v>785.36</v>
      </c>
    </row>
    <row r="7658" spans="1:4">
      <c r="A7658">
        <v>36207</v>
      </c>
      <c r="B7658" t="s">
        <v>8180</v>
      </c>
      <c r="C7658" t="s">
        <v>427</v>
      </c>
      <c r="D7658" s="106">
        <v>462.26</v>
      </c>
    </row>
    <row r="7659" spans="1:4">
      <c r="A7659">
        <v>36209</v>
      </c>
      <c r="B7659" t="s">
        <v>8181</v>
      </c>
      <c r="C7659" t="s">
        <v>427</v>
      </c>
      <c r="D7659" s="106">
        <v>530.51</v>
      </c>
    </row>
    <row r="7660" spans="1:4">
      <c r="A7660">
        <v>36210</v>
      </c>
      <c r="B7660" t="s">
        <v>8182</v>
      </c>
      <c r="C7660" t="s">
        <v>427</v>
      </c>
      <c r="D7660" s="106">
        <v>574</v>
      </c>
    </row>
    <row r="7661" spans="1:4">
      <c r="A7661">
        <v>36204</v>
      </c>
      <c r="B7661" t="s">
        <v>8183</v>
      </c>
      <c r="C7661" t="s">
        <v>427</v>
      </c>
      <c r="D7661" s="106">
        <v>203.52</v>
      </c>
    </row>
    <row r="7662" spans="1:4">
      <c r="A7662">
        <v>36205</v>
      </c>
      <c r="B7662" t="s">
        <v>8184</v>
      </c>
      <c r="C7662" t="s">
        <v>427</v>
      </c>
      <c r="D7662" s="106">
        <v>226.02</v>
      </c>
    </row>
    <row r="7663" spans="1:4">
      <c r="A7663">
        <v>36081</v>
      </c>
      <c r="B7663" t="s">
        <v>8185</v>
      </c>
      <c r="C7663" t="s">
        <v>427</v>
      </c>
      <c r="D7663" s="106">
        <v>241</v>
      </c>
    </row>
    <row r="7664" spans="1:4">
      <c r="A7664">
        <v>36206</v>
      </c>
      <c r="B7664" t="s">
        <v>8186</v>
      </c>
      <c r="C7664" t="s">
        <v>427</v>
      </c>
      <c r="D7664" s="106">
        <v>252.49</v>
      </c>
    </row>
    <row r="7665" spans="1:4">
      <c r="A7665">
        <v>36218</v>
      </c>
      <c r="B7665" t="s">
        <v>8187</v>
      </c>
      <c r="C7665" t="s">
        <v>427</v>
      </c>
      <c r="D7665" s="106">
        <v>136.26</v>
      </c>
    </row>
    <row r="7666" spans="1:4">
      <c r="A7666">
        <v>36220</v>
      </c>
      <c r="B7666" t="s">
        <v>8188</v>
      </c>
      <c r="C7666" t="s">
        <v>427</v>
      </c>
      <c r="D7666" s="106">
        <v>156.24</v>
      </c>
    </row>
    <row r="7667" spans="1:4">
      <c r="A7667">
        <v>36080</v>
      </c>
      <c r="B7667" t="s">
        <v>8189</v>
      </c>
      <c r="C7667" t="s">
        <v>427</v>
      </c>
      <c r="D7667" s="106">
        <v>169</v>
      </c>
    </row>
    <row r="7668" spans="1:4">
      <c r="A7668">
        <v>36223</v>
      </c>
      <c r="B7668" t="s">
        <v>8190</v>
      </c>
      <c r="C7668" t="s">
        <v>427</v>
      </c>
      <c r="D7668" s="106">
        <v>176.97</v>
      </c>
    </row>
    <row r="7669" spans="1:4">
      <c r="A7669">
        <v>546</v>
      </c>
      <c r="B7669" t="s">
        <v>8191</v>
      </c>
      <c r="C7669" t="s">
        <v>430</v>
      </c>
      <c r="D7669" s="106">
        <v>12.18</v>
      </c>
    </row>
    <row r="7670" spans="1:4">
      <c r="A7670">
        <v>566</v>
      </c>
      <c r="B7670" t="s">
        <v>8192</v>
      </c>
      <c r="C7670" t="s">
        <v>429</v>
      </c>
      <c r="D7670" s="106">
        <v>5.78</v>
      </c>
    </row>
    <row r="7671" spans="1:4">
      <c r="A7671">
        <v>565</v>
      </c>
      <c r="B7671" t="s">
        <v>8193</v>
      </c>
      <c r="C7671" t="s">
        <v>429</v>
      </c>
      <c r="D7671" s="106">
        <v>21.07</v>
      </c>
    </row>
    <row r="7672" spans="1:4">
      <c r="A7672">
        <v>555</v>
      </c>
      <c r="B7672" t="s">
        <v>8194</v>
      </c>
      <c r="C7672" t="s">
        <v>429</v>
      </c>
      <c r="D7672" s="106">
        <v>14.93</v>
      </c>
    </row>
    <row r="7673" spans="1:4">
      <c r="A7673">
        <v>557</v>
      </c>
      <c r="B7673" t="s">
        <v>8195</v>
      </c>
      <c r="C7673" t="s">
        <v>429</v>
      </c>
      <c r="D7673" s="106">
        <v>46.86</v>
      </c>
    </row>
    <row r="7674" spans="1:4">
      <c r="A7674">
        <v>552</v>
      </c>
      <c r="B7674" t="s">
        <v>8196</v>
      </c>
      <c r="C7674" t="s">
        <v>429</v>
      </c>
      <c r="D7674" s="106">
        <v>23.25</v>
      </c>
    </row>
    <row r="7675" spans="1:4">
      <c r="A7675">
        <v>563</v>
      </c>
      <c r="B7675" t="s">
        <v>8197</v>
      </c>
      <c r="C7675" t="s">
        <v>429</v>
      </c>
      <c r="D7675" s="106">
        <v>34.94</v>
      </c>
    </row>
    <row r="7676" spans="1:4">
      <c r="A7676">
        <v>549</v>
      </c>
      <c r="B7676" t="s">
        <v>8198</v>
      </c>
      <c r="C7676" t="s">
        <v>429</v>
      </c>
      <c r="D7676" s="106">
        <v>62.88</v>
      </c>
    </row>
    <row r="7677" spans="1:4">
      <c r="A7677">
        <v>551</v>
      </c>
      <c r="B7677" t="s">
        <v>8199</v>
      </c>
      <c r="C7677" t="s">
        <v>429</v>
      </c>
      <c r="D7677" s="106">
        <v>124.51</v>
      </c>
    </row>
    <row r="7678" spans="1:4">
      <c r="A7678">
        <v>559</v>
      </c>
      <c r="B7678" t="s">
        <v>8200</v>
      </c>
      <c r="C7678" t="s">
        <v>429</v>
      </c>
      <c r="D7678" s="106">
        <v>31.12</v>
      </c>
    </row>
    <row r="7679" spans="1:4">
      <c r="A7679">
        <v>560</v>
      </c>
      <c r="B7679" t="s">
        <v>8201</v>
      </c>
      <c r="C7679" t="s">
        <v>429</v>
      </c>
      <c r="D7679" s="106">
        <v>38.94</v>
      </c>
    </row>
    <row r="7680" spans="1:4">
      <c r="A7680">
        <v>547</v>
      </c>
      <c r="B7680" t="s">
        <v>8202</v>
      </c>
      <c r="C7680" t="s">
        <v>429</v>
      </c>
      <c r="D7680" s="106">
        <v>46.63</v>
      </c>
    </row>
    <row r="7681" spans="1:4">
      <c r="A7681">
        <v>38127</v>
      </c>
      <c r="B7681" t="s">
        <v>8203</v>
      </c>
      <c r="C7681" t="s">
        <v>427</v>
      </c>
      <c r="D7681" s="106">
        <v>387.79</v>
      </c>
    </row>
    <row r="7682" spans="1:4">
      <c r="A7682">
        <v>38060</v>
      </c>
      <c r="B7682" t="s">
        <v>8204</v>
      </c>
      <c r="C7682" t="s">
        <v>427</v>
      </c>
      <c r="D7682" s="106">
        <v>54.28</v>
      </c>
    </row>
    <row r="7683" spans="1:4">
      <c r="A7683">
        <v>10956</v>
      </c>
      <c r="B7683" t="s">
        <v>8205</v>
      </c>
      <c r="C7683" t="s">
        <v>427</v>
      </c>
      <c r="D7683" s="106">
        <v>59.53</v>
      </c>
    </row>
    <row r="7684" spans="1:4">
      <c r="A7684">
        <v>39380</v>
      </c>
      <c r="B7684" t="s">
        <v>8206</v>
      </c>
      <c r="C7684" t="s">
        <v>427</v>
      </c>
      <c r="D7684" s="106">
        <v>30.55</v>
      </c>
    </row>
    <row r="7685" spans="1:4">
      <c r="A7685">
        <v>37597</v>
      </c>
      <c r="B7685" t="s">
        <v>8207</v>
      </c>
      <c r="C7685" t="s">
        <v>427</v>
      </c>
      <c r="D7685" s="107">
        <v>573203.12</v>
      </c>
    </row>
    <row r="7686" spans="1:4">
      <c r="A7686">
        <v>183</v>
      </c>
      <c r="B7686" t="s">
        <v>8208</v>
      </c>
      <c r="C7686" t="s">
        <v>435</v>
      </c>
      <c r="D7686" s="106">
        <v>122.5</v>
      </c>
    </row>
    <row r="7687" spans="1:4">
      <c r="A7687">
        <v>184</v>
      </c>
      <c r="B7687" t="s">
        <v>8209</v>
      </c>
      <c r="C7687" t="s">
        <v>435</v>
      </c>
      <c r="D7687" s="106">
        <v>75.87</v>
      </c>
    </row>
    <row r="7688" spans="1:4">
      <c r="A7688">
        <v>181</v>
      </c>
      <c r="B7688" t="s">
        <v>8210</v>
      </c>
      <c r="C7688" t="s">
        <v>435</v>
      </c>
      <c r="D7688" s="106">
        <v>163.59</v>
      </c>
    </row>
    <row r="7689" spans="1:4">
      <c r="A7689">
        <v>20001</v>
      </c>
      <c r="B7689" t="s">
        <v>8211</v>
      </c>
      <c r="C7689" t="s">
        <v>435</v>
      </c>
      <c r="D7689" s="106">
        <v>94.83</v>
      </c>
    </row>
    <row r="7690" spans="1:4">
      <c r="A7690">
        <v>39837</v>
      </c>
      <c r="B7690" t="s">
        <v>8212</v>
      </c>
      <c r="C7690" t="s">
        <v>435</v>
      </c>
      <c r="D7690" s="106">
        <v>363.13</v>
      </c>
    </row>
    <row r="7691" spans="1:4">
      <c r="A7691">
        <v>43366</v>
      </c>
      <c r="B7691" t="s">
        <v>13433</v>
      </c>
      <c r="C7691" t="s">
        <v>430</v>
      </c>
      <c r="D7691" s="106">
        <v>1.58</v>
      </c>
    </row>
    <row r="7692" spans="1:4">
      <c r="A7692">
        <v>10535</v>
      </c>
      <c r="B7692" t="s">
        <v>8213</v>
      </c>
      <c r="C7692" t="s">
        <v>427</v>
      </c>
      <c r="D7692" s="107">
        <v>5299.99</v>
      </c>
    </row>
    <row r="7693" spans="1:4">
      <c r="A7693">
        <v>10537</v>
      </c>
      <c r="B7693" t="s">
        <v>8214</v>
      </c>
      <c r="C7693" t="s">
        <v>427</v>
      </c>
      <c r="D7693" s="107">
        <v>7227.74</v>
      </c>
    </row>
    <row r="7694" spans="1:4">
      <c r="A7694">
        <v>13891</v>
      </c>
      <c r="B7694" t="s">
        <v>8215</v>
      </c>
      <c r="C7694" t="s">
        <v>427</v>
      </c>
      <c r="D7694" s="107">
        <v>6629.47</v>
      </c>
    </row>
    <row r="7695" spans="1:4">
      <c r="A7695">
        <v>44492</v>
      </c>
      <c r="B7695" t="s">
        <v>13434</v>
      </c>
      <c r="C7695" t="s">
        <v>427</v>
      </c>
      <c r="D7695" s="107">
        <v>28835.53</v>
      </c>
    </row>
    <row r="7696" spans="1:4">
      <c r="A7696">
        <v>36396</v>
      </c>
      <c r="B7696" t="s">
        <v>8216</v>
      </c>
      <c r="C7696" t="s">
        <v>427</v>
      </c>
      <c r="D7696" s="107">
        <v>6063.54</v>
      </c>
    </row>
    <row r="7697" spans="1:4">
      <c r="A7697">
        <v>36397</v>
      </c>
      <c r="B7697" t="s">
        <v>8217</v>
      </c>
      <c r="C7697" t="s">
        <v>427</v>
      </c>
      <c r="D7697" s="107">
        <v>21559.279999999999</v>
      </c>
    </row>
    <row r="7698" spans="1:4">
      <c r="A7698">
        <v>36398</v>
      </c>
      <c r="B7698" t="s">
        <v>8218</v>
      </c>
      <c r="C7698" t="s">
        <v>427</v>
      </c>
      <c r="D7698" s="107">
        <v>26203.5</v>
      </c>
    </row>
    <row r="7699" spans="1:4">
      <c r="A7699">
        <v>647</v>
      </c>
      <c r="B7699" t="s">
        <v>8219</v>
      </c>
      <c r="C7699" t="s">
        <v>432</v>
      </c>
      <c r="D7699" s="106">
        <v>11.32</v>
      </c>
    </row>
    <row r="7700" spans="1:4">
      <c r="A7700">
        <v>40920</v>
      </c>
      <c r="B7700" t="s">
        <v>8220</v>
      </c>
      <c r="C7700" t="s">
        <v>433</v>
      </c>
      <c r="D7700" s="107">
        <v>2002.33</v>
      </c>
    </row>
    <row r="7701" spans="1:4">
      <c r="A7701">
        <v>715</v>
      </c>
      <c r="B7701" t="s">
        <v>8221</v>
      </c>
      <c r="C7701" t="s">
        <v>427</v>
      </c>
      <c r="D7701" s="106">
        <v>25</v>
      </c>
    </row>
    <row r="7702" spans="1:4">
      <c r="A7702">
        <v>716</v>
      </c>
      <c r="B7702" t="s">
        <v>8222</v>
      </c>
      <c r="C7702" t="s">
        <v>427</v>
      </c>
      <c r="D7702" s="106">
        <v>28.27</v>
      </c>
    </row>
    <row r="7703" spans="1:4">
      <c r="A7703">
        <v>38783</v>
      </c>
      <c r="B7703" t="s">
        <v>8223</v>
      </c>
      <c r="C7703" t="s">
        <v>427</v>
      </c>
      <c r="D7703" s="106">
        <v>1.19</v>
      </c>
    </row>
    <row r="7704" spans="1:4">
      <c r="A7704">
        <v>37593</v>
      </c>
      <c r="B7704" t="s">
        <v>8224</v>
      </c>
      <c r="C7704" t="s">
        <v>427</v>
      </c>
      <c r="D7704" s="106">
        <v>2.93</v>
      </c>
    </row>
    <row r="7705" spans="1:4">
      <c r="A7705">
        <v>37594</v>
      </c>
      <c r="B7705" t="s">
        <v>8225</v>
      </c>
      <c r="C7705" t="s">
        <v>427</v>
      </c>
      <c r="D7705" s="106">
        <v>3.65</v>
      </c>
    </row>
    <row r="7706" spans="1:4">
      <c r="A7706">
        <v>37592</v>
      </c>
      <c r="B7706" t="s">
        <v>8226</v>
      </c>
      <c r="C7706" t="s">
        <v>427</v>
      </c>
      <c r="D7706" s="106">
        <v>2.31</v>
      </c>
    </row>
    <row r="7707" spans="1:4">
      <c r="A7707">
        <v>7270</v>
      </c>
      <c r="B7707" t="s">
        <v>8227</v>
      </c>
      <c r="C7707" t="s">
        <v>427</v>
      </c>
      <c r="D7707" s="106">
        <v>1.03</v>
      </c>
    </row>
    <row r="7708" spans="1:4">
      <c r="A7708">
        <v>7267</v>
      </c>
      <c r="B7708" t="s">
        <v>8228</v>
      </c>
      <c r="C7708" t="s">
        <v>427</v>
      </c>
      <c r="D7708" s="106">
        <v>0.81</v>
      </c>
    </row>
    <row r="7709" spans="1:4">
      <c r="A7709">
        <v>7271</v>
      </c>
      <c r="B7709" t="s">
        <v>8229</v>
      </c>
      <c r="C7709" t="s">
        <v>427</v>
      </c>
      <c r="D7709" s="106">
        <v>0.89</v>
      </c>
    </row>
    <row r="7710" spans="1:4">
      <c r="A7710">
        <v>7266</v>
      </c>
      <c r="B7710" t="s">
        <v>8230</v>
      </c>
      <c r="C7710" t="s">
        <v>436</v>
      </c>
      <c r="D7710" s="106">
        <v>893.4</v>
      </c>
    </row>
    <row r="7711" spans="1:4">
      <c r="A7711">
        <v>7268</v>
      </c>
      <c r="B7711" t="s">
        <v>8231</v>
      </c>
      <c r="C7711" t="s">
        <v>427</v>
      </c>
      <c r="D7711" s="106">
        <v>1.24</v>
      </c>
    </row>
    <row r="7712" spans="1:4">
      <c r="A7712">
        <v>34556</v>
      </c>
      <c r="B7712" t="s">
        <v>8232</v>
      </c>
      <c r="C7712" t="s">
        <v>427</v>
      </c>
      <c r="D7712" s="106">
        <v>4.18</v>
      </c>
    </row>
    <row r="7713" spans="1:4">
      <c r="A7713">
        <v>37873</v>
      </c>
      <c r="B7713" t="s">
        <v>8233</v>
      </c>
      <c r="C7713" t="s">
        <v>427</v>
      </c>
      <c r="D7713" s="106">
        <v>4.26</v>
      </c>
    </row>
    <row r="7714" spans="1:4">
      <c r="A7714">
        <v>34564</v>
      </c>
      <c r="B7714" t="s">
        <v>8234</v>
      </c>
      <c r="C7714" t="s">
        <v>427</v>
      </c>
      <c r="D7714" s="106">
        <v>4.46</v>
      </c>
    </row>
    <row r="7715" spans="1:4">
      <c r="A7715">
        <v>34565</v>
      </c>
      <c r="B7715" t="s">
        <v>8235</v>
      </c>
      <c r="C7715" t="s">
        <v>427</v>
      </c>
      <c r="D7715" s="106">
        <v>4.72</v>
      </c>
    </row>
    <row r="7716" spans="1:4">
      <c r="A7716">
        <v>38590</v>
      </c>
      <c r="B7716" t="s">
        <v>8236</v>
      </c>
      <c r="C7716" t="s">
        <v>427</v>
      </c>
      <c r="D7716" s="106">
        <v>3.48</v>
      </c>
    </row>
    <row r="7717" spans="1:4">
      <c r="A7717">
        <v>34566</v>
      </c>
      <c r="B7717" t="s">
        <v>8237</v>
      </c>
      <c r="C7717" t="s">
        <v>427</v>
      </c>
      <c r="D7717" s="106">
        <v>3.66</v>
      </c>
    </row>
    <row r="7718" spans="1:4">
      <c r="A7718">
        <v>34567</v>
      </c>
      <c r="B7718" t="s">
        <v>8238</v>
      </c>
      <c r="C7718" t="s">
        <v>427</v>
      </c>
      <c r="D7718" s="106">
        <v>3.88</v>
      </c>
    </row>
    <row r="7719" spans="1:4">
      <c r="A7719">
        <v>38591</v>
      </c>
      <c r="B7719" t="s">
        <v>8239</v>
      </c>
      <c r="C7719" t="s">
        <v>427</v>
      </c>
      <c r="D7719" s="106">
        <v>3.52</v>
      </c>
    </row>
    <row r="7720" spans="1:4">
      <c r="A7720">
        <v>34568</v>
      </c>
      <c r="B7720" t="s">
        <v>8240</v>
      </c>
      <c r="C7720" t="s">
        <v>427</v>
      </c>
      <c r="D7720" s="106">
        <v>4.59</v>
      </c>
    </row>
    <row r="7721" spans="1:4">
      <c r="A7721">
        <v>34569</v>
      </c>
      <c r="B7721" t="s">
        <v>8241</v>
      </c>
      <c r="C7721" t="s">
        <v>427</v>
      </c>
      <c r="D7721" s="106">
        <v>4.72</v>
      </c>
    </row>
    <row r="7722" spans="1:4">
      <c r="A7722">
        <v>34570</v>
      </c>
      <c r="B7722" t="s">
        <v>8242</v>
      </c>
      <c r="C7722" t="s">
        <v>427</v>
      </c>
      <c r="D7722" s="106">
        <v>5.12</v>
      </c>
    </row>
    <row r="7723" spans="1:4">
      <c r="A7723">
        <v>25070</v>
      </c>
      <c r="B7723" t="s">
        <v>8243</v>
      </c>
      <c r="C7723" t="s">
        <v>427</v>
      </c>
      <c r="D7723" s="106">
        <v>3.85</v>
      </c>
    </row>
    <row r="7724" spans="1:4">
      <c r="A7724">
        <v>34571</v>
      </c>
      <c r="B7724" t="s">
        <v>8244</v>
      </c>
      <c r="C7724" t="s">
        <v>427</v>
      </c>
      <c r="D7724" s="106">
        <v>3.89</v>
      </c>
    </row>
    <row r="7725" spans="1:4">
      <c r="A7725">
        <v>34573</v>
      </c>
      <c r="B7725" t="s">
        <v>8245</v>
      </c>
      <c r="C7725" t="s">
        <v>427</v>
      </c>
      <c r="D7725" s="106">
        <v>4.09</v>
      </c>
    </row>
    <row r="7726" spans="1:4">
      <c r="A7726">
        <v>37107</v>
      </c>
      <c r="B7726" t="s">
        <v>8246</v>
      </c>
      <c r="C7726" t="s">
        <v>427</v>
      </c>
      <c r="D7726" s="106">
        <v>5.4</v>
      </c>
    </row>
    <row r="7727" spans="1:4">
      <c r="A7727">
        <v>34576</v>
      </c>
      <c r="B7727" t="s">
        <v>8247</v>
      </c>
      <c r="C7727" t="s">
        <v>427</v>
      </c>
      <c r="D7727" s="106">
        <v>5.96</v>
      </c>
    </row>
    <row r="7728" spans="1:4">
      <c r="A7728">
        <v>34577</v>
      </c>
      <c r="B7728" t="s">
        <v>8248</v>
      </c>
      <c r="C7728" t="s">
        <v>427</v>
      </c>
      <c r="D7728" s="106">
        <v>6.22</v>
      </c>
    </row>
    <row r="7729" spans="1:4">
      <c r="A7729">
        <v>34578</v>
      </c>
      <c r="B7729" t="s">
        <v>8249</v>
      </c>
      <c r="C7729" t="s">
        <v>427</v>
      </c>
      <c r="D7729" s="106">
        <v>6.75</v>
      </c>
    </row>
    <row r="7730" spans="1:4">
      <c r="A7730">
        <v>34579</v>
      </c>
      <c r="B7730" t="s">
        <v>8250</v>
      </c>
      <c r="C7730" t="s">
        <v>427</v>
      </c>
      <c r="D7730" s="106">
        <v>7.2</v>
      </c>
    </row>
    <row r="7731" spans="1:4">
      <c r="A7731">
        <v>25067</v>
      </c>
      <c r="B7731" t="s">
        <v>8251</v>
      </c>
      <c r="C7731" t="s">
        <v>427</v>
      </c>
      <c r="D7731" s="106">
        <v>4.82</v>
      </c>
    </row>
    <row r="7732" spans="1:4">
      <c r="A7732">
        <v>34580</v>
      </c>
      <c r="B7732" t="s">
        <v>8252</v>
      </c>
      <c r="C7732" t="s">
        <v>427</v>
      </c>
      <c r="D7732" s="106">
        <v>5.38</v>
      </c>
    </row>
    <row r="7733" spans="1:4">
      <c r="A7733">
        <v>25071</v>
      </c>
      <c r="B7733" t="s">
        <v>8253</v>
      </c>
      <c r="C7733" t="s">
        <v>427</v>
      </c>
      <c r="D7733" s="106">
        <v>2.68</v>
      </c>
    </row>
    <row r="7734" spans="1:4">
      <c r="A7734">
        <v>38395</v>
      </c>
      <c r="B7734" t="s">
        <v>8254</v>
      </c>
      <c r="C7734" t="s">
        <v>427</v>
      </c>
      <c r="D7734" s="106">
        <v>8.39</v>
      </c>
    </row>
    <row r="7735" spans="1:4">
      <c r="A7735">
        <v>34583</v>
      </c>
      <c r="B7735" t="s">
        <v>8255</v>
      </c>
      <c r="C7735" t="s">
        <v>426</v>
      </c>
      <c r="D7735" s="106">
        <v>61.35</v>
      </c>
    </row>
    <row r="7736" spans="1:4">
      <c r="A7736">
        <v>34584</v>
      </c>
      <c r="B7736" t="s">
        <v>8256</v>
      </c>
      <c r="C7736" t="s">
        <v>426</v>
      </c>
      <c r="D7736" s="106">
        <v>44.99</v>
      </c>
    </row>
    <row r="7737" spans="1:4">
      <c r="A7737">
        <v>709</v>
      </c>
      <c r="B7737" t="s">
        <v>8257</v>
      </c>
      <c r="C7737" t="s">
        <v>426</v>
      </c>
      <c r="D7737" s="106">
        <v>813.39</v>
      </c>
    </row>
    <row r="7738" spans="1:4">
      <c r="A7738">
        <v>34599</v>
      </c>
      <c r="B7738" t="s">
        <v>8258</v>
      </c>
      <c r="C7738" t="s">
        <v>427</v>
      </c>
      <c r="D7738" s="106">
        <v>2.75</v>
      </c>
    </row>
    <row r="7739" spans="1:4">
      <c r="A7739">
        <v>34592</v>
      </c>
      <c r="B7739" t="s">
        <v>8259</v>
      </c>
      <c r="C7739" t="s">
        <v>427</v>
      </c>
      <c r="D7739" s="106">
        <v>3.06</v>
      </c>
    </row>
    <row r="7740" spans="1:4">
      <c r="A7740">
        <v>37103</v>
      </c>
      <c r="B7740" t="s">
        <v>8260</v>
      </c>
      <c r="C7740" t="s">
        <v>427</v>
      </c>
      <c r="D7740" s="106">
        <v>3.5</v>
      </c>
    </row>
    <row r="7741" spans="1:4">
      <c r="A7741">
        <v>34555</v>
      </c>
      <c r="B7741" t="s">
        <v>8261</v>
      </c>
      <c r="C7741" t="s">
        <v>427</v>
      </c>
      <c r="D7741" s="106">
        <v>4.45</v>
      </c>
    </row>
    <row r="7742" spans="1:4">
      <c r="A7742">
        <v>674</v>
      </c>
      <c r="B7742" t="s">
        <v>8262</v>
      </c>
      <c r="C7742" t="s">
        <v>426</v>
      </c>
      <c r="D7742" s="106">
        <v>75.569999999999993</v>
      </c>
    </row>
    <row r="7743" spans="1:4">
      <c r="A7743">
        <v>34600</v>
      </c>
      <c r="B7743" t="s">
        <v>8263</v>
      </c>
      <c r="C7743" t="s">
        <v>426</v>
      </c>
      <c r="D7743" s="106">
        <v>111</v>
      </c>
    </row>
    <row r="7744" spans="1:4">
      <c r="A7744">
        <v>652</v>
      </c>
      <c r="B7744" t="s">
        <v>8264</v>
      </c>
      <c r="C7744" t="s">
        <v>426</v>
      </c>
      <c r="D7744" s="106">
        <v>170.04</v>
      </c>
    </row>
    <row r="7745" spans="1:4">
      <c r="A7745">
        <v>651</v>
      </c>
      <c r="B7745" t="s">
        <v>8265</v>
      </c>
      <c r="C7745" t="s">
        <v>427</v>
      </c>
      <c r="D7745" s="106">
        <v>3.37</v>
      </c>
    </row>
    <row r="7746" spans="1:4">
      <c r="A7746">
        <v>654</v>
      </c>
      <c r="B7746" t="s">
        <v>8266</v>
      </c>
      <c r="C7746" t="s">
        <v>427</v>
      </c>
      <c r="D7746" s="106">
        <v>4.18</v>
      </c>
    </row>
    <row r="7747" spans="1:4">
      <c r="A7747">
        <v>650</v>
      </c>
      <c r="B7747" t="s">
        <v>8267</v>
      </c>
      <c r="C7747" t="s">
        <v>427</v>
      </c>
      <c r="D7747" s="106">
        <v>2.7</v>
      </c>
    </row>
    <row r="7748" spans="1:4">
      <c r="A7748">
        <v>718</v>
      </c>
      <c r="B7748" t="s">
        <v>8268</v>
      </c>
      <c r="C7748" t="s">
        <v>427</v>
      </c>
      <c r="D7748" s="106">
        <v>24.7</v>
      </c>
    </row>
    <row r="7749" spans="1:4">
      <c r="A7749">
        <v>11981</v>
      </c>
      <c r="B7749" t="s">
        <v>8269</v>
      </c>
      <c r="C7749" t="s">
        <v>427</v>
      </c>
      <c r="D7749" s="106">
        <v>24</v>
      </c>
    </row>
    <row r="7750" spans="1:4">
      <c r="A7750">
        <v>34586</v>
      </c>
      <c r="B7750" t="s">
        <v>8270</v>
      </c>
      <c r="C7750" t="s">
        <v>427</v>
      </c>
      <c r="D7750" s="106">
        <v>2.5099999999999998</v>
      </c>
    </row>
    <row r="7751" spans="1:4">
      <c r="A7751">
        <v>38603</v>
      </c>
      <c r="B7751" t="s">
        <v>8271</v>
      </c>
      <c r="C7751" t="s">
        <v>427</v>
      </c>
      <c r="D7751" s="106">
        <v>3.03</v>
      </c>
    </row>
    <row r="7752" spans="1:4">
      <c r="A7752">
        <v>34588</v>
      </c>
      <c r="B7752" t="s">
        <v>8272</v>
      </c>
      <c r="C7752" t="s">
        <v>427</v>
      </c>
      <c r="D7752" s="106">
        <v>3.27</v>
      </c>
    </row>
    <row r="7753" spans="1:4">
      <c r="A7753">
        <v>34590</v>
      </c>
      <c r="B7753" t="s">
        <v>8273</v>
      </c>
      <c r="C7753" t="s">
        <v>427</v>
      </c>
      <c r="D7753" s="106">
        <v>2.99</v>
      </c>
    </row>
    <row r="7754" spans="1:4">
      <c r="A7754">
        <v>34591</v>
      </c>
      <c r="B7754" t="s">
        <v>8274</v>
      </c>
      <c r="C7754" t="s">
        <v>427</v>
      </c>
      <c r="D7754" s="106">
        <v>4.05</v>
      </c>
    </row>
    <row r="7755" spans="1:4">
      <c r="A7755">
        <v>41372</v>
      </c>
      <c r="B7755" t="s">
        <v>8275</v>
      </c>
      <c r="C7755" t="s">
        <v>426</v>
      </c>
      <c r="D7755" s="106">
        <v>106.06</v>
      </c>
    </row>
    <row r="7756" spans="1:4">
      <c r="A7756">
        <v>41371</v>
      </c>
      <c r="B7756" t="s">
        <v>8276</v>
      </c>
      <c r="C7756" t="s">
        <v>426</v>
      </c>
      <c r="D7756" s="106">
        <v>62.69</v>
      </c>
    </row>
    <row r="7757" spans="1:4">
      <c r="A7757">
        <v>40517</v>
      </c>
      <c r="B7757" t="s">
        <v>8277</v>
      </c>
      <c r="C7757" t="s">
        <v>426</v>
      </c>
      <c r="D7757" s="106">
        <v>60.39</v>
      </c>
    </row>
    <row r="7758" spans="1:4">
      <c r="A7758">
        <v>40515</v>
      </c>
      <c r="B7758" t="s">
        <v>8278</v>
      </c>
      <c r="C7758" t="s">
        <v>426</v>
      </c>
      <c r="D7758" s="106">
        <v>135.88</v>
      </c>
    </row>
    <row r="7759" spans="1:4">
      <c r="A7759">
        <v>40529</v>
      </c>
      <c r="B7759" t="s">
        <v>8279</v>
      </c>
      <c r="C7759" t="s">
        <v>426</v>
      </c>
      <c r="D7759" s="106">
        <v>86.81</v>
      </c>
    </row>
    <row r="7760" spans="1:4">
      <c r="A7760">
        <v>36170</v>
      </c>
      <c r="B7760" t="s">
        <v>8280</v>
      </c>
      <c r="C7760" t="s">
        <v>426</v>
      </c>
      <c r="D7760" s="106">
        <v>72.03</v>
      </c>
    </row>
    <row r="7761" spans="1:4">
      <c r="A7761">
        <v>40524</v>
      </c>
      <c r="B7761" t="s">
        <v>8281</v>
      </c>
      <c r="C7761" t="s">
        <v>426</v>
      </c>
      <c r="D7761" s="106">
        <v>84.92</v>
      </c>
    </row>
    <row r="7762" spans="1:4">
      <c r="A7762">
        <v>36156</v>
      </c>
      <c r="B7762" t="s">
        <v>8282</v>
      </c>
      <c r="C7762" t="s">
        <v>426</v>
      </c>
      <c r="D7762" s="106">
        <v>66.05</v>
      </c>
    </row>
    <row r="7763" spans="1:4">
      <c r="A7763">
        <v>36155</v>
      </c>
      <c r="B7763" t="s">
        <v>8283</v>
      </c>
      <c r="C7763" t="s">
        <v>426</v>
      </c>
      <c r="D7763" s="106">
        <v>57.02</v>
      </c>
    </row>
    <row r="7764" spans="1:4">
      <c r="A7764">
        <v>36154</v>
      </c>
      <c r="B7764" t="s">
        <v>8284</v>
      </c>
      <c r="C7764" t="s">
        <v>426</v>
      </c>
      <c r="D7764" s="106">
        <v>79.260000000000005</v>
      </c>
    </row>
    <row r="7765" spans="1:4">
      <c r="A7765">
        <v>695</v>
      </c>
      <c r="B7765" t="s">
        <v>8285</v>
      </c>
      <c r="C7765" t="s">
        <v>426</v>
      </c>
      <c r="D7765" s="106">
        <v>58.22</v>
      </c>
    </row>
    <row r="7766" spans="1:4">
      <c r="A7766">
        <v>679</v>
      </c>
      <c r="B7766" t="s">
        <v>8286</v>
      </c>
      <c r="C7766" t="s">
        <v>426</v>
      </c>
      <c r="D7766" s="106">
        <v>86.81</v>
      </c>
    </row>
    <row r="7767" spans="1:4">
      <c r="A7767">
        <v>711</v>
      </c>
      <c r="B7767" t="s">
        <v>8287</v>
      </c>
      <c r="C7767" t="s">
        <v>426</v>
      </c>
      <c r="D7767" s="106">
        <v>57.43</v>
      </c>
    </row>
    <row r="7768" spans="1:4">
      <c r="A7768">
        <v>712</v>
      </c>
      <c r="B7768" t="s">
        <v>8288</v>
      </c>
      <c r="C7768" t="s">
        <v>426</v>
      </c>
      <c r="D7768" s="106">
        <v>72.34</v>
      </c>
    </row>
    <row r="7769" spans="1:4">
      <c r="A7769">
        <v>12614</v>
      </c>
      <c r="B7769" t="s">
        <v>8289</v>
      </c>
      <c r="C7769" t="s">
        <v>427</v>
      </c>
      <c r="D7769" s="106">
        <v>20.76</v>
      </c>
    </row>
    <row r="7770" spans="1:4">
      <c r="A7770">
        <v>6140</v>
      </c>
      <c r="B7770" t="s">
        <v>8290</v>
      </c>
      <c r="C7770" t="s">
        <v>427</v>
      </c>
      <c r="D7770" s="106">
        <v>4.18</v>
      </c>
    </row>
    <row r="7771" spans="1:4">
      <c r="A7771">
        <v>38399</v>
      </c>
      <c r="B7771" t="s">
        <v>8291</v>
      </c>
      <c r="C7771" t="s">
        <v>427</v>
      </c>
      <c r="D7771" s="106">
        <v>229.16</v>
      </c>
    </row>
    <row r="7772" spans="1:4">
      <c r="A7772">
        <v>735</v>
      </c>
      <c r="B7772" t="s">
        <v>8292</v>
      </c>
      <c r="C7772" t="s">
        <v>427</v>
      </c>
      <c r="D7772" s="107">
        <v>2042.94</v>
      </c>
    </row>
    <row r="7773" spans="1:4">
      <c r="A7773">
        <v>736</v>
      </c>
      <c r="B7773" t="s">
        <v>8293</v>
      </c>
      <c r="C7773" t="s">
        <v>427</v>
      </c>
      <c r="D7773" s="107">
        <v>1717.74</v>
      </c>
    </row>
    <row r="7774" spans="1:4">
      <c r="A7774">
        <v>729</v>
      </c>
      <c r="B7774" t="s">
        <v>8294</v>
      </c>
      <c r="C7774" t="s">
        <v>427</v>
      </c>
      <c r="D7774" s="106">
        <v>700</v>
      </c>
    </row>
    <row r="7775" spans="1:4">
      <c r="A7775">
        <v>39925</v>
      </c>
      <c r="B7775" t="s">
        <v>8295</v>
      </c>
      <c r="C7775" t="s">
        <v>427</v>
      </c>
      <c r="D7775" s="107">
        <v>10114.93</v>
      </c>
    </row>
    <row r="7776" spans="1:4">
      <c r="A7776">
        <v>731</v>
      </c>
      <c r="B7776" t="s">
        <v>8296</v>
      </c>
      <c r="C7776" t="s">
        <v>427</v>
      </c>
      <c r="D7776" s="106">
        <v>681.27</v>
      </c>
    </row>
    <row r="7777" spans="1:4">
      <c r="A7777">
        <v>10575</v>
      </c>
      <c r="B7777" t="s">
        <v>8297</v>
      </c>
      <c r="C7777" t="s">
        <v>427</v>
      </c>
      <c r="D7777" s="107">
        <v>1063.17</v>
      </c>
    </row>
    <row r="7778" spans="1:4">
      <c r="A7778">
        <v>733</v>
      </c>
      <c r="B7778" t="s">
        <v>8298</v>
      </c>
      <c r="C7778" t="s">
        <v>427</v>
      </c>
      <c r="D7778" s="107">
        <v>1164.05</v>
      </c>
    </row>
    <row r="7779" spans="1:4">
      <c r="A7779">
        <v>732</v>
      </c>
      <c r="B7779" t="s">
        <v>8299</v>
      </c>
      <c r="C7779" t="s">
        <v>427</v>
      </c>
      <c r="D7779" s="107">
        <v>1148.4000000000001</v>
      </c>
    </row>
    <row r="7780" spans="1:4">
      <c r="A7780">
        <v>737</v>
      </c>
      <c r="B7780" t="s">
        <v>8300</v>
      </c>
      <c r="C7780" t="s">
        <v>427</v>
      </c>
      <c r="D7780" s="107">
        <v>6439.88</v>
      </c>
    </row>
    <row r="7781" spans="1:4">
      <c r="A7781">
        <v>738</v>
      </c>
      <c r="B7781" t="s">
        <v>8301</v>
      </c>
      <c r="C7781" t="s">
        <v>427</v>
      </c>
      <c r="D7781" s="107">
        <v>2986.13</v>
      </c>
    </row>
    <row r="7782" spans="1:4">
      <c r="A7782">
        <v>740</v>
      </c>
      <c r="B7782" t="s">
        <v>8302</v>
      </c>
      <c r="C7782" t="s">
        <v>427</v>
      </c>
      <c r="D7782" s="107">
        <v>6058.24</v>
      </c>
    </row>
    <row r="7783" spans="1:4">
      <c r="A7783">
        <v>734</v>
      </c>
      <c r="B7783" t="s">
        <v>8303</v>
      </c>
      <c r="C7783" t="s">
        <v>427</v>
      </c>
      <c r="D7783" s="107">
        <v>1231.08</v>
      </c>
    </row>
    <row r="7784" spans="1:4">
      <c r="A7784">
        <v>39008</v>
      </c>
      <c r="B7784" t="s">
        <v>8304</v>
      </c>
      <c r="C7784" t="s">
        <v>427</v>
      </c>
      <c r="D7784" s="107">
        <v>64608.49</v>
      </c>
    </row>
    <row r="7785" spans="1:4">
      <c r="A7785">
        <v>39009</v>
      </c>
      <c r="B7785" t="s">
        <v>8305</v>
      </c>
      <c r="C7785" t="s">
        <v>427</v>
      </c>
      <c r="D7785" s="107">
        <v>69219.990000000005</v>
      </c>
    </row>
    <row r="7786" spans="1:4">
      <c r="A7786">
        <v>10587</v>
      </c>
      <c r="B7786" t="s">
        <v>8306</v>
      </c>
      <c r="C7786" t="s">
        <v>427</v>
      </c>
      <c r="D7786" s="107">
        <v>3052.41</v>
      </c>
    </row>
    <row r="7787" spans="1:4">
      <c r="A7787">
        <v>759</v>
      </c>
      <c r="B7787" t="s">
        <v>8307</v>
      </c>
      <c r="C7787" t="s">
        <v>427</v>
      </c>
      <c r="D7787" s="107">
        <v>4388.76</v>
      </c>
    </row>
    <row r="7788" spans="1:4">
      <c r="A7788">
        <v>761</v>
      </c>
      <c r="B7788" t="s">
        <v>8308</v>
      </c>
      <c r="C7788" t="s">
        <v>427</v>
      </c>
      <c r="D7788" s="107">
        <v>7439.32</v>
      </c>
    </row>
    <row r="7789" spans="1:4">
      <c r="A7789">
        <v>750</v>
      </c>
      <c r="B7789" t="s">
        <v>8309</v>
      </c>
      <c r="C7789" t="s">
        <v>427</v>
      </c>
      <c r="D7789" s="107">
        <v>7063.05</v>
      </c>
    </row>
    <row r="7790" spans="1:4">
      <c r="A7790">
        <v>755</v>
      </c>
      <c r="B7790" t="s">
        <v>8310</v>
      </c>
      <c r="C7790" t="s">
        <v>427</v>
      </c>
      <c r="D7790" s="107">
        <v>28983.32</v>
      </c>
    </row>
    <row r="7791" spans="1:4">
      <c r="A7791">
        <v>749</v>
      </c>
      <c r="B7791" t="s">
        <v>8311</v>
      </c>
      <c r="C7791" t="s">
        <v>427</v>
      </c>
      <c r="D7791" s="107">
        <v>10659.53</v>
      </c>
    </row>
    <row r="7792" spans="1:4">
      <c r="A7792">
        <v>756</v>
      </c>
      <c r="B7792" t="s">
        <v>8312</v>
      </c>
      <c r="C7792" t="s">
        <v>427</v>
      </c>
      <c r="D7792" s="107">
        <v>31610.2</v>
      </c>
    </row>
    <row r="7793" spans="1:4">
      <c r="A7793">
        <v>757</v>
      </c>
      <c r="B7793" t="s">
        <v>8313</v>
      </c>
      <c r="C7793" t="s">
        <v>427</v>
      </c>
      <c r="D7793" s="107">
        <v>14353.05</v>
      </c>
    </row>
    <row r="7794" spans="1:4">
      <c r="A7794">
        <v>10588</v>
      </c>
      <c r="B7794" t="s">
        <v>8314</v>
      </c>
      <c r="C7794" t="s">
        <v>427</v>
      </c>
      <c r="D7794" s="107">
        <v>3168.79</v>
      </c>
    </row>
    <row r="7795" spans="1:4">
      <c r="A7795">
        <v>10592</v>
      </c>
      <c r="B7795" t="s">
        <v>8315</v>
      </c>
      <c r="C7795" t="s">
        <v>427</v>
      </c>
      <c r="D7795" s="107">
        <v>3827.48</v>
      </c>
    </row>
    <row r="7796" spans="1:4">
      <c r="A7796">
        <v>10589</v>
      </c>
      <c r="B7796" t="s">
        <v>8316</v>
      </c>
      <c r="C7796" t="s">
        <v>427</v>
      </c>
      <c r="D7796" s="107">
        <v>5141.9799999999996</v>
      </c>
    </row>
    <row r="7797" spans="1:4">
      <c r="A7797">
        <v>760</v>
      </c>
      <c r="B7797" t="s">
        <v>8317</v>
      </c>
      <c r="C7797" t="s">
        <v>427</v>
      </c>
      <c r="D7797" s="107">
        <v>28706.1</v>
      </c>
    </row>
    <row r="7798" spans="1:4">
      <c r="A7798">
        <v>751</v>
      </c>
      <c r="B7798" t="s">
        <v>8318</v>
      </c>
      <c r="C7798" t="s">
        <v>427</v>
      </c>
      <c r="D7798" s="107">
        <v>4521.21</v>
      </c>
    </row>
    <row r="7799" spans="1:4">
      <c r="A7799">
        <v>754</v>
      </c>
      <c r="B7799" t="s">
        <v>8319</v>
      </c>
      <c r="C7799" t="s">
        <v>427</v>
      </c>
      <c r="D7799" s="107">
        <v>7176.52</v>
      </c>
    </row>
    <row r="7800" spans="1:4">
      <c r="A7800">
        <v>44489</v>
      </c>
      <c r="B7800" t="s">
        <v>13435</v>
      </c>
      <c r="C7800" t="s">
        <v>427</v>
      </c>
      <c r="D7800" s="107">
        <v>174019.68</v>
      </c>
    </row>
    <row r="7801" spans="1:4">
      <c r="A7801">
        <v>39917</v>
      </c>
      <c r="B7801" t="s">
        <v>8320</v>
      </c>
      <c r="C7801" t="s">
        <v>427</v>
      </c>
      <c r="D7801" s="107">
        <v>99243.31</v>
      </c>
    </row>
    <row r="7802" spans="1:4">
      <c r="A7802">
        <v>38167</v>
      </c>
      <c r="B7802" t="s">
        <v>8321</v>
      </c>
      <c r="C7802" t="s">
        <v>434</v>
      </c>
      <c r="D7802" s="106">
        <v>29.28</v>
      </c>
    </row>
    <row r="7803" spans="1:4">
      <c r="A7803">
        <v>36145</v>
      </c>
      <c r="B7803" t="s">
        <v>8322</v>
      </c>
      <c r="C7803" t="s">
        <v>434</v>
      </c>
      <c r="D7803" s="106">
        <v>57.6</v>
      </c>
    </row>
    <row r="7804" spans="1:4">
      <c r="A7804">
        <v>12893</v>
      </c>
      <c r="B7804" t="s">
        <v>8323</v>
      </c>
      <c r="C7804" t="s">
        <v>434</v>
      </c>
      <c r="D7804" s="106">
        <v>96</v>
      </c>
    </row>
    <row r="7805" spans="1:4">
      <c r="A7805">
        <v>11685</v>
      </c>
      <c r="B7805" t="s">
        <v>8324</v>
      </c>
      <c r="C7805" t="s">
        <v>427</v>
      </c>
      <c r="D7805" s="106">
        <v>24.04</v>
      </c>
    </row>
    <row r="7806" spans="1:4">
      <c r="A7806">
        <v>11680</v>
      </c>
      <c r="B7806" t="s">
        <v>8325</v>
      </c>
      <c r="C7806" t="s">
        <v>427</v>
      </c>
      <c r="D7806" s="106">
        <v>17.670000000000002</v>
      </c>
    </row>
    <row r="7807" spans="1:4">
      <c r="A7807">
        <v>11679</v>
      </c>
      <c r="B7807" t="s">
        <v>8326</v>
      </c>
      <c r="C7807" t="s">
        <v>427</v>
      </c>
      <c r="D7807" s="106">
        <v>23.96</v>
      </c>
    </row>
    <row r="7808" spans="1:4">
      <c r="A7808">
        <v>2512</v>
      </c>
      <c r="B7808" t="s">
        <v>8327</v>
      </c>
      <c r="C7808" t="s">
        <v>427</v>
      </c>
      <c r="D7808" s="106">
        <v>58.72</v>
      </c>
    </row>
    <row r="7809" spans="1:4">
      <c r="A7809">
        <v>4374</v>
      </c>
      <c r="B7809" t="s">
        <v>8328</v>
      </c>
      <c r="C7809" t="s">
        <v>427</v>
      </c>
      <c r="D7809" s="106">
        <v>0.37</v>
      </c>
    </row>
    <row r="7810" spans="1:4">
      <c r="A7810">
        <v>7568</v>
      </c>
      <c r="B7810" t="s">
        <v>8329</v>
      </c>
      <c r="C7810" t="s">
        <v>427</v>
      </c>
      <c r="D7810" s="106">
        <v>0.61</v>
      </c>
    </row>
    <row r="7811" spans="1:4">
      <c r="A7811">
        <v>7584</v>
      </c>
      <c r="B7811" t="s">
        <v>8330</v>
      </c>
      <c r="C7811" t="s">
        <v>427</v>
      </c>
      <c r="D7811" s="106">
        <v>0.93</v>
      </c>
    </row>
    <row r="7812" spans="1:4">
      <c r="A7812">
        <v>11945</v>
      </c>
      <c r="B7812" t="s">
        <v>8331</v>
      </c>
      <c r="C7812" t="s">
        <v>427</v>
      </c>
      <c r="D7812" s="106">
        <v>0.06</v>
      </c>
    </row>
    <row r="7813" spans="1:4">
      <c r="A7813">
        <v>11946</v>
      </c>
      <c r="B7813" t="s">
        <v>8332</v>
      </c>
      <c r="C7813" t="s">
        <v>427</v>
      </c>
      <c r="D7813" s="106">
        <v>0.06</v>
      </c>
    </row>
    <row r="7814" spans="1:4">
      <c r="A7814">
        <v>4375</v>
      </c>
      <c r="B7814" t="s">
        <v>8333</v>
      </c>
      <c r="C7814" t="s">
        <v>427</v>
      </c>
      <c r="D7814" s="106">
        <v>0.1</v>
      </c>
    </row>
    <row r="7815" spans="1:4">
      <c r="A7815">
        <v>11950</v>
      </c>
      <c r="B7815" t="s">
        <v>8334</v>
      </c>
      <c r="C7815" t="s">
        <v>427</v>
      </c>
      <c r="D7815" s="106">
        <v>0.2</v>
      </c>
    </row>
    <row r="7816" spans="1:4">
      <c r="A7816">
        <v>4376</v>
      </c>
      <c r="B7816" t="s">
        <v>8335</v>
      </c>
      <c r="C7816" t="s">
        <v>427</v>
      </c>
      <c r="D7816" s="106">
        <v>0.19</v>
      </c>
    </row>
    <row r="7817" spans="1:4">
      <c r="A7817">
        <v>7583</v>
      </c>
      <c r="B7817" t="s">
        <v>8336</v>
      </c>
      <c r="C7817" t="s">
        <v>427</v>
      </c>
      <c r="D7817" s="106">
        <v>0.41</v>
      </c>
    </row>
    <row r="7818" spans="1:4">
      <c r="A7818">
        <v>4350</v>
      </c>
      <c r="B7818" t="s">
        <v>8337</v>
      </c>
      <c r="C7818" t="s">
        <v>427</v>
      </c>
      <c r="D7818" s="106">
        <v>0.73</v>
      </c>
    </row>
    <row r="7819" spans="1:4">
      <c r="A7819">
        <v>39886</v>
      </c>
      <c r="B7819" t="s">
        <v>8338</v>
      </c>
      <c r="C7819" t="s">
        <v>427</v>
      </c>
      <c r="D7819" s="106">
        <v>6.82</v>
      </c>
    </row>
    <row r="7820" spans="1:4">
      <c r="A7820">
        <v>39887</v>
      </c>
      <c r="B7820" t="s">
        <v>8339</v>
      </c>
      <c r="C7820" t="s">
        <v>427</v>
      </c>
      <c r="D7820" s="106">
        <v>10.24</v>
      </c>
    </row>
    <row r="7821" spans="1:4">
      <c r="A7821">
        <v>39888</v>
      </c>
      <c r="B7821" t="s">
        <v>8340</v>
      </c>
      <c r="C7821" t="s">
        <v>427</v>
      </c>
      <c r="D7821" s="106">
        <v>23.41</v>
      </c>
    </row>
    <row r="7822" spans="1:4">
      <c r="A7822">
        <v>39890</v>
      </c>
      <c r="B7822" t="s">
        <v>8341</v>
      </c>
      <c r="C7822" t="s">
        <v>427</v>
      </c>
      <c r="D7822" s="106">
        <v>39.96</v>
      </c>
    </row>
    <row r="7823" spans="1:4">
      <c r="A7823">
        <v>39891</v>
      </c>
      <c r="B7823" t="s">
        <v>8342</v>
      </c>
      <c r="C7823" t="s">
        <v>427</v>
      </c>
      <c r="D7823" s="106">
        <v>56.34</v>
      </c>
    </row>
    <row r="7824" spans="1:4">
      <c r="A7824">
        <v>39892</v>
      </c>
      <c r="B7824" t="s">
        <v>8343</v>
      </c>
      <c r="C7824" t="s">
        <v>427</v>
      </c>
      <c r="D7824" s="106">
        <v>175.61</v>
      </c>
    </row>
    <row r="7825" spans="1:4">
      <c r="A7825">
        <v>790</v>
      </c>
      <c r="B7825" t="s">
        <v>8344</v>
      </c>
      <c r="C7825" t="s">
        <v>427</v>
      </c>
      <c r="D7825" s="106">
        <v>16.32</v>
      </c>
    </row>
    <row r="7826" spans="1:4">
      <c r="A7826">
        <v>766</v>
      </c>
      <c r="B7826" t="s">
        <v>8345</v>
      </c>
      <c r="C7826" t="s">
        <v>427</v>
      </c>
      <c r="D7826" s="106">
        <v>16.32</v>
      </c>
    </row>
    <row r="7827" spans="1:4">
      <c r="A7827">
        <v>791</v>
      </c>
      <c r="B7827" t="s">
        <v>8346</v>
      </c>
      <c r="C7827" t="s">
        <v>427</v>
      </c>
      <c r="D7827" s="106">
        <v>16.32</v>
      </c>
    </row>
    <row r="7828" spans="1:4">
      <c r="A7828">
        <v>767</v>
      </c>
      <c r="B7828" t="s">
        <v>8347</v>
      </c>
      <c r="C7828" t="s">
        <v>427</v>
      </c>
      <c r="D7828" s="106">
        <v>16.32</v>
      </c>
    </row>
    <row r="7829" spans="1:4">
      <c r="A7829">
        <v>768</v>
      </c>
      <c r="B7829" t="s">
        <v>8348</v>
      </c>
      <c r="C7829" t="s">
        <v>427</v>
      </c>
      <c r="D7829" s="106">
        <v>12.82</v>
      </c>
    </row>
    <row r="7830" spans="1:4">
      <c r="A7830">
        <v>789</v>
      </c>
      <c r="B7830" t="s">
        <v>8349</v>
      </c>
      <c r="C7830" t="s">
        <v>427</v>
      </c>
      <c r="D7830" s="106">
        <v>12.54</v>
      </c>
    </row>
    <row r="7831" spans="1:4">
      <c r="A7831">
        <v>769</v>
      </c>
      <c r="B7831" t="s">
        <v>8350</v>
      </c>
      <c r="C7831" t="s">
        <v>427</v>
      </c>
      <c r="D7831" s="106">
        <v>12.82</v>
      </c>
    </row>
    <row r="7832" spans="1:4">
      <c r="A7832">
        <v>770</v>
      </c>
      <c r="B7832" t="s">
        <v>8351</v>
      </c>
      <c r="C7832" t="s">
        <v>427</v>
      </c>
      <c r="D7832" s="106">
        <v>4.5199999999999996</v>
      </c>
    </row>
    <row r="7833" spans="1:4">
      <c r="A7833">
        <v>12394</v>
      </c>
      <c r="B7833" t="s">
        <v>8352</v>
      </c>
      <c r="C7833" t="s">
        <v>427</v>
      </c>
      <c r="D7833" s="106">
        <v>4.5199999999999996</v>
      </c>
    </row>
    <row r="7834" spans="1:4">
      <c r="A7834">
        <v>764</v>
      </c>
      <c r="B7834" t="s">
        <v>8353</v>
      </c>
      <c r="C7834" t="s">
        <v>427</v>
      </c>
      <c r="D7834" s="106">
        <v>7.89</v>
      </c>
    </row>
    <row r="7835" spans="1:4">
      <c r="A7835">
        <v>765</v>
      </c>
      <c r="B7835" t="s">
        <v>8354</v>
      </c>
      <c r="C7835" t="s">
        <v>427</v>
      </c>
      <c r="D7835" s="106">
        <v>7.89</v>
      </c>
    </row>
    <row r="7836" spans="1:4">
      <c r="A7836">
        <v>787</v>
      </c>
      <c r="B7836" t="s">
        <v>8355</v>
      </c>
      <c r="C7836" t="s">
        <v>427</v>
      </c>
      <c r="D7836" s="106">
        <v>35.24</v>
      </c>
    </row>
    <row r="7837" spans="1:4">
      <c r="A7837">
        <v>774</v>
      </c>
      <c r="B7837" t="s">
        <v>8356</v>
      </c>
      <c r="C7837" t="s">
        <v>427</v>
      </c>
      <c r="D7837" s="106">
        <v>35.24</v>
      </c>
    </row>
    <row r="7838" spans="1:4">
      <c r="A7838">
        <v>773</v>
      </c>
      <c r="B7838" t="s">
        <v>8357</v>
      </c>
      <c r="C7838" t="s">
        <v>427</v>
      </c>
      <c r="D7838" s="106">
        <v>35.24</v>
      </c>
    </row>
    <row r="7839" spans="1:4">
      <c r="A7839">
        <v>775</v>
      </c>
      <c r="B7839" t="s">
        <v>8358</v>
      </c>
      <c r="C7839" t="s">
        <v>427</v>
      </c>
      <c r="D7839" s="106">
        <v>35.24</v>
      </c>
    </row>
    <row r="7840" spans="1:4">
      <c r="A7840">
        <v>788</v>
      </c>
      <c r="B7840" t="s">
        <v>8359</v>
      </c>
      <c r="C7840" t="s">
        <v>427</v>
      </c>
      <c r="D7840" s="106">
        <v>21.9</v>
      </c>
    </row>
    <row r="7841" spans="1:4">
      <c r="A7841">
        <v>772</v>
      </c>
      <c r="B7841" t="s">
        <v>8360</v>
      </c>
      <c r="C7841" t="s">
        <v>427</v>
      </c>
      <c r="D7841" s="106">
        <v>21.9</v>
      </c>
    </row>
    <row r="7842" spans="1:4">
      <c r="A7842">
        <v>771</v>
      </c>
      <c r="B7842" t="s">
        <v>8361</v>
      </c>
      <c r="C7842" t="s">
        <v>427</v>
      </c>
      <c r="D7842" s="106">
        <v>21.9</v>
      </c>
    </row>
    <row r="7843" spans="1:4">
      <c r="A7843">
        <v>779</v>
      </c>
      <c r="B7843" t="s">
        <v>8362</v>
      </c>
      <c r="C7843" t="s">
        <v>427</v>
      </c>
      <c r="D7843" s="106">
        <v>5.44</v>
      </c>
    </row>
    <row r="7844" spans="1:4">
      <c r="A7844">
        <v>776</v>
      </c>
      <c r="B7844" t="s">
        <v>8363</v>
      </c>
      <c r="C7844" t="s">
        <v>427</v>
      </c>
      <c r="D7844" s="106">
        <v>51.95</v>
      </c>
    </row>
    <row r="7845" spans="1:4">
      <c r="A7845">
        <v>777</v>
      </c>
      <c r="B7845" t="s">
        <v>8364</v>
      </c>
      <c r="C7845" t="s">
        <v>427</v>
      </c>
      <c r="D7845" s="106">
        <v>50.51</v>
      </c>
    </row>
    <row r="7846" spans="1:4">
      <c r="A7846">
        <v>780</v>
      </c>
      <c r="B7846" t="s">
        <v>8365</v>
      </c>
      <c r="C7846" t="s">
        <v>427</v>
      </c>
      <c r="D7846" s="106">
        <v>50.76</v>
      </c>
    </row>
    <row r="7847" spans="1:4">
      <c r="A7847">
        <v>778</v>
      </c>
      <c r="B7847" t="s">
        <v>8366</v>
      </c>
      <c r="C7847" t="s">
        <v>427</v>
      </c>
      <c r="D7847" s="106">
        <v>51.95</v>
      </c>
    </row>
    <row r="7848" spans="1:4">
      <c r="A7848">
        <v>781</v>
      </c>
      <c r="B7848" t="s">
        <v>8367</v>
      </c>
      <c r="C7848" t="s">
        <v>427</v>
      </c>
      <c r="D7848" s="106">
        <v>95.99</v>
      </c>
    </row>
    <row r="7849" spans="1:4">
      <c r="A7849">
        <v>786</v>
      </c>
      <c r="B7849" t="s">
        <v>8368</v>
      </c>
      <c r="C7849" t="s">
        <v>427</v>
      </c>
      <c r="D7849" s="106">
        <v>95.99</v>
      </c>
    </row>
    <row r="7850" spans="1:4">
      <c r="A7850">
        <v>782</v>
      </c>
      <c r="B7850" t="s">
        <v>8369</v>
      </c>
      <c r="C7850" t="s">
        <v>427</v>
      </c>
      <c r="D7850" s="106">
        <v>95.99</v>
      </c>
    </row>
    <row r="7851" spans="1:4">
      <c r="A7851">
        <v>783</v>
      </c>
      <c r="B7851" t="s">
        <v>8370</v>
      </c>
      <c r="C7851" t="s">
        <v>427</v>
      </c>
      <c r="D7851" s="106">
        <v>262.72000000000003</v>
      </c>
    </row>
    <row r="7852" spans="1:4">
      <c r="A7852">
        <v>785</v>
      </c>
      <c r="B7852" t="s">
        <v>8371</v>
      </c>
      <c r="C7852" t="s">
        <v>427</v>
      </c>
      <c r="D7852" s="106">
        <v>277.58999999999997</v>
      </c>
    </row>
    <row r="7853" spans="1:4">
      <c r="A7853">
        <v>784</v>
      </c>
      <c r="B7853" t="s">
        <v>8372</v>
      </c>
      <c r="C7853" t="s">
        <v>427</v>
      </c>
      <c r="D7853" s="106">
        <v>297.79000000000002</v>
      </c>
    </row>
    <row r="7854" spans="1:4">
      <c r="A7854">
        <v>831</v>
      </c>
      <c r="B7854" t="s">
        <v>8373</v>
      </c>
      <c r="C7854" t="s">
        <v>427</v>
      </c>
      <c r="D7854" s="106">
        <v>80.38</v>
      </c>
    </row>
    <row r="7855" spans="1:4">
      <c r="A7855">
        <v>828</v>
      </c>
      <c r="B7855" t="s">
        <v>8374</v>
      </c>
      <c r="C7855" t="s">
        <v>427</v>
      </c>
      <c r="D7855" s="106">
        <v>0.46</v>
      </c>
    </row>
    <row r="7856" spans="1:4">
      <c r="A7856">
        <v>829</v>
      </c>
      <c r="B7856" t="s">
        <v>8375</v>
      </c>
      <c r="C7856" t="s">
        <v>427</v>
      </c>
      <c r="D7856" s="106">
        <v>0.97</v>
      </c>
    </row>
    <row r="7857" spans="1:4">
      <c r="A7857">
        <v>812</v>
      </c>
      <c r="B7857" t="s">
        <v>8376</v>
      </c>
      <c r="C7857" t="s">
        <v>427</v>
      </c>
      <c r="D7857" s="106">
        <v>2.11</v>
      </c>
    </row>
    <row r="7858" spans="1:4">
      <c r="A7858">
        <v>819</v>
      </c>
      <c r="B7858" t="s">
        <v>8377</v>
      </c>
      <c r="C7858" t="s">
        <v>427</v>
      </c>
      <c r="D7858" s="106">
        <v>3.47</v>
      </c>
    </row>
    <row r="7859" spans="1:4">
      <c r="A7859">
        <v>818</v>
      </c>
      <c r="B7859" t="s">
        <v>8378</v>
      </c>
      <c r="C7859" t="s">
        <v>427</v>
      </c>
      <c r="D7859" s="106">
        <v>5.84</v>
      </c>
    </row>
    <row r="7860" spans="1:4">
      <c r="A7860">
        <v>823</v>
      </c>
      <c r="B7860" t="s">
        <v>8379</v>
      </c>
      <c r="C7860" t="s">
        <v>427</v>
      </c>
      <c r="D7860" s="106">
        <v>17.579999999999998</v>
      </c>
    </row>
    <row r="7861" spans="1:4">
      <c r="A7861">
        <v>830</v>
      </c>
      <c r="B7861" t="s">
        <v>8380</v>
      </c>
      <c r="C7861" t="s">
        <v>427</v>
      </c>
      <c r="D7861" s="106">
        <v>14.48</v>
      </c>
    </row>
    <row r="7862" spans="1:4">
      <c r="A7862">
        <v>826</v>
      </c>
      <c r="B7862" t="s">
        <v>8381</v>
      </c>
      <c r="C7862" t="s">
        <v>427</v>
      </c>
      <c r="D7862" s="106">
        <v>45.08</v>
      </c>
    </row>
    <row r="7863" spans="1:4">
      <c r="A7863">
        <v>827</v>
      </c>
      <c r="B7863" t="s">
        <v>8382</v>
      </c>
      <c r="C7863" t="s">
        <v>427</v>
      </c>
      <c r="D7863" s="106">
        <v>38.08</v>
      </c>
    </row>
    <row r="7864" spans="1:4">
      <c r="A7864">
        <v>832</v>
      </c>
      <c r="B7864" t="s">
        <v>8383</v>
      </c>
      <c r="C7864" t="s">
        <v>427</v>
      </c>
      <c r="D7864" s="106">
        <v>2.63</v>
      </c>
    </row>
    <row r="7865" spans="1:4">
      <c r="A7865">
        <v>833</v>
      </c>
      <c r="B7865" t="s">
        <v>8384</v>
      </c>
      <c r="C7865" t="s">
        <v>427</v>
      </c>
      <c r="D7865" s="106">
        <v>3.73</v>
      </c>
    </row>
    <row r="7866" spans="1:4">
      <c r="A7866">
        <v>834</v>
      </c>
      <c r="B7866" t="s">
        <v>8385</v>
      </c>
      <c r="C7866" t="s">
        <v>427</v>
      </c>
      <c r="D7866" s="106">
        <v>4.0999999999999996</v>
      </c>
    </row>
    <row r="7867" spans="1:4">
      <c r="A7867">
        <v>825</v>
      </c>
      <c r="B7867" t="s">
        <v>8386</v>
      </c>
      <c r="C7867" t="s">
        <v>427</v>
      </c>
      <c r="D7867" s="106">
        <v>4.57</v>
      </c>
    </row>
    <row r="7868" spans="1:4">
      <c r="A7868">
        <v>813</v>
      </c>
      <c r="B7868" t="s">
        <v>8387</v>
      </c>
      <c r="C7868" t="s">
        <v>427</v>
      </c>
      <c r="D7868" s="106">
        <v>4.49</v>
      </c>
    </row>
    <row r="7869" spans="1:4">
      <c r="A7869">
        <v>820</v>
      </c>
      <c r="B7869" t="s">
        <v>8388</v>
      </c>
      <c r="C7869" t="s">
        <v>427</v>
      </c>
      <c r="D7869" s="106">
        <v>5.7</v>
      </c>
    </row>
    <row r="7870" spans="1:4">
      <c r="A7870">
        <v>816</v>
      </c>
      <c r="B7870" t="s">
        <v>8389</v>
      </c>
      <c r="C7870" t="s">
        <v>427</v>
      </c>
      <c r="D7870" s="106">
        <v>9.6999999999999993</v>
      </c>
    </row>
    <row r="7871" spans="1:4">
      <c r="A7871">
        <v>814</v>
      </c>
      <c r="B7871" t="s">
        <v>8390</v>
      </c>
      <c r="C7871" t="s">
        <v>427</v>
      </c>
      <c r="D7871" s="106">
        <v>11.72</v>
      </c>
    </row>
    <row r="7872" spans="1:4">
      <c r="A7872">
        <v>815</v>
      </c>
      <c r="B7872" t="s">
        <v>8391</v>
      </c>
      <c r="C7872" t="s">
        <v>427</v>
      </c>
      <c r="D7872" s="106">
        <v>12.67</v>
      </c>
    </row>
    <row r="7873" spans="1:4">
      <c r="A7873">
        <v>822</v>
      </c>
      <c r="B7873" t="s">
        <v>8392</v>
      </c>
      <c r="C7873" t="s">
        <v>427</v>
      </c>
      <c r="D7873" s="106">
        <v>15.43</v>
      </c>
    </row>
    <row r="7874" spans="1:4">
      <c r="A7874">
        <v>821</v>
      </c>
      <c r="B7874" t="s">
        <v>8393</v>
      </c>
      <c r="C7874" t="s">
        <v>427</v>
      </c>
      <c r="D7874" s="106">
        <v>18.04</v>
      </c>
    </row>
    <row r="7875" spans="1:4">
      <c r="A7875">
        <v>817</v>
      </c>
      <c r="B7875" t="s">
        <v>8394</v>
      </c>
      <c r="C7875" t="s">
        <v>427</v>
      </c>
      <c r="D7875" s="106">
        <v>21.45</v>
      </c>
    </row>
    <row r="7876" spans="1:4">
      <c r="A7876">
        <v>20086</v>
      </c>
      <c r="B7876" t="s">
        <v>8395</v>
      </c>
      <c r="C7876" t="s">
        <v>427</v>
      </c>
      <c r="D7876" s="106">
        <v>2.87</v>
      </c>
    </row>
    <row r="7877" spans="1:4">
      <c r="A7877">
        <v>39191</v>
      </c>
      <c r="B7877" t="s">
        <v>8396</v>
      </c>
      <c r="C7877" t="s">
        <v>427</v>
      </c>
      <c r="D7877" s="106">
        <v>15.34</v>
      </c>
    </row>
    <row r="7878" spans="1:4">
      <c r="A7878">
        <v>39190</v>
      </c>
      <c r="B7878" t="s">
        <v>8397</v>
      </c>
      <c r="C7878" t="s">
        <v>427</v>
      </c>
      <c r="D7878" s="106">
        <v>16.03</v>
      </c>
    </row>
    <row r="7879" spans="1:4">
      <c r="A7879">
        <v>39189</v>
      </c>
      <c r="B7879" t="s">
        <v>8398</v>
      </c>
      <c r="C7879" t="s">
        <v>427</v>
      </c>
      <c r="D7879" s="106">
        <v>16.96</v>
      </c>
    </row>
    <row r="7880" spans="1:4">
      <c r="A7880">
        <v>39186</v>
      </c>
      <c r="B7880" t="s">
        <v>8399</v>
      </c>
      <c r="C7880" t="s">
        <v>427</v>
      </c>
      <c r="D7880" s="106">
        <v>15.17</v>
      </c>
    </row>
    <row r="7881" spans="1:4">
      <c r="A7881">
        <v>39188</v>
      </c>
      <c r="B7881" t="s">
        <v>8400</v>
      </c>
      <c r="C7881" t="s">
        <v>427</v>
      </c>
      <c r="D7881" s="106">
        <v>12.49</v>
      </c>
    </row>
    <row r="7882" spans="1:4">
      <c r="A7882">
        <v>39187</v>
      </c>
      <c r="B7882" t="s">
        <v>8401</v>
      </c>
      <c r="C7882" t="s">
        <v>427</v>
      </c>
      <c r="D7882" s="106">
        <v>13.09</v>
      </c>
    </row>
    <row r="7883" spans="1:4">
      <c r="A7883">
        <v>39184</v>
      </c>
      <c r="B7883" t="s">
        <v>8402</v>
      </c>
      <c r="C7883" t="s">
        <v>427</v>
      </c>
      <c r="D7883" s="106">
        <v>4.92</v>
      </c>
    </row>
    <row r="7884" spans="1:4">
      <c r="A7884">
        <v>39185</v>
      </c>
      <c r="B7884" t="s">
        <v>8403</v>
      </c>
      <c r="C7884" t="s">
        <v>427</v>
      </c>
      <c r="D7884" s="106">
        <v>4.49</v>
      </c>
    </row>
    <row r="7885" spans="1:4">
      <c r="A7885">
        <v>39198</v>
      </c>
      <c r="B7885" t="s">
        <v>8404</v>
      </c>
      <c r="C7885" t="s">
        <v>427</v>
      </c>
      <c r="D7885" s="106">
        <v>50.33</v>
      </c>
    </row>
    <row r="7886" spans="1:4">
      <c r="A7886">
        <v>39197</v>
      </c>
      <c r="B7886" t="s">
        <v>8405</v>
      </c>
      <c r="C7886" t="s">
        <v>427</v>
      </c>
      <c r="D7886" s="106">
        <v>52.58</v>
      </c>
    </row>
    <row r="7887" spans="1:4">
      <c r="A7887">
        <v>39196</v>
      </c>
      <c r="B7887" t="s">
        <v>8406</v>
      </c>
      <c r="C7887" t="s">
        <v>427</v>
      </c>
      <c r="D7887" s="106">
        <v>54.22</v>
      </c>
    </row>
    <row r="7888" spans="1:4">
      <c r="A7888">
        <v>39199</v>
      </c>
      <c r="B7888" t="s">
        <v>8407</v>
      </c>
      <c r="C7888" t="s">
        <v>427</v>
      </c>
      <c r="D7888" s="106">
        <v>48.44</v>
      </c>
    </row>
    <row r="7889" spans="1:4">
      <c r="A7889">
        <v>39195</v>
      </c>
      <c r="B7889" t="s">
        <v>8408</v>
      </c>
      <c r="C7889" t="s">
        <v>427</v>
      </c>
      <c r="D7889" s="106">
        <v>27.96</v>
      </c>
    </row>
    <row r="7890" spans="1:4">
      <c r="A7890">
        <v>39194</v>
      </c>
      <c r="B7890" t="s">
        <v>8409</v>
      </c>
      <c r="C7890" t="s">
        <v>427</v>
      </c>
      <c r="D7890" s="106">
        <v>29.92</v>
      </c>
    </row>
    <row r="7891" spans="1:4">
      <c r="A7891">
        <v>39193</v>
      </c>
      <c r="B7891" t="s">
        <v>8410</v>
      </c>
      <c r="C7891" t="s">
        <v>427</v>
      </c>
      <c r="D7891" s="106">
        <v>32.79</v>
      </c>
    </row>
    <row r="7892" spans="1:4">
      <c r="A7892">
        <v>39192</v>
      </c>
      <c r="B7892" t="s">
        <v>8411</v>
      </c>
      <c r="C7892" t="s">
        <v>427</v>
      </c>
      <c r="D7892" s="106">
        <v>34.11</v>
      </c>
    </row>
    <row r="7893" spans="1:4">
      <c r="A7893">
        <v>39920</v>
      </c>
      <c r="B7893" t="s">
        <v>8412</v>
      </c>
      <c r="C7893" t="s">
        <v>427</v>
      </c>
      <c r="D7893" s="106">
        <v>4.13</v>
      </c>
    </row>
    <row r="7894" spans="1:4">
      <c r="A7894">
        <v>39201</v>
      </c>
      <c r="B7894" t="s">
        <v>8413</v>
      </c>
      <c r="C7894" t="s">
        <v>427</v>
      </c>
      <c r="D7894" s="106">
        <v>60.18</v>
      </c>
    </row>
    <row r="7895" spans="1:4">
      <c r="A7895">
        <v>39200</v>
      </c>
      <c r="B7895" t="s">
        <v>8414</v>
      </c>
      <c r="C7895" t="s">
        <v>427</v>
      </c>
      <c r="D7895" s="106">
        <v>60.66</v>
      </c>
    </row>
    <row r="7896" spans="1:4">
      <c r="A7896">
        <v>39203</v>
      </c>
      <c r="B7896" t="s">
        <v>8415</v>
      </c>
      <c r="C7896" t="s">
        <v>427</v>
      </c>
      <c r="D7896" s="106">
        <v>48.98</v>
      </c>
    </row>
    <row r="7897" spans="1:4">
      <c r="A7897">
        <v>39202</v>
      </c>
      <c r="B7897" t="s">
        <v>8416</v>
      </c>
      <c r="C7897" t="s">
        <v>427</v>
      </c>
      <c r="D7897" s="106">
        <v>57.54</v>
      </c>
    </row>
    <row r="7898" spans="1:4">
      <c r="A7898">
        <v>39205</v>
      </c>
      <c r="B7898" t="s">
        <v>8417</v>
      </c>
      <c r="C7898" t="s">
        <v>427</v>
      </c>
      <c r="D7898" s="106">
        <v>95.99</v>
      </c>
    </row>
    <row r="7899" spans="1:4">
      <c r="A7899">
        <v>39204</v>
      </c>
      <c r="B7899" t="s">
        <v>8418</v>
      </c>
      <c r="C7899" t="s">
        <v>427</v>
      </c>
      <c r="D7899" s="106">
        <v>98.31</v>
      </c>
    </row>
    <row r="7900" spans="1:4">
      <c r="A7900">
        <v>39206</v>
      </c>
      <c r="B7900" t="s">
        <v>8419</v>
      </c>
      <c r="C7900" t="s">
        <v>427</v>
      </c>
      <c r="D7900" s="106">
        <v>93.27</v>
      </c>
    </row>
    <row r="7901" spans="1:4">
      <c r="A7901">
        <v>797</v>
      </c>
      <c r="B7901" t="s">
        <v>8420</v>
      </c>
      <c r="C7901" t="s">
        <v>427</v>
      </c>
      <c r="D7901" s="106">
        <v>8.39</v>
      </c>
    </row>
    <row r="7902" spans="1:4">
      <c r="A7902">
        <v>798</v>
      </c>
      <c r="B7902" t="s">
        <v>8421</v>
      </c>
      <c r="C7902" t="s">
        <v>427</v>
      </c>
      <c r="D7902" s="106">
        <v>1.1499999999999999</v>
      </c>
    </row>
    <row r="7903" spans="1:4">
      <c r="A7903">
        <v>796</v>
      </c>
      <c r="B7903" t="s">
        <v>8422</v>
      </c>
      <c r="C7903" t="s">
        <v>427</v>
      </c>
      <c r="D7903" s="106">
        <v>8.0399999999999991</v>
      </c>
    </row>
    <row r="7904" spans="1:4">
      <c r="A7904">
        <v>799</v>
      </c>
      <c r="B7904" t="s">
        <v>8423</v>
      </c>
      <c r="C7904" t="s">
        <v>427</v>
      </c>
      <c r="D7904" s="106">
        <v>3.78</v>
      </c>
    </row>
    <row r="7905" spans="1:4">
      <c r="A7905">
        <v>792</v>
      </c>
      <c r="B7905" t="s">
        <v>8424</v>
      </c>
      <c r="C7905" t="s">
        <v>427</v>
      </c>
      <c r="D7905" s="106">
        <v>3.84</v>
      </c>
    </row>
    <row r="7906" spans="1:4">
      <c r="A7906">
        <v>804</v>
      </c>
      <c r="B7906" t="s">
        <v>8425</v>
      </c>
      <c r="C7906" t="s">
        <v>427</v>
      </c>
      <c r="D7906" s="106">
        <v>19.05</v>
      </c>
    </row>
    <row r="7907" spans="1:4">
      <c r="A7907">
        <v>793</v>
      </c>
      <c r="B7907" t="s">
        <v>8426</v>
      </c>
      <c r="C7907" t="s">
        <v>427</v>
      </c>
      <c r="D7907" s="106">
        <v>8.18</v>
      </c>
    </row>
    <row r="7908" spans="1:4">
      <c r="A7908">
        <v>801</v>
      </c>
      <c r="B7908" t="s">
        <v>8427</v>
      </c>
      <c r="C7908" t="s">
        <v>427</v>
      </c>
      <c r="D7908" s="106">
        <v>5.83</v>
      </c>
    </row>
    <row r="7909" spans="1:4">
      <c r="A7909">
        <v>794</v>
      </c>
      <c r="B7909" t="s">
        <v>8428</v>
      </c>
      <c r="C7909" t="s">
        <v>427</v>
      </c>
      <c r="D7909" s="106">
        <v>6.02</v>
      </c>
    </row>
    <row r="7910" spans="1:4">
      <c r="A7910">
        <v>802</v>
      </c>
      <c r="B7910" t="s">
        <v>8429</v>
      </c>
      <c r="C7910" t="s">
        <v>427</v>
      </c>
      <c r="D7910" s="106">
        <v>16.8</v>
      </c>
    </row>
    <row r="7911" spans="1:4">
      <c r="A7911">
        <v>803</v>
      </c>
      <c r="B7911" t="s">
        <v>8430</v>
      </c>
      <c r="C7911" t="s">
        <v>427</v>
      </c>
      <c r="D7911" s="106">
        <v>14.65</v>
      </c>
    </row>
    <row r="7912" spans="1:4">
      <c r="A7912">
        <v>38001</v>
      </c>
      <c r="B7912" t="s">
        <v>8431</v>
      </c>
      <c r="C7912" t="s">
        <v>427</v>
      </c>
      <c r="D7912" s="106">
        <v>1.47</v>
      </c>
    </row>
    <row r="7913" spans="1:4">
      <c r="A7913">
        <v>38002</v>
      </c>
      <c r="B7913" t="s">
        <v>8432</v>
      </c>
      <c r="C7913" t="s">
        <v>427</v>
      </c>
      <c r="D7913" s="106">
        <v>2.73</v>
      </c>
    </row>
    <row r="7914" spans="1:4">
      <c r="A7914">
        <v>38003</v>
      </c>
      <c r="B7914" t="s">
        <v>8433</v>
      </c>
      <c r="C7914" t="s">
        <v>427</v>
      </c>
      <c r="D7914" s="106">
        <v>32.74</v>
      </c>
    </row>
    <row r="7915" spans="1:4">
      <c r="A7915">
        <v>38004</v>
      </c>
      <c r="B7915" t="s">
        <v>8434</v>
      </c>
      <c r="C7915" t="s">
        <v>427</v>
      </c>
      <c r="D7915" s="106">
        <v>43.78</v>
      </c>
    </row>
    <row r="7916" spans="1:4">
      <c r="A7916">
        <v>36327</v>
      </c>
      <c r="B7916" t="s">
        <v>8435</v>
      </c>
      <c r="C7916" t="s">
        <v>427</v>
      </c>
      <c r="D7916" s="106">
        <v>2.62</v>
      </c>
    </row>
    <row r="7917" spans="1:4">
      <c r="A7917">
        <v>38992</v>
      </c>
      <c r="B7917" t="s">
        <v>8436</v>
      </c>
      <c r="C7917" t="s">
        <v>427</v>
      </c>
      <c r="D7917" s="106">
        <v>4.2</v>
      </c>
    </row>
    <row r="7918" spans="1:4">
      <c r="A7918">
        <v>38993</v>
      </c>
      <c r="B7918" t="s">
        <v>8437</v>
      </c>
      <c r="C7918" t="s">
        <v>427</v>
      </c>
      <c r="D7918" s="106">
        <v>11.97</v>
      </c>
    </row>
    <row r="7919" spans="1:4">
      <c r="A7919">
        <v>38418</v>
      </c>
      <c r="B7919" t="s">
        <v>8438</v>
      </c>
      <c r="C7919" t="s">
        <v>427</v>
      </c>
      <c r="D7919" s="106">
        <v>8.34</v>
      </c>
    </row>
    <row r="7920" spans="1:4">
      <c r="A7920">
        <v>39178</v>
      </c>
      <c r="B7920" t="s">
        <v>8439</v>
      </c>
      <c r="C7920" t="s">
        <v>427</v>
      </c>
      <c r="D7920" s="106">
        <v>1.66</v>
      </c>
    </row>
    <row r="7921" spans="1:4">
      <c r="A7921">
        <v>39177</v>
      </c>
      <c r="B7921" t="s">
        <v>8440</v>
      </c>
      <c r="C7921" t="s">
        <v>427</v>
      </c>
      <c r="D7921" s="106">
        <v>1.5</v>
      </c>
    </row>
    <row r="7922" spans="1:4">
      <c r="A7922">
        <v>39174</v>
      </c>
      <c r="B7922" t="s">
        <v>8441</v>
      </c>
      <c r="C7922" t="s">
        <v>427</v>
      </c>
      <c r="D7922" s="106">
        <v>0.75</v>
      </c>
    </row>
    <row r="7923" spans="1:4">
      <c r="A7923">
        <v>39176</v>
      </c>
      <c r="B7923" t="s">
        <v>8442</v>
      </c>
      <c r="C7923" t="s">
        <v>427</v>
      </c>
      <c r="D7923" s="106">
        <v>0.98</v>
      </c>
    </row>
    <row r="7924" spans="1:4">
      <c r="A7924">
        <v>39180</v>
      </c>
      <c r="B7924" t="s">
        <v>8443</v>
      </c>
      <c r="C7924" t="s">
        <v>427</v>
      </c>
      <c r="D7924" s="106">
        <v>4.5</v>
      </c>
    </row>
    <row r="7925" spans="1:4">
      <c r="A7925">
        <v>39179</v>
      </c>
      <c r="B7925" t="s">
        <v>8444</v>
      </c>
      <c r="C7925" t="s">
        <v>427</v>
      </c>
      <c r="D7925" s="106">
        <v>3.99</v>
      </c>
    </row>
    <row r="7926" spans="1:4">
      <c r="A7926">
        <v>39175</v>
      </c>
      <c r="B7926" t="s">
        <v>8445</v>
      </c>
      <c r="C7926" t="s">
        <v>427</v>
      </c>
      <c r="D7926" s="106">
        <v>0.91</v>
      </c>
    </row>
    <row r="7927" spans="1:4">
      <c r="A7927">
        <v>39217</v>
      </c>
      <c r="B7927" t="s">
        <v>8446</v>
      </c>
      <c r="C7927" t="s">
        <v>427</v>
      </c>
      <c r="D7927" s="106">
        <v>0.7</v>
      </c>
    </row>
    <row r="7928" spans="1:4">
      <c r="A7928">
        <v>39181</v>
      </c>
      <c r="B7928" t="s">
        <v>8447</v>
      </c>
      <c r="C7928" t="s">
        <v>427</v>
      </c>
      <c r="D7928" s="106">
        <v>6.04</v>
      </c>
    </row>
    <row r="7929" spans="1:4">
      <c r="A7929">
        <v>39182</v>
      </c>
      <c r="B7929" t="s">
        <v>8448</v>
      </c>
      <c r="C7929" t="s">
        <v>427</v>
      </c>
      <c r="D7929" s="106">
        <v>8.49</v>
      </c>
    </row>
    <row r="7930" spans="1:4">
      <c r="A7930">
        <v>12616</v>
      </c>
      <c r="B7930" t="s">
        <v>8449</v>
      </c>
      <c r="C7930" t="s">
        <v>427</v>
      </c>
      <c r="D7930" s="106">
        <v>6.16</v>
      </c>
    </row>
    <row r="7931" spans="1:4">
      <c r="A7931">
        <v>1049</v>
      </c>
      <c r="B7931" t="s">
        <v>8450</v>
      </c>
      <c r="C7931" t="s">
        <v>427</v>
      </c>
      <c r="D7931" s="106">
        <v>7.11</v>
      </c>
    </row>
    <row r="7932" spans="1:4">
      <c r="A7932">
        <v>1099</v>
      </c>
      <c r="B7932" t="s">
        <v>8451</v>
      </c>
      <c r="C7932" t="s">
        <v>427</v>
      </c>
      <c r="D7932" s="106">
        <v>5.44</v>
      </c>
    </row>
    <row r="7933" spans="1:4">
      <c r="A7933">
        <v>39678</v>
      </c>
      <c r="B7933" t="s">
        <v>8452</v>
      </c>
      <c r="C7933" t="s">
        <v>427</v>
      </c>
      <c r="D7933" s="106">
        <v>2.19</v>
      </c>
    </row>
    <row r="7934" spans="1:4">
      <c r="A7934">
        <v>1050</v>
      </c>
      <c r="B7934" t="s">
        <v>8453</v>
      </c>
      <c r="C7934" t="s">
        <v>427</v>
      </c>
      <c r="D7934" s="106">
        <v>3.72</v>
      </c>
    </row>
    <row r="7935" spans="1:4">
      <c r="A7935">
        <v>1101</v>
      </c>
      <c r="B7935" t="s">
        <v>8454</v>
      </c>
      <c r="C7935" t="s">
        <v>427</v>
      </c>
      <c r="D7935" s="106">
        <v>23.46</v>
      </c>
    </row>
    <row r="7936" spans="1:4">
      <c r="A7936">
        <v>1100</v>
      </c>
      <c r="B7936" t="s">
        <v>8455</v>
      </c>
      <c r="C7936" t="s">
        <v>427</v>
      </c>
      <c r="D7936" s="106">
        <v>12.1</v>
      </c>
    </row>
    <row r="7937" spans="1:4">
      <c r="A7937">
        <v>39679</v>
      </c>
      <c r="B7937" t="s">
        <v>8456</v>
      </c>
      <c r="C7937" t="s">
        <v>427</v>
      </c>
      <c r="D7937" s="106">
        <v>46.75</v>
      </c>
    </row>
    <row r="7938" spans="1:4">
      <c r="A7938">
        <v>1098</v>
      </c>
      <c r="B7938" t="s">
        <v>8457</v>
      </c>
      <c r="C7938" t="s">
        <v>427</v>
      </c>
      <c r="D7938" s="106">
        <v>2.9</v>
      </c>
    </row>
    <row r="7939" spans="1:4">
      <c r="A7939">
        <v>1102</v>
      </c>
      <c r="B7939" t="s">
        <v>8458</v>
      </c>
      <c r="C7939" t="s">
        <v>427</v>
      </c>
      <c r="D7939" s="106">
        <v>34.979999999999997</v>
      </c>
    </row>
    <row r="7940" spans="1:4">
      <c r="A7940">
        <v>1051</v>
      </c>
      <c r="B7940" t="s">
        <v>8459</v>
      </c>
      <c r="C7940" t="s">
        <v>427</v>
      </c>
      <c r="D7940" s="106">
        <v>50.84</v>
      </c>
    </row>
    <row r="7941" spans="1:4">
      <c r="A7941">
        <v>37399</v>
      </c>
      <c r="B7941" t="s">
        <v>8460</v>
      </c>
      <c r="C7941" t="s">
        <v>427</v>
      </c>
      <c r="D7941" s="106">
        <v>21.12</v>
      </c>
    </row>
    <row r="7942" spans="1:4">
      <c r="A7942">
        <v>41955</v>
      </c>
      <c r="B7942" t="s">
        <v>8461</v>
      </c>
      <c r="C7942" t="s">
        <v>430</v>
      </c>
      <c r="D7942" s="106">
        <v>66.94</v>
      </c>
    </row>
    <row r="7943" spans="1:4">
      <c r="A7943">
        <v>41953</v>
      </c>
      <c r="B7943" t="s">
        <v>8462</v>
      </c>
      <c r="C7943" t="s">
        <v>430</v>
      </c>
      <c r="D7943" s="106">
        <v>63.88</v>
      </c>
    </row>
    <row r="7944" spans="1:4">
      <c r="A7944">
        <v>41954</v>
      </c>
      <c r="B7944" t="s">
        <v>8463</v>
      </c>
      <c r="C7944" t="s">
        <v>430</v>
      </c>
      <c r="D7944" s="106">
        <v>63.27</v>
      </c>
    </row>
    <row r="7945" spans="1:4">
      <c r="A7945">
        <v>25004</v>
      </c>
      <c r="B7945" t="s">
        <v>8464</v>
      </c>
      <c r="C7945" t="s">
        <v>430</v>
      </c>
      <c r="D7945" s="106">
        <v>30.7</v>
      </c>
    </row>
    <row r="7946" spans="1:4">
      <c r="A7946">
        <v>25002</v>
      </c>
      <c r="B7946" t="s">
        <v>8465</v>
      </c>
      <c r="C7946" t="s">
        <v>430</v>
      </c>
      <c r="D7946" s="106">
        <v>30.96</v>
      </c>
    </row>
    <row r="7947" spans="1:4">
      <c r="A7947">
        <v>37409</v>
      </c>
      <c r="B7947" t="s">
        <v>8466</v>
      </c>
      <c r="C7947" t="s">
        <v>430</v>
      </c>
      <c r="D7947" s="106">
        <v>30.45</v>
      </c>
    </row>
    <row r="7948" spans="1:4">
      <c r="A7948">
        <v>841</v>
      </c>
      <c r="B7948" t="s">
        <v>8467</v>
      </c>
      <c r="C7948" t="s">
        <v>430</v>
      </c>
      <c r="D7948" s="106">
        <v>31.45</v>
      </c>
    </row>
    <row r="7949" spans="1:4">
      <c r="A7949">
        <v>25005</v>
      </c>
      <c r="B7949" t="s">
        <v>8468</v>
      </c>
      <c r="C7949" t="s">
        <v>430</v>
      </c>
      <c r="D7949" s="106">
        <v>34.479999999999997</v>
      </c>
    </row>
    <row r="7950" spans="1:4">
      <c r="A7950">
        <v>25003</v>
      </c>
      <c r="B7950" t="s">
        <v>8469</v>
      </c>
      <c r="C7950" t="s">
        <v>430</v>
      </c>
      <c r="D7950" s="106">
        <v>36.83</v>
      </c>
    </row>
    <row r="7951" spans="1:4">
      <c r="A7951">
        <v>37410</v>
      </c>
      <c r="B7951" t="s">
        <v>8470</v>
      </c>
      <c r="C7951" t="s">
        <v>430</v>
      </c>
      <c r="D7951" s="106">
        <v>34.479999999999997</v>
      </c>
    </row>
    <row r="7952" spans="1:4">
      <c r="A7952">
        <v>842</v>
      </c>
      <c r="B7952" t="s">
        <v>8471</v>
      </c>
      <c r="C7952" t="s">
        <v>430</v>
      </c>
      <c r="D7952" s="106">
        <v>38.79</v>
      </c>
    </row>
    <row r="7953" spans="1:4">
      <c r="A7953">
        <v>862</v>
      </c>
      <c r="B7953" t="s">
        <v>8472</v>
      </c>
      <c r="C7953" t="s">
        <v>429</v>
      </c>
      <c r="D7953" s="106">
        <v>8.76</v>
      </c>
    </row>
    <row r="7954" spans="1:4">
      <c r="A7954">
        <v>866</v>
      </c>
      <c r="B7954" t="s">
        <v>8473</v>
      </c>
      <c r="C7954" t="s">
        <v>429</v>
      </c>
      <c r="D7954" s="106">
        <v>107.68</v>
      </c>
    </row>
    <row r="7955" spans="1:4">
      <c r="A7955">
        <v>892</v>
      </c>
      <c r="B7955" t="s">
        <v>8474</v>
      </c>
      <c r="C7955" t="s">
        <v>429</v>
      </c>
      <c r="D7955" s="106">
        <v>136.93</v>
      </c>
    </row>
    <row r="7956" spans="1:4">
      <c r="A7956">
        <v>857</v>
      </c>
      <c r="B7956" t="s">
        <v>8475</v>
      </c>
      <c r="C7956" t="s">
        <v>429</v>
      </c>
      <c r="D7956" s="106">
        <v>13.94</v>
      </c>
    </row>
    <row r="7957" spans="1:4">
      <c r="A7957">
        <v>37404</v>
      </c>
      <c r="B7957" t="s">
        <v>8476</v>
      </c>
      <c r="C7957" t="s">
        <v>429</v>
      </c>
      <c r="D7957" s="106">
        <v>164.66</v>
      </c>
    </row>
    <row r="7958" spans="1:4">
      <c r="A7958">
        <v>868</v>
      </c>
      <c r="B7958" t="s">
        <v>8477</v>
      </c>
      <c r="C7958" t="s">
        <v>429</v>
      </c>
      <c r="D7958" s="106">
        <v>21.53</v>
      </c>
    </row>
    <row r="7959" spans="1:4">
      <c r="A7959">
        <v>870</v>
      </c>
      <c r="B7959" t="s">
        <v>8478</v>
      </c>
      <c r="C7959" t="s">
        <v>429</v>
      </c>
      <c r="D7959" s="106">
        <v>283.74</v>
      </c>
    </row>
    <row r="7960" spans="1:4">
      <c r="A7960">
        <v>863</v>
      </c>
      <c r="B7960" t="s">
        <v>8479</v>
      </c>
      <c r="C7960" t="s">
        <v>429</v>
      </c>
      <c r="D7960" s="106">
        <v>29.74</v>
      </c>
    </row>
    <row r="7961" spans="1:4">
      <c r="A7961">
        <v>867</v>
      </c>
      <c r="B7961" t="s">
        <v>7741</v>
      </c>
      <c r="C7961" t="s">
        <v>429</v>
      </c>
      <c r="D7961" s="106">
        <v>41.42</v>
      </c>
    </row>
    <row r="7962" spans="1:4">
      <c r="A7962">
        <v>891</v>
      </c>
      <c r="B7962" t="s">
        <v>8480</v>
      </c>
      <c r="C7962" t="s">
        <v>429</v>
      </c>
      <c r="D7962" s="106">
        <v>476.51</v>
      </c>
    </row>
    <row r="7963" spans="1:4">
      <c r="A7963">
        <v>864</v>
      </c>
      <c r="B7963" t="s">
        <v>8481</v>
      </c>
      <c r="C7963" t="s">
        <v>429</v>
      </c>
      <c r="D7963" s="106">
        <v>58.36</v>
      </c>
    </row>
    <row r="7964" spans="1:4">
      <c r="A7964">
        <v>865</v>
      </c>
      <c r="B7964" t="s">
        <v>8482</v>
      </c>
      <c r="C7964" t="s">
        <v>429</v>
      </c>
      <c r="D7964" s="106">
        <v>82.2</v>
      </c>
    </row>
    <row r="7965" spans="1:4">
      <c r="A7965">
        <v>1006</v>
      </c>
      <c r="B7965" t="s">
        <v>8483</v>
      </c>
      <c r="C7965" t="s">
        <v>429</v>
      </c>
      <c r="D7965" s="106">
        <v>122.9</v>
      </c>
    </row>
    <row r="7966" spans="1:4">
      <c r="A7966">
        <v>948</v>
      </c>
      <c r="B7966" t="s">
        <v>8484</v>
      </c>
      <c r="C7966" t="s">
        <v>429</v>
      </c>
      <c r="D7966" s="106">
        <v>64</v>
      </c>
    </row>
    <row r="7967" spans="1:4">
      <c r="A7967">
        <v>947</v>
      </c>
      <c r="B7967" t="s">
        <v>8485</v>
      </c>
      <c r="C7967" t="s">
        <v>429</v>
      </c>
      <c r="D7967" s="106">
        <v>65.099999999999994</v>
      </c>
    </row>
    <row r="7968" spans="1:4">
      <c r="A7968">
        <v>911</v>
      </c>
      <c r="B7968" t="s">
        <v>8486</v>
      </c>
      <c r="C7968" t="s">
        <v>429</v>
      </c>
      <c r="D7968" s="106">
        <v>94.67</v>
      </c>
    </row>
    <row r="7969" spans="1:4">
      <c r="A7969">
        <v>925</v>
      </c>
      <c r="B7969" t="s">
        <v>8487</v>
      </c>
      <c r="C7969" t="s">
        <v>429</v>
      </c>
      <c r="D7969" s="106">
        <v>87.51</v>
      </c>
    </row>
    <row r="7970" spans="1:4">
      <c r="A7970">
        <v>954</v>
      </c>
      <c r="B7970" t="s">
        <v>8488</v>
      </c>
      <c r="C7970" t="s">
        <v>429</v>
      </c>
      <c r="D7970" s="106">
        <v>96.67</v>
      </c>
    </row>
    <row r="7971" spans="1:4">
      <c r="A7971">
        <v>901</v>
      </c>
      <c r="B7971" t="s">
        <v>8489</v>
      </c>
      <c r="C7971" t="s">
        <v>429</v>
      </c>
      <c r="D7971" s="106">
        <v>103.46</v>
      </c>
    </row>
    <row r="7972" spans="1:4">
      <c r="A7972">
        <v>926</v>
      </c>
      <c r="B7972" t="s">
        <v>8490</v>
      </c>
      <c r="C7972" t="s">
        <v>429</v>
      </c>
      <c r="D7972" s="106">
        <v>109.34</v>
      </c>
    </row>
    <row r="7973" spans="1:4">
      <c r="A7973">
        <v>912</v>
      </c>
      <c r="B7973" t="s">
        <v>8491</v>
      </c>
      <c r="C7973" t="s">
        <v>429</v>
      </c>
      <c r="D7973" s="106">
        <v>110.01</v>
      </c>
    </row>
    <row r="7974" spans="1:4">
      <c r="A7974">
        <v>955</v>
      </c>
      <c r="B7974" t="s">
        <v>8492</v>
      </c>
      <c r="C7974" t="s">
        <v>429</v>
      </c>
      <c r="D7974" s="106">
        <v>131.31</v>
      </c>
    </row>
    <row r="7975" spans="1:4">
      <c r="A7975">
        <v>946</v>
      </c>
      <c r="B7975" t="s">
        <v>8493</v>
      </c>
      <c r="C7975" t="s">
        <v>429</v>
      </c>
      <c r="D7975" s="106">
        <v>147.63</v>
      </c>
    </row>
    <row r="7976" spans="1:4">
      <c r="A7976">
        <v>953</v>
      </c>
      <c r="B7976" t="s">
        <v>8494</v>
      </c>
      <c r="C7976" t="s">
        <v>429</v>
      </c>
      <c r="D7976" s="106">
        <v>134.34</v>
      </c>
    </row>
    <row r="7977" spans="1:4">
      <c r="A7977">
        <v>902</v>
      </c>
      <c r="B7977" t="s">
        <v>8495</v>
      </c>
      <c r="C7977" t="s">
        <v>429</v>
      </c>
      <c r="D7977" s="106">
        <v>163.31</v>
      </c>
    </row>
    <row r="7978" spans="1:4">
      <c r="A7978">
        <v>927</v>
      </c>
      <c r="B7978" t="s">
        <v>8496</v>
      </c>
      <c r="C7978" t="s">
        <v>429</v>
      </c>
      <c r="D7978" s="106">
        <v>158.30000000000001</v>
      </c>
    </row>
    <row r="7979" spans="1:4">
      <c r="A7979">
        <v>913</v>
      </c>
      <c r="B7979" t="s">
        <v>8497</v>
      </c>
      <c r="C7979" t="s">
        <v>429</v>
      </c>
      <c r="D7979" s="106">
        <v>176.68</v>
      </c>
    </row>
    <row r="7980" spans="1:4">
      <c r="A7980">
        <v>903</v>
      </c>
      <c r="B7980" t="s">
        <v>8498</v>
      </c>
      <c r="C7980" t="s">
        <v>429</v>
      </c>
      <c r="D7980" s="106">
        <v>199.95</v>
      </c>
    </row>
    <row r="7981" spans="1:4">
      <c r="A7981">
        <v>945</v>
      </c>
      <c r="B7981" t="s">
        <v>8499</v>
      </c>
      <c r="C7981" t="s">
        <v>429</v>
      </c>
      <c r="D7981" s="106">
        <v>211.52</v>
      </c>
    </row>
    <row r="7982" spans="1:4">
      <c r="A7982">
        <v>914</v>
      </c>
      <c r="B7982" t="s">
        <v>8500</v>
      </c>
      <c r="C7982" t="s">
        <v>429</v>
      </c>
      <c r="D7982" s="106">
        <v>216.69</v>
      </c>
    </row>
    <row r="7983" spans="1:4">
      <c r="A7983">
        <v>993</v>
      </c>
      <c r="B7983" t="s">
        <v>8501</v>
      </c>
      <c r="C7983" t="s">
        <v>429</v>
      </c>
      <c r="D7983" s="106">
        <v>2.65</v>
      </c>
    </row>
    <row r="7984" spans="1:4">
      <c r="A7984">
        <v>1020</v>
      </c>
      <c r="B7984" t="s">
        <v>8502</v>
      </c>
      <c r="C7984" t="s">
        <v>429</v>
      </c>
      <c r="D7984" s="106">
        <v>11.52</v>
      </c>
    </row>
    <row r="7985" spans="1:4">
      <c r="A7985">
        <v>1017</v>
      </c>
      <c r="B7985" t="s">
        <v>8503</v>
      </c>
      <c r="C7985" t="s">
        <v>429</v>
      </c>
      <c r="D7985" s="106">
        <v>126.62</v>
      </c>
    </row>
    <row r="7986" spans="1:4">
      <c r="A7986">
        <v>999</v>
      </c>
      <c r="B7986" t="s">
        <v>8504</v>
      </c>
      <c r="C7986" t="s">
        <v>429</v>
      </c>
      <c r="D7986" s="106">
        <v>156.88</v>
      </c>
    </row>
    <row r="7987" spans="1:4">
      <c r="A7987">
        <v>995</v>
      </c>
      <c r="B7987" t="s">
        <v>8505</v>
      </c>
      <c r="C7987" t="s">
        <v>429</v>
      </c>
      <c r="D7987" s="106">
        <v>17.670000000000002</v>
      </c>
    </row>
    <row r="7988" spans="1:4">
      <c r="A7988">
        <v>1000</v>
      </c>
      <c r="B7988" t="s">
        <v>8506</v>
      </c>
      <c r="C7988" t="s">
        <v>429</v>
      </c>
      <c r="D7988" s="106">
        <v>192.32</v>
      </c>
    </row>
    <row r="7989" spans="1:4">
      <c r="A7989">
        <v>1022</v>
      </c>
      <c r="B7989" t="s">
        <v>8507</v>
      </c>
      <c r="C7989" t="s">
        <v>429</v>
      </c>
      <c r="D7989" s="106">
        <v>3.67</v>
      </c>
    </row>
    <row r="7990" spans="1:4">
      <c r="A7990">
        <v>1015</v>
      </c>
      <c r="B7990" t="s">
        <v>8508</v>
      </c>
      <c r="C7990" t="s">
        <v>429</v>
      </c>
      <c r="D7990" s="106">
        <v>253.24</v>
      </c>
    </row>
    <row r="7991" spans="1:4">
      <c r="A7991">
        <v>996</v>
      </c>
      <c r="B7991" t="s">
        <v>8509</v>
      </c>
      <c r="C7991" t="s">
        <v>429</v>
      </c>
      <c r="D7991" s="106">
        <v>26.9</v>
      </c>
    </row>
    <row r="7992" spans="1:4">
      <c r="A7992">
        <v>1001</v>
      </c>
      <c r="B7992" t="s">
        <v>8510</v>
      </c>
      <c r="C7992" t="s">
        <v>429</v>
      </c>
      <c r="D7992" s="106">
        <v>316.92</v>
      </c>
    </row>
    <row r="7993" spans="1:4">
      <c r="A7993">
        <v>1019</v>
      </c>
      <c r="B7993" t="s">
        <v>8511</v>
      </c>
      <c r="C7993" t="s">
        <v>429</v>
      </c>
      <c r="D7993" s="106">
        <v>37.090000000000003</v>
      </c>
    </row>
    <row r="7994" spans="1:4">
      <c r="A7994">
        <v>1021</v>
      </c>
      <c r="B7994" t="s">
        <v>8512</v>
      </c>
      <c r="C7994" t="s">
        <v>429</v>
      </c>
      <c r="D7994" s="106">
        <v>5.26</v>
      </c>
    </row>
    <row r="7995" spans="1:4">
      <c r="A7995">
        <v>39249</v>
      </c>
      <c r="B7995" t="s">
        <v>8513</v>
      </c>
      <c r="C7995" t="s">
        <v>429</v>
      </c>
      <c r="D7995" s="106">
        <v>413.42</v>
      </c>
    </row>
    <row r="7996" spans="1:4">
      <c r="A7996">
        <v>1018</v>
      </c>
      <c r="B7996" t="s">
        <v>8514</v>
      </c>
      <c r="C7996" t="s">
        <v>429</v>
      </c>
      <c r="D7996" s="106">
        <v>52.86</v>
      </c>
    </row>
    <row r="7997" spans="1:4">
      <c r="A7997">
        <v>39250</v>
      </c>
      <c r="B7997" t="s">
        <v>8515</v>
      </c>
      <c r="C7997" t="s">
        <v>429</v>
      </c>
      <c r="D7997" s="106">
        <v>531.07000000000005</v>
      </c>
    </row>
    <row r="7998" spans="1:4">
      <c r="A7998">
        <v>994</v>
      </c>
      <c r="B7998" t="s">
        <v>8516</v>
      </c>
      <c r="C7998" t="s">
        <v>429</v>
      </c>
      <c r="D7998" s="106">
        <v>7.19</v>
      </c>
    </row>
    <row r="7999" spans="1:4">
      <c r="A7999">
        <v>977</v>
      </c>
      <c r="B7999" t="s">
        <v>8517</v>
      </c>
      <c r="C7999" t="s">
        <v>429</v>
      </c>
      <c r="D7999" s="106">
        <v>73.22</v>
      </c>
    </row>
    <row r="8000" spans="1:4">
      <c r="A8000">
        <v>998</v>
      </c>
      <c r="B8000" t="s">
        <v>8518</v>
      </c>
      <c r="C8000" t="s">
        <v>429</v>
      </c>
      <c r="D8000" s="106">
        <v>97.27</v>
      </c>
    </row>
    <row r="8001" spans="1:4">
      <c r="A8001">
        <v>39251</v>
      </c>
      <c r="B8001" t="s">
        <v>8519</v>
      </c>
      <c r="C8001" t="s">
        <v>429</v>
      </c>
      <c r="D8001" s="106">
        <v>0.7</v>
      </c>
    </row>
    <row r="8002" spans="1:4">
      <c r="A8002">
        <v>1011</v>
      </c>
      <c r="B8002" t="s">
        <v>8520</v>
      </c>
      <c r="C8002" t="s">
        <v>429</v>
      </c>
      <c r="D8002" s="106">
        <v>0.98</v>
      </c>
    </row>
    <row r="8003" spans="1:4">
      <c r="A8003">
        <v>39252</v>
      </c>
      <c r="B8003" t="s">
        <v>8521</v>
      </c>
      <c r="C8003" t="s">
        <v>429</v>
      </c>
      <c r="D8003" s="106">
        <v>1.17</v>
      </c>
    </row>
    <row r="8004" spans="1:4">
      <c r="A8004">
        <v>1013</v>
      </c>
      <c r="B8004" t="s">
        <v>8522</v>
      </c>
      <c r="C8004" t="s">
        <v>429</v>
      </c>
      <c r="D8004" s="106">
        <v>1.55</v>
      </c>
    </row>
    <row r="8005" spans="1:4">
      <c r="A8005">
        <v>980</v>
      </c>
      <c r="B8005" t="s">
        <v>8523</v>
      </c>
      <c r="C8005" t="s">
        <v>429</v>
      </c>
      <c r="D8005" s="106">
        <v>10.57</v>
      </c>
    </row>
    <row r="8006" spans="1:4">
      <c r="A8006">
        <v>39237</v>
      </c>
      <c r="B8006" t="s">
        <v>8524</v>
      </c>
      <c r="C8006" t="s">
        <v>429</v>
      </c>
      <c r="D8006" s="106">
        <v>125.29</v>
      </c>
    </row>
    <row r="8007" spans="1:4">
      <c r="A8007">
        <v>39238</v>
      </c>
      <c r="B8007" t="s">
        <v>8525</v>
      </c>
      <c r="C8007" t="s">
        <v>429</v>
      </c>
      <c r="D8007" s="106">
        <v>156.43</v>
      </c>
    </row>
    <row r="8008" spans="1:4">
      <c r="A8008">
        <v>979</v>
      </c>
      <c r="B8008" t="s">
        <v>8526</v>
      </c>
      <c r="C8008" t="s">
        <v>429</v>
      </c>
      <c r="D8008" s="106">
        <v>16.28</v>
      </c>
    </row>
    <row r="8009" spans="1:4">
      <c r="A8009">
        <v>39239</v>
      </c>
      <c r="B8009" t="s">
        <v>8527</v>
      </c>
      <c r="C8009" t="s">
        <v>429</v>
      </c>
      <c r="D8009" s="106">
        <v>190.37</v>
      </c>
    </row>
    <row r="8010" spans="1:4">
      <c r="A8010">
        <v>1014</v>
      </c>
      <c r="B8010" t="s">
        <v>8528</v>
      </c>
      <c r="C8010" t="s">
        <v>429</v>
      </c>
      <c r="D8010" s="106">
        <v>2.4700000000000002</v>
      </c>
    </row>
    <row r="8011" spans="1:4">
      <c r="A8011">
        <v>39240</v>
      </c>
      <c r="B8011" t="s">
        <v>8529</v>
      </c>
      <c r="C8011" t="s">
        <v>429</v>
      </c>
      <c r="D8011" s="106">
        <v>251.61</v>
      </c>
    </row>
    <row r="8012" spans="1:4">
      <c r="A8012">
        <v>39232</v>
      </c>
      <c r="B8012" t="s">
        <v>8530</v>
      </c>
      <c r="C8012" t="s">
        <v>429</v>
      </c>
      <c r="D8012" s="106">
        <v>26.13</v>
      </c>
    </row>
    <row r="8013" spans="1:4">
      <c r="A8013">
        <v>39233</v>
      </c>
      <c r="B8013" t="s">
        <v>8531</v>
      </c>
      <c r="C8013" t="s">
        <v>429</v>
      </c>
      <c r="D8013" s="106">
        <v>35.92</v>
      </c>
    </row>
    <row r="8014" spans="1:4">
      <c r="A8014">
        <v>981</v>
      </c>
      <c r="B8014" t="s">
        <v>8532</v>
      </c>
      <c r="C8014" t="s">
        <v>429</v>
      </c>
      <c r="D8014" s="106">
        <v>4.42</v>
      </c>
    </row>
    <row r="8015" spans="1:4">
      <c r="A8015">
        <v>39234</v>
      </c>
      <c r="B8015" t="s">
        <v>8533</v>
      </c>
      <c r="C8015" t="s">
        <v>429</v>
      </c>
      <c r="D8015" s="106">
        <v>52.72</v>
      </c>
    </row>
    <row r="8016" spans="1:4">
      <c r="A8016">
        <v>982</v>
      </c>
      <c r="B8016" t="s">
        <v>8534</v>
      </c>
      <c r="C8016" t="s">
        <v>429</v>
      </c>
      <c r="D8016" s="106">
        <v>6.18</v>
      </c>
    </row>
    <row r="8017" spans="1:4">
      <c r="A8017">
        <v>39235</v>
      </c>
      <c r="B8017" t="s">
        <v>8535</v>
      </c>
      <c r="C8017" t="s">
        <v>429</v>
      </c>
      <c r="D8017" s="106">
        <v>74.14</v>
      </c>
    </row>
    <row r="8018" spans="1:4">
      <c r="A8018">
        <v>39236</v>
      </c>
      <c r="B8018" t="s">
        <v>8536</v>
      </c>
      <c r="C8018" t="s">
        <v>429</v>
      </c>
      <c r="D8018" s="106">
        <v>97.2</v>
      </c>
    </row>
    <row r="8019" spans="1:4">
      <c r="A8019">
        <v>876</v>
      </c>
      <c r="B8019" t="s">
        <v>8537</v>
      </c>
      <c r="C8019" t="s">
        <v>429</v>
      </c>
      <c r="D8019" s="106">
        <v>250.91</v>
      </c>
    </row>
    <row r="8020" spans="1:4">
      <c r="A8020">
        <v>877</v>
      </c>
      <c r="B8020" t="s">
        <v>8538</v>
      </c>
      <c r="C8020" t="s">
        <v>429</v>
      </c>
      <c r="D8020" s="106">
        <v>294.95999999999998</v>
      </c>
    </row>
    <row r="8021" spans="1:4">
      <c r="A8021">
        <v>882</v>
      </c>
      <c r="B8021" t="s">
        <v>8539</v>
      </c>
      <c r="C8021" t="s">
        <v>429</v>
      </c>
      <c r="D8021" s="106">
        <v>321.41000000000003</v>
      </c>
    </row>
    <row r="8022" spans="1:4">
      <c r="A8022">
        <v>878</v>
      </c>
      <c r="B8022" t="s">
        <v>8540</v>
      </c>
      <c r="C8022" t="s">
        <v>429</v>
      </c>
      <c r="D8022" s="106">
        <v>399.59</v>
      </c>
    </row>
    <row r="8023" spans="1:4">
      <c r="A8023">
        <v>879</v>
      </c>
      <c r="B8023" t="s">
        <v>8541</v>
      </c>
      <c r="C8023" t="s">
        <v>429</v>
      </c>
      <c r="D8023" s="106">
        <v>470.98</v>
      </c>
    </row>
    <row r="8024" spans="1:4">
      <c r="A8024">
        <v>880</v>
      </c>
      <c r="B8024" t="s">
        <v>8542</v>
      </c>
      <c r="C8024" t="s">
        <v>429</v>
      </c>
      <c r="D8024" s="106">
        <v>554.16999999999996</v>
      </c>
    </row>
    <row r="8025" spans="1:4">
      <c r="A8025">
        <v>873</v>
      </c>
      <c r="B8025" t="s">
        <v>8543</v>
      </c>
      <c r="C8025" t="s">
        <v>429</v>
      </c>
      <c r="D8025" s="106">
        <v>168.5</v>
      </c>
    </row>
    <row r="8026" spans="1:4">
      <c r="A8026">
        <v>881</v>
      </c>
      <c r="B8026" t="s">
        <v>8544</v>
      </c>
      <c r="C8026" t="s">
        <v>429</v>
      </c>
      <c r="D8026" s="106">
        <v>757.45</v>
      </c>
    </row>
    <row r="8027" spans="1:4">
      <c r="A8027">
        <v>874</v>
      </c>
      <c r="B8027" t="s">
        <v>8545</v>
      </c>
      <c r="C8027" t="s">
        <v>429</v>
      </c>
      <c r="D8027" s="106">
        <v>199.97</v>
      </c>
    </row>
    <row r="8028" spans="1:4">
      <c r="A8028">
        <v>875</v>
      </c>
      <c r="B8028" t="s">
        <v>8546</v>
      </c>
      <c r="C8028" t="s">
        <v>429</v>
      </c>
      <c r="D8028" s="106">
        <v>238.58</v>
      </c>
    </row>
    <row r="8029" spans="1:4">
      <c r="A8029">
        <v>983</v>
      </c>
      <c r="B8029" t="s">
        <v>8547</v>
      </c>
      <c r="C8029" t="s">
        <v>429</v>
      </c>
      <c r="D8029" s="106">
        <v>1.49</v>
      </c>
    </row>
    <row r="8030" spans="1:4">
      <c r="A8030">
        <v>985</v>
      </c>
      <c r="B8030" t="s">
        <v>8548</v>
      </c>
      <c r="C8030" t="s">
        <v>429</v>
      </c>
      <c r="D8030" s="106">
        <v>11.2</v>
      </c>
    </row>
    <row r="8031" spans="1:4">
      <c r="A8031">
        <v>990</v>
      </c>
      <c r="B8031" t="s">
        <v>8549</v>
      </c>
      <c r="C8031" t="s">
        <v>429</v>
      </c>
      <c r="D8031" s="106">
        <v>153.37</v>
      </c>
    </row>
    <row r="8032" spans="1:4">
      <c r="A8032">
        <v>39241</v>
      </c>
      <c r="B8032" t="s">
        <v>8550</v>
      </c>
      <c r="C8032" t="s">
        <v>429</v>
      </c>
      <c r="D8032" s="106">
        <v>17.53</v>
      </c>
    </row>
    <row r="8033" spans="1:4">
      <c r="A8033">
        <v>1005</v>
      </c>
      <c r="B8033" t="s">
        <v>8551</v>
      </c>
      <c r="C8033" t="s">
        <v>429</v>
      </c>
      <c r="D8033" s="106">
        <v>188.25</v>
      </c>
    </row>
    <row r="8034" spans="1:4">
      <c r="A8034">
        <v>984</v>
      </c>
      <c r="B8034" t="s">
        <v>8552</v>
      </c>
      <c r="C8034" t="s">
        <v>429</v>
      </c>
      <c r="D8034" s="106">
        <v>3.87</v>
      </c>
    </row>
    <row r="8035" spans="1:4">
      <c r="A8035">
        <v>991</v>
      </c>
      <c r="B8035" t="s">
        <v>8553</v>
      </c>
      <c r="C8035" t="s">
        <v>429</v>
      </c>
      <c r="D8035" s="106">
        <v>248.75</v>
      </c>
    </row>
    <row r="8036" spans="1:4">
      <c r="A8036">
        <v>986</v>
      </c>
      <c r="B8036" t="s">
        <v>8554</v>
      </c>
      <c r="C8036" t="s">
        <v>429</v>
      </c>
      <c r="D8036" s="106">
        <v>26.8</v>
      </c>
    </row>
    <row r="8037" spans="1:4">
      <c r="A8037">
        <v>1024</v>
      </c>
      <c r="B8037" t="s">
        <v>8555</v>
      </c>
      <c r="C8037" t="s">
        <v>429</v>
      </c>
      <c r="D8037" s="106">
        <v>307.87</v>
      </c>
    </row>
    <row r="8038" spans="1:4">
      <c r="A8038">
        <v>987</v>
      </c>
      <c r="B8038" t="s">
        <v>8556</v>
      </c>
      <c r="C8038" t="s">
        <v>429</v>
      </c>
      <c r="D8038" s="106">
        <v>36.42</v>
      </c>
    </row>
    <row r="8039" spans="1:4">
      <c r="A8039">
        <v>1003</v>
      </c>
      <c r="B8039" t="s">
        <v>8557</v>
      </c>
      <c r="C8039" t="s">
        <v>429</v>
      </c>
      <c r="D8039" s="106">
        <v>5.67</v>
      </c>
    </row>
    <row r="8040" spans="1:4">
      <c r="A8040">
        <v>992</v>
      </c>
      <c r="B8040" t="s">
        <v>8558</v>
      </c>
      <c r="C8040" t="s">
        <v>429</v>
      </c>
      <c r="D8040" s="106">
        <v>398.32</v>
      </c>
    </row>
    <row r="8041" spans="1:4">
      <c r="A8041">
        <v>1007</v>
      </c>
      <c r="B8041" t="s">
        <v>8559</v>
      </c>
      <c r="C8041" t="s">
        <v>429</v>
      </c>
      <c r="D8041" s="106">
        <v>51.66</v>
      </c>
    </row>
    <row r="8042" spans="1:4">
      <c r="A8042">
        <v>39242</v>
      </c>
      <c r="B8042" t="s">
        <v>8560</v>
      </c>
      <c r="C8042" t="s">
        <v>429</v>
      </c>
      <c r="D8042" s="106">
        <v>493.52</v>
      </c>
    </row>
    <row r="8043" spans="1:4">
      <c r="A8043">
        <v>1008</v>
      </c>
      <c r="B8043" t="s">
        <v>8561</v>
      </c>
      <c r="C8043" t="s">
        <v>429</v>
      </c>
      <c r="D8043" s="106">
        <v>6.43</v>
      </c>
    </row>
    <row r="8044" spans="1:4">
      <c r="A8044">
        <v>988</v>
      </c>
      <c r="B8044" t="s">
        <v>8562</v>
      </c>
      <c r="C8044" t="s">
        <v>429</v>
      </c>
      <c r="D8044" s="106">
        <v>71.349999999999994</v>
      </c>
    </row>
    <row r="8045" spans="1:4">
      <c r="A8045">
        <v>989</v>
      </c>
      <c r="B8045" t="s">
        <v>8563</v>
      </c>
      <c r="C8045" t="s">
        <v>429</v>
      </c>
      <c r="D8045" s="106">
        <v>96.65</v>
      </c>
    </row>
    <row r="8046" spans="1:4">
      <c r="A8046">
        <v>39598</v>
      </c>
      <c r="B8046" t="s">
        <v>8564</v>
      </c>
      <c r="C8046" t="s">
        <v>429</v>
      </c>
      <c r="D8046" s="106">
        <v>1.68</v>
      </c>
    </row>
    <row r="8047" spans="1:4">
      <c r="A8047">
        <v>39599</v>
      </c>
      <c r="B8047" t="s">
        <v>8565</v>
      </c>
      <c r="C8047" t="s">
        <v>429</v>
      </c>
      <c r="D8047" s="106">
        <v>2.5299999999999998</v>
      </c>
    </row>
    <row r="8048" spans="1:4">
      <c r="A8048">
        <v>34602</v>
      </c>
      <c r="B8048" t="s">
        <v>8566</v>
      </c>
      <c r="C8048" t="s">
        <v>429</v>
      </c>
      <c r="D8048" s="106">
        <v>6.03</v>
      </c>
    </row>
    <row r="8049" spans="1:4">
      <c r="A8049">
        <v>34603</v>
      </c>
      <c r="B8049" t="s">
        <v>8567</v>
      </c>
      <c r="C8049" t="s">
        <v>429</v>
      </c>
      <c r="D8049" s="106">
        <v>29</v>
      </c>
    </row>
    <row r="8050" spans="1:4">
      <c r="A8050">
        <v>34607</v>
      </c>
      <c r="B8050" t="s">
        <v>8568</v>
      </c>
      <c r="C8050" t="s">
        <v>429</v>
      </c>
      <c r="D8050" s="106">
        <v>12.93</v>
      </c>
    </row>
    <row r="8051" spans="1:4">
      <c r="A8051">
        <v>34609</v>
      </c>
      <c r="B8051" t="s">
        <v>8569</v>
      </c>
      <c r="C8051" t="s">
        <v>429</v>
      </c>
      <c r="D8051" s="106">
        <v>19.399999999999999</v>
      </c>
    </row>
    <row r="8052" spans="1:4">
      <c r="A8052">
        <v>34618</v>
      </c>
      <c r="B8052" t="s">
        <v>8570</v>
      </c>
      <c r="C8052" t="s">
        <v>429</v>
      </c>
      <c r="D8052" s="106">
        <v>8</v>
      </c>
    </row>
    <row r="8053" spans="1:4">
      <c r="A8053">
        <v>34620</v>
      </c>
      <c r="B8053" t="s">
        <v>8571</v>
      </c>
      <c r="C8053" t="s">
        <v>429</v>
      </c>
      <c r="D8053" s="106">
        <v>40.020000000000003</v>
      </c>
    </row>
    <row r="8054" spans="1:4">
      <c r="A8054">
        <v>34621</v>
      </c>
      <c r="B8054" t="s">
        <v>8572</v>
      </c>
      <c r="C8054" t="s">
        <v>429</v>
      </c>
      <c r="D8054" s="106">
        <v>18.559999999999999</v>
      </c>
    </row>
    <row r="8055" spans="1:4">
      <c r="A8055">
        <v>34622</v>
      </c>
      <c r="B8055" t="s">
        <v>8573</v>
      </c>
      <c r="C8055" t="s">
        <v>429</v>
      </c>
      <c r="D8055" s="106">
        <v>26.3</v>
      </c>
    </row>
    <row r="8056" spans="1:4">
      <c r="A8056">
        <v>34624</v>
      </c>
      <c r="B8056" t="s">
        <v>8574</v>
      </c>
      <c r="C8056" t="s">
        <v>429</v>
      </c>
      <c r="D8056" s="106">
        <v>10.210000000000001</v>
      </c>
    </row>
    <row r="8057" spans="1:4">
      <c r="A8057">
        <v>34626</v>
      </c>
      <c r="B8057" t="s">
        <v>8575</v>
      </c>
      <c r="C8057" t="s">
        <v>429</v>
      </c>
      <c r="D8057" s="106">
        <v>55</v>
      </c>
    </row>
    <row r="8058" spans="1:4">
      <c r="A8058">
        <v>34627</v>
      </c>
      <c r="B8058" t="s">
        <v>8576</v>
      </c>
      <c r="C8058" t="s">
        <v>429</v>
      </c>
      <c r="D8058" s="106">
        <v>23.7</v>
      </c>
    </row>
    <row r="8059" spans="1:4">
      <c r="A8059">
        <v>34629</v>
      </c>
      <c r="B8059" t="s">
        <v>8577</v>
      </c>
      <c r="C8059" t="s">
        <v>429</v>
      </c>
      <c r="D8059" s="106">
        <v>34.700000000000003</v>
      </c>
    </row>
    <row r="8060" spans="1:4">
      <c r="A8060">
        <v>39257</v>
      </c>
      <c r="B8060" t="s">
        <v>8578</v>
      </c>
      <c r="C8060" t="s">
        <v>429</v>
      </c>
      <c r="D8060" s="106">
        <v>6.75</v>
      </c>
    </row>
    <row r="8061" spans="1:4">
      <c r="A8061">
        <v>39261</v>
      </c>
      <c r="B8061" t="s">
        <v>8579</v>
      </c>
      <c r="C8061" t="s">
        <v>429</v>
      </c>
      <c r="D8061" s="106">
        <v>35.96</v>
      </c>
    </row>
    <row r="8062" spans="1:4">
      <c r="A8062">
        <v>39268</v>
      </c>
      <c r="B8062" t="s">
        <v>8580</v>
      </c>
      <c r="C8062" t="s">
        <v>429</v>
      </c>
      <c r="D8062" s="106">
        <v>414.83</v>
      </c>
    </row>
    <row r="8063" spans="1:4">
      <c r="A8063">
        <v>39262</v>
      </c>
      <c r="B8063" t="s">
        <v>8581</v>
      </c>
      <c r="C8063" t="s">
        <v>429</v>
      </c>
      <c r="D8063" s="106">
        <v>56.22</v>
      </c>
    </row>
    <row r="8064" spans="1:4">
      <c r="A8064">
        <v>39258</v>
      </c>
      <c r="B8064" t="s">
        <v>8582</v>
      </c>
      <c r="C8064" t="s">
        <v>429</v>
      </c>
      <c r="D8064" s="106">
        <v>10</v>
      </c>
    </row>
    <row r="8065" spans="1:4">
      <c r="A8065">
        <v>39263</v>
      </c>
      <c r="B8065" t="s">
        <v>8583</v>
      </c>
      <c r="C8065" t="s">
        <v>429</v>
      </c>
      <c r="D8065" s="106">
        <v>86.98</v>
      </c>
    </row>
    <row r="8066" spans="1:4">
      <c r="A8066">
        <v>39264</v>
      </c>
      <c r="B8066" t="s">
        <v>8584</v>
      </c>
      <c r="C8066" t="s">
        <v>429</v>
      </c>
      <c r="D8066" s="106">
        <v>117.78</v>
      </c>
    </row>
    <row r="8067" spans="1:4">
      <c r="A8067">
        <v>39259</v>
      </c>
      <c r="B8067" t="s">
        <v>8585</v>
      </c>
      <c r="C8067" t="s">
        <v>429</v>
      </c>
      <c r="D8067" s="106">
        <v>15.23</v>
      </c>
    </row>
    <row r="8068" spans="1:4">
      <c r="A8068">
        <v>39265</v>
      </c>
      <c r="B8068" t="s">
        <v>8586</v>
      </c>
      <c r="C8068" t="s">
        <v>429</v>
      </c>
      <c r="D8068" s="106">
        <v>173.5</v>
      </c>
    </row>
    <row r="8069" spans="1:4">
      <c r="A8069">
        <v>39260</v>
      </c>
      <c r="B8069" t="s">
        <v>8587</v>
      </c>
      <c r="C8069" t="s">
        <v>429</v>
      </c>
      <c r="D8069" s="106">
        <v>21.69</v>
      </c>
    </row>
    <row r="8070" spans="1:4">
      <c r="A8070">
        <v>39266</v>
      </c>
      <c r="B8070" t="s">
        <v>8588</v>
      </c>
      <c r="C8070" t="s">
        <v>429</v>
      </c>
      <c r="D8070" s="106">
        <v>243.44</v>
      </c>
    </row>
    <row r="8071" spans="1:4">
      <c r="A8071">
        <v>39267</v>
      </c>
      <c r="B8071" t="s">
        <v>8589</v>
      </c>
      <c r="C8071" t="s">
        <v>429</v>
      </c>
      <c r="D8071" s="106">
        <v>319.11</v>
      </c>
    </row>
    <row r="8072" spans="1:4">
      <c r="A8072">
        <v>11901</v>
      </c>
      <c r="B8072" t="s">
        <v>8590</v>
      </c>
      <c r="C8072" t="s">
        <v>429</v>
      </c>
      <c r="D8072" s="106">
        <v>0.99</v>
      </c>
    </row>
    <row r="8073" spans="1:4">
      <c r="A8073">
        <v>11902</v>
      </c>
      <c r="B8073" t="s">
        <v>8591</v>
      </c>
      <c r="C8073" t="s">
        <v>429</v>
      </c>
      <c r="D8073" s="106">
        <v>1.72</v>
      </c>
    </row>
    <row r="8074" spans="1:4">
      <c r="A8074">
        <v>11903</v>
      </c>
      <c r="B8074" t="s">
        <v>8592</v>
      </c>
      <c r="C8074" t="s">
        <v>429</v>
      </c>
      <c r="D8074" s="106">
        <v>2.66</v>
      </c>
    </row>
    <row r="8075" spans="1:4">
      <c r="A8075">
        <v>11904</v>
      </c>
      <c r="B8075" t="s">
        <v>8593</v>
      </c>
      <c r="C8075" t="s">
        <v>429</v>
      </c>
      <c r="D8075" s="106">
        <v>3.39</v>
      </c>
    </row>
    <row r="8076" spans="1:4">
      <c r="A8076">
        <v>11905</v>
      </c>
      <c r="B8076" t="s">
        <v>8594</v>
      </c>
      <c r="C8076" t="s">
        <v>429</v>
      </c>
      <c r="D8076" s="106">
        <v>4.57</v>
      </c>
    </row>
    <row r="8077" spans="1:4">
      <c r="A8077">
        <v>11906</v>
      </c>
      <c r="B8077" t="s">
        <v>8595</v>
      </c>
      <c r="C8077" t="s">
        <v>429</v>
      </c>
      <c r="D8077" s="106">
        <v>5.25</v>
      </c>
    </row>
    <row r="8078" spans="1:4">
      <c r="A8078">
        <v>11919</v>
      </c>
      <c r="B8078" t="s">
        <v>8596</v>
      </c>
      <c r="C8078" t="s">
        <v>429</v>
      </c>
      <c r="D8078" s="106">
        <v>10.31</v>
      </c>
    </row>
    <row r="8079" spans="1:4">
      <c r="A8079">
        <v>11920</v>
      </c>
      <c r="B8079" t="s">
        <v>8597</v>
      </c>
      <c r="C8079" t="s">
        <v>429</v>
      </c>
      <c r="D8079" s="106">
        <v>19.98</v>
      </c>
    </row>
    <row r="8080" spans="1:4">
      <c r="A8080">
        <v>11924</v>
      </c>
      <c r="B8080" t="s">
        <v>8598</v>
      </c>
      <c r="C8080" t="s">
        <v>429</v>
      </c>
      <c r="D8080" s="106">
        <v>194.28</v>
      </c>
    </row>
    <row r="8081" spans="1:4">
      <c r="A8081">
        <v>11921</v>
      </c>
      <c r="B8081" t="s">
        <v>8599</v>
      </c>
      <c r="C8081" t="s">
        <v>429</v>
      </c>
      <c r="D8081" s="106">
        <v>27.2</v>
      </c>
    </row>
    <row r="8082" spans="1:4">
      <c r="A8082">
        <v>11922</v>
      </c>
      <c r="B8082" t="s">
        <v>8600</v>
      </c>
      <c r="C8082" t="s">
        <v>429</v>
      </c>
      <c r="D8082" s="106">
        <v>48.29</v>
      </c>
    </row>
    <row r="8083" spans="1:4">
      <c r="A8083">
        <v>11923</v>
      </c>
      <c r="B8083" t="s">
        <v>8601</v>
      </c>
      <c r="C8083" t="s">
        <v>429</v>
      </c>
      <c r="D8083" s="106">
        <v>78.87</v>
      </c>
    </row>
    <row r="8084" spans="1:4">
      <c r="A8084">
        <v>11916</v>
      </c>
      <c r="B8084" t="s">
        <v>8602</v>
      </c>
      <c r="C8084" t="s">
        <v>429</v>
      </c>
      <c r="D8084" s="106">
        <v>13.38</v>
      </c>
    </row>
    <row r="8085" spans="1:4">
      <c r="A8085">
        <v>11914</v>
      </c>
      <c r="B8085" t="s">
        <v>8603</v>
      </c>
      <c r="C8085" t="s">
        <v>429</v>
      </c>
      <c r="D8085" s="106">
        <v>97.17</v>
      </c>
    </row>
    <row r="8086" spans="1:4">
      <c r="A8086">
        <v>11917</v>
      </c>
      <c r="B8086" t="s">
        <v>8604</v>
      </c>
      <c r="C8086" t="s">
        <v>429</v>
      </c>
      <c r="D8086" s="106">
        <v>23.29</v>
      </c>
    </row>
    <row r="8087" spans="1:4">
      <c r="A8087">
        <v>11918</v>
      </c>
      <c r="B8087" t="s">
        <v>8605</v>
      </c>
      <c r="C8087" t="s">
        <v>429</v>
      </c>
      <c r="D8087" s="106">
        <v>31.6</v>
      </c>
    </row>
    <row r="8088" spans="1:4">
      <c r="A8088">
        <v>37734</v>
      </c>
      <c r="B8088" t="s">
        <v>8606</v>
      </c>
      <c r="C8088" t="s">
        <v>427</v>
      </c>
      <c r="D8088" s="107">
        <v>74596.399999999994</v>
      </c>
    </row>
    <row r="8089" spans="1:4">
      <c r="A8089">
        <v>42251</v>
      </c>
      <c r="B8089" t="s">
        <v>8607</v>
      </c>
      <c r="C8089" t="s">
        <v>427</v>
      </c>
      <c r="D8089" s="107">
        <v>84708.77</v>
      </c>
    </row>
    <row r="8090" spans="1:4">
      <c r="A8090">
        <v>37733</v>
      </c>
      <c r="B8090" t="s">
        <v>8608</v>
      </c>
      <c r="C8090" t="s">
        <v>427</v>
      </c>
      <c r="D8090" s="107">
        <v>55932.1</v>
      </c>
    </row>
    <row r="8091" spans="1:4">
      <c r="A8091">
        <v>37735</v>
      </c>
      <c r="B8091" t="s">
        <v>8609</v>
      </c>
      <c r="C8091" t="s">
        <v>427</v>
      </c>
      <c r="D8091" s="107">
        <v>67398.19</v>
      </c>
    </row>
    <row r="8092" spans="1:4">
      <c r="A8092">
        <v>5090</v>
      </c>
      <c r="B8092" t="s">
        <v>8610</v>
      </c>
      <c r="C8092" t="s">
        <v>427</v>
      </c>
      <c r="D8092" s="106">
        <v>21.49</v>
      </c>
    </row>
    <row r="8093" spans="1:4">
      <c r="A8093">
        <v>5085</v>
      </c>
      <c r="B8093" t="s">
        <v>8611</v>
      </c>
      <c r="C8093" t="s">
        <v>427</v>
      </c>
      <c r="D8093" s="106">
        <v>31.99</v>
      </c>
    </row>
    <row r="8094" spans="1:4">
      <c r="A8094">
        <v>43603</v>
      </c>
      <c r="B8094" t="s">
        <v>8612</v>
      </c>
      <c r="C8094" t="s">
        <v>427</v>
      </c>
      <c r="D8094" s="106">
        <v>45.7</v>
      </c>
    </row>
    <row r="8095" spans="1:4">
      <c r="A8095">
        <v>38374</v>
      </c>
      <c r="B8095" t="s">
        <v>8613</v>
      </c>
      <c r="C8095" t="s">
        <v>427</v>
      </c>
      <c r="D8095" s="107">
        <v>1443.9</v>
      </c>
    </row>
    <row r="8096" spans="1:4">
      <c r="A8096">
        <v>20209</v>
      </c>
      <c r="B8096" t="s">
        <v>8614</v>
      </c>
      <c r="C8096" t="s">
        <v>429</v>
      </c>
      <c r="D8096" s="106">
        <v>21.22</v>
      </c>
    </row>
    <row r="8097" spans="1:4">
      <c r="A8097">
        <v>20212</v>
      </c>
      <c r="B8097" t="s">
        <v>8615</v>
      </c>
      <c r="C8097" t="s">
        <v>429</v>
      </c>
      <c r="D8097" s="106">
        <v>17.77</v>
      </c>
    </row>
    <row r="8098" spans="1:4">
      <c r="A8098">
        <v>4433</v>
      </c>
      <c r="B8098" t="s">
        <v>8616</v>
      </c>
      <c r="C8098" t="s">
        <v>429</v>
      </c>
      <c r="D8098" s="106">
        <v>20.329999999999998</v>
      </c>
    </row>
    <row r="8099" spans="1:4">
      <c r="A8099">
        <v>4430</v>
      </c>
      <c r="B8099" t="s">
        <v>8617</v>
      </c>
      <c r="C8099" t="s">
        <v>429</v>
      </c>
      <c r="D8099" s="106">
        <v>10.4</v>
      </c>
    </row>
    <row r="8100" spans="1:4">
      <c r="A8100">
        <v>4400</v>
      </c>
      <c r="B8100" t="s">
        <v>8618</v>
      </c>
      <c r="C8100" t="s">
        <v>429</v>
      </c>
      <c r="D8100" s="106">
        <v>16.55</v>
      </c>
    </row>
    <row r="8101" spans="1:4">
      <c r="A8101">
        <v>2729</v>
      </c>
      <c r="B8101" t="s">
        <v>8619</v>
      </c>
      <c r="C8101" t="s">
        <v>427</v>
      </c>
      <c r="D8101" s="106">
        <v>30.03</v>
      </c>
    </row>
    <row r="8102" spans="1:4">
      <c r="A8102">
        <v>4513</v>
      </c>
      <c r="B8102" t="s">
        <v>8620</v>
      </c>
      <c r="C8102" t="s">
        <v>429</v>
      </c>
      <c r="D8102" s="106">
        <v>6.32</v>
      </c>
    </row>
    <row r="8103" spans="1:4">
      <c r="A8103">
        <v>11871</v>
      </c>
      <c r="B8103" t="s">
        <v>8621</v>
      </c>
      <c r="C8103" t="s">
        <v>427</v>
      </c>
      <c r="D8103" s="106">
        <v>393</v>
      </c>
    </row>
    <row r="8104" spans="1:4">
      <c r="A8104">
        <v>34636</v>
      </c>
      <c r="B8104" t="s">
        <v>8622</v>
      </c>
      <c r="C8104" t="s">
        <v>427</v>
      </c>
      <c r="D8104" s="106">
        <v>432</v>
      </c>
    </row>
    <row r="8105" spans="1:4">
      <c r="A8105">
        <v>34639</v>
      </c>
      <c r="B8105" t="s">
        <v>8623</v>
      </c>
      <c r="C8105" t="s">
        <v>427</v>
      </c>
      <c r="D8105" s="106">
        <v>877.39</v>
      </c>
    </row>
    <row r="8106" spans="1:4">
      <c r="A8106">
        <v>34640</v>
      </c>
      <c r="B8106" t="s">
        <v>8624</v>
      </c>
      <c r="C8106" t="s">
        <v>427</v>
      </c>
      <c r="D8106" s="106">
        <v>985.53</v>
      </c>
    </row>
    <row r="8107" spans="1:4">
      <c r="A8107">
        <v>34637</v>
      </c>
      <c r="B8107" t="s">
        <v>8625</v>
      </c>
      <c r="C8107" t="s">
        <v>427</v>
      </c>
      <c r="D8107" s="106">
        <v>248.03</v>
      </c>
    </row>
    <row r="8108" spans="1:4">
      <c r="A8108">
        <v>34638</v>
      </c>
      <c r="B8108" t="s">
        <v>8626</v>
      </c>
      <c r="C8108" t="s">
        <v>427</v>
      </c>
      <c r="D8108" s="106">
        <v>425.34</v>
      </c>
    </row>
    <row r="8109" spans="1:4">
      <c r="A8109">
        <v>11868</v>
      </c>
      <c r="B8109" t="s">
        <v>8627</v>
      </c>
      <c r="C8109" t="s">
        <v>427</v>
      </c>
      <c r="D8109" s="106">
        <v>540.13</v>
      </c>
    </row>
    <row r="8110" spans="1:4">
      <c r="A8110">
        <v>37106</v>
      </c>
      <c r="B8110" t="s">
        <v>8628</v>
      </c>
      <c r="C8110" t="s">
        <v>427</v>
      </c>
      <c r="D8110" s="107">
        <v>5216.99</v>
      </c>
    </row>
    <row r="8111" spans="1:4">
      <c r="A8111">
        <v>11869</v>
      </c>
      <c r="B8111" t="s">
        <v>8629</v>
      </c>
      <c r="C8111" t="s">
        <v>427</v>
      </c>
      <c r="D8111" s="106">
        <v>876.34</v>
      </c>
    </row>
    <row r="8112" spans="1:4">
      <c r="A8112">
        <v>37104</v>
      </c>
      <c r="B8112" t="s">
        <v>8630</v>
      </c>
      <c r="C8112" t="s">
        <v>427</v>
      </c>
      <c r="D8112" s="107">
        <v>1129.6600000000001</v>
      </c>
    </row>
    <row r="8113" spans="1:4">
      <c r="A8113">
        <v>37105</v>
      </c>
      <c r="B8113" t="s">
        <v>8631</v>
      </c>
      <c r="C8113" t="s">
        <v>427</v>
      </c>
      <c r="D8113" s="107">
        <v>2515.9299999999998</v>
      </c>
    </row>
    <row r="8114" spans="1:4">
      <c r="A8114">
        <v>34641</v>
      </c>
      <c r="B8114" t="s">
        <v>8632</v>
      </c>
      <c r="C8114" t="s">
        <v>427</v>
      </c>
      <c r="D8114" s="106">
        <v>91.4</v>
      </c>
    </row>
    <row r="8115" spans="1:4">
      <c r="A8115">
        <v>43434</v>
      </c>
      <c r="B8115" t="s">
        <v>8633</v>
      </c>
      <c r="C8115" t="s">
        <v>427</v>
      </c>
      <c r="D8115" s="106">
        <v>98.82</v>
      </c>
    </row>
    <row r="8116" spans="1:4">
      <c r="A8116">
        <v>43435</v>
      </c>
      <c r="B8116" t="s">
        <v>8634</v>
      </c>
      <c r="C8116" t="s">
        <v>427</v>
      </c>
      <c r="D8116" s="106">
        <v>181.17</v>
      </c>
    </row>
    <row r="8117" spans="1:4">
      <c r="A8117">
        <v>43436</v>
      </c>
      <c r="B8117" t="s">
        <v>8635</v>
      </c>
      <c r="C8117" t="s">
        <v>427</v>
      </c>
      <c r="D8117" s="106">
        <v>317.05</v>
      </c>
    </row>
    <row r="8118" spans="1:4">
      <c r="A8118">
        <v>43437</v>
      </c>
      <c r="B8118" t="s">
        <v>8636</v>
      </c>
      <c r="C8118" t="s">
        <v>427</v>
      </c>
      <c r="D8118" s="106">
        <v>574.82000000000005</v>
      </c>
    </row>
    <row r="8119" spans="1:4">
      <c r="A8119">
        <v>43438</v>
      </c>
      <c r="B8119" t="s">
        <v>8637</v>
      </c>
      <c r="C8119" t="s">
        <v>427</v>
      </c>
      <c r="D8119" s="107">
        <v>1029.4100000000001</v>
      </c>
    </row>
    <row r="8120" spans="1:4">
      <c r="A8120">
        <v>41627</v>
      </c>
      <c r="B8120" t="s">
        <v>8638</v>
      </c>
      <c r="C8120" t="s">
        <v>427</v>
      </c>
      <c r="D8120" s="106">
        <v>152.35</v>
      </c>
    </row>
    <row r="8121" spans="1:4">
      <c r="A8121">
        <v>41628</v>
      </c>
      <c r="B8121" t="s">
        <v>8639</v>
      </c>
      <c r="C8121" t="s">
        <v>427</v>
      </c>
      <c r="D8121" s="106">
        <v>279.99</v>
      </c>
    </row>
    <row r="8122" spans="1:4">
      <c r="A8122">
        <v>41629</v>
      </c>
      <c r="B8122" t="s">
        <v>8640</v>
      </c>
      <c r="C8122" t="s">
        <v>427</v>
      </c>
      <c r="D8122" s="106">
        <v>355.76</v>
      </c>
    </row>
    <row r="8123" spans="1:4">
      <c r="A8123">
        <v>43429</v>
      </c>
      <c r="B8123" t="s">
        <v>8641</v>
      </c>
      <c r="C8123" t="s">
        <v>427</v>
      </c>
      <c r="D8123" s="106">
        <v>78.819999999999993</v>
      </c>
    </row>
    <row r="8124" spans="1:4">
      <c r="A8124">
        <v>43430</v>
      </c>
      <c r="B8124" t="s">
        <v>8642</v>
      </c>
      <c r="C8124" t="s">
        <v>427</v>
      </c>
      <c r="D8124" s="106">
        <v>130.94</v>
      </c>
    </row>
    <row r="8125" spans="1:4">
      <c r="A8125">
        <v>43431</v>
      </c>
      <c r="B8125" t="s">
        <v>8643</v>
      </c>
      <c r="C8125" t="s">
        <v>427</v>
      </c>
      <c r="D8125" s="106">
        <v>253.64</v>
      </c>
    </row>
    <row r="8126" spans="1:4">
      <c r="A8126">
        <v>43432</v>
      </c>
      <c r="B8126" t="s">
        <v>8644</v>
      </c>
      <c r="C8126" t="s">
        <v>427</v>
      </c>
      <c r="D8126" s="106">
        <v>527.04999999999995</v>
      </c>
    </row>
    <row r="8127" spans="1:4">
      <c r="A8127">
        <v>43433</v>
      </c>
      <c r="B8127" t="s">
        <v>8645</v>
      </c>
      <c r="C8127" t="s">
        <v>427</v>
      </c>
      <c r="D8127" s="106">
        <v>830.94</v>
      </c>
    </row>
    <row r="8128" spans="1:4">
      <c r="A8128">
        <v>43094</v>
      </c>
      <c r="B8128" t="s">
        <v>8646</v>
      </c>
      <c r="C8128" t="s">
        <v>427</v>
      </c>
      <c r="D8128" s="106">
        <v>237.21</v>
      </c>
    </row>
    <row r="8129" spans="1:4">
      <c r="A8129">
        <v>43093</v>
      </c>
      <c r="B8129" t="s">
        <v>8647</v>
      </c>
      <c r="C8129" t="s">
        <v>427</v>
      </c>
      <c r="D8129" s="106">
        <v>252.09</v>
      </c>
    </row>
    <row r="8130" spans="1:4">
      <c r="A8130">
        <v>1030</v>
      </c>
      <c r="B8130" t="s">
        <v>8648</v>
      </c>
      <c r="C8130" t="s">
        <v>427</v>
      </c>
      <c r="D8130" s="106">
        <v>48</v>
      </c>
    </row>
    <row r="8131" spans="1:4">
      <c r="A8131">
        <v>11694</v>
      </c>
      <c r="B8131" t="s">
        <v>8649</v>
      </c>
      <c r="C8131" t="s">
        <v>427</v>
      </c>
      <c r="D8131" s="107">
        <v>1061.05</v>
      </c>
    </row>
    <row r="8132" spans="1:4">
      <c r="A8132">
        <v>11881</v>
      </c>
      <c r="B8132" t="s">
        <v>8650</v>
      </c>
      <c r="C8132" t="s">
        <v>427</v>
      </c>
      <c r="D8132" s="106">
        <v>139.99</v>
      </c>
    </row>
    <row r="8133" spans="1:4">
      <c r="A8133">
        <v>35277</v>
      </c>
      <c r="B8133" t="s">
        <v>8651</v>
      </c>
      <c r="C8133" t="s">
        <v>427</v>
      </c>
      <c r="D8133" s="106">
        <v>379.06</v>
      </c>
    </row>
    <row r="8134" spans="1:4">
      <c r="A8134">
        <v>10521</v>
      </c>
      <c r="B8134" t="s">
        <v>8652</v>
      </c>
      <c r="C8134" t="s">
        <v>427</v>
      </c>
      <c r="D8134" s="106">
        <v>285.39999999999998</v>
      </c>
    </row>
    <row r="8135" spans="1:4">
      <c r="A8135">
        <v>10885</v>
      </c>
      <c r="B8135" t="s">
        <v>8653</v>
      </c>
      <c r="C8135" t="s">
        <v>427</v>
      </c>
      <c r="D8135" s="106">
        <v>361</v>
      </c>
    </row>
    <row r="8136" spans="1:4">
      <c r="A8136">
        <v>20962</v>
      </c>
      <c r="B8136" t="s">
        <v>8654</v>
      </c>
      <c r="C8136" t="s">
        <v>427</v>
      </c>
      <c r="D8136" s="106">
        <v>299</v>
      </c>
    </row>
    <row r="8137" spans="1:4">
      <c r="A8137">
        <v>20963</v>
      </c>
      <c r="B8137" t="s">
        <v>8655</v>
      </c>
      <c r="C8137" t="s">
        <v>427</v>
      </c>
      <c r="D8137" s="106">
        <v>365.25</v>
      </c>
    </row>
    <row r="8138" spans="1:4">
      <c r="A8138">
        <v>34643</v>
      </c>
      <c r="B8138" t="s">
        <v>8656</v>
      </c>
      <c r="C8138" t="s">
        <v>427</v>
      </c>
      <c r="D8138" s="106">
        <v>43.65</v>
      </c>
    </row>
    <row r="8139" spans="1:4">
      <c r="A8139">
        <v>41480</v>
      </c>
      <c r="B8139" t="s">
        <v>8657</v>
      </c>
      <c r="C8139" t="s">
        <v>427</v>
      </c>
      <c r="D8139" s="106">
        <v>50.61</v>
      </c>
    </row>
    <row r="8140" spans="1:4">
      <c r="A8140">
        <v>41474</v>
      </c>
      <c r="B8140" t="s">
        <v>8658</v>
      </c>
      <c r="C8140" t="s">
        <v>427</v>
      </c>
      <c r="D8140" s="106">
        <v>80.849999999999994</v>
      </c>
    </row>
    <row r="8141" spans="1:4">
      <c r="A8141">
        <v>41475</v>
      </c>
      <c r="B8141" t="s">
        <v>8659</v>
      </c>
      <c r="C8141" t="s">
        <v>427</v>
      </c>
      <c r="D8141" s="106">
        <v>68.989999999999995</v>
      </c>
    </row>
    <row r="8142" spans="1:4">
      <c r="A8142">
        <v>41476</v>
      </c>
      <c r="B8142" t="s">
        <v>8660</v>
      </c>
      <c r="C8142" t="s">
        <v>427</v>
      </c>
      <c r="D8142" s="106">
        <v>151.06</v>
      </c>
    </row>
    <row r="8143" spans="1:4">
      <c r="A8143">
        <v>2555</v>
      </c>
      <c r="B8143" t="s">
        <v>8661</v>
      </c>
      <c r="C8143" t="s">
        <v>427</v>
      </c>
      <c r="D8143" s="106">
        <v>1.86</v>
      </c>
    </row>
    <row r="8144" spans="1:4">
      <c r="A8144">
        <v>2556</v>
      </c>
      <c r="B8144" t="s">
        <v>8662</v>
      </c>
      <c r="C8144" t="s">
        <v>427</v>
      </c>
      <c r="D8144" s="106">
        <v>1.92</v>
      </c>
    </row>
    <row r="8145" spans="1:4">
      <c r="A8145">
        <v>2557</v>
      </c>
      <c r="B8145" t="s">
        <v>8663</v>
      </c>
      <c r="C8145" t="s">
        <v>427</v>
      </c>
      <c r="D8145" s="106">
        <v>4.07</v>
      </c>
    </row>
    <row r="8146" spans="1:4">
      <c r="A8146">
        <v>10569</v>
      </c>
      <c r="B8146" t="s">
        <v>8664</v>
      </c>
      <c r="C8146" t="s">
        <v>427</v>
      </c>
      <c r="D8146" s="106">
        <v>4.07</v>
      </c>
    </row>
    <row r="8147" spans="1:4">
      <c r="A8147">
        <v>39810</v>
      </c>
      <c r="B8147" t="s">
        <v>8665</v>
      </c>
      <c r="C8147" t="s">
        <v>427</v>
      </c>
      <c r="D8147" s="106">
        <v>32.01</v>
      </c>
    </row>
    <row r="8148" spans="1:4">
      <c r="A8148">
        <v>39811</v>
      </c>
      <c r="B8148" t="s">
        <v>8666</v>
      </c>
      <c r="C8148" t="s">
        <v>427</v>
      </c>
      <c r="D8148" s="106">
        <v>39.15</v>
      </c>
    </row>
    <row r="8149" spans="1:4">
      <c r="A8149">
        <v>39812</v>
      </c>
      <c r="B8149" t="s">
        <v>8667</v>
      </c>
      <c r="C8149" t="s">
        <v>427</v>
      </c>
      <c r="D8149" s="106">
        <v>64.38</v>
      </c>
    </row>
    <row r="8150" spans="1:4">
      <c r="A8150">
        <v>43096</v>
      </c>
      <c r="B8150" t="s">
        <v>8668</v>
      </c>
      <c r="C8150" t="s">
        <v>427</v>
      </c>
      <c r="D8150" s="106">
        <v>213.42</v>
      </c>
    </row>
    <row r="8151" spans="1:4">
      <c r="A8151">
        <v>43102</v>
      </c>
      <c r="B8151" t="s">
        <v>8669</v>
      </c>
      <c r="C8151" t="s">
        <v>427</v>
      </c>
      <c r="D8151" s="106">
        <v>129.77000000000001</v>
      </c>
    </row>
    <row r="8152" spans="1:4">
      <c r="A8152">
        <v>43103</v>
      </c>
      <c r="B8152" t="s">
        <v>8670</v>
      </c>
      <c r="C8152" t="s">
        <v>427</v>
      </c>
      <c r="D8152" s="106">
        <v>191.09</v>
      </c>
    </row>
    <row r="8153" spans="1:4">
      <c r="A8153">
        <v>43098</v>
      </c>
      <c r="B8153" t="s">
        <v>8671</v>
      </c>
      <c r="C8153" t="s">
        <v>427</v>
      </c>
      <c r="D8153" s="106">
        <v>72.290000000000006</v>
      </c>
    </row>
    <row r="8154" spans="1:4">
      <c r="A8154">
        <v>43097</v>
      </c>
      <c r="B8154" t="s">
        <v>8672</v>
      </c>
      <c r="C8154" t="s">
        <v>427</v>
      </c>
      <c r="D8154" s="106">
        <v>42.83</v>
      </c>
    </row>
    <row r="8155" spans="1:4">
      <c r="A8155">
        <v>43104</v>
      </c>
      <c r="B8155" t="s">
        <v>8673</v>
      </c>
      <c r="C8155" t="s">
        <v>427</v>
      </c>
      <c r="D8155" s="106">
        <v>506.62</v>
      </c>
    </row>
    <row r="8156" spans="1:4">
      <c r="A8156">
        <v>39771</v>
      </c>
      <c r="B8156" t="s">
        <v>8674</v>
      </c>
      <c r="C8156" t="s">
        <v>427</v>
      </c>
      <c r="D8156" s="106">
        <v>39.08</v>
      </c>
    </row>
    <row r="8157" spans="1:4">
      <c r="A8157">
        <v>39772</v>
      </c>
      <c r="B8157" t="s">
        <v>8675</v>
      </c>
      <c r="C8157" t="s">
        <v>427</v>
      </c>
      <c r="D8157" s="106">
        <v>76.819999999999993</v>
      </c>
    </row>
    <row r="8158" spans="1:4">
      <c r="A8158">
        <v>39773</v>
      </c>
      <c r="B8158" t="s">
        <v>8676</v>
      </c>
      <c r="C8158" t="s">
        <v>427</v>
      </c>
      <c r="D8158" s="106">
        <v>123.47</v>
      </c>
    </row>
    <row r="8159" spans="1:4">
      <c r="A8159">
        <v>39774</v>
      </c>
      <c r="B8159" t="s">
        <v>8677</v>
      </c>
      <c r="C8159" t="s">
        <v>427</v>
      </c>
      <c r="D8159" s="106">
        <v>184.68</v>
      </c>
    </row>
    <row r="8160" spans="1:4">
      <c r="A8160">
        <v>39775</v>
      </c>
      <c r="B8160" t="s">
        <v>8678</v>
      </c>
      <c r="C8160" t="s">
        <v>427</v>
      </c>
      <c r="D8160" s="106">
        <v>246.48</v>
      </c>
    </row>
    <row r="8161" spans="1:4">
      <c r="A8161">
        <v>39776</v>
      </c>
      <c r="B8161" t="s">
        <v>8679</v>
      </c>
      <c r="C8161" t="s">
        <v>427</v>
      </c>
      <c r="D8161" s="106">
        <v>297.87</v>
      </c>
    </row>
    <row r="8162" spans="1:4">
      <c r="A8162">
        <v>39777</v>
      </c>
      <c r="B8162" t="s">
        <v>8680</v>
      </c>
      <c r="C8162" t="s">
        <v>427</v>
      </c>
      <c r="D8162" s="106">
        <v>377.55</v>
      </c>
    </row>
    <row r="8163" spans="1:4">
      <c r="A8163">
        <v>20254</v>
      </c>
      <c r="B8163" t="s">
        <v>8681</v>
      </c>
      <c r="C8163" t="s">
        <v>427</v>
      </c>
      <c r="D8163" s="106">
        <v>27.4</v>
      </c>
    </row>
    <row r="8164" spans="1:4">
      <c r="A8164">
        <v>20253</v>
      </c>
      <c r="B8164" t="s">
        <v>8682</v>
      </c>
      <c r="C8164" t="s">
        <v>427</v>
      </c>
      <c r="D8164" s="106">
        <v>89.98</v>
      </c>
    </row>
    <row r="8165" spans="1:4">
      <c r="A8165">
        <v>11247</v>
      </c>
      <c r="B8165" t="s">
        <v>8683</v>
      </c>
      <c r="C8165" t="s">
        <v>427</v>
      </c>
      <c r="D8165" s="107">
        <v>1730.29</v>
      </c>
    </row>
    <row r="8166" spans="1:4">
      <c r="A8166">
        <v>11250</v>
      </c>
      <c r="B8166" t="s">
        <v>8684</v>
      </c>
      <c r="C8166" t="s">
        <v>427</v>
      </c>
      <c r="D8166" s="106">
        <v>74.489999999999995</v>
      </c>
    </row>
    <row r="8167" spans="1:4">
      <c r="A8167">
        <v>11249</v>
      </c>
      <c r="B8167" t="s">
        <v>8685</v>
      </c>
      <c r="C8167" t="s">
        <v>427</v>
      </c>
      <c r="D8167" s="107">
        <v>3379.86</v>
      </c>
    </row>
    <row r="8168" spans="1:4">
      <c r="A8168">
        <v>11251</v>
      </c>
      <c r="B8168" t="s">
        <v>8686</v>
      </c>
      <c r="C8168" t="s">
        <v>427</v>
      </c>
      <c r="D8168" s="106">
        <v>165</v>
      </c>
    </row>
    <row r="8169" spans="1:4">
      <c r="A8169">
        <v>11253</v>
      </c>
      <c r="B8169" t="s">
        <v>8687</v>
      </c>
      <c r="C8169" t="s">
        <v>427</v>
      </c>
      <c r="D8169" s="106">
        <v>273.42</v>
      </c>
    </row>
    <row r="8170" spans="1:4">
      <c r="A8170">
        <v>11255</v>
      </c>
      <c r="B8170" t="s">
        <v>8688</v>
      </c>
      <c r="C8170" t="s">
        <v>427</v>
      </c>
      <c r="D8170" s="106">
        <v>408.77</v>
      </c>
    </row>
    <row r="8171" spans="1:4">
      <c r="A8171">
        <v>14055</v>
      </c>
      <c r="B8171" t="s">
        <v>8689</v>
      </c>
      <c r="C8171" t="s">
        <v>427</v>
      </c>
      <c r="D8171" s="106">
        <v>822.3</v>
      </c>
    </row>
    <row r="8172" spans="1:4">
      <c r="A8172">
        <v>11256</v>
      </c>
      <c r="B8172" t="s">
        <v>8690</v>
      </c>
      <c r="C8172" t="s">
        <v>427</v>
      </c>
      <c r="D8172" s="106">
        <v>512.02</v>
      </c>
    </row>
    <row r="8173" spans="1:4">
      <c r="A8173">
        <v>1872</v>
      </c>
      <c r="B8173" t="s">
        <v>8691</v>
      </c>
      <c r="C8173" t="s">
        <v>427</v>
      </c>
      <c r="D8173" s="106">
        <v>2.23</v>
      </c>
    </row>
    <row r="8174" spans="1:4">
      <c r="A8174">
        <v>1873</v>
      </c>
      <c r="B8174" t="s">
        <v>8692</v>
      </c>
      <c r="C8174" t="s">
        <v>427</v>
      </c>
      <c r="D8174" s="106">
        <v>4.43</v>
      </c>
    </row>
    <row r="8175" spans="1:4">
      <c r="A8175">
        <v>39693</v>
      </c>
      <c r="B8175" t="s">
        <v>8693</v>
      </c>
      <c r="C8175" t="s">
        <v>427</v>
      </c>
      <c r="D8175" s="107">
        <v>3215.74</v>
      </c>
    </row>
    <row r="8176" spans="1:4">
      <c r="A8176">
        <v>39692</v>
      </c>
      <c r="B8176" t="s">
        <v>8694</v>
      </c>
      <c r="C8176" t="s">
        <v>427</v>
      </c>
      <c r="D8176" s="107">
        <v>1028.96</v>
      </c>
    </row>
    <row r="8177" spans="1:4">
      <c r="A8177">
        <v>1062</v>
      </c>
      <c r="B8177" t="s">
        <v>8695</v>
      </c>
      <c r="C8177" t="s">
        <v>427</v>
      </c>
      <c r="D8177" s="106">
        <v>326.10000000000002</v>
      </c>
    </row>
    <row r="8178" spans="1:4">
      <c r="A8178">
        <v>39686</v>
      </c>
      <c r="B8178" t="s">
        <v>8696</v>
      </c>
      <c r="C8178" t="s">
        <v>427</v>
      </c>
      <c r="D8178" s="106">
        <v>528.02</v>
      </c>
    </row>
    <row r="8179" spans="1:4">
      <c r="A8179">
        <v>43095</v>
      </c>
      <c r="B8179" t="s">
        <v>8697</v>
      </c>
      <c r="C8179" t="s">
        <v>427</v>
      </c>
      <c r="D8179" s="106">
        <v>140.63</v>
      </c>
    </row>
    <row r="8180" spans="1:4">
      <c r="A8180">
        <v>1871</v>
      </c>
      <c r="B8180" t="s">
        <v>8698</v>
      </c>
      <c r="C8180" t="s">
        <v>427</v>
      </c>
      <c r="D8180" s="106">
        <v>3.99</v>
      </c>
    </row>
    <row r="8181" spans="1:4">
      <c r="A8181">
        <v>12001</v>
      </c>
      <c r="B8181" t="s">
        <v>8699</v>
      </c>
      <c r="C8181" t="s">
        <v>427</v>
      </c>
      <c r="D8181" s="106">
        <v>5.76</v>
      </c>
    </row>
    <row r="8182" spans="1:4">
      <c r="A8182">
        <v>11882</v>
      </c>
      <c r="B8182" t="s">
        <v>8700</v>
      </c>
      <c r="C8182" t="s">
        <v>427</v>
      </c>
      <c r="D8182" s="106">
        <v>100.47</v>
      </c>
    </row>
    <row r="8183" spans="1:4">
      <c r="A8183">
        <v>1068</v>
      </c>
      <c r="B8183" t="s">
        <v>8701</v>
      </c>
      <c r="C8183" t="s">
        <v>427</v>
      </c>
      <c r="D8183" s="107">
        <v>2150.94</v>
      </c>
    </row>
    <row r="8184" spans="1:4">
      <c r="A8184">
        <v>39690</v>
      </c>
      <c r="B8184" t="s">
        <v>8702</v>
      </c>
      <c r="C8184" t="s">
        <v>427</v>
      </c>
      <c r="D8184" s="107">
        <v>3608.57</v>
      </c>
    </row>
    <row r="8185" spans="1:4">
      <c r="A8185">
        <v>39691</v>
      </c>
      <c r="B8185" t="s">
        <v>8703</v>
      </c>
      <c r="C8185" t="s">
        <v>427</v>
      </c>
      <c r="D8185" s="107">
        <v>4538.57</v>
      </c>
    </row>
    <row r="8186" spans="1:4">
      <c r="A8186">
        <v>39808</v>
      </c>
      <c r="B8186" t="s">
        <v>8704</v>
      </c>
      <c r="C8186" t="s">
        <v>427</v>
      </c>
      <c r="D8186" s="106">
        <v>73.42</v>
      </c>
    </row>
    <row r="8187" spans="1:4">
      <c r="A8187">
        <v>39809</v>
      </c>
      <c r="B8187" t="s">
        <v>8705</v>
      </c>
      <c r="C8187" t="s">
        <v>427</v>
      </c>
      <c r="D8187" s="106">
        <v>174.14</v>
      </c>
    </row>
    <row r="8188" spans="1:4">
      <c r="A8188">
        <v>43439</v>
      </c>
      <c r="B8188" t="s">
        <v>8706</v>
      </c>
      <c r="C8188" t="s">
        <v>427</v>
      </c>
      <c r="D8188" s="106">
        <v>461.17</v>
      </c>
    </row>
    <row r="8189" spans="1:4">
      <c r="A8189">
        <v>5103</v>
      </c>
      <c r="B8189" t="s">
        <v>8707</v>
      </c>
      <c r="C8189" t="s">
        <v>427</v>
      </c>
      <c r="D8189" s="106">
        <v>23.99</v>
      </c>
    </row>
    <row r="8190" spans="1:4">
      <c r="A8190">
        <v>11880</v>
      </c>
      <c r="B8190" t="s">
        <v>8708</v>
      </c>
      <c r="C8190" t="s">
        <v>427</v>
      </c>
      <c r="D8190" s="106">
        <v>100.93</v>
      </c>
    </row>
    <row r="8191" spans="1:4">
      <c r="A8191">
        <v>11714</v>
      </c>
      <c r="B8191" t="s">
        <v>8709</v>
      </c>
      <c r="C8191" t="s">
        <v>427</v>
      </c>
      <c r="D8191" s="106">
        <v>68.760000000000005</v>
      </c>
    </row>
    <row r="8192" spans="1:4">
      <c r="A8192">
        <v>11712</v>
      </c>
      <c r="B8192" t="s">
        <v>8710</v>
      </c>
      <c r="C8192" t="s">
        <v>427</v>
      </c>
      <c r="D8192" s="106">
        <v>44.9</v>
      </c>
    </row>
    <row r="8193" spans="1:4">
      <c r="A8193">
        <v>11717</v>
      </c>
      <c r="B8193" t="s">
        <v>8711</v>
      </c>
      <c r="C8193" t="s">
        <v>427</v>
      </c>
      <c r="D8193" s="106">
        <v>54.12</v>
      </c>
    </row>
    <row r="8194" spans="1:4">
      <c r="A8194">
        <v>1106</v>
      </c>
      <c r="B8194" t="s">
        <v>8712</v>
      </c>
      <c r="C8194" t="s">
        <v>430</v>
      </c>
      <c r="D8194" s="106">
        <v>0.85</v>
      </c>
    </row>
    <row r="8195" spans="1:4">
      <c r="A8195">
        <v>11161</v>
      </c>
      <c r="B8195" t="s">
        <v>8713</v>
      </c>
      <c r="C8195" t="s">
        <v>430</v>
      </c>
      <c r="D8195" s="106">
        <v>1.42</v>
      </c>
    </row>
    <row r="8196" spans="1:4">
      <c r="A8196">
        <v>1107</v>
      </c>
      <c r="B8196" t="s">
        <v>8714</v>
      </c>
      <c r="C8196" t="s">
        <v>430</v>
      </c>
      <c r="D8196" s="106">
        <v>0.72</v>
      </c>
    </row>
    <row r="8197" spans="1:4">
      <c r="A8197">
        <v>44479</v>
      </c>
      <c r="B8197" t="s">
        <v>8715</v>
      </c>
      <c r="C8197" t="s">
        <v>430</v>
      </c>
      <c r="D8197" s="106">
        <v>0.13</v>
      </c>
    </row>
    <row r="8198" spans="1:4">
      <c r="A8198">
        <v>41068</v>
      </c>
      <c r="B8198" t="s">
        <v>8716</v>
      </c>
      <c r="C8198" t="s">
        <v>433</v>
      </c>
      <c r="D8198" s="107">
        <v>2549.6</v>
      </c>
    </row>
    <row r="8199" spans="1:4">
      <c r="A8199">
        <v>4759</v>
      </c>
      <c r="B8199" t="s">
        <v>13436</v>
      </c>
      <c r="C8199" t="s">
        <v>432</v>
      </c>
      <c r="D8199" s="106">
        <v>14.41</v>
      </c>
    </row>
    <row r="8200" spans="1:4">
      <c r="A8200">
        <v>1108</v>
      </c>
      <c r="B8200" t="s">
        <v>8717</v>
      </c>
      <c r="C8200" t="s">
        <v>429</v>
      </c>
      <c r="D8200" s="106">
        <v>35.07</v>
      </c>
    </row>
    <row r="8201" spans="1:4">
      <c r="A8201">
        <v>1117</v>
      </c>
      <c r="B8201" t="s">
        <v>8718</v>
      </c>
      <c r="C8201" t="s">
        <v>429</v>
      </c>
      <c r="D8201" s="106">
        <v>35.35</v>
      </c>
    </row>
    <row r="8202" spans="1:4">
      <c r="A8202">
        <v>1118</v>
      </c>
      <c r="B8202" t="s">
        <v>8719</v>
      </c>
      <c r="C8202" t="s">
        <v>429</v>
      </c>
      <c r="D8202" s="106">
        <v>41.78</v>
      </c>
    </row>
    <row r="8203" spans="1:4">
      <c r="A8203">
        <v>1110</v>
      </c>
      <c r="B8203" t="s">
        <v>8720</v>
      </c>
      <c r="C8203" t="s">
        <v>429</v>
      </c>
      <c r="D8203" s="106">
        <v>41.78</v>
      </c>
    </row>
    <row r="8204" spans="1:4">
      <c r="A8204">
        <v>12618</v>
      </c>
      <c r="B8204" t="s">
        <v>8721</v>
      </c>
      <c r="C8204" t="s">
        <v>427</v>
      </c>
      <c r="D8204" s="106">
        <v>49.52</v>
      </c>
    </row>
    <row r="8205" spans="1:4">
      <c r="A8205">
        <v>40784</v>
      </c>
      <c r="B8205" t="s">
        <v>8722</v>
      </c>
      <c r="C8205" t="s">
        <v>429</v>
      </c>
      <c r="D8205" s="106">
        <v>115.25</v>
      </c>
    </row>
    <row r="8206" spans="1:4">
      <c r="A8206">
        <v>40782</v>
      </c>
      <c r="B8206" t="s">
        <v>8723</v>
      </c>
      <c r="C8206" t="s">
        <v>429</v>
      </c>
      <c r="D8206" s="106">
        <v>45.22</v>
      </c>
    </row>
    <row r="8207" spans="1:4">
      <c r="A8207">
        <v>40783</v>
      </c>
      <c r="B8207" t="s">
        <v>8724</v>
      </c>
      <c r="C8207" t="s">
        <v>429</v>
      </c>
      <c r="D8207" s="106">
        <v>58.91</v>
      </c>
    </row>
    <row r="8208" spans="1:4">
      <c r="A8208">
        <v>1109</v>
      </c>
      <c r="B8208" t="s">
        <v>8725</v>
      </c>
      <c r="C8208" t="s">
        <v>429</v>
      </c>
      <c r="D8208" s="106">
        <v>35.07</v>
      </c>
    </row>
    <row r="8209" spans="1:4">
      <c r="A8209">
        <v>1119</v>
      </c>
      <c r="B8209" t="s">
        <v>8726</v>
      </c>
      <c r="C8209" t="s">
        <v>429</v>
      </c>
      <c r="D8209" s="106">
        <v>22.61</v>
      </c>
    </row>
    <row r="8210" spans="1:4">
      <c r="A8210">
        <v>13115</v>
      </c>
      <c r="B8210" t="s">
        <v>8727</v>
      </c>
      <c r="C8210" t="s">
        <v>429</v>
      </c>
      <c r="D8210" s="106">
        <v>17.02</v>
      </c>
    </row>
    <row r="8211" spans="1:4">
      <c r="A8211">
        <v>10541</v>
      </c>
      <c r="B8211" t="s">
        <v>8728</v>
      </c>
      <c r="C8211" t="s">
        <v>429</v>
      </c>
      <c r="D8211" s="106">
        <v>20.8</v>
      </c>
    </row>
    <row r="8212" spans="1:4">
      <c r="A8212">
        <v>10542</v>
      </c>
      <c r="B8212" t="s">
        <v>8729</v>
      </c>
      <c r="C8212" t="s">
        <v>429</v>
      </c>
      <c r="D8212" s="106">
        <v>27.2</v>
      </c>
    </row>
    <row r="8213" spans="1:4">
      <c r="A8213">
        <v>10543</v>
      </c>
      <c r="B8213" t="s">
        <v>8730</v>
      </c>
      <c r="C8213" t="s">
        <v>429</v>
      </c>
      <c r="D8213" s="106">
        <v>44.13</v>
      </c>
    </row>
    <row r="8214" spans="1:4">
      <c r="A8214">
        <v>10544</v>
      </c>
      <c r="B8214" t="s">
        <v>8731</v>
      </c>
      <c r="C8214" t="s">
        <v>429</v>
      </c>
      <c r="D8214" s="106">
        <v>57.08</v>
      </c>
    </row>
    <row r="8215" spans="1:4">
      <c r="A8215">
        <v>10545</v>
      </c>
      <c r="B8215" t="s">
        <v>8732</v>
      </c>
      <c r="C8215" t="s">
        <v>429</v>
      </c>
      <c r="D8215" s="106">
        <v>106.67</v>
      </c>
    </row>
    <row r="8216" spans="1:4">
      <c r="A8216">
        <v>38365</v>
      </c>
      <c r="B8216" t="s">
        <v>8733</v>
      </c>
      <c r="C8216" t="s">
        <v>426</v>
      </c>
      <c r="D8216" s="106">
        <v>1.99</v>
      </c>
    </row>
    <row r="8217" spans="1:4">
      <c r="A8217">
        <v>37745</v>
      </c>
      <c r="B8217" t="s">
        <v>8734</v>
      </c>
      <c r="C8217" t="s">
        <v>427</v>
      </c>
      <c r="D8217" s="107">
        <v>398477</v>
      </c>
    </row>
    <row r="8218" spans="1:4">
      <c r="A8218">
        <v>37754</v>
      </c>
      <c r="B8218" t="s">
        <v>8735</v>
      </c>
      <c r="C8218" t="s">
        <v>427</v>
      </c>
      <c r="D8218" s="107">
        <v>416131.04</v>
      </c>
    </row>
    <row r="8219" spans="1:4">
      <c r="A8219">
        <v>37761</v>
      </c>
      <c r="B8219" t="s">
        <v>8736</v>
      </c>
      <c r="C8219" t="s">
        <v>427</v>
      </c>
      <c r="D8219" s="107">
        <v>350558.86</v>
      </c>
    </row>
    <row r="8220" spans="1:4">
      <c r="A8220">
        <v>37757</v>
      </c>
      <c r="B8220" t="s">
        <v>8737</v>
      </c>
      <c r="C8220" t="s">
        <v>427</v>
      </c>
      <c r="D8220" s="107">
        <v>488008.2</v>
      </c>
    </row>
    <row r="8221" spans="1:4">
      <c r="A8221">
        <v>37759</v>
      </c>
      <c r="B8221" t="s">
        <v>8738</v>
      </c>
      <c r="C8221" t="s">
        <v>427</v>
      </c>
      <c r="D8221" s="107">
        <v>489899.73</v>
      </c>
    </row>
    <row r="8222" spans="1:4">
      <c r="A8222">
        <v>37766</v>
      </c>
      <c r="B8222" t="s">
        <v>8739</v>
      </c>
      <c r="C8222" t="s">
        <v>427</v>
      </c>
      <c r="D8222" s="107">
        <v>489899.69</v>
      </c>
    </row>
    <row r="8223" spans="1:4">
      <c r="A8223">
        <v>37752</v>
      </c>
      <c r="B8223" t="s">
        <v>8740</v>
      </c>
      <c r="C8223" t="s">
        <v>427</v>
      </c>
      <c r="D8223" s="107">
        <v>444251.4</v>
      </c>
    </row>
    <row r="8224" spans="1:4">
      <c r="A8224">
        <v>37760</v>
      </c>
      <c r="B8224" t="s">
        <v>8741</v>
      </c>
      <c r="C8224" t="s">
        <v>427</v>
      </c>
      <c r="D8224" s="107">
        <v>467832.16</v>
      </c>
    </row>
    <row r="8225" spans="1:4">
      <c r="A8225">
        <v>37765</v>
      </c>
      <c r="B8225" t="s">
        <v>8742</v>
      </c>
      <c r="C8225" t="s">
        <v>427</v>
      </c>
      <c r="D8225" s="107">
        <v>326599.83</v>
      </c>
    </row>
    <row r="8226" spans="1:4">
      <c r="A8226">
        <v>37746</v>
      </c>
      <c r="B8226" t="s">
        <v>8743</v>
      </c>
      <c r="C8226" t="s">
        <v>427</v>
      </c>
      <c r="D8226" s="107">
        <v>358061.82</v>
      </c>
    </row>
    <row r="8227" spans="1:4">
      <c r="A8227">
        <v>37750</v>
      </c>
      <c r="B8227" t="s">
        <v>8744</v>
      </c>
      <c r="C8227" t="s">
        <v>427</v>
      </c>
      <c r="D8227" s="107">
        <v>356800.84</v>
      </c>
    </row>
    <row r="8228" spans="1:4">
      <c r="A8228">
        <v>37756</v>
      </c>
      <c r="B8228" t="s">
        <v>8745</v>
      </c>
      <c r="C8228" t="s">
        <v>427</v>
      </c>
      <c r="D8228" s="107">
        <v>350558.86</v>
      </c>
    </row>
    <row r="8229" spans="1:4">
      <c r="A8229">
        <v>37755</v>
      </c>
      <c r="B8229" t="s">
        <v>8746</v>
      </c>
      <c r="C8229" t="s">
        <v>427</v>
      </c>
      <c r="D8229" s="107">
        <v>509445.27</v>
      </c>
    </row>
    <row r="8230" spans="1:4">
      <c r="A8230">
        <v>37758</v>
      </c>
      <c r="B8230" t="s">
        <v>8747</v>
      </c>
      <c r="C8230" t="s">
        <v>427</v>
      </c>
      <c r="D8230" s="107">
        <v>575017.44999999995</v>
      </c>
    </row>
    <row r="8231" spans="1:4">
      <c r="A8231">
        <v>37747</v>
      </c>
      <c r="B8231" t="s">
        <v>8748</v>
      </c>
      <c r="C8231" t="s">
        <v>427</v>
      </c>
      <c r="D8231" s="107">
        <v>517389.58</v>
      </c>
    </row>
    <row r="8232" spans="1:4">
      <c r="A8232">
        <v>37767</v>
      </c>
      <c r="B8232" t="s">
        <v>8749</v>
      </c>
      <c r="C8232" t="s">
        <v>427</v>
      </c>
      <c r="D8232" s="107">
        <v>546014.38</v>
      </c>
    </row>
    <row r="8233" spans="1:4">
      <c r="A8233">
        <v>37751</v>
      </c>
      <c r="B8233" t="s">
        <v>8750</v>
      </c>
      <c r="C8233" t="s">
        <v>427</v>
      </c>
      <c r="D8233" s="107">
        <v>546014.38</v>
      </c>
    </row>
    <row r="8234" spans="1:4">
      <c r="A8234">
        <v>37749</v>
      </c>
      <c r="B8234" t="s">
        <v>8751</v>
      </c>
      <c r="C8234" t="s">
        <v>427</v>
      </c>
      <c r="D8234" s="107">
        <v>539709.36</v>
      </c>
    </row>
    <row r="8235" spans="1:4">
      <c r="A8235">
        <v>1159</v>
      </c>
      <c r="B8235" t="s">
        <v>8752</v>
      </c>
      <c r="C8235" t="s">
        <v>427</v>
      </c>
      <c r="D8235" s="107">
        <v>238827.67</v>
      </c>
    </row>
    <row r="8236" spans="1:4">
      <c r="A8236">
        <v>12114</v>
      </c>
      <c r="B8236" t="s">
        <v>8753</v>
      </c>
      <c r="C8236" t="s">
        <v>427</v>
      </c>
      <c r="D8236" s="106">
        <v>116.35</v>
      </c>
    </row>
    <row r="8237" spans="1:4">
      <c r="A8237">
        <v>38106</v>
      </c>
      <c r="B8237" t="s">
        <v>8754</v>
      </c>
      <c r="C8237" t="s">
        <v>427</v>
      </c>
      <c r="D8237" s="106">
        <v>15.81</v>
      </c>
    </row>
    <row r="8238" spans="1:4">
      <c r="A8238">
        <v>38085</v>
      </c>
      <c r="B8238" t="s">
        <v>8755</v>
      </c>
      <c r="C8238" t="s">
        <v>427</v>
      </c>
      <c r="D8238" s="106">
        <v>18.670000000000002</v>
      </c>
    </row>
    <row r="8239" spans="1:4">
      <c r="A8239">
        <v>38599</v>
      </c>
      <c r="B8239" t="s">
        <v>8756</v>
      </c>
      <c r="C8239" t="s">
        <v>427</v>
      </c>
      <c r="D8239" s="106">
        <v>5.19</v>
      </c>
    </row>
    <row r="8240" spans="1:4">
      <c r="A8240">
        <v>38596</v>
      </c>
      <c r="B8240" t="s">
        <v>8757</v>
      </c>
      <c r="C8240" t="s">
        <v>427</v>
      </c>
      <c r="D8240" s="106">
        <v>4.3099999999999996</v>
      </c>
    </row>
    <row r="8241" spans="1:4">
      <c r="A8241">
        <v>38600</v>
      </c>
      <c r="B8241" t="s">
        <v>8758</v>
      </c>
      <c r="C8241" t="s">
        <v>427</v>
      </c>
      <c r="D8241" s="106">
        <v>5.51</v>
      </c>
    </row>
    <row r="8242" spans="1:4">
      <c r="A8242">
        <v>38597</v>
      </c>
      <c r="B8242" t="s">
        <v>8759</v>
      </c>
      <c r="C8242" t="s">
        <v>427</v>
      </c>
      <c r="D8242" s="106">
        <v>4.34</v>
      </c>
    </row>
    <row r="8243" spans="1:4">
      <c r="A8243">
        <v>659</v>
      </c>
      <c r="B8243" t="s">
        <v>8760</v>
      </c>
      <c r="C8243" t="s">
        <v>427</v>
      </c>
      <c r="D8243" s="106">
        <v>2.4900000000000002</v>
      </c>
    </row>
    <row r="8244" spans="1:4">
      <c r="A8244">
        <v>660</v>
      </c>
      <c r="B8244" t="s">
        <v>8761</v>
      </c>
      <c r="C8244" t="s">
        <v>427</v>
      </c>
      <c r="D8244" s="106">
        <v>2.99</v>
      </c>
    </row>
    <row r="8245" spans="1:4">
      <c r="A8245">
        <v>658</v>
      </c>
      <c r="B8245" t="s">
        <v>8762</v>
      </c>
      <c r="C8245" t="s">
        <v>427</v>
      </c>
      <c r="D8245" s="106">
        <v>1.68</v>
      </c>
    </row>
    <row r="8246" spans="1:4">
      <c r="A8246">
        <v>38548</v>
      </c>
      <c r="B8246" t="s">
        <v>8763</v>
      </c>
      <c r="C8246" t="s">
        <v>427</v>
      </c>
      <c r="D8246" s="106">
        <v>2.1800000000000002</v>
      </c>
    </row>
    <row r="8247" spans="1:4">
      <c r="A8247">
        <v>34649</v>
      </c>
      <c r="B8247" t="s">
        <v>8764</v>
      </c>
      <c r="C8247" t="s">
        <v>427</v>
      </c>
      <c r="D8247" s="106">
        <v>2.94</v>
      </c>
    </row>
    <row r="8248" spans="1:4">
      <c r="A8248">
        <v>34655</v>
      </c>
      <c r="B8248" t="s">
        <v>8765</v>
      </c>
      <c r="C8248" t="s">
        <v>427</v>
      </c>
      <c r="D8248" s="106">
        <v>3.9</v>
      </c>
    </row>
    <row r="8249" spans="1:4">
      <c r="A8249">
        <v>40607</v>
      </c>
      <c r="B8249" t="s">
        <v>8766</v>
      </c>
      <c r="C8249" t="s">
        <v>427</v>
      </c>
      <c r="D8249" s="106">
        <v>4.74</v>
      </c>
    </row>
    <row r="8250" spans="1:4">
      <c r="A8250">
        <v>567</v>
      </c>
      <c r="B8250" t="s">
        <v>8767</v>
      </c>
      <c r="C8250" t="s">
        <v>429</v>
      </c>
      <c r="D8250" s="106">
        <v>15.45</v>
      </c>
    </row>
    <row r="8251" spans="1:4">
      <c r="A8251">
        <v>574</v>
      </c>
      <c r="B8251" t="s">
        <v>8768</v>
      </c>
      <c r="C8251" t="s">
        <v>429</v>
      </c>
      <c r="D8251" s="106">
        <v>40.61</v>
      </c>
    </row>
    <row r="8252" spans="1:4">
      <c r="A8252">
        <v>568</v>
      </c>
      <c r="B8252" t="s">
        <v>8769</v>
      </c>
      <c r="C8252" t="s">
        <v>429</v>
      </c>
      <c r="D8252" s="106">
        <v>85.57</v>
      </c>
    </row>
    <row r="8253" spans="1:4">
      <c r="A8253">
        <v>585</v>
      </c>
      <c r="B8253" t="s">
        <v>8770</v>
      </c>
      <c r="C8253" t="s">
        <v>430</v>
      </c>
      <c r="D8253" s="106">
        <v>37.85</v>
      </c>
    </row>
    <row r="8254" spans="1:4">
      <c r="A8254">
        <v>4777</v>
      </c>
      <c r="B8254" t="s">
        <v>8771</v>
      </c>
      <c r="C8254" t="s">
        <v>430</v>
      </c>
      <c r="D8254" s="106">
        <v>10.27</v>
      </c>
    </row>
    <row r="8255" spans="1:4">
      <c r="A8255">
        <v>587</v>
      </c>
      <c r="B8255" t="s">
        <v>8772</v>
      </c>
      <c r="C8255" t="s">
        <v>430</v>
      </c>
      <c r="D8255" s="106">
        <v>40.56</v>
      </c>
    </row>
    <row r="8256" spans="1:4">
      <c r="A8256">
        <v>590</v>
      </c>
      <c r="B8256" t="s">
        <v>8773</v>
      </c>
      <c r="C8256" t="s">
        <v>430</v>
      </c>
      <c r="D8256" s="106">
        <v>39.200000000000003</v>
      </c>
    </row>
    <row r="8257" spans="1:4">
      <c r="A8257">
        <v>592</v>
      </c>
      <c r="B8257" t="s">
        <v>8774</v>
      </c>
      <c r="C8257" t="s">
        <v>430</v>
      </c>
      <c r="D8257" s="106">
        <v>40.56</v>
      </c>
    </row>
    <row r="8258" spans="1:4">
      <c r="A8258">
        <v>586</v>
      </c>
      <c r="B8258" t="s">
        <v>8775</v>
      </c>
      <c r="C8258" t="s">
        <v>429</v>
      </c>
      <c r="D8258" s="106">
        <v>23.84</v>
      </c>
    </row>
    <row r="8259" spans="1:4">
      <c r="A8259">
        <v>591</v>
      </c>
      <c r="B8259" t="s">
        <v>8776</v>
      </c>
      <c r="C8259" t="s">
        <v>430</v>
      </c>
      <c r="D8259" s="106">
        <v>37.85</v>
      </c>
    </row>
    <row r="8260" spans="1:4">
      <c r="A8260">
        <v>588</v>
      </c>
      <c r="B8260" t="s">
        <v>8777</v>
      </c>
      <c r="C8260" t="s">
        <v>429</v>
      </c>
      <c r="D8260" s="106">
        <v>37.72</v>
      </c>
    </row>
    <row r="8261" spans="1:4">
      <c r="A8261">
        <v>589</v>
      </c>
      <c r="B8261" t="s">
        <v>8778</v>
      </c>
      <c r="C8261" t="s">
        <v>429</v>
      </c>
      <c r="D8261" s="106">
        <v>63.76</v>
      </c>
    </row>
    <row r="8262" spans="1:4">
      <c r="A8262">
        <v>584</v>
      </c>
      <c r="B8262" t="s">
        <v>8779</v>
      </c>
      <c r="C8262" t="s">
        <v>429</v>
      </c>
      <c r="D8262" s="106">
        <v>40.28</v>
      </c>
    </row>
    <row r="8263" spans="1:4">
      <c r="A8263">
        <v>1165</v>
      </c>
      <c r="B8263" t="s">
        <v>8780</v>
      </c>
      <c r="C8263" t="s">
        <v>427</v>
      </c>
      <c r="D8263" s="106">
        <v>15.13</v>
      </c>
    </row>
    <row r="8264" spans="1:4">
      <c r="A8264">
        <v>1164</v>
      </c>
      <c r="B8264" t="s">
        <v>8781</v>
      </c>
      <c r="C8264" t="s">
        <v>427</v>
      </c>
      <c r="D8264" s="106">
        <v>12.25</v>
      </c>
    </row>
    <row r="8265" spans="1:4">
      <c r="A8265">
        <v>1162</v>
      </c>
      <c r="B8265" t="s">
        <v>8782</v>
      </c>
      <c r="C8265" t="s">
        <v>427</v>
      </c>
      <c r="D8265" s="106">
        <v>4.26</v>
      </c>
    </row>
    <row r="8266" spans="1:4">
      <c r="A8266">
        <v>12395</v>
      </c>
      <c r="B8266" t="s">
        <v>8783</v>
      </c>
      <c r="C8266" t="s">
        <v>427</v>
      </c>
      <c r="D8266" s="106">
        <v>4.1399999999999997</v>
      </c>
    </row>
    <row r="8267" spans="1:4">
      <c r="A8267">
        <v>1170</v>
      </c>
      <c r="B8267" t="s">
        <v>8784</v>
      </c>
      <c r="C8267" t="s">
        <v>427</v>
      </c>
      <c r="D8267" s="106">
        <v>8.0299999999999994</v>
      </c>
    </row>
    <row r="8268" spans="1:4">
      <c r="A8268">
        <v>1169</v>
      </c>
      <c r="B8268" t="s">
        <v>8785</v>
      </c>
      <c r="C8268" t="s">
        <v>427</v>
      </c>
      <c r="D8268" s="106">
        <v>39.409999999999997</v>
      </c>
    </row>
    <row r="8269" spans="1:4">
      <c r="A8269">
        <v>1166</v>
      </c>
      <c r="B8269" t="s">
        <v>8786</v>
      </c>
      <c r="C8269" t="s">
        <v>427</v>
      </c>
      <c r="D8269" s="106">
        <v>21.85</v>
      </c>
    </row>
    <row r="8270" spans="1:4">
      <c r="A8270">
        <v>1163</v>
      </c>
      <c r="B8270" t="s">
        <v>8787</v>
      </c>
      <c r="C8270" t="s">
        <v>427</v>
      </c>
      <c r="D8270" s="106">
        <v>5.5</v>
      </c>
    </row>
    <row r="8271" spans="1:4">
      <c r="A8271">
        <v>12396</v>
      </c>
      <c r="B8271" t="s">
        <v>8788</v>
      </c>
      <c r="C8271" t="s">
        <v>427</v>
      </c>
      <c r="D8271" s="106">
        <v>4.1399999999999997</v>
      </c>
    </row>
    <row r="8272" spans="1:4">
      <c r="A8272">
        <v>1168</v>
      </c>
      <c r="B8272" t="s">
        <v>8789</v>
      </c>
      <c r="C8272" t="s">
        <v>427</v>
      </c>
      <c r="D8272" s="106">
        <v>56.19</v>
      </c>
    </row>
    <row r="8273" spans="1:4">
      <c r="A8273">
        <v>1167</v>
      </c>
      <c r="B8273" t="s">
        <v>8790</v>
      </c>
      <c r="C8273" t="s">
        <v>427</v>
      </c>
      <c r="D8273" s="106">
        <v>93.99</v>
      </c>
    </row>
    <row r="8274" spans="1:4">
      <c r="A8274">
        <v>36331</v>
      </c>
      <c r="B8274" t="s">
        <v>8791</v>
      </c>
      <c r="C8274" t="s">
        <v>427</v>
      </c>
      <c r="D8274" s="106">
        <v>2.02</v>
      </c>
    </row>
    <row r="8275" spans="1:4">
      <c r="A8275">
        <v>36346</v>
      </c>
      <c r="B8275" t="s">
        <v>8792</v>
      </c>
      <c r="C8275" t="s">
        <v>427</v>
      </c>
      <c r="D8275" s="106">
        <v>3.48</v>
      </c>
    </row>
    <row r="8276" spans="1:4">
      <c r="A8276">
        <v>1210</v>
      </c>
      <c r="B8276" t="s">
        <v>8793</v>
      </c>
      <c r="C8276" t="s">
        <v>427</v>
      </c>
      <c r="D8276" s="106">
        <v>12.98</v>
      </c>
    </row>
    <row r="8277" spans="1:4">
      <c r="A8277">
        <v>1203</v>
      </c>
      <c r="B8277" t="s">
        <v>8794</v>
      </c>
      <c r="C8277" t="s">
        <v>427</v>
      </c>
      <c r="D8277" s="106">
        <v>12.58</v>
      </c>
    </row>
    <row r="8278" spans="1:4">
      <c r="A8278">
        <v>1197</v>
      </c>
      <c r="B8278" t="s">
        <v>8795</v>
      </c>
      <c r="C8278" t="s">
        <v>427</v>
      </c>
      <c r="D8278" s="106">
        <v>1.61</v>
      </c>
    </row>
    <row r="8279" spans="1:4">
      <c r="A8279">
        <v>1202</v>
      </c>
      <c r="B8279" t="s">
        <v>8796</v>
      </c>
      <c r="C8279" t="s">
        <v>427</v>
      </c>
      <c r="D8279" s="106">
        <v>4.33</v>
      </c>
    </row>
    <row r="8280" spans="1:4">
      <c r="A8280">
        <v>1188</v>
      </c>
      <c r="B8280" t="s">
        <v>8797</v>
      </c>
      <c r="C8280" t="s">
        <v>427</v>
      </c>
      <c r="D8280" s="106">
        <v>25.58</v>
      </c>
    </row>
    <row r="8281" spans="1:4">
      <c r="A8281">
        <v>1211</v>
      </c>
      <c r="B8281" t="s">
        <v>8798</v>
      </c>
      <c r="C8281" t="s">
        <v>427</v>
      </c>
      <c r="D8281" s="106">
        <v>13.2</v>
      </c>
    </row>
    <row r="8282" spans="1:4">
      <c r="A8282">
        <v>1198</v>
      </c>
      <c r="B8282" t="s">
        <v>8799</v>
      </c>
      <c r="C8282" t="s">
        <v>427</v>
      </c>
      <c r="D8282" s="106">
        <v>2.38</v>
      </c>
    </row>
    <row r="8283" spans="1:4">
      <c r="A8283">
        <v>1199</v>
      </c>
      <c r="B8283" t="s">
        <v>8800</v>
      </c>
      <c r="C8283" t="s">
        <v>427</v>
      </c>
      <c r="D8283" s="106">
        <v>33.409999999999997</v>
      </c>
    </row>
    <row r="8284" spans="1:4">
      <c r="A8284">
        <v>20088</v>
      </c>
      <c r="B8284" t="s">
        <v>8801</v>
      </c>
      <c r="C8284" t="s">
        <v>427</v>
      </c>
      <c r="D8284" s="106">
        <v>19.2</v>
      </c>
    </row>
    <row r="8285" spans="1:4">
      <c r="A8285">
        <v>20089</v>
      </c>
      <c r="B8285" t="s">
        <v>8802</v>
      </c>
      <c r="C8285" t="s">
        <v>427</v>
      </c>
      <c r="D8285" s="106">
        <v>91.54</v>
      </c>
    </row>
    <row r="8286" spans="1:4">
      <c r="A8286">
        <v>20087</v>
      </c>
      <c r="B8286" t="s">
        <v>8803</v>
      </c>
      <c r="C8286" t="s">
        <v>427</v>
      </c>
      <c r="D8286" s="106">
        <v>13.83</v>
      </c>
    </row>
    <row r="8287" spans="1:4">
      <c r="A8287">
        <v>1200</v>
      </c>
      <c r="B8287" t="s">
        <v>8804</v>
      </c>
      <c r="C8287" t="s">
        <v>427</v>
      </c>
      <c r="D8287" s="106">
        <v>11.23</v>
      </c>
    </row>
    <row r="8288" spans="1:4">
      <c r="A8288">
        <v>12909</v>
      </c>
      <c r="B8288" t="s">
        <v>8805</v>
      </c>
      <c r="C8288" t="s">
        <v>427</v>
      </c>
      <c r="D8288" s="106">
        <v>5.09</v>
      </c>
    </row>
    <row r="8289" spans="1:4">
      <c r="A8289">
        <v>12910</v>
      </c>
      <c r="B8289" t="s">
        <v>8806</v>
      </c>
      <c r="C8289" t="s">
        <v>427</v>
      </c>
      <c r="D8289" s="106">
        <v>8.5</v>
      </c>
    </row>
    <row r="8290" spans="1:4">
      <c r="A8290">
        <v>1184</v>
      </c>
      <c r="B8290" t="s">
        <v>8807</v>
      </c>
      <c r="C8290" t="s">
        <v>427</v>
      </c>
      <c r="D8290" s="106">
        <v>82.15</v>
      </c>
    </row>
    <row r="8291" spans="1:4">
      <c r="A8291">
        <v>1191</v>
      </c>
      <c r="B8291" t="s">
        <v>8808</v>
      </c>
      <c r="C8291" t="s">
        <v>427</v>
      </c>
      <c r="D8291" s="106">
        <v>1.17</v>
      </c>
    </row>
    <row r="8292" spans="1:4">
      <c r="A8292">
        <v>1185</v>
      </c>
      <c r="B8292" t="s">
        <v>8809</v>
      </c>
      <c r="C8292" t="s">
        <v>427</v>
      </c>
      <c r="D8292" s="106">
        <v>1.33</v>
      </c>
    </row>
    <row r="8293" spans="1:4">
      <c r="A8293">
        <v>1189</v>
      </c>
      <c r="B8293" t="s">
        <v>8810</v>
      </c>
      <c r="C8293" t="s">
        <v>427</v>
      </c>
      <c r="D8293" s="106">
        <v>2.31</v>
      </c>
    </row>
    <row r="8294" spans="1:4">
      <c r="A8294">
        <v>1193</v>
      </c>
      <c r="B8294" t="s">
        <v>8811</v>
      </c>
      <c r="C8294" t="s">
        <v>427</v>
      </c>
      <c r="D8294" s="106">
        <v>4.45</v>
      </c>
    </row>
    <row r="8295" spans="1:4">
      <c r="A8295">
        <v>1194</v>
      </c>
      <c r="B8295" t="s">
        <v>8812</v>
      </c>
      <c r="C8295" t="s">
        <v>427</v>
      </c>
      <c r="D8295" s="106">
        <v>8.42</v>
      </c>
    </row>
    <row r="8296" spans="1:4">
      <c r="A8296">
        <v>1195</v>
      </c>
      <c r="B8296" t="s">
        <v>8813</v>
      </c>
      <c r="C8296" t="s">
        <v>427</v>
      </c>
      <c r="D8296" s="106">
        <v>12.67</v>
      </c>
    </row>
    <row r="8297" spans="1:4">
      <c r="A8297">
        <v>1204</v>
      </c>
      <c r="B8297" t="s">
        <v>8814</v>
      </c>
      <c r="C8297" t="s">
        <v>427</v>
      </c>
      <c r="D8297" s="106">
        <v>23.04</v>
      </c>
    </row>
    <row r="8298" spans="1:4">
      <c r="A8298">
        <v>1205</v>
      </c>
      <c r="B8298" t="s">
        <v>8815</v>
      </c>
      <c r="C8298" t="s">
        <v>427</v>
      </c>
      <c r="D8298" s="106">
        <v>54.66</v>
      </c>
    </row>
    <row r="8299" spans="1:4">
      <c r="A8299">
        <v>1207</v>
      </c>
      <c r="B8299" t="s">
        <v>8816</v>
      </c>
      <c r="C8299" t="s">
        <v>427</v>
      </c>
      <c r="D8299" s="106">
        <v>40.94</v>
      </c>
    </row>
    <row r="8300" spans="1:4">
      <c r="A8300">
        <v>1206</v>
      </c>
      <c r="B8300" t="s">
        <v>8817</v>
      </c>
      <c r="C8300" t="s">
        <v>427</v>
      </c>
      <c r="D8300" s="106">
        <v>10.27</v>
      </c>
    </row>
    <row r="8301" spans="1:4">
      <c r="A8301">
        <v>1183</v>
      </c>
      <c r="B8301" t="s">
        <v>8818</v>
      </c>
      <c r="C8301" t="s">
        <v>427</v>
      </c>
      <c r="D8301" s="106">
        <v>26.74</v>
      </c>
    </row>
    <row r="8302" spans="1:4">
      <c r="A8302">
        <v>42685</v>
      </c>
      <c r="B8302" t="s">
        <v>8819</v>
      </c>
      <c r="C8302" t="s">
        <v>427</v>
      </c>
      <c r="D8302" s="106">
        <v>97.8</v>
      </c>
    </row>
    <row r="8303" spans="1:4">
      <c r="A8303">
        <v>42686</v>
      </c>
      <c r="B8303" t="s">
        <v>8820</v>
      </c>
      <c r="C8303" t="s">
        <v>427</v>
      </c>
      <c r="D8303" s="106">
        <v>152.27000000000001</v>
      </c>
    </row>
    <row r="8304" spans="1:4">
      <c r="A8304">
        <v>12894</v>
      </c>
      <c r="B8304" t="s">
        <v>8821</v>
      </c>
      <c r="C8304" t="s">
        <v>427</v>
      </c>
      <c r="D8304" s="106">
        <v>26</v>
      </c>
    </row>
    <row r="8305" spans="1:4">
      <c r="A8305">
        <v>12895</v>
      </c>
      <c r="B8305" t="s">
        <v>8822</v>
      </c>
      <c r="C8305" t="s">
        <v>427</v>
      </c>
      <c r="D8305" s="106">
        <v>20</v>
      </c>
    </row>
    <row r="8306" spans="1:4">
      <c r="A8306">
        <v>1631</v>
      </c>
      <c r="B8306" t="s">
        <v>8823</v>
      </c>
      <c r="C8306" t="s">
        <v>427</v>
      </c>
      <c r="D8306" s="106">
        <v>152.75</v>
      </c>
    </row>
    <row r="8307" spans="1:4">
      <c r="A8307">
        <v>1633</v>
      </c>
      <c r="B8307" t="s">
        <v>8824</v>
      </c>
      <c r="C8307" t="s">
        <v>427</v>
      </c>
      <c r="D8307" s="106">
        <v>259.52999999999997</v>
      </c>
    </row>
    <row r="8308" spans="1:4">
      <c r="A8308">
        <v>10818</v>
      </c>
      <c r="B8308" t="s">
        <v>8825</v>
      </c>
      <c r="C8308" t="s">
        <v>430</v>
      </c>
      <c r="D8308" s="106">
        <v>49.28</v>
      </c>
    </row>
    <row r="8309" spans="1:4">
      <c r="A8309">
        <v>41410</v>
      </c>
      <c r="B8309" t="s">
        <v>8826</v>
      </c>
      <c r="C8309" t="s">
        <v>427</v>
      </c>
      <c r="D8309" s="106">
        <v>76.72</v>
      </c>
    </row>
    <row r="8310" spans="1:4">
      <c r="A8310">
        <v>41411</v>
      </c>
      <c r="B8310" t="s">
        <v>8827</v>
      </c>
      <c r="C8310" t="s">
        <v>427</v>
      </c>
      <c r="D8310" s="106">
        <v>69.55</v>
      </c>
    </row>
    <row r="8311" spans="1:4">
      <c r="A8311">
        <v>41412</v>
      </c>
      <c r="B8311" t="s">
        <v>8828</v>
      </c>
      <c r="C8311" t="s">
        <v>427</v>
      </c>
      <c r="D8311" s="106">
        <v>134.53</v>
      </c>
    </row>
    <row r="8312" spans="1:4">
      <c r="A8312">
        <v>41413</v>
      </c>
      <c r="B8312" t="s">
        <v>8829</v>
      </c>
      <c r="C8312" t="s">
        <v>427</v>
      </c>
      <c r="D8312" s="106">
        <v>121.05</v>
      </c>
    </row>
    <row r="8313" spans="1:4">
      <c r="A8313">
        <v>39359</v>
      </c>
      <c r="B8313" t="s">
        <v>8830</v>
      </c>
      <c r="C8313" t="s">
        <v>427</v>
      </c>
      <c r="D8313" s="106">
        <v>35.25</v>
      </c>
    </row>
    <row r="8314" spans="1:4">
      <c r="A8314">
        <v>39360</v>
      </c>
      <c r="B8314" t="s">
        <v>8831</v>
      </c>
      <c r="C8314" t="s">
        <v>427</v>
      </c>
      <c r="D8314" s="106">
        <v>32.04</v>
      </c>
    </row>
    <row r="8315" spans="1:4">
      <c r="A8315">
        <v>10710</v>
      </c>
      <c r="B8315" t="s">
        <v>8832</v>
      </c>
      <c r="C8315" t="s">
        <v>426</v>
      </c>
      <c r="D8315" s="106">
        <v>123.27</v>
      </c>
    </row>
    <row r="8316" spans="1:4">
      <c r="A8316">
        <v>10709</v>
      </c>
      <c r="B8316" t="s">
        <v>8833</v>
      </c>
      <c r="C8316" t="s">
        <v>426</v>
      </c>
      <c r="D8316" s="106">
        <v>151.44</v>
      </c>
    </row>
    <row r="8317" spans="1:4">
      <c r="A8317">
        <v>39636</v>
      </c>
      <c r="B8317" t="s">
        <v>8834</v>
      </c>
      <c r="C8317" t="s">
        <v>426</v>
      </c>
      <c r="D8317" s="106">
        <v>154.63999999999999</v>
      </c>
    </row>
    <row r="8318" spans="1:4">
      <c r="A8318">
        <v>10708</v>
      </c>
      <c r="B8318" t="s">
        <v>8835</v>
      </c>
      <c r="C8318" t="s">
        <v>426</v>
      </c>
      <c r="D8318" s="106">
        <v>47.72</v>
      </c>
    </row>
    <row r="8319" spans="1:4">
      <c r="A8319">
        <v>39635</v>
      </c>
      <c r="B8319" t="s">
        <v>8836</v>
      </c>
      <c r="C8319" t="s">
        <v>426</v>
      </c>
      <c r="D8319" s="106">
        <v>81.239999999999995</v>
      </c>
    </row>
    <row r="8320" spans="1:4">
      <c r="A8320">
        <v>6117</v>
      </c>
      <c r="B8320" t="s">
        <v>20479</v>
      </c>
      <c r="C8320" t="s">
        <v>432</v>
      </c>
      <c r="D8320" s="106">
        <v>12.82</v>
      </c>
    </row>
    <row r="8321" spans="1:4">
      <c r="A8321">
        <v>40913</v>
      </c>
      <c r="B8321" t="s">
        <v>8837</v>
      </c>
      <c r="C8321" t="s">
        <v>433</v>
      </c>
      <c r="D8321" s="107">
        <v>2268.0700000000002</v>
      </c>
    </row>
    <row r="8322" spans="1:4">
      <c r="A8322">
        <v>1214</v>
      </c>
      <c r="B8322" t="s">
        <v>20480</v>
      </c>
      <c r="C8322" t="s">
        <v>432</v>
      </c>
      <c r="D8322" s="106">
        <v>14.99</v>
      </c>
    </row>
    <row r="8323" spans="1:4">
      <c r="A8323">
        <v>40915</v>
      </c>
      <c r="B8323" t="s">
        <v>8838</v>
      </c>
      <c r="C8323" t="s">
        <v>433</v>
      </c>
      <c r="D8323" s="107">
        <v>2650.69</v>
      </c>
    </row>
    <row r="8324" spans="1:4">
      <c r="A8324">
        <v>1213</v>
      </c>
      <c r="B8324" t="s">
        <v>20481</v>
      </c>
      <c r="C8324" t="s">
        <v>432</v>
      </c>
      <c r="D8324" s="106">
        <v>15.93</v>
      </c>
    </row>
    <row r="8325" spans="1:4">
      <c r="A8325">
        <v>40914</v>
      </c>
      <c r="B8325" t="s">
        <v>8839</v>
      </c>
      <c r="C8325" t="s">
        <v>433</v>
      </c>
      <c r="D8325" s="107">
        <v>2814.94</v>
      </c>
    </row>
    <row r="8326" spans="1:4">
      <c r="A8326">
        <v>5091</v>
      </c>
      <c r="B8326" t="s">
        <v>8840</v>
      </c>
      <c r="C8326" t="s">
        <v>427</v>
      </c>
      <c r="D8326" s="106">
        <v>20.98</v>
      </c>
    </row>
    <row r="8327" spans="1:4">
      <c r="A8327">
        <v>14615</v>
      </c>
      <c r="B8327" t="s">
        <v>8841</v>
      </c>
      <c r="C8327" t="s">
        <v>427</v>
      </c>
      <c r="D8327" s="107">
        <v>4042.13</v>
      </c>
    </row>
    <row r="8328" spans="1:4">
      <c r="A8328">
        <v>2711</v>
      </c>
      <c r="B8328" t="s">
        <v>8842</v>
      </c>
      <c r="C8328" t="s">
        <v>427</v>
      </c>
      <c r="D8328" s="106">
        <v>185.45</v>
      </c>
    </row>
    <row r="8329" spans="1:4">
      <c r="A8329">
        <v>37727</v>
      </c>
      <c r="B8329" t="s">
        <v>8843</v>
      </c>
      <c r="C8329" t="s">
        <v>427</v>
      </c>
      <c r="D8329" s="107">
        <v>17387.59</v>
      </c>
    </row>
    <row r="8330" spans="1:4">
      <c r="A8330">
        <v>37728</v>
      </c>
      <c r="B8330" t="s">
        <v>8844</v>
      </c>
      <c r="C8330" t="s">
        <v>427</v>
      </c>
      <c r="D8330" s="107">
        <v>23588.75</v>
      </c>
    </row>
    <row r="8331" spans="1:4">
      <c r="A8331">
        <v>37729</v>
      </c>
      <c r="B8331" t="s">
        <v>8845</v>
      </c>
      <c r="C8331" t="s">
        <v>427</v>
      </c>
      <c r="D8331" s="107">
        <v>25534.22</v>
      </c>
    </row>
    <row r="8332" spans="1:4">
      <c r="A8332">
        <v>37730</v>
      </c>
      <c r="B8332" t="s">
        <v>8846</v>
      </c>
      <c r="C8332" t="s">
        <v>427</v>
      </c>
      <c r="D8332" s="107">
        <v>27479.68</v>
      </c>
    </row>
    <row r="8333" spans="1:4">
      <c r="A8333">
        <v>37731</v>
      </c>
      <c r="B8333" t="s">
        <v>8847</v>
      </c>
      <c r="C8333" t="s">
        <v>427</v>
      </c>
      <c r="D8333" s="107">
        <v>29425.15</v>
      </c>
    </row>
    <row r="8334" spans="1:4">
      <c r="A8334">
        <v>37732</v>
      </c>
      <c r="B8334" t="s">
        <v>8848</v>
      </c>
      <c r="C8334" t="s">
        <v>427</v>
      </c>
      <c r="D8334" s="107">
        <v>33559.26</v>
      </c>
    </row>
    <row r="8335" spans="1:4">
      <c r="A8335">
        <v>42256</v>
      </c>
      <c r="B8335" t="s">
        <v>8849</v>
      </c>
      <c r="C8335" t="s">
        <v>430</v>
      </c>
      <c r="D8335" s="106">
        <v>6.38</v>
      </c>
    </row>
    <row r="8336" spans="1:4">
      <c r="A8336">
        <v>42250</v>
      </c>
      <c r="B8336" t="s">
        <v>13437</v>
      </c>
      <c r="C8336" t="s">
        <v>437</v>
      </c>
      <c r="D8336" s="107">
        <v>2873.71</v>
      </c>
    </row>
    <row r="8337" spans="1:4">
      <c r="A8337">
        <v>4743</v>
      </c>
      <c r="B8337" t="s">
        <v>8850</v>
      </c>
      <c r="C8337" t="s">
        <v>431</v>
      </c>
      <c r="D8337" s="106">
        <v>49.21</v>
      </c>
    </row>
    <row r="8338" spans="1:4">
      <c r="A8338">
        <v>4744</v>
      </c>
      <c r="B8338" t="s">
        <v>8851</v>
      </c>
      <c r="C8338" t="s">
        <v>431</v>
      </c>
      <c r="D8338" s="106">
        <v>78.739999999999995</v>
      </c>
    </row>
    <row r="8339" spans="1:4">
      <c r="A8339">
        <v>4745</v>
      </c>
      <c r="B8339" t="s">
        <v>8852</v>
      </c>
      <c r="C8339" t="s">
        <v>431</v>
      </c>
      <c r="D8339" s="106">
        <v>94.44</v>
      </c>
    </row>
    <row r="8340" spans="1:4">
      <c r="A8340">
        <v>36496</v>
      </c>
      <c r="B8340" t="s">
        <v>8853</v>
      </c>
      <c r="C8340" t="s">
        <v>427</v>
      </c>
      <c r="D8340" s="107">
        <v>10262.9</v>
      </c>
    </row>
    <row r="8341" spans="1:4">
      <c r="A8341">
        <v>10630</v>
      </c>
      <c r="B8341" t="s">
        <v>8854</v>
      </c>
      <c r="C8341" t="s">
        <v>427</v>
      </c>
      <c r="D8341" s="107">
        <v>665688.84</v>
      </c>
    </row>
    <row r="8342" spans="1:4">
      <c r="A8342">
        <v>37762</v>
      </c>
      <c r="B8342" t="s">
        <v>8855</v>
      </c>
      <c r="C8342" t="s">
        <v>427</v>
      </c>
      <c r="D8342" s="107">
        <v>570920.76</v>
      </c>
    </row>
    <row r="8343" spans="1:4">
      <c r="A8343">
        <v>37763</v>
      </c>
      <c r="B8343" t="s">
        <v>8856</v>
      </c>
      <c r="C8343" t="s">
        <v>427</v>
      </c>
      <c r="D8343" s="107">
        <v>577854.92000000004</v>
      </c>
    </row>
    <row r="8344" spans="1:4">
      <c r="A8344">
        <v>41992</v>
      </c>
      <c r="B8344" t="s">
        <v>8857</v>
      </c>
      <c r="C8344" t="s">
        <v>427</v>
      </c>
      <c r="D8344" s="107">
        <v>656905.56000000006</v>
      </c>
    </row>
    <row r="8345" spans="1:4">
      <c r="A8345">
        <v>13215</v>
      </c>
      <c r="B8345" t="s">
        <v>8858</v>
      </c>
      <c r="C8345" t="s">
        <v>427</v>
      </c>
      <c r="D8345" s="107">
        <v>805529.78</v>
      </c>
    </row>
    <row r="8346" spans="1:4">
      <c r="A8346">
        <v>4235</v>
      </c>
      <c r="B8346" t="s">
        <v>8859</v>
      </c>
      <c r="C8346" t="s">
        <v>432</v>
      </c>
      <c r="D8346" s="106">
        <v>9.8000000000000007</v>
      </c>
    </row>
    <row r="8347" spans="1:4">
      <c r="A8347">
        <v>40976</v>
      </c>
      <c r="B8347" t="s">
        <v>8860</v>
      </c>
      <c r="C8347" t="s">
        <v>433</v>
      </c>
      <c r="D8347" s="107">
        <v>1732.43</v>
      </c>
    </row>
    <row r="8348" spans="1:4">
      <c r="A8348">
        <v>39013</v>
      </c>
      <c r="B8348" t="s">
        <v>8861</v>
      </c>
      <c r="C8348" t="s">
        <v>427</v>
      </c>
      <c r="D8348" s="106">
        <v>1.47</v>
      </c>
    </row>
    <row r="8349" spans="1:4">
      <c r="A8349">
        <v>43091</v>
      </c>
      <c r="B8349" t="s">
        <v>8862</v>
      </c>
      <c r="C8349" t="s">
        <v>427</v>
      </c>
      <c r="D8349" s="107">
        <v>5873.97</v>
      </c>
    </row>
    <row r="8350" spans="1:4">
      <c r="A8350">
        <v>43092</v>
      </c>
      <c r="B8350" t="s">
        <v>8863</v>
      </c>
      <c r="C8350" t="s">
        <v>427</v>
      </c>
      <c r="D8350" s="107">
        <v>7831.96</v>
      </c>
    </row>
    <row r="8351" spans="1:4">
      <c r="A8351">
        <v>43089</v>
      </c>
      <c r="B8351" t="s">
        <v>8864</v>
      </c>
      <c r="C8351" t="s">
        <v>427</v>
      </c>
      <c r="D8351" s="107">
        <v>1364.94</v>
      </c>
    </row>
    <row r="8352" spans="1:4">
      <c r="A8352">
        <v>43090</v>
      </c>
      <c r="B8352" t="s">
        <v>8865</v>
      </c>
      <c r="C8352" t="s">
        <v>427</v>
      </c>
      <c r="D8352" s="107">
        <v>3012.29</v>
      </c>
    </row>
    <row r="8353" spans="1:4">
      <c r="A8353">
        <v>41967</v>
      </c>
      <c r="B8353" t="s">
        <v>8866</v>
      </c>
      <c r="C8353" t="s">
        <v>428</v>
      </c>
      <c r="D8353" s="106">
        <v>14.59</v>
      </c>
    </row>
    <row r="8354" spans="1:4">
      <c r="A8354">
        <v>12760</v>
      </c>
      <c r="B8354" t="s">
        <v>8867</v>
      </c>
      <c r="C8354" t="s">
        <v>426</v>
      </c>
      <c r="D8354" s="107">
        <v>1663.09</v>
      </c>
    </row>
    <row r="8355" spans="1:4">
      <c r="A8355">
        <v>12759</v>
      </c>
      <c r="B8355" t="s">
        <v>8868</v>
      </c>
      <c r="C8355" t="s">
        <v>426</v>
      </c>
      <c r="D8355" s="107">
        <v>1108.71</v>
      </c>
    </row>
    <row r="8356" spans="1:4">
      <c r="A8356">
        <v>43105</v>
      </c>
      <c r="B8356" t="s">
        <v>8869</v>
      </c>
      <c r="C8356" t="s">
        <v>430</v>
      </c>
      <c r="D8356" s="106">
        <v>45.62</v>
      </c>
    </row>
    <row r="8357" spans="1:4">
      <c r="A8357">
        <v>40424</v>
      </c>
      <c r="B8357" t="s">
        <v>8870</v>
      </c>
      <c r="C8357" t="s">
        <v>430</v>
      </c>
      <c r="D8357" s="106">
        <v>11.59</v>
      </c>
    </row>
    <row r="8358" spans="1:4">
      <c r="A8358">
        <v>1325</v>
      </c>
      <c r="B8358" t="s">
        <v>8871</v>
      </c>
      <c r="C8358" t="s">
        <v>430</v>
      </c>
      <c r="D8358" s="106">
        <v>12.69</v>
      </c>
    </row>
    <row r="8359" spans="1:4">
      <c r="A8359">
        <v>1327</v>
      </c>
      <c r="B8359" t="s">
        <v>8872</v>
      </c>
      <c r="C8359" t="s">
        <v>430</v>
      </c>
      <c r="D8359" s="106">
        <v>13.52</v>
      </c>
    </row>
    <row r="8360" spans="1:4">
      <c r="A8360">
        <v>1328</v>
      </c>
      <c r="B8360" t="s">
        <v>8873</v>
      </c>
      <c r="C8360" t="s">
        <v>430</v>
      </c>
      <c r="D8360" s="106">
        <v>12.72</v>
      </c>
    </row>
    <row r="8361" spans="1:4">
      <c r="A8361">
        <v>1321</v>
      </c>
      <c r="B8361" t="s">
        <v>8874</v>
      </c>
      <c r="C8361" t="s">
        <v>430</v>
      </c>
      <c r="D8361" s="106">
        <v>11.78</v>
      </c>
    </row>
    <row r="8362" spans="1:4">
      <c r="A8362">
        <v>1318</v>
      </c>
      <c r="B8362" t="s">
        <v>8875</v>
      </c>
      <c r="C8362" t="s">
        <v>430</v>
      </c>
      <c r="D8362" s="106">
        <v>11.79</v>
      </c>
    </row>
    <row r="8363" spans="1:4">
      <c r="A8363">
        <v>1322</v>
      </c>
      <c r="B8363" t="s">
        <v>8876</v>
      </c>
      <c r="C8363" t="s">
        <v>430</v>
      </c>
      <c r="D8363" s="106">
        <v>12.46</v>
      </c>
    </row>
    <row r="8364" spans="1:4">
      <c r="A8364">
        <v>1323</v>
      </c>
      <c r="B8364" t="s">
        <v>8877</v>
      </c>
      <c r="C8364" t="s">
        <v>430</v>
      </c>
      <c r="D8364" s="106">
        <v>12.46</v>
      </c>
    </row>
    <row r="8365" spans="1:4">
      <c r="A8365">
        <v>1319</v>
      </c>
      <c r="B8365" t="s">
        <v>8878</v>
      </c>
      <c r="C8365" t="s">
        <v>430</v>
      </c>
      <c r="D8365" s="106">
        <v>10.5</v>
      </c>
    </row>
    <row r="8366" spans="1:4">
      <c r="A8366">
        <v>11026</v>
      </c>
      <c r="B8366" t="s">
        <v>8879</v>
      </c>
      <c r="C8366" t="s">
        <v>430</v>
      </c>
      <c r="D8366" s="106">
        <v>14.44</v>
      </c>
    </row>
    <row r="8367" spans="1:4">
      <c r="A8367">
        <v>11027</v>
      </c>
      <c r="B8367" t="s">
        <v>8880</v>
      </c>
      <c r="C8367" t="s">
        <v>430</v>
      </c>
      <c r="D8367" s="106">
        <v>15.03</v>
      </c>
    </row>
    <row r="8368" spans="1:4">
      <c r="A8368">
        <v>11046</v>
      </c>
      <c r="B8368" t="s">
        <v>8881</v>
      </c>
      <c r="C8368" t="s">
        <v>430</v>
      </c>
      <c r="D8368" s="106">
        <v>14.4</v>
      </c>
    </row>
    <row r="8369" spans="1:4">
      <c r="A8369">
        <v>11047</v>
      </c>
      <c r="B8369" t="s">
        <v>8882</v>
      </c>
      <c r="C8369" t="s">
        <v>430</v>
      </c>
      <c r="D8369" s="106">
        <v>15.69</v>
      </c>
    </row>
    <row r="8370" spans="1:4">
      <c r="A8370">
        <v>43668</v>
      </c>
      <c r="B8370" t="s">
        <v>8883</v>
      </c>
      <c r="C8370" t="s">
        <v>430</v>
      </c>
      <c r="D8370" s="106">
        <v>13.85</v>
      </c>
    </row>
    <row r="8371" spans="1:4">
      <c r="A8371">
        <v>11049</v>
      </c>
      <c r="B8371" t="s">
        <v>8884</v>
      </c>
      <c r="C8371" t="s">
        <v>430</v>
      </c>
      <c r="D8371" s="106">
        <v>15</v>
      </c>
    </row>
    <row r="8372" spans="1:4">
      <c r="A8372">
        <v>43106</v>
      </c>
      <c r="B8372" t="s">
        <v>8885</v>
      </c>
      <c r="C8372" t="s">
        <v>430</v>
      </c>
      <c r="D8372" s="106">
        <v>15.09</v>
      </c>
    </row>
    <row r="8373" spans="1:4">
      <c r="A8373">
        <v>11051</v>
      </c>
      <c r="B8373" t="s">
        <v>8886</v>
      </c>
      <c r="C8373" t="s">
        <v>430</v>
      </c>
      <c r="D8373" s="106">
        <v>15.75</v>
      </c>
    </row>
    <row r="8374" spans="1:4">
      <c r="A8374">
        <v>11061</v>
      </c>
      <c r="B8374" t="s">
        <v>8887</v>
      </c>
      <c r="C8374" t="s">
        <v>430</v>
      </c>
      <c r="D8374" s="106">
        <v>18.899999999999999</v>
      </c>
    </row>
    <row r="8375" spans="1:4">
      <c r="A8375">
        <v>43667</v>
      </c>
      <c r="B8375" t="s">
        <v>8888</v>
      </c>
      <c r="C8375" t="s">
        <v>430</v>
      </c>
      <c r="D8375" s="106">
        <v>13.73</v>
      </c>
    </row>
    <row r="8376" spans="1:4">
      <c r="A8376">
        <v>1333</v>
      </c>
      <c r="B8376" t="s">
        <v>8889</v>
      </c>
      <c r="C8376" t="s">
        <v>430</v>
      </c>
      <c r="D8376" s="106">
        <v>11.44</v>
      </c>
    </row>
    <row r="8377" spans="1:4">
      <c r="A8377">
        <v>1330</v>
      </c>
      <c r="B8377" t="s">
        <v>8890</v>
      </c>
      <c r="C8377" t="s">
        <v>430</v>
      </c>
      <c r="D8377" s="106">
        <v>11.33</v>
      </c>
    </row>
    <row r="8378" spans="1:4">
      <c r="A8378">
        <v>10957</v>
      </c>
      <c r="B8378" t="s">
        <v>8891</v>
      </c>
      <c r="C8378" t="s">
        <v>430</v>
      </c>
      <c r="D8378" s="106">
        <v>13.07</v>
      </c>
    </row>
    <row r="8379" spans="1:4">
      <c r="A8379">
        <v>1332</v>
      </c>
      <c r="B8379" t="s">
        <v>8892</v>
      </c>
      <c r="C8379" t="s">
        <v>430</v>
      </c>
      <c r="D8379" s="106">
        <v>11.62</v>
      </c>
    </row>
    <row r="8380" spans="1:4">
      <c r="A8380">
        <v>1334</v>
      </c>
      <c r="B8380" t="s">
        <v>8893</v>
      </c>
      <c r="C8380" t="s">
        <v>430</v>
      </c>
      <c r="D8380" s="106">
        <v>12.88</v>
      </c>
    </row>
    <row r="8381" spans="1:4">
      <c r="A8381">
        <v>1335</v>
      </c>
      <c r="B8381" t="s">
        <v>8894</v>
      </c>
      <c r="C8381" t="s">
        <v>430</v>
      </c>
      <c r="D8381" s="106">
        <v>13.31</v>
      </c>
    </row>
    <row r="8382" spans="1:4">
      <c r="A8382">
        <v>40425</v>
      </c>
      <c r="B8382" t="s">
        <v>8895</v>
      </c>
      <c r="C8382" t="s">
        <v>430</v>
      </c>
      <c r="D8382" s="106">
        <v>11.4</v>
      </c>
    </row>
    <row r="8383" spans="1:4">
      <c r="A8383">
        <v>1337</v>
      </c>
      <c r="B8383" t="s">
        <v>8896</v>
      </c>
      <c r="C8383" t="s">
        <v>430</v>
      </c>
      <c r="D8383" s="106">
        <v>13.07</v>
      </c>
    </row>
    <row r="8384" spans="1:4">
      <c r="A8384">
        <v>1338</v>
      </c>
      <c r="B8384" t="s">
        <v>8897</v>
      </c>
      <c r="C8384" t="s">
        <v>426</v>
      </c>
      <c r="D8384" s="106">
        <v>46.07</v>
      </c>
    </row>
    <row r="8385" spans="1:4">
      <c r="A8385">
        <v>1340</v>
      </c>
      <c r="B8385" t="s">
        <v>8898</v>
      </c>
      <c r="C8385" t="s">
        <v>426</v>
      </c>
      <c r="D8385" s="106">
        <v>53.26</v>
      </c>
    </row>
    <row r="8386" spans="1:4">
      <c r="A8386">
        <v>1341</v>
      </c>
      <c r="B8386" t="s">
        <v>8899</v>
      </c>
      <c r="C8386" t="s">
        <v>426</v>
      </c>
      <c r="D8386" s="106">
        <v>51.3</v>
      </c>
    </row>
    <row r="8387" spans="1:4">
      <c r="A8387">
        <v>34659</v>
      </c>
      <c r="B8387" t="s">
        <v>8900</v>
      </c>
      <c r="C8387" t="s">
        <v>426</v>
      </c>
      <c r="D8387" s="106">
        <v>50.44</v>
      </c>
    </row>
    <row r="8388" spans="1:4">
      <c r="A8388">
        <v>34514</v>
      </c>
      <c r="B8388" t="s">
        <v>8901</v>
      </c>
      <c r="C8388" t="s">
        <v>426</v>
      </c>
      <c r="D8388" s="106">
        <v>55.87</v>
      </c>
    </row>
    <row r="8389" spans="1:4">
      <c r="A8389">
        <v>34660</v>
      </c>
      <c r="B8389" t="s">
        <v>8902</v>
      </c>
      <c r="C8389" t="s">
        <v>426</v>
      </c>
      <c r="D8389" s="106">
        <v>70.900000000000006</v>
      </c>
    </row>
    <row r="8390" spans="1:4">
      <c r="A8390">
        <v>34661</v>
      </c>
      <c r="B8390" t="s">
        <v>8903</v>
      </c>
      <c r="C8390" t="s">
        <v>426</v>
      </c>
      <c r="D8390" s="106">
        <v>101.84</v>
      </c>
    </row>
    <row r="8391" spans="1:4">
      <c r="A8391">
        <v>34667</v>
      </c>
      <c r="B8391" t="s">
        <v>8904</v>
      </c>
      <c r="C8391" t="s">
        <v>426</v>
      </c>
      <c r="D8391" s="106">
        <v>36.880000000000003</v>
      </c>
    </row>
    <row r="8392" spans="1:4">
      <c r="A8392">
        <v>34668</v>
      </c>
      <c r="B8392" t="s">
        <v>8905</v>
      </c>
      <c r="C8392" t="s">
        <v>426</v>
      </c>
      <c r="D8392" s="106">
        <v>48.19</v>
      </c>
    </row>
    <row r="8393" spans="1:4">
      <c r="A8393">
        <v>34741</v>
      </c>
      <c r="B8393" t="s">
        <v>8906</v>
      </c>
      <c r="C8393" t="s">
        <v>426</v>
      </c>
      <c r="D8393" s="106">
        <v>53.02</v>
      </c>
    </row>
    <row r="8394" spans="1:4">
      <c r="A8394">
        <v>34664</v>
      </c>
      <c r="B8394" t="s">
        <v>8907</v>
      </c>
      <c r="C8394" t="s">
        <v>426</v>
      </c>
      <c r="D8394" s="106">
        <v>57.86</v>
      </c>
    </row>
    <row r="8395" spans="1:4">
      <c r="A8395">
        <v>34665</v>
      </c>
      <c r="B8395" t="s">
        <v>8908</v>
      </c>
      <c r="C8395" t="s">
        <v>426</v>
      </c>
      <c r="D8395" s="106">
        <v>71.83</v>
      </c>
    </row>
    <row r="8396" spans="1:4">
      <c r="A8396">
        <v>34666</v>
      </c>
      <c r="B8396" t="s">
        <v>8909</v>
      </c>
      <c r="C8396" t="s">
        <v>426</v>
      </c>
      <c r="D8396" s="106">
        <v>108.5</v>
      </c>
    </row>
    <row r="8397" spans="1:4">
      <c r="A8397">
        <v>34669</v>
      </c>
      <c r="B8397" t="s">
        <v>8910</v>
      </c>
      <c r="C8397" t="s">
        <v>426</v>
      </c>
      <c r="D8397" s="106">
        <v>39.78</v>
      </c>
    </row>
    <row r="8398" spans="1:4">
      <c r="A8398">
        <v>34670</v>
      </c>
      <c r="B8398" t="s">
        <v>8911</v>
      </c>
      <c r="C8398" t="s">
        <v>426</v>
      </c>
      <c r="D8398" s="106">
        <v>48.66</v>
      </c>
    </row>
    <row r="8399" spans="1:4">
      <c r="A8399">
        <v>34671</v>
      </c>
      <c r="B8399" t="s">
        <v>8912</v>
      </c>
      <c r="C8399" t="s">
        <v>426</v>
      </c>
      <c r="D8399" s="106">
        <v>40.61</v>
      </c>
    </row>
    <row r="8400" spans="1:4">
      <c r="A8400">
        <v>34672</v>
      </c>
      <c r="B8400" t="s">
        <v>8913</v>
      </c>
      <c r="C8400" t="s">
        <v>426</v>
      </c>
      <c r="D8400" s="106">
        <v>42.83</v>
      </c>
    </row>
    <row r="8401" spans="1:4">
      <c r="A8401">
        <v>34673</v>
      </c>
      <c r="B8401" t="s">
        <v>8914</v>
      </c>
      <c r="C8401" t="s">
        <v>426</v>
      </c>
      <c r="D8401" s="106">
        <v>52.26</v>
      </c>
    </row>
    <row r="8402" spans="1:4">
      <c r="A8402">
        <v>34674</v>
      </c>
      <c r="B8402" t="s">
        <v>8915</v>
      </c>
      <c r="C8402" t="s">
        <v>426</v>
      </c>
      <c r="D8402" s="106">
        <v>69.48</v>
      </c>
    </row>
    <row r="8403" spans="1:4">
      <c r="A8403">
        <v>34675</v>
      </c>
      <c r="B8403" t="s">
        <v>8916</v>
      </c>
      <c r="C8403" t="s">
        <v>426</v>
      </c>
      <c r="D8403" s="106">
        <v>84.7</v>
      </c>
    </row>
    <row r="8404" spans="1:4">
      <c r="A8404">
        <v>34676</v>
      </c>
      <c r="B8404" t="s">
        <v>8917</v>
      </c>
      <c r="C8404" t="s">
        <v>426</v>
      </c>
      <c r="D8404" s="106">
        <v>24.38</v>
      </c>
    </row>
    <row r="8405" spans="1:4">
      <c r="A8405">
        <v>34677</v>
      </c>
      <c r="B8405" t="s">
        <v>8918</v>
      </c>
      <c r="C8405" t="s">
        <v>426</v>
      </c>
      <c r="D8405" s="106">
        <v>32.78</v>
      </c>
    </row>
    <row r="8406" spans="1:4">
      <c r="A8406">
        <v>43126</v>
      </c>
      <c r="B8406" t="s">
        <v>8919</v>
      </c>
      <c r="C8406" t="s">
        <v>426</v>
      </c>
      <c r="D8406" s="106">
        <v>113.76</v>
      </c>
    </row>
    <row r="8407" spans="1:4">
      <c r="A8407">
        <v>43124</v>
      </c>
      <c r="B8407" t="s">
        <v>8920</v>
      </c>
      <c r="C8407" t="s">
        <v>426</v>
      </c>
      <c r="D8407" s="106">
        <v>132.83000000000001</v>
      </c>
    </row>
    <row r="8408" spans="1:4">
      <c r="A8408">
        <v>43125</v>
      </c>
      <c r="B8408" t="s">
        <v>8921</v>
      </c>
      <c r="C8408" t="s">
        <v>426</v>
      </c>
      <c r="D8408" s="106">
        <v>172.26</v>
      </c>
    </row>
    <row r="8409" spans="1:4">
      <c r="A8409">
        <v>40623</v>
      </c>
      <c r="B8409" t="s">
        <v>8922</v>
      </c>
      <c r="C8409" t="s">
        <v>434</v>
      </c>
      <c r="D8409" s="106">
        <v>127.23</v>
      </c>
    </row>
    <row r="8410" spans="1:4">
      <c r="A8410">
        <v>43701</v>
      </c>
      <c r="B8410" t="s">
        <v>8923</v>
      </c>
      <c r="C8410" t="s">
        <v>430</v>
      </c>
      <c r="D8410" s="106">
        <v>47.83</v>
      </c>
    </row>
    <row r="8411" spans="1:4">
      <c r="A8411">
        <v>1345</v>
      </c>
      <c r="B8411" t="s">
        <v>8924</v>
      </c>
      <c r="C8411" t="s">
        <v>426</v>
      </c>
      <c r="D8411" s="106">
        <v>109.96</v>
      </c>
    </row>
    <row r="8412" spans="1:4">
      <c r="A8412">
        <v>1346</v>
      </c>
      <c r="B8412" t="s">
        <v>8925</v>
      </c>
      <c r="C8412" t="s">
        <v>426</v>
      </c>
      <c r="D8412" s="106">
        <v>63.96</v>
      </c>
    </row>
    <row r="8413" spans="1:4">
      <c r="A8413">
        <v>1347</v>
      </c>
      <c r="B8413" t="s">
        <v>8926</v>
      </c>
      <c r="C8413" t="s">
        <v>426</v>
      </c>
      <c r="D8413" s="106">
        <v>79.25</v>
      </c>
    </row>
    <row r="8414" spans="1:4">
      <c r="A8414">
        <v>43678</v>
      </c>
      <c r="B8414" t="s">
        <v>8927</v>
      </c>
      <c r="C8414" t="s">
        <v>426</v>
      </c>
      <c r="D8414" s="106">
        <v>91.93</v>
      </c>
    </row>
    <row r="8415" spans="1:4">
      <c r="A8415">
        <v>43680</v>
      </c>
      <c r="B8415" t="s">
        <v>8928</v>
      </c>
      <c r="C8415" t="s">
        <v>426</v>
      </c>
      <c r="D8415" s="106">
        <v>132.44</v>
      </c>
    </row>
    <row r="8416" spans="1:4">
      <c r="A8416">
        <v>43679</v>
      </c>
      <c r="B8416" t="s">
        <v>8929</v>
      </c>
      <c r="C8416" t="s">
        <v>426</v>
      </c>
      <c r="D8416" s="106">
        <v>46.48</v>
      </c>
    </row>
    <row r="8417" spans="1:4">
      <c r="A8417">
        <v>1355</v>
      </c>
      <c r="B8417" t="s">
        <v>8930</v>
      </c>
      <c r="C8417" t="s">
        <v>426</v>
      </c>
      <c r="D8417" s="106">
        <v>52.89</v>
      </c>
    </row>
    <row r="8418" spans="1:4">
      <c r="A8418">
        <v>1358</v>
      </c>
      <c r="B8418" t="s">
        <v>8931</v>
      </c>
      <c r="C8418" t="s">
        <v>426</v>
      </c>
      <c r="D8418" s="106">
        <v>64.930000000000007</v>
      </c>
    </row>
    <row r="8419" spans="1:4">
      <c r="A8419">
        <v>43681</v>
      </c>
      <c r="B8419" t="s">
        <v>8932</v>
      </c>
      <c r="C8419" t="s">
        <v>426</v>
      </c>
      <c r="D8419" s="106">
        <v>40.909999999999997</v>
      </c>
    </row>
    <row r="8420" spans="1:4">
      <c r="A8420">
        <v>43677</v>
      </c>
      <c r="B8420" t="s">
        <v>8933</v>
      </c>
      <c r="C8420" t="s">
        <v>426</v>
      </c>
      <c r="D8420" s="106">
        <v>80.56</v>
      </c>
    </row>
    <row r="8421" spans="1:4">
      <c r="A8421">
        <v>43682</v>
      </c>
      <c r="B8421" t="s">
        <v>8934</v>
      </c>
      <c r="C8421" t="s">
        <v>426</v>
      </c>
      <c r="D8421" s="106">
        <v>24.7</v>
      </c>
    </row>
    <row r="8422" spans="1:4">
      <c r="A8422">
        <v>20971</v>
      </c>
      <c r="B8422" t="s">
        <v>8935</v>
      </c>
      <c r="C8422" t="s">
        <v>427</v>
      </c>
      <c r="D8422" s="106">
        <v>14.8</v>
      </c>
    </row>
    <row r="8423" spans="1:4">
      <c r="A8423">
        <v>13279</v>
      </c>
      <c r="B8423" t="s">
        <v>8936</v>
      </c>
      <c r="C8423" t="s">
        <v>430</v>
      </c>
      <c r="D8423" s="106">
        <v>23.62</v>
      </c>
    </row>
    <row r="8424" spans="1:4">
      <c r="A8424">
        <v>11977</v>
      </c>
      <c r="B8424" t="s">
        <v>8937</v>
      </c>
      <c r="C8424" t="s">
        <v>427</v>
      </c>
      <c r="D8424" s="106">
        <v>12.24</v>
      </c>
    </row>
    <row r="8425" spans="1:4">
      <c r="A8425">
        <v>11975</v>
      </c>
      <c r="B8425" t="s">
        <v>8938</v>
      </c>
      <c r="C8425" t="s">
        <v>427</v>
      </c>
      <c r="D8425" s="106">
        <v>26.82</v>
      </c>
    </row>
    <row r="8426" spans="1:4">
      <c r="A8426">
        <v>39746</v>
      </c>
      <c r="B8426" t="s">
        <v>8939</v>
      </c>
      <c r="C8426" t="s">
        <v>427</v>
      </c>
      <c r="D8426" s="106">
        <v>298.49</v>
      </c>
    </row>
    <row r="8427" spans="1:4">
      <c r="A8427">
        <v>11976</v>
      </c>
      <c r="B8427" t="s">
        <v>8940</v>
      </c>
      <c r="C8427" t="s">
        <v>427</v>
      </c>
      <c r="D8427" s="106">
        <v>1.37</v>
      </c>
    </row>
    <row r="8428" spans="1:4">
      <c r="A8428">
        <v>1368</v>
      </c>
      <c r="B8428" t="s">
        <v>8941</v>
      </c>
      <c r="C8428" t="s">
        <v>427</v>
      </c>
      <c r="D8428" s="106">
        <v>74.7</v>
      </c>
    </row>
    <row r="8429" spans="1:4">
      <c r="A8429">
        <v>1367</v>
      </c>
      <c r="B8429" t="s">
        <v>8942</v>
      </c>
      <c r="C8429" t="s">
        <v>427</v>
      </c>
      <c r="D8429" s="106">
        <v>241.63</v>
      </c>
    </row>
    <row r="8430" spans="1:4">
      <c r="A8430">
        <v>41899</v>
      </c>
      <c r="B8430" t="s">
        <v>8943</v>
      </c>
      <c r="C8430" t="s">
        <v>437</v>
      </c>
      <c r="D8430" s="107">
        <v>5278.23</v>
      </c>
    </row>
    <row r="8431" spans="1:4">
      <c r="A8431">
        <v>1380</v>
      </c>
      <c r="B8431" t="s">
        <v>8944</v>
      </c>
      <c r="C8431" t="s">
        <v>430</v>
      </c>
      <c r="D8431" s="106">
        <v>2.2599999999999998</v>
      </c>
    </row>
    <row r="8432" spans="1:4">
      <c r="A8432">
        <v>1375</v>
      </c>
      <c r="B8432" t="s">
        <v>8945</v>
      </c>
      <c r="C8432" t="s">
        <v>430</v>
      </c>
      <c r="D8432" s="106">
        <v>12.86</v>
      </c>
    </row>
    <row r="8433" spans="1:4">
      <c r="A8433">
        <v>1379</v>
      </c>
      <c r="B8433" t="s">
        <v>8946</v>
      </c>
      <c r="C8433" t="s">
        <v>430</v>
      </c>
      <c r="D8433" s="106">
        <v>0.72</v>
      </c>
    </row>
    <row r="8434" spans="1:4">
      <c r="A8434">
        <v>13284</v>
      </c>
      <c r="B8434" t="s">
        <v>8947</v>
      </c>
      <c r="C8434" t="s">
        <v>430</v>
      </c>
      <c r="D8434" s="106">
        <v>0.72</v>
      </c>
    </row>
    <row r="8435" spans="1:4">
      <c r="A8435">
        <v>44528</v>
      </c>
      <c r="B8435" t="s">
        <v>13438</v>
      </c>
      <c r="C8435" t="s">
        <v>430</v>
      </c>
      <c r="D8435" s="106">
        <v>2.71</v>
      </c>
    </row>
    <row r="8436" spans="1:4">
      <c r="A8436">
        <v>34753</v>
      </c>
      <c r="B8436" t="s">
        <v>8948</v>
      </c>
      <c r="C8436" t="s">
        <v>430</v>
      </c>
      <c r="D8436" s="106">
        <v>0.79</v>
      </c>
    </row>
    <row r="8437" spans="1:4">
      <c r="A8437">
        <v>420</v>
      </c>
      <c r="B8437" t="s">
        <v>8949</v>
      </c>
      <c r="C8437" t="s">
        <v>427</v>
      </c>
      <c r="D8437" s="106">
        <v>36.270000000000003</v>
      </c>
    </row>
    <row r="8438" spans="1:4">
      <c r="A8438">
        <v>12327</v>
      </c>
      <c r="B8438" t="s">
        <v>8950</v>
      </c>
      <c r="C8438" t="s">
        <v>427</v>
      </c>
      <c r="D8438" s="106">
        <v>43.21</v>
      </c>
    </row>
    <row r="8439" spans="1:4">
      <c r="A8439">
        <v>36148</v>
      </c>
      <c r="B8439" t="s">
        <v>8951</v>
      </c>
      <c r="C8439" t="s">
        <v>427</v>
      </c>
      <c r="D8439" s="106">
        <v>96</v>
      </c>
    </row>
    <row r="8440" spans="1:4">
      <c r="A8440">
        <v>12329</v>
      </c>
      <c r="B8440" t="s">
        <v>8952</v>
      </c>
      <c r="C8440" t="s">
        <v>430</v>
      </c>
      <c r="D8440" s="106">
        <v>127.86</v>
      </c>
    </row>
    <row r="8441" spans="1:4">
      <c r="A8441">
        <v>1339</v>
      </c>
      <c r="B8441" t="s">
        <v>8953</v>
      </c>
      <c r="C8441" t="s">
        <v>430</v>
      </c>
      <c r="D8441" s="106">
        <v>46.19</v>
      </c>
    </row>
    <row r="8442" spans="1:4">
      <c r="A8442">
        <v>44396</v>
      </c>
      <c r="B8442" t="s">
        <v>8954</v>
      </c>
      <c r="C8442" t="s">
        <v>430</v>
      </c>
      <c r="D8442" s="106">
        <v>17.29</v>
      </c>
    </row>
    <row r="8443" spans="1:4">
      <c r="A8443">
        <v>44327</v>
      </c>
      <c r="B8443" t="s">
        <v>8955</v>
      </c>
      <c r="C8443" t="s">
        <v>428</v>
      </c>
      <c r="D8443" s="106">
        <v>58.8</v>
      </c>
    </row>
    <row r="8444" spans="1:4">
      <c r="A8444">
        <v>37418</v>
      </c>
      <c r="B8444" t="s">
        <v>8956</v>
      </c>
      <c r="C8444" t="s">
        <v>427</v>
      </c>
      <c r="D8444" s="106">
        <v>19.899999999999999</v>
      </c>
    </row>
    <row r="8445" spans="1:4">
      <c r="A8445">
        <v>37419</v>
      </c>
      <c r="B8445" t="s">
        <v>8957</v>
      </c>
      <c r="C8445" t="s">
        <v>427</v>
      </c>
      <c r="D8445" s="106">
        <v>20.43</v>
      </c>
    </row>
    <row r="8446" spans="1:4">
      <c r="A8446">
        <v>1427</v>
      </c>
      <c r="B8446" t="s">
        <v>8958</v>
      </c>
      <c r="C8446" t="s">
        <v>427</v>
      </c>
      <c r="D8446" s="106">
        <v>24.08</v>
      </c>
    </row>
    <row r="8447" spans="1:4">
      <c r="A8447">
        <v>1402</v>
      </c>
      <c r="B8447" t="s">
        <v>8959</v>
      </c>
      <c r="C8447" t="s">
        <v>427</v>
      </c>
      <c r="D8447" s="106">
        <v>8.33</v>
      </c>
    </row>
    <row r="8448" spans="1:4">
      <c r="A8448">
        <v>1420</v>
      </c>
      <c r="B8448" t="s">
        <v>8960</v>
      </c>
      <c r="C8448" t="s">
        <v>427</v>
      </c>
      <c r="D8448" s="106">
        <v>10.72</v>
      </c>
    </row>
    <row r="8449" spans="1:4">
      <c r="A8449">
        <v>1419</v>
      </c>
      <c r="B8449" t="s">
        <v>8961</v>
      </c>
      <c r="C8449" t="s">
        <v>427</v>
      </c>
      <c r="D8449" s="106">
        <v>12.94</v>
      </c>
    </row>
    <row r="8450" spans="1:4">
      <c r="A8450">
        <v>1414</v>
      </c>
      <c r="B8450" t="s">
        <v>8962</v>
      </c>
      <c r="C8450" t="s">
        <v>427</v>
      </c>
      <c r="D8450" s="106">
        <v>12.66</v>
      </c>
    </row>
    <row r="8451" spans="1:4">
      <c r="A8451">
        <v>1413</v>
      </c>
      <c r="B8451" t="s">
        <v>8963</v>
      </c>
      <c r="C8451" t="s">
        <v>427</v>
      </c>
      <c r="D8451" s="106">
        <v>18.7</v>
      </c>
    </row>
    <row r="8452" spans="1:4">
      <c r="A8452">
        <v>1412</v>
      </c>
      <c r="B8452" t="s">
        <v>8964</v>
      </c>
      <c r="C8452" t="s">
        <v>427</v>
      </c>
      <c r="D8452" s="106">
        <v>15.85</v>
      </c>
    </row>
    <row r="8453" spans="1:4">
      <c r="A8453">
        <v>1411</v>
      </c>
      <c r="B8453" t="s">
        <v>8965</v>
      </c>
      <c r="C8453" t="s">
        <v>427</v>
      </c>
      <c r="D8453" s="106">
        <v>28.83</v>
      </c>
    </row>
    <row r="8454" spans="1:4">
      <c r="A8454">
        <v>1406</v>
      </c>
      <c r="B8454" t="s">
        <v>8966</v>
      </c>
      <c r="C8454" t="s">
        <v>427</v>
      </c>
      <c r="D8454" s="106">
        <v>19.12</v>
      </c>
    </row>
    <row r="8455" spans="1:4">
      <c r="A8455">
        <v>1407</v>
      </c>
      <c r="B8455" t="s">
        <v>8967</v>
      </c>
      <c r="C8455" t="s">
        <v>427</v>
      </c>
      <c r="D8455" s="106">
        <v>23.84</v>
      </c>
    </row>
    <row r="8456" spans="1:4">
      <c r="A8456">
        <v>1404</v>
      </c>
      <c r="B8456" t="s">
        <v>8968</v>
      </c>
      <c r="C8456" t="s">
        <v>427</v>
      </c>
      <c r="D8456" s="106">
        <v>25.35</v>
      </c>
    </row>
    <row r="8457" spans="1:4">
      <c r="A8457">
        <v>11281</v>
      </c>
      <c r="B8457" t="s">
        <v>8969</v>
      </c>
      <c r="C8457" t="s">
        <v>427</v>
      </c>
      <c r="D8457" s="107">
        <v>11249</v>
      </c>
    </row>
    <row r="8458" spans="1:4">
      <c r="A8458">
        <v>1442</v>
      </c>
      <c r="B8458" t="s">
        <v>8970</v>
      </c>
      <c r="C8458" t="s">
        <v>427</v>
      </c>
      <c r="D8458" s="107">
        <v>9443.4500000000007</v>
      </c>
    </row>
    <row r="8459" spans="1:4">
      <c r="A8459">
        <v>13457</v>
      </c>
      <c r="B8459" t="s">
        <v>8971</v>
      </c>
      <c r="C8459" t="s">
        <v>427</v>
      </c>
      <c r="D8459" s="107">
        <v>8151.44</v>
      </c>
    </row>
    <row r="8460" spans="1:4">
      <c r="A8460">
        <v>40699</v>
      </c>
      <c r="B8460" t="s">
        <v>8972</v>
      </c>
      <c r="C8460" t="s">
        <v>427</v>
      </c>
      <c r="D8460" s="107">
        <v>6301.38</v>
      </c>
    </row>
    <row r="8461" spans="1:4">
      <c r="A8461">
        <v>40701</v>
      </c>
      <c r="B8461" t="s">
        <v>8973</v>
      </c>
      <c r="C8461" t="s">
        <v>427</v>
      </c>
      <c r="D8461" s="107">
        <v>111417.01</v>
      </c>
    </row>
    <row r="8462" spans="1:4">
      <c r="A8462">
        <v>40700</v>
      </c>
      <c r="B8462" t="s">
        <v>8974</v>
      </c>
      <c r="C8462" t="s">
        <v>427</v>
      </c>
      <c r="D8462" s="107">
        <v>14668.79</v>
      </c>
    </row>
    <row r="8463" spans="1:4">
      <c r="A8463">
        <v>13458</v>
      </c>
      <c r="B8463" t="s">
        <v>8975</v>
      </c>
      <c r="C8463" t="s">
        <v>427</v>
      </c>
      <c r="D8463" s="107">
        <v>13938.97</v>
      </c>
    </row>
    <row r="8464" spans="1:4">
      <c r="A8464">
        <v>11134</v>
      </c>
      <c r="B8464" t="s">
        <v>8976</v>
      </c>
      <c r="C8464" t="s">
        <v>426</v>
      </c>
      <c r="D8464" s="106">
        <v>91.12</v>
      </c>
    </row>
    <row r="8465" spans="1:4">
      <c r="A8465">
        <v>11135</v>
      </c>
      <c r="B8465" t="s">
        <v>8977</v>
      </c>
      <c r="C8465" t="s">
        <v>426</v>
      </c>
      <c r="D8465" s="106">
        <v>98.38</v>
      </c>
    </row>
    <row r="8466" spans="1:4">
      <c r="A8466">
        <v>11136</v>
      </c>
      <c r="B8466" t="s">
        <v>8978</v>
      </c>
      <c r="C8466" t="s">
        <v>426</v>
      </c>
      <c r="D8466" s="106">
        <v>112.65</v>
      </c>
    </row>
    <row r="8467" spans="1:4">
      <c r="A8467">
        <v>34743</v>
      </c>
      <c r="B8467" t="s">
        <v>8979</v>
      </c>
      <c r="C8467" t="s">
        <v>426</v>
      </c>
      <c r="D8467" s="106">
        <v>135.91999999999999</v>
      </c>
    </row>
    <row r="8468" spans="1:4">
      <c r="A8468">
        <v>11137</v>
      </c>
      <c r="B8468" t="s">
        <v>8980</v>
      </c>
      <c r="C8468" t="s">
        <v>426</v>
      </c>
      <c r="D8468" s="106">
        <v>154.37</v>
      </c>
    </row>
    <row r="8469" spans="1:4">
      <c r="A8469">
        <v>34745</v>
      </c>
      <c r="B8469" t="s">
        <v>8981</v>
      </c>
      <c r="C8469" t="s">
        <v>426</v>
      </c>
      <c r="D8469" s="106">
        <v>183.58</v>
      </c>
    </row>
    <row r="8470" spans="1:4">
      <c r="A8470">
        <v>34746</v>
      </c>
      <c r="B8470" t="s">
        <v>8982</v>
      </c>
      <c r="C8470" t="s">
        <v>426</v>
      </c>
      <c r="D8470" s="106">
        <v>50.06</v>
      </c>
    </row>
    <row r="8471" spans="1:4">
      <c r="A8471">
        <v>1360</v>
      </c>
      <c r="B8471" t="s">
        <v>8983</v>
      </c>
      <c r="C8471" t="s">
        <v>426</v>
      </c>
      <c r="D8471" s="106">
        <v>58.41</v>
      </c>
    </row>
    <row r="8472" spans="1:4">
      <c r="A8472">
        <v>36524</v>
      </c>
      <c r="B8472" t="s">
        <v>8984</v>
      </c>
      <c r="C8472" t="s">
        <v>427</v>
      </c>
      <c r="D8472" s="107">
        <v>153599.12</v>
      </c>
    </row>
    <row r="8473" spans="1:4">
      <c r="A8473">
        <v>36526</v>
      </c>
      <c r="B8473" t="s">
        <v>8985</v>
      </c>
      <c r="C8473" t="s">
        <v>427</v>
      </c>
      <c r="D8473" s="107">
        <v>123776.43</v>
      </c>
    </row>
    <row r="8474" spans="1:4">
      <c r="A8474">
        <v>36523</v>
      </c>
      <c r="B8474" t="s">
        <v>8986</v>
      </c>
      <c r="C8474" t="s">
        <v>427</v>
      </c>
      <c r="D8474" s="107">
        <v>264988.63</v>
      </c>
    </row>
    <row r="8475" spans="1:4">
      <c r="A8475">
        <v>36527</v>
      </c>
      <c r="B8475" t="s">
        <v>8987</v>
      </c>
      <c r="C8475" t="s">
        <v>427</v>
      </c>
      <c r="D8475" s="107">
        <v>287832.24</v>
      </c>
    </row>
    <row r="8476" spans="1:4">
      <c r="A8476">
        <v>13803</v>
      </c>
      <c r="B8476" t="s">
        <v>8988</v>
      </c>
      <c r="C8476" t="s">
        <v>427</v>
      </c>
      <c r="D8476" s="107">
        <v>104077.63</v>
      </c>
    </row>
    <row r="8477" spans="1:4">
      <c r="A8477">
        <v>38642</v>
      </c>
      <c r="B8477" t="s">
        <v>8989</v>
      </c>
      <c r="C8477" t="s">
        <v>427</v>
      </c>
      <c r="D8477" s="107">
        <v>67014.73</v>
      </c>
    </row>
    <row r="8478" spans="1:4">
      <c r="A8478">
        <v>36522</v>
      </c>
      <c r="B8478" t="s">
        <v>8990</v>
      </c>
      <c r="C8478" t="s">
        <v>427</v>
      </c>
      <c r="D8478" s="107">
        <v>77937.33</v>
      </c>
    </row>
    <row r="8479" spans="1:4">
      <c r="A8479">
        <v>36525</v>
      </c>
      <c r="B8479" t="s">
        <v>8991</v>
      </c>
      <c r="C8479" t="s">
        <v>427</v>
      </c>
      <c r="D8479" s="107">
        <v>104376.29</v>
      </c>
    </row>
    <row r="8480" spans="1:4">
      <c r="A8480">
        <v>34348</v>
      </c>
      <c r="B8480" t="s">
        <v>8992</v>
      </c>
      <c r="C8480" t="s">
        <v>429</v>
      </c>
      <c r="D8480" s="106">
        <v>20.95</v>
      </c>
    </row>
    <row r="8481" spans="1:4">
      <c r="A8481">
        <v>34347</v>
      </c>
      <c r="B8481" t="s">
        <v>8993</v>
      </c>
      <c r="C8481" t="s">
        <v>429</v>
      </c>
      <c r="D8481" s="106">
        <v>14.97</v>
      </c>
    </row>
    <row r="8482" spans="1:4">
      <c r="A8482">
        <v>11146</v>
      </c>
      <c r="B8482" t="s">
        <v>8994</v>
      </c>
      <c r="C8482" t="s">
        <v>431</v>
      </c>
      <c r="D8482" s="106">
        <v>585.13</v>
      </c>
    </row>
    <row r="8483" spans="1:4">
      <c r="A8483">
        <v>11147</v>
      </c>
      <c r="B8483" t="s">
        <v>8995</v>
      </c>
      <c r="C8483" t="s">
        <v>431</v>
      </c>
      <c r="D8483" s="106">
        <v>608.03</v>
      </c>
    </row>
    <row r="8484" spans="1:4">
      <c r="A8484">
        <v>34872</v>
      </c>
      <c r="B8484" t="s">
        <v>8996</v>
      </c>
      <c r="C8484" t="s">
        <v>431</v>
      </c>
      <c r="D8484" s="106">
        <v>614.85</v>
      </c>
    </row>
    <row r="8485" spans="1:4">
      <c r="A8485">
        <v>34491</v>
      </c>
      <c r="B8485" t="s">
        <v>8997</v>
      </c>
      <c r="C8485" t="s">
        <v>431</v>
      </c>
      <c r="D8485" s="106">
        <v>632.66999999999996</v>
      </c>
    </row>
    <row r="8486" spans="1:4">
      <c r="A8486">
        <v>34770</v>
      </c>
      <c r="B8486" t="s">
        <v>8998</v>
      </c>
      <c r="C8486" t="s">
        <v>437</v>
      </c>
      <c r="D8486" s="106">
        <v>475.73</v>
      </c>
    </row>
    <row r="8487" spans="1:4">
      <c r="A8487">
        <v>1518</v>
      </c>
      <c r="B8487" t="s">
        <v>8999</v>
      </c>
      <c r="C8487" t="s">
        <v>437</v>
      </c>
      <c r="D8487" s="106">
        <v>485</v>
      </c>
    </row>
    <row r="8488" spans="1:4">
      <c r="A8488">
        <v>41965</v>
      </c>
      <c r="B8488" t="s">
        <v>9000</v>
      </c>
      <c r="C8488" t="s">
        <v>437</v>
      </c>
      <c r="D8488" s="106">
        <v>425.26</v>
      </c>
    </row>
    <row r="8489" spans="1:4">
      <c r="A8489">
        <v>34492</v>
      </c>
      <c r="B8489" t="s">
        <v>9001</v>
      </c>
      <c r="C8489" t="s">
        <v>431</v>
      </c>
      <c r="D8489" s="106">
        <v>520</v>
      </c>
    </row>
    <row r="8490" spans="1:4">
      <c r="A8490">
        <v>1524</v>
      </c>
      <c r="B8490" t="s">
        <v>9002</v>
      </c>
      <c r="C8490" t="s">
        <v>431</v>
      </c>
      <c r="D8490" s="106">
        <v>561.39</v>
      </c>
    </row>
    <row r="8491" spans="1:4">
      <c r="A8491">
        <v>38404</v>
      </c>
      <c r="B8491" t="s">
        <v>9003</v>
      </c>
      <c r="C8491" t="s">
        <v>431</v>
      </c>
      <c r="D8491" s="106">
        <v>538.62</v>
      </c>
    </row>
    <row r="8492" spans="1:4">
      <c r="A8492">
        <v>39849</v>
      </c>
      <c r="B8492" t="s">
        <v>9004</v>
      </c>
      <c r="C8492" t="s">
        <v>431</v>
      </c>
      <c r="D8492" s="106">
        <v>617.26</v>
      </c>
    </row>
    <row r="8493" spans="1:4">
      <c r="A8493">
        <v>38464</v>
      </c>
      <c r="B8493" t="s">
        <v>9005</v>
      </c>
      <c r="C8493" t="s">
        <v>431</v>
      </c>
      <c r="D8493" s="106">
        <v>626.22</v>
      </c>
    </row>
    <row r="8494" spans="1:4">
      <c r="A8494">
        <v>34493</v>
      </c>
      <c r="B8494" t="s">
        <v>9006</v>
      </c>
      <c r="C8494" t="s">
        <v>431</v>
      </c>
      <c r="D8494" s="106">
        <v>534.65</v>
      </c>
    </row>
    <row r="8495" spans="1:4">
      <c r="A8495">
        <v>1527</v>
      </c>
      <c r="B8495" t="s">
        <v>9007</v>
      </c>
      <c r="C8495" t="s">
        <v>431</v>
      </c>
      <c r="D8495" s="106">
        <v>579.21</v>
      </c>
    </row>
    <row r="8496" spans="1:4">
      <c r="A8496">
        <v>38405</v>
      </c>
      <c r="B8496" t="s">
        <v>9008</v>
      </c>
      <c r="C8496" t="s">
        <v>431</v>
      </c>
      <c r="D8496" s="106">
        <v>555.23</v>
      </c>
    </row>
    <row r="8497" spans="1:4">
      <c r="A8497">
        <v>38408</v>
      </c>
      <c r="B8497" t="s">
        <v>9009</v>
      </c>
      <c r="C8497" t="s">
        <v>431</v>
      </c>
      <c r="D8497" s="106">
        <v>614.58000000000004</v>
      </c>
    </row>
    <row r="8498" spans="1:4">
      <c r="A8498">
        <v>34494</v>
      </c>
      <c r="B8498" t="s">
        <v>9010</v>
      </c>
      <c r="C8498" t="s">
        <v>431</v>
      </c>
      <c r="D8498" s="106">
        <v>552.48</v>
      </c>
    </row>
    <row r="8499" spans="1:4">
      <c r="A8499">
        <v>1525</v>
      </c>
      <c r="B8499" t="s">
        <v>9011</v>
      </c>
      <c r="C8499" t="s">
        <v>431</v>
      </c>
      <c r="D8499" s="106">
        <v>597.03</v>
      </c>
    </row>
    <row r="8500" spans="1:4">
      <c r="A8500">
        <v>38406</v>
      </c>
      <c r="B8500" t="s">
        <v>9012</v>
      </c>
      <c r="C8500" t="s">
        <v>431</v>
      </c>
      <c r="D8500" s="106">
        <v>586.28</v>
      </c>
    </row>
    <row r="8501" spans="1:4">
      <c r="A8501">
        <v>38409</v>
      </c>
      <c r="B8501" t="s">
        <v>9013</v>
      </c>
      <c r="C8501" t="s">
        <v>431</v>
      </c>
      <c r="D8501" s="106">
        <v>618.77</v>
      </c>
    </row>
    <row r="8502" spans="1:4">
      <c r="A8502">
        <v>43360</v>
      </c>
      <c r="B8502" t="s">
        <v>9014</v>
      </c>
      <c r="C8502" t="s">
        <v>431</v>
      </c>
      <c r="D8502" s="106">
        <v>645.20000000000005</v>
      </c>
    </row>
    <row r="8503" spans="1:4">
      <c r="A8503">
        <v>34495</v>
      </c>
      <c r="B8503" t="s">
        <v>9015</v>
      </c>
      <c r="C8503" t="s">
        <v>431</v>
      </c>
      <c r="D8503" s="106">
        <v>570.29999999999995</v>
      </c>
    </row>
    <row r="8504" spans="1:4">
      <c r="A8504">
        <v>11145</v>
      </c>
      <c r="B8504" t="s">
        <v>9016</v>
      </c>
      <c r="C8504" t="s">
        <v>431</v>
      </c>
      <c r="D8504" s="106">
        <v>614.85</v>
      </c>
    </row>
    <row r="8505" spans="1:4">
      <c r="A8505">
        <v>34496</v>
      </c>
      <c r="B8505" t="s">
        <v>9017</v>
      </c>
      <c r="C8505" t="s">
        <v>431</v>
      </c>
      <c r="D8505" s="106">
        <v>594.91999999999996</v>
      </c>
    </row>
    <row r="8506" spans="1:4">
      <c r="A8506">
        <v>34479</v>
      </c>
      <c r="B8506" t="s">
        <v>9018</v>
      </c>
      <c r="C8506" t="s">
        <v>431</v>
      </c>
      <c r="D8506" s="106">
        <v>632.66999999999996</v>
      </c>
    </row>
    <row r="8507" spans="1:4">
      <c r="A8507">
        <v>34481</v>
      </c>
      <c r="B8507" t="s">
        <v>9019</v>
      </c>
      <c r="C8507" t="s">
        <v>431</v>
      </c>
      <c r="D8507" s="106">
        <v>661.07</v>
      </c>
    </row>
    <row r="8508" spans="1:4">
      <c r="A8508">
        <v>34483</v>
      </c>
      <c r="B8508" t="s">
        <v>9020</v>
      </c>
      <c r="C8508" t="s">
        <v>431</v>
      </c>
      <c r="D8508" s="106">
        <v>706.3</v>
      </c>
    </row>
    <row r="8509" spans="1:4">
      <c r="A8509">
        <v>34485</v>
      </c>
      <c r="B8509" t="s">
        <v>9021</v>
      </c>
      <c r="C8509" t="s">
        <v>431</v>
      </c>
      <c r="D8509" s="106">
        <v>755.31</v>
      </c>
    </row>
    <row r="8510" spans="1:4">
      <c r="A8510">
        <v>14041</v>
      </c>
      <c r="B8510" t="s">
        <v>9022</v>
      </c>
      <c r="C8510" t="s">
        <v>431</v>
      </c>
      <c r="D8510" s="106">
        <v>490.99</v>
      </c>
    </row>
    <row r="8511" spans="1:4">
      <c r="A8511">
        <v>1523</v>
      </c>
      <c r="B8511" t="s">
        <v>9023</v>
      </c>
      <c r="C8511" t="s">
        <v>431</v>
      </c>
      <c r="D8511" s="106">
        <v>499.01</v>
      </c>
    </row>
    <row r="8512" spans="1:4">
      <c r="A8512">
        <v>14052</v>
      </c>
      <c r="B8512" t="s">
        <v>9024</v>
      </c>
      <c r="C8512" t="s">
        <v>427</v>
      </c>
      <c r="D8512" s="106">
        <v>9.82</v>
      </c>
    </row>
    <row r="8513" spans="1:4">
      <c r="A8513">
        <v>14054</v>
      </c>
      <c r="B8513" t="s">
        <v>9025</v>
      </c>
      <c r="C8513" t="s">
        <v>427</v>
      </c>
      <c r="D8513" s="106">
        <v>12.77</v>
      </c>
    </row>
    <row r="8514" spans="1:4">
      <c r="A8514">
        <v>14053</v>
      </c>
      <c r="B8514" t="s">
        <v>9026</v>
      </c>
      <c r="C8514" t="s">
        <v>427</v>
      </c>
      <c r="D8514" s="106">
        <v>9.9700000000000006</v>
      </c>
    </row>
    <row r="8515" spans="1:4">
      <c r="A8515">
        <v>2558</v>
      </c>
      <c r="B8515" t="s">
        <v>9027</v>
      </c>
      <c r="C8515" t="s">
        <v>427</v>
      </c>
      <c r="D8515" s="106">
        <v>7.51</v>
      </c>
    </row>
    <row r="8516" spans="1:4">
      <c r="A8516">
        <v>2560</v>
      </c>
      <c r="B8516" t="s">
        <v>9028</v>
      </c>
      <c r="C8516" t="s">
        <v>427</v>
      </c>
      <c r="D8516" s="106">
        <v>13.21</v>
      </c>
    </row>
    <row r="8517" spans="1:4">
      <c r="A8517">
        <v>2559</v>
      </c>
      <c r="B8517" t="s">
        <v>9029</v>
      </c>
      <c r="C8517" t="s">
        <v>427</v>
      </c>
      <c r="D8517" s="106">
        <v>10.57</v>
      </c>
    </row>
    <row r="8518" spans="1:4">
      <c r="A8518">
        <v>2592</v>
      </c>
      <c r="B8518" t="s">
        <v>9030</v>
      </c>
      <c r="C8518" t="s">
        <v>427</v>
      </c>
      <c r="D8518" s="106">
        <v>175.22</v>
      </c>
    </row>
    <row r="8519" spans="1:4">
      <c r="A8519">
        <v>2566</v>
      </c>
      <c r="B8519" t="s">
        <v>9031</v>
      </c>
      <c r="C8519" t="s">
        <v>427</v>
      </c>
      <c r="D8519" s="106">
        <v>17.63</v>
      </c>
    </row>
    <row r="8520" spans="1:4">
      <c r="A8520">
        <v>2589</v>
      </c>
      <c r="B8520" t="s">
        <v>9032</v>
      </c>
      <c r="C8520" t="s">
        <v>427</v>
      </c>
      <c r="D8520" s="106">
        <v>23.44</v>
      </c>
    </row>
    <row r="8521" spans="1:4">
      <c r="A8521">
        <v>2591</v>
      </c>
      <c r="B8521" t="s">
        <v>9033</v>
      </c>
      <c r="C8521" t="s">
        <v>427</v>
      </c>
      <c r="D8521" s="106">
        <v>8.5500000000000007</v>
      </c>
    </row>
    <row r="8522" spans="1:4">
      <c r="A8522">
        <v>2590</v>
      </c>
      <c r="B8522" t="s">
        <v>9034</v>
      </c>
      <c r="C8522" t="s">
        <v>427</v>
      </c>
      <c r="D8522" s="106">
        <v>14.38</v>
      </c>
    </row>
    <row r="8523" spans="1:4">
      <c r="A8523">
        <v>2567</v>
      </c>
      <c r="B8523" t="s">
        <v>9035</v>
      </c>
      <c r="C8523" t="s">
        <v>427</v>
      </c>
      <c r="D8523" s="106">
        <v>34.380000000000003</v>
      </c>
    </row>
    <row r="8524" spans="1:4">
      <c r="A8524">
        <v>2565</v>
      </c>
      <c r="B8524" t="s">
        <v>9036</v>
      </c>
      <c r="C8524" t="s">
        <v>427</v>
      </c>
      <c r="D8524" s="106">
        <v>8.56</v>
      </c>
    </row>
    <row r="8525" spans="1:4">
      <c r="A8525">
        <v>2568</v>
      </c>
      <c r="B8525" t="s">
        <v>9037</v>
      </c>
      <c r="C8525" t="s">
        <v>427</v>
      </c>
      <c r="D8525" s="106">
        <v>95.47</v>
      </c>
    </row>
    <row r="8526" spans="1:4">
      <c r="A8526">
        <v>2594</v>
      </c>
      <c r="B8526" t="s">
        <v>9038</v>
      </c>
      <c r="C8526" t="s">
        <v>427</v>
      </c>
      <c r="D8526" s="106">
        <v>159.04</v>
      </c>
    </row>
    <row r="8527" spans="1:4">
      <c r="A8527">
        <v>2587</v>
      </c>
      <c r="B8527" t="s">
        <v>9039</v>
      </c>
      <c r="C8527" t="s">
        <v>427</v>
      </c>
      <c r="D8527" s="106">
        <v>27.1</v>
      </c>
    </row>
    <row r="8528" spans="1:4">
      <c r="A8528">
        <v>2588</v>
      </c>
      <c r="B8528" t="s">
        <v>9040</v>
      </c>
      <c r="C8528" t="s">
        <v>427</v>
      </c>
      <c r="D8528" s="106">
        <v>21.53</v>
      </c>
    </row>
    <row r="8529" spans="1:4">
      <c r="A8529">
        <v>2569</v>
      </c>
      <c r="B8529" t="s">
        <v>9041</v>
      </c>
      <c r="C8529" t="s">
        <v>427</v>
      </c>
      <c r="D8529" s="106">
        <v>8.2899999999999991</v>
      </c>
    </row>
    <row r="8530" spans="1:4">
      <c r="A8530">
        <v>2570</v>
      </c>
      <c r="B8530" t="s">
        <v>9042</v>
      </c>
      <c r="C8530" t="s">
        <v>427</v>
      </c>
      <c r="D8530" s="106">
        <v>13.91</v>
      </c>
    </row>
    <row r="8531" spans="1:4">
      <c r="A8531">
        <v>2571</v>
      </c>
      <c r="B8531" t="s">
        <v>9043</v>
      </c>
      <c r="C8531" t="s">
        <v>427</v>
      </c>
      <c r="D8531" s="106">
        <v>41.28</v>
      </c>
    </row>
    <row r="8532" spans="1:4">
      <c r="A8532">
        <v>2593</v>
      </c>
      <c r="B8532" t="s">
        <v>9044</v>
      </c>
      <c r="C8532" t="s">
        <v>427</v>
      </c>
      <c r="D8532" s="106">
        <v>8.84</v>
      </c>
    </row>
    <row r="8533" spans="1:4">
      <c r="A8533">
        <v>2572</v>
      </c>
      <c r="B8533" t="s">
        <v>9045</v>
      </c>
      <c r="C8533" t="s">
        <v>427</v>
      </c>
      <c r="D8533" s="106">
        <v>122.08</v>
      </c>
    </row>
    <row r="8534" spans="1:4">
      <c r="A8534">
        <v>2595</v>
      </c>
      <c r="B8534" t="s">
        <v>9046</v>
      </c>
      <c r="C8534" t="s">
        <v>427</v>
      </c>
      <c r="D8534" s="106">
        <v>190.48</v>
      </c>
    </row>
    <row r="8535" spans="1:4">
      <c r="A8535">
        <v>2576</v>
      </c>
      <c r="B8535" t="s">
        <v>9047</v>
      </c>
      <c r="C8535" t="s">
        <v>427</v>
      </c>
      <c r="D8535" s="106">
        <v>32.47</v>
      </c>
    </row>
    <row r="8536" spans="1:4">
      <c r="A8536">
        <v>2575</v>
      </c>
      <c r="B8536" t="s">
        <v>9048</v>
      </c>
      <c r="C8536" t="s">
        <v>427</v>
      </c>
      <c r="D8536" s="106">
        <v>24.41</v>
      </c>
    </row>
    <row r="8537" spans="1:4">
      <c r="A8537">
        <v>2573</v>
      </c>
      <c r="B8537" t="s">
        <v>9049</v>
      </c>
      <c r="C8537" t="s">
        <v>427</v>
      </c>
      <c r="D8537" s="106">
        <v>10.130000000000001</v>
      </c>
    </row>
    <row r="8538" spans="1:4">
      <c r="A8538">
        <v>2586</v>
      </c>
      <c r="B8538" t="s">
        <v>9050</v>
      </c>
      <c r="C8538" t="s">
        <v>427</v>
      </c>
      <c r="D8538" s="106">
        <v>16.43</v>
      </c>
    </row>
    <row r="8539" spans="1:4">
      <c r="A8539">
        <v>2577</v>
      </c>
      <c r="B8539" t="s">
        <v>9051</v>
      </c>
      <c r="C8539" t="s">
        <v>427</v>
      </c>
      <c r="D8539" s="106">
        <v>44</v>
      </c>
    </row>
    <row r="8540" spans="1:4">
      <c r="A8540">
        <v>2574</v>
      </c>
      <c r="B8540" t="s">
        <v>9052</v>
      </c>
      <c r="C8540" t="s">
        <v>427</v>
      </c>
      <c r="D8540" s="106">
        <v>10.199999999999999</v>
      </c>
    </row>
    <row r="8541" spans="1:4">
      <c r="A8541">
        <v>2578</v>
      </c>
      <c r="B8541" t="s">
        <v>9053</v>
      </c>
      <c r="C8541" t="s">
        <v>427</v>
      </c>
      <c r="D8541" s="106">
        <v>137.37</v>
      </c>
    </row>
    <row r="8542" spans="1:4">
      <c r="A8542">
        <v>2585</v>
      </c>
      <c r="B8542" t="s">
        <v>9054</v>
      </c>
      <c r="C8542" t="s">
        <v>427</v>
      </c>
      <c r="D8542" s="106">
        <v>188.5</v>
      </c>
    </row>
    <row r="8543" spans="1:4">
      <c r="A8543">
        <v>12008</v>
      </c>
      <c r="B8543" t="s">
        <v>9055</v>
      </c>
      <c r="C8543" t="s">
        <v>427</v>
      </c>
      <c r="D8543" s="106">
        <v>101.14</v>
      </c>
    </row>
    <row r="8544" spans="1:4">
      <c r="A8544">
        <v>2582</v>
      </c>
      <c r="B8544" t="s">
        <v>9056</v>
      </c>
      <c r="C8544" t="s">
        <v>427</v>
      </c>
      <c r="D8544" s="106">
        <v>30.12</v>
      </c>
    </row>
    <row r="8545" spans="1:4">
      <c r="A8545">
        <v>2597</v>
      </c>
      <c r="B8545" t="s">
        <v>9057</v>
      </c>
      <c r="C8545" t="s">
        <v>427</v>
      </c>
      <c r="D8545" s="106">
        <v>25.81</v>
      </c>
    </row>
    <row r="8546" spans="1:4">
      <c r="A8546">
        <v>2579</v>
      </c>
      <c r="B8546" t="s">
        <v>9058</v>
      </c>
      <c r="C8546" t="s">
        <v>427</v>
      </c>
      <c r="D8546" s="106">
        <v>12.29</v>
      </c>
    </row>
    <row r="8547" spans="1:4">
      <c r="A8547">
        <v>2581</v>
      </c>
      <c r="B8547" t="s">
        <v>9059</v>
      </c>
      <c r="C8547" t="s">
        <v>427</v>
      </c>
      <c r="D8547" s="106">
        <v>15.72</v>
      </c>
    </row>
    <row r="8548" spans="1:4">
      <c r="A8548">
        <v>2596</v>
      </c>
      <c r="B8548" t="s">
        <v>9060</v>
      </c>
      <c r="C8548" t="s">
        <v>427</v>
      </c>
      <c r="D8548" s="106">
        <v>46.51</v>
      </c>
    </row>
    <row r="8549" spans="1:4">
      <c r="A8549">
        <v>2580</v>
      </c>
      <c r="B8549" t="s">
        <v>9061</v>
      </c>
      <c r="C8549" t="s">
        <v>427</v>
      </c>
      <c r="D8549" s="106">
        <v>13.47</v>
      </c>
    </row>
    <row r="8550" spans="1:4">
      <c r="A8550">
        <v>2583</v>
      </c>
      <c r="B8550" t="s">
        <v>9062</v>
      </c>
      <c r="C8550" t="s">
        <v>427</v>
      </c>
      <c r="D8550" s="106">
        <v>113.12</v>
      </c>
    </row>
    <row r="8551" spans="1:4">
      <c r="A8551">
        <v>2584</v>
      </c>
      <c r="B8551" t="s">
        <v>9063</v>
      </c>
      <c r="C8551" t="s">
        <v>427</v>
      </c>
      <c r="D8551" s="106">
        <v>188.31</v>
      </c>
    </row>
    <row r="8552" spans="1:4">
      <c r="A8552">
        <v>12010</v>
      </c>
      <c r="B8552" t="s">
        <v>9064</v>
      </c>
      <c r="C8552" t="s">
        <v>427</v>
      </c>
      <c r="D8552" s="106">
        <v>9.3699999999999992</v>
      </c>
    </row>
    <row r="8553" spans="1:4">
      <c r="A8553">
        <v>39329</v>
      </c>
      <c r="B8553" t="s">
        <v>9065</v>
      </c>
      <c r="C8553" t="s">
        <v>427</v>
      </c>
      <c r="D8553" s="106">
        <v>9.8000000000000007</v>
      </c>
    </row>
    <row r="8554" spans="1:4">
      <c r="A8554">
        <v>39330</v>
      </c>
      <c r="B8554" t="s">
        <v>9066</v>
      </c>
      <c r="C8554" t="s">
        <v>427</v>
      </c>
      <c r="D8554" s="106">
        <v>10.31</v>
      </c>
    </row>
    <row r="8555" spans="1:4">
      <c r="A8555">
        <v>39332</v>
      </c>
      <c r="B8555" t="s">
        <v>9067</v>
      </c>
      <c r="C8555" t="s">
        <v>427</v>
      </c>
      <c r="D8555" s="106">
        <v>11.52</v>
      </c>
    </row>
    <row r="8556" spans="1:4">
      <c r="A8556">
        <v>39331</v>
      </c>
      <c r="B8556" t="s">
        <v>9068</v>
      </c>
      <c r="C8556" t="s">
        <v>427</v>
      </c>
      <c r="D8556" s="106">
        <v>9.17</v>
      </c>
    </row>
    <row r="8557" spans="1:4">
      <c r="A8557">
        <v>39333</v>
      </c>
      <c r="B8557" t="s">
        <v>9069</v>
      </c>
      <c r="C8557" t="s">
        <v>427</v>
      </c>
      <c r="D8557" s="106">
        <v>8.94</v>
      </c>
    </row>
    <row r="8558" spans="1:4">
      <c r="A8558">
        <v>39335</v>
      </c>
      <c r="B8558" t="s">
        <v>9070</v>
      </c>
      <c r="C8558" t="s">
        <v>427</v>
      </c>
      <c r="D8558" s="106">
        <v>10.34</v>
      </c>
    </row>
    <row r="8559" spans="1:4">
      <c r="A8559">
        <v>39334</v>
      </c>
      <c r="B8559" t="s">
        <v>9071</v>
      </c>
      <c r="C8559" t="s">
        <v>427</v>
      </c>
      <c r="D8559" s="106">
        <v>8.2200000000000006</v>
      </c>
    </row>
    <row r="8560" spans="1:4">
      <c r="A8560">
        <v>12016</v>
      </c>
      <c r="B8560" t="s">
        <v>9072</v>
      </c>
      <c r="C8560" t="s">
        <v>427</v>
      </c>
      <c r="D8560" s="106">
        <v>10.32</v>
      </c>
    </row>
    <row r="8561" spans="1:4">
      <c r="A8561">
        <v>12015</v>
      </c>
      <c r="B8561" t="s">
        <v>9073</v>
      </c>
      <c r="C8561" t="s">
        <v>427</v>
      </c>
      <c r="D8561" s="106">
        <v>12.01</v>
      </c>
    </row>
    <row r="8562" spans="1:4">
      <c r="A8562">
        <v>12020</v>
      </c>
      <c r="B8562" t="s">
        <v>9074</v>
      </c>
      <c r="C8562" t="s">
        <v>427</v>
      </c>
      <c r="D8562" s="106">
        <v>10.32</v>
      </c>
    </row>
    <row r="8563" spans="1:4">
      <c r="A8563">
        <v>12019</v>
      </c>
      <c r="B8563" t="s">
        <v>9075</v>
      </c>
      <c r="C8563" t="s">
        <v>427</v>
      </c>
      <c r="D8563" s="106">
        <v>12.01</v>
      </c>
    </row>
    <row r="8564" spans="1:4">
      <c r="A8564">
        <v>39336</v>
      </c>
      <c r="B8564" t="s">
        <v>9076</v>
      </c>
      <c r="C8564" t="s">
        <v>427</v>
      </c>
      <c r="D8564" s="106">
        <v>10.31</v>
      </c>
    </row>
    <row r="8565" spans="1:4">
      <c r="A8565">
        <v>39338</v>
      </c>
      <c r="B8565" t="s">
        <v>9077</v>
      </c>
      <c r="C8565" t="s">
        <v>427</v>
      </c>
      <c r="D8565" s="106">
        <v>11.52</v>
      </c>
    </row>
    <row r="8566" spans="1:4">
      <c r="A8566">
        <v>39337</v>
      </c>
      <c r="B8566" t="s">
        <v>9078</v>
      </c>
      <c r="C8566" t="s">
        <v>427</v>
      </c>
      <c r="D8566" s="106">
        <v>9.17</v>
      </c>
    </row>
    <row r="8567" spans="1:4">
      <c r="A8567">
        <v>39341</v>
      </c>
      <c r="B8567" t="s">
        <v>9079</v>
      </c>
      <c r="C8567" t="s">
        <v>427</v>
      </c>
      <c r="D8567" s="106">
        <v>15.01</v>
      </c>
    </row>
    <row r="8568" spans="1:4">
      <c r="A8568">
        <v>39340</v>
      </c>
      <c r="B8568" t="s">
        <v>9080</v>
      </c>
      <c r="C8568" t="s">
        <v>427</v>
      </c>
      <c r="D8568" s="106">
        <v>11.02</v>
      </c>
    </row>
    <row r="8569" spans="1:4">
      <c r="A8569">
        <v>12025</v>
      </c>
      <c r="B8569" t="s">
        <v>9081</v>
      </c>
      <c r="C8569" t="s">
        <v>427</v>
      </c>
      <c r="D8569" s="106">
        <v>11.39</v>
      </c>
    </row>
    <row r="8570" spans="1:4">
      <c r="A8570">
        <v>39342</v>
      </c>
      <c r="B8570" t="s">
        <v>9082</v>
      </c>
      <c r="C8570" t="s">
        <v>427</v>
      </c>
      <c r="D8570" s="106">
        <v>15.01</v>
      </c>
    </row>
    <row r="8571" spans="1:4">
      <c r="A8571">
        <v>39343</v>
      </c>
      <c r="B8571" t="s">
        <v>9083</v>
      </c>
      <c r="C8571" t="s">
        <v>427</v>
      </c>
      <c r="D8571" s="106">
        <v>12.68</v>
      </c>
    </row>
    <row r="8572" spans="1:4">
      <c r="A8572">
        <v>39345</v>
      </c>
      <c r="B8572" t="s">
        <v>9084</v>
      </c>
      <c r="C8572" t="s">
        <v>427</v>
      </c>
      <c r="D8572" s="106">
        <v>17.16</v>
      </c>
    </row>
    <row r="8573" spans="1:4">
      <c r="A8573">
        <v>39344</v>
      </c>
      <c r="B8573" t="s">
        <v>9085</v>
      </c>
      <c r="C8573" t="s">
        <v>427</v>
      </c>
      <c r="D8573" s="106">
        <v>12.26</v>
      </c>
    </row>
    <row r="8574" spans="1:4">
      <c r="A8574">
        <v>12623</v>
      </c>
      <c r="B8574" t="s">
        <v>9086</v>
      </c>
      <c r="C8574" t="s">
        <v>429</v>
      </c>
      <c r="D8574" s="106">
        <v>12.9</v>
      </c>
    </row>
    <row r="8575" spans="1:4">
      <c r="A8575">
        <v>34498</v>
      </c>
      <c r="B8575" t="s">
        <v>9087</v>
      </c>
      <c r="C8575" t="s">
        <v>427</v>
      </c>
      <c r="D8575" s="106">
        <v>94.79</v>
      </c>
    </row>
    <row r="8576" spans="1:4">
      <c r="A8576">
        <v>13244</v>
      </c>
      <c r="B8576" t="s">
        <v>9088</v>
      </c>
      <c r="C8576" t="s">
        <v>427</v>
      </c>
      <c r="D8576" s="106">
        <v>39.9</v>
      </c>
    </row>
    <row r="8577" spans="1:4">
      <c r="A8577">
        <v>38998</v>
      </c>
      <c r="B8577" t="s">
        <v>9089</v>
      </c>
      <c r="C8577" t="s">
        <v>427</v>
      </c>
      <c r="D8577" s="106">
        <v>14.71</v>
      </c>
    </row>
    <row r="8578" spans="1:4">
      <c r="A8578">
        <v>38999</v>
      </c>
      <c r="B8578" t="s">
        <v>9090</v>
      </c>
      <c r="C8578" t="s">
        <v>427</v>
      </c>
      <c r="D8578" s="106">
        <v>24.35</v>
      </c>
    </row>
    <row r="8579" spans="1:4">
      <c r="A8579">
        <v>38996</v>
      </c>
      <c r="B8579" t="s">
        <v>9091</v>
      </c>
      <c r="C8579" t="s">
        <v>427</v>
      </c>
      <c r="D8579" s="106">
        <v>21.26</v>
      </c>
    </row>
    <row r="8580" spans="1:4">
      <c r="A8580">
        <v>38997</v>
      </c>
      <c r="B8580" t="s">
        <v>9092</v>
      </c>
      <c r="C8580" t="s">
        <v>427</v>
      </c>
      <c r="D8580" s="106">
        <v>34.409999999999997</v>
      </c>
    </row>
    <row r="8581" spans="1:4">
      <c r="A8581">
        <v>39862</v>
      </c>
      <c r="B8581" t="s">
        <v>9093</v>
      </c>
      <c r="C8581" t="s">
        <v>427</v>
      </c>
      <c r="D8581" s="106">
        <v>15.95</v>
      </c>
    </row>
    <row r="8582" spans="1:4">
      <c r="A8582">
        <v>39863</v>
      </c>
      <c r="B8582" t="s">
        <v>9094</v>
      </c>
      <c r="C8582" t="s">
        <v>427</v>
      </c>
      <c r="D8582" s="106">
        <v>16.170000000000002</v>
      </c>
    </row>
    <row r="8583" spans="1:4">
      <c r="A8583">
        <v>39864</v>
      </c>
      <c r="B8583" t="s">
        <v>9095</v>
      </c>
      <c r="C8583" t="s">
        <v>427</v>
      </c>
      <c r="D8583" s="106">
        <v>20.07</v>
      </c>
    </row>
    <row r="8584" spans="1:4">
      <c r="A8584">
        <v>39865</v>
      </c>
      <c r="B8584" t="s">
        <v>9096</v>
      </c>
      <c r="C8584" t="s">
        <v>427</v>
      </c>
      <c r="D8584" s="106">
        <v>28.29</v>
      </c>
    </row>
    <row r="8585" spans="1:4">
      <c r="A8585">
        <v>2517</v>
      </c>
      <c r="B8585" t="s">
        <v>9097</v>
      </c>
      <c r="C8585" t="s">
        <v>427</v>
      </c>
      <c r="D8585" s="106">
        <v>18.760000000000002</v>
      </c>
    </row>
    <row r="8586" spans="1:4">
      <c r="A8586">
        <v>2522</v>
      </c>
      <c r="B8586" t="s">
        <v>9098</v>
      </c>
      <c r="C8586" t="s">
        <v>427</v>
      </c>
      <c r="D8586" s="106">
        <v>12.12</v>
      </c>
    </row>
    <row r="8587" spans="1:4">
      <c r="A8587">
        <v>2548</v>
      </c>
      <c r="B8587" t="s">
        <v>9099</v>
      </c>
      <c r="C8587" t="s">
        <v>427</v>
      </c>
      <c r="D8587" s="106">
        <v>7.45</v>
      </c>
    </row>
    <row r="8588" spans="1:4">
      <c r="A8588">
        <v>2516</v>
      </c>
      <c r="B8588" t="s">
        <v>9100</v>
      </c>
      <c r="C8588" t="s">
        <v>427</v>
      </c>
      <c r="D8588" s="106">
        <v>9.73</v>
      </c>
    </row>
    <row r="8589" spans="1:4">
      <c r="A8589">
        <v>2518</v>
      </c>
      <c r="B8589" t="s">
        <v>9101</v>
      </c>
      <c r="C8589" t="s">
        <v>427</v>
      </c>
      <c r="D8589" s="106">
        <v>89.31</v>
      </c>
    </row>
    <row r="8590" spans="1:4">
      <c r="A8590">
        <v>2521</v>
      </c>
      <c r="B8590" t="s">
        <v>9102</v>
      </c>
      <c r="C8590" t="s">
        <v>427</v>
      </c>
      <c r="D8590" s="106">
        <v>38.01</v>
      </c>
    </row>
    <row r="8591" spans="1:4">
      <c r="A8591">
        <v>2515</v>
      </c>
      <c r="B8591" t="s">
        <v>9103</v>
      </c>
      <c r="C8591" t="s">
        <v>427</v>
      </c>
      <c r="D8591" s="106">
        <v>8.1</v>
      </c>
    </row>
    <row r="8592" spans="1:4">
      <c r="A8592">
        <v>2519</v>
      </c>
      <c r="B8592" t="s">
        <v>9104</v>
      </c>
      <c r="C8592" t="s">
        <v>427</v>
      </c>
      <c r="D8592" s="106">
        <v>107.68</v>
      </c>
    </row>
    <row r="8593" spans="1:4">
      <c r="A8593">
        <v>2520</v>
      </c>
      <c r="B8593" t="s">
        <v>9105</v>
      </c>
      <c r="C8593" t="s">
        <v>427</v>
      </c>
      <c r="D8593" s="106">
        <v>198.2</v>
      </c>
    </row>
    <row r="8594" spans="1:4">
      <c r="A8594">
        <v>1602</v>
      </c>
      <c r="B8594" t="s">
        <v>9106</v>
      </c>
      <c r="C8594" t="s">
        <v>427</v>
      </c>
      <c r="D8594" s="106">
        <v>37.39</v>
      </c>
    </row>
    <row r="8595" spans="1:4">
      <c r="A8595">
        <v>1601</v>
      </c>
      <c r="B8595" t="s">
        <v>9107</v>
      </c>
      <c r="C8595" t="s">
        <v>427</v>
      </c>
      <c r="D8595" s="106">
        <v>33.33</v>
      </c>
    </row>
    <row r="8596" spans="1:4">
      <c r="A8596">
        <v>1598</v>
      </c>
      <c r="B8596" t="s">
        <v>9108</v>
      </c>
      <c r="C8596" t="s">
        <v>427</v>
      </c>
      <c r="D8596" s="106">
        <v>9.86</v>
      </c>
    </row>
    <row r="8597" spans="1:4">
      <c r="A8597">
        <v>1600</v>
      </c>
      <c r="B8597" t="s">
        <v>9109</v>
      </c>
      <c r="C8597" t="s">
        <v>427</v>
      </c>
      <c r="D8597" s="106">
        <v>14.56</v>
      </c>
    </row>
    <row r="8598" spans="1:4">
      <c r="A8598">
        <v>1603</v>
      </c>
      <c r="B8598" t="s">
        <v>9110</v>
      </c>
      <c r="C8598" t="s">
        <v>427</v>
      </c>
      <c r="D8598" s="106">
        <v>56.46</v>
      </c>
    </row>
    <row r="8599" spans="1:4">
      <c r="A8599">
        <v>1599</v>
      </c>
      <c r="B8599" t="s">
        <v>9111</v>
      </c>
      <c r="C8599" t="s">
        <v>427</v>
      </c>
      <c r="D8599" s="106">
        <v>11.44</v>
      </c>
    </row>
    <row r="8600" spans="1:4">
      <c r="A8600">
        <v>1597</v>
      </c>
      <c r="B8600" t="s">
        <v>9112</v>
      </c>
      <c r="C8600" t="s">
        <v>427</v>
      </c>
      <c r="D8600" s="106">
        <v>9.27</v>
      </c>
    </row>
    <row r="8601" spans="1:4">
      <c r="A8601">
        <v>39600</v>
      </c>
      <c r="B8601" t="s">
        <v>9113</v>
      </c>
      <c r="C8601" t="s">
        <v>427</v>
      </c>
      <c r="D8601" s="106">
        <v>14.33</v>
      </c>
    </row>
    <row r="8602" spans="1:4">
      <c r="A8602">
        <v>39601</v>
      </c>
      <c r="B8602" t="s">
        <v>9114</v>
      </c>
      <c r="C8602" t="s">
        <v>427</v>
      </c>
      <c r="D8602" s="106">
        <v>24.92</v>
      </c>
    </row>
    <row r="8603" spans="1:4">
      <c r="A8603">
        <v>39602</v>
      </c>
      <c r="B8603" t="s">
        <v>9115</v>
      </c>
      <c r="C8603" t="s">
        <v>427</v>
      </c>
      <c r="D8603" s="106">
        <v>1.64</v>
      </c>
    </row>
    <row r="8604" spans="1:4">
      <c r="A8604">
        <v>39603</v>
      </c>
      <c r="B8604" t="s">
        <v>9116</v>
      </c>
      <c r="C8604" t="s">
        <v>427</v>
      </c>
      <c r="D8604" s="106">
        <v>2.81</v>
      </c>
    </row>
    <row r="8605" spans="1:4">
      <c r="A8605">
        <v>11821</v>
      </c>
      <c r="B8605" t="s">
        <v>9117</v>
      </c>
      <c r="C8605" t="s">
        <v>427</v>
      </c>
      <c r="D8605" s="106">
        <v>7.61</v>
      </c>
    </row>
    <row r="8606" spans="1:4">
      <c r="A8606">
        <v>1562</v>
      </c>
      <c r="B8606" t="s">
        <v>9118</v>
      </c>
      <c r="C8606" t="s">
        <v>427</v>
      </c>
      <c r="D8606" s="106">
        <v>12.47</v>
      </c>
    </row>
    <row r="8607" spans="1:4">
      <c r="A8607">
        <v>1563</v>
      </c>
      <c r="B8607" t="s">
        <v>9119</v>
      </c>
      <c r="C8607" t="s">
        <v>427</v>
      </c>
      <c r="D8607" s="106">
        <v>16.739999999999998</v>
      </c>
    </row>
    <row r="8608" spans="1:4">
      <c r="A8608">
        <v>11856</v>
      </c>
      <c r="B8608" t="s">
        <v>9120</v>
      </c>
      <c r="C8608" t="s">
        <v>427</v>
      </c>
      <c r="D8608" s="106">
        <v>4.99</v>
      </c>
    </row>
    <row r="8609" spans="1:4">
      <c r="A8609">
        <v>11857</v>
      </c>
      <c r="B8609" t="s">
        <v>9121</v>
      </c>
      <c r="C8609" t="s">
        <v>427</v>
      </c>
      <c r="D8609" s="106">
        <v>26.26</v>
      </c>
    </row>
    <row r="8610" spans="1:4">
      <c r="A8610">
        <v>11858</v>
      </c>
      <c r="B8610" t="s">
        <v>9122</v>
      </c>
      <c r="C8610" t="s">
        <v>427</v>
      </c>
      <c r="D8610" s="106">
        <v>32.590000000000003</v>
      </c>
    </row>
    <row r="8611" spans="1:4">
      <c r="A8611">
        <v>1539</v>
      </c>
      <c r="B8611" t="s">
        <v>9123</v>
      </c>
      <c r="C8611" t="s">
        <v>427</v>
      </c>
      <c r="D8611" s="106">
        <v>5.86</v>
      </c>
    </row>
    <row r="8612" spans="1:4">
      <c r="A8612">
        <v>11859</v>
      </c>
      <c r="B8612" t="s">
        <v>9124</v>
      </c>
      <c r="C8612" t="s">
        <v>427</v>
      </c>
      <c r="D8612" s="106">
        <v>44.34</v>
      </c>
    </row>
    <row r="8613" spans="1:4">
      <c r="A8613">
        <v>1550</v>
      </c>
      <c r="B8613" t="s">
        <v>9125</v>
      </c>
      <c r="C8613" t="s">
        <v>427</v>
      </c>
      <c r="D8613" s="106">
        <v>6.18</v>
      </c>
    </row>
    <row r="8614" spans="1:4">
      <c r="A8614">
        <v>11854</v>
      </c>
      <c r="B8614" t="s">
        <v>9126</v>
      </c>
      <c r="C8614" t="s">
        <v>427</v>
      </c>
      <c r="D8614" s="106">
        <v>7.73</v>
      </c>
    </row>
    <row r="8615" spans="1:4">
      <c r="A8615">
        <v>11862</v>
      </c>
      <c r="B8615" t="s">
        <v>9127</v>
      </c>
      <c r="C8615" t="s">
        <v>427</v>
      </c>
      <c r="D8615" s="106">
        <v>10.84</v>
      </c>
    </row>
    <row r="8616" spans="1:4">
      <c r="A8616">
        <v>11863</v>
      </c>
      <c r="B8616" t="s">
        <v>9128</v>
      </c>
      <c r="C8616" t="s">
        <v>427</v>
      </c>
      <c r="D8616" s="106">
        <v>4.38</v>
      </c>
    </row>
    <row r="8617" spans="1:4">
      <c r="A8617">
        <v>11855</v>
      </c>
      <c r="B8617" t="s">
        <v>9129</v>
      </c>
      <c r="C8617" t="s">
        <v>427</v>
      </c>
      <c r="D8617" s="106">
        <v>16.18</v>
      </c>
    </row>
    <row r="8618" spans="1:4">
      <c r="A8618">
        <v>11864</v>
      </c>
      <c r="B8618" t="s">
        <v>9130</v>
      </c>
      <c r="C8618" t="s">
        <v>427</v>
      </c>
      <c r="D8618" s="106">
        <v>24.47</v>
      </c>
    </row>
    <row r="8619" spans="1:4">
      <c r="A8619">
        <v>2527</v>
      </c>
      <c r="B8619" t="s">
        <v>9131</v>
      </c>
      <c r="C8619" t="s">
        <v>427</v>
      </c>
      <c r="D8619" s="106">
        <v>6.71</v>
      </c>
    </row>
    <row r="8620" spans="1:4">
      <c r="A8620">
        <v>2526</v>
      </c>
      <c r="B8620" t="s">
        <v>9132</v>
      </c>
      <c r="C8620" t="s">
        <v>427</v>
      </c>
      <c r="D8620" s="106">
        <v>4.3</v>
      </c>
    </row>
    <row r="8621" spans="1:4">
      <c r="A8621">
        <v>2487</v>
      </c>
      <c r="B8621" t="s">
        <v>9133</v>
      </c>
      <c r="C8621" t="s">
        <v>427</v>
      </c>
      <c r="D8621" s="106">
        <v>1.46</v>
      </c>
    </row>
    <row r="8622" spans="1:4">
      <c r="A8622">
        <v>2483</v>
      </c>
      <c r="B8622" t="s">
        <v>9134</v>
      </c>
      <c r="C8622" t="s">
        <v>427</v>
      </c>
      <c r="D8622" s="106">
        <v>3.06</v>
      </c>
    </row>
    <row r="8623" spans="1:4">
      <c r="A8623">
        <v>2528</v>
      </c>
      <c r="B8623" t="s">
        <v>9135</v>
      </c>
      <c r="C8623" t="s">
        <v>427</v>
      </c>
      <c r="D8623" s="106">
        <v>16.899999999999999</v>
      </c>
    </row>
    <row r="8624" spans="1:4">
      <c r="A8624">
        <v>2489</v>
      </c>
      <c r="B8624" t="s">
        <v>9136</v>
      </c>
      <c r="C8624" t="s">
        <v>427</v>
      </c>
      <c r="D8624" s="106">
        <v>7.44</v>
      </c>
    </row>
    <row r="8625" spans="1:4">
      <c r="A8625">
        <v>2488</v>
      </c>
      <c r="B8625" t="s">
        <v>9137</v>
      </c>
      <c r="C8625" t="s">
        <v>427</v>
      </c>
      <c r="D8625" s="106">
        <v>1.72</v>
      </c>
    </row>
    <row r="8626" spans="1:4">
      <c r="A8626">
        <v>2484</v>
      </c>
      <c r="B8626" t="s">
        <v>9138</v>
      </c>
      <c r="C8626" t="s">
        <v>427</v>
      </c>
      <c r="D8626" s="106">
        <v>24.54</v>
      </c>
    </row>
    <row r="8627" spans="1:4">
      <c r="A8627">
        <v>2485</v>
      </c>
      <c r="B8627" t="s">
        <v>9139</v>
      </c>
      <c r="C8627" t="s">
        <v>427</v>
      </c>
      <c r="D8627" s="106">
        <v>38.47</v>
      </c>
    </row>
    <row r="8628" spans="1:4">
      <c r="A8628">
        <v>38005</v>
      </c>
      <c r="B8628" t="s">
        <v>9140</v>
      </c>
      <c r="C8628" t="s">
        <v>427</v>
      </c>
      <c r="D8628" s="106">
        <v>26.88</v>
      </c>
    </row>
    <row r="8629" spans="1:4">
      <c r="A8629">
        <v>38006</v>
      </c>
      <c r="B8629" t="s">
        <v>9141</v>
      </c>
      <c r="C8629" t="s">
        <v>427</v>
      </c>
      <c r="D8629" s="106">
        <v>32.99</v>
      </c>
    </row>
    <row r="8630" spans="1:4">
      <c r="A8630">
        <v>38428</v>
      </c>
      <c r="B8630" t="s">
        <v>9142</v>
      </c>
      <c r="C8630" t="s">
        <v>427</v>
      </c>
      <c r="D8630" s="106">
        <v>30.91</v>
      </c>
    </row>
    <row r="8631" spans="1:4">
      <c r="A8631">
        <v>38007</v>
      </c>
      <c r="B8631" t="s">
        <v>9143</v>
      </c>
      <c r="C8631" t="s">
        <v>427</v>
      </c>
      <c r="D8631" s="106">
        <v>50.5</v>
      </c>
    </row>
    <row r="8632" spans="1:4">
      <c r="A8632">
        <v>38008</v>
      </c>
      <c r="B8632" t="s">
        <v>9144</v>
      </c>
      <c r="C8632" t="s">
        <v>427</v>
      </c>
      <c r="D8632" s="106">
        <v>203.38</v>
      </c>
    </row>
    <row r="8633" spans="1:4">
      <c r="A8633">
        <v>38009</v>
      </c>
      <c r="B8633" t="s">
        <v>9145</v>
      </c>
      <c r="C8633" t="s">
        <v>427</v>
      </c>
      <c r="D8633" s="106">
        <v>248.56</v>
      </c>
    </row>
    <row r="8634" spans="1:4">
      <c r="A8634">
        <v>39279</v>
      </c>
      <c r="B8634" t="s">
        <v>9146</v>
      </c>
      <c r="C8634" t="s">
        <v>427</v>
      </c>
      <c r="D8634" s="106">
        <v>15.67</v>
      </c>
    </row>
    <row r="8635" spans="1:4">
      <c r="A8635">
        <v>38845</v>
      </c>
      <c r="B8635" t="s">
        <v>9147</v>
      </c>
      <c r="C8635" t="s">
        <v>427</v>
      </c>
      <c r="D8635" s="106">
        <v>22.68</v>
      </c>
    </row>
    <row r="8636" spans="1:4">
      <c r="A8636">
        <v>39280</v>
      </c>
      <c r="B8636" t="s">
        <v>9148</v>
      </c>
      <c r="C8636" t="s">
        <v>427</v>
      </c>
      <c r="D8636" s="106">
        <v>20.32</v>
      </c>
    </row>
    <row r="8637" spans="1:4">
      <c r="A8637">
        <v>39281</v>
      </c>
      <c r="B8637" t="s">
        <v>9149</v>
      </c>
      <c r="C8637" t="s">
        <v>427</v>
      </c>
      <c r="D8637" s="106">
        <v>26.75</v>
      </c>
    </row>
    <row r="8638" spans="1:4">
      <c r="A8638">
        <v>38849</v>
      </c>
      <c r="B8638" t="s">
        <v>9150</v>
      </c>
      <c r="C8638" t="s">
        <v>427</v>
      </c>
      <c r="D8638" s="106">
        <v>22.91</v>
      </c>
    </row>
    <row r="8639" spans="1:4">
      <c r="A8639">
        <v>39282</v>
      </c>
      <c r="B8639" t="s">
        <v>9151</v>
      </c>
      <c r="C8639" t="s">
        <v>427</v>
      </c>
      <c r="D8639" s="106">
        <v>27.39</v>
      </c>
    </row>
    <row r="8640" spans="1:4">
      <c r="A8640">
        <v>38852</v>
      </c>
      <c r="B8640" t="s">
        <v>9152</v>
      </c>
      <c r="C8640" t="s">
        <v>427</v>
      </c>
      <c r="D8640" s="106">
        <v>37.26</v>
      </c>
    </row>
    <row r="8641" spans="1:4">
      <c r="A8641">
        <v>38844</v>
      </c>
      <c r="B8641" t="s">
        <v>9153</v>
      </c>
      <c r="C8641" t="s">
        <v>427</v>
      </c>
      <c r="D8641" s="106">
        <v>11.45</v>
      </c>
    </row>
    <row r="8642" spans="1:4">
      <c r="A8642">
        <v>38846</v>
      </c>
      <c r="B8642" t="s">
        <v>9154</v>
      </c>
      <c r="C8642" t="s">
        <v>427</v>
      </c>
      <c r="D8642" s="106">
        <v>12.52</v>
      </c>
    </row>
    <row r="8643" spans="1:4">
      <c r="A8643">
        <v>38847</v>
      </c>
      <c r="B8643" t="s">
        <v>9155</v>
      </c>
      <c r="C8643" t="s">
        <v>427</v>
      </c>
      <c r="D8643" s="106">
        <v>15.41</v>
      </c>
    </row>
    <row r="8644" spans="1:4">
      <c r="A8644">
        <v>38850</v>
      </c>
      <c r="B8644" t="s">
        <v>9156</v>
      </c>
      <c r="C8644" t="s">
        <v>427</v>
      </c>
      <c r="D8644" s="106">
        <v>21.42</v>
      </c>
    </row>
    <row r="8645" spans="1:4">
      <c r="A8645">
        <v>38848</v>
      </c>
      <c r="B8645" t="s">
        <v>9157</v>
      </c>
      <c r="C8645" t="s">
        <v>427</v>
      </c>
      <c r="D8645" s="106">
        <v>17.91</v>
      </c>
    </row>
    <row r="8646" spans="1:4">
      <c r="A8646">
        <v>38851</v>
      </c>
      <c r="B8646" t="s">
        <v>9158</v>
      </c>
      <c r="C8646" t="s">
        <v>427</v>
      </c>
      <c r="D8646" s="106">
        <v>32.56</v>
      </c>
    </row>
    <row r="8647" spans="1:4">
      <c r="A8647">
        <v>38860</v>
      </c>
      <c r="B8647" t="s">
        <v>9159</v>
      </c>
      <c r="C8647" t="s">
        <v>427</v>
      </c>
      <c r="D8647" s="106">
        <v>9.1999999999999993</v>
      </c>
    </row>
    <row r="8648" spans="1:4">
      <c r="A8648">
        <v>38861</v>
      </c>
      <c r="B8648" t="s">
        <v>9160</v>
      </c>
      <c r="C8648" t="s">
        <v>427</v>
      </c>
      <c r="D8648" s="106">
        <v>12.38</v>
      </c>
    </row>
    <row r="8649" spans="1:4">
      <c r="A8649">
        <v>38862</v>
      </c>
      <c r="B8649" t="s">
        <v>9161</v>
      </c>
      <c r="C8649" t="s">
        <v>427</v>
      </c>
      <c r="D8649" s="106">
        <v>10.44</v>
      </c>
    </row>
    <row r="8650" spans="1:4">
      <c r="A8650">
        <v>38863</v>
      </c>
      <c r="B8650" t="s">
        <v>9162</v>
      </c>
      <c r="C8650" t="s">
        <v>427</v>
      </c>
      <c r="D8650" s="106">
        <v>11.99</v>
      </c>
    </row>
    <row r="8651" spans="1:4">
      <c r="A8651">
        <v>38865</v>
      </c>
      <c r="B8651" t="s">
        <v>9163</v>
      </c>
      <c r="C8651" t="s">
        <v>427</v>
      </c>
      <c r="D8651" s="106">
        <v>16.29</v>
      </c>
    </row>
    <row r="8652" spans="1:4">
      <c r="A8652">
        <v>38864</v>
      </c>
      <c r="B8652" t="s">
        <v>9164</v>
      </c>
      <c r="C8652" t="s">
        <v>427</v>
      </c>
      <c r="D8652" s="106">
        <v>24.89</v>
      </c>
    </row>
    <row r="8653" spans="1:4">
      <c r="A8653">
        <v>38866</v>
      </c>
      <c r="B8653" t="s">
        <v>9165</v>
      </c>
      <c r="C8653" t="s">
        <v>427</v>
      </c>
      <c r="D8653" s="106">
        <v>17.52</v>
      </c>
    </row>
    <row r="8654" spans="1:4">
      <c r="A8654">
        <v>38868</v>
      </c>
      <c r="B8654" t="s">
        <v>9166</v>
      </c>
      <c r="C8654" t="s">
        <v>427</v>
      </c>
      <c r="D8654" s="106">
        <v>29.21</v>
      </c>
    </row>
    <row r="8655" spans="1:4">
      <c r="A8655">
        <v>38853</v>
      </c>
      <c r="B8655" t="s">
        <v>9167</v>
      </c>
      <c r="C8655" t="s">
        <v>427</v>
      </c>
      <c r="D8655" s="106">
        <v>9.44</v>
      </c>
    </row>
    <row r="8656" spans="1:4">
      <c r="A8656">
        <v>38854</v>
      </c>
      <c r="B8656" t="s">
        <v>9168</v>
      </c>
      <c r="C8656" t="s">
        <v>427</v>
      </c>
      <c r="D8656" s="106">
        <v>12.9</v>
      </c>
    </row>
    <row r="8657" spans="1:4">
      <c r="A8657">
        <v>38855</v>
      </c>
      <c r="B8657" t="s">
        <v>9169</v>
      </c>
      <c r="C8657" t="s">
        <v>427</v>
      </c>
      <c r="D8657" s="106">
        <v>9.57</v>
      </c>
    </row>
    <row r="8658" spans="1:4">
      <c r="A8658">
        <v>38856</v>
      </c>
      <c r="B8658" t="s">
        <v>9170</v>
      </c>
      <c r="C8658" t="s">
        <v>427</v>
      </c>
      <c r="D8658" s="106">
        <v>15.37</v>
      </c>
    </row>
    <row r="8659" spans="1:4">
      <c r="A8659">
        <v>38857</v>
      </c>
      <c r="B8659" t="s">
        <v>9171</v>
      </c>
      <c r="C8659" t="s">
        <v>427</v>
      </c>
      <c r="D8659" s="106">
        <v>20.329999999999998</v>
      </c>
    </row>
    <row r="8660" spans="1:4">
      <c r="A8660">
        <v>38858</v>
      </c>
      <c r="B8660" t="s">
        <v>9172</v>
      </c>
      <c r="C8660" t="s">
        <v>427</v>
      </c>
      <c r="D8660" s="106">
        <v>18.48</v>
      </c>
    </row>
    <row r="8661" spans="1:4">
      <c r="A8661">
        <v>38859</v>
      </c>
      <c r="B8661" t="s">
        <v>9173</v>
      </c>
      <c r="C8661" t="s">
        <v>427</v>
      </c>
      <c r="D8661" s="106">
        <v>29.93</v>
      </c>
    </row>
    <row r="8662" spans="1:4">
      <c r="A8662">
        <v>3104</v>
      </c>
      <c r="B8662" t="s">
        <v>13439</v>
      </c>
      <c r="C8662" t="s">
        <v>438</v>
      </c>
      <c r="D8662" s="106">
        <v>142.9</v>
      </c>
    </row>
    <row r="8663" spans="1:4">
      <c r="A8663">
        <v>1607</v>
      </c>
      <c r="B8663" t="s">
        <v>9174</v>
      </c>
      <c r="C8663" t="s">
        <v>438</v>
      </c>
      <c r="D8663" s="106">
        <v>0.25</v>
      </c>
    </row>
    <row r="8664" spans="1:4">
      <c r="A8664">
        <v>38169</v>
      </c>
      <c r="B8664" t="s">
        <v>9175</v>
      </c>
      <c r="C8664" t="s">
        <v>438</v>
      </c>
      <c r="D8664" s="106">
        <v>84.93</v>
      </c>
    </row>
    <row r="8665" spans="1:4">
      <c r="A8665">
        <v>6142</v>
      </c>
      <c r="B8665" t="s">
        <v>9176</v>
      </c>
      <c r="C8665" t="s">
        <v>427</v>
      </c>
      <c r="D8665" s="106">
        <v>9.08</v>
      </c>
    </row>
    <row r="8666" spans="1:4">
      <c r="A8666">
        <v>11686</v>
      </c>
      <c r="B8666" t="s">
        <v>9177</v>
      </c>
      <c r="C8666" t="s">
        <v>427</v>
      </c>
      <c r="D8666" s="106">
        <v>12.6</v>
      </c>
    </row>
    <row r="8667" spans="1:4">
      <c r="A8667">
        <v>37598</v>
      </c>
      <c r="B8667" t="s">
        <v>9178</v>
      </c>
      <c r="C8667" t="s">
        <v>427</v>
      </c>
      <c r="D8667" s="106">
        <v>44.96</v>
      </c>
    </row>
    <row r="8668" spans="1:4">
      <c r="A8668">
        <v>25398</v>
      </c>
      <c r="B8668" t="s">
        <v>9179</v>
      </c>
      <c r="C8668" t="s">
        <v>427</v>
      </c>
      <c r="D8668" s="107">
        <v>5328.75</v>
      </c>
    </row>
    <row r="8669" spans="1:4">
      <c r="A8669">
        <v>25399</v>
      </c>
      <c r="B8669" t="s">
        <v>9180</v>
      </c>
      <c r="C8669" t="s">
        <v>427</v>
      </c>
      <c r="D8669" s="107">
        <v>3235.02</v>
      </c>
    </row>
    <row r="8670" spans="1:4">
      <c r="A8670">
        <v>43440</v>
      </c>
      <c r="B8670" t="s">
        <v>9181</v>
      </c>
      <c r="C8670" t="s">
        <v>427</v>
      </c>
      <c r="D8670" s="106">
        <v>397.76</v>
      </c>
    </row>
    <row r="8671" spans="1:4">
      <c r="A8671">
        <v>10667</v>
      </c>
      <c r="B8671" t="s">
        <v>9182</v>
      </c>
      <c r="C8671" t="s">
        <v>427</v>
      </c>
      <c r="D8671" s="107">
        <v>15000</v>
      </c>
    </row>
    <row r="8672" spans="1:4">
      <c r="A8672">
        <v>1613</v>
      </c>
      <c r="B8672" t="s">
        <v>9183</v>
      </c>
      <c r="C8672" t="s">
        <v>427</v>
      </c>
      <c r="D8672" s="107">
        <v>1533.1</v>
      </c>
    </row>
    <row r="8673" spans="1:4">
      <c r="A8673">
        <v>1626</v>
      </c>
      <c r="B8673" t="s">
        <v>9184</v>
      </c>
      <c r="C8673" t="s">
        <v>427</v>
      </c>
      <c r="D8673" s="107">
        <v>2292.94</v>
      </c>
    </row>
    <row r="8674" spans="1:4">
      <c r="A8674">
        <v>1625</v>
      </c>
      <c r="B8674" t="s">
        <v>9185</v>
      </c>
      <c r="C8674" t="s">
        <v>427</v>
      </c>
      <c r="D8674" s="106">
        <v>160.15</v>
      </c>
    </row>
    <row r="8675" spans="1:4">
      <c r="A8675">
        <v>1622</v>
      </c>
      <c r="B8675" t="s">
        <v>9186</v>
      </c>
      <c r="C8675" t="s">
        <v>427</v>
      </c>
      <c r="D8675" s="107">
        <v>5174.2299999999996</v>
      </c>
    </row>
    <row r="8676" spans="1:4">
      <c r="A8676">
        <v>1620</v>
      </c>
      <c r="B8676" t="s">
        <v>9187</v>
      </c>
      <c r="C8676" t="s">
        <v>427</v>
      </c>
      <c r="D8676" s="106">
        <v>337.37</v>
      </c>
    </row>
    <row r="8677" spans="1:4">
      <c r="A8677">
        <v>1629</v>
      </c>
      <c r="B8677" t="s">
        <v>9188</v>
      </c>
      <c r="C8677" t="s">
        <v>427</v>
      </c>
      <c r="D8677" s="107">
        <v>12592.85</v>
      </c>
    </row>
    <row r="8678" spans="1:4">
      <c r="A8678">
        <v>1627</v>
      </c>
      <c r="B8678" t="s">
        <v>9189</v>
      </c>
      <c r="C8678" t="s">
        <v>427</v>
      </c>
      <c r="D8678" s="106">
        <v>644.87</v>
      </c>
    </row>
    <row r="8679" spans="1:4">
      <c r="A8679">
        <v>1623</v>
      </c>
      <c r="B8679" t="s">
        <v>9190</v>
      </c>
      <c r="C8679" t="s">
        <v>427</v>
      </c>
      <c r="D8679" s="106">
        <v>130.61000000000001</v>
      </c>
    </row>
    <row r="8680" spans="1:4">
      <c r="A8680">
        <v>1619</v>
      </c>
      <c r="B8680" t="s">
        <v>9191</v>
      </c>
      <c r="C8680" t="s">
        <v>427</v>
      </c>
      <c r="D8680" s="106">
        <v>179.66</v>
      </c>
    </row>
    <row r="8681" spans="1:4">
      <c r="A8681">
        <v>1630</v>
      </c>
      <c r="B8681" t="s">
        <v>9192</v>
      </c>
      <c r="C8681" t="s">
        <v>427</v>
      </c>
      <c r="D8681" s="107">
        <v>3955.81</v>
      </c>
    </row>
    <row r="8682" spans="1:4">
      <c r="A8682">
        <v>1616</v>
      </c>
      <c r="B8682" t="s">
        <v>9193</v>
      </c>
      <c r="C8682" t="s">
        <v>427</v>
      </c>
      <c r="D8682" s="107">
        <v>6084.1</v>
      </c>
    </row>
    <row r="8683" spans="1:4">
      <c r="A8683">
        <v>1614</v>
      </c>
      <c r="B8683" t="s">
        <v>9194</v>
      </c>
      <c r="C8683" t="s">
        <v>427</v>
      </c>
      <c r="D8683" s="106">
        <v>278.06</v>
      </c>
    </row>
    <row r="8684" spans="1:4">
      <c r="A8684">
        <v>1617</v>
      </c>
      <c r="B8684" t="s">
        <v>9195</v>
      </c>
      <c r="C8684" t="s">
        <v>427</v>
      </c>
      <c r="D8684" s="107">
        <v>7263.1</v>
      </c>
    </row>
    <row r="8685" spans="1:4">
      <c r="A8685">
        <v>1621</v>
      </c>
      <c r="B8685" t="s">
        <v>9196</v>
      </c>
      <c r="C8685" t="s">
        <v>427</v>
      </c>
      <c r="D8685" s="106">
        <v>497.31</v>
      </c>
    </row>
    <row r="8686" spans="1:4">
      <c r="A8686">
        <v>1624</v>
      </c>
      <c r="B8686" t="s">
        <v>9197</v>
      </c>
      <c r="C8686" t="s">
        <v>427</v>
      </c>
      <c r="D8686" s="107">
        <v>17853.060000000001</v>
      </c>
    </row>
    <row r="8687" spans="1:4">
      <c r="A8687">
        <v>1615</v>
      </c>
      <c r="B8687" t="s">
        <v>9198</v>
      </c>
      <c r="C8687" t="s">
        <v>427</v>
      </c>
      <c r="D8687" s="106">
        <v>933.87</v>
      </c>
    </row>
    <row r="8688" spans="1:4">
      <c r="A8688">
        <v>1612</v>
      </c>
      <c r="B8688" t="s">
        <v>9199</v>
      </c>
      <c r="C8688" t="s">
        <v>427</v>
      </c>
      <c r="D8688" s="106">
        <v>123</v>
      </c>
    </row>
    <row r="8689" spans="1:4">
      <c r="A8689">
        <v>1618</v>
      </c>
      <c r="B8689" t="s">
        <v>9200</v>
      </c>
      <c r="C8689" t="s">
        <v>427</v>
      </c>
      <c r="D8689" s="107">
        <v>1283.28</v>
      </c>
    </row>
    <row r="8690" spans="1:4">
      <c r="A8690">
        <v>14211</v>
      </c>
      <c r="B8690" t="s">
        <v>9201</v>
      </c>
      <c r="C8690" t="s">
        <v>427</v>
      </c>
      <c r="D8690" s="106">
        <v>51.11</v>
      </c>
    </row>
    <row r="8691" spans="1:4">
      <c r="A8691">
        <v>43657</v>
      </c>
      <c r="B8691" t="s">
        <v>9202</v>
      </c>
      <c r="C8691" t="s">
        <v>429</v>
      </c>
      <c r="D8691" s="106">
        <v>11.5</v>
      </c>
    </row>
    <row r="8692" spans="1:4">
      <c r="A8692">
        <v>34500</v>
      </c>
      <c r="B8692" t="s">
        <v>9203</v>
      </c>
      <c r="C8692" t="s">
        <v>432</v>
      </c>
      <c r="D8692" s="106">
        <v>133.6</v>
      </c>
    </row>
    <row r="8693" spans="1:4">
      <c r="A8693">
        <v>40934</v>
      </c>
      <c r="B8693" t="s">
        <v>9204</v>
      </c>
      <c r="C8693" t="s">
        <v>433</v>
      </c>
      <c r="D8693" s="107">
        <v>23603.53</v>
      </c>
    </row>
    <row r="8694" spans="1:4">
      <c r="A8694">
        <v>38200</v>
      </c>
      <c r="B8694" t="s">
        <v>9205</v>
      </c>
      <c r="C8694" t="s">
        <v>439</v>
      </c>
      <c r="D8694" s="106">
        <v>853.65</v>
      </c>
    </row>
    <row r="8695" spans="1:4">
      <c r="A8695">
        <v>39269</v>
      </c>
      <c r="B8695" t="s">
        <v>9206</v>
      </c>
      <c r="C8695" t="s">
        <v>429</v>
      </c>
      <c r="D8695" s="106">
        <v>1.49</v>
      </c>
    </row>
    <row r="8696" spans="1:4">
      <c r="A8696">
        <v>11889</v>
      </c>
      <c r="B8696" t="s">
        <v>9207</v>
      </c>
      <c r="C8696" t="s">
        <v>429</v>
      </c>
      <c r="D8696" s="106">
        <v>2.0699999999999998</v>
      </c>
    </row>
    <row r="8697" spans="1:4">
      <c r="A8697">
        <v>39270</v>
      </c>
      <c r="B8697" t="s">
        <v>9208</v>
      </c>
      <c r="C8697" t="s">
        <v>429</v>
      </c>
      <c r="D8697" s="106">
        <v>2.4700000000000002</v>
      </c>
    </row>
    <row r="8698" spans="1:4">
      <c r="A8698">
        <v>11890</v>
      </c>
      <c r="B8698" t="s">
        <v>9209</v>
      </c>
      <c r="C8698" t="s">
        <v>429</v>
      </c>
      <c r="D8698" s="106">
        <v>3.21</v>
      </c>
    </row>
    <row r="8699" spans="1:4">
      <c r="A8699">
        <v>11891</v>
      </c>
      <c r="B8699" t="s">
        <v>9210</v>
      </c>
      <c r="C8699" t="s">
        <v>429</v>
      </c>
      <c r="D8699" s="106">
        <v>5.3</v>
      </c>
    </row>
    <row r="8700" spans="1:4">
      <c r="A8700">
        <v>11892</v>
      </c>
      <c r="B8700" t="s">
        <v>9211</v>
      </c>
      <c r="C8700" t="s">
        <v>429</v>
      </c>
      <c r="D8700" s="106">
        <v>8.16</v>
      </c>
    </row>
    <row r="8701" spans="1:4">
      <c r="A8701">
        <v>37601</v>
      </c>
      <c r="B8701" t="s">
        <v>9212</v>
      </c>
      <c r="C8701" t="s">
        <v>429</v>
      </c>
      <c r="D8701" s="106">
        <v>9.99</v>
      </c>
    </row>
    <row r="8702" spans="1:4">
      <c r="A8702">
        <v>1634</v>
      </c>
      <c r="B8702" t="s">
        <v>9213</v>
      </c>
      <c r="C8702" t="s">
        <v>429</v>
      </c>
      <c r="D8702" s="106">
        <v>10.32</v>
      </c>
    </row>
    <row r="8703" spans="1:4">
      <c r="A8703">
        <v>5086</v>
      </c>
      <c r="B8703" t="s">
        <v>9214</v>
      </c>
      <c r="C8703" t="s">
        <v>430</v>
      </c>
      <c r="D8703" s="106">
        <v>35.159999999999997</v>
      </c>
    </row>
    <row r="8704" spans="1:4">
      <c r="A8704">
        <v>11280</v>
      </c>
      <c r="B8704" t="s">
        <v>9215</v>
      </c>
      <c r="C8704" t="s">
        <v>427</v>
      </c>
      <c r="D8704" s="107">
        <v>16233.28</v>
      </c>
    </row>
    <row r="8705" spans="1:4">
      <c r="A8705">
        <v>40519</v>
      </c>
      <c r="B8705" t="s">
        <v>9216</v>
      </c>
      <c r="C8705" t="s">
        <v>427</v>
      </c>
      <c r="D8705" s="107">
        <v>133821.63</v>
      </c>
    </row>
    <row r="8706" spans="1:4">
      <c r="A8706">
        <v>39869</v>
      </c>
      <c r="B8706" t="s">
        <v>9217</v>
      </c>
      <c r="C8706" t="s">
        <v>427</v>
      </c>
      <c r="D8706" s="106">
        <v>15.84</v>
      </c>
    </row>
    <row r="8707" spans="1:4">
      <c r="A8707">
        <v>39870</v>
      </c>
      <c r="B8707" t="s">
        <v>9218</v>
      </c>
      <c r="C8707" t="s">
        <v>427</v>
      </c>
      <c r="D8707" s="106">
        <v>24.22</v>
      </c>
    </row>
    <row r="8708" spans="1:4">
      <c r="A8708">
        <v>39871</v>
      </c>
      <c r="B8708" t="s">
        <v>9219</v>
      </c>
      <c r="C8708" t="s">
        <v>427</v>
      </c>
      <c r="D8708" s="106">
        <v>27.16</v>
      </c>
    </row>
    <row r="8709" spans="1:4">
      <c r="A8709">
        <v>12722</v>
      </c>
      <c r="B8709" t="s">
        <v>9220</v>
      </c>
      <c r="C8709" t="s">
        <v>427</v>
      </c>
      <c r="D8709" s="106">
        <v>908.73</v>
      </c>
    </row>
    <row r="8710" spans="1:4">
      <c r="A8710">
        <v>12714</v>
      </c>
      <c r="B8710" t="s">
        <v>9221</v>
      </c>
      <c r="C8710" t="s">
        <v>427</v>
      </c>
      <c r="D8710" s="106">
        <v>5.93</v>
      </c>
    </row>
    <row r="8711" spans="1:4">
      <c r="A8711">
        <v>12715</v>
      </c>
      <c r="B8711" t="s">
        <v>9222</v>
      </c>
      <c r="C8711" t="s">
        <v>427</v>
      </c>
      <c r="D8711" s="106">
        <v>13.39</v>
      </c>
    </row>
    <row r="8712" spans="1:4">
      <c r="A8712">
        <v>12716</v>
      </c>
      <c r="B8712" t="s">
        <v>9223</v>
      </c>
      <c r="C8712" t="s">
        <v>427</v>
      </c>
      <c r="D8712" s="106">
        <v>23</v>
      </c>
    </row>
    <row r="8713" spans="1:4">
      <c r="A8713">
        <v>12717</v>
      </c>
      <c r="B8713" t="s">
        <v>9224</v>
      </c>
      <c r="C8713" t="s">
        <v>427</v>
      </c>
      <c r="D8713" s="106">
        <v>45.21</v>
      </c>
    </row>
    <row r="8714" spans="1:4">
      <c r="A8714">
        <v>12718</v>
      </c>
      <c r="B8714" t="s">
        <v>9225</v>
      </c>
      <c r="C8714" t="s">
        <v>427</v>
      </c>
      <c r="D8714" s="106">
        <v>69.38</v>
      </c>
    </row>
    <row r="8715" spans="1:4">
      <c r="A8715">
        <v>12719</v>
      </c>
      <c r="B8715" t="s">
        <v>9226</v>
      </c>
      <c r="C8715" t="s">
        <v>427</v>
      </c>
      <c r="D8715" s="106">
        <v>110.14</v>
      </c>
    </row>
    <row r="8716" spans="1:4">
      <c r="A8716">
        <v>12720</v>
      </c>
      <c r="B8716" t="s">
        <v>9227</v>
      </c>
      <c r="C8716" t="s">
        <v>427</v>
      </c>
      <c r="D8716" s="106">
        <v>383.51</v>
      </c>
    </row>
    <row r="8717" spans="1:4">
      <c r="A8717">
        <v>12721</v>
      </c>
      <c r="B8717" t="s">
        <v>9228</v>
      </c>
      <c r="C8717" t="s">
        <v>427</v>
      </c>
      <c r="D8717" s="106">
        <v>367.76</v>
      </c>
    </row>
    <row r="8718" spans="1:4">
      <c r="A8718">
        <v>3468</v>
      </c>
      <c r="B8718" t="s">
        <v>9229</v>
      </c>
      <c r="C8718" t="s">
        <v>427</v>
      </c>
      <c r="D8718" s="106">
        <v>33.47</v>
      </c>
    </row>
    <row r="8719" spans="1:4">
      <c r="A8719">
        <v>3465</v>
      </c>
      <c r="B8719" t="s">
        <v>9230</v>
      </c>
      <c r="C8719" t="s">
        <v>427</v>
      </c>
      <c r="D8719" s="106">
        <v>33.46</v>
      </c>
    </row>
    <row r="8720" spans="1:4">
      <c r="A8720">
        <v>12403</v>
      </c>
      <c r="B8720" t="s">
        <v>9231</v>
      </c>
      <c r="C8720" t="s">
        <v>427</v>
      </c>
      <c r="D8720" s="106">
        <v>23.85</v>
      </c>
    </row>
    <row r="8721" spans="1:4">
      <c r="A8721">
        <v>3463</v>
      </c>
      <c r="B8721" t="s">
        <v>9232</v>
      </c>
      <c r="C8721" t="s">
        <v>427</v>
      </c>
      <c r="D8721" s="106">
        <v>13.93</v>
      </c>
    </row>
    <row r="8722" spans="1:4">
      <c r="A8722">
        <v>3464</v>
      </c>
      <c r="B8722" t="s">
        <v>9233</v>
      </c>
      <c r="C8722" t="s">
        <v>427</v>
      </c>
      <c r="D8722" s="106">
        <v>13.93</v>
      </c>
    </row>
    <row r="8723" spans="1:4">
      <c r="A8723">
        <v>3466</v>
      </c>
      <c r="B8723" t="s">
        <v>9234</v>
      </c>
      <c r="C8723" t="s">
        <v>427</v>
      </c>
      <c r="D8723" s="106">
        <v>84.98</v>
      </c>
    </row>
    <row r="8724" spans="1:4">
      <c r="A8724">
        <v>3467</v>
      </c>
      <c r="B8724" t="s">
        <v>9235</v>
      </c>
      <c r="C8724" t="s">
        <v>427</v>
      </c>
      <c r="D8724" s="106">
        <v>47.99</v>
      </c>
    </row>
    <row r="8725" spans="1:4">
      <c r="A8725">
        <v>3462</v>
      </c>
      <c r="B8725" t="s">
        <v>9236</v>
      </c>
      <c r="C8725" t="s">
        <v>427</v>
      </c>
      <c r="D8725" s="106">
        <v>9.19</v>
      </c>
    </row>
    <row r="8726" spans="1:4">
      <c r="A8726">
        <v>3446</v>
      </c>
      <c r="B8726" t="s">
        <v>9237</v>
      </c>
      <c r="C8726" t="s">
        <v>427</v>
      </c>
      <c r="D8726" s="106">
        <v>28.29</v>
      </c>
    </row>
    <row r="8727" spans="1:4">
      <c r="A8727">
        <v>3445</v>
      </c>
      <c r="B8727" t="s">
        <v>9238</v>
      </c>
      <c r="C8727" t="s">
        <v>427</v>
      </c>
      <c r="D8727" s="106">
        <v>23.1</v>
      </c>
    </row>
    <row r="8728" spans="1:4">
      <c r="A8728">
        <v>3441</v>
      </c>
      <c r="B8728" t="s">
        <v>9239</v>
      </c>
      <c r="C8728" t="s">
        <v>427</v>
      </c>
      <c r="D8728" s="106">
        <v>6.52</v>
      </c>
    </row>
    <row r="8729" spans="1:4">
      <c r="A8729">
        <v>3444</v>
      </c>
      <c r="B8729" t="s">
        <v>9240</v>
      </c>
      <c r="C8729" t="s">
        <v>427</v>
      </c>
      <c r="D8729" s="106">
        <v>14.22</v>
      </c>
    </row>
    <row r="8730" spans="1:4">
      <c r="A8730">
        <v>12402</v>
      </c>
      <c r="B8730" t="s">
        <v>9241</v>
      </c>
      <c r="C8730" t="s">
        <v>427</v>
      </c>
      <c r="D8730" s="106">
        <v>79.53</v>
      </c>
    </row>
    <row r="8731" spans="1:4">
      <c r="A8731">
        <v>3447</v>
      </c>
      <c r="B8731" t="s">
        <v>9242</v>
      </c>
      <c r="C8731" t="s">
        <v>427</v>
      </c>
      <c r="D8731" s="106">
        <v>41.15</v>
      </c>
    </row>
    <row r="8732" spans="1:4">
      <c r="A8732">
        <v>3442</v>
      </c>
      <c r="B8732" t="s">
        <v>9243</v>
      </c>
      <c r="C8732" t="s">
        <v>427</v>
      </c>
      <c r="D8732" s="106">
        <v>9.75</v>
      </c>
    </row>
    <row r="8733" spans="1:4">
      <c r="A8733">
        <v>3448</v>
      </c>
      <c r="B8733" t="s">
        <v>9244</v>
      </c>
      <c r="C8733" t="s">
        <v>427</v>
      </c>
      <c r="D8733" s="106">
        <v>116.28</v>
      </c>
    </row>
    <row r="8734" spans="1:4">
      <c r="A8734">
        <v>3449</v>
      </c>
      <c r="B8734" t="s">
        <v>9245</v>
      </c>
      <c r="C8734" t="s">
        <v>427</v>
      </c>
      <c r="D8734" s="106">
        <v>203.75</v>
      </c>
    </row>
    <row r="8735" spans="1:4">
      <c r="A8735">
        <v>37438</v>
      </c>
      <c r="B8735" t="s">
        <v>9246</v>
      </c>
      <c r="C8735" t="s">
        <v>427</v>
      </c>
      <c r="D8735" s="106">
        <v>255.01</v>
      </c>
    </row>
    <row r="8736" spans="1:4">
      <c r="A8736">
        <v>37439</v>
      </c>
      <c r="B8736" t="s">
        <v>9247</v>
      </c>
      <c r="C8736" t="s">
        <v>427</v>
      </c>
      <c r="D8736" s="107">
        <v>1667.24</v>
      </c>
    </row>
    <row r="8737" spans="1:4">
      <c r="A8737">
        <v>37435</v>
      </c>
      <c r="B8737" t="s">
        <v>9248</v>
      </c>
      <c r="C8737" t="s">
        <v>427</v>
      </c>
      <c r="D8737" s="106">
        <v>29.97</v>
      </c>
    </row>
    <row r="8738" spans="1:4">
      <c r="A8738">
        <v>37436</v>
      </c>
      <c r="B8738" t="s">
        <v>9249</v>
      </c>
      <c r="C8738" t="s">
        <v>427</v>
      </c>
      <c r="D8738" s="106">
        <v>35.369999999999997</v>
      </c>
    </row>
    <row r="8739" spans="1:4">
      <c r="A8739">
        <v>37437</v>
      </c>
      <c r="B8739" t="s">
        <v>9250</v>
      </c>
      <c r="C8739" t="s">
        <v>427</v>
      </c>
      <c r="D8739" s="106">
        <v>51.15</v>
      </c>
    </row>
    <row r="8740" spans="1:4">
      <c r="A8740">
        <v>3473</v>
      </c>
      <c r="B8740" t="s">
        <v>9251</v>
      </c>
      <c r="C8740" t="s">
        <v>427</v>
      </c>
      <c r="D8740" s="106">
        <v>31.99</v>
      </c>
    </row>
    <row r="8741" spans="1:4">
      <c r="A8741">
        <v>3474</v>
      </c>
      <c r="B8741" t="s">
        <v>9252</v>
      </c>
      <c r="C8741" t="s">
        <v>427</v>
      </c>
      <c r="D8741" s="106">
        <v>26.37</v>
      </c>
    </row>
    <row r="8742" spans="1:4">
      <c r="A8742">
        <v>3450</v>
      </c>
      <c r="B8742" t="s">
        <v>9253</v>
      </c>
      <c r="C8742" t="s">
        <v>427</v>
      </c>
      <c r="D8742" s="106">
        <v>7.64</v>
      </c>
    </row>
    <row r="8743" spans="1:4">
      <c r="A8743">
        <v>3443</v>
      </c>
      <c r="B8743" t="s">
        <v>9254</v>
      </c>
      <c r="C8743" t="s">
        <v>427</v>
      </c>
      <c r="D8743" s="106">
        <v>16.399999999999999</v>
      </c>
    </row>
    <row r="8744" spans="1:4">
      <c r="A8744">
        <v>3453</v>
      </c>
      <c r="B8744" t="s">
        <v>9255</v>
      </c>
      <c r="C8744" t="s">
        <v>427</v>
      </c>
      <c r="D8744" s="106">
        <v>93.38</v>
      </c>
    </row>
    <row r="8745" spans="1:4">
      <c r="A8745">
        <v>3452</v>
      </c>
      <c r="B8745" t="s">
        <v>9256</v>
      </c>
      <c r="C8745" t="s">
        <v>427</v>
      </c>
      <c r="D8745" s="106">
        <v>46.09</v>
      </c>
    </row>
    <row r="8746" spans="1:4">
      <c r="A8746">
        <v>3451</v>
      </c>
      <c r="B8746" t="s">
        <v>9257</v>
      </c>
      <c r="C8746" t="s">
        <v>427</v>
      </c>
      <c r="D8746" s="106">
        <v>9.14</v>
      </c>
    </row>
    <row r="8747" spans="1:4">
      <c r="A8747">
        <v>3454</v>
      </c>
      <c r="B8747" t="s">
        <v>9258</v>
      </c>
      <c r="C8747" t="s">
        <v>427</v>
      </c>
      <c r="D8747" s="106">
        <v>142.03</v>
      </c>
    </row>
    <row r="8748" spans="1:4">
      <c r="A8748">
        <v>3458</v>
      </c>
      <c r="B8748" t="s">
        <v>9259</v>
      </c>
      <c r="C8748" t="s">
        <v>427</v>
      </c>
      <c r="D8748" s="106">
        <v>25.64</v>
      </c>
    </row>
    <row r="8749" spans="1:4">
      <c r="A8749">
        <v>3457</v>
      </c>
      <c r="B8749" t="s">
        <v>9260</v>
      </c>
      <c r="C8749" t="s">
        <v>427</v>
      </c>
      <c r="D8749" s="106">
        <v>19.25</v>
      </c>
    </row>
    <row r="8750" spans="1:4">
      <c r="A8750">
        <v>3455</v>
      </c>
      <c r="B8750" t="s">
        <v>9261</v>
      </c>
      <c r="C8750" t="s">
        <v>427</v>
      </c>
      <c r="D8750" s="106">
        <v>5.46</v>
      </c>
    </row>
    <row r="8751" spans="1:4">
      <c r="A8751">
        <v>3472</v>
      </c>
      <c r="B8751" t="s">
        <v>9262</v>
      </c>
      <c r="C8751" t="s">
        <v>427</v>
      </c>
      <c r="D8751" s="106">
        <v>12.28</v>
      </c>
    </row>
    <row r="8752" spans="1:4">
      <c r="A8752">
        <v>3470</v>
      </c>
      <c r="B8752" t="s">
        <v>9263</v>
      </c>
      <c r="C8752" t="s">
        <v>427</v>
      </c>
      <c r="D8752" s="106">
        <v>71.599999999999994</v>
      </c>
    </row>
    <row r="8753" spans="1:4">
      <c r="A8753">
        <v>3471</v>
      </c>
      <c r="B8753" t="s">
        <v>9264</v>
      </c>
      <c r="C8753" t="s">
        <v>427</v>
      </c>
      <c r="D8753" s="106">
        <v>39.340000000000003</v>
      </c>
    </row>
    <row r="8754" spans="1:4">
      <c r="A8754">
        <v>3456</v>
      </c>
      <c r="B8754" t="s">
        <v>9265</v>
      </c>
      <c r="C8754" t="s">
        <v>427</v>
      </c>
      <c r="D8754" s="106">
        <v>8.18</v>
      </c>
    </row>
    <row r="8755" spans="1:4">
      <c r="A8755">
        <v>3459</v>
      </c>
      <c r="B8755" t="s">
        <v>9266</v>
      </c>
      <c r="C8755" t="s">
        <v>427</v>
      </c>
      <c r="D8755" s="106">
        <v>101</v>
      </c>
    </row>
    <row r="8756" spans="1:4">
      <c r="A8756">
        <v>3469</v>
      </c>
      <c r="B8756" t="s">
        <v>9267</v>
      </c>
      <c r="C8756" t="s">
        <v>427</v>
      </c>
      <c r="D8756" s="106">
        <v>192.07</v>
      </c>
    </row>
    <row r="8757" spans="1:4">
      <c r="A8757">
        <v>3460</v>
      </c>
      <c r="B8757" t="s">
        <v>9268</v>
      </c>
      <c r="C8757" t="s">
        <v>427</v>
      </c>
      <c r="D8757" s="106">
        <v>280.26</v>
      </c>
    </row>
    <row r="8758" spans="1:4">
      <c r="A8758">
        <v>3461</v>
      </c>
      <c r="B8758" t="s">
        <v>9269</v>
      </c>
      <c r="C8758" t="s">
        <v>427</v>
      </c>
      <c r="D8758" s="106">
        <v>716.32</v>
      </c>
    </row>
    <row r="8759" spans="1:4">
      <c r="A8759">
        <v>37433</v>
      </c>
      <c r="B8759" t="s">
        <v>9270</v>
      </c>
      <c r="C8759" t="s">
        <v>427</v>
      </c>
      <c r="D8759" s="106">
        <v>255.01</v>
      </c>
    </row>
    <row r="8760" spans="1:4">
      <c r="A8760">
        <v>37430</v>
      </c>
      <c r="B8760" t="s">
        <v>9271</v>
      </c>
      <c r="C8760" t="s">
        <v>427</v>
      </c>
      <c r="D8760" s="106">
        <v>31.96</v>
      </c>
    </row>
    <row r="8761" spans="1:4">
      <c r="A8761">
        <v>37434</v>
      </c>
      <c r="B8761" t="s">
        <v>9272</v>
      </c>
      <c r="C8761" t="s">
        <v>427</v>
      </c>
      <c r="D8761" s="107">
        <v>2377.71</v>
      </c>
    </row>
    <row r="8762" spans="1:4">
      <c r="A8762">
        <v>37431</v>
      </c>
      <c r="B8762" t="s">
        <v>9273</v>
      </c>
      <c r="C8762" t="s">
        <v>427</v>
      </c>
      <c r="D8762" s="106">
        <v>43.35</v>
      </c>
    </row>
    <row r="8763" spans="1:4">
      <c r="A8763">
        <v>37432</v>
      </c>
      <c r="B8763" t="s">
        <v>9274</v>
      </c>
      <c r="C8763" t="s">
        <v>427</v>
      </c>
      <c r="D8763" s="106">
        <v>79.959999999999994</v>
      </c>
    </row>
    <row r="8764" spans="1:4">
      <c r="A8764">
        <v>37413</v>
      </c>
      <c r="B8764" t="s">
        <v>9275</v>
      </c>
      <c r="C8764" t="s">
        <v>427</v>
      </c>
      <c r="D8764" s="106">
        <v>4.5599999999999996</v>
      </c>
    </row>
    <row r="8765" spans="1:4">
      <c r="A8765">
        <v>37414</v>
      </c>
      <c r="B8765" t="s">
        <v>9276</v>
      </c>
      <c r="C8765" t="s">
        <v>427</v>
      </c>
      <c r="D8765" s="106">
        <v>5.17</v>
      </c>
    </row>
    <row r="8766" spans="1:4">
      <c r="A8766">
        <v>37415</v>
      </c>
      <c r="B8766" t="s">
        <v>9277</v>
      </c>
      <c r="C8766" t="s">
        <v>427</v>
      </c>
      <c r="D8766" s="106">
        <v>9.41</v>
      </c>
    </row>
    <row r="8767" spans="1:4">
      <c r="A8767">
        <v>37416</v>
      </c>
      <c r="B8767" t="s">
        <v>9278</v>
      </c>
      <c r="C8767" t="s">
        <v>427</v>
      </c>
      <c r="D8767" s="106">
        <v>4.26</v>
      </c>
    </row>
    <row r="8768" spans="1:4">
      <c r="A8768">
        <v>37417</v>
      </c>
      <c r="B8768" t="s">
        <v>9279</v>
      </c>
      <c r="C8768" t="s">
        <v>427</v>
      </c>
      <c r="D8768" s="106">
        <v>6.13</v>
      </c>
    </row>
    <row r="8769" spans="1:4">
      <c r="A8769">
        <v>43590</v>
      </c>
      <c r="B8769" t="s">
        <v>9280</v>
      </c>
      <c r="C8769" t="s">
        <v>427</v>
      </c>
      <c r="D8769" s="106">
        <v>163.46</v>
      </c>
    </row>
    <row r="8770" spans="1:4">
      <c r="A8770">
        <v>43589</v>
      </c>
      <c r="B8770" t="s">
        <v>9281</v>
      </c>
      <c r="C8770" t="s">
        <v>427</v>
      </c>
      <c r="D8770" s="106">
        <v>29.57</v>
      </c>
    </row>
    <row r="8771" spans="1:4">
      <c r="A8771">
        <v>34519</v>
      </c>
      <c r="B8771" t="s">
        <v>9282</v>
      </c>
      <c r="C8771" t="s">
        <v>427</v>
      </c>
      <c r="D8771" s="106">
        <v>80.010000000000005</v>
      </c>
    </row>
    <row r="8772" spans="1:4">
      <c r="A8772">
        <v>1649</v>
      </c>
      <c r="B8772" t="s">
        <v>9283</v>
      </c>
      <c r="C8772" t="s">
        <v>427</v>
      </c>
      <c r="D8772" s="106">
        <v>60.47</v>
      </c>
    </row>
    <row r="8773" spans="1:4">
      <c r="A8773">
        <v>1653</v>
      </c>
      <c r="B8773" t="s">
        <v>9284</v>
      </c>
      <c r="C8773" t="s">
        <v>427</v>
      </c>
      <c r="D8773" s="106">
        <v>47.37</v>
      </c>
    </row>
    <row r="8774" spans="1:4">
      <c r="A8774">
        <v>1647</v>
      </c>
      <c r="B8774" t="s">
        <v>9285</v>
      </c>
      <c r="C8774" t="s">
        <v>427</v>
      </c>
      <c r="D8774" s="106">
        <v>16.96</v>
      </c>
    </row>
    <row r="8775" spans="1:4">
      <c r="A8775">
        <v>1648</v>
      </c>
      <c r="B8775" t="s">
        <v>9286</v>
      </c>
      <c r="C8775" t="s">
        <v>427</v>
      </c>
      <c r="D8775" s="106">
        <v>32.57</v>
      </c>
    </row>
    <row r="8776" spans="1:4">
      <c r="A8776">
        <v>1651</v>
      </c>
      <c r="B8776" t="s">
        <v>9287</v>
      </c>
      <c r="C8776" t="s">
        <v>427</v>
      </c>
      <c r="D8776" s="106">
        <v>151.09</v>
      </c>
    </row>
    <row r="8777" spans="1:4">
      <c r="A8777">
        <v>1650</v>
      </c>
      <c r="B8777" t="s">
        <v>9288</v>
      </c>
      <c r="C8777" t="s">
        <v>427</v>
      </c>
      <c r="D8777" s="106">
        <v>83.51</v>
      </c>
    </row>
    <row r="8778" spans="1:4">
      <c r="A8778">
        <v>1654</v>
      </c>
      <c r="B8778" t="s">
        <v>9289</v>
      </c>
      <c r="C8778" t="s">
        <v>427</v>
      </c>
      <c r="D8778" s="106">
        <v>23.28</v>
      </c>
    </row>
    <row r="8779" spans="1:4">
      <c r="A8779">
        <v>1652</v>
      </c>
      <c r="B8779" t="s">
        <v>9290</v>
      </c>
      <c r="C8779" t="s">
        <v>427</v>
      </c>
      <c r="D8779" s="106">
        <v>216.85</v>
      </c>
    </row>
    <row r="8780" spans="1:4">
      <c r="A8780">
        <v>10510</v>
      </c>
      <c r="B8780" t="s">
        <v>9291</v>
      </c>
      <c r="C8780" t="s">
        <v>427</v>
      </c>
      <c r="D8780" s="106">
        <v>155.52000000000001</v>
      </c>
    </row>
    <row r="8781" spans="1:4">
      <c r="A8781">
        <v>1747</v>
      </c>
      <c r="B8781" t="s">
        <v>9292</v>
      </c>
      <c r="C8781" t="s">
        <v>427</v>
      </c>
      <c r="D8781" s="106">
        <v>228.13</v>
      </c>
    </row>
    <row r="8782" spans="1:4">
      <c r="A8782">
        <v>1744</v>
      </c>
      <c r="B8782" t="s">
        <v>9293</v>
      </c>
      <c r="C8782" t="s">
        <v>427</v>
      </c>
      <c r="D8782" s="106">
        <v>158.02000000000001</v>
      </c>
    </row>
    <row r="8783" spans="1:4">
      <c r="A8783">
        <v>1743</v>
      </c>
      <c r="B8783" t="s">
        <v>9294</v>
      </c>
      <c r="C8783" t="s">
        <v>427</v>
      </c>
      <c r="D8783" s="106">
        <v>207.51</v>
      </c>
    </row>
    <row r="8784" spans="1:4">
      <c r="A8784">
        <v>39640</v>
      </c>
      <c r="B8784" t="s">
        <v>9295</v>
      </c>
      <c r="C8784" t="s">
        <v>427</v>
      </c>
      <c r="D8784" s="106">
        <v>13.6</v>
      </c>
    </row>
    <row r="8785" spans="1:4">
      <c r="A8785">
        <v>7216</v>
      </c>
      <c r="B8785" t="s">
        <v>9296</v>
      </c>
      <c r="C8785" t="s">
        <v>427</v>
      </c>
      <c r="D8785" s="106">
        <v>73.069999999999993</v>
      </c>
    </row>
    <row r="8786" spans="1:4">
      <c r="A8786">
        <v>20235</v>
      </c>
      <c r="B8786" t="s">
        <v>9297</v>
      </c>
      <c r="C8786" t="s">
        <v>427</v>
      </c>
      <c r="D8786" s="106">
        <v>58.74</v>
      </c>
    </row>
    <row r="8787" spans="1:4">
      <c r="A8787">
        <v>7181</v>
      </c>
      <c r="B8787" t="s">
        <v>9298</v>
      </c>
      <c r="C8787" t="s">
        <v>427</v>
      </c>
      <c r="D8787" s="106">
        <v>4.63</v>
      </c>
    </row>
    <row r="8788" spans="1:4">
      <c r="A8788">
        <v>40742</v>
      </c>
      <c r="B8788" t="s">
        <v>9299</v>
      </c>
      <c r="C8788" t="s">
        <v>427</v>
      </c>
      <c r="D8788" s="106">
        <v>10.1</v>
      </c>
    </row>
    <row r="8789" spans="1:4">
      <c r="A8789">
        <v>7214</v>
      </c>
      <c r="B8789" t="s">
        <v>9300</v>
      </c>
      <c r="C8789" t="s">
        <v>427</v>
      </c>
      <c r="D8789" s="106">
        <v>71.349999999999994</v>
      </c>
    </row>
    <row r="8790" spans="1:4">
      <c r="A8790">
        <v>7219</v>
      </c>
      <c r="B8790" t="s">
        <v>9301</v>
      </c>
      <c r="C8790" t="s">
        <v>427</v>
      </c>
      <c r="D8790" s="106">
        <v>63.29</v>
      </c>
    </row>
    <row r="8791" spans="1:4">
      <c r="A8791">
        <v>37972</v>
      </c>
      <c r="B8791" t="s">
        <v>9302</v>
      </c>
      <c r="C8791" t="s">
        <v>427</v>
      </c>
      <c r="D8791" s="106">
        <v>9.6300000000000008</v>
      </c>
    </row>
    <row r="8792" spans="1:4">
      <c r="A8792">
        <v>37973</v>
      </c>
      <c r="B8792" t="s">
        <v>9303</v>
      </c>
      <c r="C8792" t="s">
        <v>427</v>
      </c>
      <c r="D8792" s="106">
        <v>15.42</v>
      </c>
    </row>
    <row r="8793" spans="1:4">
      <c r="A8793">
        <v>37971</v>
      </c>
      <c r="B8793" t="s">
        <v>9304</v>
      </c>
      <c r="C8793" t="s">
        <v>427</v>
      </c>
      <c r="D8793" s="106">
        <v>5.78</v>
      </c>
    </row>
    <row r="8794" spans="1:4">
      <c r="A8794">
        <v>20094</v>
      </c>
      <c r="B8794" t="s">
        <v>9305</v>
      </c>
      <c r="C8794" t="s">
        <v>427</v>
      </c>
      <c r="D8794" s="106">
        <v>31.61</v>
      </c>
    </row>
    <row r="8795" spans="1:4">
      <c r="A8795">
        <v>20095</v>
      </c>
      <c r="B8795" t="s">
        <v>9306</v>
      </c>
      <c r="C8795" t="s">
        <v>427</v>
      </c>
      <c r="D8795" s="106">
        <v>40.25</v>
      </c>
    </row>
    <row r="8796" spans="1:4">
      <c r="A8796">
        <v>1954</v>
      </c>
      <c r="B8796" t="s">
        <v>9307</v>
      </c>
      <c r="C8796" t="s">
        <v>427</v>
      </c>
      <c r="D8796" s="106">
        <v>146.52000000000001</v>
      </c>
    </row>
    <row r="8797" spans="1:4">
      <c r="A8797">
        <v>1926</v>
      </c>
      <c r="B8797" t="s">
        <v>9308</v>
      </c>
      <c r="C8797" t="s">
        <v>427</v>
      </c>
      <c r="D8797" s="106">
        <v>1.93</v>
      </c>
    </row>
    <row r="8798" spans="1:4">
      <c r="A8798">
        <v>1927</v>
      </c>
      <c r="B8798" t="s">
        <v>9309</v>
      </c>
      <c r="C8798" t="s">
        <v>427</v>
      </c>
      <c r="D8798" s="106">
        <v>2.5499999999999998</v>
      </c>
    </row>
    <row r="8799" spans="1:4">
      <c r="A8799">
        <v>1923</v>
      </c>
      <c r="B8799" t="s">
        <v>9310</v>
      </c>
      <c r="C8799" t="s">
        <v>427</v>
      </c>
      <c r="D8799" s="106">
        <v>4.18</v>
      </c>
    </row>
    <row r="8800" spans="1:4">
      <c r="A8800">
        <v>1929</v>
      </c>
      <c r="B8800" t="s">
        <v>9311</v>
      </c>
      <c r="C8800" t="s">
        <v>427</v>
      </c>
      <c r="D8800" s="106">
        <v>6.84</v>
      </c>
    </row>
    <row r="8801" spans="1:4">
      <c r="A8801">
        <v>1930</v>
      </c>
      <c r="B8801" t="s">
        <v>9312</v>
      </c>
      <c r="C8801" t="s">
        <v>427</v>
      </c>
      <c r="D8801" s="106">
        <v>13.27</v>
      </c>
    </row>
    <row r="8802" spans="1:4">
      <c r="A8802">
        <v>1924</v>
      </c>
      <c r="B8802" t="s">
        <v>9313</v>
      </c>
      <c r="C8802" t="s">
        <v>427</v>
      </c>
      <c r="D8802" s="106">
        <v>22.87</v>
      </c>
    </row>
    <row r="8803" spans="1:4">
      <c r="A8803">
        <v>1922</v>
      </c>
      <c r="B8803" t="s">
        <v>9314</v>
      </c>
      <c r="C8803" t="s">
        <v>427</v>
      </c>
      <c r="D8803" s="106">
        <v>33.97</v>
      </c>
    </row>
    <row r="8804" spans="1:4">
      <c r="A8804">
        <v>1953</v>
      </c>
      <c r="B8804" t="s">
        <v>9315</v>
      </c>
      <c r="C8804" t="s">
        <v>427</v>
      </c>
      <c r="D8804" s="106">
        <v>59.36</v>
      </c>
    </row>
    <row r="8805" spans="1:4">
      <c r="A8805">
        <v>1962</v>
      </c>
      <c r="B8805" t="s">
        <v>9316</v>
      </c>
      <c r="C8805" t="s">
        <v>427</v>
      </c>
      <c r="D8805" s="106">
        <v>194.23</v>
      </c>
    </row>
    <row r="8806" spans="1:4">
      <c r="A8806">
        <v>1955</v>
      </c>
      <c r="B8806" t="s">
        <v>9317</v>
      </c>
      <c r="C8806" t="s">
        <v>427</v>
      </c>
      <c r="D8806" s="106">
        <v>2.56</v>
      </c>
    </row>
    <row r="8807" spans="1:4">
      <c r="A8807">
        <v>1956</v>
      </c>
      <c r="B8807" t="s">
        <v>9318</v>
      </c>
      <c r="C8807" t="s">
        <v>427</v>
      </c>
      <c r="D8807" s="106">
        <v>3.31</v>
      </c>
    </row>
    <row r="8808" spans="1:4">
      <c r="A8808">
        <v>1957</v>
      </c>
      <c r="B8808" t="s">
        <v>9319</v>
      </c>
      <c r="C8808" t="s">
        <v>427</v>
      </c>
      <c r="D8808" s="106">
        <v>7.53</v>
      </c>
    </row>
    <row r="8809" spans="1:4">
      <c r="A8809">
        <v>1958</v>
      </c>
      <c r="B8809" t="s">
        <v>9320</v>
      </c>
      <c r="C8809" t="s">
        <v>427</v>
      </c>
      <c r="D8809" s="106">
        <v>13.36</v>
      </c>
    </row>
    <row r="8810" spans="1:4">
      <c r="A8810">
        <v>1959</v>
      </c>
      <c r="B8810" t="s">
        <v>9321</v>
      </c>
      <c r="C8810" t="s">
        <v>427</v>
      </c>
      <c r="D8810" s="106">
        <v>16.29</v>
      </c>
    </row>
    <row r="8811" spans="1:4">
      <c r="A8811">
        <v>1925</v>
      </c>
      <c r="B8811" t="s">
        <v>9322</v>
      </c>
      <c r="C8811" t="s">
        <v>427</v>
      </c>
      <c r="D8811" s="106">
        <v>40.270000000000003</v>
      </c>
    </row>
    <row r="8812" spans="1:4">
      <c r="A8812">
        <v>1960</v>
      </c>
      <c r="B8812" t="s">
        <v>9323</v>
      </c>
      <c r="C8812" t="s">
        <v>427</v>
      </c>
      <c r="D8812" s="106">
        <v>57.26</v>
      </c>
    </row>
    <row r="8813" spans="1:4">
      <c r="A8813">
        <v>1961</v>
      </c>
      <c r="B8813" t="s">
        <v>9324</v>
      </c>
      <c r="C8813" t="s">
        <v>427</v>
      </c>
      <c r="D8813" s="106">
        <v>82.27</v>
      </c>
    </row>
    <row r="8814" spans="1:4">
      <c r="A8814">
        <v>38426</v>
      </c>
      <c r="B8814" t="s">
        <v>9325</v>
      </c>
      <c r="C8814" t="s">
        <v>427</v>
      </c>
      <c r="D8814" s="106">
        <v>31.45</v>
      </c>
    </row>
    <row r="8815" spans="1:4">
      <c r="A8815">
        <v>38423</v>
      </c>
      <c r="B8815" t="s">
        <v>9326</v>
      </c>
      <c r="C8815" t="s">
        <v>427</v>
      </c>
      <c r="D8815" s="106">
        <v>71.33</v>
      </c>
    </row>
    <row r="8816" spans="1:4">
      <c r="A8816">
        <v>38421</v>
      </c>
      <c r="B8816" t="s">
        <v>9327</v>
      </c>
      <c r="C8816" t="s">
        <v>427</v>
      </c>
      <c r="D8816" s="106">
        <v>33.67</v>
      </c>
    </row>
    <row r="8817" spans="1:4">
      <c r="A8817">
        <v>38422</v>
      </c>
      <c r="B8817" t="s">
        <v>9328</v>
      </c>
      <c r="C8817" t="s">
        <v>427</v>
      </c>
      <c r="D8817" s="106">
        <v>49.22</v>
      </c>
    </row>
    <row r="8818" spans="1:4">
      <c r="A8818">
        <v>39866</v>
      </c>
      <c r="B8818" t="s">
        <v>9329</v>
      </c>
      <c r="C8818" t="s">
        <v>427</v>
      </c>
      <c r="D8818" s="106">
        <v>20.98</v>
      </c>
    </row>
    <row r="8819" spans="1:4">
      <c r="A8819">
        <v>39867</v>
      </c>
      <c r="B8819" t="s">
        <v>9330</v>
      </c>
      <c r="C8819" t="s">
        <v>427</v>
      </c>
      <c r="D8819" s="106">
        <v>46.64</v>
      </c>
    </row>
    <row r="8820" spans="1:4">
      <c r="A8820">
        <v>39868</v>
      </c>
      <c r="B8820" t="s">
        <v>9331</v>
      </c>
      <c r="C8820" t="s">
        <v>427</v>
      </c>
      <c r="D8820" s="106">
        <v>84.02</v>
      </c>
    </row>
    <row r="8821" spans="1:4">
      <c r="A8821">
        <v>37999</v>
      </c>
      <c r="B8821" t="s">
        <v>9332</v>
      </c>
      <c r="C8821" t="s">
        <v>427</v>
      </c>
      <c r="D8821" s="106">
        <v>9.23</v>
      </c>
    </row>
    <row r="8822" spans="1:4">
      <c r="A8822">
        <v>38000</v>
      </c>
      <c r="B8822" t="s">
        <v>9333</v>
      </c>
      <c r="C8822" t="s">
        <v>427</v>
      </c>
      <c r="D8822" s="106">
        <v>12.22</v>
      </c>
    </row>
    <row r="8823" spans="1:4">
      <c r="A8823">
        <v>38129</v>
      </c>
      <c r="B8823" t="s">
        <v>9334</v>
      </c>
      <c r="C8823" t="s">
        <v>427</v>
      </c>
      <c r="D8823" s="106">
        <v>4.45</v>
      </c>
    </row>
    <row r="8824" spans="1:4">
      <c r="A8824">
        <v>38025</v>
      </c>
      <c r="B8824" t="s">
        <v>9335</v>
      </c>
      <c r="C8824" t="s">
        <v>427</v>
      </c>
      <c r="D8824" s="106">
        <v>7.43</v>
      </c>
    </row>
    <row r="8825" spans="1:4">
      <c r="A8825">
        <v>38026</v>
      </c>
      <c r="B8825" t="s">
        <v>9336</v>
      </c>
      <c r="C8825" t="s">
        <v>427</v>
      </c>
      <c r="D8825" s="106">
        <v>19.91</v>
      </c>
    </row>
    <row r="8826" spans="1:4">
      <c r="A8826">
        <v>1858</v>
      </c>
      <c r="B8826" t="s">
        <v>9337</v>
      </c>
      <c r="C8826" t="s">
        <v>427</v>
      </c>
      <c r="D8826" s="106">
        <v>44.26</v>
      </c>
    </row>
    <row r="8827" spans="1:4">
      <c r="A8827">
        <v>1844</v>
      </c>
      <c r="B8827" t="s">
        <v>9338</v>
      </c>
      <c r="C8827" t="s">
        <v>427</v>
      </c>
      <c r="D8827" s="106">
        <v>163.18</v>
      </c>
    </row>
    <row r="8828" spans="1:4">
      <c r="A8828">
        <v>1863</v>
      </c>
      <c r="B8828" t="s">
        <v>9339</v>
      </c>
      <c r="C8828" t="s">
        <v>427</v>
      </c>
      <c r="D8828" s="106">
        <v>64.23</v>
      </c>
    </row>
    <row r="8829" spans="1:4">
      <c r="A8829">
        <v>1865</v>
      </c>
      <c r="B8829" t="s">
        <v>9340</v>
      </c>
      <c r="C8829" t="s">
        <v>427</v>
      </c>
      <c r="D8829" s="106">
        <v>234.32</v>
      </c>
    </row>
    <row r="8830" spans="1:4">
      <c r="A8830">
        <v>36355</v>
      </c>
      <c r="B8830" t="s">
        <v>9341</v>
      </c>
      <c r="C8830" t="s">
        <v>427</v>
      </c>
      <c r="D8830" s="106">
        <v>8.14</v>
      </c>
    </row>
    <row r="8831" spans="1:4">
      <c r="A8831">
        <v>36356</v>
      </c>
      <c r="B8831" t="s">
        <v>9342</v>
      </c>
      <c r="C8831" t="s">
        <v>427</v>
      </c>
      <c r="D8831" s="106">
        <v>13.68</v>
      </c>
    </row>
    <row r="8832" spans="1:4">
      <c r="A8832">
        <v>1932</v>
      </c>
      <c r="B8832" t="s">
        <v>9343</v>
      </c>
      <c r="C8832" t="s">
        <v>427</v>
      </c>
      <c r="D8832" s="106">
        <v>12.15</v>
      </c>
    </row>
    <row r="8833" spans="1:4">
      <c r="A8833">
        <v>1933</v>
      </c>
      <c r="B8833" t="s">
        <v>9344</v>
      </c>
      <c r="C8833" t="s">
        <v>427</v>
      </c>
      <c r="D8833" s="106">
        <v>5.35</v>
      </c>
    </row>
    <row r="8834" spans="1:4">
      <c r="A8834">
        <v>1951</v>
      </c>
      <c r="B8834" t="s">
        <v>9345</v>
      </c>
      <c r="C8834" t="s">
        <v>427</v>
      </c>
      <c r="D8834" s="106">
        <v>23.77</v>
      </c>
    </row>
    <row r="8835" spans="1:4">
      <c r="A8835">
        <v>1966</v>
      </c>
      <c r="B8835" t="s">
        <v>9346</v>
      </c>
      <c r="C8835" t="s">
        <v>427</v>
      </c>
      <c r="D8835" s="106">
        <v>27.35</v>
      </c>
    </row>
    <row r="8836" spans="1:4">
      <c r="A8836">
        <v>1952</v>
      </c>
      <c r="B8836" t="s">
        <v>9347</v>
      </c>
      <c r="C8836" t="s">
        <v>427</v>
      </c>
      <c r="D8836" s="106">
        <v>102.7</v>
      </c>
    </row>
    <row r="8837" spans="1:4">
      <c r="A8837">
        <v>20104</v>
      </c>
      <c r="B8837" t="s">
        <v>9348</v>
      </c>
      <c r="C8837" t="s">
        <v>427</v>
      </c>
      <c r="D8837" s="106">
        <v>758.86</v>
      </c>
    </row>
    <row r="8838" spans="1:4">
      <c r="A8838">
        <v>20105</v>
      </c>
      <c r="B8838" t="s">
        <v>9349</v>
      </c>
      <c r="C8838" t="s">
        <v>427</v>
      </c>
      <c r="D8838" s="107">
        <v>1181.99</v>
      </c>
    </row>
    <row r="8839" spans="1:4">
      <c r="A8839">
        <v>1965</v>
      </c>
      <c r="B8839" t="s">
        <v>9350</v>
      </c>
      <c r="C8839" t="s">
        <v>427</v>
      </c>
      <c r="D8839" s="106">
        <v>55.44</v>
      </c>
    </row>
    <row r="8840" spans="1:4">
      <c r="A8840">
        <v>10765</v>
      </c>
      <c r="B8840" t="s">
        <v>9351</v>
      </c>
      <c r="C8840" t="s">
        <v>427</v>
      </c>
      <c r="D8840" s="106">
        <v>14.01</v>
      </c>
    </row>
    <row r="8841" spans="1:4">
      <c r="A8841">
        <v>10767</v>
      </c>
      <c r="B8841" t="s">
        <v>9352</v>
      </c>
      <c r="C8841" t="s">
        <v>427</v>
      </c>
      <c r="D8841" s="106">
        <v>45.92</v>
      </c>
    </row>
    <row r="8842" spans="1:4">
      <c r="A8842">
        <v>1970</v>
      </c>
      <c r="B8842" t="s">
        <v>9353</v>
      </c>
      <c r="C8842" t="s">
        <v>427</v>
      </c>
      <c r="D8842" s="106">
        <v>57.54</v>
      </c>
    </row>
    <row r="8843" spans="1:4">
      <c r="A8843">
        <v>1967</v>
      </c>
      <c r="B8843" t="s">
        <v>9354</v>
      </c>
      <c r="C8843" t="s">
        <v>427</v>
      </c>
      <c r="D8843" s="106">
        <v>6.4</v>
      </c>
    </row>
    <row r="8844" spans="1:4">
      <c r="A8844">
        <v>1968</v>
      </c>
      <c r="B8844" t="s">
        <v>9355</v>
      </c>
      <c r="C8844" t="s">
        <v>427</v>
      </c>
      <c r="D8844" s="106">
        <v>13.41</v>
      </c>
    </row>
    <row r="8845" spans="1:4">
      <c r="A8845">
        <v>1969</v>
      </c>
      <c r="B8845" t="s">
        <v>9356</v>
      </c>
      <c r="C8845" t="s">
        <v>427</v>
      </c>
      <c r="D8845" s="106">
        <v>39.47</v>
      </c>
    </row>
    <row r="8846" spans="1:4">
      <c r="A8846">
        <v>1839</v>
      </c>
      <c r="B8846" t="s">
        <v>9357</v>
      </c>
      <c r="C8846" t="s">
        <v>427</v>
      </c>
      <c r="D8846" s="106">
        <v>172.55</v>
      </c>
    </row>
    <row r="8847" spans="1:4">
      <c r="A8847">
        <v>1835</v>
      </c>
      <c r="B8847" t="s">
        <v>9358</v>
      </c>
      <c r="C8847" t="s">
        <v>427</v>
      </c>
      <c r="D8847" s="106">
        <v>36.68</v>
      </c>
    </row>
    <row r="8848" spans="1:4">
      <c r="A8848">
        <v>1823</v>
      </c>
      <c r="B8848" t="s">
        <v>9359</v>
      </c>
      <c r="C8848" t="s">
        <v>427</v>
      </c>
      <c r="D8848" s="106">
        <v>70.930000000000007</v>
      </c>
    </row>
    <row r="8849" spans="1:4">
      <c r="A8849">
        <v>1827</v>
      </c>
      <c r="B8849" t="s">
        <v>9360</v>
      </c>
      <c r="C8849" t="s">
        <v>427</v>
      </c>
      <c r="D8849" s="106">
        <v>170.87</v>
      </c>
    </row>
    <row r="8850" spans="1:4">
      <c r="A8850">
        <v>1831</v>
      </c>
      <c r="B8850" t="s">
        <v>9361</v>
      </c>
      <c r="C8850" t="s">
        <v>427</v>
      </c>
      <c r="D8850" s="106">
        <v>37.299999999999997</v>
      </c>
    </row>
    <row r="8851" spans="1:4">
      <c r="A8851">
        <v>1825</v>
      </c>
      <c r="B8851" t="s">
        <v>9362</v>
      </c>
      <c r="C8851" t="s">
        <v>427</v>
      </c>
      <c r="D8851" s="106">
        <v>92.06</v>
      </c>
    </row>
    <row r="8852" spans="1:4">
      <c r="A8852">
        <v>1828</v>
      </c>
      <c r="B8852" t="s">
        <v>9363</v>
      </c>
      <c r="C8852" t="s">
        <v>427</v>
      </c>
      <c r="D8852" s="106">
        <v>208.52</v>
      </c>
    </row>
    <row r="8853" spans="1:4">
      <c r="A8853">
        <v>1845</v>
      </c>
      <c r="B8853" t="s">
        <v>9364</v>
      </c>
      <c r="C8853" t="s">
        <v>427</v>
      </c>
      <c r="D8853" s="106">
        <v>46.75</v>
      </c>
    </row>
    <row r="8854" spans="1:4">
      <c r="A8854">
        <v>1824</v>
      </c>
      <c r="B8854" t="s">
        <v>9365</v>
      </c>
      <c r="C8854" t="s">
        <v>427</v>
      </c>
      <c r="D8854" s="106">
        <v>110.36</v>
      </c>
    </row>
    <row r="8855" spans="1:4">
      <c r="A8855">
        <v>1941</v>
      </c>
      <c r="B8855" t="s">
        <v>9366</v>
      </c>
      <c r="C8855" t="s">
        <v>427</v>
      </c>
      <c r="D8855" s="106">
        <v>28.7</v>
      </c>
    </row>
    <row r="8856" spans="1:4">
      <c r="A8856">
        <v>1940</v>
      </c>
      <c r="B8856" t="s">
        <v>9367</v>
      </c>
      <c r="C8856" t="s">
        <v>427</v>
      </c>
      <c r="D8856" s="106">
        <v>21.69</v>
      </c>
    </row>
    <row r="8857" spans="1:4">
      <c r="A8857">
        <v>1937</v>
      </c>
      <c r="B8857" t="s">
        <v>9368</v>
      </c>
      <c r="C8857" t="s">
        <v>427</v>
      </c>
      <c r="D8857" s="106">
        <v>4.5</v>
      </c>
    </row>
    <row r="8858" spans="1:4">
      <c r="A8858">
        <v>1939</v>
      </c>
      <c r="B8858" t="s">
        <v>9369</v>
      </c>
      <c r="C8858" t="s">
        <v>427</v>
      </c>
      <c r="D8858" s="106">
        <v>8.92</v>
      </c>
    </row>
    <row r="8859" spans="1:4">
      <c r="A8859">
        <v>1942</v>
      </c>
      <c r="B8859" t="s">
        <v>9370</v>
      </c>
      <c r="C8859" t="s">
        <v>427</v>
      </c>
      <c r="D8859" s="106">
        <v>40.96</v>
      </c>
    </row>
    <row r="8860" spans="1:4">
      <c r="A8860">
        <v>1938</v>
      </c>
      <c r="B8860" t="s">
        <v>9371</v>
      </c>
      <c r="C8860" t="s">
        <v>427</v>
      </c>
      <c r="D8860" s="106">
        <v>5.7</v>
      </c>
    </row>
    <row r="8861" spans="1:4">
      <c r="A8861">
        <v>42692</v>
      </c>
      <c r="B8861" t="s">
        <v>9372</v>
      </c>
      <c r="C8861" t="s">
        <v>427</v>
      </c>
      <c r="D8861" s="106">
        <v>519.88</v>
      </c>
    </row>
    <row r="8862" spans="1:4">
      <c r="A8862">
        <v>42693</v>
      </c>
      <c r="B8862" t="s">
        <v>9373</v>
      </c>
      <c r="C8862" t="s">
        <v>427</v>
      </c>
      <c r="D8862" s="106">
        <v>855.17</v>
      </c>
    </row>
    <row r="8863" spans="1:4">
      <c r="A8863">
        <v>42695</v>
      </c>
      <c r="B8863" t="s">
        <v>9374</v>
      </c>
      <c r="C8863" t="s">
        <v>427</v>
      </c>
      <c r="D8863" s="106">
        <v>650.23</v>
      </c>
    </row>
    <row r="8864" spans="1:4">
      <c r="A8864">
        <v>42694</v>
      </c>
      <c r="B8864" t="s">
        <v>9375</v>
      </c>
      <c r="C8864" t="s">
        <v>427</v>
      </c>
      <c r="D8864" s="106">
        <v>961.28</v>
      </c>
    </row>
    <row r="8865" spans="1:4">
      <c r="A8865">
        <v>20097</v>
      </c>
      <c r="B8865" t="s">
        <v>9376</v>
      </c>
      <c r="C8865" t="s">
        <v>427</v>
      </c>
      <c r="D8865" s="106">
        <v>54.36</v>
      </c>
    </row>
    <row r="8866" spans="1:4">
      <c r="A8866">
        <v>20098</v>
      </c>
      <c r="B8866" t="s">
        <v>9377</v>
      </c>
      <c r="C8866" t="s">
        <v>427</v>
      </c>
      <c r="D8866" s="106">
        <v>183.3</v>
      </c>
    </row>
    <row r="8867" spans="1:4">
      <c r="A8867">
        <v>20096</v>
      </c>
      <c r="B8867" t="s">
        <v>9378</v>
      </c>
      <c r="C8867" t="s">
        <v>427</v>
      </c>
      <c r="D8867" s="106">
        <v>35.57</v>
      </c>
    </row>
    <row r="8868" spans="1:4">
      <c r="A8868">
        <v>1964</v>
      </c>
      <c r="B8868" t="s">
        <v>9379</v>
      </c>
      <c r="C8868" t="s">
        <v>427</v>
      </c>
      <c r="D8868" s="106">
        <v>32.880000000000003</v>
      </c>
    </row>
    <row r="8869" spans="1:4">
      <c r="A8869">
        <v>1880</v>
      </c>
      <c r="B8869" t="s">
        <v>9380</v>
      </c>
      <c r="C8869" t="s">
        <v>427</v>
      </c>
      <c r="D8869" s="106">
        <v>3.06</v>
      </c>
    </row>
    <row r="8870" spans="1:4">
      <c r="A8870">
        <v>39274</v>
      </c>
      <c r="B8870" t="s">
        <v>9381</v>
      </c>
      <c r="C8870" t="s">
        <v>427</v>
      </c>
      <c r="D8870" s="106">
        <v>2.37</v>
      </c>
    </row>
    <row r="8871" spans="1:4">
      <c r="A8871">
        <v>2628</v>
      </c>
      <c r="B8871" t="s">
        <v>9382</v>
      </c>
      <c r="C8871" t="s">
        <v>427</v>
      </c>
      <c r="D8871" s="106">
        <v>233.33</v>
      </c>
    </row>
    <row r="8872" spans="1:4">
      <c r="A8872">
        <v>2622</v>
      </c>
      <c r="B8872" t="s">
        <v>9383</v>
      </c>
      <c r="C8872" t="s">
        <v>427</v>
      </c>
      <c r="D8872" s="106">
        <v>5.54</v>
      </c>
    </row>
    <row r="8873" spans="1:4">
      <c r="A8873">
        <v>2623</v>
      </c>
      <c r="B8873" t="s">
        <v>9384</v>
      </c>
      <c r="C8873" t="s">
        <v>427</v>
      </c>
      <c r="D8873" s="106">
        <v>6.67</v>
      </c>
    </row>
    <row r="8874" spans="1:4">
      <c r="A8874">
        <v>2624</v>
      </c>
      <c r="B8874" t="s">
        <v>9385</v>
      </c>
      <c r="C8874" t="s">
        <v>427</v>
      </c>
      <c r="D8874" s="106">
        <v>10.6</v>
      </c>
    </row>
    <row r="8875" spans="1:4">
      <c r="A8875">
        <v>2625</v>
      </c>
      <c r="B8875" t="s">
        <v>9386</v>
      </c>
      <c r="C8875" t="s">
        <v>427</v>
      </c>
      <c r="D8875" s="106">
        <v>22.39</v>
      </c>
    </row>
    <row r="8876" spans="1:4">
      <c r="A8876">
        <v>2626</v>
      </c>
      <c r="B8876" t="s">
        <v>9387</v>
      </c>
      <c r="C8876" t="s">
        <v>427</v>
      </c>
      <c r="D8876" s="106">
        <v>32.799999999999997</v>
      </c>
    </row>
    <row r="8877" spans="1:4">
      <c r="A8877">
        <v>2630</v>
      </c>
      <c r="B8877" t="s">
        <v>9388</v>
      </c>
      <c r="C8877" t="s">
        <v>427</v>
      </c>
      <c r="D8877" s="106">
        <v>49.89</v>
      </c>
    </row>
    <row r="8878" spans="1:4">
      <c r="A8878">
        <v>2627</v>
      </c>
      <c r="B8878" t="s">
        <v>9389</v>
      </c>
      <c r="C8878" t="s">
        <v>427</v>
      </c>
      <c r="D8878" s="106">
        <v>87.88</v>
      </c>
    </row>
    <row r="8879" spans="1:4">
      <c r="A8879">
        <v>2629</v>
      </c>
      <c r="B8879" t="s">
        <v>9390</v>
      </c>
      <c r="C8879" t="s">
        <v>427</v>
      </c>
      <c r="D8879" s="106">
        <v>118.87</v>
      </c>
    </row>
    <row r="8880" spans="1:4">
      <c r="A8880">
        <v>12033</v>
      </c>
      <c r="B8880" t="s">
        <v>9391</v>
      </c>
      <c r="C8880" t="s">
        <v>427</v>
      </c>
      <c r="D8880" s="106">
        <v>9.7799999999999994</v>
      </c>
    </row>
    <row r="8881" spans="1:4">
      <c r="A8881">
        <v>40408</v>
      </c>
      <c r="B8881" t="s">
        <v>9392</v>
      </c>
      <c r="C8881" t="s">
        <v>427</v>
      </c>
      <c r="D8881" s="106">
        <v>6.43</v>
      </c>
    </row>
    <row r="8882" spans="1:4">
      <c r="A8882">
        <v>40409</v>
      </c>
      <c r="B8882" t="s">
        <v>9393</v>
      </c>
      <c r="C8882" t="s">
        <v>427</v>
      </c>
      <c r="D8882" s="106">
        <v>2.27</v>
      </c>
    </row>
    <row r="8883" spans="1:4">
      <c r="A8883">
        <v>39276</v>
      </c>
      <c r="B8883" t="s">
        <v>9394</v>
      </c>
      <c r="C8883" t="s">
        <v>427</v>
      </c>
      <c r="D8883" s="106">
        <v>5.79</v>
      </c>
    </row>
    <row r="8884" spans="1:4">
      <c r="A8884">
        <v>39277</v>
      </c>
      <c r="B8884" t="s">
        <v>9395</v>
      </c>
      <c r="C8884" t="s">
        <v>427</v>
      </c>
      <c r="D8884" s="106">
        <v>15.63</v>
      </c>
    </row>
    <row r="8885" spans="1:4">
      <c r="A8885">
        <v>12034</v>
      </c>
      <c r="B8885" t="s">
        <v>9396</v>
      </c>
      <c r="C8885" t="s">
        <v>427</v>
      </c>
      <c r="D8885" s="106">
        <v>4.43</v>
      </c>
    </row>
    <row r="8886" spans="1:4">
      <c r="A8886">
        <v>39879</v>
      </c>
      <c r="B8886" t="s">
        <v>9397</v>
      </c>
      <c r="C8886" t="s">
        <v>427</v>
      </c>
      <c r="D8886" s="106">
        <v>5.89</v>
      </c>
    </row>
    <row r="8887" spans="1:4">
      <c r="A8887">
        <v>39880</v>
      </c>
      <c r="B8887" t="s">
        <v>9398</v>
      </c>
      <c r="C8887" t="s">
        <v>427</v>
      </c>
      <c r="D8887" s="106">
        <v>13.06</v>
      </c>
    </row>
    <row r="8888" spans="1:4">
      <c r="A8888">
        <v>39881</v>
      </c>
      <c r="B8888" t="s">
        <v>9399</v>
      </c>
      <c r="C8888" t="s">
        <v>427</v>
      </c>
      <c r="D8888" s="106">
        <v>20.96</v>
      </c>
    </row>
    <row r="8889" spans="1:4">
      <c r="A8889">
        <v>39882</v>
      </c>
      <c r="B8889" t="s">
        <v>9400</v>
      </c>
      <c r="C8889" t="s">
        <v>427</v>
      </c>
      <c r="D8889" s="106">
        <v>55.21</v>
      </c>
    </row>
    <row r="8890" spans="1:4">
      <c r="A8890">
        <v>39883</v>
      </c>
      <c r="B8890" t="s">
        <v>9401</v>
      </c>
      <c r="C8890" t="s">
        <v>427</v>
      </c>
      <c r="D8890" s="106">
        <v>88.16</v>
      </c>
    </row>
    <row r="8891" spans="1:4">
      <c r="A8891">
        <v>39884</v>
      </c>
      <c r="B8891" t="s">
        <v>9402</v>
      </c>
      <c r="C8891" t="s">
        <v>427</v>
      </c>
      <c r="D8891" s="106">
        <v>130.94</v>
      </c>
    </row>
    <row r="8892" spans="1:4">
      <c r="A8892">
        <v>39885</v>
      </c>
      <c r="B8892" t="s">
        <v>9403</v>
      </c>
      <c r="C8892" t="s">
        <v>427</v>
      </c>
      <c r="D8892" s="106">
        <v>311.19</v>
      </c>
    </row>
    <row r="8893" spans="1:4">
      <c r="A8893">
        <v>1777</v>
      </c>
      <c r="B8893" t="s">
        <v>9404</v>
      </c>
      <c r="C8893" t="s">
        <v>427</v>
      </c>
      <c r="D8893" s="106">
        <v>65.2</v>
      </c>
    </row>
    <row r="8894" spans="1:4">
      <c r="A8894">
        <v>1819</v>
      </c>
      <c r="B8894" t="s">
        <v>9405</v>
      </c>
      <c r="C8894" t="s">
        <v>427</v>
      </c>
      <c r="D8894" s="106">
        <v>47.44</v>
      </c>
    </row>
    <row r="8895" spans="1:4">
      <c r="A8895">
        <v>1775</v>
      </c>
      <c r="B8895" t="s">
        <v>9406</v>
      </c>
      <c r="C8895" t="s">
        <v>427</v>
      </c>
      <c r="D8895" s="106">
        <v>14.18</v>
      </c>
    </row>
    <row r="8896" spans="1:4">
      <c r="A8896">
        <v>1776</v>
      </c>
      <c r="B8896" t="s">
        <v>9407</v>
      </c>
      <c r="C8896" t="s">
        <v>427</v>
      </c>
      <c r="D8896" s="106">
        <v>38.590000000000003</v>
      </c>
    </row>
    <row r="8897" spans="1:4">
      <c r="A8897">
        <v>1778</v>
      </c>
      <c r="B8897" t="s">
        <v>9408</v>
      </c>
      <c r="C8897" t="s">
        <v>427</v>
      </c>
      <c r="D8897" s="106">
        <v>157.83000000000001</v>
      </c>
    </row>
    <row r="8898" spans="1:4">
      <c r="A8898">
        <v>1818</v>
      </c>
      <c r="B8898" t="s">
        <v>9409</v>
      </c>
      <c r="C8898" t="s">
        <v>427</v>
      </c>
      <c r="D8898" s="106">
        <v>104.76</v>
      </c>
    </row>
    <row r="8899" spans="1:4">
      <c r="A8899">
        <v>1820</v>
      </c>
      <c r="B8899" t="s">
        <v>9410</v>
      </c>
      <c r="C8899" t="s">
        <v>427</v>
      </c>
      <c r="D8899" s="106">
        <v>20.48</v>
      </c>
    </row>
    <row r="8900" spans="1:4">
      <c r="A8900">
        <v>1779</v>
      </c>
      <c r="B8900" t="s">
        <v>9411</v>
      </c>
      <c r="C8900" t="s">
        <v>427</v>
      </c>
      <c r="D8900" s="106">
        <v>229.53</v>
      </c>
    </row>
    <row r="8901" spans="1:4">
      <c r="A8901">
        <v>1780</v>
      </c>
      <c r="B8901" t="s">
        <v>9412</v>
      </c>
      <c r="C8901" t="s">
        <v>427</v>
      </c>
      <c r="D8901" s="106">
        <v>473.19</v>
      </c>
    </row>
    <row r="8902" spans="1:4">
      <c r="A8902">
        <v>1783</v>
      </c>
      <c r="B8902" t="s">
        <v>9413</v>
      </c>
      <c r="C8902" t="s">
        <v>427</v>
      </c>
      <c r="D8902" s="106">
        <v>50.03</v>
      </c>
    </row>
    <row r="8903" spans="1:4">
      <c r="A8903">
        <v>1782</v>
      </c>
      <c r="B8903" t="s">
        <v>9414</v>
      </c>
      <c r="C8903" t="s">
        <v>427</v>
      </c>
      <c r="D8903" s="106">
        <v>39.56</v>
      </c>
    </row>
    <row r="8904" spans="1:4">
      <c r="A8904">
        <v>1817</v>
      </c>
      <c r="B8904" t="s">
        <v>9415</v>
      </c>
      <c r="C8904" t="s">
        <v>427</v>
      </c>
      <c r="D8904" s="106">
        <v>11.78</v>
      </c>
    </row>
    <row r="8905" spans="1:4">
      <c r="A8905">
        <v>1781</v>
      </c>
      <c r="B8905" t="s">
        <v>9416</v>
      </c>
      <c r="C8905" t="s">
        <v>427</v>
      </c>
      <c r="D8905" s="106">
        <v>25.77</v>
      </c>
    </row>
    <row r="8906" spans="1:4">
      <c r="A8906">
        <v>1784</v>
      </c>
      <c r="B8906" t="s">
        <v>9417</v>
      </c>
      <c r="C8906" t="s">
        <v>427</v>
      </c>
      <c r="D8906" s="106">
        <v>141.28</v>
      </c>
    </row>
    <row r="8907" spans="1:4">
      <c r="A8907">
        <v>1810</v>
      </c>
      <c r="B8907" t="s">
        <v>9418</v>
      </c>
      <c r="C8907" t="s">
        <v>427</v>
      </c>
      <c r="D8907" s="106">
        <v>78.36</v>
      </c>
    </row>
    <row r="8908" spans="1:4">
      <c r="A8908">
        <v>1811</v>
      </c>
      <c r="B8908" t="s">
        <v>9419</v>
      </c>
      <c r="C8908" t="s">
        <v>427</v>
      </c>
      <c r="D8908" s="106">
        <v>16.95</v>
      </c>
    </row>
    <row r="8909" spans="1:4">
      <c r="A8909">
        <v>1812</v>
      </c>
      <c r="B8909" t="s">
        <v>9420</v>
      </c>
      <c r="C8909" t="s">
        <v>427</v>
      </c>
      <c r="D8909" s="106">
        <v>197.81</v>
      </c>
    </row>
    <row r="8910" spans="1:4">
      <c r="A8910">
        <v>40386</v>
      </c>
      <c r="B8910" t="s">
        <v>9421</v>
      </c>
      <c r="C8910" t="s">
        <v>427</v>
      </c>
      <c r="D8910" s="106">
        <v>90.53</v>
      </c>
    </row>
    <row r="8911" spans="1:4">
      <c r="A8911">
        <v>40384</v>
      </c>
      <c r="B8911" t="s">
        <v>9422</v>
      </c>
      <c r="C8911" t="s">
        <v>427</v>
      </c>
      <c r="D8911" s="106">
        <v>61.98</v>
      </c>
    </row>
    <row r="8912" spans="1:4">
      <c r="A8912">
        <v>40379</v>
      </c>
      <c r="B8912" t="s">
        <v>9423</v>
      </c>
      <c r="C8912" t="s">
        <v>427</v>
      </c>
      <c r="D8912" s="106">
        <v>21.42</v>
      </c>
    </row>
    <row r="8913" spans="1:4">
      <c r="A8913">
        <v>40423</v>
      </c>
      <c r="B8913" t="s">
        <v>9424</v>
      </c>
      <c r="C8913" t="s">
        <v>427</v>
      </c>
      <c r="D8913" s="106">
        <v>40.549999999999997</v>
      </c>
    </row>
    <row r="8914" spans="1:4">
      <c r="A8914">
        <v>40389</v>
      </c>
      <c r="B8914" t="s">
        <v>9425</v>
      </c>
      <c r="C8914" t="s">
        <v>427</v>
      </c>
      <c r="D8914" s="106">
        <v>257.13</v>
      </c>
    </row>
    <row r="8915" spans="1:4">
      <c r="A8915">
        <v>40388</v>
      </c>
      <c r="B8915" t="s">
        <v>9426</v>
      </c>
      <c r="C8915" t="s">
        <v>427</v>
      </c>
      <c r="D8915" s="106">
        <v>128.69999999999999</v>
      </c>
    </row>
    <row r="8916" spans="1:4">
      <c r="A8916">
        <v>40381</v>
      </c>
      <c r="B8916" t="s">
        <v>9427</v>
      </c>
      <c r="C8916" t="s">
        <v>427</v>
      </c>
      <c r="D8916" s="106">
        <v>28.57</v>
      </c>
    </row>
    <row r="8917" spans="1:4">
      <c r="A8917">
        <v>40391</v>
      </c>
      <c r="B8917" t="s">
        <v>9428</v>
      </c>
      <c r="C8917" t="s">
        <v>427</v>
      </c>
      <c r="D8917" s="106">
        <v>667.39</v>
      </c>
    </row>
    <row r="8918" spans="1:4">
      <c r="A8918">
        <v>40414</v>
      </c>
      <c r="B8918" t="s">
        <v>9429</v>
      </c>
      <c r="C8918" t="s">
        <v>427</v>
      </c>
      <c r="D8918" s="106">
        <v>27.37</v>
      </c>
    </row>
    <row r="8919" spans="1:4">
      <c r="A8919">
        <v>40416</v>
      </c>
      <c r="B8919" t="s">
        <v>9430</v>
      </c>
      <c r="C8919" t="s">
        <v>427</v>
      </c>
      <c r="D8919" s="106">
        <v>37.840000000000003</v>
      </c>
    </row>
    <row r="8920" spans="1:4">
      <c r="A8920">
        <v>40418</v>
      </c>
      <c r="B8920" t="s">
        <v>9431</v>
      </c>
      <c r="C8920" t="s">
        <v>427</v>
      </c>
      <c r="D8920" s="106">
        <v>45.13</v>
      </c>
    </row>
    <row r="8921" spans="1:4">
      <c r="A8921">
        <v>2609</v>
      </c>
      <c r="B8921" t="s">
        <v>9432</v>
      </c>
      <c r="C8921" t="s">
        <v>427</v>
      </c>
      <c r="D8921" s="106">
        <v>5.2</v>
      </c>
    </row>
    <row r="8922" spans="1:4">
      <c r="A8922">
        <v>2634</v>
      </c>
      <c r="B8922" t="s">
        <v>9433</v>
      </c>
      <c r="C8922" t="s">
        <v>427</v>
      </c>
      <c r="D8922" s="106">
        <v>6.84</v>
      </c>
    </row>
    <row r="8923" spans="1:4">
      <c r="A8923">
        <v>2611</v>
      </c>
      <c r="B8923" t="s">
        <v>9434</v>
      </c>
      <c r="C8923" t="s">
        <v>427</v>
      </c>
      <c r="D8923" s="106">
        <v>19.27</v>
      </c>
    </row>
    <row r="8924" spans="1:4">
      <c r="A8924">
        <v>34359</v>
      </c>
      <c r="B8924" t="s">
        <v>9435</v>
      </c>
      <c r="C8924" t="s">
        <v>427</v>
      </c>
      <c r="D8924" s="106">
        <v>12.03</v>
      </c>
    </row>
    <row r="8925" spans="1:4">
      <c r="A8925">
        <v>1789</v>
      </c>
      <c r="B8925" t="s">
        <v>9436</v>
      </c>
      <c r="C8925" t="s">
        <v>427</v>
      </c>
      <c r="D8925" s="106">
        <v>62.58</v>
      </c>
    </row>
    <row r="8926" spans="1:4">
      <c r="A8926">
        <v>1788</v>
      </c>
      <c r="B8926" t="s">
        <v>9437</v>
      </c>
      <c r="C8926" t="s">
        <v>427</v>
      </c>
      <c r="D8926" s="106">
        <v>50.16</v>
      </c>
    </row>
    <row r="8927" spans="1:4">
      <c r="A8927">
        <v>1786</v>
      </c>
      <c r="B8927" t="s">
        <v>9438</v>
      </c>
      <c r="C8927" t="s">
        <v>427</v>
      </c>
      <c r="D8927" s="106">
        <v>12.45</v>
      </c>
    </row>
    <row r="8928" spans="1:4">
      <c r="A8928">
        <v>1787</v>
      </c>
      <c r="B8928" t="s">
        <v>9439</v>
      </c>
      <c r="C8928" t="s">
        <v>427</v>
      </c>
      <c r="D8928" s="106">
        <v>29.82</v>
      </c>
    </row>
    <row r="8929" spans="1:4">
      <c r="A8929">
        <v>1791</v>
      </c>
      <c r="B8929" t="s">
        <v>9440</v>
      </c>
      <c r="C8929" t="s">
        <v>427</v>
      </c>
      <c r="D8929" s="106">
        <v>180.86</v>
      </c>
    </row>
    <row r="8930" spans="1:4">
      <c r="A8930">
        <v>1790</v>
      </c>
      <c r="B8930" t="s">
        <v>9441</v>
      </c>
      <c r="C8930" t="s">
        <v>427</v>
      </c>
      <c r="D8930" s="106">
        <v>104.22</v>
      </c>
    </row>
    <row r="8931" spans="1:4">
      <c r="A8931">
        <v>1813</v>
      </c>
      <c r="B8931" t="s">
        <v>9442</v>
      </c>
      <c r="C8931" t="s">
        <v>427</v>
      </c>
      <c r="D8931" s="106">
        <v>19.77</v>
      </c>
    </row>
    <row r="8932" spans="1:4">
      <c r="A8932">
        <v>1792</v>
      </c>
      <c r="B8932" t="s">
        <v>9443</v>
      </c>
      <c r="C8932" t="s">
        <v>427</v>
      </c>
      <c r="D8932" s="106">
        <v>244.13</v>
      </c>
    </row>
    <row r="8933" spans="1:4">
      <c r="A8933">
        <v>1793</v>
      </c>
      <c r="B8933" t="s">
        <v>9444</v>
      </c>
      <c r="C8933" t="s">
        <v>427</v>
      </c>
      <c r="D8933" s="106">
        <v>493.31</v>
      </c>
    </row>
    <row r="8934" spans="1:4">
      <c r="A8934">
        <v>1809</v>
      </c>
      <c r="B8934" t="s">
        <v>9445</v>
      </c>
      <c r="C8934" t="s">
        <v>427</v>
      </c>
      <c r="D8934" s="106">
        <v>58.67</v>
      </c>
    </row>
    <row r="8935" spans="1:4">
      <c r="A8935">
        <v>1814</v>
      </c>
      <c r="B8935" t="s">
        <v>9446</v>
      </c>
      <c r="C8935" t="s">
        <v>427</v>
      </c>
      <c r="D8935" s="106">
        <v>48.2</v>
      </c>
    </row>
    <row r="8936" spans="1:4">
      <c r="A8936">
        <v>1803</v>
      </c>
      <c r="B8936" t="s">
        <v>9447</v>
      </c>
      <c r="C8936" t="s">
        <v>427</v>
      </c>
      <c r="D8936" s="106">
        <v>12.18</v>
      </c>
    </row>
    <row r="8937" spans="1:4">
      <c r="A8937">
        <v>1805</v>
      </c>
      <c r="B8937" t="s">
        <v>9448</v>
      </c>
      <c r="C8937" t="s">
        <v>427</v>
      </c>
      <c r="D8937" s="106">
        <v>27.97</v>
      </c>
    </row>
    <row r="8938" spans="1:4">
      <c r="A8938">
        <v>1821</v>
      </c>
      <c r="B8938" t="s">
        <v>9449</v>
      </c>
      <c r="C8938" t="s">
        <v>427</v>
      </c>
      <c r="D8938" s="106">
        <v>165.24</v>
      </c>
    </row>
    <row r="8939" spans="1:4">
      <c r="A8939">
        <v>1806</v>
      </c>
      <c r="B8939" t="s">
        <v>9450</v>
      </c>
      <c r="C8939" t="s">
        <v>427</v>
      </c>
      <c r="D8939" s="106">
        <v>98.35</v>
      </c>
    </row>
    <row r="8940" spans="1:4">
      <c r="A8940">
        <v>1804</v>
      </c>
      <c r="B8940" t="s">
        <v>9451</v>
      </c>
      <c r="C8940" t="s">
        <v>427</v>
      </c>
      <c r="D8940" s="106">
        <v>17.329999999999998</v>
      </c>
    </row>
    <row r="8941" spans="1:4">
      <c r="A8941">
        <v>1807</v>
      </c>
      <c r="B8941" t="s">
        <v>9452</v>
      </c>
      <c r="C8941" t="s">
        <v>427</v>
      </c>
      <c r="D8941" s="106">
        <v>236.32</v>
      </c>
    </row>
    <row r="8942" spans="1:4">
      <c r="A8942">
        <v>1808</v>
      </c>
      <c r="B8942" t="s">
        <v>9453</v>
      </c>
      <c r="C8942" t="s">
        <v>427</v>
      </c>
      <c r="D8942" s="106">
        <v>473.78</v>
      </c>
    </row>
    <row r="8943" spans="1:4">
      <c r="A8943">
        <v>1797</v>
      </c>
      <c r="B8943" t="s">
        <v>9454</v>
      </c>
      <c r="C8943" t="s">
        <v>427</v>
      </c>
      <c r="D8943" s="106">
        <v>71.06</v>
      </c>
    </row>
    <row r="8944" spans="1:4">
      <c r="A8944">
        <v>1796</v>
      </c>
      <c r="B8944" t="s">
        <v>9455</v>
      </c>
      <c r="C8944" t="s">
        <v>427</v>
      </c>
      <c r="D8944" s="106">
        <v>54.51</v>
      </c>
    </row>
    <row r="8945" spans="1:4">
      <c r="A8945">
        <v>1794</v>
      </c>
      <c r="B8945" t="s">
        <v>9456</v>
      </c>
      <c r="C8945" t="s">
        <v>427</v>
      </c>
      <c r="D8945" s="106">
        <v>13.01</v>
      </c>
    </row>
    <row r="8946" spans="1:4">
      <c r="A8946">
        <v>1816</v>
      </c>
      <c r="B8946" t="s">
        <v>9457</v>
      </c>
      <c r="C8946" t="s">
        <v>427</v>
      </c>
      <c r="D8946" s="106">
        <v>29.34</v>
      </c>
    </row>
    <row r="8947" spans="1:4">
      <c r="A8947">
        <v>1815</v>
      </c>
      <c r="B8947" t="s">
        <v>9458</v>
      </c>
      <c r="C8947" t="s">
        <v>427</v>
      </c>
      <c r="D8947" s="106">
        <v>225.3</v>
      </c>
    </row>
    <row r="8948" spans="1:4">
      <c r="A8948">
        <v>1798</v>
      </c>
      <c r="B8948" t="s">
        <v>9459</v>
      </c>
      <c r="C8948" t="s">
        <v>427</v>
      </c>
      <c r="D8948" s="106">
        <v>100.81</v>
      </c>
    </row>
    <row r="8949" spans="1:4">
      <c r="A8949">
        <v>1795</v>
      </c>
      <c r="B8949" t="s">
        <v>9460</v>
      </c>
      <c r="C8949" t="s">
        <v>427</v>
      </c>
      <c r="D8949" s="106">
        <v>18.02</v>
      </c>
    </row>
    <row r="8950" spans="1:4">
      <c r="A8950">
        <v>1799</v>
      </c>
      <c r="B8950" t="s">
        <v>9461</v>
      </c>
      <c r="C8950" t="s">
        <v>427</v>
      </c>
      <c r="D8950" s="106">
        <v>293.43</v>
      </c>
    </row>
    <row r="8951" spans="1:4">
      <c r="A8951">
        <v>1800</v>
      </c>
      <c r="B8951" t="s">
        <v>9462</v>
      </c>
      <c r="C8951" t="s">
        <v>427</v>
      </c>
      <c r="D8951" s="106">
        <v>560.22</v>
      </c>
    </row>
    <row r="8952" spans="1:4">
      <c r="A8952">
        <v>1802</v>
      </c>
      <c r="B8952" t="s">
        <v>9463</v>
      </c>
      <c r="C8952" t="s">
        <v>427</v>
      </c>
      <c r="D8952" s="107">
        <v>1401.33</v>
      </c>
    </row>
    <row r="8953" spans="1:4">
      <c r="A8953">
        <v>40385</v>
      </c>
      <c r="B8953" t="s">
        <v>9464</v>
      </c>
      <c r="C8953" t="s">
        <v>427</v>
      </c>
      <c r="D8953" s="106">
        <v>90.53</v>
      </c>
    </row>
    <row r="8954" spans="1:4">
      <c r="A8954">
        <v>40383</v>
      </c>
      <c r="B8954" t="s">
        <v>9465</v>
      </c>
      <c r="C8954" t="s">
        <v>427</v>
      </c>
      <c r="D8954" s="106">
        <v>61.98</v>
      </c>
    </row>
    <row r="8955" spans="1:4">
      <c r="A8955">
        <v>40378</v>
      </c>
      <c r="B8955" t="s">
        <v>9466</v>
      </c>
      <c r="C8955" t="s">
        <v>427</v>
      </c>
      <c r="D8955" s="106">
        <v>21.42</v>
      </c>
    </row>
    <row r="8956" spans="1:4">
      <c r="A8956">
        <v>40382</v>
      </c>
      <c r="B8956" t="s">
        <v>9467</v>
      </c>
      <c r="C8956" t="s">
        <v>427</v>
      </c>
      <c r="D8956" s="106">
        <v>40.549999999999997</v>
      </c>
    </row>
    <row r="8957" spans="1:4">
      <c r="A8957">
        <v>40422</v>
      </c>
      <c r="B8957" t="s">
        <v>9468</v>
      </c>
      <c r="C8957" t="s">
        <v>427</v>
      </c>
      <c r="D8957" s="106">
        <v>276.22000000000003</v>
      </c>
    </row>
    <row r="8958" spans="1:4">
      <c r="A8958">
        <v>40387</v>
      </c>
      <c r="B8958" t="s">
        <v>9469</v>
      </c>
      <c r="C8958" t="s">
        <v>427</v>
      </c>
      <c r="D8958" s="106">
        <v>140.63999999999999</v>
      </c>
    </row>
    <row r="8959" spans="1:4">
      <c r="A8959">
        <v>40380</v>
      </c>
      <c r="B8959" t="s">
        <v>9470</v>
      </c>
      <c r="C8959" t="s">
        <v>427</v>
      </c>
      <c r="D8959" s="106">
        <v>28.57</v>
      </c>
    </row>
    <row r="8960" spans="1:4">
      <c r="A8960">
        <v>40390</v>
      </c>
      <c r="B8960" t="s">
        <v>9471</v>
      </c>
      <c r="C8960" t="s">
        <v>427</v>
      </c>
      <c r="D8960" s="106">
        <v>581.75</v>
      </c>
    </row>
    <row r="8961" spans="1:4">
      <c r="A8961">
        <v>40413</v>
      </c>
      <c r="B8961" t="s">
        <v>9472</v>
      </c>
      <c r="C8961" t="s">
        <v>427</v>
      </c>
      <c r="D8961" s="106">
        <v>29.74</v>
      </c>
    </row>
    <row r="8962" spans="1:4">
      <c r="A8962">
        <v>40415</v>
      </c>
      <c r="B8962" t="s">
        <v>9473</v>
      </c>
      <c r="C8962" t="s">
        <v>427</v>
      </c>
      <c r="D8962" s="106">
        <v>42.38</v>
      </c>
    </row>
    <row r="8963" spans="1:4">
      <c r="A8963">
        <v>40417</v>
      </c>
      <c r="B8963" t="s">
        <v>9474</v>
      </c>
      <c r="C8963" t="s">
        <v>427</v>
      </c>
      <c r="D8963" s="106">
        <v>49.99</v>
      </c>
    </row>
    <row r="8964" spans="1:4">
      <c r="A8964">
        <v>39271</v>
      </c>
      <c r="B8964" t="s">
        <v>9475</v>
      </c>
      <c r="C8964" t="s">
        <v>427</v>
      </c>
      <c r="D8964" s="106">
        <v>1.97</v>
      </c>
    </row>
    <row r="8965" spans="1:4">
      <c r="A8965">
        <v>39273</v>
      </c>
      <c r="B8965" t="s">
        <v>9476</v>
      </c>
      <c r="C8965" t="s">
        <v>427</v>
      </c>
      <c r="D8965" s="106">
        <v>3.34</v>
      </c>
    </row>
    <row r="8966" spans="1:4">
      <c r="A8966">
        <v>39272</v>
      </c>
      <c r="B8966" t="s">
        <v>9477</v>
      </c>
      <c r="C8966" t="s">
        <v>427</v>
      </c>
      <c r="D8966" s="106">
        <v>2.42</v>
      </c>
    </row>
    <row r="8967" spans="1:4">
      <c r="A8967">
        <v>1875</v>
      </c>
      <c r="B8967" t="s">
        <v>9478</v>
      </c>
      <c r="C8967" t="s">
        <v>427</v>
      </c>
      <c r="D8967" s="106">
        <v>5.35</v>
      </c>
    </row>
    <row r="8968" spans="1:4">
      <c r="A8968">
        <v>1874</v>
      </c>
      <c r="B8968" t="s">
        <v>9479</v>
      </c>
      <c r="C8968" t="s">
        <v>427</v>
      </c>
      <c r="D8968" s="106">
        <v>4.41</v>
      </c>
    </row>
    <row r="8969" spans="1:4">
      <c r="A8969">
        <v>1870</v>
      </c>
      <c r="B8969" t="s">
        <v>9480</v>
      </c>
      <c r="C8969" t="s">
        <v>427</v>
      </c>
      <c r="D8969" s="106">
        <v>2.5499999999999998</v>
      </c>
    </row>
    <row r="8970" spans="1:4">
      <c r="A8970">
        <v>1884</v>
      </c>
      <c r="B8970" t="s">
        <v>9481</v>
      </c>
      <c r="C8970" t="s">
        <v>427</v>
      </c>
      <c r="D8970" s="106">
        <v>3.91</v>
      </c>
    </row>
    <row r="8971" spans="1:4">
      <c r="A8971">
        <v>1887</v>
      </c>
      <c r="B8971" t="s">
        <v>9482</v>
      </c>
      <c r="C8971" t="s">
        <v>427</v>
      </c>
      <c r="D8971" s="106">
        <v>22.17</v>
      </c>
    </row>
    <row r="8972" spans="1:4">
      <c r="A8972">
        <v>1876</v>
      </c>
      <c r="B8972" t="s">
        <v>9483</v>
      </c>
      <c r="C8972" t="s">
        <v>427</v>
      </c>
      <c r="D8972" s="106">
        <v>8.69</v>
      </c>
    </row>
    <row r="8973" spans="1:4">
      <c r="A8973">
        <v>1879</v>
      </c>
      <c r="B8973" t="s">
        <v>9484</v>
      </c>
      <c r="C8973" t="s">
        <v>427</v>
      </c>
      <c r="D8973" s="106">
        <v>2.58</v>
      </c>
    </row>
    <row r="8974" spans="1:4">
      <c r="A8974">
        <v>1877</v>
      </c>
      <c r="B8974" t="s">
        <v>9485</v>
      </c>
      <c r="C8974" t="s">
        <v>427</v>
      </c>
      <c r="D8974" s="106">
        <v>22.2</v>
      </c>
    </row>
    <row r="8975" spans="1:4">
      <c r="A8975">
        <v>1878</v>
      </c>
      <c r="B8975" t="s">
        <v>9486</v>
      </c>
      <c r="C8975" t="s">
        <v>427</v>
      </c>
      <c r="D8975" s="106">
        <v>44.6</v>
      </c>
    </row>
    <row r="8976" spans="1:4">
      <c r="A8976">
        <v>2621</v>
      </c>
      <c r="B8976" t="s">
        <v>9487</v>
      </c>
      <c r="C8976" t="s">
        <v>427</v>
      </c>
      <c r="D8976" s="106">
        <v>164.85</v>
      </c>
    </row>
    <row r="8977" spans="1:4">
      <c r="A8977">
        <v>2616</v>
      </c>
      <c r="B8977" t="s">
        <v>9488</v>
      </c>
      <c r="C8977" t="s">
        <v>427</v>
      </c>
      <c r="D8977" s="106">
        <v>4.66</v>
      </c>
    </row>
    <row r="8978" spans="1:4">
      <c r="A8978">
        <v>2633</v>
      </c>
      <c r="B8978" t="s">
        <v>9489</v>
      </c>
      <c r="C8978" t="s">
        <v>427</v>
      </c>
      <c r="D8978" s="106">
        <v>5.28</v>
      </c>
    </row>
    <row r="8979" spans="1:4">
      <c r="A8979">
        <v>2617</v>
      </c>
      <c r="B8979" t="s">
        <v>9490</v>
      </c>
      <c r="C8979" t="s">
        <v>427</v>
      </c>
      <c r="D8979" s="106">
        <v>7.17</v>
      </c>
    </row>
    <row r="8980" spans="1:4">
      <c r="A8980">
        <v>2618</v>
      </c>
      <c r="B8980" t="s">
        <v>9491</v>
      </c>
      <c r="C8980" t="s">
        <v>427</v>
      </c>
      <c r="D8980" s="106">
        <v>16.329999999999998</v>
      </c>
    </row>
    <row r="8981" spans="1:4">
      <c r="A8981">
        <v>2632</v>
      </c>
      <c r="B8981" t="s">
        <v>9492</v>
      </c>
      <c r="C8981" t="s">
        <v>427</v>
      </c>
      <c r="D8981" s="106">
        <v>19.920000000000002</v>
      </c>
    </row>
    <row r="8982" spans="1:4">
      <c r="A8982">
        <v>2631</v>
      </c>
      <c r="B8982" t="s">
        <v>9493</v>
      </c>
      <c r="C8982" t="s">
        <v>427</v>
      </c>
      <c r="D8982" s="106">
        <v>29.24</v>
      </c>
    </row>
    <row r="8983" spans="1:4">
      <c r="A8983">
        <v>2619</v>
      </c>
      <c r="B8983" t="s">
        <v>9494</v>
      </c>
      <c r="C8983" t="s">
        <v>427</v>
      </c>
      <c r="D8983" s="106">
        <v>74.040000000000006</v>
      </c>
    </row>
    <row r="8984" spans="1:4">
      <c r="A8984">
        <v>2620</v>
      </c>
      <c r="B8984" t="s">
        <v>9495</v>
      </c>
      <c r="C8984" t="s">
        <v>427</v>
      </c>
      <c r="D8984" s="106">
        <v>97.2</v>
      </c>
    </row>
    <row r="8985" spans="1:4">
      <c r="A8985">
        <v>44472</v>
      </c>
      <c r="B8985" t="s">
        <v>9496</v>
      </c>
      <c r="C8985" t="s">
        <v>427</v>
      </c>
      <c r="D8985" s="106">
        <v>56.1</v>
      </c>
    </row>
    <row r="8986" spans="1:4">
      <c r="A8986">
        <v>38369</v>
      </c>
      <c r="B8986" t="s">
        <v>9497</v>
      </c>
      <c r="C8986" t="s">
        <v>427</v>
      </c>
      <c r="D8986" s="106">
        <v>18.559999999999999</v>
      </c>
    </row>
    <row r="8987" spans="1:4">
      <c r="A8987">
        <v>38370</v>
      </c>
      <c r="B8987" t="s">
        <v>9498</v>
      </c>
      <c r="C8987" t="s">
        <v>427</v>
      </c>
      <c r="D8987" s="106">
        <v>18.559999999999999</v>
      </c>
    </row>
    <row r="8988" spans="1:4">
      <c r="A8988">
        <v>38372</v>
      </c>
      <c r="B8988" t="s">
        <v>9499</v>
      </c>
      <c r="C8988" t="s">
        <v>427</v>
      </c>
      <c r="D8988" s="106">
        <v>20.34</v>
      </c>
    </row>
    <row r="8989" spans="1:4">
      <c r="A8989">
        <v>2357</v>
      </c>
      <c r="B8989" t="s">
        <v>9500</v>
      </c>
      <c r="C8989" t="s">
        <v>432</v>
      </c>
      <c r="D8989" s="106">
        <v>18.7</v>
      </c>
    </row>
    <row r="8990" spans="1:4">
      <c r="A8990">
        <v>40806</v>
      </c>
      <c r="B8990" t="s">
        <v>9501</v>
      </c>
      <c r="C8990" t="s">
        <v>433</v>
      </c>
      <c r="D8990" s="107">
        <v>3303.91</v>
      </c>
    </row>
    <row r="8991" spans="1:4">
      <c r="A8991">
        <v>2355</v>
      </c>
      <c r="B8991" t="s">
        <v>9502</v>
      </c>
      <c r="C8991" t="s">
        <v>432</v>
      </c>
      <c r="D8991" s="106">
        <v>24.79</v>
      </c>
    </row>
    <row r="8992" spans="1:4">
      <c r="A8992">
        <v>40805</v>
      </c>
      <c r="B8992" t="s">
        <v>9503</v>
      </c>
      <c r="C8992" t="s">
        <v>433</v>
      </c>
      <c r="D8992" s="107">
        <v>4380.12</v>
      </c>
    </row>
    <row r="8993" spans="1:4">
      <c r="A8993">
        <v>2358</v>
      </c>
      <c r="B8993" t="s">
        <v>9504</v>
      </c>
      <c r="C8993" t="s">
        <v>432</v>
      </c>
      <c r="D8993" s="106">
        <v>19.809999999999999</v>
      </c>
    </row>
    <row r="8994" spans="1:4">
      <c r="A8994">
        <v>40807</v>
      </c>
      <c r="B8994" t="s">
        <v>9505</v>
      </c>
      <c r="C8994" t="s">
        <v>433</v>
      </c>
      <c r="D8994" s="107">
        <v>3501.16</v>
      </c>
    </row>
    <row r="8995" spans="1:4">
      <c r="A8995">
        <v>2359</v>
      </c>
      <c r="B8995" t="s">
        <v>9506</v>
      </c>
      <c r="C8995" t="s">
        <v>432</v>
      </c>
      <c r="D8995" s="106">
        <v>19.79</v>
      </c>
    </row>
    <row r="8996" spans="1:4">
      <c r="A8996">
        <v>40808</v>
      </c>
      <c r="B8996" t="s">
        <v>9507</v>
      </c>
      <c r="C8996" t="s">
        <v>433</v>
      </c>
      <c r="D8996" s="107">
        <v>3500.18</v>
      </c>
    </row>
    <row r="8997" spans="1:4">
      <c r="A8997">
        <v>44330</v>
      </c>
      <c r="B8997" t="s">
        <v>9508</v>
      </c>
      <c r="C8997" t="s">
        <v>428</v>
      </c>
      <c r="D8997" s="106">
        <v>6.59</v>
      </c>
    </row>
    <row r="8998" spans="1:4">
      <c r="A8998">
        <v>43144</v>
      </c>
      <c r="B8998" t="s">
        <v>9509</v>
      </c>
      <c r="C8998" t="s">
        <v>430</v>
      </c>
      <c r="D8998" s="106">
        <v>28.53</v>
      </c>
    </row>
    <row r="8999" spans="1:4">
      <c r="A8999">
        <v>39397</v>
      </c>
      <c r="B8999" t="s">
        <v>9510</v>
      </c>
      <c r="C8999" t="s">
        <v>428</v>
      </c>
      <c r="D8999" s="106">
        <v>13</v>
      </c>
    </row>
    <row r="9000" spans="1:4">
      <c r="A9000">
        <v>2692</v>
      </c>
      <c r="B9000" t="s">
        <v>9511</v>
      </c>
      <c r="C9000" t="s">
        <v>428</v>
      </c>
      <c r="D9000" s="106">
        <v>5.24</v>
      </c>
    </row>
    <row r="9001" spans="1:4">
      <c r="A9001">
        <v>44329</v>
      </c>
      <c r="B9001" t="s">
        <v>9512</v>
      </c>
      <c r="C9001" t="s">
        <v>428</v>
      </c>
      <c r="D9001" s="106">
        <v>8.64</v>
      </c>
    </row>
    <row r="9002" spans="1:4">
      <c r="A9002">
        <v>5318</v>
      </c>
      <c r="B9002" t="s">
        <v>9513</v>
      </c>
      <c r="C9002" t="s">
        <v>428</v>
      </c>
      <c r="D9002" s="106">
        <v>13.98</v>
      </c>
    </row>
    <row r="9003" spans="1:4">
      <c r="A9003">
        <v>5330</v>
      </c>
      <c r="B9003" t="s">
        <v>9514</v>
      </c>
      <c r="C9003" t="s">
        <v>428</v>
      </c>
      <c r="D9003" s="106">
        <v>31.86</v>
      </c>
    </row>
    <row r="9004" spans="1:4">
      <c r="A9004">
        <v>44532</v>
      </c>
      <c r="B9004" t="s">
        <v>13440</v>
      </c>
      <c r="C9004" t="s">
        <v>427</v>
      </c>
      <c r="D9004" s="106">
        <v>36.78</v>
      </c>
    </row>
    <row r="9005" spans="1:4">
      <c r="A9005">
        <v>44531</v>
      </c>
      <c r="B9005" t="s">
        <v>13441</v>
      </c>
      <c r="C9005" t="s">
        <v>427</v>
      </c>
      <c r="D9005" s="106">
        <v>116.9</v>
      </c>
    </row>
    <row r="9006" spans="1:4">
      <c r="A9006">
        <v>38140</v>
      </c>
      <c r="B9006" t="s">
        <v>9515</v>
      </c>
      <c r="C9006" t="s">
        <v>427</v>
      </c>
      <c r="D9006" s="106">
        <v>28.35</v>
      </c>
    </row>
    <row r="9007" spans="1:4">
      <c r="A9007">
        <v>13887</v>
      </c>
      <c r="B9007" t="s">
        <v>9516</v>
      </c>
      <c r="C9007" t="s">
        <v>427</v>
      </c>
      <c r="D9007" s="106">
        <v>671.2</v>
      </c>
    </row>
    <row r="9008" spans="1:4">
      <c r="A9008">
        <v>44495</v>
      </c>
      <c r="B9008" t="s">
        <v>13442</v>
      </c>
      <c r="C9008" t="s">
        <v>427</v>
      </c>
      <c r="D9008" s="106">
        <v>29.88</v>
      </c>
    </row>
    <row r="9009" spans="1:4">
      <c r="A9009">
        <v>44533</v>
      </c>
      <c r="B9009" t="s">
        <v>13443</v>
      </c>
      <c r="C9009" t="s">
        <v>427</v>
      </c>
      <c r="D9009" s="106">
        <v>28.21</v>
      </c>
    </row>
    <row r="9010" spans="1:4">
      <c r="A9010">
        <v>44534</v>
      </c>
      <c r="B9010" t="s">
        <v>13444</v>
      </c>
      <c r="C9010" t="s">
        <v>427</v>
      </c>
      <c r="D9010" s="106">
        <v>7.35</v>
      </c>
    </row>
    <row r="9011" spans="1:4">
      <c r="A9011">
        <v>34544</v>
      </c>
      <c r="B9011" t="s">
        <v>9517</v>
      </c>
      <c r="C9011" t="s">
        <v>427</v>
      </c>
      <c r="D9011" s="107">
        <v>1596.19</v>
      </c>
    </row>
    <row r="9012" spans="1:4">
      <c r="A9012">
        <v>34729</v>
      </c>
      <c r="B9012" t="s">
        <v>9518</v>
      </c>
      <c r="C9012" t="s">
        <v>427</v>
      </c>
      <c r="D9012" s="107">
        <v>1255.6500000000001</v>
      </c>
    </row>
    <row r="9013" spans="1:4">
      <c r="A9013">
        <v>34734</v>
      </c>
      <c r="B9013" t="s">
        <v>9519</v>
      </c>
      <c r="C9013" t="s">
        <v>427</v>
      </c>
      <c r="D9013" s="107">
        <v>1944.14</v>
      </c>
    </row>
    <row r="9014" spans="1:4">
      <c r="A9014">
        <v>34738</v>
      </c>
      <c r="B9014" t="s">
        <v>9520</v>
      </c>
      <c r="C9014" t="s">
        <v>427</v>
      </c>
      <c r="D9014" s="107">
        <v>4542.13</v>
      </c>
    </row>
    <row r="9015" spans="1:4">
      <c r="A9015">
        <v>2391</v>
      </c>
      <c r="B9015" t="s">
        <v>9521</v>
      </c>
      <c r="C9015" t="s">
        <v>427</v>
      </c>
      <c r="D9015" s="106">
        <v>369.42</v>
      </c>
    </row>
    <row r="9016" spans="1:4">
      <c r="A9016">
        <v>2374</v>
      </c>
      <c r="B9016" t="s">
        <v>9522</v>
      </c>
      <c r="C9016" t="s">
        <v>427</v>
      </c>
      <c r="D9016" s="106">
        <v>419.1</v>
      </c>
    </row>
    <row r="9017" spans="1:4">
      <c r="A9017">
        <v>2377</v>
      </c>
      <c r="B9017" t="s">
        <v>9523</v>
      </c>
      <c r="C9017" t="s">
        <v>427</v>
      </c>
      <c r="D9017" s="106">
        <v>588.16</v>
      </c>
    </row>
    <row r="9018" spans="1:4">
      <c r="A9018">
        <v>2393</v>
      </c>
      <c r="B9018" t="s">
        <v>9524</v>
      </c>
      <c r="C9018" t="s">
        <v>427</v>
      </c>
      <c r="D9018" s="106">
        <v>984.96</v>
      </c>
    </row>
    <row r="9019" spans="1:4">
      <c r="A9019">
        <v>34705</v>
      </c>
      <c r="B9019" t="s">
        <v>9525</v>
      </c>
      <c r="C9019" t="s">
        <v>427</v>
      </c>
      <c r="D9019" s="106">
        <v>861.49</v>
      </c>
    </row>
    <row r="9020" spans="1:4">
      <c r="A9020">
        <v>34707</v>
      </c>
      <c r="B9020" t="s">
        <v>9526</v>
      </c>
      <c r="C9020" t="s">
        <v>427</v>
      </c>
      <c r="D9020" s="107">
        <v>1596.35</v>
      </c>
    </row>
    <row r="9021" spans="1:4">
      <c r="A9021">
        <v>2378</v>
      </c>
      <c r="B9021" t="s">
        <v>9527</v>
      </c>
      <c r="C9021" t="s">
        <v>427</v>
      </c>
      <c r="D9021" s="107">
        <v>1352.97</v>
      </c>
    </row>
    <row r="9022" spans="1:4">
      <c r="A9022">
        <v>2379</v>
      </c>
      <c r="B9022" t="s">
        <v>9528</v>
      </c>
      <c r="C9022" t="s">
        <v>427</v>
      </c>
      <c r="D9022" s="107">
        <v>1352.97</v>
      </c>
    </row>
    <row r="9023" spans="1:4">
      <c r="A9023">
        <v>2376</v>
      </c>
      <c r="B9023" t="s">
        <v>9529</v>
      </c>
      <c r="C9023" t="s">
        <v>427</v>
      </c>
      <c r="D9023" s="107">
        <v>2228.34</v>
      </c>
    </row>
    <row r="9024" spans="1:4">
      <c r="A9024">
        <v>2394</v>
      </c>
      <c r="B9024" t="s">
        <v>9530</v>
      </c>
      <c r="C9024" t="s">
        <v>427</v>
      </c>
      <c r="D9024" s="107">
        <v>4763.78</v>
      </c>
    </row>
    <row r="9025" spans="1:4">
      <c r="A9025">
        <v>34686</v>
      </c>
      <c r="B9025" t="s">
        <v>9531</v>
      </c>
      <c r="C9025" t="s">
        <v>427</v>
      </c>
      <c r="D9025" s="106">
        <v>14.3</v>
      </c>
    </row>
    <row r="9026" spans="1:4">
      <c r="A9026">
        <v>34616</v>
      </c>
      <c r="B9026" t="s">
        <v>9532</v>
      </c>
      <c r="C9026" t="s">
        <v>427</v>
      </c>
      <c r="D9026" s="106">
        <v>55.28</v>
      </c>
    </row>
    <row r="9027" spans="1:4">
      <c r="A9027">
        <v>34623</v>
      </c>
      <c r="B9027" t="s">
        <v>9533</v>
      </c>
      <c r="C9027" t="s">
        <v>427</v>
      </c>
      <c r="D9027" s="106">
        <v>54.43</v>
      </c>
    </row>
    <row r="9028" spans="1:4">
      <c r="A9028">
        <v>34628</v>
      </c>
      <c r="B9028" t="s">
        <v>9534</v>
      </c>
      <c r="C9028" t="s">
        <v>427</v>
      </c>
      <c r="D9028" s="106">
        <v>77.959999999999994</v>
      </c>
    </row>
    <row r="9029" spans="1:4">
      <c r="A9029">
        <v>34653</v>
      </c>
      <c r="B9029" t="s">
        <v>9535</v>
      </c>
      <c r="C9029" t="s">
        <v>427</v>
      </c>
      <c r="D9029" s="106">
        <v>9.64</v>
      </c>
    </row>
    <row r="9030" spans="1:4">
      <c r="A9030">
        <v>34688</v>
      </c>
      <c r="B9030" t="s">
        <v>9536</v>
      </c>
      <c r="C9030" t="s">
        <v>427</v>
      </c>
      <c r="D9030" s="106">
        <v>17.47</v>
      </c>
    </row>
    <row r="9031" spans="1:4">
      <c r="A9031">
        <v>34709</v>
      </c>
      <c r="B9031" t="s">
        <v>9537</v>
      </c>
      <c r="C9031" t="s">
        <v>427</v>
      </c>
      <c r="D9031" s="106">
        <v>67.73</v>
      </c>
    </row>
    <row r="9032" spans="1:4">
      <c r="A9032">
        <v>34714</v>
      </c>
      <c r="B9032" t="s">
        <v>9538</v>
      </c>
      <c r="C9032" t="s">
        <v>427</v>
      </c>
      <c r="D9032" s="106">
        <v>80.89</v>
      </c>
    </row>
    <row r="9033" spans="1:4">
      <c r="A9033">
        <v>2388</v>
      </c>
      <c r="B9033" t="s">
        <v>9539</v>
      </c>
      <c r="C9033" t="s">
        <v>427</v>
      </c>
      <c r="D9033" s="106">
        <v>67.22</v>
      </c>
    </row>
    <row r="9034" spans="1:4">
      <c r="A9034">
        <v>34606</v>
      </c>
      <c r="B9034" t="s">
        <v>9540</v>
      </c>
      <c r="C9034" t="s">
        <v>427</v>
      </c>
      <c r="D9034" s="106">
        <v>103.11</v>
      </c>
    </row>
    <row r="9035" spans="1:4">
      <c r="A9035">
        <v>34689</v>
      </c>
      <c r="B9035" t="s">
        <v>9541</v>
      </c>
      <c r="C9035" t="s">
        <v>427</v>
      </c>
      <c r="D9035" s="106">
        <v>32.82</v>
      </c>
    </row>
    <row r="9036" spans="1:4">
      <c r="A9036">
        <v>2370</v>
      </c>
      <c r="B9036" t="s">
        <v>9542</v>
      </c>
      <c r="C9036" t="s">
        <v>427</v>
      </c>
      <c r="D9036" s="106">
        <v>12.49</v>
      </c>
    </row>
    <row r="9037" spans="1:4">
      <c r="A9037">
        <v>2386</v>
      </c>
      <c r="B9037" t="s">
        <v>9543</v>
      </c>
      <c r="C9037" t="s">
        <v>427</v>
      </c>
      <c r="D9037" s="106">
        <v>20.95</v>
      </c>
    </row>
    <row r="9038" spans="1:4">
      <c r="A9038">
        <v>2392</v>
      </c>
      <c r="B9038" t="s">
        <v>9544</v>
      </c>
      <c r="C9038" t="s">
        <v>427</v>
      </c>
      <c r="D9038" s="106">
        <v>83.84</v>
      </c>
    </row>
    <row r="9039" spans="1:4">
      <c r="A9039">
        <v>2373</v>
      </c>
      <c r="B9039" t="s">
        <v>9545</v>
      </c>
      <c r="C9039" t="s">
        <v>427</v>
      </c>
      <c r="D9039" s="106">
        <v>118.13</v>
      </c>
    </row>
    <row r="9040" spans="1:4">
      <c r="A9040">
        <v>39465</v>
      </c>
      <c r="B9040" t="s">
        <v>9546</v>
      </c>
      <c r="C9040" t="s">
        <v>427</v>
      </c>
      <c r="D9040" s="106">
        <v>72.16</v>
      </c>
    </row>
    <row r="9041" spans="1:4">
      <c r="A9041">
        <v>39466</v>
      </c>
      <c r="B9041" t="s">
        <v>9547</v>
      </c>
      <c r="C9041" t="s">
        <v>427</v>
      </c>
      <c r="D9041" s="106">
        <v>81.180000000000007</v>
      </c>
    </row>
    <row r="9042" spans="1:4">
      <c r="A9042">
        <v>39467</v>
      </c>
      <c r="B9042" t="s">
        <v>9548</v>
      </c>
      <c r="C9042" t="s">
        <v>427</v>
      </c>
      <c r="D9042" s="106">
        <v>103.84</v>
      </c>
    </row>
    <row r="9043" spans="1:4">
      <c r="A9043">
        <v>39468</v>
      </c>
      <c r="B9043" t="s">
        <v>9549</v>
      </c>
      <c r="C9043" t="s">
        <v>427</v>
      </c>
      <c r="D9043" s="106">
        <v>184.58</v>
      </c>
    </row>
    <row r="9044" spans="1:4">
      <c r="A9044">
        <v>39469</v>
      </c>
      <c r="B9044" t="s">
        <v>9550</v>
      </c>
      <c r="C9044" t="s">
        <v>427</v>
      </c>
      <c r="D9044" s="106">
        <v>75.180000000000007</v>
      </c>
    </row>
    <row r="9045" spans="1:4">
      <c r="A9045">
        <v>39470</v>
      </c>
      <c r="B9045" t="s">
        <v>9551</v>
      </c>
      <c r="C9045" t="s">
        <v>427</v>
      </c>
      <c r="D9045" s="106">
        <v>92.38</v>
      </c>
    </row>
    <row r="9046" spans="1:4">
      <c r="A9046">
        <v>39471</v>
      </c>
      <c r="B9046" t="s">
        <v>9552</v>
      </c>
      <c r="C9046" t="s">
        <v>427</v>
      </c>
      <c r="D9046" s="106">
        <v>111.02</v>
      </c>
    </row>
    <row r="9047" spans="1:4">
      <c r="A9047">
        <v>39472</v>
      </c>
      <c r="B9047" t="s">
        <v>9553</v>
      </c>
      <c r="C9047" t="s">
        <v>427</v>
      </c>
      <c r="D9047" s="106">
        <v>192.9</v>
      </c>
    </row>
    <row r="9048" spans="1:4">
      <c r="A9048">
        <v>39473</v>
      </c>
      <c r="B9048" t="s">
        <v>9554</v>
      </c>
      <c r="C9048" t="s">
        <v>427</v>
      </c>
      <c r="D9048" s="106">
        <v>124.61</v>
      </c>
    </row>
    <row r="9049" spans="1:4">
      <c r="A9049">
        <v>39474</v>
      </c>
      <c r="B9049" t="s">
        <v>9555</v>
      </c>
      <c r="C9049" t="s">
        <v>427</v>
      </c>
      <c r="D9049" s="106">
        <v>132.84</v>
      </c>
    </row>
    <row r="9050" spans="1:4">
      <c r="A9050">
        <v>39475</v>
      </c>
      <c r="B9050" t="s">
        <v>9556</v>
      </c>
      <c r="C9050" t="s">
        <v>427</v>
      </c>
      <c r="D9050" s="106">
        <v>150.72</v>
      </c>
    </row>
    <row r="9051" spans="1:4">
      <c r="A9051">
        <v>39476</v>
      </c>
      <c r="B9051" t="s">
        <v>9557</v>
      </c>
      <c r="C9051" t="s">
        <v>427</v>
      </c>
      <c r="D9051" s="106">
        <v>283.73</v>
      </c>
    </row>
    <row r="9052" spans="1:4">
      <c r="A9052">
        <v>39477</v>
      </c>
      <c r="B9052" t="s">
        <v>9558</v>
      </c>
      <c r="C9052" t="s">
        <v>427</v>
      </c>
      <c r="D9052" s="106">
        <v>139.02000000000001</v>
      </c>
    </row>
    <row r="9053" spans="1:4">
      <c r="A9053">
        <v>39478</v>
      </c>
      <c r="B9053" t="s">
        <v>9559</v>
      </c>
      <c r="C9053" t="s">
        <v>427</v>
      </c>
      <c r="D9053" s="106">
        <v>143.32</v>
      </c>
    </row>
    <row r="9054" spans="1:4">
      <c r="A9054">
        <v>39479</v>
      </c>
      <c r="B9054" t="s">
        <v>9560</v>
      </c>
      <c r="C9054" t="s">
        <v>427</v>
      </c>
      <c r="D9054" s="106">
        <v>168.86</v>
      </c>
    </row>
    <row r="9055" spans="1:4">
      <c r="A9055">
        <v>39480</v>
      </c>
      <c r="B9055" t="s">
        <v>9561</v>
      </c>
      <c r="C9055" t="s">
        <v>427</v>
      </c>
      <c r="D9055" s="106">
        <v>348.44</v>
      </c>
    </row>
    <row r="9056" spans="1:4">
      <c r="A9056">
        <v>39459</v>
      </c>
      <c r="B9056" t="s">
        <v>9562</v>
      </c>
      <c r="C9056" t="s">
        <v>427</v>
      </c>
      <c r="D9056" s="106">
        <v>295.74</v>
      </c>
    </row>
    <row r="9057" spans="1:4">
      <c r="A9057">
        <v>39445</v>
      </c>
      <c r="B9057" t="s">
        <v>9563</v>
      </c>
      <c r="C9057" t="s">
        <v>427</v>
      </c>
      <c r="D9057" s="106">
        <v>148.49</v>
      </c>
    </row>
    <row r="9058" spans="1:4">
      <c r="A9058">
        <v>39446</v>
      </c>
      <c r="B9058" t="s">
        <v>9564</v>
      </c>
      <c r="C9058" t="s">
        <v>427</v>
      </c>
      <c r="D9058" s="106">
        <v>151.13</v>
      </c>
    </row>
    <row r="9059" spans="1:4">
      <c r="A9059">
        <v>39447</v>
      </c>
      <c r="B9059" t="s">
        <v>9565</v>
      </c>
      <c r="C9059" t="s">
        <v>427</v>
      </c>
      <c r="D9059" s="106">
        <v>161.62</v>
      </c>
    </row>
    <row r="9060" spans="1:4">
      <c r="A9060">
        <v>39448</v>
      </c>
      <c r="B9060" t="s">
        <v>9566</v>
      </c>
      <c r="C9060" t="s">
        <v>427</v>
      </c>
      <c r="D9060" s="106">
        <v>275.58999999999997</v>
      </c>
    </row>
    <row r="9061" spans="1:4">
      <c r="A9061">
        <v>39450</v>
      </c>
      <c r="B9061" t="s">
        <v>9567</v>
      </c>
      <c r="C9061" t="s">
        <v>427</v>
      </c>
      <c r="D9061" s="106">
        <v>168.14</v>
      </c>
    </row>
    <row r="9062" spans="1:4">
      <c r="A9062">
        <v>39451</v>
      </c>
      <c r="B9062" t="s">
        <v>9568</v>
      </c>
      <c r="C9062" t="s">
        <v>427</v>
      </c>
      <c r="D9062" s="106">
        <v>183.39</v>
      </c>
    </row>
    <row r="9063" spans="1:4">
      <c r="A9063">
        <v>39452</v>
      </c>
      <c r="B9063" t="s">
        <v>9569</v>
      </c>
      <c r="C9063" t="s">
        <v>427</v>
      </c>
      <c r="D9063" s="106">
        <v>184.49</v>
      </c>
    </row>
    <row r="9064" spans="1:4">
      <c r="A9064">
        <v>39523</v>
      </c>
      <c r="B9064" t="s">
        <v>9570</v>
      </c>
      <c r="C9064" t="s">
        <v>427</v>
      </c>
      <c r="D9064" s="106">
        <v>308.73</v>
      </c>
    </row>
    <row r="9065" spans="1:4">
      <c r="A9065">
        <v>39449</v>
      </c>
      <c r="B9065" t="s">
        <v>9571</v>
      </c>
      <c r="C9065" t="s">
        <v>427</v>
      </c>
      <c r="D9065" s="106">
        <v>341.9</v>
      </c>
    </row>
    <row r="9066" spans="1:4">
      <c r="A9066">
        <v>39455</v>
      </c>
      <c r="B9066" t="s">
        <v>9572</v>
      </c>
      <c r="C9066" t="s">
        <v>427</v>
      </c>
      <c r="D9066" s="106">
        <v>169.18</v>
      </c>
    </row>
    <row r="9067" spans="1:4">
      <c r="A9067">
        <v>39456</v>
      </c>
      <c r="B9067" t="s">
        <v>9573</v>
      </c>
      <c r="C9067" t="s">
        <v>427</v>
      </c>
      <c r="D9067" s="106">
        <v>169.3</v>
      </c>
    </row>
    <row r="9068" spans="1:4">
      <c r="A9068">
        <v>39457</v>
      </c>
      <c r="B9068" t="s">
        <v>9574</v>
      </c>
      <c r="C9068" t="s">
        <v>427</v>
      </c>
      <c r="D9068" s="106">
        <v>184.57</v>
      </c>
    </row>
    <row r="9069" spans="1:4">
      <c r="A9069">
        <v>39458</v>
      </c>
      <c r="B9069" t="s">
        <v>9575</v>
      </c>
      <c r="C9069" t="s">
        <v>427</v>
      </c>
      <c r="D9069" s="106">
        <v>344.42</v>
      </c>
    </row>
    <row r="9070" spans="1:4">
      <c r="A9070">
        <v>39464</v>
      </c>
      <c r="B9070" t="s">
        <v>9576</v>
      </c>
      <c r="C9070" t="s">
        <v>427</v>
      </c>
      <c r="D9070" s="106">
        <v>553.86</v>
      </c>
    </row>
    <row r="9071" spans="1:4">
      <c r="A9071">
        <v>39460</v>
      </c>
      <c r="B9071" t="s">
        <v>9577</v>
      </c>
      <c r="C9071" t="s">
        <v>427</v>
      </c>
      <c r="D9071" s="106">
        <v>210.06</v>
      </c>
    </row>
    <row r="9072" spans="1:4">
      <c r="A9072">
        <v>39461</v>
      </c>
      <c r="B9072" t="s">
        <v>9578</v>
      </c>
      <c r="C9072" t="s">
        <v>427</v>
      </c>
      <c r="D9072" s="106">
        <v>246.15</v>
      </c>
    </row>
    <row r="9073" spans="1:4">
      <c r="A9073">
        <v>39462</v>
      </c>
      <c r="B9073" t="s">
        <v>9579</v>
      </c>
      <c r="C9073" t="s">
        <v>427</v>
      </c>
      <c r="D9073" s="106">
        <v>237.22</v>
      </c>
    </row>
    <row r="9074" spans="1:4">
      <c r="A9074">
        <v>39463</v>
      </c>
      <c r="B9074" t="s">
        <v>9580</v>
      </c>
      <c r="C9074" t="s">
        <v>427</v>
      </c>
      <c r="D9074" s="106">
        <v>549.55999999999995</v>
      </c>
    </row>
    <row r="9075" spans="1:4">
      <c r="A9075">
        <v>26039</v>
      </c>
      <c r="B9075" t="s">
        <v>9581</v>
      </c>
      <c r="C9075" t="s">
        <v>427</v>
      </c>
      <c r="D9075" s="107">
        <v>356844.13</v>
      </c>
    </row>
    <row r="9076" spans="1:4">
      <c r="A9076">
        <v>2401</v>
      </c>
      <c r="B9076" t="s">
        <v>9582</v>
      </c>
      <c r="C9076" t="s">
        <v>427</v>
      </c>
      <c r="D9076" s="107">
        <v>82078.100000000006</v>
      </c>
    </row>
    <row r="9077" spans="1:4">
      <c r="A9077">
        <v>38870</v>
      </c>
      <c r="B9077" t="s">
        <v>9583</v>
      </c>
      <c r="C9077" t="s">
        <v>427</v>
      </c>
      <c r="D9077" s="106">
        <v>53.58</v>
      </c>
    </row>
    <row r="9078" spans="1:4">
      <c r="A9078">
        <v>38869</v>
      </c>
      <c r="B9078" t="s">
        <v>9584</v>
      </c>
      <c r="C9078" t="s">
        <v>427</v>
      </c>
      <c r="D9078" s="106">
        <v>47.26</v>
      </c>
    </row>
    <row r="9079" spans="1:4">
      <c r="A9079">
        <v>38872</v>
      </c>
      <c r="B9079" t="s">
        <v>9585</v>
      </c>
      <c r="C9079" t="s">
        <v>427</v>
      </c>
      <c r="D9079" s="106">
        <v>73.19</v>
      </c>
    </row>
    <row r="9080" spans="1:4">
      <c r="A9080">
        <v>38871</v>
      </c>
      <c r="B9080" t="s">
        <v>9586</v>
      </c>
      <c r="C9080" t="s">
        <v>427</v>
      </c>
      <c r="D9080" s="106">
        <v>58.87</v>
      </c>
    </row>
    <row r="9081" spans="1:4">
      <c r="A9081">
        <v>39283</v>
      </c>
      <c r="B9081" t="s">
        <v>9587</v>
      </c>
      <c r="C9081" t="s">
        <v>427</v>
      </c>
      <c r="D9081" s="106">
        <v>183.37</v>
      </c>
    </row>
    <row r="9082" spans="1:4">
      <c r="A9082">
        <v>39284</v>
      </c>
      <c r="B9082" t="s">
        <v>9588</v>
      </c>
      <c r="C9082" t="s">
        <v>427</v>
      </c>
      <c r="D9082" s="106">
        <v>198.72</v>
      </c>
    </row>
    <row r="9083" spans="1:4">
      <c r="A9083">
        <v>39285</v>
      </c>
      <c r="B9083" t="s">
        <v>9589</v>
      </c>
      <c r="C9083" t="s">
        <v>427</v>
      </c>
      <c r="D9083" s="106">
        <v>201.58</v>
      </c>
    </row>
    <row r="9084" spans="1:4">
      <c r="A9084">
        <v>39286</v>
      </c>
      <c r="B9084" t="s">
        <v>9590</v>
      </c>
      <c r="C9084" t="s">
        <v>427</v>
      </c>
      <c r="D9084" s="106">
        <v>197.19</v>
      </c>
    </row>
    <row r="9085" spans="1:4">
      <c r="A9085">
        <v>39287</v>
      </c>
      <c r="B9085" t="s">
        <v>9591</v>
      </c>
      <c r="C9085" t="s">
        <v>427</v>
      </c>
      <c r="D9085" s="106">
        <v>231.54</v>
      </c>
    </row>
    <row r="9086" spans="1:4">
      <c r="A9086">
        <v>39288</v>
      </c>
      <c r="B9086" t="s">
        <v>9592</v>
      </c>
      <c r="C9086" t="s">
        <v>427</v>
      </c>
      <c r="D9086" s="106">
        <v>247.1</v>
      </c>
    </row>
    <row r="9087" spans="1:4">
      <c r="A9087">
        <v>44476</v>
      </c>
      <c r="B9087" t="s">
        <v>9593</v>
      </c>
      <c r="C9087" t="s">
        <v>426</v>
      </c>
      <c r="D9087" s="106">
        <v>623.16999999999996</v>
      </c>
    </row>
    <row r="9088" spans="1:4">
      <c r="A9088">
        <v>10629</v>
      </c>
      <c r="B9088" t="s">
        <v>9594</v>
      </c>
      <c r="C9088" t="s">
        <v>426</v>
      </c>
      <c r="D9088" s="106">
        <v>586.85</v>
      </c>
    </row>
    <row r="9089" spans="1:4">
      <c r="A9089">
        <v>10698</v>
      </c>
      <c r="B9089" t="s">
        <v>9595</v>
      </c>
      <c r="C9089" t="s">
        <v>426</v>
      </c>
      <c r="D9089" s="106">
        <v>168.34</v>
      </c>
    </row>
    <row r="9090" spans="1:4">
      <c r="A9090">
        <v>40521</v>
      </c>
      <c r="B9090" t="s">
        <v>9596</v>
      </c>
      <c r="C9090" t="s">
        <v>427</v>
      </c>
      <c r="D9090" s="107">
        <v>141829.41</v>
      </c>
    </row>
    <row r="9091" spans="1:4">
      <c r="A9091">
        <v>2432</v>
      </c>
      <c r="B9091" t="s">
        <v>9597</v>
      </c>
      <c r="C9091" t="s">
        <v>427</v>
      </c>
      <c r="D9091" s="106">
        <v>21.53</v>
      </c>
    </row>
    <row r="9092" spans="1:4">
      <c r="A9092">
        <v>2433</v>
      </c>
      <c r="B9092" t="s">
        <v>9598</v>
      </c>
      <c r="C9092" t="s">
        <v>427</v>
      </c>
      <c r="D9092" s="106">
        <v>7.29</v>
      </c>
    </row>
    <row r="9093" spans="1:4">
      <c r="A9093">
        <v>2420</v>
      </c>
      <c r="B9093" t="s">
        <v>9599</v>
      </c>
      <c r="C9093" t="s">
        <v>427</v>
      </c>
      <c r="D9093" s="106">
        <v>12.53</v>
      </c>
    </row>
    <row r="9094" spans="1:4">
      <c r="A9094">
        <v>11447</v>
      </c>
      <c r="B9094" t="s">
        <v>9600</v>
      </c>
      <c r="C9094" t="s">
        <v>427</v>
      </c>
      <c r="D9094" s="106">
        <v>24.76</v>
      </c>
    </row>
    <row r="9095" spans="1:4">
      <c r="A9095">
        <v>11451</v>
      </c>
      <c r="B9095" t="s">
        <v>9601</v>
      </c>
      <c r="C9095" t="s">
        <v>427</v>
      </c>
      <c r="D9095" s="106">
        <v>66.38</v>
      </c>
    </row>
    <row r="9096" spans="1:4">
      <c r="A9096">
        <v>11116</v>
      </c>
      <c r="B9096" t="s">
        <v>9602</v>
      </c>
      <c r="C9096" t="s">
        <v>427</v>
      </c>
      <c r="D9096" s="106">
        <v>570.61</v>
      </c>
    </row>
    <row r="9097" spans="1:4">
      <c r="A9097">
        <v>38411</v>
      </c>
      <c r="B9097" t="s">
        <v>9603</v>
      </c>
      <c r="C9097" t="s">
        <v>427</v>
      </c>
      <c r="D9097" s="107">
        <v>1755.93</v>
      </c>
    </row>
    <row r="9098" spans="1:4">
      <c r="A9098">
        <v>38189</v>
      </c>
      <c r="B9098" t="s">
        <v>9604</v>
      </c>
      <c r="C9098" t="s">
        <v>427</v>
      </c>
      <c r="D9098" s="106">
        <v>151.16999999999999</v>
      </c>
    </row>
    <row r="9099" spans="1:4">
      <c r="A9099">
        <v>38190</v>
      </c>
      <c r="B9099" t="s">
        <v>9605</v>
      </c>
      <c r="C9099" t="s">
        <v>427</v>
      </c>
      <c r="D9099" s="106">
        <v>318.47000000000003</v>
      </c>
    </row>
    <row r="9100" spans="1:4">
      <c r="A9100">
        <v>7608</v>
      </c>
      <c r="B9100" t="s">
        <v>9606</v>
      </c>
      <c r="C9100" t="s">
        <v>427</v>
      </c>
      <c r="D9100" s="106">
        <v>12.28</v>
      </c>
    </row>
    <row r="9101" spans="1:4">
      <c r="A9101">
        <v>1370</v>
      </c>
      <c r="B9101" t="s">
        <v>9607</v>
      </c>
      <c r="C9101" t="s">
        <v>427</v>
      </c>
      <c r="D9101" s="106">
        <v>101.72</v>
      </c>
    </row>
    <row r="9102" spans="1:4">
      <c r="A9102">
        <v>36516</v>
      </c>
      <c r="B9102" t="s">
        <v>9608</v>
      </c>
      <c r="C9102" t="s">
        <v>427</v>
      </c>
      <c r="D9102" s="107">
        <v>132009.32</v>
      </c>
    </row>
    <row r="9103" spans="1:4">
      <c r="A9103">
        <v>34777</v>
      </c>
      <c r="B9103" t="s">
        <v>9609</v>
      </c>
      <c r="C9103" t="s">
        <v>427</v>
      </c>
      <c r="D9103" s="106">
        <v>3.33</v>
      </c>
    </row>
    <row r="9104" spans="1:4">
      <c r="A9104">
        <v>7272</v>
      </c>
      <c r="B9104" t="s">
        <v>9610</v>
      </c>
      <c r="C9104" t="s">
        <v>427</v>
      </c>
      <c r="D9104" s="106">
        <v>2.81</v>
      </c>
    </row>
    <row r="9105" spans="1:4">
      <c r="A9105">
        <v>10605</v>
      </c>
      <c r="B9105" t="s">
        <v>9611</v>
      </c>
      <c r="C9105" t="s">
        <v>427</v>
      </c>
      <c r="D9105" s="106">
        <v>4.72</v>
      </c>
    </row>
    <row r="9106" spans="1:4">
      <c r="A9106">
        <v>10604</v>
      </c>
      <c r="B9106" t="s">
        <v>9612</v>
      </c>
      <c r="C9106" t="s">
        <v>427</v>
      </c>
      <c r="D9106" s="106">
        <v>11.02</v>
      </c>
    </row>
    <row r="9107" spans="1:4">
      <c r="A9107">
        <v>672</v>
      </c>
      <c r="B9107" t="s">
        <v>9613</v>
      </c>
      <c r="C9107" t="s">
        <v>427</v>
      </c>
      <c r="D9107" s="106">
        <v>15.15</v>
      </c>
    </row>
    <row r="9108" spans="1:4">
      <c r="A9108">
        <v>668</v>
      </c>
      <c r="B9108" t="s">
        <v>9614</v>
      </c>
      <c r="C9108" t="s">
        <v>427</v>
      </c>
      <c r="D9108" s="106">
        <v>18.29</v>
      </c>
    </row>
    <row r="9109" spans="1:4">
      <c r="A9109">
        <v>10578</v>
      </c>
      <c r="B9109" t="s">
        <v>9615</v>
      </c>
      <c r="C9109" t="s">
        <v>427</v>
      </c>
      <c r="D9109" s="106">
        <v>21.3</v>
      </c>
    </row>
    <row r="9110" spans="1:4">
      <c r="A9110">
        <v>666</v>
      </c>
      <c r="B9110" t="s">
        <v>9616</v>
      </c>
      <c r="C9110" t="s">
        <v>427</v>
      </c>
      <c r="D9110" s="106">
        <v>23.69</v>
      </c>
    </row>
    <row r="9111" spans="1:4">
      <c r="A9111">
        <v>665</v>
      </c>
      <c r="B9111" t="s">
        <v>9617</v>
      </c>
      <c r="C9111" t="s">
        <v>427</v>
      </c>
      <c r="D9111" s="106">
        <v>31.68</v>
      </c>
    </row>
    <row r="9112" spans="1:4">
      <c r="A9112">
        <v>10577</v>
      </c>
      <c r="B9112" t="s">
        <v>9618</v>
      </c>
      <c r="C9112" t="s">
        <v>427</v>
      </c>
      <c r="D9112" s="106">
        <v>28.1</v>
      </c>
    </row>
    <row r="9113" spans="1:4">
      <c r="A9113">
        <v>10583</v>
      </c>
      <c r="B9113" t="s">
        <v>9619</v>
      </c>
      <c r="C9113" t="s">
        <v>427</v>
      </c>
      <c r="D9113" s="106">
        <v>14.6</v>
      </c>
    </row>
    <row r="9114" spans="1:4">
      <c r="A9114">
        <v>10579</v>
      </c>
      <c r="B9114" t="s">
        <v>9620</v>
      </c>
      <c r="C9114" t="s">
        <v>427</v>
      </c>
      <c r="D9114" s="106">
        <v>25.44</v>
      </c>
    </row>
    <row r="9115" spans="1:4">
      <c r="A9115">
        <v>10582</v>
      </c>
      <c r="B9115" t="s">
        <v>9621</v>
      </c>
      <c r="C9115" t="s">
        <v>427</v>
      </c>
      <c r="D9115" s="106">
        <v>12.85</v>
      </c>
    </row>
    <row r="9116" spans="1:4">
      <c r="A9116">
        <v>2436</v>
      </c>
      <c r="B9116" t="s">
        <v>9622</v>
      </c>
      <c r="C9116" t="s">
        <v>432</v>
      </c>
      <c r="D9116" s="106">
        <v>16.46</v>
      </c>
    </row>
    <row r="9117" spans="1:4">
      <c r="A9117">
        <v>40918</v>
      </c>
      <c r="B9117" t="s">
        <v>9623</v>
      </c>
      <c r="C9117" t="s">
        <v>433</v>
      </c>
      <c r="D9117" s="107">
        <v>2909.66</v>
      </c>
    </row>
    <row r="9118" spans="1:4">
      <c r="A9118">
        <v>2439</v>
      </c>
      <c r="B9118" t="s">
        <v>9624</v>
      </c>
      <c r="C9118" t="s">
        <v>432</v>
      </c>
      <c r="D9118" s="106">
        <v>16.46</v>
      </c>
    </row>
    <row r="9119" spans="1:4">
      <c r="A9119">
        <v>40923</v>
      </c>
      <c r="B9119" t="s">
        <v>9625</v>
      </c>
      <c r="C9119" t="s">
        <v>433</v>
      </c>
      <c r="D9119" s="107">
        <v>2909.66</v>
      </c>
    </row>
    <row r="9120" spans="1:4">
      <c r="A9120">
        <v>10998</v>
      </c>
      <c r="B9120" t="s">
        <v>9626</v>
      </c>
      <c r="C9120" t="s">
        <v>430</v>
      </c>
      <c r="D9120" s="106">
        <v>30.03</v>
      </c>
    </row>
    <row r="9121" spans="1:4">
      <c r="A9121">
        <v>11002</v>
      </c>
      <c r="B9121" t="s">
        <v>9627</v>
      </c>
      <c r="C9121" t="s">
        <v>430</v>
      </c>
      <c r="D9121" s="106">
        <v>27.51</v>
      </c>
    </row>
    <row r="9122" spans="1:4">
      <c r="A9122">
        <v>10999</v>
      </c>
      <c r="B9122" t="s">
        <v>9628</v>
      </c>
      <c r="C9122" t="s">
        <v>430</v>
      </c>
      <c r="D9122" s="106">
        <v>26.43</v>
      </c>
    </row>
    <row r="9123" spans="1:4">
      <c r="A9123">
        <v>10997</v>
      </c>
      <c r="B9123" t="s">
        <v>9629</v>
      </c>
      <c r="C9123" t="s">
        <v>430</v>
      </c>
      <c r="D9123" s="106">
        <v>28.65</v>
      </c>
    </row>
    <row r="9124" spans="1:4">
      <c r="A9124">
        <v>2685</v>
      </c>
      <c r="B9124" t="s">
        <v>9630</v>
      </c>
      <c r="C9124" t="s">
        <v>429</v>
      </c>
      <c r="D9124" s="106">
        <v>6.15</v>
      </c>
    </row>
    <row r="9125" spans="1:4">
      <c r="A9125">
        <v>2680</v>
      </c>
      <c r="B9125" t="s">
        <v>9631</v>
      </c>
      <c r="C9125" t="s">
        <v>429</v>
      </c>
      <c r="D9125" s="106">
        <v>9</v>
      </c>
    </row>
    <row r="9126" spans="1:4">
      <c r="A9126">
        <v>2684</v>
      </c>
      <c r="B9126" t="s">
        <v>9632</v>
      </c>
      <c r="C9126" t="s">
        <v>429</v>
      </c>
      <c r="D9126" s="106">
        <v>8.18</v>
      </c>
    </row>
    <row r="9127" spans="1:4">
      <c r="A9127">
        <v>2673</v>
      </c>
      <c r="B9127" t="s">
        <v>9633</v>
      </c>
      <c r="C9127" t="s">
        <v>429</v>
      </c>
      <c r="D9127" s="106">
        <v>3.16</v>
      </c>
    </row>
    <row r="9128" spans="1:4">
      <c r="A9128">
        <v>2681</v>
      </c>
      <c r="B9128" t="s">
        <v>9634</v>
      </c>
      <c r="C9128" t="s">
        <v>429</v>
      </c>
      <c r="D9128" s="106">
        <v>14.7</v>
      </c>
    </row>
    <row r="9129" spans="1:4">
      <c r="A9129">
        <v>2682</v>
      </c>
      <c r="B9129" t="s">
        <v>9635</v>
      </c>
      <c r="C9129" t="s">
        <v>429</v>
      </c>
      <c r="D9129" s="106">
        <v>21.45</v>
      </c>
    </row>
    <row r="9130" spans="1:4">
      <c r="A9130">
        <v>2686</v>
      </c>
      <c r="B9130" t="s">
        <v>9636</v>
      </c>
      <c r="C9130" t="s">
        <v>429</v>
      </c>
      <c r="D9130" s="106">
        <v>26.9</v>
      </c>
    </row>
    <row r="9131" spans="1:4">
      <c r="A9131">
        <v>2674</v>
      </c>
      <c r="B9131" t="s">
        <v>9637</v>
      </c>
      <c r="C9131" t="s">
        <v>429</v>
      </c>
      <c r="D9131" s="106">
        <v>3.93</v>
      </c>
    </row>
    <row r="9132" spans="1:4">
      <c r="A9132">
        <v>2683</v>
      </c>
      <c r="B9132" t="s">
        <v>9638</v>
      </c>
      <c r="C9132" t="s">
        <v>429</v>
      </c>
      <c r="D9132" s="106">
        <v>42.39</v>
      </c>
    </row>
    <row r="9133" spans="1:4">
      <c r="A9133">
        <v>2676</v>
      </c>
      <c r="B9133" t="s">
        <v>9639</v>
      </c>
      <c r="C9133" t="s">
        <v>429</v>
      </c>
      <c r="D9133" s="106">
        <v>1.83</v>
      </c>
    </row>
    <row r="9134" spans="1:4">
      <c r="A9134">
        <v>2678</v>
      </c>
      <c r="B9134" t="s">
        <v>9640</v>
      </c>
      <c r="C9134" t="s">
        <v>429</v>
      </c>
      <c r="D9134" s="106">
        <v>2.2999999999999998</v>
      </c>
    </row>
    <row r="9135" spans="1:4">
      <c r="A9135">
        <v>2679</v>
      </c>
      <c r="B9135" t="s">
        <v>9641</v>
      </c>
      <c r="C9135" t="s">
        <v>429</v>
      </c>
      <c r="D9135" s="106">
        <v>3.55</v>
      </c>
    </row>
    <row r="9136" spans="1:4">
      <c r="A9136">
        <v>12070</v>
      </c>
      <c r="B9136" t="s">
        <v>9642</v>
      </c>
      <c r="C9136" t="s">
        <v>429</v>
      </c>
      <c r="D9136" s="106">
        <v>4.9400000000000004</v>
      </c>
    </row>
    <row r="9137" spans="1:4">
      <c r="A9137">
        <v>2675</v>
      </c>
      <c r="B9137" t="s">
        <v>9643</v>
      </c>
      <c r="C9137" t="s">
        <v>429</v>
      </c>
      <c r="D9137" s="106">
        <v>6.42</v>
      </c>
    </row>
    <row r="9138" spans="1:4">
      <c r="A9138">
        <v>12067</v>
      </c>
      <c r="B9138" t="s">
        <v>9644</v>
      </c>
      <c r="C9138" t="s">
        <v>429</v>
      </c>
      <c r="D9138" s="106">
        <v>8.7100000000000009</v>
      </c>
    </row>
    <row r="9139" spans="1:4">
      <c r="A9139">
        <v>40401</v>
      </c>
      <c r="B9139" t="s">
        <v>9645</v>
      </c>
      <c r="C9139" t="s">
        <v>429</v>
      </c>
      <c r="D9139" s="106">
        <v>2.0099999999999998</v>
      </c>
    </row>
    <row r="9140" spans="1:4">
      <c r="A9140">
        <v>40402</v>
      </c>
      <c r="B9140" t="s">
        <v>9646</v>
      </c>
      <c r="C9140" t="s">
        <v>429</v>
      </c>
      <c r="D9140" s="106">
        <v>2.57</v>
      </c>
    </row>
    <row r="9141" spans="1:4">
      <c r="A9141">
        <v>40400</v>
      </c>
      <c r="B9141" t="s">
        <v>9647</v>
      </c>
      <c r="C9141" t="s">
        <v>429</v>
      </c>
      <c r="D9141" s="106">
        <v>1.36</v>
      </c>
    </row>
    <row r="9142" spans="1:4">
      <c r="A9142">
        <v>2504</v>
      </c>
      <c r="B9142" t="s">
        <v>9648</v>
      </c>
      <c r="C9142" t="s">
        <v>429</v>
      </c>
      <c r="D9142" s="106">
        <v>11.98</v>
      </c>
    </row>
    <row r="9143" spans="1:4">
      <c r="A9143">
        <v>2501</v>
      </c>
      <c r="B9143" t="s">
        <v>9649</v>
      </c>
      <c r="C9143" t="s">
        <v>429</v>
      </c>
      <c r="D9143" s="106">
        <v>15.71</v>
      </c>
    </row>
    <row r="9144" spans="1:4">
      <c r="A9144">
        <v>2502</v>
      </c>
      <c r="B9144" t="s">
        <v>9650</v>
      </c>
      <c r="C9144" t="s">
        <v>429</v>
      </c>
      <c r="D9144" s="106">
        <v>23.71</v>
      </c>
    </row>
    <row r="9145" spans="1:4">
      <c r="A9145">
        <v>2503</v>
      </c>
      <c r="B9145" t="s">
        <v>9651</v>
      </c>
      <c r="C9145" t="s">
        <v>429</v>
      </c>
      <c r="D9145" s="106">
        <v>30.52</v>
      </c>
    </row>
    <row r="9146" spans="1:4">
      <c r="A9146">
        <v>2500</v>
      </c>
      <c r="B9146" t="s">
        <v>9652</v>
      </c>
      <c r="C9146" t="s">
        <v>429</v>
      </c>
      <c r="D9146" s="106">
        <v>40.65</v>
      </c>
    </row>
    <row r="9147" spans="1:4">
      <c r="A9147">
        <v>2505</v>
      </c>
      <c r="B9147" t="s">
        <v>9653</v>
      </c>
      <c r="C9147" t="s">
        <v>429</v>
      </c>
      <c r="D9147" s="106">
        <v>63.35</v>
      </c>
    </row>
    <row r="9148" spans="1:4">
      <c r="A9148">
        <v>12056</v>
      </c>
      <c r="B9148" t="s">
        <v>9654</v>
      </c>
      <c r="C9148" t="s">
        <v>429</v>
      </c>
      <c r="D9148" s="106">
        <v>25.6</v>
      </c>
    </row>
    <row r="9149" spans="1:4">
      <c r="A9149">
        <v>12057</v>
      </c>
      <c r="B9149" t="s">
        <v>9655</v>
      </c>
      <c r="C9149" t="s">
        <v>429</v>
      </c>
      <c r="D9149" s="106">
        <v>21.74</v>
      </c>
    </row>
    <row r="9150" spans="1:4">
      <c r="A9150">
        <v>12059</v>
      </c>
      <c r="B9150" t="s">
        <v>9656</v>
      </c>
      <c r="C9150" t="s">
        <v>429</v>
      </c>
      <c r="D9150" s="106">
        <v>7.63</v>
      </c>
    </row>
    <row r="9151" spans="1:4">
      <c r="A9151">
        <v>12058</v>
      </c>
      <c r="B9151" t="s">
        <v>9657</v>
      </c>
      <c r="C9151" t="s">
        <v>429</v>
      </c>
      <c r="D9151" s="106">
        <v>13.55</v>
      </c>
    </row>
    <row r="9152" spans="1:4">
      <c r="A9152">
        <v>12060</v>
      </c>
      <c r="B9152" t="s">
        <v>9658</v>
      </c>
      <c r="C9152" t="s">
        <v>429</v>
      </c>
      <c r="D9152" s="106">
        <v>56.49</v>
      </c>
    </row>
    <row r="9153" spans="1:4">
      <c r="A9153">
        <v>12061</v>
      </c>
      <c r="B9153" t="s">
        <v>9659</v>
      </c>
      <c r="C9153" t="s">
        <v>429</v>
      </c>
      <c r="D9153" s="106">
        <v>34.49</v>
      </c>
    </row>
    <row r="9154" spans="1:4">
      <c r="A9154">
        <v>12062</v>
      </c>
      <c r="B9154" t="s">
        <v>9660</v>
      </c>
      <c r="C9154" t="s">
        <v>429</v>
      </c>
      <c r="D9154" s="106">
        <v>63.61</v>
      </c>
    </row>
    <row r="9155" spans="1:4">
      <c r="A9155">
        <v>21137</v>
      </c>
      <c r="B9155" t="s">
        <v>9661</v>
      </c>
      <c r="C9155" t="s">
        <v>429</v>
      </c>
      <c r="D9155" s="106">
        <v>11.05</v>
      </c>
    </row>
    <row r="9156" spans="1:4">
      <c r="A9156">
        <v>2687</v>
      </c>
      <c r="B9156" t="s">
        <v>9662</v>
      </c>
      <c r="C9156" t="s">
        <v>429</v>
      </c>
      <c r="D9156" s="106">
        <v>1.6</v>
      </c>
    </row>
    <row r="9157" spans="1:4">
      <c r="A9157">
        <v>2689</v>
      </c>
      <c r="B9157" t="s">
        <v>9663</v>
      </c>
      <c r="C9157" t="s">
        <v>429</v>
      </c>
      <c r="D9157" s="106">
        <v>1.91</v>
      </c>
    </row>
    <row r="9158" spans="1:4">
      <c r="A9158">
        <v>2688</v>
      </c>
      <c r="B9158" t="s">
        <v>9664</v>
      </c>
      <c r="C9158" t="s">
        <v>429</v>
      </c>
      <c r="D9158" s="106">
        <v>2.0699999999999998</v>
      </c>
    </row>
    <row r="9159" spans="1:4">
      <c r="A9159">
        <v>2690</v>
      </c>
      <c r="B9159" t="s">
        <v>9665</v>
      </c>
      <c r="C9159" t="s">
        <v>429</v>
      </c>
      <c r="D9159" s="106">
        <v>3.54</v>
      </c>
    </row>
    <row r="9160" spans="1:4">
      <c r="A9160">
        <v>39243</v>
      </c>
      <c r="B9160" t="s">
        <v>9666</v>
      </c>
      <c r="C9160" t="s">
        <v>429</v>
      </c>
      <c r="D9160" s="106">
        <v>2.33</v>
      </c>
    </row>
    <row r="9161" spans="1:4">
      <c r="A9161">
        <v>39244</v>
      </c>
      <c r="B9161" t="s">
        <v>9667</v>
      </c>
      <c r="C9161" t="s">
        <v>429</v>
      </c>
      <c r="D9161" s="106">
        <v>3.15</v>
      </c>
    </row>
    <row r="9162" spans="1:4">
      <c r="A9162">
        <v>39245</v>
      </c>
      <c r="B9162" t="s">
        <v>9668</v>
      </c>
      <c r="C9162" t="s">
        <v>429</v>
      </c>
      <c r="D9162" s="106">
        <v>6.07</v>
      </c>
    </row>
    <row r="9163" spans="1:4">
      <c r="A9163">
        <v>39254</v>
      </c>
      <c r="B9163" t="s">
        <v>9669</v>
      </c>
      <c r="C9163" t="s">
        <v>429</v>
      </c>
      <c r="D9163" s="106">
        <v>9.07</v>
      </c>
    </row>
    <row r="9164" spans="1:4">
      <c r="A9164">
        <v>39255</v>
      </c>
      <c r="B9164" t="s">
        <v>9670</v>
      </c>
      <c r="C9164" t="s">
        <v>429</v>
      </c>
      <c r="D9164" s="106">
        <v>16.79</v>
      </c>
    </row>
    <row r="9165" spans="1:4">
      <c r="A9165">
        <v>39253</v>
      </c>
      <c r="B9165" t="s">
        <v>9671</v>
      </c>
      <c r="C9165" t="s">
        <v>429</v>
      </c>
      <c r="D9165" s="106">
        <v>11.56</v>
      </c>
    </row>
    <row r="9166" spans="1:4">
      <c r="A9166">
        <v>39246</v>
      </c>
      <c r="B9166" t="s">
        <v>13445</v>
      </c>
      <c r="C9166" t="s">
        <v>429</v>
      </c>
      <c r="D9166" s="106">
        <v>3.49</v>
      </c>
    </row>
    <row r="9167" spans="1:4">
      <c r="A9167">
        <v>39247</v>
      </c>
      <c r="B9167" t="s">
        <v>13446</v>
      </c>
      <c r="C9167" t="s">
        <v>429</v>
      </c>
      <c r="D9167" s="106">
        <v>3.04</v>
      </c>
    </row>
    <row r="9168" spans="1:4">
      <c r="A9168">
        <v>2446</v>
      </c>
      <c r="B9168" t="s">
        <v>9672</v>
      </c>
      <c r="C9168" t="s">
        <v>429</v>
      </c>
      <c r="D9168" s="106">
        <v>5.01</v>
      </c>
    </row>
    <row r="9169" spans="1:4">
      <c r="A9169">
        <v>2442</v>
      </c>
      <c r="B9169" t="s">
        <v>9673</v>
      </c>
      <c r="C9169" t="s">
        <v>429</v>
      </c>
      <c r="D9169" s="106">
        <v>7.02</v>
      </c>
    </row>
    <row r="9170" spans="1:4">
      <c r="A9170">
        <v>39248</v>
      </c>
      <c r="B9170" t="s">
        <v>13447</v>
      </c>
      <c r="C9170" t="s">
        <v>429</v>
      </c>
      <c r="D9170" s="106">
        <v>9.7799999999999994</v>
      </c>
    </row>
    <row r="9171" spans="1:4">
      <c r="A9171">
        <v>2438</v>
      </c>
      <c r="B9171" t="s">
        <v>9674</v>
      </c>
      <c r="C9171" t="s">
        <v>432</v>
      </c>
      <c r="D9171" s="106">
        <v>16.64</v>
      </c>
    </row>
    <row r="9172" spans="1:4">
      <c r="A9172">
        <v>40922</v>
      </c>
      <c r="B9172" t="s">
        <v>9675</v>
      </c>
      <c r="C9172" t="s">
        <v>433</v>
      </c>
      <c r="D9172" s="107">
        <v>2942</v>
      </c>
    </row>
    <row r="9173" spans="1:4">
      <c r="A9173">
        <v>36486</v>
      </c>
      <c r="B9173" t="s">
        <v>9676</v>
      </c>
      <c r="C9173" t="s">
        <v>427</v>
      </c>
      <c r="D9173" s="107">
        <v>63535.11</v>
      </c>
    </row>
    <row r="9174" spans="1:4">
      <c r="A9174">
        <v>37777</v>
      </c>
      <c r="B9174" t="s">
        <v>9677</v>
      </c>
      <c r="C9174" t="s">
        <v>427</v>
      </c>
      <c r="D9174" s="107">
        <v>299122.09999999998</v>
      </c>
    </row>
    <row r="9175" spans="1:4">
      <c r="A9175">
        <v>12624</v>
      </c>
      <c r="B9175" t="s">
        <v>9678</v>
      </c>
      <c r="C9175" t="s">
        <v>427</v>
      </c>
      <c r="D9175" s="106">
        <v>12.38</v>
      </c>
    </row>
    <row r="9176" spans="1:4">
      <c r="A9176">
        <v>517</v>
      </c>
      <c r="B9176" t="s">
        <v>9679</v>
      </c>
      <c r="C9176" t="s">
        <v>428</v>
      </c>
      <c r="D9176" s="106">
        <v>7.9</v>
      </c>
    </row>
    <row r="9177" spans="1:4">
      <c r="A9177">
        <v>41904</v>
      </c>
      <c r="B9177" t="s">
        <v>9680</v>
      </c>
      <c r="C9177" t="s">
        <v>437</v>
      </c>
      <c r="D9177" s="107">
        <v>1991.27</v>
      </c>
    </row>
    <row r="9178" spans="1:4">
      <c r="A9178">
        <v>41903</v>
      </c>
      <c r="B9178" t="s">
        <v>9681</v>
      </c>
      <c r="C9178" t="s">
        <v>430</v>
      </c>
      <c r="D9178" s="106">
        <v>3.85</v>
      </c>
    </row>
    <row r="9179" spans="1:4">
      <c r="A9179">
        <v>37534</v>
      </c>
      <c r="B9179" t="s">
        <v>9682</v>
      </c>
      <c r="C9179" t="s">
        <v>430</v>
      </c>
      <c r="D9179" s="106">
        <v>26.73</v>
      </c>
    </row>
    <row r="9180" spans="1:4">
      <c r="A9180">
        <v>37535</v>
      </c>
      <c r="B9180" t="s">
        <v>9683</v>
      </c>
      <c r="C9180" t="s">
        <v>430</v>
      </c>
      <c r="D9180" s="106">
        <v>26.73</v>
      </c>
    </row>
    <row r="9181" spans="1:4">
      <c r="A9181">
        <v>37533</v>
      </c>
      <c r="B9181" t="s">
        <v>9684</v>
      </c>
      <c r="C9181" t="s">
        <v>430</v>
      </c>
      <c r="D9181" s="106">
        <v>26.73</v>
      </c>
    </row>
    <row r="9182" spans="1:4">
      <c r="A9182">
        <v>37537</v>
      </c>
      <c r="B9182" t="s">
        <v>9685</v>
      </c>
      <c r="C9182" t="s">
        <v>430</v>
      </c>
      <c r="D9182" s="106">
        <v>20.23</v>
      </c>
    </row>
    <row r="9183" spans="1:4">
      <c r="A9183">
        <v>37536</v>
      </c>
      <c r="B9183" t="s">
        <v>9686</v>
      </c>
      <c r="C9183" t="s">
        <v>430</v>
      </c>
      <c r="D9183" s="106">
        <v>20.23</v>
      </c>
    </row>
    <row r="9184" spans="1:4">
      <c r="A9184">
        <v>37532</v>
      </c>
      <c r="B9184" t="s">
        <v>9687</v>
      </c>
      <c r="C9184" t="s">
        <v>430</v>
      </c>
      <c r="D9184" s="106">
        <v>20.23</v>
      </c>
    </row>
    <row r="9185" spans="1:4">
      <c r="A9185">
        <v>2696</v>
      </c>
      <c r="B9185" t="s">
        <v>20482</v>
      </c>
      <c r="C9185" t="s">
        <v>432</v>
      </c>
      <c r="D9185" s="106">
        <v>16.46</v>
      </c>
    </row>
    <row r="9186" spans="1:4">
      <c r="A9186">
        <v>40928</v>
      </c>
      <c r="B9186" t="s">
        <v>9688</v>
      </c>
      <c r="C9186" t="s">
        <v>433</v>
      </c>
      <c r="D9186" s="107">
        <v>2909.66</v>
      </c>
    </row>
    <row r="9187" spans="1:4">
      <c r="A9187">
        <v>4083</v>
      </c>
      <c r="B9187" t="s">
        <v>9689</v>
      </c>
      <c r="C9187" t="s">
        <v>432</v>
      </c>
      <c r="D9187" s="106">
        <v>21.31</v>
      </c>
    </row>
    <row r="9188" spans="1:4">
      <c r="A9188">
        <v>40818</v>
      </c>
      <c r="B9188" t="s">
        <v>9690</v>
      </c>
      <c r="C9188" t="s">
        <v>433</v>
      </c>
      <c r="D9188" s="107">
        <v>3765.88</v>
      </c>
    </row>
    <row r="9189" spans="1:4">
      <c r="A9189">
        <v>43146</v>
      </c>
      <c r="B9189" t="s">
        <v>9691</v>
      </c>
      <c r="C9189" t="s">
        <v>430</v>
      </c>
      <c r="D9189" s="106">
        <v>6.72</v>
      </c>
    </row>
    <row r="9190" spans="1:4">
      <c r="A9190">
        <v>2705</v>
      </c>
      <c r="B9190" t="s">
        <v>9692</v>
      </c>
      <c r="C9190" t="s">
        <v>20483</v>
      </c>
      <c r="D9190" s="106">
        <v>0.91</v>
      </c>
    </row>
    <row r="9191" spans="1:4">
      <c r="A9191">
        <v>14250</v>
      </c>
      <c r="B9191" t="s">
        <v>9693</v>
      </c>
      <c r="C9191" t="s">
        <v>20483</v>
      </c>
      <c r="D9191" s="106">
        <v>0.93</v>
      </c>
    </row>
    <row r="9192" spans="1:4">
      <c r="A9192">
        <v>11683</v>
      </c>
      <c r="B9192" t="s">
        <v>9694</v>
      </c>
      <c r="C9192" t="s">
        <v>427</v>
      </c>
      <c r="D9192" s="106">
        <v>34.1</v>
      </c>
    </row>
    <row r="9193" spans="1:4">
      <c r="A9193">
        <v>11684</v>
      </c>
      <c r="B9193" t="s">
        <v>9695</v>
      </c>
      <c r="C9193" t="s">
        <v>427</v>
      </c>
      <c r="D9193" s="106">
        <v>37.32</v>
      </c>
    </row>
    <row r="9194" spans="1:4">
      <c r="A9194">
        <v>6141</v>
      </c>
      <c r="B9194" t="s">
        <v>9696</v>
      </c>
      <c r="C9194" t="s">
        <v>427</v>
      </c>
      <c r="D9194" s="106">
        <v>4.9400000000000004</v>
      </c>
    </row>
    <row r="9195" spans="1:4">
      <c r="A9195">
        <v>11681</v>
      </c>
      <c r="B9195" t="s">
        <v>9697</v>
      </c>
      <c r="C9195" t="s">
        <v>427</v>
      </c>
      <c r="D9195" s="106">
        <v>8.27</v>
      </c>
    </row>
    <row r="9196" spans="1:4">
      <c r="A9196">
        <v>2706</v>
      </c>
      <c r="B9196" t="s">
        <v>9698</v>
      </c>
      <c r="C9196" t="s">
        <v>432</v>
      </c>
      <c r="D9196" s="106">
        <v>91.14</v>
      </c>
    </row>
    <row r="9197" spans="1:4">
      <c r="A9197">
        <v>40811</v>
      </c>
      <c r="B9197" t="s">
        <v>9699</v>
      </c>
      <c r="C9197" t="s">
        <v>433</v>
      </c>
      <c r="D9197" s="107">
        <v>16101.63</v>
      </c>
    </row>
    <row r="9198" spans="1:4">
      <c r="A9198">
        <v>2707</v>
      </c>
      <c r="B9198" t="s">
        <v>9700</v>
      </c>
      <c r="C9198" t="s">
        <v>432</v>
      </c>
      <c r="D9198" s="106">
        <v>103.72</v>
      </c>
    </row>
    <row r="9199" spans="1:4">
      <c r="A9199">
        <v>40813</v>
      </c>
      <c r="B9199" t="s">
        <v>9701</v>
      </c>
      <c r="C9199" t="s">
        <v>433</v>
      </c>
      <c r="D9199" s="107">
        <v>18326.96</v>
      </c>
    </row>
    <row r="9200" spans="1:4">
      <c r="A9200">
        <v>2708</v>
      </c>
      <c r="B9200" t="s">
        <v>9702</v>
      </c>
      <c r="C9200" t="s">
        <v>432</v>
      </c>
      <c r="D9200" s="106">
        <v>141.79</v>
      </c>
    </row>
    <row r="9201" spans="1:4">
      <c r="A9201">
        <v>40814</v>
      </c>
      <c r="B9201" t="s">
        <v>9703</v>
      </c>
      <c r="C9201" t="s">
        <v>433</v>
      </c>
      <c r="D9201" s="107">
        <v>25052.47</v>
      </c>
    </row>
    <row r="9202" spans="1:4">
      <c r="A9202">
        <v>34779</v>
      </c>
      <c r="B9202" t="s">
        <v>9704</v>
      </c>
      <c r="C9202" t="s">
        <v>432</v>
      </c>
      <c r="D9202" s="106">
        <v>92.47</v>
      </c>
    </row>
    <row r="9203" spans="1:4">
      <c r="A9203">
        <v>40936</v>
      </c>
      <c r="B9203" t="s">
        <v>9705</v>
      </c>
      <c r="C9203" t="s">
        <v>433</v>
      </c>
      <c r="D9203" s="107">
        <v>16336.52</v>
      </c>
    </row>
    <row r="9204" spans="1:4">
      <c r="A9204">
        <v>34780</v>
      </c>
      <c r="B9204" t="s">
        <v>9706</v>
      </c>
      <c r="C9204" t="s">
        <v>432</v>
      </c>
      <c r="D9204" s="106">
        <v>104.3</v>
      </c>
    </row>
    <row r="9205" spans="1:4">
      <c r="A9205">
        <v>40937</v>
      </c>
      <c r="B9205" t="s">
        <v>9707</v>
      </c>
      <c r="C9205" t="s">
        <v>433</v>
      </c>
      <c r="D9205" s="107">
        <v>18430.82</v>
      </c>
    </row>
    <row r="9206" spans="1:4">
      <c r="A9206">
        <v>34782</v>
      </c>
      <c r="B9206" t="s">
        <v>9708</v>
      </c>
      <c r="C9206" t="s">
        <v>432</v>
      </c>
      <c r="D9206" s="106">
        <v>142.94999999999999</v>
      </c>
    </row>
    <row r="9207" spans="1:4">
      <c r="A9207">
        <v>40938</v>
      </c>
      <c r="B9207" t="s">
        <v>9709</v>
      </c>
      <c r="C9207" t="s">
        <v>433</v>
      </c>
      <c r="D9207" s="107">
        <v>25257.69</v>
      </c>
    </row>
    <row r="9208" spans="1:4">
      <c r="A9208">
        <v>34783</v>
      </c>
      <c r="B9208" t="s">
        <v>9710</v>
      </c>
      <c r="C9208" t="s">
        <v>432</v>
      </c>
      <c r="D9208" s="106">
        <v>86.91</v>
      </c>
    </row>
    <row r="9209" spans="1:4">
      <c r="A9209">
        <v>40939</v>
      </c>
      <c r="B9209" t="s">
        <v>9711</v>
      </c>
      <c r="C9209" t="s">
        <v>433</v>
      </c>
      <c r="D9209" s="107">
        <v>15358.34</v>
      </c>
    </row>
    <row r="9210" spans="1:4">
      <c r="A9210">
        <v>34785</v>
      </c>
      <c r="B9210" t="s">
        <v>9712</v>
      </c>
      <c r="C9210" t="s">
        <v>432</v>
      </c>
      <c r="D9210" s="106">
        <v>86.05</v>
      </c>
    </row>
    <row r="9211" spans="1:4">
      <c r="A9211">
        <v>40940</v>
      </c>
      <c r="B9211" t="s">
        <v>9713</v>
      </c>
      <c r="C9211" t="s">
        <v>433</v>
      </c>
      <c r="D9211" s="107">
        <v>15207.09</v>
      </c>
    </row>
    <row r="9212" spans="1:4">
      <c r="A9212">
        <v>38403</v>
      </c>
      <c r="B9212" t="s">
        <v>9714</v>
      </c>
      <c r="C9212" t="s">
        <v>427</v>
      </c>
      <c r="D9212" s="106">
        <v>45.94</v>
      </c>
    </row>
    <row r="9213" spans="1:4">
      <c r="A9213">
        <v>43482</v>
      </c>
      <c r="B9213" t="s">
        <v>9715</v>
      </c>
      <c r="C9213" t="s">
        <v>432</v>
      </c>
      <c r="D9213" s="106">
        <v>0.69</v>
      </c>
    </row>
    <row r="9214" spans="1:4">
      <c r="A9214">
        <v>43494</v>
      </c>
      <c r="B9214" t="s">
        <v>9716</v>
      </c>
      <c r="C9214" t="s">
        <v>433</v>
      </c>
      <c r="D9214" s="106">
        <v>130.43</v>
      </c>
    </row>
    <row r="9215" spans="1:4">
      <c r="A9215">
        <v>43483</v>
      </c>
      <c r="B9215" t="s">
        <v>9717</v>
      </c>
      <c r="C9215" t="s">
        <v>432</v>
      </c>
      <c r="D9215" s="106">
        <v>1.26</v>
      </c>
    </row>
    <row r="9216" spans="1:4">
      <c r="A9216">
        <v>43495</v>
      </c>
      <c r="B9216" t="s">
        <v>9718</v>
      </c>
      <c r="C9216" t="s">
        <v>433</v>
      </c>
      <c r="D9216" s="106">
        <v>238.17</v>
      </c>
    </row>
    <row r="9217" spans="1:4">
      <c r="A9217">
        <v>43484</v>
      </c>
      <c r="B9217" t="s">
        <v>9719</v>
      </c>
      <c r="C9217" t="s">
        <v>432</v>
      </c>
      <c r="D9217" s="106">
        <v>1.07</v>
      </c>
    </row>
    <row r="9218" spans="1:4">
      <c r="A9218">
        <v>43496</v>
      </c>
      <c r="B9218" t="s">
        <v>9720</v>
      </c>
      <c r="C9218" t="s">
        <v>433</v>
      </c>
      <c r="D9218" s="106">
        <v>201.65</v>
      </c>
    </row>
    <row r="9219" spans="1:4">
      <c r="A9219">
        <v>43485</v>
      </c>
      <c r="B9219" t="s">
        <v>9721</v>
      </c>
      <c r="C9219" t="s">
        <v>432</v>
      </c>
      <c r="D9219" s="106">
        <v>0.94</v>
      </c>
    </row>
    <row r="9220" spans="1:4">
      <c r="A9220">
        <v>43497</v>
      </c>
      <c r="B9220" t="s">
        <v>9722</v>
      </c>
      <c r="C9220" t="s">
        <v>433</v>
      </c>
      <c r="D9220" s="106">
        <v>177.43</v>
      </c>
    </row>
    <row r="9221" spans="1:4">
      <c r="A9221">
        <v>43487</v>
      </c>
      <c r="B9221" t="s">
        <v>9723</v>
      </c>
      <c r="C9221" t="s">
        <v>432</v>
      </c>
      <c r="D9221" s="106">
        <v>1.08</v>
      </c>
    </row>
    <row r="9222" spans="1:4">
      <c r="A9222">
        <v>43499</v>
      </c>
      <c r="B9222" t="s">
        <v>9724</v>
      </c>
      <c r="C9222" t="s">
        <v>433</v>
      </c>
      <c r="D9222" s="106">
        <v>202.94</v>
      </c>
    </row>
    <row r="9223" spans="1:4">
      <c r="A9223">
        <v>43486</v>
      </c>
      <c r="B9223" t="s">
        <v>9725</v>
      </c>
      <c r="C9223" t="s">
        <v>432</v>
      </c>
      <c r="D9223" s="106">
        <v>0.66</v>
      </c>
    </row>
    <row r="9224" spans="1:4">
      <c r="A9224">
        <v>43498</v>
      </c>
      <c r="B9224" t="s">
        <v>9726</v>
      </c>
      <c r="C9224" t="s">
        <v>433</v>
      </c>
      <c r="D9224" s="106">
        <v>123.54</v>
      </c>
    </row>
    <row r="9225" spans="1:4">
      <c r="A9225">
        <v>43488</v>
      </c>
      <c r="B9225" t="s">
        <v>9727</v>
      </c>
      <c r="C9225" t="s">
        <v>432</v>
      </c>
      <c r="D9225" s="106">
        <v>0.76</v>
      </c>
    </row>
    <row r="9226" spans="1:4">
      <c r="A9226">
        <v>43500</v>
      </c>
      <c r="B9226" t="s">
        <v>9728</v>
      </c>
      <c r="C9226" t="s">
        <v>433</v>
      </c>
      <c r="D9226" s="106">
        <v>143.59</v>
      </c>
    </row>
    <row r="9227" spans="1:4">
      <c r="A9227">
        <v>43489</v>
      </c>
      <c r="B9227" t="s">
        <v>9729</v>
      </c>
      <c r="C9227" t="s">
        <v>432</v>
      </c>
      <c r="D9227" s="106">
        <v>1.0900000000000001</v>
      </c>
    </row>
    <row r="9228" spans="1:4">
      <c r="A9228">
        <v>43501</v>
      </c>
      <c r="B9228" t="s">
        <v>9730</v>
      </c>
      <c r="C9228" t="s">
        <v>433</v>
      </c>
      <c r="D9228" s="106">
        <v>204.95</v>
      </c>
    </row>
    <row r="9229" spans="1:4">
      <c r="A9229">
        <v>43490</v>
      </c>
      <c r="B9229" t="s">
        <v>9731</v>
      </c>
      <c r="C9229" t="s">
        <v>432</v>
      </c>
      <c r="D9229" s="106">
        <v>1.5</v>
      </c>
    </row>
    <row r="9230" spans="1:4">
      <c r="A9230">
        <v>43502</v>
      </c>
      <c r="B9230" t="s">
        <v>9732</v>
      </c>
      <c r="C9230" t="s">
        <v>433</v>
      </c>
      <c r="D9230" s="106">
        <v>283.14999999999998</v>
      </c>
    </row>
    <row r="9231" spans="1:4">
      <c r="A9231">
        <v>43491</v>
      </c>
      <c r="B9231" t="s">
        <v>9733</v>
      </c>
      <c r="C9231" t="s">
        <v>432</v>
      </c>
      <c r="D9231" s="106">
        <v>1.1499999999999999</v>
      </c>
    </row>
    <row r="9232" spans="1:4">
      <c r="A9232">
        <v>43503</v>
      </c>
      <c r="B9232" t="s">
        <v>9734</v>
      </c>
      <c r="C9232" t="s">
        <v>433</v>
      </c>
      <c r="D9232" s="106">
        <v>216.6</v>
      </c>
    </row>
    <row r="9233" spans="1:4">
      <c r="A9233">
        <v>43492</v>
      </c>
      <c r="B9233" t="s">
        <v>9735</v>
      </c>
      <c r="C9233" t="s">
        <v>432</v>
      </c>
      <c r="D9233" s="106">
        <v>1.58</v>
      </c>
    </row>
    <row r="9234" spans="1:4">
      <c r="A9234">
        <v>43504</v>
      </c>
      <c r="B9234" t="s">
        <v>9736</v>
      </c>
      <c r="C9234" t="s">
        <v>433</v>
      </c>
      <c r="D9234" s="106">
        <v>297.7</v>
      </c>
    </row>
    <row r="9235" spans="1:4">
      <c r="A9235">
        <v>43493</v>
      </c>
      <c r="B9235" t="s">
        <v>9737</v>
      </c>
      <c r="C9235" t="s">
        <v>432</v>
      </c>
      <c r="D9235" s="106">
        <v>0.62</v>
      </c>
    </row>
    <row r="9236" spans="1:4">
      <c r="A9236">
        <v>43505</v>
      </c>
      <c r="B9236" t="s">
        <v>9738</v>
      </c>
      <c r="C9236" t="s">
        <v>433</v>
      </c>
      <c r="D9236" s="106">
        <v>117.12</v>
      </c>
    </row>
    <row r="9237" spans="1:4">
      <c r="A9237">
        <v>37774</v>
      </c>
      <c r="B9237" t="s">
        <v>9739</v>
      </c>
      <c r="C9237" t="s">
        <v>427</v>
      </c>
      <c r="D9237" s="107">
        <v>424322.45</v>
      </c>
    </row>
    <row r="9238" spans="1:4">
      <c r="A9238">
        <v>38630</v>
      </c>
      <c r="B9238" t="s">
        <v>9740</v>
      </c>
      <c r="C9238" t="s">
        <v>427</v>
      </c>
      <c r="D9238" s="107">
        <v>1779511.16</v>
      </c>
    </row>
    <row r="9239" spans="1:4">
      <c r="A9239">
        <v>38629</v>
      </c>
      <c r="B9239" t="s">
        <v>9741</v>
      </c>
      <c r="C9239" t="s">
        <v>427</v>
      </c>
      <c r="D9239" s="107">
        <v>2648890.66</v>
      </c>
    </row>
    <row r="9240" spans="1:4">
      <c r="A9240">
        <v>38476</v>
      </c>
      <c r="B9240" t="s">
        <v>9742</v>
      </c>
      <c r="C9240" t="s">
        <v>427</v>
      </c>
      <c r="D9240" s="106">
        <v>345.28</v>
      </c>
    </row>
    <row r="9241" spans="1:4">
      <c r="A9241">
        <v>38477</v>
      </c>
      <c r="B9241" t="s">
        <v>9743</v>
      </c>
      <c r="C9241" t="s">
        <v>427</v>
      </c>
      <c r="D9241" s="106">
        <v>977.83</v>
      </c>
    </row>
    <row r="9242" spans="1:4">
      <c r="A9242">
        <v>40635</v>
      </c>
      <c r="B9242" t="s">
        <v>9744</v>
      </c>
      <c r="C9242" t="s">
        <v>427</v>
      </c>
      <c r="D9242" s="107">
        <v>938024</v>
      </c>
    </row>
    <row r="9243" spans="1:4">
      <c r="A9243">
        <v>36483</v>
      </c>
      <c r="B9243" t="s">
        <v>9745</v>
      </c>
      <c r="C9243" t="s">
        <v>427</v>
      </c>
      <c r="D9243" s="107">
        <v>850000</v>
      </c>
    </row>
    <row r="9244" spans="1:4">
      <c r="A9244">
        <v>14525</v>
      </c>
      <c r="B9244" t="s">
        <v>9746</v>
      </c>
      <c r="C9244" t="s">
        <v>427</v>
      </c>
      <c r="D9244" s="107">
        <v>890000</v>
      </c>
    </row>
    <row r="9245" spans="1:4">
      <c r="A9245">
        <v>36482</v>
      </c>
      <c r="B9245" t="s">
        <v>9747</v>
      </c>
      <c r="C9245" t="s">
        <v>427</v>
      </c>
      <c r="D9245" s="107">
        <v>763298.96</v>
      </c>
    </row>
    <row r="9246" spans="1:4">
      <c r="A9246">
        <v>36408</v>
      </c>
      <c r="B9246" t="s">
        <v>9748</v>
      </c>
      <c r="C9246" t="s">
        <v>427</v>
      </c>
      <c r="D9246" s="107">
        <v>912000</v>
      </c>
    </row>
    <row r="9247" spans="1:4">
      <c r="A9247">
        <v>2723</v>
      </c>
      <c r="B9247" t="s">
        <v>9749</v>
      </c>
      <c r="C9247" t="s">
        <v>427</v>
      </c>
      <c r="D9247" s="107">
        <v>700000</v>
      </c>
    </row>
    <row r="9248" spans="1:4">
      <c r="A9248">
        <v>36481</v>
      </c>
      <c r="B9248" t="s">
        <v>9750</v>
      </c>
      <c r="C9248" t="s">
        <v>427</v>
      </c>
      <c r="D9248" s="107">
        <v>835000</v>
      </c>
    </row>
    <row r="9249" spans="1:4">
      <c r="A9249">
        <v>10685</v>
      </c>
      <c r="B9249" t="s">
        <v>9751</v>
      </c>
      <c r="C9249" t="s">
        <v>427</v>
      </c>
      <c r="D9249" s="107">
        <v>800000</v>
      </c>
    </row>
    <row r="9250" spans="1:4">
      <c r="A9250">
        <v>40636</v>
      </c>
      <c r="B9250" t="s">
        <v>9752</v>
      </c>
      <c r="C9250" t="s">
        <v>427</v>
      </c>
      <c r="D9250" s="107">
        <v>903024</v>
      </c>
    </row>
    <row r="9251" spans="1:4">
      <c r="A9251">
        <v>4111</v>
      </c>
      <c r="B9251" t="s">
        <v>9753</v>
      </c>
      <c r="C9251" t="s">
        <v>427</v>
      </c>
      <c r="D9251" s="106">
        <v>53.93</v>
      </c>
    </row>
    <row r="9252" spans="1:4">
      <c r="A9252">
        <v>44538</v>
      </c>
      <c r="B9252" t="s">
        <v>13448</v>
      </c>
      <c r="C9252" t="s">
        <v>427</v>
      </c>
      <c r="D9252" s="106">
        <v>67.92</v>
      </c>
    </row>
    <row r="9253" spans="1:4">
      <c r="A9253">
        <v>12</v>
      </c>
      <c r="B9253" t="s">
        <v>9754</v>
      </c>
      <c r="C9253" t="s">
        <v>427</v>
      </c>
      <c r="D9253" s="106">
        <v>17.989999999999998</v>
      </c>
    </row>
    <row r="9254" spans="1:4">
      <c r="A9254">
        <v>37554</v>
      </c>
      <c r="B9254" t="s">
        <v>9755</v>
      </c>
      <c r="C9254" t="s">
        <v>427</v>
      </c>
      <c r="D9254" s="106">
        <v>182.61</v>
      </c>
    </row>
    <row r="9255" spans="1:4">
      <c r="A9255">
        <v>37555</v>
      </c>
      <c r="B9255" t="s">
        <v>9756</v>
      </c>
      <c r="C9255" t="s">
        <v>427</v>
      </c>
      <c r="D9255" s="106">
        <v>222.14</v>
      </c>
    </row>
    <row r="9256" spans="1:4">
      <c r="A9256">
        <v>10902</v>
      </c>
      <c r="B9256" t="s">
        <v>9757</v>
      </c>
      <c r="C9256" t="s">
        <v>427</v>
      </c>
      <c r="D9256" s="106">
        <v>55.74</v>
      </c>
    </row>
    <row r="9257" spans="1:4">
      <c r="A9257">
        <v>20965</v>
      </c>
      <c r="B9257" t="s">
        <v>9758</v>
      </c>
      <c r="C9257" t="s">
        <v>427</v>
      </c>
      <c r="D9257" s="106">
        <v>56.26</v>
      </c>
    </row>
    <row r="9258" spans="1:4">
      <c r="A9258">
        <v>20966</v>
      </c>
      <c r="B9258" t="s">
        <v>9759</v>
      </c>
      <c r="C9258" t="s">
        <v>427</v>
      </c>
      <c r="D9258" s="106">
        <v>60.57</v>
      </c>
    </row>
    <row r="9259" spans="1:4">
      <c r="A9259">
        <v>10903</v>
      </c>
      <c r="B9259" t="s">
        <v>9760</v>
      </c>
      <c r="C9259" t="s">
        <v>427</v>
      </c>
      <c r="D9259" s="106">
        <v>91.81</v>
      </c>
    </row>
    <row r="9260" spans="1:4">
      <c r="A9260">
        <v>20967</v>
      </c>
      <c r="B9260" t="s">
        <v>9761</v>
      </c>
      <c r="C9260" t="s">
        <v>427</v>
      </c>
      <c r="D9260" s="106">
        <v>91.81</v>
      </c>
    </row>
    <row r="9261" spans="1:4">
      <c r="A9261">
        <v>20968</v>
      </c>
      <c r="B9261" t="s">
        <v>9762</v>
      </c>
      <c r="C9261" t="s">
        <v>427</v>
      </c>
      <c r="D9261" s="106">
        <v>100.7</v>
      </c>
    </row>
    <row r="9262" spans="1:4">
      <c r="A9262">
        <v>11359</v>
      </c>
      <c r="B9262" t="s">
        <v>9763</v>
      </c>
      <c r="C9262" t="s">
        <v>427</v>
      </c>
      <c r="D9262" s="107">
        <v>1175</v>
      </c>
    </row>
    <row r="9263" spans="1:4">
      <c r="A9263">
        <v>39017</v>
      </c>
      <c r="B9263" t="s">
        <v>9764</v>
      </c>
      <c r="C9263" t="s">
        <v>427</v>
      </c>
      <c r="D9263" s="106">
        <v>0.22</v>
      </c>
    </row>
    <row r="9264" spans="1:4">
      <c r="A9264">
        <v>39315</v>
      </c>
      <c r="B9264" t="s">
        <v>9765</v>
      </c>
      <c r="C9264" t="s">
        <v>427</v>
      </c>
      <c r="D9264" s="106">
        <v>0.35</v>
      </c>
    </row>
    <row r="9265" spans="1:4">
      <c r="A9265">
        <v>39016</v>
      </c>
      <c r="B9265" t="s">
        <v>9766</v>
      </c>
      <c r="C9265" t="s">
        <v>427</v>
      </c>
      <c r="D9265" s="106">
        <v>0.35</v>
      </c>
    </row>
    <row r="9266" spans="1:4">
      <c r="A9266">
        <v>40432</v>
      </c>
      <c r="B9266" t="s">
        <v>9767</v>
      </c>
      <c r="C9266" t="s">
        <v>427</v>
      </c>
      <c r="D9266" s="106">
        <v>2.74</v>
      </c>
    </row>
    <row r="9267" spans="1:4">
      <c r="A9267">
        <v>39481</v>
      </c>
      <c r="B9267" t="s">
        <v>9768</v>
      </c>
      <c r="C9267" t="s">
        <v>427</v>
      </c>
      <c r="D9267" s="106">
        <v>1.72</v>
      </c>
    </row>
    <row r="9268" spans="1:4">
      <c r="A9268">
        <v>40433</v>
      </c>
      <c r="B9268" t="s">
        <v>9769</v>
      </c>
      <c r="C9268" t="s">
        <v>427</v>
      </c>
      <c r="D9268" s="106">
        <v>1.52</v>
      </c>
    </row>
    <row r="9269" spans="1:4">
      <c r="A9269">
        <v>20219</v>
      </c>
      <c r="B9269" t="s">
        <v>9770</v>
      </c>
      <c r="C9269" t="s">
        <v>427</v>
      </c>
      <c r="D9269" s="107">
        <v>105800</v>
      </c>
    </row>
    <row r="9270" spans="1:4">
      <c r="A9270">
        <v>36484</v>
      </c>
      <c r="B9270" t="s">
        <v>9771</v>
      </c>
      <c r="C9270" t="s">
        <v>427</v>
      </c>
      <c r="D9270" s="107">
        <v>224594.13</v>
      </c>
    </row>
    <row r="9271" spans="1:4">
      <c r="A9271">
        <v>38367</v>
      </c>
      <c r="B9271" t="s">
        <v>9772</v>
      </c>
      <c r="C9271" t="s">
        <v>427</v>
      </c>
      <c r="D9271" s="106">
        <v>18.55</v>
      </c>
    </row>
    <row r="9272" spans="1:4">
      <c r="A9272">
        <v>38368</v>
      </c>
      <c r="B9272" t="s">
        <v>9773</v>
      </c>
      <c r="C9272" t="s">
        <v>427</v>
      </c>
      <c r="D9272" s="106">
        <v>7.91</v>
      </c>
    </row>
    <row r="9273" spans="1:4">
      <c r="A9273">
        <v>38091</v>
      </c>
      <c r="B9273" t="s">
        <v>9774</v>
      </c>
      <c r="C9273" t="s">
        <v>427</v>
      </c>
      <c r="D9273" s="106">
        <v>2.08</v>
      </c>
    </row>
    <row r="9274" spans="1:4">
      <c r="A9274">
        <v>38095</v>
      </c>
      <c r="B9274" t="s">
        <v>9775</v>
      </c>
      <c r="C9274" t="s">
        <v>427</v>
      </c>
      <c r="D9274" s="106">
        <v>4.4000000000000004</v>
      </c>
    </row>
    <row r="9275" spans="1:4">
      <c r="A9275">
        <v>38092</v>
      </c>
      <c r="B9275" t="s">
        <v>9776</v>
      </c>
      <c r="C9275" t="s">
        <v>427</v>
      </c>
      <c r="D9275" s="106">
        <v>1.97</v>
      </c>
    </row>
    <row r="9276" spans="1:4">
      <c r="A9276">
        <v>38093</v>
      </c>
      <c r="B9276" t="s">
        <v>9777</v>
      </c>
      <c r="C9276" t="s">
        <v>427</v>
      </c>
      <c r="D9276" s="106">
        <v>2.04</v>
      </c>
    </row>
    <row r="9277" spans="1:4">
      <c r="A9277">
        <v>38096</v>
      </c>
      <c r="B9277" t="s">
        <v>9778</v>
      </c>
      <c r="C9277" t="s">
        <v>427</v>
      </c>
      <c r="D9277" s="106">
        <v>4.74</v>
      </c>
    </row>
    <row r="9278" spans="1:4">
      <c r="A9278">
        <v>38094</v>
      </c>
      <c r="B9278" t="s">
        <v>9779</v>
      </c>
      <c r="C9278" t="s">
        <v>427</v>
      </c>
      <c r="D9278" s="106">
        <v>2.5</v>
      </c>
    </row>
    <row r="9279" spans="1:4">
      <c r="A9279">
        <v>38097</v>
      </c>
      <c r="B9279" t="s">
        <v>9780</v>
      </c>
      <c r="C9279" t="s">
        <v>427</v>
      </c>
      <c r="D9279" s="106">
        <v>5.08</v>
      </c>
    </row>
    <row r="9280" spans="1:4">
      <c r="A9280">
        <v>38098</v>
      </c>
      <c r="B9280" t="s">
        <v>9781</v>
      </c>
      <c r="C9280" t="s">
        <v>427</v>
      </c>
      <c r="D9280" s="106">
        <v>5.08</v>
      </c>
    </row>
    <row r="9281" spans="1:4">
      <c r="A9281">
        <v>11186</v>
      </c>
      <c r="B9281" t="s">
        <v>9782</v>
      </c>
      <c r="C9281" t="s">
        <v>426</v>
      </c>
      <c r="D9281" s="106">
        <v>677.6</v>
      </c>
    </row>
    <row r="9282" spans="1:4">
      <c r="A9282">
        <v>11558</v>
      </c>
      <c r="B9282" t="s">
        <v>9783</v>
      </c>
      <c r="C9282" t="s">
        <v>434</v>
      </c>
      <c r="D9282" s="106">
        <v>15.4</v>
      </c>
    </row>
    <row r="9283" spans="1:4">
      <c r="A9283">
        <v>11557</v>
      </c>
      <c r="B9283" t="s">
        <v>9784</v>
      </c>
      <c r="C9283" t="s">
        <v>434</v>
      </c>
      <c r="D9283" s="106">
        <v>39</v>
      </c>
    </row>
    <row r="9284" spans="1:4">
      <c r="A9284">
        <v>2759</v>
      </c>
      <c r="B9284" t="s">
        <v>9785</v>
      </c>
      <c r="C9284" t="s">
        <v>427</v>
      </c>
      <c r="D9284" s="106">
        <v>11.42</v>
      </c>
    </row>
    <row r="9285" spans="1:4">
      <c r="A9285">
        <v>38124</v>
      </c>
      <c r="B9285" t="s">
        <v>9786</v>
      </c>
      <c r="C9285" t="s">
        <v>427</v>
      </c>
      <c r="D9285" s="106">
        <v>31.74</v>
      </c>
    </row>
    <row r="9286" spans="1:4">
      <c r="A9286">
        <v>38380</v>
      </c>
      <c r="B9286" t="s">
        <v>9787</v>
      </c>
      <c r="C9286" t="s">
        <v>427</v>
      </c>
      <c r="D9286" s="106">
        <v>29.47</v>
      </c>
    </row>
    <row r="9287" spans="1:4">
      <c r="A9287">
        <v>20059</v>
      </c>
      <c r="B9287" t="s">
        <v>9788</v>
      </c>
      <c r="C9287" t="s">
        <v>427</v>
      </c>
      <c r="D9287" s="106">
        <v>17.57</v>
      </c>
    </row>
    <row r="9288" spans="1:4">
      <c r="A9288">
        <v>42429</v>
      </c>
      <c r="B9288" t="s">
        <v>9789</v>
      </c>
      <c r="C9288" t="s">
        <v>427</v>
      </c>
      <c r="D9288" s="107">
        <v>5916.32</v>
      </c>
    </row>
    <row r="9289" spans="1:4">
      <c r="A9289">
        <v>39616</v>
      </c>
      <c r="B9289" t="s">
        <v>9790</v>
      </c>
      <c r="C9289" t="s">
        <v>427</v>
      </c>
      <c r="D9289" s="106">
        <v>306.89999999999998</v>
      </c>
    </row>
    <row r="9290" spans="1:4">
      <c r="A9290">
        <v>39618</v>
      </c>
      <c r="B9290" t="s">
        <v>9791</v>
      </c>
      <c r="C9290" t="s">
        <v>427</v>
      </c>
      <c r="D9290" s="106">
        <v>556.66</v>
      </c>
    </row>
    <row r="9291" spans="1:4">
      <c r="A9291">
        <v>39619</v>
      </c>
      <c r="B9291" t="s">
        <v>9792</v>
      </c>
      <c r="C9291" t="s">
        <v>427</v>
      </c>
      <c r="D9291" s="106">
        <v>762.4</v>
      </c>
    </row>
    <row r="9292" spans="1:4">
      <c r="A9292">
        <v>39613</v>
      </c>
      <c r="B9292" t="s">
        <v>9793</v>
      </c>
      <c r="C9292" t="s">
        <v>427</v>
      </c>
      <c r="D9292" s="106">
        <v>121.9</v>
      </c>
    </row>
    <row r="9293" spans="1:4">
      <c r="A9293">
        <v>39614</v>
      </c>
      <c r="B9293" t="s">
        <v>9794</v>
      </c>
      <c r="C9293" t="s">
        <v>427</v>
      </c>
      <c r="D9293" s="106">
        <v>177.85</v>
      </c>
    </row>
    <row r="9294" spans="1:4">
      <c r="A9294">
        <v>38538</v>
      </c>
      <c r="B9294" t="s">
        <v>9795</v>
      </c>
      <c r="C9294" t="s">
        <v>429</v>
      </c>
      <c r="D9294" s="106">
        <v>75.319999999999993</v>
      </c>
    </row>
    <row r="9295" spans="1:4">
      <c r="A9295">
        <v>38539</v>
      </c>
      <c r="B9295" t="s">
        <v>9796</v>
      </c>
      <c r="C9295" t="s">
        <v>429</v>
      </c>
      <c r="D9295" s="106">
        <v>102.42</v>
      </c>
    </row>
    <row r="9296" spans="1:4">
      <c r="A9296">
        <v>38540</v>
      </c>
      <c r="B9296" t="s">
        <v>9797</v>
      </c>
      <c r="C9296" t="s">
        <v>429</v>
      </c>
      <c r="D9296" s="106">
        <v>262.49</v>
      </c>
    </row>
    <row r="9297" spans="1:4">
      <c r="A9297">
        <v>38384</v>
      </c>
      <c r="B9297" t="s">
        <v>9798</v>
      </c>
      <c r="C9297" t="s">
        <v>427</v>
      </c>
      <c r="D9297" s="106">
        <v>20.49</v>
      </c>
    </row>
    <row r="9298" spans="1:4">
      <c r="A9298">
        <v>13</v>
      </c>
      <c r="B9298" t="s">
        <v>9799</v>
      </c>
      <c r="C9298" t="s">
        <v>430</v>
      </c>
      <c r="D9298" s="106">
        <v>27.7</v>
      </c>
    </row>
    <row r="9299" spans="1:4">
      <c r="A9299">
        <v>2762</v>
      </c>
      <c r="B9299" t="s">
        <v>9800</v>
      </c>
      <c r="C9299" t="s">
        <v>429</v>
      </c>
      <c r="D9299" s="106">
        <v>14.27</v>
      </c>
    </row>
    <row r="9300" spans="1:4">
      <c r="A9300">
        <v>21142</v>
      </c>
      <c r="B9300" t="s">
        <v>9801</v>
      </c>
      <c r="C9300" t="s">
        <v>427</v>
      </c>
      <c r="D9300" s="106">
        <v>31.58</v>
      </c>
    </row>
    <row r="9301" spans="1:4">
      <c r="A9301">
        <v>4223</v>
      </c>
      <c r="B9301" t="s">
        <v>9802</v>
      </c>
      <c r="C9301" t="s">
        <v>428</v>
      </c>
      <c r="D9301" s="106">
        <v>4.47</v>
      </c>
    </row>
    <row r="9302" spans="1:4">
      <c r="A9302">
        <v>37372</v>
      </c>
      <c r="B9302" t="s">
        <v>9803</v>
      </c>
      <c r="C9302" t="s">
        <v>432</v>
      </c>
      <c r="D9302" s="106">
        <v>0.81</v>
      </c>
    </row>
    <row r="9303" spans="1:4">
      <c r="A9303">
        <v>40863</v>
      </c>
      <c r="B9303" t="s">
        <v>9804</v>
      </c>
      <c r="C9303" t="s">
        <v>433</v>
      </c>
      <c r="D9303" s="106">
        <v>152.35</v>
      </c>
    </row>
    <row r="9304" spans="1:4">
      <c r="A9304">
        <v>38475</v>
      </c>
      <c r="B9304" t="s">
        <v>9805</v>
      </c>
      <c r="C9304" t="s">
        <v>427</v>
      </c>
      <c r="D9304" s="106">
        <v>31.36</v>
      </c>
    </row>
    <row r="9305" spans="1:4">
      <c r="A9305">
        <v>38474</v>
      </c>
      <c r="B9305" t="s">
        <v>9806</v>
      </c>
      <c r="C9305" t="s">
        <v>427</v>
      </c>
      <c r="D9305" s="106">
        <v>38.770000000000003</v>
      </c>
    </row>
    <row r="9306" spans="1:4">
      <c r="A9306">
        <v>10886</v>
      </c>
      <c r="B9306" t="s">
        <v>9807</v>
      </c>
      <c r="C9306" t="s">
        <v>427</v>
      </c>
      <c r="D9306" s="106">
        <v>169.62</v>
      </c>
    </row>
    <row r="9307" spans="1:4">
      <c r="A9307">
        <v>10888</v>
      </c>
      <c r="B9307" t="s">
        <v>9808</v>
      </c>
      <c r="C9307" t="s">
        <v>427</v>
      </c>
      <c r="D9307" s="106">
        <v>536.84</v>
      </c>
    </row>
    <row r="9308" spans="1:4">
      <c r="A9308">
        <v>10889</v>
      </c>
      <c r="B9308" t="s">
        <v>9809</v>
      </c>
      <c r="C9308" t="s">
        <v>427</v>
      </c>
      <c r="D9308" s="106">
        <v>581.58000000000004</v>
      </c>
    </row>
    <row r="9309" spans="1:4">
      <c r="A9309">
        <v>10890</v>
      </c>
      <c r="B9309" t="s">
        <v>9810</v>
      </c>
      <c r="C9309" t="s">
        <v>427</v>
      </c>
      <c r="D9309" s="106">
        <v>268.42</v>
      </c>
    </row>
    <row r="9310" spans="1:4">
      <c r="A9310">
        <v>10891</v>
      </c>
      <c r="B9310" t="s">
        <v>9811</v>
      </c>
      <c r="C9310" t="s">
        <v>427</v>
      </c>
      <c r="D9310" s="106">
        <v>164.03</v>
      </c>
    </row>
    <row r="9311" spans="1:4">
      <c r="A9311">
        <v>10892</v>
      </c>
      <c r="B9311" t="s">
        <v>9812</v>
      </c>
      <c r="C9311" t="s">
        <v>427</v>
      </c>
      <c r="D9311" s="106">
        <v>193.86</v>
      </c>
    </row>
    <row r="9312" spans="1:4">
      <c r="A9312">
        <v>20977</v>
      </c>
      <c r="B9312" t="s">
        <v>9813</v>
      </c>
      <c r="C9312" t="s">
        <v>427</v>
      </c>
      <c r="D9312" s="106">
        <v>231.14</v>
      </c>
    </row>
    <row r="9313" spans="1:4">
      <c r="A9313">
        <v>3073</v>
      </c>
      <c r="B9313" t="s">
        <v>9814</v>
      </c>
      <c r="C9313" t="s">
        <v>427</v>
      </c>
      <c r="D9313" s="106">
        <v>251.32</v>
      </c>
    </row>
    <row r="9314" spans="1:4">
      <c r="A9314">
        <v>3068</v>
      </c>
      <c r="B9314" t="s">
        <v>9815</v>
      </c>
      <c r="C9314" t="s">
        <v>427</v>
      </c>
      <c r="D9314" s="106">
        <v>50.24</v>
      </c>
    </row>
    <row r="9315" spans="1:4">
      <c r="A9315">
        <v>3074</v>
      </c>
      <c r="B9315" t="s">
        <v>9816</v>
      </c>
      <c r="C9315" t="s">
        <v>427</v>
      </c>
      <c r="D9315" s="106">
        <v>158.66</v>
      </c>
    </row>
    <row r="9316" spans="1:4">
      <c r="A9316">
        <v>3076</v>
      </c>
      <c r="B9316" t="s">
        <v>9817</v>
      </c>
      <c r="C9316" t="s">
        <v>427</v>
      </c>
      <c r="D9316" s="106">
        <v>206.61</v>
      </c>
    </row>
    <row r="9317" spans="1:4">
      <c r="A9317">
        <v>3072</v>
      </c>
      <c r="B9317" t="s">
        <v>9818</v>
      </c>
      <c r="C9317" t="s">
        <v>427</v>
      </c>
      <c r="D9317" s="106">
        <v>52.05</v>
      </c>
    </row>
    <row r="9318" spans="1:4">
      <c r="A9318">
        <v>3075</v>
      </c>
      <c r="B9318" t="s">
        <v>9819</v>
      </c>
      <c r="C9318" t="s">
        <v>427</v>
      </c>
      <c r="D9318" s="106">
        <v>130.57</v>
      </c>
    </row>
    <row r="9319" spans="1:4">
      <c r="A9319">
        <v>10780</v>
      </c>
      <c r="B9319" t="s">
        <v>9820</v>
      </c>
      <c r="C9319" t="s">
        <v>427</v>
      </c>
      <c r="D9319" s="106">
        <v>11.03</v>
      </c>
    </row>
    <row r="9320" spans="1:4">
      <c r="A9320">
        <v>10781</v>
      </c>
      <c r="B9320" t="s">
        <v>9821</v>
      </c>
      <c r="C9320" t="s">
        <v>427</v>
      </c>
      <c r="D9320" s="106">
        <v>17.7</v>
      </c>
    </row>
    <row r="9321" spans="1:4">
      <c r="A9321">
        <v>20106</v>
      </c>
      <c r="B9321" t="s">
        <v>9822</v>
      </c>
      <c r="C9321" t="s">
        <v>427</v>
      </c>
      <c r="D9321" s="106">
        <v>5.83</v>
      </c>
    </row>
    <row r="9322" spans="1:4">
      <c r="A9322">
        <v>20107</v>
      </c>
      <c r="B9322" t="s">
        <v>9823</v>
      </c>
      <c r="C9322" t="s">
        <v>427</v>
      </c>
      <c r="D9322" s="106">
        <v>6.68</v>
      </c>
    </row>
    <row r="9323" spans="1:4">
      <c r="A9323">
        <v>20108</v>
      </c>
      <c r="B9323" t="s">
        <v>9824</v>
      </c>
      <c r="C9323" t="s">
        <v>427</v>
      </c>
      <c r="D9323" s="106">
        <v>8.82</v>
      </c>
    </row>
    <row r="9324" spans="1:4">
      <c r="A9324">
        <v>20109</v>
      </c>
      <c r="B9324" t="s">
        <v>9825</v>
      </c>
      <c r="C9324" t="s">
        <v>427</v>
      </c>
      <c r="D9324" s="106">
        <v>11.03</v>
      </c>
    </row>
    <row r="9325" spans="1:4">
      <c r="A9325">
        <v>43612</v>
      </c>
      <c r="B9325" t="s">
        <v>9826</v>
      </c>
      <c r="C9325" t="s">
        <v>438</v>
      </c>
      <c r="D9325" s="106">
        <v>90.26</v>
      </c>
    </row>
    <row r="9326" spans="1:4">
      <c r="A9326">
        <v>43613</v>
      </c>
      <c r="B9326" t="s">
        <v>9827</v>
      </c>
      <c r="C9326" t="s">
        <v>438</v>
      </c>
      <c r="D9326" s="106">
        <v>74.72</v>
      </c>
    </row>
    <row r="9327" spans="1:4">
      <c r="A9327">
        <v>11480</v>
      </c>
      <c r="B9327" t="s">
        <v>9828</v>
      </c>
      <c r="C9327" t="s">
        <v>438</v>
      </c>
      <c r="D9327" s="106">
        <v>114.67</v>
      </c>
    </row>
    <row r="9328" spans="1:4">
      <c r="A9328">
        <v>11469</v>
      </c>
      <c r="B9328" t="s">
        <v>9829</v>
      </c>
      <c r="C9328" t="s">
        <v>427</v>
      </c>
      <c r="D9328" s="106">
        <v>12.24</v>
      </c>
    </row>
    <row r="9329" spans="1:4">
      <c r="A9329">
        <v>11468</v>
      </c>
      <c r="B9329" t="s">
        <v>9830</v>
      </c>
      <c r="C9329" t="s">
        <v>427</v>
      </c>
      <c r="D9329" s="106">
        <v>12.25</v>
      </c>
    </row>
    <row r="9330" spans="1:4">
      <c r="A9330">
        <v>11484</v>
      </c>
      <c r="B9330" t="s">
        <v>9831</v>
      </c>
      <c r="C9330" t="s">
        <v>427</v>
      </c>
      <c r="D9330" s="106">
        <v>53.8</v>
      </c>
    </row>
    <row r="9331" spans="1:4">
      <c r="A9331">
        <v>38155</v>
      </c>
      <c r="B9331" t="s">
        <v>9832</v>
      </c>
      <c r="C9331" t="s">
        <v>427</v>
      </c>
      <c r="D9331" s="106">
        <v>83.52</v>
      </c>
    </row>
    <row r="9332" spans="1:4">
      <c r="A9332">
        <v>11467</v>
      </c>
      <c r="B9332" t="s">
        <v>9833</v>
      </c>
      <c r="C9332" t="s">
        <v>427</v>
      </c>
      <c r="D9332" s="106">
        <v>19.079999999999998</v>
      </c>
    </row>
    <row r="9333" spans="1:4">
      <c r="A9333">
        <v>38153</v>
      </c>
      <c r="B9333" t="s">
        <v>9834</v>
      </c>
      <c r="C9333" t="s">
        <v>438</v>
      </c>
      <c r="D9333" s="106">
        <v>48.75</v>
      </c>
    </row>
    <row r="9334" spans="1:4">
      <c r="A9334">
        <v>43607</v>
      </c>
      <c r="B9334" t="s">
        <v>9835</v>
      </c>
      <c r="C9334" t="s">
        <v>438</v>
      </c>
      <c r="D9334" s="106">
        <v>92.21</v>
      </c>
    </row>
    <row r="9335" spans="1:4">
      <c r="A9335">
        <v>3080</v>
      </c>
      <c r="B9335" t="s">
        <v>9836</v>
      </c>
      <c r="C9335" t="s">
        <v>438</v>
      </c>
      <c r="D9335" s="106">
        <v>62</v>
      </c>
    </row>
    <row r="9336" spans="1:4">
      <c r="A9336">
        <v>3081</v>
      </c>
      <c r="B9336" t="s">
        <v>9837</v>
      </c>
      <c r="C9336" t="s">
        <v>438</v>
      </c>
      <c r="D9336" s="106">
        <v>122.66</v>
      </c>
    </row>
    <row r="9337" spans="1:4">
      <c r="A9337">
        <v>3090</v>
      </c>
      <c r="B9337" t="s">
        <v>9838</v>
      </c>
      <c r="C9337" t="s">
        <v>438</v>
      </c>
      <c r="D9337" s="106">
        <v>55.34</v>
      </c>
    </row>
    <row r="9338" spans="1:4">
      <c r="A9338">
        <v>43611</v>
      </c>
      <c r="B9338" t="s">
        <v>9839</v>
      </c>
      <c r="C9338" t="s">
        <v>438</v>
      </c>
      <c r="D9338" s="106">
        <v>91.83</v>
      </c>
    </row>
    <row r="9339" spans="1:4">
      <c r="A9339">
        <v>3103</v>
      </c>
      <c r="B9339" t="s">
        <v>9840</v>
      </c>
      <c r="C9339" t="s">
        <v>427</v>
      </c>
      <c r="D9339" s="106">
        <v>45.88</v>
      </c>
    </row>
    <row r="9340" spans="1:4">
      <c r="A9340">
        <v>3097</v>
      </c>
      <c r="B9340" t="s">
        <v>9841</v>
      </c>
      <c r="C9340" t="s">
        <v>438</v>
      </c>
      <c r="D9340" s="106">
        <v>69.42</v>
      </c>
    </row>
    <row r="9341" spans="1:4">
      <c r="A9341">
        <v>3099</v>
      </c>
      <c r="B9341" t="s">
        <v>9842</v>
      </c>
      <c r="C9341" t="s">
        <v>438</v>
      </c>
      <c r="D9341" s="106">
        <v>111.15</v>
      </c>
    </row>
    <row r="9342" spans="1:4">
      <c r="A9342">
        <v>38151</v>
      </c>
      <c r="B9342" t="s">
        <v>9843</v>
      </c>
      <c r="C9342" t="s">
        <v>438</v>
      </c>
      <c r="D9342" s="106">
        <v>80.58</v>
      </c>
    </row>
    <row r="9343" spans="1:4">
      <c r="A9343">
        <v>38152</v>
      </c>
      <c r="B9343" t="s">
        <v>9844</v>
      </c>
      <c r="C9343" t="s">
        <v>438</v>
      </c>
      <c r="D9343" s="106">
        <v>129.99</v>
      </c>
    </row>
    <row r="9344" spans="1:4">
      <c r="A9344">
        <v>43610</v>
      </c>
      <c r="B9344" t="s">
        <v>9845</v>
      </c>
      <c r="C9344" t="s">
        <v>438</v>
      </c>
      <c r="D9344" s="106">
        <v>68.88</v>
      </c>
    </row>
    <row r="9345" spans="1:4">
      <c r="A9345">
        <v>3093</v>
      </c>
      <c r="B9345" t="s">
        <v>9846</v>
      </c>
      <c r="C9345" t="s">
        <v>438</v>
      </c>
      <c r="D9345" s="106">
        <v>111.15</v>
      </c>
    </row>
    <row r="9346" spans="1:4">
      <c r="A9346">
        <v>38165</v>
      </c>
      <c r="B9346" t="s">
        <v>9847</v>
      </c>
      <c r="C9346" t="s">
        <v>438</v>
      </c>
      <c r="D9346" s="106">
        <v>74.11</v>
      </c>
    </row>
    <row r="9347" spans="1:4">
      <c r="A9347">
        <v>38177</v>
      </c>
      <c r="B9347" t="s">
        <v>9848</v>
      </c>
      <c r="C9347" t="s">
        <v>427</v>
      </c>
      <c r="D9347" s="106">
        <v>22.02</v>
      </c>
    </row>
    <row r="9348" spans="1:4">
      <c r="A9348">
        <v>11458</v>
      </c>
      <c r="B9348" t="s">
        <v>9849</v>
      </c>
      <c r="C9348" t="s">
        <v>427</v>
      </c>
      <c r="D9348" s="106">
        <v>26.29</v>
      </c>
    </row>
    <row r="9349" spans="1:4">
      <c r="A9349">
        <v>3108</v>
      </c>
      <c r="B9349" t="s">
        <v>9850</v>
      </c>
      <c r="C9349" t="s">
        <v>427</v>
      </c>
      <c r="D9349" s="106">
        <v>111.76</v>
      </c>
    </row>
    <row r="9350" spans="1:4">
      <c r="A9350">
        <v>3105</v>
      </c>
      <c r="B9350" t="s">
        <v>9851</v>
      </c>
      <c r="C9350" t="s">
        <v>427</v>
      </c>
      <c r="D9350" s="106">
        <v>146.18</v>
      </c>
    </row>
    <row r="9351" spans="1:4">
      <c r="A9351">
        <v>38178</v>
      </c>
      <c r="B9351" t="s">
        <v>9852</v>
      </c>
      <c r="C9351" t="s">
        <v>427</v>
      </c>
      <c r="D9351" s="106">
        <v>24.23</v>
      </c>
    </row>
    <row r="9352" spans="1:4">
      <c r="A9352">
        <v>43575</v>
      </c>
      <c r="B9352" t="s">
        <v>9853</v>
      </c>
      <c r="C9352" t="s">
        <v>427</v>
      </c>
      <c r="D9352" s="106">
        <v>52.5</v>
      </c>
    </row>
    <row r="9353" spans="1:4">
      <c r="A9353">
        <v>43577</v>
      </c>
      <c r="B9353" t="s">
        <v>9854</v>
      </c>
      <c r="C9353" t="s">
        <v>427</v>
      </c>
      <c r="D9353" s="106">
        <v>91.27</v>
      </c>
    </row>
    <row r="9354" spans="1:4">
      <c r="A9354">
        <v>43458</v>
      </c>
      <c r="B9354" t="s">
        <v>9855</v>
      </c>
      <c r="C9354" t="s">
        <v>432</v>
      </c>
      <c r="D9354" s="106">
        <v>0.05</v>
      </c>
    </row>
    <row r="9355" spans="1:4">
      <c r="A9355">
        <v>43470</v>
      </c>
      <c r="B9355" t="s">
        <v>9856</v>
      </c>
      <c r="C9355" t="s">
        <v>433</v>
      </c>
      <c r="D9355" s="106">
        <v>9.2100000000000009</v>
      </c>
    </row>
    <row r="9356" spans="1:4">
      <c r="A9356">
        <v>43459</v>
      </c>
      <c r="B9356" t="s">
        <v>9857</v>
      </c>
      <c r="C9356" t="s">
        <v>432</v>
      </c>
      <c r="D9356" s="106">
        <v>0.45</v>
      </c>
    </row>
    <row r="9357" spans="1:4">
      <c r="A9357">
        <v>43471</v>
      </c>
      <c r="B9357" t="s">
        <v>9858</v>
      </c>
      <c r="C9357" t="s">
        <v>433</v>
      </c>
      <c r="D9357" s="106">
        <v>84.46</v>
      </c>
    </row>
    <row r="9358" spans="1:4">
      <c r="A9358">
        <v>43460</v>
      </c>
      <c r="B9358" t="s">
        <v>9859</v>
      </c>
      <c r="C9358" t="s">
        <v>432</v>
      </c>
      <c r="D9358" s="106">
        <v>0.78</v>
      </c>
    </row>
    <row r="9359" spans="1:4">
      <c r="A9359">
        <v>43472</v>
      </c>
      <c r="B9359" t="s">
        <v>9860</v>
      </c>
      <c r="C9359" t="s">
        <v>433</v>
      </c>
      <c r="D9359" s="106">
        <v>147.22999999999999</v>
      </c>
    </row>
    <row r="9360" spans="1:4">
      <c r="A9360">
        <v>43461</v>
      </c>
      <c r="B9360" t="s">
        <v>9861</v>
      </c>
      <c r="C9360" t="s">
        <v>432</v>
      </c>
      <c r="D9360" s="106">
        <v>0.32</v>
      </c>
    </row>
    <row r="9361" spans="1:4">
      <c r="A9361">
        <v>43473</v>
      </c>
      <c r="B9361" t="s">
        <v>9862</v>
      </c>
      <c r="C9361" t="s">
        <v>433</v>
      </c>
      <c r="D9361" s="106">
        <v>60.93</v>
      </c>
    </row>
    <row r="9362" spans="1:4">
      <c r="A9362">
        <v>43463</v>
      </c>
      <c r="B9362" t="s">
        <v>9863</v>
      </c>
      <c r="C9362" t="s">
        <v>432</v>
      </c>
      <c r="D9362" s="106">
        <v>0.1</v>
      </c>
    </row>
    <row r="9363" spans="1:4">
      <c r="A9363">
        <v>43475</v>
      </c>
      <c r="B9363" t="s">
        <v>9864</v>
      </c>
      <c r="C9363" t="s">
        <v>433</v>
      </c>
      <c r="D9363" s="106">
        <v>18.579999999999998</v>
      </c>
    </row>
    <row r="9364" spans="1:4">
      <c r="A9364">
        <v>43462</v>
      </c>
      <c r="B9364" t="s">
        <v>9865</v>
      </c>
      <c r="C9364" t="s">
        <v>432</v>
      </c>
      <c r="D9364" s="106">
        <v>0.01</v>
      </c>
    </row>
    <row r="9365" spans="1:4">
      <c r="A9365">
        <v>43474</v>
      </c>
      <c r="B9365" t="s">
        <v>9866</v>
      </c>
      <c r="C9365" t="s">
        <v>433</v>
      </c>
      <c r="D9365" s="106">
        <v>1.9</v>
      </c>
    </row>
    <row r="9366" spans="1:4">
      <c r="A9366">
        <v>43464</v>
      </c>
      <c r="B9366" t="s">
        <v>9867</v>
      </c>
      <c r="C9366" t="s">
        <v>432</v>
      </c>
      <c r="D9366" s="106">
        <v>0.01</v>
      </c>
    </row>
    <row r="9367" spans="1:4">
      <c r="A9367">
        <v>43476</v>
      </c>
      <c r="B9367" t="s">
        <v>9868</v>
      </c>
      <c r="C9367" t="s">
        <v>433</v>
      </c>
      <c r="D9367" s="106">
        <v>0.01</v>
      </c>
    </row>
    <row r="9368" spans="1:4">
      <c r="A9368">
        <v>43465</v>
      </c>
      <c r="B9368" t="s">
        <v>9869</v>
      </c>
      <c r="C9368" t="s">
        <v>432</v>
      </c>
      <c r="D9368" s="106">
        <v>0.74</v>
      </c>
    </row>
    <row r="9369" spans="1:4">
      <c r="A9369">
        <v>43477</v>
      </c>
      <c r="B9369" t="s">
        <v>9870</v>
      </c>
      <c r="C9369" t="s">
        <v>433</v>
      </c>
      <c r="D9369" s="106">
        <v>139.44</v>
      </c>
    </row>
    <row r="9370" spans="1:4">
      <c r="A9370">
        <v>43466</v>
      </c>
      <c r="B9370" t="s">
        <v>9871</v>
      </c>
      <c r="C9370" t="s">
        <v>432</v>
      </c>
      <c r="D9370" s="106">
        <v>1.48</v>
      </c>
    </row>
    <row r="9371" spans="1:4">
      <c r="A9371">
        <v>43478</v>
      </c>
      <c r="B9371" t="s">
        <v>9872</v>
      </c>
      <c r="C9371" t="s">
        <v>433</v>
      </c>
      <c r="D9371" s="106">
        <v>279.08999999999997</v>
      </c>
    </row>
    <row r="9372" spans="1:4">
      <c r="A9372">
        <v>43467</v>
      </c>
      <c r="B9372" t="s">
        <v>9873</v>
      </c>
      <c r="C9372" t="s">
        <v>432</v>
      </c>
      <c r="D9372" s="106">
        <v>0.56000000000000005</v>
      </c>
    </row>
    <row r="9373" spans="1:4">
      <c r="A9373">
        <v>43479</v>
      </c>
      <c r="B9373" t="s">
        <v>9874</v>
      </c>
      <c r="C9373" t="s">
        <v>433</v>
      </c>
      <c r="D9373" s="106">
        <v>106.33</v>
      </c>
    </row>
    <row r="9374" spans="1:4">
      <c r="A9374">
        <v>43468</v>
      </c>
      <c r="B9374" t="s">
        <v>9875</v>
      </c>
      <c r="C9374" t="s">
        <v>432</v>
      </c>
      <c r="D9374" s="106">
        <v>1.07</v>
      </c>
    </row>
    <row r="9375" spans="1:4">
      <c r="A9375">
        <v>43480</v>
      </c>
      <c r="B9375" t="s">
        <v>9876</v>
      </c>
      <c r="C9375" t="s">
        <v>433</v>
      </c>
      <c r="D9375" s="106">
        <v>201.56</v>
      </c>
    </row>
    <row r="9376" spans="1:4">
      <c r="A9376">
        <v>43469</v>
      </c>
      <c r="B9376" t="s">
        <v>9877</v>
      </c>
      <c r="C9376" t="s">
        <v>432</v>
      </c>
      <c r="D9376" s="106">
        <v>7.0000000000000007E-2</v>
      </c>
    </row>
    <row r="9377" spans="1:4">
      <c r="A9377">
        <v>43481</v>
      </c>
      <c r="B9377" t="s">
        <v>9878</v>
      </c>
      <c r="C9377" t="s">
        <v>433</v>
      </c>
      <c r="D9377" s="106">
        <v>13.21</v>
      </c>
    </row>
    <row r="9378" spans="1:4">
      <c r="A9378">
        <v>3119</v>
      </c>
      <c r="B9378" t="s">
        <v>9879</v>
      </c>
      <c r="C9378" t="s">
        <v>427</v>
      </c>
      <c r="D9378" s="106">
        <v>2.84</v>
      </c>
    </row>
    <row r="9379" spans="1:4">
      <c r="A9379">
        <v>3122</v>
      </c>
      <c r="B9379" t="s">
        <v>9880</v>
      </c>
      <c r="C9379" t="s">
        <v>427</v>
      </c>
      <c r="D9379" s="106">
        <v>5.79</v>
      </c>
    </row>
    <row r="9380" spans="1:4">
      <c r="A9380">
        <v>3121</v>
      </c>
      <c r="B9380" t="s">
        <v>9881</v>
      </c>
      <c r="C9380" t="s">
        <v>427</v>
      </c>
      <c r="D9380" s="106">
        <v>6.56</v>
      </c>
    </row>
    <row r="9381" spans="1:4">
      <c r="A9381">
        <v>3120</v>
      </c>
      <c r="B9381" t="s">
        <v>9882</v>
      </c>
      <c r="C9381" t="s">
        <v>427</v>
      </c>
      <c r="D9381" s="106">
        <v>12.44</v>
      </c>
    </row>
    <row r="9382" spans="1:4">
      <c r="A9382">
        <v>11455</v>
      </c>
      <c r="B9382" t="s">
        <v>9883</v>
      </c>
      <c r="C9382" t="s">
        <v>427</v>
      </c>
      <c r="D9382" s="106">
        <v>18</v>
      </c>
    </row>
    <row r="9383" spans="1:4">
      <c r="A9383">
        <v>11456</v>
      </c>
      <c r="B9383" t="s">
        <v>9884</v>
      </c>
      <c r="C9383" t="s">
        <v>427</v>
      </c>
      <c r="D9383" s="106">
        <v>21.51</v>
      </c>
    </row>
    <row r="9384" spans="1:4">
      <c r="A9384">
        <v>3107</v>
      </c>
      <c r="B9384" t="s">
        <v>9885</v>
      </c>
      <c r="C9384" t="s">
        <v>427</v>
      </c>
      <c r="D9384" s="106">
        <v>9.07</v>
      </c>
    </row>
    <row r="9385" spans="1:4">
      <c r="A9385">
        <v>43583</v>
      </c>
      <c r="B9385" t="s">
        <v>9886</v>
      </c>
      <c r="C9385" t="s">
        <v>427</v>
      </c>
      <c r="D9385" s="106">
        <v>10.23</v>
      </c>
    </row>
    <row r="9386" spans="1:4">
      <c r="A9386">
        <v>43586</v>
      </c>
      <c r="B9386" t="s">
        <v>9887</v>
      </c>
      <c r="C9386" t="s">
        <v>427</v>
      </c>
      <c r="D9386" s="106">
        <v>10.49</v>
      </c>
    </row>
    <row r="9387" spans="1:4">
      <c r="A9387">
        <v>11461</v>
      </c>
      <c r="B9387" t="s">
        <v>9888</v>
      </c>
      <c r="C9387" t="s">
        <v>427</v>
      </c>
      <c r="D9387" s="106">
        <v>11.43</v>
      </c>
    </row>
    <row r="9388" spans="1:4">
      <c r="A9388">
        <v>43587</v>
      </c>
      <c r="B9388" t="s">
        <v>9889</v>
      </c>
      <c r="C9388" t="s">
        <v>427</v>
      </c>
      <c r="D9388" s="106">
        <v>13.19</v>
      </c>
    </row>
    <row r="9389" spans="1:4">
      <c r="A9389">
        <v>3106</v>
      </c>
      <c r="B9389" t="s">
        <v>9890</v>
      </c>
      <c r="C9389" t="s">
        <v>427</v>
      </c>
      <c r="D9389" s="106">
        <v>16.73</v>
      </c>
    </row>
    <row r="9390" spans="1:4">
      <c r="A9390">
        <v>44539</v>
      </c>
      <c r="B9390" t="s">
        <v>13449</v>
      </c>
      <c r="C9390" t="s">
        <v>430</v>
      </c>
      <c r="D9390" s="106">
        <v>3.64</v>
      </c>
    </row>
    <row r="9391" spans="1:4">
      <c r="A9391">
        <v>3123</v>
      </c>
      <c r="B9391" t="s">
        <v>9891</v>
      </c>
      <c r="C9391" t="s">
        <v>430</v>
      </c>
      <c r="D9391" s="106">
        <v>3.4</v>
      </c>
    </row>
    <row r="9392" spans="1:4">
      <c r="A9392">
        <v>38125</v>
      </c>
      <c r="B9392" t="s">
        <v>9892</v>
      </c>
      <c r="C9392" t="s">
        <v>430</v>
      </c>
      <c r="D9392" s="106">
        <v>1.1399999999999999</v>
      </c>
    </row>
    <row r="9393" spans="1:4">
      <c r="A9393">
        <v>39014</v>
      </c>
      <c r="B9393" t="s">
        <v>9893</v>
      </c>
      <c r="C9393" t="s">
        <v>430</v>
      </c>
      <c r="D9393" s="106">
        <v>9.9</v>
      </c>
    </row>
    <row r="9394" spans="1:4">
      <c r="A9394">
        <v>39365</v>
      </c>
      <c r="B9394" t="s">
        <v>9894</v>
      </c>
      <c r="C9394" t="s">
        <v>427</v>
      </c>
      <c r="D9394" s="107">
        <v>1161.3800000000001</v>
      </c>
    </row>
    <row r="9395" spans="1:4">
      <c r="A9395">
        <v>39366</v>
      </c>
      <c r="B9395" t="s">
        <v>9895</v>
      </c>
      <c r="C9395" t="s">
        <v>427</v>
      </c>
      <c r="D9395" s="107">
        <v>2973.62</v>
      </c>
    </row>
    <row r="9396" spans="1:4">
      <c r="A9396">
        <v>39367</v>
      </c>
      <c r="B9396" t="s">
        <v>9896</v>
      </c>
      <c r="C9396" t="s">
        <v>427</v>
      </c>
      <c r="D9396" s="107">
        <v>4064.4</v>
      </c>
    </row>
    <row r="9397" spans="1:4">
      <c r="A9397">
        <v>37394</v>
      </c>
      <c r="B9397" t="s">
        <v>9897</v>
      </c>
      <c r="C9397" t="s">
        <v>440</v>
      </c>
      <c r="D9397" s="106">
        <v>43.05</v>
      </c>
    </row>
    <row r="9398" spans="1:4">
      <c r="A9398">
        <v>14146</v>
      </c>
      <c r="B9398" t="s">
        <v>9898</v>
      </c>
      <c r="C9398" t="s">
        <v>440</v>
      </c>
      <c r="D9398" s="106">
        <v>69.239999999999995</v>
      </c>
    </row>
    <row r="9399" spans="1:4">
      <c r="A9399">
        <v>38134</v>
      </c>
      <c r="B9399" t="s">
        <v>9899</v>
      </c>
      <c r="C9399" t="s">
        <v>430</v>
      </c>
      <c r="D9399" s="106">
        <v>90.59</v>
      </c>
    </row>
    <row r="9400" spans="1:4">
      <c r="A9400">
        <v>38132</v>
      </c>
      <c r="B9400" t="s">
        <v>9900</v>
      </c>
      <c r="C9400" t="s">
        <v>430</v>
      </c>
      <c r="D9400" s="106">
        <v>92.4</v>
      </c>
    </row>
    <row r="9401" spans="1:4">
      <c r="A9401">
        <v>38133</v>
      </c>
      <c r="B9401" t="s">
        <v>9901</v>
      </c>
      <c r="C9401" t="s">
        <v>430</v>
      </c>
      <c r="D9401" s="106">
        <v>89.37</v>
      </c>
    </row>
    <row r="9402" spans="1:4">
      <c r="A9402">
        <v>938</v>
      </c>
      <c r="B9402" t="s">
        <v>9902</v>
      </c>
      <c r="C9402" t="s">
        <v>429</v>
      </c>
      <c r="D9402" s="106">
        <v>1.59</v>
      </c>
    </row>
    <row r="9403" spans="1:4">
      <c r="A9403">
        <v>937</v>
      </c>
      <c r="B9403" t="s">
        <v>9903</v>
      </c>
      <c r="C9403" t="s">
        <v>429</v>
      </c>
      <c r="D9403" s="106">
        <v>9.82</v>
      </c>
    </row>
    <row r="9404" spans="1:4">
      <c r="A9404">
        <v>939</v>
      </c>
      <c r="B9404" t="s">
        <v>9904</v>
      </c>
      <c r="C9404" t="s">
        <v>429</v>
      </c>
      <c r="D9404" s="106">
        <v>2.54</v>
      </c>
    </row>
    <row r="9405" spans="1:4">
      <c r="A9405">
        <v>944</v>
      </c>
      <c r="B9405" t="s">
        <v>9905</v>
      </c>
      <c r="C9405" t="s">
        <v>429</v>
      </c>
      <c r="D9405" s="106">
        <v>4.34</v>
      </c>
    </row>
    <row r="9406" spans="1:4">
      <c r="A9406">
        <v>940</v>
      </c>
      <c r="B9406" t="s">
        <v>9906</v>
      </c>
      <c r="C9406" t="s">
        <v>429</v>
      </c>
      <c r="D9406" s="106">
        <v>6.01</v>
      </c>
    </row>
    <row r="9407" spans="1:4">
      <c r="A9407">
        <v>936</v>
      </c>
      <c r="B9407" t="s">
        <v>9907</v>
      </c>
      <c r="C9407" t="s">
        <v>429</v>
      </c>
      <c r="D9407" s="106">
        <v>2.12</v>
      </c>
    </row>
    <row r="9408" spans="1:4">
      <c r="A9408">
        <v>935</v>
      </c>
      <c r="B9408" t="s">
        <v>9908</v>
      </c>
      <c r="C9408" t="s">
        <v>429</v>
      </c>
      <c r="D9408" s="106">
        <v>1.61</v>
      </c>
    </row>
    <row r="9409" spans="1:4">
      <c r="A9409">
        <v>44397</v>
      </c>
      <c r="B9409" t="s">
        <v>9909</v>
      </c>
      <c r="C9409" t="s">
        <v>429</v>
      </c>
      <c r="D9409" s="106">
        <v>1.52</v>
      </c>
    </row>
    <row r="9410" spans="1:4">
      <c r="A9410">
        <v>406</v>
      </c>
      <c r="B9410" t="s">
        <v>9910</v>
      </c>
      <c r="C9410" t="s">
        <v>427</v>
      </c>
      <c r="D9410" s="106">
        <v>98.58</v>
      </c>
    </row>
    <row r="9411" spans="1:4">
      <c r="A9411">
        <v>42529</v>
      </c>
      <c r="B9411" t="s">
        <v>9911</v>
      </c>
      <c r="C9411" t="s">
        <v>429</v>
      </c>
      <c r="D9411" s="106">
        <v>1.33</v>
      </c>
    </row>
    <row r="9412" spans="1:4">
      <c r="A9412">
        <v>39634</v>
      </c>
      <c r="B9412" t="s">
        <v>9912</v>
      </c>
      <c r="C9412" t="s">
        <v>429</v>
      </c>
      <c r="D9412" s="106">
        <v>9.74</v>
      </c>
    </row>
    <row r="9413" spans="1:4">
      <c r="A9413">
        <v>39701</v>
      </c>
      <c r="B9413" t="s">
        <v>9913</v>
      </c>
      <c r="C9413" t="s">
        <v>427</v>
      </c>
      <c r="D9413" s="106">
        <v>92.21</v>
      </c>
    </row>
    <row r="9414" spans="1:4">
      <c r="A9414">
        <v>12815</v>
      </c>
      <c r="B9414" t="s">
        <v>9914</v>
      </c>
      <c r="C9414" t="s">
        <v>427</v>
      </c>
      <c r="D9414" s="106">
        <v>9.02</v>
      </c>
    </row>
    <row r="9415" spans="1:4">
      <c r="A9415">
        <v>407</v>
      </c>
      <c r="B9415" t="s">
        <v>9915</v>
      </c>
      <c r="C9415" t="s">
        <v>430</v>
      </c>
      <c r="D9415" s="106">
        <v>64.89</v>
      </c>
    </row>
    <row r="9416" spans="1:4">
      <c r="A9416">
        <v>39431</v>
      </c>
      <c r="B9416" t="s">
        <v>9916</v>
      </c>
      <c r="C9416" t="s">
        <v>429</v>
      </c>
      <c r="D9416" s="106">
        <v>0.33</v>
      </c>
    </row>
    <row r="9417" spans="1:4">
      <c r="A9417">
        <v>39432</v>
      </c>
      <c r="B9417" t="s">
        <v>9917</v>
      </c>
      <c r="C9417" t="s">
        <v>429</v>
      </c>
      <c r="D9417" s="106">
        <v>2.97</v>
      </c>
    </row>
    <row r="9418" spans="1:4">
      <c r="A9418">
        <v>20111</v>
      </c>
      <c r="B9418" t="s">
        <v>9918</v>
      </c>
      <c r="C9418" t="s">
        <v>427</v>
      </c>
      <c r="D9418" s="106">
        <v>10.45</v>
      </c>
    </row>
    <row r="9419" spans="1:4">
      <c r="A9419">
        <v>21127</v>
      </c>
      <c r="B9419" t="s">
        <v>9919</v>
      </c>
      <c r="C9419" t="s">
        <v>427</v>
      </c>
      <c r="D9419" s="106">
        <v>3.95</v>
      </c>
    </row>
    <row r="9420" spans="1:4">
      <c r="A9420">
        <v>404</v>
      </c>
      <c r="B9420" t="s">
        <v>9920</v>
      </c>
      <c r="C9420" t="s">
        <v>429</v>
      </c>
      <c r="D9420" s="106">
        <v>1.42</v>
      </c>
    </row>
    <row r="9421" spans="1:4">
      <c r="A9421">
        <v>14151</v>
      </c>
      <c r="B9421" t="s">
        <v>9921</v>
      </c>
      <c r="C9421" t="s">
        <v>427</v>
      </c>
      <c r="D9421" s="106">
        <v>49.76</v>
      </c>
    </row>
    <row r="9422" spans="1:4">
      <c r="A9422">
        <v>14153</v>
      </c>
      <c r="B9422" t="s">
        <v>9922</v>
      </c>
      <c r="C9422" t="s">
        <v>427</v>
      </c>
      <c r="D9422" s="106">
        <v>56.25</v>
      </c>
    </row>
    <row r="9423" spans="1:4">
      <c r="A9423">
        <v>14152</v>
      </c>
      <c r="B9423" t="s">
        <v>9923</v>
      </c>
      <c r="C9423" t="s">
        <v>427</v>
      </c>
      <c r="D9423" s="106">
        <v>43.18</v>
      </c>
    </row>
    <row r="9424" spans="1:4">
      <c r="A9424">
        <v>14154</v>
      </c>
      <c r="B9424" t="s">
        <v>9924</v>
      </c>
      <c r="C9424" t="s">
        <v>427</v>
      </c>
      <c r="D9424" s="106">
        <v>151.15</v>
      </c>
    </row>
    <row r="9425" spans="1:4">
      <c r="A9425">
        <v>3146</v>
      </c>
      <c r="B9425" t="s">
        <v>9925</v>
      </c>
      <c r="C9425" t="s">
        <v>427</v>
      </c>
      <c r="D9425" s="106">
        <v>5</v>
      </c>
    </row>
    <row r="9426" spans="1:4">
      <c r="A9426">
        <v>3143</v>
      </c>
      <c r="B9426" t="s">
        <v>9926</v>
      </c>
      <c r="C9426" t="s">
        <v>427</v>
      </c>
      <c r="D9426" s="106">
        <v>11.37</v>
      </c>
    </row>
    <row r="9427" spans="1:4">
      <c r="A9427">
        <v>3148</v>
      </c>
      <c r="B9427" t="s">
        <v>189</v>
      </c>
      <c r="C9427" t="s">
        <v>427</v>
      </c>
      <c r="D9427" s="106">
        <v>18.440000000000001</v>
      </c>
    </row>
    <row r="9428" spans="1:4">
      <c r="A9428">
        <v>4310</v>
      </c>
      <c r="B9428" t="s">
        <v>9927</v>
      </c>
      <c r="C9428" t="s">
        <v>427</v>
      </c>
      <c r="D9428" s="106">
        <v>3.02</v>
      </c>
    </row>
    <row r="9429" spans="1:4">
      <c r="A9429">
        <v>4311</v>
      </c>
      <c r="B9429" t="s">
        <v>9928</v>
      </c>
      <c r="C9429" t="s">
        <v>427</v>
      </c>
      <c r="D9429" s="106">
        <v>2.12</v>
      </c>
    </row>
    <row r="9430" spans="1:4">
      <c r="A9430">
        <v>4312</v>
      </c>
      <c r="B9430" t="s">
        <v>9929</v>
      </c>
      <c r="C9430" t="s">
        <v>427</v>
      </c>
      <c r="D9430" s="106">
        <v>2.97</v>
      </c>
    </row>
    <row r="9431" spans="1:4">
      <c r="A9431">
        <v>13261</v>
      </c>
      <c r="B9431" t="s">
        <v>9930</v>
      </c>
      <c r="C9431" t="s">
        <v>427</v>
      </c>
      <c r="D9431" s="106">
        <v>4.26</v>
      </c>
    </row>
    <row r="9432" spans="1:4">
      <c r="A9432">
        <v>3255</v>
      </c>
      <c r="B9432" t="s">
        <v>9931</v>
      </c>
      <c r="C9432" t="s">
        <v>427</v>
      </c>
      <c r="D9432" s="106">
        <v>8.19</v>
      </c>
    </row>
    <row r="9433" spans="1:4">
      <c r="A9433">
        <v>3254</v>
      </c>
      <c r="B9433" t="s">
        <v>9932</v>
      </c>
      <c r="C9433" t="s">
        <v>427</v>
      </c>
      <c r="D9433" s="106">
        <v>133.01</v>
      </c>
    </row>
    <row r="9434" spans="1:4">
      <c r="A9434">
        <v>3259</v>
      </c>
      <c r="B9434" t="s">
        <v>9933</v>
      </c>
      <c r="C9434" t="s">
        <v>427</v>
      </c>
      <c r="D9434" s="106">
        <v>15.98</v>
      </c>
    </row>
    <row r="9435" spans="1:4">
      <c r="A9435">
        <v>3258</v>
      </c>
      <c r="B9435" t="s">
        <v>9934</v>
      </c>
      <c r="C9435" t="s">
        <v>427</v>
      </c>
      <c r="D9435" s="106">
        <v>9.66</v>
      </c>
    </row>
    <row r="9436" spans="1:4">
      <c r="A9436">
        <v>3251</v>
      </c>
      <c r="B9436" t="s">
        <v>9935</v>
      </c>
      <c r="C9436" t="s">
        <v>427</v>
      </c>
      <c r="D9436" s="106">
        <v>5.69</v>
      </c>
    </row>
    <row r="9437" spans="1:4">
      <c r="A9437">
        <v>3256</v>
      </c>
      <c r="B9437" t="s">
        <v>9936</v>
      </c>
      <c r="C9437" t="s">
        <v>427</v>
      </c>
      <c r="D9437" s="106">
        <v>10.78</v>
      </c>
    </row>
    <row r="9438" spans="1:4">
      <c r="A9438">
        <v>3261</v>
      </c>
      <c r="B9438" t="s">
        <v>9937</v>
      </c>
      <c r="C9438" t="s">
        <v>427</v>
      </c>
      <c r="D9438" s="106">
        <v>117.63</v>
      </c>
    </row>
    <row r="9439" spans="1:4">
      <c r="A9439">
        <v>3260</v>
      </c>
      <c r="B9439" t="s">
        <v>9938</v>
      </c>
      <c r="C9439" t="s">
        <v>427</v>
      </c>
      <c r="D9439" s="106">
        <v>20.21</v>
      </c>
    </row>
    <row r="9440" spans="1:4">
      <c r="A9440">
        <v>3272</v>
      </c>
      <c r="B9440" t="s">
        <v>9939</v>
      </c>
      <c r="C9440" t="s">
        <v>427</v>
      </c>
      <c r="D9440" s="106">
        <v>41.69</v>
      </c>
    </row>
    <row r="9441" spans="1:4">
      <c r="A9441">
        <v>3265</v>
      </c>
      <c r="B9441" t="s">
        <v>9940</v>
      </c>
      <c r="C9441" t="s">
        <v>427</v>
      </c>
      <c r="D9441" s="106">
        <v>33.119999999999997</v>
      </c>
    </row>
    <row r="9442" spans="1:4">
      <c r="A9442">
        <v>3262</v>
      </c>
      <c r="B9442" t="s">
        <v>9941</v>
      </c>
      <c r="C9442" t="s">
        <v>427</v>
      </c>
      <c r="D9442" s="106">
        <v>14.5</v>
      </c>
    </row>
    <row r="9443" spans="1:4">
      <c r="A9443">
        <v>3264</v>
      </c>
      <c r="B9443" t="s">
        <v>9942</v>
      </c>
      <c r="C9443" t="s">
        <v>427</v>
      </c>
      <c r="D9443" s="106">
        <v>23.82</v>
      </c>
    </row>
    <row r="9444" spans="1:4">
      <c r="A9444">
        <v>3267</v>
      </c>
      <c r="B9444" t="s">
        <v>9943</v>
      </c>
      <c r="C9444" t="s">
        <v>427</v>
      </c>
      <c r="D9444" s="106">
        <v>77.790000000000006</v>
      </c>
    </row>
    <row r="9445" spans="1:4">
      <c r="A9445">
        <v>3266</v>
      </c>
      <c r="B9445" t="s">
        <v>9944</v>
      </c>
      <c r="C9445" t="s">
        <v>427</v>
      </c>
      <c r="D9445" s="106">
        <v>49.49</v>
      </c>
    </row>
    <row r="9446" spans="1:4">
      <c r="A9446">
        <v>3263</v>
      </c>
      <c r="B9446" t="s">
        <v>9945</v>
      </c>
      <c r="C9446" t="s">
        <v>427</v>
      </c>
      <c r="D9446" s="106">
        <v>19.809999999999999</v>
      </c>
    </row>
    <row r="9447" spans="1:4">
      <c r="A9447">
        <v>3268</v>
      </c>
      <c r="B9447" t="s">
        <v>9946</v>
      </c>
      <c r="C9447" t="s">
        <v>427</v>
      </c>
      <c r="D9447" s="106">
        <v>105.18</v>
      </c>
    </row>
    <row r="9448" spans="1:4">
      <c r="A9448">
        <v>3271</v>
      </c>
      <c r="B9448" t="s">
        <v>9947</v>
      </c>
      <c r="C9448" t="s">
        <v>427</v>
      </c>
      <c r="D9448" s="106">
        <v>155.5</v>
      </c>
    </row>
    <row r="9449" spans="1:4">
      <c r="A9449">
        <v>3270</v>
      </c>
      <c r="B9449" t="s">
        <v>9948</v>
      </c>
      <c r="C9449" t="s">
        <v>427</v>
      </c>
      <c r="D9449" s="106">
        <v>261.25</v>
      </c>
    </row>
    <row r="9450" spans="1:4">
      <c r="A9450">
        <v>3275</v>
      </c>
      <c r="B9450" t="s">
        <v>9949</v>
      </c>
      <c r="C9450" t="s">
        <v>426</v>
      </c>
      <c r="D9450" s="106">
        <v>149.22999999999999</v>
      </c>
    </row>
    <row r="9451" spans="1:4">
      <c r="A9451">
        <v>39512</v>
      </c>
      <c r="B9451" t="s">
        <v>9950</v>
      </c>
      <c r="C9451" t="s">
        <v>426</v>
      </c>
      <c r="D9451" s="106">
        <v>135.82</v>
      </c>
    </row>
    <row r="9452" spans="1:4">
      <c r="A9452">
        <v>39511</v>
      </c>
      <c r="B9452" t="s">
        <v>9951</v>
      </c>
      <c r="C9452" t="s">
        <v>426</v>
      </c>
      <c r="D9452" s="106">
        <v>148.13999999999999</v>
      </c>
    </row>
    <row r="9453" spans="1:4">
      <c r="A9453">
        <v>39513</v>
      </c>
      <c r="B9453" t="s">
        <v>9952</v>
      </c>
      <c r="C9453" t="s">
        <v>426</v>
      </c>
      <c r="D9453" s="106">
        <v>158.9</v>
      </c>
    </row>
    <row r="9454" spans="1:4">
      <c r="A9454">
        <v>3286</v>
      </c>
      <c r="B9454" t="s">
        <v>9953</v>
      </c>
      <c r="C9454" t="s">
        <v>426</v>
      </c>
      <c r="D9454" s="106">
        <v>79.27</v>
      </c>
    </row>
    <row r="9455" spans="1:4">
      <c r="A9455">
        <v>3287</v>
      </c>
      <c r="B9455" t="s">
        <v>9954</v>
      </c>
      <c r="C9455" t="s">
        <v>426</v>
      </c>
      <c r="D9455" s="106">
        <v>119.8</v>
      </c>
    </row>
    <row r="9456" spans="1:4">
      <c r="A9456">
        <v>3283</v>
      </c>
      <c r="B9456" t="s">
        <v>9955</v>
      </c>
      <c r="C9456" t="s">
        <v>426</v>
      </c>
      <c r="D9456" s="106">
        <v>25.16</v>
      </c>
    </row>
    <row r="9457" spans="1:4">
      <c r="A9457">
        <v>11587</v>
      </c>
      <c r="B9457" t="s">
        <v>9956</v>
      </c>
      <c r="C9457" t="s">
        <v>426</v>
      </c>
      <c r="D9457" s="106">
        <v>102.33</v>
      </c>
    </row>
    <row r="9458" spans="1:4">
      <c r="A9458">
        <v>36225</v>
      </c>
      <c r="B9458" t="s">
        <v>9957</v>
      </c>
      <c r="C9458" t="s">
        <v>426</v>
      </c>
      <c r="D9458" s="106">
        <v>41.57</v>
      </c>
    </row>
    <row r="9459" spans="1:4">
      <c r="A9459">
        <v>36230</v>
      </c>
      <c r="B9459" t="s">
        <v>9958</v>
      </c>
      <c r="C9459" t="s">
        <v>426</v>
      </c>
      <c r="D9459" s="106">
        <v>30.54</v>
      </c>
    </row>
    <row r="9460" spans="1:4">
      <c r="A9460">
        <v>36238</v>
      </c>
      <c r="B9460" t="s">
        <v>9959</v>
      </c>
      <c r="C9460" t="s">
        <v>426</v>
      </c>
      <c r="D9460" s="106">
        <v>29.84</v>
      </c>
    </row>
    <row r="9461" spans="1:4">
      <c r="A9461">
        <v>39363</v>
      </c>
      <c r="B9461" t="s">
        <v>9960</v>
      </c>
      <c r="C9461" t="s">
        <v>427</v>
      </c>
      <c r="D9461" s="107">
        <v>4730.76</v>
      </c>
    </row>
    <row r="9462" spans="1:4">
      <c r="A9462">
        <v>39361</v>
      </c>
      <c r="B9462" t="s">
        <v>9961</v>
      </c>
      <c r="C9462" t="s">
        <v>427</v>
      </c>
      <c r="D9462" s="107">
        <v>1216.48</v>
      </c>
    </row>
    <row r="9463" spans="1:4">
      <c r="A9463">
        <v>39362</v>
      </c>
      <c r="B9463" t="s">
        <v>9962</v>
      </c>
      <c r="C9463" t="s">
        <v>427</v>
      </c>
      <c r="D9463" s="107">
        <v>3743.42</v>
      </c>
    </row>
    <row r="9464" spans="1:4">
      <c r="A9464">
        <v>39364</v>
      </c>
      <c r="B9464" t="s">
        <v>9963</v>
      </c>
      <c r="C9464" t="s">
        <v>427</v>
      </c>
      <c r="D9464" s="107">
        <v>10813.17</v>
      </c>
    </row>
    <row r="9465" spans="1:4">
      <c r="A9465">
        <v>14576</v>
      </c>
      <c r="B9465" t="s">
        <v>9964</v>
      </c>
      <c r="C9465" t="s">
        <v>427</v>
      </c>
      <c r="D9465" s="107">
        <v>6140142.5800000001</v>
      </c>
    </row>
    <row r="9466" spans="1:4">
      <c r="A9466">
        <v>13877</v>
      </c>
      <c r="B9466" t="s">
        <v>9965</v>
      </c>
      <c r="C9466" t="s">
        <v>427</v>
      </c>
      <c r="D9466" s="107">
        <v>2628503.46</v>
      </c>
    </row>
    <row r="9467" spans="1:4">
      <c r="A9467">
        <v>7307</v>
      </c>
      <c r="B9467" t="s">
        <v>9966</v>
      </c>
      <c r="C9467" t="s">
        <v>428</v>
      </c>
      <c r="D9467" s="106">
        <v>31.43</v>
      </c>
    </row>
    <row r="9468" spans="1:4">
      <c r="A9468">
        <v>38122</v>
      </c>
      <c r="B9468" t="s">
        <v>9967</v>
      </c>
      <c r="C9468" t="s">
        <v>428</v>
      </c>
      <c r="D9468" s="106">
        <v>7.94</v>
      </c>
    </row>
    <row r="9469" spans="1:4">
      <c r="A9469">
        <v>43653</v>
      </c>
      <c r="B9469" t="s">
        <v>13450</v>
      </c>
      <c r="C9469" t="s">
        <v>428</v>
      </c>
      <c r="D9469" s="106">
        <v>32.76</v>
      </c>
    </row>
    <row r="9470" spans="1:4">
      <c r="A9470">
        <v>38633</v>
      </c>
      <c r="B9470" t="s">
        <v>9968</v>
      </c>
      <c r="C9470" t="s">
        <v>427</v>
      </c>
      <c r="D9470" s="106">
        <v>20.52</v>
      </c>
    </row>
    <row r="9471" spans="1:4">
      <c r="A9471">
        <v>12344</v>
      </c>
      <c r="B9471" t="s">
        <v>9969</v>
      </c>
      <c r="C9471" t="s">
        <v>427</v>
      </c>
      <c r="D9471" s="106">
        <v>5.72</v>
      </c>
    </row>
    <row r="9472" spans="1:4">
      <c r="A9472">
        <v>12343</v>
      </c>
      <c r="B9472" t="s">
        <v>9970</v>
      </c>
      <c r="C9472" t="s">
        <v>427</v>
      </c>
      <c r="D9472" s="106">
        <v>8.8800000000000008</v>
      </c>
    </row>
    <row r="9473" spans="1:4">
      <c r="A9473">
        <v>3295</v>
      </c>
      <c r="B9473" t="s">
        <v>9971</v>
      </c>
      <c r="C9473" t="s">
        <v>427</v>
      </c>
      <c r="D9473" s="106">
        <v>31</v>
      </c>
    </row>
    <row r="9474" spans="1:4">
      <c r="A9474">
        <v>3302</v>
      </c>
      <c r="B9474" t="s">
        <v>9972</v>
      </c>
      <c r="C9474" t="s">
        <v>427</v>
      </c>
      <c r="D9474" s="106">
        <v>32.409999999999997</v>
      </c>
    </row>
    <row r="9475" spans="1:4">
      <c r="A9475">
        <v>3297</v>
      </c>
      <c r="B9475" t="s">
        <v>9973</v>
      </c>
      <c r="C9475" t="s">
        <v>427</v>
      </c>
      <c r="D9475" s="106">
        <v>34.6</v>
      </c>
    </row>
    <row r="9476" spans="1:4">
      <c r="A9476">
        <v>3294</v>
      </c>
      <c r="B9476" t="s">
        <v>9974</v>
      </c>
      <c r="C9476" t="s">
        <v>427</v>
      </c>
      <c r="D9476" s="106">
        <v>35.130000000000003</v>
      </c>
    </row>
    <row r="9477" spans="1:4">
      <c r="A9477">
        <v>3292</v>
      </c>
      <c r="B9477" t="s">
        <v>9975</v>
      </c>
      <c r="C9477" t="s">
        <v>427</v>
      </c>
      <c r="D9477" s="106">
        <v>33</v>
      </c>
    </row>
    <row r="9478" spans="1:4">
      <c r="A9478">
        <v>3298</v>
      </c>
      <c r="B9478" t="s">
        <v>9976</v>
      </c>
      <c r="C9478" t="s">
        <v>427</v>
      </c>
      <c r="D9478" s="106">
        <v>77.34</v>
      </c>
    </row>
    <row r="9479" spans="1:4">
      <c r="A9479">
        <v>11596</v>
      </c>
      <c r="B9479" t="s">
        <v>9977</v>
      </c>
      <c r="C9479" t="s">
        <v>427</v>
      </c>
      <c r="D9479" s="106">
        <v>470.66</v>
      </c>
    </row>
    <row r="9480" spans="1:4">
      <c r="A9480">
        <v>34802</v>
      </c>
      <c r="B9480" t="s">
        <v>9978</v>
      </c>
      <c r="C9480" t="s">
        <v>427</v>
      </c>
      <c r="D9480" s="107">
        <v>1292.58</v>
      </c>
    </row>
    <row r="9481" spans="1:4">
      <c r="A9481">
        <v>11588</v>
      </c>
      <c r="B9481" t="s">
        <v>9979</v>
      </c>
      <c r="C9481" t="s">
        <v>427</v>
      </c>
      <c r="D9481" s="107">
        <v>1394.49</v>
      </c>
    </row>
    <row r="9482" spans="1:4">
      <c r="A9482">
        <v>34383</v>
      </c>
      <c r="B9482" t="s">
        <v>9980</v>
      </c>
      <c r="C9482" t="s">
        <v>427</v>
      </c>
      <c r="D9482" s="107">
        <v>1534.04</v>
      </c>
    </row>
    <row r="9483" spans="1:4">
      <c r="A9483">
        <v>40451</v>
      </c>
      <c r="B9483" t="s">
        <v>9981</v>
      </c>
      <c r="C9483" t="s">
        <v>426</v>
      </c>
      <c r="D9483" s="106">
        <v>124</v>
      </c>
    </row>
    <row r="9484" spans="1:4">
      <c r="A9484">
        <v>40453</v>
      </c>
      <c r="B9484" t="s">
        <v>9982</v>
      </c>
      <c r="C9484" t="s">
        <v>426</v>
      </c>
      <c r="D9484" s="106">
        <v>134.16999999999999</v>
      </c>
    </row>
    <row r="9485" spans="1:4">
      <c r="A9485">
        <v>40452</v>
      </c>
      <c r="B9485" t="s">
        <v>9983</v>
      </c>
      <c r="C9485" t="s">
        <v>426</v>
      </c>
      <c r="D9485" s="106">
        <v>147.16</v>
      </c>
    </row>
    <row r="9486" spans="1:4">
      <c r="A9486">
        <v>11594</v>
      </c>
      <c r="B9486" t="s">
        <v>9984</v>
      </c>
      <c r="C9486" t="s">
        <v>427</v>
      </c>
      <c r="D9486" s="106">
        <v>444.46</v>
      </c>
    </row>
    <row r="9487" spans="1:4">
      <c r="A9487">
        <v>3311</v>
      </c>
      <c r="B9487" t="s">
        <v>9985</v>
      </c>
      <c r="C9487" t="s">
        <v>431</v>
      </c>
      <c r="D9487" s="106">
        <v>444.46</v>
      </c>
    </row>
    <row r="9488" spans="1:4">
      <c r="A9488">
        <v>11599</v>
      </c>
      <c r="B9488" t="s">
        <v>9986</v>
      </c>
      <c r="C9488" t="s">
        <v>427</v>
      </c>
      <c r="D9488" s="106">
        <v>591.08000000000004</v>
      </c>
    </row>
    <row r="9489" spans="1:4">
      <c r="A9489">
        <v>11593</v>
      </c>
      <c r="B9489" t="s">
        <v>9987</v>
      </c>
      <c r="C9489" t="s">
        <v>427</v>
      </c>
      <c r="D9489" s="106">
        <v>828.66</v>
      </c>
    </row>
    <row r="9490" spans="1:4">
      <c r="A9490">
        <v>3314</v>
      </c>
      <c r="B9490" t="s">
        <v>9988</v>
      </c>
      <c r="C9490" t="s">
        <v>431</v>
      </c>
      <c r="D9490" s="106">
        <v>592.66</v>
      </c>
    </row>
    <row r="9491" spans="1:4">
      <c r="A9491">
        <v>11597</v>
      </c>
      <c r="B9491" t="s">
        <v>9989</v>
      </c>
      <c r="C9491" t="s">
        <v>427</v>
      </c>
      <c r="D9491" s="106">
        <v>689.19</v>
      </c>
    </row>
    <row r="9492" spans="1:4">
      <c r="A9492">
        <v>3309</v>
      </c>
      <c r="B9492" t="s">
        <v>9990</v>
      </c>
      <c r="C9492" t="s">
        <v>431</v>
      </c>
      <c r="D9492" s="106">
        <v>470.66</v>
      </c>
    </row>
    <row r="9493" spans="1:4">
      <c r="A9493">
        <v>34612</v>
      </c>
      <c r="B9493" t="s">
        <v>9991</v>
      </c>
      <c r="C9493" t="s">
        <v>427</v>
      </c>
      <c r="D9493" s="106">
        <v>852.41</v>
      </c>
    </row>
    <row r="9494" spans="1:4">
      <c r="A9494">
        <v>34635</v>
      </c>
      <c r="B9494" t="s">
        <v>9992</v>
      </c>
      <c r="C9494" t="s">
        <v>427</v>
      </c>
      <c r="D9494" s="107">
        <v>1096.1600000000001</v>
      </c>
    </row>
    <row r="9495" spans="1:4">
      <c r="A9495">
        <v>34633</v>
      </c>
      <c r="B9495" t="s">
        <v>9993</v>
      </c>
      <c r="C9495" t="s">
        <v>427</v>
      </c>
      <c r="D9495" s="107">
        <v>1208.26</v>
      </c>
    </row>
    <row r="9496" spans="1:4">
      <c r="A9496">
        <v>40440</v>
      </c>
      <c r="B9496" t="s">
        <v>9994</v>
      </c>
      <c r="C9496" t="s">
        <v>431</v>
      </c>
      <c r="D9496" s="106">
        <v>617.32000000000005</v>
      </c>
    </row>
    <row r="9497" spans="1:4">
      <c r="A9497">
        <v>40441</v>
      </c>
      <c r="B9497" t="s">
        <v>9995</v>
      </c>
      <c r="C9497" t="s">
        <v>431</v>
      </c>
      <c r="D9497" s="106">
        <v>394.12</v>
      </c>
    </row>
    <row r="9498" spans="1:4">
      <c r="A9498">
        <v>40449</v>
      </c>
      <c r="B9498" t="s">
        <v>9996</v>
      </c>
      <c r="C9498" t="s">
        <v>431</v>
      </c>
      <c r="D9498" s="106">
        <v>331.33</v>
      </c>
    </row>
    <row r="9499" spans="1:4">
      <c r="A9499">
        <v>34800</v>
      </c>
      <c r="B9499" t="s">
        <v>9997</v>
      </c>
      <c r="C9499" t="s">
        <v>431</v>
      </c>
      <c r="D9499" s="106">
        <v>414.33</v>
      </c>
    </row>
    <row r="9500" spans="1:4">
      <c r="A9500">
        <v>11592</v>
      </c>
      <c r="B9500" t="s">
        <v>9998</v>
      </c>
      <c r="C9500" t="s">
        <v>427</v>
      </c>
      <c r="D9500" s="106">
        <v>592.66</v>
      </c>
    </row>
    <row r="9501" spans="1:4">
      <c r="A9501">
        <v>40438</v>
      </c>
      <c r="B9501" t="s">
        <v>9999</v>
      </c>
      <c r="C9501" t="s">
        <v>431</v>
      </c>
      <c r="D9501" s="106">
        <v>276.02999999999997</v>
      </c>
    </row>
    <row r="9502" spans="1:4">
      <c r="A9502">
        <v>40436</v>
      </c>
      <c r="B9502" t="s">
        <v>10000</v>
      </c>
      <c r="C9502" t="s">
        <v>431</v>
      </c>
      <c r="D9502" s="106">
        <v>344.19</v>
      </c>
    </row>
    <row r="9503" spans="1:4">
      <c r="A9503">
        <v>4315</v>
      </c>
      <c r="B9503" t="s">
        <v>10001</v>
      </c>
      <c r="C9503" t="s">
        <v>427</v>
      </c>
      <c r="D9503" s="106">
        <v>2.19</v>
      </c>
    </row>
    <row r="9504" spans="1:4">
      <c r="A9504">
        <v>402</v>
      </c>
      <c r="B9504" t="s">
        <v>10002</v>
      </c>
      <c r="C9504" t="s">
        <v>427</v>
      </c>
      <c r="D9504" s="106">
        <v>16.149999999999999</v>
      </c>
    </row>
    <row r="9505" spans="1:4">
      <c r="A9505">
        <v>4226</v>
      </c>
      <c r="B9505" t="s">
        <v>10003</v>
      </c>
      <c r="C9505" t="s">
        <v>430</v>
      </c>
      <c r="D9505" s="106">
        <v>9.51</v>
      </c>
    </row>
    <row r="9506" spans="1:4">
      <c r="A9506">
        <v>4222</v>
      </c>
      <c r="B9506" t="s">
        <v>10004</v>
      </c>
      <c r="C9506" t="s">
        <v>428</v>
      </c>
      <c r="D9506" s="106">
        <v>6.42</v>
      </c>
    </row>
    <row r="9507" spans="1:4">
      <c r="A9507">
        <v>34804</v>
      </c>
      <c r="B9507" t="s">
        <v>10005</v>
      </c>
      <c r="C9507" t="s">
        <v>426</v>
      </c>
      <c r="D9507" s="106">
        <v>50.03</v>
      </c>
    </row>
    <row r="9508" spans="1:4">
      <c r="A9508">
        <v>4013</v>
      </c>
      <c r="B9508" t="s">
        <v>10006</v>
      </c>
      <c r="C9508" t="s">
        <v>426</v>
      </c>
      <c r="D9508" s="106">
        <v>6.5</v>
      </c>
    </row>
    <row r="9509" spans="1:4">
      <c r="A9509">
        <v>4011</v>
      </c>
      <c r="B9509" t="s">
        <v>10007</v>
      </c>
      <c r="C9509" t="s">
        <v>426</v>
      </c>
      <c r="D9509" s="106">
        <v>7.26</v>
      </c>
    </row>
    <row r="9510" spans="1:4">
      <c r="A9510">
        <v>4021</v>
      </c>
      <c r="B9510" t="s">
        <v>10008</v>
      </c>
      <c r="C9510" t="s">
        <v>426</v>
      </c>
      <c r="D9510" s="106">
        <v>9.06</v>
      </c>
    </row>
    <row r="9511" spans="1:4">
      <c r="A9511">
        <v>4019</v>
      </c>
      <c r="B9511" t="s">
        <v>10009</v>
      </c>
      <c r="C9511" t="s">
        <v>426</v>
      </c>
      <c r="D9511" s="106">
        <v>10.87</v>
      </c>
    </row>
    <row r="9512" spans="1:4">
      <c r="A9512">
        <v>4012</v>
      </c>
      <c r="B9512" t="s">
        <v>10010</v>
      </c>
      <c r="C9512" t="s">
        <v>426</v>
      </c>
      <c r="D9512" s="106">
        <v>14.57</v>
      </c>
    </row>
    <row r="9513" spans="1:4">
      <c r="A9513">
        <v>4020</v>
      </c>
      <c r="B9513" t="s">
        <v>10011</v>
      </c>
      <c r="C9513" t="s">
        <v>426</v>
      </c>
      <c r="D9513" s="106">
        <v>18.25</v>
      </c>
    </row>
    <row r="9514" spans="1:4">
      <c r="A9514">
        <v>4018</v>
      </c>
      <c r="B9514" t="s">
        <v>10012</v>
      </c>
      <c r="C9514" t="s">
        <v>426</v>
      </c>
      <c r="D9514" s="106">
        <v>21.86</v>
      </c>
    </row>
    <row r="9515" spans="1:4">
      <c r="A9515">
        <v>36498</v>
      </c>
      <c r="B9515" t="s">
        <v>10013</v>
      </c>
      <c r="C9515" t="s">
        <v>427</v>
      </c>
      <c r="D9515" s="107">
        <v>6676.55</v>
      </c>
    </row>
    <row r="9516" spans="1:4">
      <c r="A9516">
        <v>12872</v>
      </c>
      <c r="B9516" t="s">
        <v>13451</v>
      </c>
      <c r="C9516" t="s">
        <v>432</v>
      </c>
      <c r="D9516" s="106">
        <v>15.22</v>
      </c>
    </row>
    <row r="9517" spans="1:4">
      <c r="A9517">
        <v>41075</v>
      </c>
      <c r="B9517" t="s">
        <v>10014</v>
      </c>
      <c r="C9517" t="s">
        <v>433</v>
      </c>
      <c r="D9517" s="107">
        <v>2690.62</v>
      </c>
    </row>
    <row r="9518" spans="1:4">
      <c r="A9518">
        <v>44324</v>
      </c>
      <c r="B9518" t="s">
        <v>10015</v>
      </c>
      <c r="C9518" t="s">
        <v>430</v>
      </c>
      <c r="D9518" s="106">
        <v>2.94</v>
      </c>
    </row>
    <row r="9519" spans="1:4">
      <c r="A9519">
        <v>3315</v>
      </c>
      <c r="B9519" t="s">
        <v>10016</v>
      </c>
      <c r="C9519" t="s">
        <v>430</v>
      </c>
      <c r="D9519" s="106">
        <v>0.85</v>
      </c>
    </row>
    <row r="9520" spans="1:4">
      <c r="A9520">
        <v>36870</v>
      </c>
      <c r="B9520" t="s">
        <v>10017</v>
      </c>
      <c r="C9520" t="s">
        <v>430</v>
      </c>
      <c r="D9520" s="106">
        <v>0.66</v>
      </c>
    </row>
    <row r="9521" spans="1:4">
      <c r="A9521">
        <v>5092</v>
      </c>
      <c r="B9521" t="s">
        <v>10018</v>
      </c>
      <c r="C9521" t="s">
        <v>434</v>
      </c>
      <c r="D9521" s="106">
        <v>18.850000000000001</v>
      </c>
    </row>
    <row r="9522" spans="1:4">
      <c r="A9522">
        <v>11462</v>
      </c>
      <c r="B9522" t="s">
        <v>10019</v>
      </c>
      <c r="C9522" t="s">
        <v>434</v>
      </c>
      <c r="D9522" s="106">
        <v>19.28</v>
      </c>
    </row>
    <row r="9523" spans="1:4">
      <c r="A9523">
        <v>36529</v>
      </c>
      <c r="B9523" t="s">
        <v>10020</v>
      </c>
      <c r="C9523" t="s">
        <v>427</v>
      </c>
      <c r="D9523" s="107">
        <v>78443.87</v>
      </c>
    </row>
    <row r="9524" spans="1:4">
      <c r="A9524">
        <v>3318</v>
      </c>
      <c r="B9524" t="s">
        <v>10021</v>
      </c>
      <c r="C9524" t="s">
        <v>427</v>
      </c>
      <c r="D9524" s="107">
        <v>61500</v>
      </c>
    </row>
    <row r="9525" spans="1:4">
      <c r="A9525">
        <v>3324</v>
      </c>
      <c r="B9525" t="s">
        <v>10022</v>
      </c>
      <c r="C9525" t="s">
        <v>426</v>
      </c>
      <c r="D9525" s="106">
        <v>10.71</v>
      </c>
    </row>
    <row r="9526" spans="1:4">
      <c r="A9526">
        <v>3322</v>
      </c>
      <c r="B9526" t="s">
        <v>10023</v>
      </c>
      <c r="C9526" t="s">
        <v>426</v>
      </c>
      <c r="D9526" s="106">
        <v>15</v>
      </c>
    </row>
    <row r="9527" spans="1:4">
      <c r="A9527">
        <v>5076</v>
      </c>
      <c r="B9527" t="s">
        <v>10024</v>
      </c>
      <c r="C9527" t="s">
        <v>430</v>
      </c>
      <c r="D9527" s="106">
        <v>24</v>
      </c>
    </row>
    <row r="9528" spans="1:4">
      <c r="A9528">
        <v>5077</v>
      </c>
      <c r="B9528" t="s">
        <v>10025</v>
      </c>
      <c r="C9528" t="s">
        <v>430</v>
      </c>
      <c r="D9528" s="106">
        <v>26.53</v>
      </c>
    </row>
    <row r="9529" spans="1:4">
      <c r="A9529">
        <v>11837</v>
      </c>
      <c r="B9529" t="s">
        <v>10026</v>
      </c>
      <c r="C9529" t="s">
        <v>427</v>
      </c>
      <c r="D9529" s="106">
        <v>52.61</v>
      </c>
    </row>
    <row r="9530" spans="1:4">
      <c r="A9530">
        <v>38055</v>
      </c>
      <c r="B9530" t="s">
        <v>10027</v>
      </c>
      <c r="C9530" t="s">
        <v>427</v>
      </c>
      <c r="D9530" s="106">
        <v>4.7699999999999996</v>
      </c>
    </row>
    <row r="9531" spans="1:4">
      <c r="A9531">
        <v>415</v>
      </c>
      <c r="B9531" t="s">
        <v>10028</v>
      </c>
      <c r="C9531" t="s">
        <v>427</v>
      </c>
      <c r="D9531" s="106">
        <v>21.57</v>
      </c>
    </row>
    <row r="9532" spans="1:4">
      <c r="A9532">
        <v>416</v>
      </c>
      <c r="B9532" t="s">
        <v>10029</v>
      </c>
      <c r="C9532" t="s">
        <v>427</v>
      </c>
      <c r="D9532" s="106">
        <v>7.9</v>
      </c>
    </row>
    <row r="9533" spans="1:4">
      <c r="A9533">
        <v>425</v>
      </c>
      <c r="B9533" t="s">
        <v>10030</v>
      </c>
      <c r="C9533" t="s">
        <v>427</v>
      </c>
      <c r="D9533" s="106">
        <v>4.8899999999999997</v>
      </c>
    </row>
    <row r="9534" spans="1:4">
      <c r="A9534">
        <v>426</v>
      </c>
      <c r="B9534" t="s">
        <v>10031</v>
      </c>
      <c r="C9534" t="s">
        <v>427</v>
      </c>
      <c r="D9534" s="106">
        <v>26.96</v>
      </c>
    </row>
    <row r="9535" spans="1:4">
      <c r="A9535">
        <v>38056</v>
      </c>
      <c r="B9535" t="s">
        <v>10032</v>
      </c>
      <c r="C9535" t="s">
        <v>427</v>
      </c>
      <c r="D9535" s="106">
        <v>26.33</v>
      </c>
    </row>
    <row r="9536" spans="1:4">
      <c r="A9536">
        <v>1564</v>
      </c>
      <c r="B9536" t="s">
        <v>10033</v>
      </c>
      <c r="C9536" t="s">
        <v>427</v>
      </c>
      <c r="D9536" s="106">
        <v>10.050000000000001</v>
      </c>
    </row>
    <row r="9537" spans="1:4">
      <c r="A9537">
        <v>11032</v>
      </c>
      <c r="B9537" t="s">
        <v>10034</v>
      </c>
      <c r="C9537" t="s">
        <v>427</v>
      </c>
      <c r="D9537" s="106">
        <v>12.33</v>
      </c>
    </row>
    <row r="9538" spans="1:4">
      <c r="A9538">
        <v>36786</v>
      </c>
      <c r="B9538" t="s">
        <v>10035</v>
      </c>
      <c r="C9538" t="s">
        <v>441</v>
      </c>
      <c r="D9538" s="106">
        <v>150.85</v>
      </c>
    </row>
    <row r="9539" spans="1:4">
      <c r="A9539">
        <v>36785</v>
      </c>
      <c r="B9539" t="s">
        <v>10036</v>
      </c>
      <c r="C9539" t="s">
        <v>441</v>
      </c>
      <c r="D9539" s="106">
        <v>131.08000000000001</v>
      </c>
    </row>
    <row r="9540" spans="1:4">
      <c r="A9540">
        <v>36782</v>
      </c>
      <c r="B9540" t="s">
        <v>10037</v>
      </c>
      <c r="C9540" t="s">
        <v>441</v>
      </c>
      <c r="D9540" s="106">
        <v>156.47</v>
      </c>
    </row>
    <row r="9541" spans="1:4">
      <c r="A9541">
        <v>44481</v>
      </c>
      <c r="B9541" t="s">
        <v>13452</v>
      </c>
      <c r="C9541" t="s">
        <v>441</v>
      </c>
      <c r="D9541" s="106">
        <v>176.25</v>
      </c>
    </row>
    <row r="9542" spans="1:4">
      <c r="A9542">
        <v>4824</v>
      </c>
      <c r="B9542" t="s">
        <v>10038</v>
      </c>
      <c r="C9542" t="s">
        <v>430</v>
      </c>
      <c r="D9542" s="106">
        <v>0.54</v>
      </c>
    </row>
    <row r="9543" spans="1:4">
      <c r="A9543">
        <v>11795</v>
      </c>
      <c r="B9543" t="s">
        <v>10039</v>
      </c>
      <c r="C9543" t="s">
        <v>426</v>
      </c>
      <c r="D9543" s="106">
        <v>562.26</v>
      </c>
    </row>
    <row r="9544" spans="1:4">
      <c r="A9544">
        <v>134</v>
      </c>
      <c r="B9544" t="s">
        <v>10040</v>
      </c>
      <c r="C9544" t="s">
        <v>430</v>
      </c>
      <c r="D9544" s="106">
        <v>1.28</v>
      </c>
    </row>
    <row r="9545" spans="1:4">
      <c r="A9545">
        <v>4229</v>
      </c>
      <c r="B9545" t="s">
        <v>10041</v>
      </c>
      <c r="C9545" t="s">
        <v>430</v>
      </c>
      <c r="D9545" s="106">
        <v>35.89</v>
      </c>
    </row>
    <row r="9546" spans="1:4">
      <c r="A9546">
        <v>11731</v>
      </c>
      <c r="B9546" t="s">
        <v>10042</v>
      </c>
      <c r="C9546" t="s">
        <v>427</v>
      </c>
      <c r="D9546" s="106">
        <v>10.25</v>
      </c>
    </row>
    <row r="9547" spans="1:4">
      <c r="A9547">
        <v>11732</v>
      </c>
      <c r="B9547" t="s">
        <v>10043</v>
      </c>
      <c r="C9547" t="s">
        <v>427</v>
      </c>
      <c r="D9547" s="106">
        <v>26.87</v>
      </c>
    </row>
    <row r="9548" spans="1:4">
      <c r="A9548">
        <v>11244</v>
      </c>
      <c r="B9548" t="s">
        <v>10044</v>
      </c>
      <c r="C9548" t="s">
        <v>427</v>
      </c>
      <c r="D9548" s="106">
        <v>292.55</v>
      </c>
    </row>
    <row r="9549" spans="1:4">
      <c r="A9549">
        <v>11245</v>
      </c>
      <c r="B9549" t="s">
        <v>10045</v>
      </c>
      <c r="C9549" t="s">
        <v>427</v>
      </c>
      <c r="D9549" s="106">
        <v>404.65</v>
      </c>
    </row>
    <row r="9550" spans="1:4">
      <c r="A9550">
        <v>11235</v>
      </c>
      <c r="B9550" t="s">
        <v>10046</v>
      </c>
      <c r="C9550" t="s">
        <v>427</v>
      </c>
      <c r="D9550" s="106">
        <v>223.25</v>
      </c>
    </row>
    <row r="9551" spans="1:4">
      <c r="A9551">
        <v>11236</v>
      </c>
      <c r="B9551" t="s">
        <v>10047</v>
      </c>
      <c r="C9551" t="s">
        <v>427</v>
      </c>
      <c r="D9551" s="106">
        <v>283.72000000000003</v>
      </c>
    </row>
    <row r="9552" spans="1:4">
      <c r="A9552">
        <v>36494</v>
      </c>
      <c r="B9552" t="s">
        <v>10048</v>
      </c>
      <c r="C9552" t="s">
        <v>427</v>
      </c>
      <c r="D9552" s="107">
        <v>651870.31000000006</v>
      </c>
    </row>
    <row r="9553" spans="1:4">
      <c r="A9553">
        <v>36493</v>
      </c>
      <c r="B9553" t="s">
        <v>10049</v>
      </c>
      <c r="C9553" t="s">
        <v>427</v>
      </c>
      <c r="D9553" s="107">
        <v>738542.58</v>
      </c>
    </row>
    <row r="9554" spans="1:4">
      <c r="A9554">
        <v>36492</v>
      </c>
      <c r="B9554" t="s">
        <v>10050</v>
      </c>
      <c r="C9554" t="s">
        <v>427</v>
      </c>
      <c r="D9554" s="107">
        <v>1371932.03</v>
      </c>
    </row>
    <row r="9555" spans="1:4">
      <c r="A9555">
        <v>13333</v>
      </c>
      <c r="B9555" t="s">
        <v>10051</v>
      </c>
      <c r="C9555" t="s">
        <v>427</v>
      </c>
      <c r="D9555" s="107">
        <v>184889.11</v>
      </c>
    </row>
    <row r="9556" spans="1:4">
      <c r="A9556">
        <v>13533</v>
      </c>
      <c r="B9556" t="s">
        <v>10052</v>
      </c>
      <c r="C9556" t="s">
        <v>427</v>
      </c>
      <c r="D9556" s="107">
        <v>165270.32</v>
      </c>
    </row>
    <row r="9557" spans="1:4">
      <c r="A9557">
        <v>36499</v>
      </c>
      <c r="B9557" t="s">
        <v>10053</v>
      </c>
      <c r="C9557" t="s">
        <v>427</v>
      </c>
      <c r="D9557" s="107">
        <v>3605.34</v>
      </c>
    </row>
    <row r="9558" spans="1:4">
      <c r="A9558">
        <v>39585</v>
      </c>
      <c r="B9558" t="s">
        <v>10054</v>
      </c>
      <c r="C9558" t="s">
        <v>427</v>
      </c>
      <c r="D9558" s="107">
        <v>119382.89</v>
      </c>
    </row>
    <row r="9559" spans="1:4">
      <c r="A9559">
        <v>39586</v>
      </c>
      <c r="B9559" t="s">
        <v>10055</v>
      </c>
      <c r="C9559" t="s">
        <v>427</v>
      </c>
      <c r="D9559" s="107">
        <v>140028.04999999999</v>
      </c>
    </row>
    <row r="9560" spans="1:4">
      <c r="A9560">
        <v>39587</v>
      </c>
      <c r="B9560" t="s">
        <v>10056</v>
      </c>
      <c r="C9560" t="s">
        <v>427</v>
      </c>
      <c r="D9560" s="107">
        <v>170546.99</v>
      </c>
    </row>
    <row r="9561" spans="1:4">
      <c r="A9561">
        <v>39588</v>
      </c>
      <c r="B9561" t="s">
        <v>10057</v>
      </c>
      <c r="C9561" t="s">
        <v>427</v>
      </c>
      <c r="D9561" s="107">
        <v>197475.45</v>
      </c>
    </row>
    <row r="9562" spans="1:4">
      <c r="A9562">
        <v>39584</v>
      </c>
      <c r="B9562" t="s">
        <v>10058</v>
      </c>
      <c r="C9562" t="s">
        <v>427</v>
      </c>
      <c r="D9562" s="107">
        <v>106313.61</v>
      </c>
    </row>
    <row r="9563" spans="1:4">
      <c r="A9563">
        <v>39590</v>
      </c>
      <c r="B9563" t="s">
        <v>10059</v>
      </c>
      <c r="C9563" t="s">
        <v>427</v>
      </c>
      <c r="D9563" s="107">
        <v>103764.38</v>
      </c>
    </row>
    <row r="9564" spans="1:4">
      <c r="A9564">
        <v>39592</v>
      </c>
      <c r="B9564" t="s">
        <v>10060</v>
      </c>
      <c r="C9564" t="s">
        <v>427</v>
      </c>
      <c r="D9564" s="107">
        <v>149111.92000000001</v>
      </c>
    </row>
    <row r="9565" spans="1:4">
      <c r="A9565">
        <v>39593</v>
      </c>
      <c r="B9565" t="s">
        <v>10061</v>
      </c>
      <c r="C9565" t="s">
        <v>427</v>
      </c>
      <c r="D9565" s="107">
        <v>170546.99</v>
      </c>
    </row>
    <row r="9566" spans="1:4">
      <c r="A9566">
        <v>14254</v>
      </c>
      <c r="B9566" t="s">
        <v>10062</v>
      </c>
      <c r="C9566" t="s">
        <v>427</v>
      </c>
      <c r="D9566" s="107">
        <v>96942.5</v>
      </c>
    </row>
    <row r="9567" spans="1:4">
      <c r="A9567">
        <v>44494</v>
      </c>
      <c r="B9567" t="s">
        <v>13453</v>
      </c>
      <c r="C9567" t="s">
        <v>427</v>
      </c>
      <c r="D9567" s="107">
        <v>80954.720000000001</v>
      </c>
    </row>
    <row r="9568" spans="1:4">
      <c r="A9568">
        <v>25019</v>
      </c>
      <c r="B9568" t="s">
        <v>10063</v>
      </c>
      <c r="C9568" t="s">
        <v>427</v>
      </c>
      <c r="D9568" s="107">
        <v>138765.44</v>
      </c>
    </row>
    <row r="9569" spans="1:4">
      <c r="A9569">
        <v>36501</v>
      </c>
      <c r="B9569" t="s">
        <v>10064</v>
      </c>
      <c r="C9569" t="s">
        <v>427</v>
      </c>
      <c r="D9569" s="107">
        <v>123549.06</v>
      </c>
    </row>
    <row r="9570" spans="1:4">
      <c r="A9570">
        <v>44493</v>
      </c>
      <c r="B9570" t="s">
        <v>13454</v>
      </c>
      <c r="C9570" t="s">
        <v>427</v>
      </c>
      <c r="D9570" s="107">
        <v>148529.64000000001</v>
      </c>
    </row>
    <row r="9571" spans="1:4">
      <c r="A9571">
        <v>36500</v>
      </c>
      <c r="B9571" t="s">
        <v>10065</v>
      </c>
      <c r="C9571" t="s">
        <v>427</v>
      </c>
      <c r="D9571" s="107">
        <v>87308.75</v>
      </c>
    </row>
    <row r="9572" spans="1:4">
      <c r="A9572">
        <v>20017</v>
      </c>
      <c r="B9572" t="s">
        <v>10066</v>
      </c>
      <c r="C9572" t="s">
        <v>429</v>
      </c>
      <c r="D9572" s="106">
        <v>4.45</v>
      </c>
    </row>
    <row r="9573" spans="1:4">
      <c r="A9573">
        <v>20007</v>
      </c>
      <c r="B9573" t="s">
        <v>10067</v>
      </c>
      <c r="C9573" t="s">
        <v>429</v>
      </c>
      <c r="D9573" s="106">
        <v>2.65</v>
      </c>
    </row>
    <row r="9574" spans="1:4">
      <c r="A9574">
        <v>39831</v>
      </c>
      <c r="B9574" t="s">
        <v>10068</v>
      </c>
      <c r="C9574" t="s">
        <v>435</v>
      </c>
      <c r="D9574" s="106">
        <v>284.20999999999998</v>
      </c>
    </row>
    <row r="9575" spans="1:4">
      <c r="A9575">
        <v>36888</v>
      </c>
      <c r="B9575" t="s">
        <v>10069</v>
      </c>
      <c r="C9575" t="s">
        <v>429</v>
      </c>
      <c r="D9575" s="106">
        <v>43.85</v>
      </c>
    </row>
    <row r="9576" spans="1:4">
      <c r="A9576">
        <v>39836</v>
      </c>
      <c r="B9576" t="s">
        <v>10070</v>
      </c>
      <c r="C9576" t="s">
        <v>435</v>
      </c>
      <c r="D9576" s="106">
        <v>249.73</v>
      </c>
    </row>
    <row r="9577" spans="1:4">
      <c r="A9577">
        <v>39830</v>
      </c>
      <c r="B9577" t="s">
        <v>10071</v>
      </c>
      <c r="C9577" t="s">
        <v>435</v>
      </c>
      <c r="D9577" s="106">
        <v>284.82</v>
      </c>
    </row>
    <row r="9578" spans="1:4">
      <c r="A9578">
        <v>40527</v>
      </c>
      <c r="B9578" t="s">
        <v>10072</v>
      </c>
      <c r="C9578" t="s">
        <v>427</v>
      </c>
      <c r="D9578" s="107">
        <v>2638.34</v>
      </c>
    </row>
    <row r="9579" spans="1:4">
      <c r="A9579">
        <v>36497</v>
      </c>
      <c r="B9579" t="s">
        <v>10073</v>
      </c>
      <c r="C9579" t="s">
        <v>427</v>
      </c>
      <c r="D9579" s="107">
        <v>3011.95</v>
      </c>
    </row>
    <row r="9580" spans="1:4">
      <c r="A9580">
        <v>36487</v>
      </c>
      <c r="B9580" t="s">
        <v>10074</v>
      </c>
      <c r="C9580" t="s">
        <v>427</v>
      </c>
      <c r="D9580" s="107">
        <v>5244.27</v>
      </c>
    </row>
    <row r="9581" spans="1:4">
      <c r="A9581">
        <v>44475</v>
      </c>
      <c r="B9581" t="s">
        <v>10075</v>
      </c>
      <c r="C9581" t="s">
        <v>427</v>
      </c>
      <c r="D9581" s="107">
        <v>1139895.45</v>
      </c>
    </row>
    <row r="9582" spans="1:4">
      <c r="A9582">
        <v>44474</v>
      </c>
      <c r="B9582" t="s">
        <v>10076</v>
      </c>
      <c r="C9582" t="s">
        <v>427</v>
      </c>
      <c r="D9582" s="107">
        <v>2192106.64</v>
      </c>
    </row>
    <row r="9583" spans="1:4">
      <c r="A9583">
        <v>44490</v>
      </c>
      <c r="B9583" t="s">
        <v>13455</v>
      </c>
      <c r="C9583" t="s">
        <v>427</v>
      </c>
      <c r="D9583" s="107">
        <v>3726581.28</v>
      </c>
    </row>
    <row r="9584" spans="1:4">
      <c r="A9584">
        <v>37776</v>
      </c>
      <c r="B9584" t="s">
        <v>10077</v>
      </c>
      <c r="C9584" t="s">
        <v>427</v>
      </c>
      <c r="D9584" s="107">
        <v>228391.8</v>
      </c>
    </row>
    <row r="9585" spans="1:4">
      <c r="A9585">
        <v>37775</v>
      </c>
      <c r="B9585" t="s">
        <v>10078</v>
      </c>
      <c r="C9585" t="s">
        <v>427</v>
      </c>
      <c r="D9585" s="107">
        <v>359734.37</v>
      </c>
    </row>
    <row r="9586" spans="1:4">
      <c r="A9586">
        <v>36491</v>
      </c>
      <c r="B9586" t="s">
        <v>10079</v>
      </c>
      <c r="C9586" t="s">
        <v>427</v>
      </c>
      <c r="D9586" s="107">
        <v>1332203.1200000001</v>
      </c>
    </row>
    <row r="9587" spans="1:4">
      <c r="A9587">
        <v>10712</v>
      </c>
      <c r="B9587" t="s">
        <v>10080</v>
      </c>
      <c r="C9587" t="s">
        <v>427</v>
      </c>
      <c r="D9587" s="107">
        <v>89933.59</v>
      </c>
    </row>
    <row r="9588" spans="1:4">
      <c r="A9588">
        <v>3363</v>
      </c>
      <c r="B9588" t="s">
        <v>10081</v>
      </c>
      <c r="C9588" t="s">
        <v>427</v>
      </c>
      <c r="D9588" s="107">
        <v>126500</v>
      </c>
    </row>
    <row r="9589" spans="1:4">
      <c r="A9589">
        <v>3365</v>
      </c>
      <c r="B9589" t="s">
        <v>10082</v>
      </c>
      <c r="C9589" t="s">
        <v>427</v>
      </c>
      <c r="D9589" s="107">
        <v>295693.75</v>
      </c>
    </row>
    <row r="9590" spans="1:4">
      <c r="A9590">
        <v>7569</v>
      </c>
      <c r="B9590" t="s">
        <v>10083</v>
      </c>
      <c r="C9590" t="s">
        <v>427</v>
      </c>
      <c r="D9590" s="106">
        <v>75.44</v>
      </c>
    </row>
    <row r="9591" spans="1:4">
      <c r="A9591">
        <v>34349</v>
      </c>
      <c r="B9591" t="s">
        <v>10084</v>
      </c>
      <c r="C9591" t="s">
        <v>427</v>
      </c>
      <c r="D9591" s="106">
        <v>25.64</v>
      </c>
    </row>
    <row r="9592" spans="1:4">
      <c r="A9592">
        <v>11991</v>
      </c>
      <c r="B9592" t="s">
        <v>10085</v>
      </c>
      <c r="C9592" t="s">
        <v>427</v>
      </c>
      <c r="D9592" s="106">
        <v>59.92</v>
      </c>
    </row>
    <row r="9593" spans="1:4">
      <c r="A9593">
        <v>20062</v>
      </c>
      <c r="B9593" t="s">
        <v>10086</v>
      </c>
      <c r="C9593" t="s">
        <v>427</v>
      </c>
      <c r="D9593" s="106">
        <v>15.38</v>
      </c>
    </row>
    <row r="9594" spans="1:4">
      <c r="A9594">
        <v>11029</v>
      </c>
      <c r="B9594" t="s">
        <v>10087</v>
      </c>
      <c r="C9594" t="s">
        <v>438</v>
      </c>
      <c r="D9594" s="106">
        <v>1.89</v>
      </c>
    </row>
    <row r="9595" spans="1:4">
      <c r="A9595">
        <v>4316</v>
      </c>
      <c r="B9595" t="s">
        <v>10088</v>
      </c>
      <c r="C9595" t="s">
        <v>427</v>
      </c>
      <c r="D9595" s="106">
        <v>1.91</v>
      </c>
    </row>
    <row r="9596" spans="1:4">
      <c r="A9596">
        <v>4313</v>
      </c>
      <c r="B9596" t="s">
        <v>10089</v>
      </c>
      <c r="C9596" t="s">
        <v>438</v>
      </c>
      <c r="D9596" s="106">
        <v>2.74</v>
      </c>
    </row>
    <row r="9597" spans="1:4">
      <c r="A9597">
        <v>4317</v>
      </c>
      <c r="B9597" t="s">
        <v>10090</v>
      </c>
      <c r="C9597" t="s">
        <v>427</v>
      </c>
      <c r="D9597" s="106">
        <v>3.12</v>
      </c>
    </row>
    <row r="9598" spans="1:4">
      <c r="A9598">
        <v>4314</v>
      </c>
      <c r="B9598" t="s">
        <v>10091</v>
      </c>
      <c r="C9598" t="s">
        <v>438</v>
      </c>
      <c r="D9598" s="106">
        <v>3.65</v>
      </c>
    </row>
    <row r="9599" spans="1:4">
      <c r="A9599">
        <v>10921</v>
      </c>
      <c r="B9599" t="s">
        <v>10092</v>
      </c>
      <c r="C9599" t="s">
        <v>427</v>
      </c>
      <c r="D9599" s="107">
        <v>5284.33</v>
      </c>
    </row>
    <row r="9600" spans="1:4">
      <c r="A9600">
        <v>10922</v>
      </c>
      <c r="B9600" t="s">
        <v>10093</v>
      </c>
      <c r="C9600" t="s">
        <v>427</v>
      </c>
      <c r="D9600" s="107">
        <v>4786.41</v>
      </c>
    </row>
    <row r="9601" spans="1:4">
      <c r="A9601">
        <v>10923</v>
      </c>
      <c r="B9601" t="s">
        <v>10094</v>
      </c>
      <c r="C9601" t="s">
        <v>427</v>
      </c>
      <c r="D9601" s="107">
        <v>2828.97</v>
      </c>
    </row>
    <row r="9602" spans="1:4">
      <c r="A9602">
        <v>10924</v>
      </c>
      <c r="B9602" t="s">
        <v>10095</v>
      </c>
      <c r="C9602" t="s">
        <v>427</v>
      </c>
      <c r="D9602" s="107">
        <v>2979.46</v>
      </c>
    </row>
    <row r="9603" spans="1:4">
      <c r="A9603">
        <v>37772</v>
      </c>
      <c r="B9603" t="s">
        <v>10096</v>
      </c>
      <c r="C9603" t="s">
        <v>427</v>
      </c>
      <c r="D9603" s="107">
        <v>257539.77</v>
      </c>
    </row>
    <row r="9604" spans="1:4">
      <c r="A9604">
        <v>37771</v>
      </c>
      <c r="B9604" t="s">
        <v>10097</v>
      </c>
      <c r="C9604" t="s">
        <v>427</v>
      </c>
      <c r="D9604" s="107">
        <v>273981.3</v>
      </c>
    </row>
    <row r="9605" spans="1:4">
      <c r="A9605">
        <v>12772</v>
      </c>
      <c r="B9605" t="s">
        <v>10098</v>
      </c>
      <c r="C9605" t="s">
        <v>427</v>
      </c>
      <c r="D9605" s="106">
        <v>866.77</v>
      </c>
    </row>
    <row r="9606" spans="1:4">
      <c r="A9606">
        <v>12770</v>
      </c>
      <c r="B9606" t="s">
        <v>10099</v>
      </c>
      <c r="C9606" t="s">
        <v>427</v>
      </c>
      <c r="D9606" s="106">
        <v>521.53</v>
      </c>
    </row>
    <row r="9607" spans="1:4">
      <c r="A9607">
        <v>12775</v>
      </c>
      <c r="B9607" t="s">
        <v>10100</v>
      </c>
      <c r="C9607" t="s">
        <v>427</v>
      </c>
      <c r="D9607" s="106">
        <v>381.97</v>
      </c>
    </row>
    <row r="9608" spans="1:4">
      <c r="A9608">
        <v>12768</v>
      </c>
      <c r="B9608" t="s">
        <v>10101</v>
      </c>
      <c r="C9608" t="s">
        <v>427</v>
      </c>
      <c r="D9608" s="107">
        <v>1219.3599999999999</v>
      </c>
    </row>
    <row r="9609" spans="1:4">
      <c r="A9609">
        <v>12769</v>
      </c>
      <c r="B9609" t="s">
        <v>10102</v>
      </c>
      <c r="C9609" t="s">
        <v>427</v>
      </c>
      <c r="D9609" s="106">
        <v>99.9</v>
      </c>
    </row>
    <row r="9610" spans="1:4">
      <c r="A9610">
        <v>12773</v>
      </c>
      <c r="B9610" t="s">
        <v>10103</v>
      </c>
      <c r="C9610" t="s">
        <v>427</v>
      </c>
      <c r="D9610" s="106">
        <v>107.24</v>
      </c>
    </row>
    <row r="9611" spans="1:4">
      <c r="A9611">
        <v>12774</v>
      </c>
      <c r="B9611" t="s">
        <v>10104</v>
      </c>
      <c r="C9611" t="s">
        <v>427</v>
      </c>
      <c r="D9611" s="106">
        <v>132.22</v>
      </c>
    </row>
    <row r="9612" spans="1:4">
      <c r="A9612">
        <v>12776</v>
      </c>
      <c r="B9612" t="s">
        <v>10105</v>
      </c>
      <c r="C9612" t="s">
        <v>427</v>
      </c>
      <c r="D9612" s="107">
        <v>1968.61</v>
      </c>
    </row>
    <row r="9613" spans="1:4">
      <c r="A9613">
        <v>12777</v>
      </c>
      <c r="B9613" t="s">
        <v>10106</v>
      </c>
      <c r="C9613" t="s">
        <v>427</v>
      </c>
      <c r="D9613" s="107">
        <v>2570.9499999999998</v>
      </c>
    </row>
    <row r="9614" spans="1:4">
      <c r="A9614">
        <v>3391</v>
      </c>
      <c r="B9614" t="s">
        <v>10107</v>
      </c>
      <c r="C9614" t="s">
        <v>427</v>
      </c>
      <c r="D9614" s="106">
        <v>35.700000000000003</v>
      </c>
    </row>
    <row r="9615" spans="1:4">
      <c r="A9615">
        <v>3389</v>
      </c>
      <c r="B9615" t="s">
        <v>10108</v>
      </c>
      <c r="C9615" t="s">
        <v>427</v>
      </c>
      <c r="D9615" s="106">
        <v>18.52</v>
      </c>
    </row>
    <row r="9616" spans="1:4">
      <c r="A9616">
        <v>3390</v>
      </c>
      <c r="B9616" t="s">
        <v>10109</v>
      </c>
      <c r="C9616" t="s">
        <v>427</v>
      </c>
      <c r="D9616" s="106">
        <v>20.84</v>
      </c>
    </row>
    <row r="9617" spans="1:4">
      <c r="A9617">
        <v>12873</v>
      </c>
      <c r="B9617" t="s">
        <v>13456</v>
      </c>
      <c r="C9617" t="s">
        <v>432</v>
      </c>
      <c r="D9617" s="106">
        <v>13.98</v>
      </c>
    </row>
    <row r="9618" spans="1:4">
      <c r="A9618">
        <v>41076</v>
      </c>
      <c r="B9618" t="s">
        <v>10110</v>
      </c>
      <c r="C9618" t="s">
        <v>433</v>
      </c>
      <c r="D9618" s="107">
        <v>2471.64</v>
      </c>
    </row>
    <row r="9619" spans="1:4">
      <c r="A9619">
        <v>140</v>
      </c>
      <c r="B9619" t="s">
        <v>10111</v>
      </c>
      <c r="C9619" t="s">
        <v>430</v>
      </c>
      <c r="D9619" s="106">
        <v>14.35</v>
      </c>
    </row>
    <row r="9620" spans="1:4">
      <c r="A9620">
        <v>151</v>
      </c>
      <c r="B9620" t="s">
        <v>10112</v>
      </c>
      <c r="C9620" t="s">
        <v>428</v>
      </c>
      <c r="D9620" s="106">
        <v>21.18</v>
      </c>
    </row>
    <row r="9621" spans="1:4">
      <c r="A9621">
        <v>7340</v>
      </c>
      <c r="B9621" t="s">
        <v>10113</v>
      </c>
      <c r="C9621" t="s">
        <v>428</v>
      </c>
      <c r="D9621" s="106">
        <v>49.65</v>
      </c>
    </row>
    <row r="9622" spans="1:4">
      <c r="A9622">
        <v>2701</v>
      </c>
      <c r="B9622" t="s">
        <v>10114</v>
      </c>
      <c r="C9622" t="s">
        <v>432</v>
      </c>
      <c r="D9622" s="106">
        <v>12.22</v>
      </c>
    </row>
    <row r="9623" spans="1:4">
      <c r="A9623">
        <v>40929</v>
      </c>
      <c r="B9623" t="s">
        <v>10115</v>
      </c>
      <c r="C9623" t="s">
        <v>433</v>
      </c>
      <c r="D9623" s="107">
        <v>2162.71</v>
      </c>
    </row>
    <row r="9624" spans="1:4">
      <c r="A9624">
        <v>38114</v>
      </c>
      <c r="B9624" t="s">
        <v>10116</v>
      </c>
      <c r="C9624" t="s">
        <v>427</v>
      </c>
      <c r="D9624" s="106">
        <v>15.29</v>
      </c>
    </row>
    <row r="9625" spans="1:4">
      <c r="A9625">
        <v>38064</v>
      </c>
      <c r="B9625" t="s">
        <v>10117</v>
      </c>
      <c r="C9625" t="s">
        <v>427</v>
      </c>
      <c r="D9625" s="106">
        <v>17.09</v>
      </c>
    </row>
    <row r="9626" spans="1:4">
      <c r="A9626">
        <v>38115</v>
      </c>
      <c r="B9626" t="s">
        <v>10118</v>
      </c>
      <c r="C9626" t="s">
        <v>427</v>
      </c>
      <c r="D9626" s="106">
        <v>16.32</v>
      </c>
    </row>
    <row r="9627" spans="1:4">
      <c r="A9627">
        <v>38065</v>
      </c>
      <c r="B9627" t="s">
        <v>10119</v>
      </c>
      <c r="C9627" t="s">
        <v>427</v>
      </c>
      <c r="D9627" s="106">
        <v>24.25</v>
      </c>
    </row>
    <row r="9628" spans="1:4">
      <c r="A9628">
        <v>38078</v>
      </c>
      <c r="B9628" t="s">
        <v>10120</v>
      </c>
      <c r="C9628" t="s">
        <v>427</v>
      </c>
      <c r="D9628" s="106">
        <v>14.15</v>
      </c>
    </row>
    <row r="9629" spans="1:4">
      <c r="A9629">
        <v>38113</v>
      </c>
      <c r="B9629" t="s">
        <v>10121</v>
      </c>
      <c r="C9629" t="s">
        <v>427</v>
      </c>
      <c r="D9629" s="106">
        <v>7.68</v>
      </c>
    </row>
    <row r="9630" spans="1:4">
      <c r="A9630">
        <v>38063</v>
      </c>
      <c r="B9630" t="s">
        <v>10122</v>
      </c>
      <c r="C9630" t="s">
        <v>427</v>
      </c>
      <c r="D9630" s="106">
        <v>8.24</v>
      </c>
    </row>
    <row r="9631" spans="1:4">
      <c r="A9631">
        <v>38080</v>
      </c>
      <c r="B9631" t="s">
        <v>10123</v>
      </c>
      <c r="C9631" t="s">
        <v>427</v>
      </c>
      <c r="D9631" s="106">
        <v>24.57</v>
      </c>
    </row>
    <row r="9632" spans="1:4">
      <c r="A9632">
        <v>38069</v>
      </c>
      <c r="B9632" t="s">
        <v>10124</v>
      </c>
      <c r="C9632" t="s">
        <v>427</v>
      </c>
      <c r="D9632" s="106">
        <v>13.44</v>
      </c>
    </row>
    <row r="9633" spans="1:4">
      <c r="A9633">
        <v>38077</v>
      </c>
      <c r="B9633" t="s">
        <v>10125</v>
      </c>
      <c r="C9633" t="s">
        <v>427</v>
      </c>
      <c r="D9633" s="106">
        <v>13.13</v>
      </c>
    </row>
    <row r="9634" spans="1:4">
      <c r="A9634">
        <v>38073</v>
      </c>
      <c r="B9634" t="s">
        <v>10126</v>
      </c>
      <c r="C9634" t="s">
        <v>427</v>
      </c>
      <c r="D9634" s="106">
        <v>20</v>
      </c>
    </row>
    <row r="9635" spans="1:4">
      <c r="A9635">
        <v>38112</v>
      </c>
      <c r="B9635" t="s">
        <v>10127</v>
      </c>
      <c r="C9635" t="s">
        <v>427</v>
      </c>
      <c r="D9635" s="106">
        <v>5.9</v>
      </c>
    </row>
    <row r="9636" spans="1:4">
      <c r="A9636">
        <v>38062</v>
      </c>
      <c r="B9636" t="s">
        <v>10128</v>
      </c>
      <c r="C9636" t="s">
        <v>427</v>
      </c>
      <c r="D9636" s="106">
        <v>6.05</v>
      </c>
    </row>
    <row r="9637" spans="1:4">
      <c r="A9637">
        <v>12128</v>
      </c>
      <c r="B9637" t="s">
        <v>10129</v>
      </c>
      <c r="C9637" t="s">
        <v>427</v>
      </c>
      <c r="D9637" s="106">
        <v>8.09</v>
      </c>
    </row>
    <row r="9638" spans="1:4">
      <c r="A9638">
        <v>12129</v>
      </c>
      <c r="B9638" t="s">
        <v>10130</v>
      </c>
      <c r="C9638" t="s">
        <v>427</v>
      </c>
      <c r="D9638" s="106">
        <v>10.7</v>
      </c>
    </row>
    <row r="9639" spans="1:4">
      <c r="A9639">
        <v>38081</v>
      </c>
      <c r="B9639" t="s">
        <v>10131</v>
      </c>
      <c r="C9639" t="s">
        <v>427</v>
      </c>
      <c r="D9639" s="106">
        <v>20.84</v>
      </c>
    </row>
    <row r="9640" spans="1:4">
      <c r="A9640">
        <v>38070</v>
      </c>
      <c r="B9640" t="s">
        <v>10132</v>
      </c>
      <c r="C9640" t="s">
        <v>427</v>
      </c>
      <c r="D9640" s="106">
        <v>14.36</v>
      </c>
    </row>
    <row r="9641" spans="1:4">
      <c r="A9641">
        <v>38074</v>
      </c>
      <c r="B9641" t="s">
        <v>10133</v>
      </c>
      <c r="C9641" t="s">
        <v>427</v>
      </c>
      <c r="D9641" s="106">
        <v>21.83</v>
      </c>
    </row>
    <row r="9642" spans="1:4">
      <c r="A9642">
        <v>38079</v>
      </c>
      <c r="B9642" t="s">
        <v>10134</v>
      </c>
      <c r="C9642" t="s">
        <v>427</v>
      </c>
      <c r="D9642" s="106">
        <v>18.739999999999998</v>
      </c>
    </row>
    <row r="9643" spans="1:4">
      <c r="A9643">
        <v>38072</v>
      </c>
      <c r="B9643" t="s">
        <v>10135</v>
      </c>
      <c r="C9643" t="s">
        <v>427</v>
      </c>
      <c r="D9643" s="106">
        <v>18.010000000000002</v>
      </c>
    </row>
    <row r="9644" spans="1:4">
      <c r="A9644">
        <v>38068</v>
      </c>
      <c r="B9644" t="s">
        <v>10136</v>
      </c>
      <c r="C9644" t="s">
        <v>427</v>
      </c>
      <c r="D9644" s="106">
        <v>12.43</v>
      </c>
    </row>
    <row r="9645" spans="1:4">
      <c r="A9645">
        <v>38071</v>
      </c>
      <c r="B9645" t="s">
        <v>10137</v>
      </c>
      <c r="C9645" t="s">
        <v>427</v>
      </c>
      <c r="D9645" s="106">
        <v>14.86</v>
      </c>
    </row>
    <row r="9646" spans="1:4">
      <c r="A9646">
        <v>38412</v>
      </c>
      <c r="B9646" t="s">
        <v>10138</v>
      </c>
      <c r="C9646" t="s">
        <v>427</v>
      </c>
      <c r="D9646" s="107">
        <v>1589.95</v>
      </c>
    </row>
    <row r="9647" spans="1:4">
      <c r="A9647">
        <v>3405</v>
      </c>
      <c r="B9647" t="s">
        <v>10139</v>
      </c>
      <c r="C9647" t="s">
        <v>427</v>
      </c>
      <c r="D9647" s="106">
        <v>91.9</v>
      </c>
    </row>
    <row r="9648" spans="1:4">
      <c r="A9648">
        <v>3394</v>
      </c>
      <c r="B9648" t="s">
        <v>10140</v>
      </c>
      <c r="C9648" t="s">
        <v>427</v>
      </c>
      <c r="D9648" s="106">
        <v>485.11</v>
      </c>
    </row>
    <row r="9649" spans="1:4">
      <c r="A9649">
        <v>3393</v>
      </c>
      <c r="B9649" t="s">
        <v>10141</v>
      </c>
      <c r="C9649" t="s">
        <v>427</v>
      </c>
      <c r="D9649" s="106">
        <v>825.96</v>
      </c>
    </row>
    <row r="9650" spans="1:4">
      <c r="A9650">
        <v>3406</v>
      </c>
      <c r="B9650" t="s">
        <v>10142</v>
      </c>
      <c r="C9650" t="s">
        <v>427</v>
      </c>
      <c r="D9650" s="106">
        <v>28.13</v>
      </c>
    </row>
    <row r="9651" spans="1:4">
      <c r="A9651">
        <v>3395</v>
      </c>
      <c r="B9651" t="s">
        <v>10143</v>
      </c>
      <c r="C9651" t="s">
        <v>427</v>
      </c>
      <c r="D9651" s="106">
        <v>118.66</v>
      </c>
    </row>
    <row r="9652" spans="1:4">
      <c r="A9652">
        <v>3398</v>
      </c>
      <c r="B9652" t="s">
        <v>10144</v>
      </c>
      <c r="C9652" t="s">
        <v>427</v>
      </c>
      <c r="D9652" s="106">
        <v>5.64</v>
      </c>
    </row>
    <row r="9653" spans="1:4">
      <c r="A9653">
        <v>40662</v>
      </c>
      <c r="B9653" t="s">
        <v>10145</v>
      </c>
      <c r="C9653" t="s">
        <v>427</v>
      </c>
      <c r="D9653" s="106">
        <v>285.67</v>
      </c>
    </row>
    <row r="9654" spans="1:4">
      <c r="A9654">
        <v>3437</v>
      </c>
      <c r="B9654" t="s">
        <v>10146</v>
      </c>
      <c r="C9654" t="s">
        <v>426</v>
      </c>
      <c r="D9654" s="106">
        <v>793.54</v>
      </c>
    </row>
    <row r="9655" spans="1:4">
      <c r="A9655">
        <v>11190</v>
      </c>
      <c r="B9655" t="s">
        <v>10147</v>
      </c>
      <c r="C9655" t="s">
        <v>427</v>
      </c>
      <c r="D9655" s="106">
        <v>229</v>
      </c>
    </row>
    <row r="9656" spans="1:4">
      <c r="A9656">
        <v>34377</v>
      </c>
      <c r="B9656" t="s">
        <v>10148</v>
      </c>
      <c r="C9656" t="s">
        <v>427</v>
      </c>
      <c r="D9656" s="106">
        <v>308.76</v>
      </c>
    </row>
    <row r="9657" spans="1:4">
      <c r="A9657">
        <v>3428</v>
      </c>
      <c r="B9657" t="s">
        <v>10149</v>
      </c>
      <c r="C9657" t="s">
        <v>426</v>
      </c>
      <c r="D9657" s="107">
        <v>1177.08</v>
      </c>
    </row>
    <row r="9658" spans="1:4">
      <c r="A9658">
        <v>3429</v>
      </c>
      <c r="B9658" t="s">
        <v>10150</v>
      </c>
      <c r="C9658" t="s">
        <v>426</v>
      </c>
      <c r="D9658" s="106">
        <v>672.52</v>
      </c>
    </row>
    <row r="9659" spans="1:4">
      <c r="A9659">
        <v>34364</v>
      </c>
      <c r="B9659" t="s">
        <v>10151</v>
      </c>
      <c r="C9659" t="s">
        <v>427</v>
      </c>
      <c r="D9659" s="107">
        <v>1013.1</v>
      </c>
    </row>
    <row r="9660" spans="1:4">
      <c r="A9660">
        <v>34369</v>
      </c>
      <c r="B9660" t="s">
        <v>10152</v>
      </c>
      <c r="C9660" t="s">
        <v>427</v>
      </c>
      <c r="D9660" s="107">
        <v>1073.9000000000001</v>
      </c>
    </row>
    <row r="9661" spans="1:4">
      <c r="A9661">
        <v>36896</v>
      </c>
      <c r="B9661" t="s">
        <v>10153</v>
      </c>
      <c r="C9661" t="s">
        <v>427</v>
      </c>
      <c r="D9661" s="106">
        <v>598</v>
      </c>
    </row>
    <row r="9662" spans="1:4">
      <c r="A9662">
        <v>34367</v>
      </c>
      <c r="B9662" t="s">
        <v>10154</v>
      </c>
      <c r="C9662" t="s">
        <v>427</v>
      </c>
      <c r="D9662" s="106">
        <v>770.73</v>
      </c>
    </row>
    <row r="9663" spans="1:4">
      <c r="A9663">
        <v>36897</v>
      </c>
      <c r="B9663" t="s">
        <v>10155</v>
      </c>
      <c r="C9663" t="s">
        <v>427</v>
      </c>
      <c r="D9663" s="106">
        <v>933.17</v>
      </c>
    </row>
    <row r="9664" spans="1:4">
      <c r="A9664">
        <v>40659</v>
      </c>
      <c r="B9664" t="s">
        <v>10156</v>
      </c>
      <c r="C9664" t="s">
        <v>426</v>
      </c>
      <c r="D9664" s="107">
        <v>1122.74</v>
      </c>
    </row>
    <row r="9665" spans="1:4">
      <c r="A9665">
        <v>40660</v>
      </c>
      <c r="B9665" t="s">
        <v>10157</v>
      </c>
      <c r="C9665" t="s">
        <v>426</v>
      </c>
      <c r="D9665" s="107">
        <v>1422.94</v>
      </c>
    </row>
    <row r="9666" spans="1:4">
      <c r="A9666">
        <v>40661</v>
      </c>
      <c r="B9666" t="s">
        <v>10158</v>
      </c>
      <c r="C9666" t="s">
        <v>426</v>
      </c>
      <c r="D9666" s="106">
        <v>874.86</v>
      </c>
    </row>
    <row r="9667" spans="1:4">
      <c r="A9667">
        <v>3421</v>
      </c>
      <c r="B9667" t="s">
        <v>10159</v>
      </c>
      <c r="C9667" t="s">
        <v>426</v>
      </c>
      <c r="D9667" s="106">
        <v>881.56</v>
      </c>
    </row>
    <row r="9668" spans="1:4">
      <c r="A9668">
        <v>599</v>
      </c>
      <c r="B9668" t="s">
        <v>10160</v>
      </c>
      <c r="C9668" t="s">
        <v>426</v>
      </c>
      <c r="D9668" s="107">
        <v>1090.6199999999999</v>
      </c>
    </row>
    <row r="9669" spans="1:4">
      <c r="A9669">
        <v>44053</v>
      </c>
      <c r="B9669" t="s">
        <v>10161</v>
      </c>
      <c r="C9669" t="s">
        <v>427</v>
      </c>
      <c r="D9669" s="107">
        <v>2420.67</v>
      </c>
    </row>
    <row r="9670" spans="1:4">
      <c r="A9670">
        <v>3423</v>
      </c>
      <c r="B9670" t="s">
        <v>10162</v>
      </c>
      <c r="C9670" t="s">
        <v>426</v>
      </c>
      <c r="D9670" s="107">
        <v>1243.21</v>
      </c>
    </row>
    <row r="9671" spans="1:4">
      <c r="A9671">
        <v>34381</v>
      </c>
      <c r="B9671" t="s">
        <v>10163</v>
      </c>
      <c r="C9671" t="s">
        <v>427</v>
      </c>
      <c r="D9671" s="106">
        <v>440.37</v>
      </c>
    </row>
    <row r="9672" spans="1:4">
      <c r="A9672">
        <v>34797</v>
      </c>
      <c r="B9672" t="s">
        <v>10164</v>
      </c>
      <c r="C9672" t="s">
        <v>427</v>
      </c>
      <c r="D9672" s="106">
        <v>498.8</v>
      </c>
    </row>
    <row r="9673" spans="1:4">
      <c r="A9673">
        <v>44054</v>
      </c>
      <c r="B9673" t="s">
        <v>10165</v>
      </c>
      <c r="C9673" t="s">
        <v>427</v>
      </c>
      <c r="D9673" s="106">
        <v>868.39</v>
      </c>
    </row>
    <row r="9674" spans="1:4">
      <c r="A9674">
        <v>44399</v>
      </c>
      <c r="B9674" t="s">
        <v>10166</v>
      </c>
      <c r="C9674" t="s">
        <v>427</v>
      </c>
      <c r="D9674" s="107">
        <v>1186.5</v>
      </c>
    </row>
    <row r="9675" spans="1:4">
      <c r="A9675">
        <v>44503</v>
      </c>
      <c r="B9675" t="s">
        <v>13457</v>
      </c>
      <c r="C9675" t="s">
        <v>432</v>
      </c>
      <c r="D9675" s="106">
        <v>13.31</v>
      </c>
    </row>
    <row r="9676" spans="1:4">
      <c r="A9676">
        <v>41077</v>
      </c>
      <c r="B9676" t="s">
        <v>10167</v>
      </c>
      <c r="C9676" t="s">
        <v>433</v>
      </c>
      <c r="D9676" s="107">
        <v>2356.09</v>
      </c>
    </row>
    <row r="9677" spans="1:4">
      <c r="A9677">
        <v>20159</v>
      </c>
      <c r="B9677" t="s">
        <v>10168</v>
      </c>
      <c r="C9677" t="s">
        <v>427</v>
      </c>
      <c r="D9677" s="106">
        <v>67.87</v>
      </c>
    </row>
    <row r="9678" spans="1:4">
      <c r="A9678">
        <v>37963</v>
      </c>
      <c r="B9678" t="s">
        <v>10169</v>
      </c>
      <c r="C9678" t="s">
        <v>427</v>
      </c>
      <c r="D9678" s="106">
        <v>5.28</v>
      </c>
    </row>
    <row r="9679" spans="1:4">
      <c r="A9679">
        <v>37964</v>
      </c>
      <c r="B9679" t="s">
        <v>10170</v>
      </c>
      <c r="C9679" t="s">
        <v>427</v>
      </c>
      <c r="D9679" s="106">
        <v>8.8000000000000007</v>
      </c>
    </row>
    <row r="9680" spans="1:4">
      <c r="A9680">
        <v>37965</v>
      </c>
      <c r="B9680" t="s">
        <v>10171</v>
      </c>
      <c r="C9680" t="s">
        <v>427</v>
      </c>
      <c r="D9680" s="106">
        <v>12.76</v>
      </c>
    </row>
    <row r="9681" spans="1:4">
      <c r="A9681">
        <v>37966</v>
      </c>
      <c r="B9681" t="s">
        <v>10172</v>
      </c>
      <c r="C9681" t="s">
        <v>427</v>
      </c>
      <c r="D9681" s="106">
        <v>23.11</v>
      </c>
    </row>
    <row r="9682" spans="1:4">
      <c r="A9682">
        <v>37967</v>
      </c>
      <c r="B9682" t="s">
        <v>10173</v>
      </c>
      <c r="C9682" t="s">
        <v>427</v>
      </c>
      <c r="D9682" s="106">
        <v>37.06</v>
      </c>
    </row>
    <row r="9683" spans="1:4">
      <c r="A9683">
        <v>37968</v>
      </c>
      <c r="B9683" t="s">
        <v>10174</v>
      </c>
      <c r="C9683" t="s">
        <v>427</v>
      </c>
      <c r="D9683" s="106">
        <v>81.27</v>
      </c>
    </row>
    <row r="9684" spans="1:4">
      <c r="A9684">
        <v>37969</v>
      </c>
      <c r="B9684" t="s">
        <v>10175</v>
      </c>
      <c r="C9684" t="s">
        <v>427</v>
      </c>
      <c r="D9684" s="106">
        <v>217.11</v>
      </c>
    </row>
    <row r="9685" spans="1:4">
      <c r="A9685">
        <v>37970</v>
      </c>
      <c r="B9685" t="s">
        <v>10176</v>
      </c>
      <c r="C9685" t="s">
        <v>427</v>
      </c>
      <c r="D9685" s="106">
        <v>253.27</v>
      </c>
    </row>
    <row r="9686" spans="1:4">
      <c r="A9686">
        <v>21118</v>
      </c>
      <c r="B9686" t="s">
        <v>10177</v>
      </c>
      <c r="C9686" t="s">
        <v>427</v>
      </c>
      <c r="D9686" s="106">
        <v>3.99</v>
      </c>
    </row>
    <row r="9687" spans="1:4">
      <c r="A9687">
        <v>37956</v>
      </c>
      <c r="B9687" t="s">
        <v>10178</v>
      </c>
      <c r="C9687" t="s">
        <v>427</v>
      </c>
      <c r="D9687" s="106">
        <v>6.32</v>
      </c>
    </row>
    <row r="9688" spans="1:4">
      <c r="A9688">
        <v>37957</v>
      </c>
      <c r="B9688" t="s">
        <v>10179</v>
      </c>
      <c r="C9688" t="s">
        <v>427</v>
      </c>
      <c r="D9688" s="106">
        <v>13.33</v>
      </c>
    </row>
    <row r="9689" spans="1:4">
      <c r="A9689">
        <v>37958</v>
      </c>
      <c r="B9689" t="s">
        <v>10180</v>
      </c>
      <c r="C9689" t="s">
        <v>427</v>
      </c>
      <c r="D9689" s="106">
        <v>23.11</v>
      </c>
    </row>
    <row r="9690" spans="1:4">
      <c r="A9690">
        <v>37959</v>
      </c>
      <c r="B9690" t="s">
        <v>10181</v>
      </c>
      <c r="C9690" t="s">
        <v>427</v>
      </c>
      <c r="D9690" s="106">
        <v>37.06</v>
      </c>
    </row>
    <row r="9691" spans="1:4">
      <c r="A9691">
        <v>37960</v>
      </c>
      <c r="B9691" t="s">
        <v>10182</v>
      </c>
      <c r="C9691" t="s">
        <v>427</v>
      </c>
      <c r="D9691" s="106">
        <v>79.8</v>
      </c>
    </row>
    <row r="9692" spans="1:4">
      <c r="A9692">
        <v>37961</v>
      </c>
      <c r="B9692" t="s">
        <v>10183</v>
      </c>
      <c r="C9692" t="s">
        <v>427</v>
      </c>
      <c r="D9692" s="106">
        <v>211.72</v>
      </c>
    </row>
    <row r="9693" spans="1:4">
      <c r="A9693">
        <v>37962</v>
      </c>
      <c r="B9693" t="s">
        <v>10184</v>
      </c>
      <c r="C9693" t="s">
        <v>427</v>
      </c>
      <c r="D9693" s="106">
        <v>246.01</v>
      </c>
    </row>
    <row r="9694" spans="1:4">
      <c r="A9694">
        <v>3533</v>
      </c>
      <c r="B9694" t="s">
        <v>10185</v>
      </c>
      <c r="C9694" t="s">
        <v>427</v>
      </c>
      <c r="D9694" s="106">
        <v>2.4500000000000002</v>
      </c>
    </row>
    <row r="9695" spans="1:4">
      <c r="A9695">
        <v>3538</v>
      </c>
      <c r="B9695" t="s">
        <v>10186</v>
      </c>
      <c r="C9695" t="s">
        <v>427</v>
      </c>
      <c r="D9695" s="106">
        <v>4.2300000000000004</v>
      </c>
    </row>
    <row r="9696" spans="1:4">
      <c r="A9696">
        <v>3497</v>
      </c>
      <c r="B9696" t="s">
        <v>10187</v>
      </c>
      <c r="C9696" t="s">
        <v>427</v>
      </c>
      <c r="D9696" s="106">
        <v>15.81</v>
      </c>
    </row>
    <row r="9697" spans="1:4">
      <c r="A9697">
        <v>3498</v>
      </c>
      <c r="B9697" t="s">
        <v>10188</v>
      </c>
      <c r="C9697" t="s">
        <v>427</v>
      </c>
      <c r="D9697" s="106">
        <v>5.0199999999999996</v>
      </c>
    </row>
    <row r="9698" spans="1:4">
      <c r="A9698">
        <v>3496</v>
      </c>
      <c r="B9698" t="s">
        <v>10189</v>
      </c>
      <c r="C9698" t="s">
        <v>427</v>
      </c>
      <c r="D9698" s="106">
        <v>4.05</v>
      </c>
    </row>
    <row r="9699" spans="1:4">
      <c r="A9699">
        <v>38429</v>
      </c>
      <c r="B9699" t="s">
        <v>10190</v>
      </c>
      <c r="C9699" t="s">
        <v>427</v>
      </c>
      <c r="D9699" s="106">
        <v>13.47</v>
      </c>
    </row>
    <row r="9700" spans="1:4">
      <c r="A9700">
        <v>38431</v>
      </c>
      <c r="B9700" t="s">
        <v>10191</v>
      </c>
      <c r="C9700" t="s">
        <v>427</v>
      </c>
      <c r="D9700" s="106">
        <v>21.35</v>
      </c>
    </row>
    <row r="9701" spans="1:4">
      <c r="A9701">
        <v>38430</v>
      </c>
      <c r="B9701" t="s">
        <v>10192</v>
      </c>
      <c r="C9701" t="s">
        <v>427</v>
      </c>
      <c r="D9701" s="106">
        <v>27.28</v>
      </c>
    </row>
    <row r="9702" spans="1:4">
      <c r="A9702">
        <v>36348</v>
      </c>
      <c r="B9702" t="s">
        <v>10193</v>
      </c>
      <c r="C9702" t="s">
        <v>427</v>
      </c>
      <c r="D9702" s="106">
        <v>1.94</v>
      </c>
    </row>
    <row r="9703" spans="1:4">
      <c r="A9703">
        <v>36349</v>
      </c>
      <c r="B9703" t="s">
        <v>10194</v>
      </c>
      <c r="C9703" t="s">
        <v>427</v>
      </c>
      <c r="D9703" s="106">
        <v>2.91</v>
      </c>
    </row>
    <row r="9704" spans="1:4">
      <c r="A9704">
        <v>38433</v>
      </c>
      <c r="B9704" t="s">
        <v>10195</v>
      </c>
      <c r="C9704" t="s">
        <v>427</v>
      </c>
      <c r="D9704" s="106">
        <v>5.39</v>
      </c>
    </row>
    <row r="9705" spans="1:4">
      <c r="A9705">
        <v>38440</v>
      </c>
      <c r="B9705" t="s">
        <v>10196</v>
      </c>
      <c r="C9705" t="s">
        <v>427</v>
      </c>
      <c r="D9705" s="106">
        <v>186.04</v>
      </c>
    </row>
    <row r="9706" spans="1:4">
      <c r="A9706">
        <v>36359</v>
      </c>
      <c r="B9706" t="s">
        <v>10197</v>
      </c>
      <c r="C9706" t="s">
        <v>427</v>
      </c>
      <c r="D9706" s="106">
        <v>2.31</v>
      </c>
    </row>
    <row r="9707" spans="1:4">
      <c r="A9707">
        <v>36360</v>
      </c>
      <c r="B9707" t="s">
        <v>10198</v>
      </c>
      <c r="C9707" t="s">
        <v>427</v>
      </c>
      <c r="D9707" s="106">
        <v>3.57</v>
      </c>
    </row>
    <row r="9708" spans="1:4">
      <c r="A9708">
        <v>38434</v>
      </c>
      <c r="B9708" t="s">
        <v>10199</v>
      </c>
      <c r="C9708" t="s">
        <v>427</v>
      </c>
      <c r="D9708" s="106">
        <v>5.46</v>
      </c>
    </row>
    <row r="9709" spans="1:4">
      <c r="A9709">
        <v>38435</v>
      </c>
      <c r="B9709" t="s">
        <v>10200</v>
      </c>
      <c r="C9709" t="s">
        <v>427</v>
      </c>
      <c r="D9709" s="106">
        <v>10.37</v>
      </c>
    </row>
    <row r="9710" spans="1:4">
      <c r="A9710">
        <v>38436</v>
      </c>
      <c r="B9710" t="s">
        <v>10201</v>
      </c>
      <c r="C9710" t="s">
        <v>427</v>
      </c>
      <c r="D9710" s="106">
        <v>21.45</v>
      </c>
    </row>
    <row r="9711" spans="1:4">
      <c r="A9711">
        <v>38437</v>
      </c>
      <c r="B9711" t="s">
        <v>10202</v>
      </c>
      <c r="C9711" t="s">
        <v>427</v>
      </c>
      <c r="D9711" s="106">
        <v>32.21</v>
      </c>
    </row>
    <row r="9712" spans="1:4">
      <c r="A9712">
        <v>38438</v>
      </c>
      <c r="B9712" t="s">
        <v>10203</v>
      </c>
      <c r="C9712" t="s">
        <v>427</v>
      </c>
      <c r="D9712" s="106">
        <v>81.39</v>
      </c>
    </row>
    <row r="9713" spans="1:4">
      <c r="A9713">
        <v>38439</v>
      </c>
      <c r="B9713" t="s">
        <v>10204</v>
      </c>
      <c r="C9713" t="s">
        <v>427</v>
      </c>
      <c r="D9713" s="106">
        <v>124.05</v>
      </c>
    </row>
    <row r="9714" spans="1:4">
      <c r="A9714">
        <v>10836</v>
      </c>
      <c r="B9714" t="s">
        <v>10205</v>
      </c>
      <c r="C9714" t="s">
        <v>427</v>
      </c>
      <c r="D9714" s="106">
        <v>23.79</v>
      </c>
    </row>
    <row r="9715" spans="1:4">
      <c r="A9715">
        <v>20128</v>
      </c>
      <c r="B9715" t="s">
        <v>10206</v>
      </c>
      <c r="C9715" t="s">
        <v>427</v>
      </c>
      <c r="D9715" s="106">
        <v>69.73</v>
      </c>
    </row>
    <row r="9716" spans="1:4">
      <c r="A9716">
        <v>20131</v>
      </c>
      <c r="B9716" t="s">
        <v>10207</v>
      </c>
      <c r="C9716" t="s">
        <v>427</v>
      </c>
      <c r="D9716" s="106">
        <v>63.64</v>
      </c>
    </row>
    <row r="9717" spans="1:4">
      <c r="A9717">
        <v>3521</v>
      </c>
      <c r="B9717" t="s">
        <v>10208</v>
      </c>
      <c r="C9717" t="s">
        <v>427</v>
      </c>
      <c r="D9717" s="106">
        <v>2.13</v>
      </c>
    </row>
    <row r="9718" spans="1:4">
      <c r="A9718">
        <v>3531</v>
      </c>
      <c r="B9718" t="s">
        <v>10209</v>
      </c>
      <c r="C9718" t="s">
        <v>427</v>
      </c>
      <c r="D9718" s="106">
        <v>2.41</v>
      </c>
    </row>
    <row r="9719" spans="1:4">
      <c r="A9719">
        <v>3522</v>
      </c>
      <c r="B9719" t="s">
        <v>10210</v>
      </c>
      <c r="C9719" t="s">
        <v>427</v>
      </c>
      <c r="D9719" s="106">
        <v>3.59</v>
      </c>
    </row>
    <row r="9720" spans="1:4">
      <c r="A9720">
        <v>3527</v>
      </c>
      <c r="B9720" t="s">
        <v>10211</v>
      </c>
      <c r="C9720" t="s">
        <v>427</v>
      </c>
      <c r="D9720" s="106">
        <v>12.34</v>
      </c>
    </row>
    <row r="9721" spans="1:4">
      <c r="A9721">
        <v>10835</v>
      </c>
      <c r="B9721" t="s">
        <v>10212</v>
      </c>
      <c r="C9721" t="s">
        <v>427</v>
      </c>
      <c r="D9721" s="106">
        <v>4.9800000000000004</v>
      </c>
    </row>
    <row r="9722" spans="1:4">
      <c r="A9722">
        <v>3475</v>
      </c>
      <c r="B9722" t="s">
        <v>10213</v>
      </c>
      <c r="C9722" t="s">
        <v>427</v>
      </c>
      <c r="D9722" s="106">
        <v>4.1500000000000004</v>
      </c>
    </row>
    <row r="9723" spans="1:4">
      <c r="A9723">
        <v>3485</v>
      </c>
      <c r="B9723" t="s">
        <v>10214</v>
      </c>
      <c r="C9723" t="s">
        <v>427</v>
      </c>
      <c r="D9723" s="106">
        <v>13.25</v>
      </c>
    </row>
    <row r="9724" spans="1:4">
      <c r="A9724">
        <v>3534</v>
      </c>
      <c r="B9724" t="s">
        <v>10215</v>
      </c>
      <c r="C9724" t="s">
        <v>427</v>
      </c>
      <c r="D9724" s="106">
        <v>5.24</v>
      </c>
    </row>
    <row r="9725" spans="1:4">
      <c r="A9725">
        <v>3543</v>
      </c>
      <c r="B9725" t="s">
        <v>10216</v>
      </c>
      <c r="C9725" t="s">
        <v>427</v>
      </c>
      <c r="D9725" s="106">
        <v>2.63</v>
      </c>
    </row>
    <row r="9726" spans="1:4">
      <c r="A9726">
        <v>3482</v>
      </c>
      <c r="B9726" t="s">
        <v>10217</v>
      </c>
      <c r="C9726" t="s">
        <v>427</v>
      </c>
      <c r="D9726" s="106">
        <v>6.66</v>
      </c>
    </row>
    <row r="9727" spans="1:4">
      <c r="A9727">
        <v>3505</v>
      </c>
      <c r="B9727" t="s">
        <v>10218</v>
      </c>
      <c r="C9727" t="s">
        <v>427</v>
      </c>
      <c r="D9727" s="106">
        <v>3.78</v>
      </c>
    </row>
    <row r="9728" spans="1:4">
      <c r="A9728">
        <v>3516</v>
      </c>
      <c r="B9728" t="s">
        <v>10219</v>
      </c>
      <c r="C9728" t="s">
        <v>427</v>
      </c>
      <c r="D9728" s="106">
        <v>1.3</v>
      </c>
    </row>
    <row r="9729" spans="1:4">
      <c r="A9729">
        <v>3517</v>
      </c>
      <c r="B9729" t="s">
        <v>10220</v>
      </c>
      <c r="C9729" t="s">
        <v>427</v>
      </c>
      <c r="D9729" s="106">
        <v>4.54</v>
      </c>
    </row>
    <row r="9730" spans="1:4">
      <c r="A9730">
        <v>3515</v>
      </c>
      <c r="B9730" t="s">
        <v>10221</v>
      </c>
      <c r="C9730" t="s">
        <v>427</v>
      </c>
      <c r="D9730" s="106">
        <v>6.12</v>
      </c>
    </row>
    <row r="9731" spans="1:4">
      <c r="A9731">
        <v>20147</v>
      </c>
      <c r="B9731" t="s">
        <v>10222</v>
      </c>
      <c r="C9731" t="s">
        <v>427</v>
      </c>
      <c r="D9731" s="106">
        <v>6.58</v>
      </c>
    </row>
    <row r="9732" spans="1:4">
      <c r="A9732">
        <v>3524</v>
      </c>
      <c r="B9732" t="s">
        <v>10223</v>
      </c>
      <c r="C9732" t="s">
        <v>427</v>
      </c>
      <c r="D9732" s="106">
        <v>7.81</v>
      </c>
    </row>
    <row r="9733" spans="1:4">
      <c r="A9733">
        <v>3532</v>
      </c>
      <c r="B9733" t="s">
        <v>10224</v>
      </c>
      <c r="C9733" t="s">
        <v>427</v>
      </c>
      <c r="D9733" s="106">
        <v>14.29</v>
      </c>
    </row>
    <row r="9734" spans="1:4">
      <c r="A9734">
        <v>3528</v>
      </c>
      <c r="B9734" t="s">
        <v>10225</v>
      </c>
      <c r="C9734" t="s">
        <v>427</v>
      </c>
      <c r="D9734" s="106">
        <v>10.26</v>
      </c>
    </row>
    <row r="9735" spans="1:4">
      <c r="A9735">
        <v>37952</v>
      </c>
      <c r="B9735" t="s">
        <v>10226</v>
      </c>
      <c r="C9735" t="s">
        <v>427</v>
      </c>
      <c r="D9735" s="106">
        <v>73.099999999999994</v>
      </c>
    </row>
    <row r="9736" spans="1:4">
      <c r="A9736">
        <v>37951</v>
      </c>
      <c r="B9736" t="s">
        <v>10227</v>
      </c>
      <c r="C9736" t="s">
        <v>427</v>
      </c>
      <c r="D9736" s="106">
        <v>2.66</v>
      </c>
    </row>
    <row r="9737" spans="1:4">
      <c r="A9737">
        <v>3518</v>
      </c>
      <c r="B9737" t="s">
        <v>10228</v>
      </c>
      <c r="C9737" t="s">
        <v>427</v>
      </c>
      <c r="D9737" s="106">
        <v>3.89</v>
      </c>
    </row>
    <row r="9738" spans="1:4">
      <c r="A9738">
        <v>3519</v>
      </c>
      <c r="B9738" t="s">
        <v>10229</v>
      </c>
      <c r="C9738" t="s">
        <v>427</v>
      </c>
      <c r="D9738" s="106">
        <v>9.2200000000000006</v>
      </c>
    </row>
    <row r="9739" spans="1:4">
      <c r="A9739">
        <v>3520</v>
      </c>
      <c r="B9739" t="s">
        <v>10230</v>
      </c>
      <c r="C9739" t="s">
        <v>427</v>
      </c>
      <c r="D9739" s="106">
        <v>10.33</v>
      </c>
    </row>
    <row r="9740" spans="1:4">
      <c r="A9740">
        <v>37950</v>
      </c>
      <c r="B9740" t="s">
        <v>10231</v>
      </c>
      <c r="C9740" t="s">
        <v>427</v>
      </c>
      <c r="D9740" s="106">
        <v>63.64</v>
      </c>
    </row>
    <row r="9741" spans="1:4">
      <c r="A9741">
        <v>37949</v>
      </c>
      <c r="B9741" t="s">
        <v>10232</v>
      </c>
      <c r="C9741" t="s">
        <v>427</v>
      </c>
      <c r="D9741" s="106">
        <v>2.33</v>
      </c>
    </row>
    <row r="9742" spans="1:4">
      <c r="A9742">
        <v>3526</v>
      </c>
      <c r="B9742" t="s">
        <v>10233</v>
      </c>
      <c r="C9742" t="s">
        <v>427</v>
      </c>
      <c r="D9742" s="106">
        <v>3.12</v>
      </c>
    </row>
    <row r="9743" spans="1:4">
      <c r="A9743">
        <v>3509</v>
      </c>
      <c r="B9743" t="s">
        <v>10234</v>
      </c>
      <c r="C9743" t="s">
        <v>427</v>
      </c>
      <c r="D9743" s="106">
        <v>8.1199999999999992</v>
      </c>
    </row>
    <row r="9744" spans="1:4">
      <c r="A9744">
        <v>3530</v>
      </c>
      <c r="B9744" t="s">
        <v>10235</v>
      </c>
      <c r="C9744" t="s">
        <v>427</v>
      </c>
      <c r="D9744" s="106">
        <v>245.95</v>
      </c>
    </row>
    <row r="9745" spans="1:4">
      <c r="A9745">
        <v>3542</v>
      </c>
      <c r="B9745" t="s">
        <v>10236</v>
      </c>
      <c r="C9745" t="s">
        <v>427</v>
      </c>
      <c r="D9745" s="106">
        <v>0.56999999999999995</v>
      </c>
    </row>
    <row r="9746" spans="1:4">
      <c r="A9746">
        <v>3529</v>
      </c>
      <c r="B9746" t="s">
        <v>10237</v>
      </c>
      <c r="C9746" t="s">
        <v>427</v>
      </c>
      <c r="D9746" s="106">
        <v>0.79</v>
      </c>
    </row>
    <row r="9747" spans="1:4">
      <c r="A9747">
        <v>3536</v>
      </c>
      <c r="B9747" t="s">
        <v>10238</v>
      </c>
      <c r="C9747" t="s">
        <v>427</v>
      </c>
      <c r="D9747" s="106">
        <v>2.35</v>
      </c>
    </row>
    <row r="9748" spans="1:4">
      <c r="A9748">
        <v>3535</v>
      </c>
      <c r="B9748" t="s">
        <v>10239</v>
      </c>
      <c r="C9748" t="s">
        <v>427</v>
      </c>
      <c r="D9748" s="106">
        <v>5.58</v>
      </c>
    </row>
    <row r="9749" spans="1:4">
      <c r="A9749">
        <v>3540</v>
      </c>
      <c r="B9749" t="s">
        <v>10240</v>
      </c>
      <c r="C9749" t="s">
        <v>427</v>
      </c>
      <c r="D9749" s="106">
        <v>6.04</v>
      </c>
    </row>
    <row r="9750" spans="1:4">
      <c r="A9750">
        <v>3539</v>
      </c>
      <c r="B9750" t="s">
        <v>10241</v>
      </c>
      <c r="C9750" t="s">
        <v>427</v>
      </c>
      <c r="D9750" s="106">
        <v>26.23</v>
      </c>
    </row>
    <row r="9751" spans="1:4">
      <c r="A9751">
        <v>3513</v>
      </c>
      <c r="B9751" t="s">
        <v>10242</v>
      </c>
      <c r="C9751" t="s">
        <v>427</v>
      </c>
      <c r="D9751" s="106">
        <v>116.59</v>
      </c>
    </row>
    <row r="9752" spans="1:4">
      <c r="A9752">
        <v>3492</v>
      </c>
      <c r="B9752" t="s">
        <v>10243</v>
      </c>
      <c r="C9752" t="s">
        <v>427</v>
      </c>
      <c r="D9752" s="106">
        <v>22.44</v>
      </c>
    </row>
    <row r="9753" spans="1:4">
      <c r="A9753">
        <v>3491</v>
      </c>
      <c r="B9753" t="s">
        <v>10244</v>
      </c>
      <c r="C9753" t="s">
        <v>427</v>
      </c>
      <c r="D9753" s="106">
        <v>12.8</v>
      </c>
    </row>
    <row r="9754" spans="1:4">
      <c r="A9754">
        <v>3493</v>
      </c>
      <c r="B9754" t="s">
        <v>10245</v>
      </c>
      <c r="C9754" t="s">
        <v>427</v>
      </c>
      <c r="D9754" s="106">
        <v>30.68</v>
      </c>
    </row>
    <row r="9755" spans="1:4">
      <c r="A9755">
        <v>12628</v>
      </c>
      <c r="B9755" t="s">
        <v>10246</v>
      </c>
      <c r="C9755" t="s">
        <v>427</v>
      </c>
      <c r="D9755" s="106">
        <v>7.79</v>
      </c>
    </row>
    <row r="9756" spans="1:4">
      <c r="A9756">
        <v>12629</v>
      </c>
      <c r="B9756" t="s">
        <v>10247</v>
      </c>
      <c r="C9756" t="s">
        <v>427</v>
      </c>
      <c r="D9756" s="106">
        <v>8.4600000000000009</v>
      </c>
    </row>
    <row r="9757" spans="1:4">
      <c r="A9757">
        <v>3481</v>
      </c>
      <c r="B9757" t="s">
        <v>10248</v>
      </c>
      <c r="C9757" t="s">
        <v>427</v>
      </c>
      <c r="D9757" s="106">
        <v>15.54</v>
      </c>
    </row>
    <row r="9758" spans="1:4">
      <c r="A9758">
        <v>3510</v>
      </c>
      <c r="B9758" t="s">
        <v>10249</v>
      </c>
      <c r="C9758" t="s">
        <v>427</v>
      </c>
      <c r="D9758" s="106">
        <v>14.52</v>
      </c>
    </row>
    <row r="9759" spans="1:4">
      <c r="A9759">
        <v>3508</v>
      </c>
      <c r="B9759" t="s">
        <v>10250</v>
      </c>
      <c r="C9759" t="s">
        <v>427</v>
      </c>
      <c r="D9759" s="106">
        <v>37.97</v>
      </c>
    </row>
    <row r="9760" spans="1:4">
      <c r="A9760">
        <v>38939</v>
      </c>
      <c r="B9760" t="s">
        <v>10251</v>
      </c>
      <c r="C9760" t="s">
        <v>427</v>
      </c>
      <c r="D9760" s="106">
        <v>18.97</v>
      </c>
    </row>
    <row r="9761" spans="1:4">
      <c r="A9761">
        <v>38940</v>
      </c>
      <c r="B9761" t="s">
        <v>10252</v>
      </c>
      <c r="C9761" t="s">
        <v>427</v>
      </c>
      <c r="D9761" s="106">
        <v>28.96</v>
      </c>
    </row>
    <row r="9762" spans="1:4">
      <c r="A9762">
        <v>38941</v>
      </c>
      <c r="B9762" t="s">
        <v>10253</v>
      </c>
      <c r="C9762" t="s">
        <v>427</v>
      </c>
      <c r="D9762" s="106">
        <v>34.22</v>
      </c>
    </row>
    <row r="9763" spans="1:4">
      <c r="A9763">
        <v>38942</v>
      </c>
      <c r="B9763" t="s">
        <v>10254</v>
      </c>
      <c r="C9763" t="s">
        <v>427</v>
      </c>
      <c r="D9763" s="106">
        <v>38.33</v>
      </c>
    </row>
    <row r="9764" spans="1:4">
      <c r="A9764">
        <v>38987</v>
      </c>
      <c r="B9764" t="s">
        <v>10255</v>
      </c>
      <c r="C9764" t="s">
        <v>427</v>
      </c>
      <c r="D9764" s="106">
        <v>9.66</v>
      </c>
    </row>
    <row r="9765" spans="1:4">
      <c r="A9765">
        <v>38988</v>
      </c>
      <c r="B9765" t="s">
        <v>10256</v>
      </c>
      <c r="C9765" t="s">
        <v>427</v>
      </c>
      <c r="D9765" s="106">
        <v>22.43</v>
      </c>
    </row>
    <row r="9766" spans="1:4">
      <c r="A9766">
        <v>38989</v>
      </c>
      <c r="B9766" t="s">
        <v>10257</v>
      </c>
      <c r="C9766" t="s">
        <v>427</v>
      </c>
      <c r="D9766" s="106">
        <v>29.8</v>
      </c>
    </row>
    <row r="9767" spans="1:4">
      <c r="A9767">
        <v>38990</v>
      </c>
      <c r="B9767" t="s">
        <v>10258</v>
      </c>
      <c r="C9767" t="s">
        <v>427</v>
      </c>
      <c r="D9767" s="106">
        <v>78.56</v>
      </c>
    </row>
    <row r="9768" spans="1:4">
      <c r="A9768">
        <v>38991</v>
      </c>
      <c r="B9768" t="s">
        <v>10259</v>
      </c>
      <c r="C9768" t="s">
        <v>427</v>
      </c>
      <c r="D9768" s="106">
        <v>158.72999999999999</v>
      </c>
    </row>
    <row r="9769" spans="1:4">
      <c r="A9769">
        <v>38913</v>
      </c>
      <c r="B9769" t="s">
        <v>10260</v>
      </c>
      <c r="C9769" t="s">
        <v>427</v>
      </c>
      <c r="D9769" s="106">
        <v>17.600000000000001</v>
      </c>
    </row>
    <row r="9770" spans="1:4">
      <c r="A9770">
        <v>38914</v>
      </c>
      <c r="B9770" t="s">
        <v>10261</v>
      </c>
      <c r="C9770" t="s">
        <v>427</v>
      </c>
      <c r="D9770" s="106">
        <v>20.420000000000002</v>
      </c>
    </row>
    <row r="9771" spans="1:4">
      <c r="A9771">
        <v>38915</v>
      </c>
      <c r="B9771" t="s">
        <v>10262</v>
      </c>
      <c r="C9771" t="s">
        <v>427</v>
      </c>
      <c r="D9771" s="106">
        <v>35.450000000000003</v>
      </c>
    </row>
    <row r="9772" spans="1:4">
      <c r="A9772">
        <v>38916</v>
      </c>
      <c r="B9772" t="s">
        <v>10263</v>
      </c>
      <c r="C9772" t="s">
        <v>427</v>
      </c>
      <c r="D9772" s="106">
        <v>46.77</v>
      </c>
    </row>
    <row r="9773" spans="1:4">
      <c r="A9773">
        <v>39300</v>
      </c>
      <c r="B9773" t="s">
        <v>10264</v>
      </c>
      <c r="C9773" t="s">
        <v>427</v>
      </c>
      <c r="D9773" s="106">
        <v>15.91</v>
      </c>
    </row>
    <row r="9774" spans="1:4">
      <c r="A9774">
        <v>39301</v>
      </c>
      <c r="B9774" t="s">
        <v>10265</v>
      </c>
      <c r="C9774" t="s">
        <v>427</v>
      </c>
      <c r="D9774" s="106">
        <v>22.07</v>
      </c>
    </row>
    <row r="9775" spans="1:4">
      <c r="A9775">
        <v>39302</v>
      </c>
      <c r="B9775" t="s">
        <v>10266</v>
      </c>
      <c r="C9775" t="s">
        <v>427</v>
      </c>
      <c r="D9775" s="106">
        <v>27.73</v>
      </c>
    </row>
    <row r="9776" spans="1:4">
      <c r="A9776">
        <v>39303</v>
      </c>
      <c r="B9776" t="s">
        <v>10267</v>
      </c>
      <c r="C9776" t="s">
        <v>427</v>
      </c>
      <c r="D9776" s="106">
        <v>48.75</v>
      </c>
    </row>
    <row r="9777" spans="1:4">
      <c r="A9777">
        <v>38923</v>
      </c>
      <c r="B9777" t="s">
        <v>10268</v>
      </c>
      <c r="C9777" t="s">
        <v>427</v>
      </c>
      <c r="D9777" s="106">
        <v>15.53</v>
      </c>
    </row>
    <row r="9778" spans="1:4">
      <c r="A9778">
        <v>38925</v>
      </c>
      <c r="B9778" t="s">
        <v>10269</v>
      </c>
      <c r="C9778" t="s">
        <v>427</v>
      </c>
      <c r="D9778" s="106">
        <v>16.690000000000001</v>
      </c>
    </row>
    <row r="9779" spans="1:4">
      <c r="A9779">
        <v>38926</v>
      </c>
      <c r="B9779" t="s">
        <v>10270</v>
      </c>
      <c r="C9779" t="s">
        <v>427</v>
      </c>
      <c r="D9779" s="106">
        <v>23.83</v>
      </c>
    </row>
    <row r="9780" spans="1:4">
      <c r="A9780">
        <v>38927</v>
      </c>
      <c r="B9780" t="s">
        <v>10271</v>
      </c>
      <c r="C9780" t="s">
        <v>427</v>
      </c>
      <c r="D9780" s="106">
        <v>25.49</v>
      </c>
    </row>
    <row r="9781" spans="1:4">
      <c r="A9781">
        <v>39304</v>
      </c>
      <c r="B9781" t="s">
        <v>10272</v>
      </c>
      <c r="C9781" t="s">
        <v>427</v>
      </c>
      <c r="D9781" s="106">
        <v>19.64</v>
      </c>
    </row>
    <row r="9782" spans="1:4">
      <c r="A9782">
        <v>38924</v>
      </c>
      <c r="B9782" t="s">
        <v>10273</v>
      </c>
      <c r="C9782" t="s">
        <v>427</v>
      </c>
      <c r="D9782" s="106">
        <v>27.99</v>
      </c>
    </row>
    <row r="9783" spans="1:4">
      <c r="A9783">
        <v>39305</v>
      </c>
      <c r="B9783" t="s">
        <v>10274</v>
      </c>
      <c r="C9783" t="s">
        <v>427</v>
      </c>
      <c r="D9783" s="106">
        <v>25.71</v>
      </c>
    </row>
    <row r="9784" spans="1:4">
      <c r="A9784">
        <v>39306</v>
      </c>
      <c r="B9784" t="s">
        <v>10275</v>
      </c>
      <c r="C9784" t="s">
        <v>427</v>
      </c>
      <c r="D9784" s="106">
        <v>32.17</v>
      </c>
    </row>
    <row r="9785" spans="1:4">
      <c r="A9785">
        <v>38928</v>
      </c>
      <c r="B9785" t="s">
        <v>10276</v>
      </c>
      <c r="C9785" t="s">
        <v>427</v>
      </c>
      <c r="D9785" s="106">
        <v>28.26</v>
      </c>
    </row>
    <row r="9786" spans="1:4">
      <c r="A9786">
        <v>38929</v>
      </c>
      <c r="B9786" t="s">
        <v>10277</v>
      </c>
      <c r="C9786" t="s">
        <v>427</v>
      </c>
      <c r="D9786" s="106">
        <v>50.1</v>
      </c>
    </row>
    <row r="9787" spans="1:4">
      <c r="A9787">
        <v>39307</v>
      </c>
      <c r="B9787" t="s">
        <v>10278</v>
      </c>
      <c r="C9787" t="s">
        <v>427</v>
      </c>
      <c r="D9787" s="106">
        <v>37.020000000000003</v>
      </c>
    </row>
    <row r="9788" spans="1:4">
      <c r="A9788">
        <v>38930</v>
      </c>
      <c r="B9788" t="s">
        <v>10279</v>
      </c>
      <c r="C9788" t="s">
        <v>427</v>
      </c>
      <c r="D9788" s="106">
        <v>62.94</v>
      </c>
    </row>
    <row r="9789" spans="1:4">
      <c r="A9789">
        <v>38931</v>
      </c>
      <c r="B9789" t="s">
        <v>10280</v>
      </c>
      <c r="C9789" t="s">
        <v>427</v>
      </c>
      <c r="D9789" s="106">
        <v>15.85</v>
      </c>
    </row>
    <row r="9790" spans="1:4">
      <c r="A9790">
        <v>38932</v>
      </c>
      <c r="B9790" t="s">
        <v>10281</v>
      </c>
      <c r="C9790" t="s">
        <v>427</v>
      </c>
      <c r="D9790" s="106">
        <v>16.010000000000002</v>
      </c>
    </row>
    <row r="9791" spans="1:4">
      <c r="A9791">
        <v>38934</v>
      </c>
      <c r="B9791" t="s">
        <v>10282</v>
      </c>
      <c r="C9791" t="s">
        <v>427</v>
      </c>
      <c r="D9791" s="106">
        <v>23.65</v>
      </c>
    </row>
    <row r="9792" spans="1:4">
      <c r="A9792">
        <v>38935</v>
      </c>
      <c r="B9792" t="s">
        <v>10283</v>
      </c>
      <c r="C9792" t="s">
        <v>427</v>
      </c>
      <c r="D9792" s="106">
        <v>25.31</v>
      </c>
    </row>
    <row r="9793" spans="1:4">
      <c r="A9793">
        <v>38936</v>
      </c>
      <c r="B9793" t="s">
        <v>10284</v>
      </c>
      <c r="C9793" t="s">
        <v>427</v>
      </c>
      <c r="D9793" s="106">
        <v>27.11</v>
      </c>
    </row>
    <row r="9794" spans="1:4">
      <c r="A9794">
        <v>38937</v>
      </c>
      <c r="B9794" t="s">
        <v>10285</v>
      </c>
      <c r="C9794" t="s">
        <v>427</v>
      </c>
      <c r="D9794" s="106">
        <v>33.04</v>
      </c>
    </row>
    <row r="9795" spans="1:4">
      <c r="A9795">
        <v>38938</v>
      </c>
      <c r="B9795" t="s">
        <v>10286</v>
      </c>
      <c r="C9795" t="s">
        <v>427</v>
      </c>
      <c r="D9795" s="106">
        <v>49.12</v>
      </c>
    </row>
    <row r="9796" spans="1:4">
      <c r="A9796">
        <v>3489</v>
      </c>
      <c r="B9796" t="s">
        <v>10287</v>
      </c>
      <c r="C9796" t="s">
        <v>427</v>
      </c>
      <c r="D9796" s="106">
        <v>14.35</v>
      </c>
    </row>
    <row r="9797" spans="1:4">
      <c r="A9797">
        <v>20151</v>
      </c>
      <c r="B9797" t="s">
        <v>10288</v>
      </c>
      <c r="C9797" t="s">
        <v>427</v>
      </c>
      <c r="D9797" s="106">
        <v>28.66</v>
      </c>
    </row>
    <row r="9798" spans="1:4">
      <c r="A9798">
        <v>20152</v>
      </c>
      <c r="B9798" t="s">
        <v>10289</v>
      </c>
      <c r="C9798" t="s">
        <v>427</v>
      </c>
      <c r="D9798" s="106">
        <v>99.73</v>
      </c>
    </row>
    <row r="9799" spans="1:4">
      <c r="A9799">
        <v>20148</v>
      </c>
      <c r="B9799" t="s">
        <v>10290</v>
      </c>
      <c r="C9799" t="s">
        <v>427</v>
      </c>
      <c r="D9799" s="106">
        <v>5.7</v>
      </c>
    </row>
    <row r="9800" spans="1:4">
      <c r="A9800">
        <v>20149</v>
      </c>
      <c r="B9800" t="s">
        <v>10291</v>
      </c>
      <c r="C9800" t="s">
        <v>427</v>
      </c>
      <c r="D9800" s="106">
        <v>8.82</v>
      </c>
    </row>
    <row r="9801" spans="1:4">
      <c r="A9801">
        <v>20150</v>
      </c>
      <c r="B9801" t="s">
        <v>10292</v>
      </c>
      <c r="C9801" t="s">
        <v>427</v>
      </c>
      <c r="D9801" s="106">
        <v>20.58</v>
      </c>
    </row>
    <row r="9802" spans="1:4">
      <c r="A9802">
        <v>20157</v>
      </c>
      <c r="B9802" t="s">
        <v>10293</v>
      </c>
      <c r="C9802" t="s">
        <v>427</v>
      </c>
      <c r="D9802" s="106">
        <v>38.67</v>
      </c>
    </row>
    <row r="9803" spans="1:4">
      <c r="A9803">
        <v>20158</v>
      </c>
      <c r="B9803" t="s">
        <v>10294</v>
      </c>
      <c r="C9803" t="s">
        <v>427</v>
      </c>
      <c r="D9803" s="106">
        <v>128.47</v>
      </c>
    </row>
    <row r="9804" spans="1:4">
      <c r="A9804">
        <v>20154</v>
      </c>
      <c r="B9804" t="s">
        <v>10295</v>
      </c>
      <c r="C9804" t="s">
        <v>427</v>
      </c>
      <c r="D9804" s="106">
        <v>7.33</v>
      </c>
    </row>
    <row r="9805" spans="1:4">
      <c r="A9805">
        <v>20155</v>
      </c>
      <c r="B9805" t="s">
        <v>10296</v>
      </c>
      <c r="C9805" t="s">
        <v>427</v>
      </c>
      <c r="D9805" s="106">
        <v>10.97</v>
      </c>
    </row>
    <row r="9806" spans="1:4">
      <c r="A9806">
        <v>20156</v>
      </c>
      <c r="B9806" t="s">
        <v>10297</v>
      </c>
      <c r="C9806" t="s">
        <v>427</v>
      </c>
      <c r="D9806" s="106">
        <v>24.69</v>
      </c>
    </row>
    <row r="9807" spans="1:4">
      <c r="A9807">
        <v>3512</v>
      </c>
      <c r="B9807" t="s">
        <v>10298</v>
      </c>
      <c r="C9807" t="s">
        <v>427</v>
      </c>
      <c r="D9807" s="106">
        <v>224.92</v>
      </c>
    </row>
    <row r="9808" spans="1:4">
      <c r="A9808">
        <v>3499</v>
      </c>
      <c r="B9808" t="s">
        <v>10299</v>
      </c>
      <c r="C9808" t="s">
        <v>427</v>
      </c>
      <c r="D9808" s="106">
        <v>0.95</v>
      </c>
    </row>
    <row r="9809" spans="1:4">
      <c r="A9809">
        <v>3500</v>
      </c>
      <c r="B9809" t="s">
        <v>10300</v>
      </c>
      <c r="C9809" t="s">
        <v>427</v>
      </c>
      <c r="D9809" s="106">
        <v>1.61</v>
      </c>
    </row>
    <row r="9810" spans="1:4">
      <c r="A9810">
        <v>3501</v>
      </c>
      <c r="B9810" t="s">
        <v>10301</v>
      </c>
      <c r="C9810" t="s">
        <v>427</v>
      </c>
      <c r="D9810" s="106">
        <v>4.66</v>
      </c>
    </row>
    <row r="9811" spans="1:4">
      <c r="A9811">
        <v>3502</v>
      </c>
      <c r="B9811" t="s">
        <v>10302</v>
      </c>
      <c r="C9811" t="s">
        <v>427</v>
      </c>
      <c r="D9811" s="106">
        <v>6.64</v>
      </c>
    </row>
    <row r="9812" spans="1:4">
      <c r="A9812">
        <v>3503</v>
      </c>
      <c r="B9812" t="s">
        <v>10303</v>
      </c>
      <c r="C9812" t="s">
        <v>427</v>
      </c>
      <c r="D9812" s="106">
        <v>7.95</v>
      </c>
    </row>
    <row r="9813" spans="1:4">
      <c r="A9813">
        <v>3477</v>
      </c>
      <c r="B9813" t="s">
        <v>10304</v>
      </c>
      <c r="C9813" t="s">
        <v>427</v>
      </c>
      <c r="D9813" s="106">
        <v>30.79</v>
      </c>
    </row>
    <row r="9814" spans="1:4">
      <c r="A9814">
        <v>3478</v>
      </c>
      <c r="B9814" t="s">
        <v>10305</v>
      </c>
      <c r="C9814" t="s">
        <v>427</v>
      </c>
      <c r="D9814" s="106">
        <v>70.739999999999995</v>
      </c>
    </row>
    <row r="9815" spans="1:4">
      <c r="A9815">
        <v>3525</v>
      </c>
      <c r="B9815" t="s">
        <v>10306</v>
      </c>
      <c r="C9815" t="s">
        <v>427</v>
      </c>
      <c r="D9815" s="106">
        <v>83.93</v>
      </c>
    </row>
    <row r="9816" spans="1:4">
      <c r="A9816">
        <v>3511</v>
      </c>
      <c r="B9816" t="s">
        <v>10307</v>
      </c>
      <c r="C9816" t="s">
        <v>427</v>
      </c>
      <c r="D9816" s="106">
        <v>98.48</v>
      </c>
    </row>
    <row r="9817" spans="1:4">
      <c r="A9817">
        <v>38917</v>
      </c>
      <c r="B9817" t="s">
        <v>10308</v>
      </c>
      <c r="C9817" t="s">
        <v>427</v>
      </c>
      <c r="D9817" s="106">
        <v>15.16</v>
      </c>
    </row>
    <row r="9818" spans="1:4">
      <c r="A9818">
        <v>38919</v>
      </c>
      <c r="B9818" t="s">
        <v>10309</v>
      </c>
      <c r="C9818" t="s">
        <v>427</v>
      </c>
      <c r="D9818" s="106">
        <v>22.56</v>
      </c>
    </row>
    <row r="9819" spans="1:4">
      <c r="A9819">
        <v>38922</v>
      </c>
      <c r="B9819" t="s">
        <v>10310</v>
      </c>
      <c r="C9819" t="s">
        <v>427</v>
      </c>
      <c r="D9819" s="106">
        <v>29.14</v>
      </c>
    </row>
    <row r="9820" spans="1:4">
      <c r="A9820">
        <v>38921</v>
      </c>
      <c r="B9820" t="s">
        <v>10311</v>
      </c>
      <c r="C9820" t="s">
        <v>427</v>
      </c>
      <c r="D9820" s="106">
        <v>36.03</v>
      </c>
    </row>
    <row r="9821" spans="1:4">
      <c r="A9821">
        <v>38918</v>
      </c>
      <c r="B9821" t="s">
        <v>10312</v>
      </c>
      <c r="C9821" t="s">
        <v>427</v>
      </c>
      <c r="D9821" s="106">
        <v>34.25</v>
      </c>
    </row>
    <row r="9822" spans="1:4">
      <c r="A9822">
        <v>38920</v>
      </c>
      <c r="B9822" t="s">
        <v>10313</v>
      </c>
      <c r="C9822" t="s">
        <v>427</v>
      </c>
      <c r="D9822" s="106">
        <v>42.81</v>
      </c>
    </row>
    <row r="9823" spans="1:4">
      <c r="A9823">
        <v>12032</v>
      </c>
      <c r="B9823" t="s">
        <v>10314</v>
      </c>
      <c r="C9823" t="s">
        <v>435</v>
      </c>
      <c r="D9823" s="106">
        <v>58.68</v>
      </c>
    </row>
    <row r="9824" spans="1:4">
      <c r="A9824">
        <v>12030</v>
      </c>
      <c r="B9824" t="s">
        <v>10315</v>
      </c>
      <c r="C9824" t="s">
        <v>435</v>
      </c>
      <c r="D9824" s="106">
        <v>55.14</v>
      </c>
    </row>
    <row r="9825" spans="1:4">
      <c r="A9825">
        <v>10908</v>
      </c>
      <c r="B9825" t="s">
        <v>10316</v>
      </c>
      <c r="C9825" t="s">
        <v>427</v>
      </c>
      <c r="D9825" s="106">
        <v>21.65</v>
      </c>
    </row>
    <row r="9826" spans="1:4">
      <c r="A9826">
        <v>10909</v>
      </c>
      <c r="B9826" t="s">
        <v>10317</v>
      </c>
      <c r="C9826" t="s">
        <v>427</v>
      </c>
      <c r="D9826" s="106">
        <v>34.53</v>
      </c>
    </row>
    <row r="9827" spans="1:4">
      <c r="A9827">
        <v>3669</v>
      </c>
      <c r="B9827" t="s">
        <v>10318</v>
      </c>
      <c r="C9827" t="s">
        <v>427</v>
      </c>
      <c r="D9827" s="106">
        <v>14.79</v>
      </c>
    </row>
    <row r="9828" spans="1:4">
      <c r="A9828">
        <v>20138</v>
      </c>
      <c r="B9828" t="s">
        <v>10319</v>
      </c>
      <c r="C9828" t="s">
        <v>427</v>
      </c>
      <c r="D9828" s="106">
        <v>73.510000000000005</v>
      </c>
    </row>
    <row r="9829" spans="1:4">
      <c r="A9829">
        <v>20139</v>
      </c>
      <c r="B9829" t="s">
        <v>10320</v>
      </c>
      <c r="C9829" t="s">
        <v>427</v>
      </c>
      <c r="D9829" s="106">
        <v>123.49</v>
      </c>
    </row>
    <row r="9830" spans="1:4">
      <c r="A9830">
        <v>3668</v>
      </c>
      <c r="B9830" t="s">
        <v>10321</v>
      </c>
      <c r="C9830" t="s">
        <v>427</v>
      </c>
      <c r="D9830" s="106">
        <v>48.96</v>
      </c>
    </row>
    <row r="9831" spans="1:4">
      <c r="A9831">
        <v>3656</v>
      </c>
      <c r="B9831" t="s">
        <v>10322</v>
      </c>
      <c r="C9831" t="s">
        <v>427</v>
      </c>
      <c r="D9831" s="106">
        <v>24.27</v>
      </c>
    </row>
    <row r="9832" spans="1:4">
      <c r="A9832">
        <v>10911</v>
      </c>
      <c r="B9832" t="s">
        <v>10323</v>
      </c>
      <c r="C9832" t="s">
        <v>427</v>
      </c>
      <c r="D9832" s="106">
        <v>26.93</v>
      </c>
    </row>
    <row r="9833" spans="1:4">
      <c r="A9833">
        <v>3654</v>
      </c>
      <c r="B9833" t="s">
        <v>10324</v>
      </c>
      <c r="C9833" t="s">
        <v>427</v>
      </c>
      <c r="D9833" s="106">
        <v>4.99</v>
      </c>
    </row>
    <row r="9834" spans="1:4">
      <c r="A9834">
        <v>3664</v>
      </c>
      <c r="B9834" t="s">
        <v>10325</v>
      </c>
      <c r="C9834" t="s">
        <v>427</v>
      </c>
      <c r="D9834" s="106">
        <v>6.2</v>
      </c>
    </row>
    <row r="9835" spans="1:4">
      <c r="A9835">
        <v>3657</v>
      </c>
      <c r="B9835" t="s">
        <v>10326</v>
      </c>
      <c r="C9835" t="s">
        <v>427</v>
      </c>
      <c r="D9835" s="106">
        <v>6.68</v>
      </c>
    </row>
    <row r="9836" spans="1:4">
      <c r="A9836">
        <v>12625</v>
      </c>
      <c r="B9836" t="s">
        <v>10327</v>
      </c>
      <c r="C9836" t="s">
        <v>427</v>
      </c>
      <c r="D9836" s="106">
        <v>10.69</v>
      </c>
    </row>
    <row r="9837" spans="1:4">
      <c r="A9837">
        <v>20136</v>
      </c>
      <c r="B9837" t="s">
        <v>10328</v>
      </c>
      <c r="C9837" t="s">
        <v>427</v>
      </c>
      <c r="D9837" s="106">
        <v>165.88</v>
      </c>
    </row>
    <row r="9838" spans="1:4">
      <c r="A9838">
        <v>20144</v>
      </c>
      <c r="B9838" t="s">
        <v>10329</v>
      </c>
      <c r="C9838" t="s">
        <v>427</v>
      </c>
      <c r="D9838" s="106">
        <v>72.86</v>
      </c>
    </row>
    <row r="9839" spans="1:4">
      <c r="A9839">
        <v>20143</v>
      </c>
      <c r="B9839" t="s">
        <v>10330</v>
      </c>
      <c r="C9839" t="s">
        <v>427</v>
      </c>
      <c r="D9839" s="106">
        <v>68.05</v>
      </c>
    </row>
    <row r="9840" spans="1:4">
      <c r="A9840">
        <v>20145</v>
      </c>
      <c r="B9840" t="s">
        <v>10331</v>
      </c>
      <c r="C9840" t="s">
        <v>427</v>
      </c>
      <c r="D9840" s="106">
        <v>193.11</v>
      </c>
    </row>
    <row r="9841" spans="1:4">
      <c r="A9841">
        <v>20146</v>
      </c>
      <c r="B9841" t="s">
        <v>10332</v>
      </c>
      <c r="C9841" t="s">
        <v>427</v>
      </c>
      <c r="D9841" s="106">
        <v>217.76</v>
      </c>
    </row>
    <row r="9842" spans="1:4">
      <c r="A9842">
        <v>20140</v>
      </c>
      <c r="B9842" t="s">
        <v>10333</v>
      </c>
      <c r="C9842" t="s">
        <v>427</v>
      </c>
      <c r="D9842" s="106">
        <v>8.67</v>
      </c>
    </row>
    <row r="9843" spans="1:4">
      <c r="A9843">
        <v>20141</v>
      </c>
      <c r="B9843" t="s">
        <v>10334</v>
      </c>
      <c r="C9843" t="s">
        <v>427</v>
      </c>
      <c r="D9843" s="106">
        <v>15.22</v>
      </c>
    </row>
    <row r="9844" spans="1:4">
      <c r="A9844">
        <v>20142</v>
      </c>
      <c r="B9844" t="s">
        <v>10335</v>
      </c>
      <c r="C9844" t="s">
        <v>427</v>
      </c>
      <c r="D9844" s="106">
        <v>46.57</v>
      </c>
    </row>
    <row r="9845" spans="1:4">
      <c r="A9845">
        <v>3659</v>
      </c>
      <c r="B9845" t="s">
        <v>10336</v>
      </c>
      <c r="C9845" t="s">
        <v>427</v>
      </c>
      <c r="D9845" s="106">
        <v>20.2</v>
      </c>
    </row>
    <row r="9846" spans="1:4">
      <c r="A9846">
        <v>3660</v>
      </c>
      <c r="B9846" t="s">
        <v>10337</v>
      </c>
      <c r="C9846" t="s">
        <v>427</v>
      </c>
      <c r="D9846" s="106">
        <v>29.11</v>
      </c>
    </row>
    <row r="9847" spans="1:4">
      <c r="A9847">
        <v>3662</v>
      </c>
      <c r="B9847" t="s">
        <v>10338</v>
      </c>
      <c r="C9847" t="s">
        <v>427</v>
      </c>
      <c r="D9847" s="106">
        <v>11</v>
      </c>
    </row>
    <row r="9848" spans="1:4">
      <c r="A9848">
        <v>3661</v>
      </c>
      <c r="B9848" t="s">
        <v>10339</v>
      </c>
      <c r="C9848" t="s">
        <v>427</v>
      </c>
      <c r="D9848" s="106">
        <v>16.18</v>
      </c>
    </row>
    <row r="9849" spans="1:4">
      <c r="A9849">
        <v>3658</v>
      </c>
      <c r="B9849" t="s">
        <v>10340</v>
      </c>
      <c r="C9849" t="s">
        <v>427</v>
      </c>
      <c r="D9849" s="106">
        <v>20.6</v>
      </c>
    </row>
    <row r="9850" spans="1:4">
      <c r="A9850">
        <v>3670</v>
      </c>
      <c r="B9850" t="s">
        <v>10341</v>
      </c>
      <c r="C9850" t="s">
        <v>427</v>
      </c>
      <c r="D9850" s="106">
        <v>26.88</v>
      </c>
    </row>
    <row r="9851" spans="1:4">
      <c r="A9851">
        <v>3666</v>
      </c>
      <c r="B9851" t="s">
        <v>10342</v>
      </c>
      <c r="C9851" t="s">
        <v>427</v>
      </c>
      <c r="D9851" s="106">
        <v>4.55</v>
      </c>
    </row>
    <row r="9852" spans="1:4">
      <c r="A9852">
        <v>14157</v>
      </c>
      <c r="B9852" t="s">
        <v>10343</v>
      </c>
      <c r="C9852" t="s">
        <v>427</v>
      </c>
      <c r="D9852" s="106">
        <v>1.28</v>
      </c>
    </row>
    <row r="9853" spans="1:4">
      <c r="A9853">
        <v>3653</v>
      </c>
      <c r="B9853" t="s">
        <v>10344</v>
      </c>
      <c r="C9853" t="s">
        <v>427</v>
      </c>
      <c r="D9853" s="106">
        <v>130.91</v>
      </c>
    </row>
    <row r="9854" spans="1:4">
      <c r="A9854">
        <v>3649</v>
      </c>
      <c r="B9854" t="s">
        <v>10345</v>
      </c>
      <c r="C9854" t="s">
        <v>427</v>
      </c>
      <c r="D9854" s="106">
        <v>271.14</v>
      </c>
    </row>
    <row r="9855" spans="1:4">
      <c r="A9855">
        <v>42696</v>
      </c>
      <c r="B9855" t="s">
        <v>10346</v>
      </c>
      <c r="C9855" t="s">
        <v>427</v>
      </c>
      <c r="D9855" s="106">
        <v>758.62</v>
      </c>
    </row>
    <row r="9856" spans="1:4">
      <c r="A9856">
        <v>42697</v>
      </c>
      <c r="B9856" t="s">
        <v>10347</v>
      </c>
      <c r="C9856" t="s">
        <v>427</v>
      </c>
      <c r="D9856" s="107">
        <v>1142.5</v>
      </c>
    </row>
    <row r="9857" spans="1:4">
      <c r="A9857">
        <v>42698</v>
      </c>
      <c r="B9857" t="s">
        <v>10348</v>
      </c>
      <c r="C9857" t="s">
        <v>427</v>
      </c>
      <c r="D9857" s="107">
        <v>1591.47</v>
      </c>
    </row>
    <row r="9858" spans="1:4">
      <c r="A9858">
        <v>39875</v>
      </c>
      <c r="B9858" t="s">
        <v>10349</v>
      </c>
      <c r="C9858" t="s">
        <v>427</v>
      </c>
      <c r="D9858" s="106">
        <v>745.93</v>
      </c>
    </row>
    <row r="9859" spans="1:4">
      <c r="A9859">
        <v>39876</v>
      </c>
      <c r="B9859" t="s">
        <v>10350</v>
      </c>
      <c r="C9859" t="s">
        <v>427</v>
      </c>
      <c r="D9859" s="106">
        <v>933.9</v>
      </c>
    </row>
    <row r="9860" spans="1:4">
      <c r="A9860">
        <v>39877</v>
      </c>
      <c r="B9860" t="s">
        <v>10351</v>
      </c>
      <c r="C9860" t="s">
        <v>427</v>
      </c>
      <c r="D9860" s="107">
        <v>1295.28</v>
      </c>
    </row>
    <row r="9861" spans="1:4">
      <c r="A9861">
        <v>39878</v>
      </c>
      <c r="B9861" t="s">
        <v>10352</v>
      </c>
      <c r="C9861" t="s">
        <v>427</v>
      </c>
      <c r="D9861" s="107">
        <v>1710.86</v>
      </c>
    </row>
    <row r="9862" spans="1:4">
      <c r="A9862">
        <v>39872</v>
      </c>
      <c r="B9862" t="s">
        <v>10353</v>
      </c>
      <c r="C9862" t="s">
        <v>427</v>
      </c>
      <c r="D9862" s="106">
        <v>511.54</v>
      </c>
    </row>
    <row r="9863" spans="1:4">
      <c r="A9863">
        <v>39873</v>
      </c>
      <c r="B9863" t="s">
        <v>10354</v>
      </c>
      <c r="C9863" t="s">
        <v>427</v>
      </c>
      <c r="D9863" s="106">
        <v>593.36</v>
      </c>
    </row>
    <row r="9864" spans="1:4">
      <c r="A9864">
        <v>39874</v>
      </c>
      <c r="B9864" t="s">
        <v>10355</v>
      </c>
      <c r="C9864" t="s">
        <v>427</v>
      </c>
      <c r="D9864" s="106">
        <v>651.72</v>
      </c>
    </row>
    <row r="9865" spans="1:4">
      <c r="A9865">
        <v>3674</v>
      </c>
      <c r="B9865" t="s">
        <v>10356</v>
      </c>
      <c r="C9865" t="s">
        <v>429</v>
      </c>
      <c r="D9865" s="106">
        <v>73.81</v>
      </c>
    </row>
    <row r="9866" spans="1:4">
      <c r="A9866">
        <v>3681</v>
      </c>
      <c r="B9866" t="s">
        <v>10357</v>
      </c>
      <c r="C9866" t="s">
        <v>429</v>
      </c>
      <c r="D9866" s="106">
        <v>109.82</v>
      </c>
    </row>
    <row r="9867" spans="1:4">
      <c r="A9867">
        <v>3676</v>
      </c>
      <c r="B9867" t="s">
        <v>10358</v>
      </c>
      <c r="C9867" t="s">
        <v>429</v>
      </c>
      <c r="D9867" s="106">
        <v>413.28</v>
      </c>
    </row>
    <row r="9868" spans="1:4">
      <c r="A9868">
        <v>3679</v>
      </c>
      <c r="B9868" t="s">
        <v>10359</v>
      </c>
      <c r="C9868" t="s">
        <v>429</v>
      </c>
      <c r="D9868" s="106">
        <v>341.92</v>
      </c>
    </row>
    <row r="9869" spans="1:4">
      <c r="A9869">
        <v>3672</v>
      </c>
      <c r="B9869" t="s">
        <v>10360</v>
      </c>
      <c r="C9869" t="s">
        <v>429</v>
      </c>
      <c r="D9869" s="106">
        <v>1.1599999999999999</v>
      </c>
    </row>
    <row r="9870" spans="1:4">
      <c r="A9870">
        <v>3671</v>
      </c>
      <c r="B9870" t="s">
        <v>10361</v>
      </c>
      <c r="C9870" t="s">
        <v>429</v>
      </c>
      <c r="D9870" s="106">
        <v>1.1000000000000001</v>
      </c>
    </row>
    <row r="9871" spans="1:4">
      <c r="A9871">
        <v>3673</v>
      </c>
      <c r="B9871" t="s">
        <v>10362</v>
      </c>
      <c r="C9871" t="s">
        <v>429</v>
      </c>
      <c r="D9871" s="106">
        <v>1.72</v>
      </c>
    </row>
    <row r="9872" spans="1:4">
      <c r="A9872">
        <v>38394</v>
      </c>
      <c r="B9872" t="s">
        <v>10363</v>
      </c>
      <c r="C9872" t="s">
        <v>427</v>
      </c>
      <c r="D9872" s="106">
        <v>323.39</v>
      </c>
    </row>
    <row r="9873" spans="1:4">
      <c r="A9873">
        <v>3729</v>
      </c>
      <c r="B9873" t="s">
        <v>10364</v>
      </c>
      <c r="C9873" t="s">
        <v>427</v>
      </c>
      <c r="D9873" s="106">
        <v>83.51</v>
      </c>
    </row>
    <row r="9874" spans="1:4">
      <c r="A9874">
        <v>39357</v>
      </c>
      <c r="B9874" t="s">
        <v>10365</v>
      </c>
      <c r="C9874" t="s">
        <v>427</v>
      </c>
      <c r="D9874" s="106">
        <v>137.72999999999999</v>
      </c>
    </row>
    <row r="9875" spans="1:4">
      <c r="A9875">
        <v>39358</v>
      </c>
      <c r="B9875" t="s">
        <v>10366</v>
      </c>
      <c r="C9875" t="s">
        <v>427</v>
      </c>
      <c r="D9875" s="106">
        <v>151.03</v>
      </c>
    </row>
    <row r="9876" spans="1:4">
      <c r="A9876">
        <v>39356</v>
      </c>
      <c r="B9876" t="s">
        <v>10367</v>
      </c>
      <c r="C9876" t="s">
        <v>427</v>
      </c>
      <c r="D9876" s="106">
        <v>257.66000000000003</v>
      </c>
    </row>
    <row r="9877" spans="1:4">
      <c r="A9877">
        <v>39355</v>
      </c>
      <c r="B9877" t="s">
        <v>10368</v>
      </c>
      <c r="C9877" t="s">
        <v>427</v>
      </c>
      <c r="D9877" s="106">
        <v>221.73</v>
      </c>
    </row>
    <row r="9878" spans="1:4">
      <c r="A9878">
        <v>39353</v>
      </c>
      <c r="B9878" t="s">
        <v>10369</v>
      </c>
      <c r="C9878" t="s">
        <v>427</v>
      </c>
      <c r="D9878" s="106">
        <v>304.06</v>
      </c>
    </row>
    <row r="9879" spans="1:4">
      <c r="A9879">
        <v>39354</v>
      </c>
      <c r="B9879" t="s">
        <v>10370</v>
      </c>
      <c r="C9879" t="s">
        <v>427</v>
      </c>
      <c r="D9879" s="106">
        <v>303.05</v>
      </c>
    </row>
    <row r="9880" spans="1:4">
      <c r="A9880">
        <v>39398</v>
      </c>
      <c r="B9880" t="s">
        <v>10371</v>
      </c>
      <c r="C9880" t="s">
        <v>427</v>
      </c>
      <c r="D9880" s="106">
        <v>81.96</v>
      </c>
    </row>
    <row r="9881" spans="1:4">
      <c r="A9881">
        <v>13343</v>
      </c>
      <c r="B9881" t="s">
        <v>10372</v>
      </c>
      <c r="C9881" t="s">
        <v>427</v>
      </c>
      <c r="D9881" s="106">
        <v>50.9</v>
      </c>
    </row>
    <row r="9882" spans="1:4">
      <c r="A9882">
        <v>12118</v>
      </c>
      <c r="B9882" t="s">
        <v>10373</v>
      </c>
      <c r="C9882" t="s">
        <v>427</v>
      </c>
      <c r="D9882" s="106">
        <v>19.420000000000002</v>
      </c>
    </row>
    <row r="9883" spans="1:4">
      <c r="A9883">
        <v>39482</v>
      </c>
      <c r="B9883" t="s">
        <v>10374</v>
      </c>
      <c r="C9883" t="s">
        <v>427</v>
      </c>
      <c r="D9883" s="106">
        <v>577.54</v>
      </c>
    </row>
    <row r="9884" spans="1:4">
      <c r="A9884">
        <v>39486</v>
      </c>
      <c r="B9884" t="s">
        <v>10375</v>
      </c>
      <c r="C9884" t="s">
        <v>427</v>
      </c>
      <c r="D9884" s="106">
        <v>471.35</v>
      </c>
    </row>
    <row r="9885" spans="1:4">
      <c r="A9885">
        <v>39484</v>
      </c>
      <c r="B9885" t="s">
        <v>10376</v>
      </c>
      <c r="C9885" t="s">
        <v>427</v>
      </c>
      <c r="D9885" s="106">
        <v>577.54</v>
      </c>
    </row>
    <row r="9886" spans="1:4">
      <c r="A9886">
        <v>39488</v>
      </c>
      <c r="B9886" t="s">
        <v>10377</v>
      </c>
      <c r="C9886" t="s">
        <v>427</v>
      </c>
      <c r="D9886" s="106">
        <v>479.07</v>
      </c>
    </row>
    <row r="9887" spans="1:4">
      <c r="A9887">
        <v>39485</v>
      </c>
      <c r="B9887" t="s">
        <v>10378</v>
      </c>
      <c r="C9887" t="s">
        <v>427</v>
      </c>
      <c r="D9887" s="106">
        <v>577.54</v>
      </c>
    </row>
    <row r="9888" spans="1:4">
      <c r="A9888">
        <v>39489</v>
      </c>
      <c r="B9888" t="s">
        <v>10379</v>
      </c>
      <c r="C9888" t="s">
        <v>427</v>
      </c>
      <c r="D9888" s="106">
        <v>487.19</v>
      </c>
    </row>
    <row r="9889" spans="1:4">
      <c r="A9889">
        <v>39490</v>
      </c>
      <c r="B9889" t="s">
        <v>10380</v>
      </c>
      <c r="C9889" t="s">
        <v>427</v>
      </c>
      <c r="D9889" s="106">
        <v>725.98</v>
      </c>
    </row>
    <row r="9890" spans="1:4">
      <c r="A9890">
        <v>39494</v>
      </c>
      <c r="B9890" t="s">
        <v>10381</v>
      </c>
      <c r="C9890" t="s">
        <v>427</v>
      </c>
      <c r="D9890" s="106">
        <v>521.30999999999995</v>
      </c>
    </row>
    <row r="9891" spans="1:4">
      <c r="A9891">
        <v>39495</v>
      </c>
      <c r="B9891" t="s">
        <v>10382</v>
      </c>
      <c r="C9891" t="s">
        <v>427</v>
      </c>
      <c r="D9891" s="106">
        <v>587.45000000000005</v>
      </c>
    </row>
    <row r="9892" spans="1:4">
      <c r="A9892">
        <v>39496</v>
      </c>
      <c r="B9892" t="s">
        <v>10383</v>
      </c>
      <c r="C9892" t="s">
        <v>427</v>
      </c>
      <c r="D9892" s="106">
        <v>646.19000000000005</v>
      </c>
    </row>
    <row r="9893" spans="1:4">
      <c r="A9893">
        <v>39492</v>
      </c>
      <c r="B9893" t="s">
        <v>10384</v>
      </c>
      <c r="C9893" t="s">
        <v>427</v>
      </c>
      <c r="D9893" s="106">
        <v>748.12</v>
      </c>
    </row>
    <row r="9894" spans="1:4">
      <c r="A9894">
        <v>39497</v>
      </c>
      <c r="B9894" t="s">
        <v>10385</v>
      </c>
      <c r="C9894" t="s">
        <v>427</v>
      </c>
      <c r="D9894" s="106">
        <v>675.75</v>
      </c>
    </row>
    <row r="9895" spans="1:4">
      <c r="A9895">
        <v>39493</v>
      </c>
      <c r="B9895" t="s">
        <v>10386</v>
      </c>
      <c r="C9895" t="s">
        <v>427</v>
      </c>
      <c r="D9895" s="106">
        <v>802.42</v>
      </c>
    </row>
    <row r="9896" spans="1:4">
      <c r="A9896">
        <v>39500</v>
      </c>
      <c r="B9896" t="s">
        <v>10387</v>
      </c>
      <c r="C9896" t="s">
        <v>427</v>
      </c>
      <c r="D9896" s="106">
        <v>875.51</v>
      </c>
    </row>
    <row r="9897" spans="1:4">
      <c r="A9897">
        <v>39498</v>
      </c>
      <c r="B9897" t="s">
        <v>10388</v>
      </c>
      <c r="C9897" t="s">
        <v>427</v>
      </c>
      <c r="D9897" s="107">
        <v>1079.8</v>
      </c>
    </row>
    <row r="9898" spans="1:4">
      <c r="A9898">
        <v>43628</v>
      </c>
      <c r="B9898" t="s">
        <v>10389</v>
      </c>
      <c r="C9898" t="s">
        <v>427</v>
      </c>
      <c r="D9898" s="106">
        <v>851.11</v>
      </c>
    </row>
    <row r="9899" spans="1:4">
      <c r="A9899">
        <v>39501</v>
      </c>
      <c r="B9899" t="s">
        <v>10390</v>
      </c>
      <c r="C9899" t="s">
        <v>427</v>
      </c>
      <c r="D9899" s="106">
        <v>899.22</v>
      </c>
    </row>
    <row r="9900" spans="1:4">
      <c r="A9900">
        <v>39499</v>
      </c>
      <c r="B9900" t="s">
        <v>10391</v>
      </c>
      <c r="C9900" t="s">
        <v>427</v>
      </c>
      <c r="D9900" s="107">
        <v>1095.1300000000001</v>
      </c>
    </row>
    <row r="9901" spans="1:4">
      <c r="A9901">
        <v>43621</v>
      </c>
      <c r="B9901" t="s">
        <v>10392</v>
      </c>
      <c r="C9901" t="s">
        <v>427</v>
      </c>
      <c r="D9901" s="106">
        <v>904.31</v>
      </c>
    </row>
    <row r="9902" spans="1:4">
      <c r="A9902">
        <v>3733</v>
      </c>
      <c r="B9902" t="s">
        <v>10393</v>
      </c>
      <c r="C9902" t="s">
        <v>426</v>
      </c>
      <c r="D9902" s="106">
        <v>63.51</v>
      </c>
    </row>
    <row r="9903" spans="1:4">
      <c r="A9903">
        <v>3731</v>
      </c>
      <c r="B9903" t="s">
        <v>10394</v>
      </c>
      <c r="C9903" t="s">
        <v>426</v>
      </c>
      <c r="D9903" s="106">
        <v>58.95</v>
      </c>
    </row>
    <row r="9904" spans="1:4">
      <c r="A9904">
        <v>38137</v>
      </c>
      <c r="B9904" t="s">
        <v>10395</v>
      </c>
      <c r="C9904" t="s">
        <v>426</v>
      </c>
      <c r="D9904" s="106">
        <v>59.3</v>
      </c>
    </row>
    <row r="9905" spans="1:4">
      <c r="A9905">
        <v>38135</v>
      </c>
      <c r="B9905" t="s">
        <v>10396</v>
      </c>
      <c r="C9905" t="s">
        <v>426</v>
      </c>
      <c r="D9905" s="106">
        <v>75.17</v>
      </c>
    </row>
    <row r="9906" spans="1:4">
      <c r="A9906">
        <v>38138</v>
      </c>
      <c r="B9906" t="s">
        <v>10397</v>
      </c>
      <c r="C9906" t="s">
        <v>426</v>
      </c>
      <c r="D9906" s="106">
        <v>58.23</v>
      </c>
    </row>
    <row r="9907" spans="1:4">
      <c r="A9907">
        <v>3736</v>
      </c>
      <c r="B9907" t="s">
        <v>10398</v>
      </c>
      <c r="C9907" t="s">
        <v>426</v>
      </c>
      <c r="D9907" s="106">
        <v>69.3</v>
      </c>
    </row>
    <row r="9908" spans="1:4">
      <c r="A9908">
        <v>3741</v>
      </c>
      <c r="B9908" t="s">
        <v>10399</v>
      </c>
      <c r="C9908" t="s">
        <v>426</v>
      </c>
      <c r="D9908" s="106">
        <v>72.239999999999995</v>
      </c>
    </row>
    <row r="9909" spans="1:4">
      <c r="A9909">
        <v>3745</v>
      </c>
      <c r="B9909" t="s">
        <v>10400</v>
      </c>
      <c r="C9909" t="s">
        <v>426</v>
      </c>
      <c r="D9909" s="106">
        <v>77.89</v>
      </c>
    </row>
    <row r="9910" spans="1:4">
      <c r="A9910">
        <v>3743</v>
      </c>
      <c r="B9910" t="s">
        <v>10401</v>
      </c>
      <c r="C9910" t="s">
        <v>426</v>
      </c>
      <c r="D9910" s="106">
        <v>71.98</v>
      </c>
    </row>
    <row r="9911" spans="1:4">
      <c r="A9911">
        <v>3744</v>
      </c>
      <c r="B9911" t="s">
        <v>10402</v>
      </c>
      <c r="C9911" t="s">
        <v>426</v>
      </c>
      <c r="D9911" s="106">
        <v>79.23</v>
      </c>
    </row>
    <row r="9912" spans="1:4">
      <c r="A9912">
        <v>3739</v>
      </c>
      <c r="B9912" t="s">
        <v>10403</v>
      </c>
      <c r="C9912" t="s">
        <v>426</v>
      </c>
      <c r="D9912" s="106">
        <v>83.26</v>
      </c>
    </row>
    <row r="9913" spans="1:4">
      <c r="A9913">
        <v>3737</v>
      </c>
      <c r="B9913" t="s">
        <v>10404</v>
      </c>
      <c r="C9913" t="s">
        <v>426</v>
      </c>
      <c r="D9913" s="106">
        <v>87.29</v>
      </c>
    </row>
    <row r="9914" spans="1:4">
      <c r="A9914">
        <v>3738</v>
      </c>
      <c r="B9914" t="s">
        <v>10405</v>
      </c>
      <c r="C9914" t="s">
        <v>426</v>
      </c>
      <c r="D9914" s="106">
        <v>100.72</v>
      </c>
    </row>
    <row r="9915" spans="1:4">
      <c r="A9915">
        <v>3747</v>
      </c>
      <c r="B9915" t="s">
        <v>10406</v>
      </c>
      <c r="C9915" t="s">
        <v>426</v>
      </c>
      <c r="D9915" s="106">
        <v>79.23</v>
      </c>
    </row>
    <row r="9916" spans="1:4">
      <c r="A9916">
        <v>11649</v>
      </c>
      <c r="B9916" t="s">
        <v>10407</v>
      </c>
      <c r="C9916" t="s">
        <v>427</v>
      </c>
      <c r="D9916" s="106">
        <v>574.80999999999995</v>
      </c>
    </row>
    <row r="9917" spans="1:4">
      <c r="A9917">
        <v>11650</v>
      </c>
      <c r="B9917" t="s">
        <v>10408</v>
      </c>
      <c r="C9917" t="s">
        <v>427</v>
      </c>
      <c r="D9917" s="106">
        <v>979.73</v>
      </c>
    </row>
    <row r="9918" spans="1:4">
      <c r="A9918">
        <v>3742</v>
      </c>
      <c r="B9918" t="s">
        <v>10409</v>
      </c>
      <c r="C9918" t="s">
        <v>426</v>
      </c>
      <c r="D9918" s="106">
        <v>104.48</v>
      </c>
    </row>
    <row r="9919" spans="1:4">
      <c r="A9919">
        <v>3746</v>
      </c>
      <c r="B9919" t="s">
        <v>10410</v>
      </c>
      <c r="C9919" t="s">
        <v>426</v>
      </c>
      <c r="D9919" s="106">
        <v>122</v>
      </c>
    </row>
    <row r="9920" spans="1:4">
      <c r="A9920">
        <v>21106</v>
      </c>
      <c r="B9920" t="s">
        <v>10411</v>
      </c>
      <c r="C9920" t="s">
        <v>430</v>
      </c>
      <c r="D9920" s="106">
        <v>47.28</v>
      </c>
    </row>
    <row r="9921" spans="1:4">
      <c r="A9921">
        <v>3755</v>
      </c>
      <c r="B9921" t="s">
        <v>10412</v>
      </c>
      <c r="C9921" t="s">
        <v>427</v>
      </c>
      <c r="D9921" s="106">
        <v>17.55</v>
      </c>
    </row>
    <row r="9922" spans="1:4">
      <c r="A9922">
        <v>3750</v>
      </c>
      <c r="B9922" t="s">
        <v>10413</v>
      </c>
      <c r="C9922" t="s">
        <v>427</v>
      </c>
      <c r="D9922" s="106">
        <v>23.6</v>
      </c>
    </row>
    <row r="9923" spans="1:4">
      <c r="A9923">
        <v>3756</v>
      </c>
      <c r="B9923" t="s">
        <v>10414</v>
      </c>
      <c r="C9923" t="s">
        <v>427</v>
      </c>
      <c r="D9923" s="106">
        <v>44.1</v>
      </c>
    </row>
    <row r="9924" spans="1:4">
      <c r="A9924">
        <v>39377</v>
      </c>
      <c r="B9924" t="s">
        <v>10415</v>
      </c>
      <c r="C9924" t="s">
        <v>427</v>
      </c>
      <c r="D9924" s="106">
        <v>130.63999999999999</v>
      </c>
    </row>
    <row r="9925" spans="1:4">
      <c r="A9925">
        <v>38191</v>
      </c>
      <c r="B9925" t="s">
        <v>10416</v>
      </c>
      <c r="C9925" t="s">
        <v>427</v>
      </c>
      <c r="D9925" s="106">
        <v>9.7200000000000006</v>
      </c>
    </row>
    <row r="9926" spans="1:4">
      <c r="A9926">
        <v>39381</v>
      </c>
      <c r="B9926" t="s">
        <v>10417</v>
      </c>
      <c r="C9926" t="s">
        <v>427</v>
      </c>
      <c r="D9926" s="106">
        <v>9.07</v>
      </c>
    </row>
    <row r="9927" spans="1:4">
      <c r="A9927">
        <v>38780</v>
      </c>
      <c r="B9927" t="s">
        <v>10418</v>
      </c>
      <c r="C9927" t="s">
        <v>427</v>
      </c>
      <c r="D9927" s="106">
        <v>11.1</v>
      </c>
    </row>
    <row r="9928" spans="1:4">
      <c r="A9928">
        <v>38781</v>
      </c>
      <c r="B9928" t="s">
        <v>10419</v>
      </c>
      <c r="C9928" t="s">
        <v>427</v>
      </c>
      <c r="D9928" s="106">
        <v>37.47</v>
      </c>
    </row>
    <row r="9929" spans="1:4">
      <c r="A9929">
        <v>38192</v>
      </c>
      <c r="B9929" t="s">
        <v>10420</v>
      </c>
      <c r="C9929" t="s">
        <v>427</v>
      </c>
      <c r="D9929" s="106">
        <v>67.8</v>
      </c>
    </row>
    <row r="9930" spans="1:4">
      <c r="A9930">
        <v>3753</v>
      </c>
      <c r="B9930" t="s">
        <v>10421</v>
      </c>
      <c r="C9930" t="s">
        <v>427</v>
      </c>
      <c r="D9930" s="106">
        <v>5.93</v>
      </c>
    </row>
    <row r="9931" spans="1:4">
      <c r="A9931">
        <v>38782</v>
      </c>
      <c r="B9931" t="s">
        <v>10422</v>
      </c>
      <c r="C9931" t="s">
        <v>427</v>
      </c>
      <c r="D9931" s="106">
        <v>7.72</v>
      </c>
    </row>
    <row r="9932" spans="1:4">
      <c r="A9932">
        <v>38778</v>
      </c>
      <c r="B9932" t="s">
        <v>10423</v>
      </c>
      <c r="C9932" t="s">
        <v>427</v>
      </c>
      <c r="D9932" s="106">
        <v>5.8</v>
      </c>
    </row>
    <row r="9933" spans="1:4">
      <c r="A9933">
        <v>38779</v>
      </c>
      <c r="B9933" t="s">
        <v>10424</v>
      </c>
      <c r="C9933" t="s">
        <v>427</v>
      </c>
      <c r="D9933" s="106">
        <v>6.15</v>
      </c>
    </row>
    <row r="9934" spans="1:4">
      <c r="A9934">
        <v>39388</v>
      </c>
      <c r="B9934" t="s">
        <v>10425</v>
      </c>
      <c r="C9934" t="s">
        <v>427</v>
      </c>
      <c r="D9934" s="106">
        <v>9.15</v>
      </c>
    </row>
    <row r="9935" spans="1:4">
      <c r="A9935">
        <v>39387</v>
      </c>
      <c r="B9935" t="s">
        <v>10426</v>
      </c>
      <c r="C9935" t="s">
        <v>427</v>
      </c>
      <c r="D9935" s="106">
        <v>14.26</v>
      </c>
    </row>
    <row r="9936" spans="1:4">
      <c r="A9936">
        <v>39386</v>
      </c>
      <c r="B9936" t="s">
        <v>10427</v>
      </c>
      <c r="C9936" t="s">
        <v>427</v>
      </c>
      <c r="D9936" s="106">
        <v>9.94</v>
      </c>
    </row>
    <row r="9937" spans="1:4">
      <c r="A9937">
        <v>38194</v>
      </c>
      <c r="B9937" t="s">
        <v>10428</v>
      </c>
      <c r="C9937" t="s">
        <v>427</v>
      </c>
      <c r="D9937" s="106">
        <v>7.44</v>
      </c>
    </row>
    <row r="9938" spans="1:4">
      <c r="A9938">
        <v>38193</v>
      </c>
      <c r="B9938" t="s">
        <v>10429</v>
      </c>
      <c r="C9938" t="s">
        <v>427</v>
      </c>
      <c r="D9938" s="106">
        <v>6.46</v>
      </c>
    </row>
    <row r="9939" spans="1:4">
      <c r="A9939">
        <v>12216</v>
      </c>
      <c r="B9939" t="s">
        <v>10430</v>
      </c>
      <c r="C9939" t="s">
        <v>427</v>
      </c>
      <c r="D9939" s="106">
        <v>33.909999999999997</v>
      </c>
    </row>
    <row r="9940" spans="1:4">
      <c r="A9940">
        <v>3757</v>
      </c>
      <c r="B9940" t="s">
        <v>10431</v>
      </c>
      <c r="C9940" t="s">
        <v>427</v>
      </c>
      <c r="D9940" s="106">
        <v>39.200000000000003</v>
      </c>
    </row>
    <row r="9941" spans="1:4">
      <c r="A9941">
        <v>3758</v>
      </c>
      <c r="B9941" t="s">
        <v>10432</v>
      </c>
      <c r="C9941" t="s">
        <v>427</v>
      </c>
      <c r="D9941" s="106">
        <v>45.71</v>
      </c>
    </row>
    <row r="9942" spans="1:4">
      <c r="A9942">
        <v>12214</v>
      </c>
      <c r="B9942" t="s">
        <v>10433</v>
      </c>
      <c r="C9942" t="s">
        <v>427</v>
      </c>
      <c r="D9942" s="106">
        <v>15.65</v>
      </c>
    </row>
    <row r="9943" spans="1:4">
      <c r="A9943">
        <v>3749</v>
      </c>
      <c r="B9943" t="s">
        <v>10434</v>
      </c>
      <c r="C9943" t="s">
        <v>427</v>
      </c>
      <c r="D9943" s="106">
        <v>27.9</v>
      </c>
    </row>
    <row r="9944" spans="1:4">
      <c r="A9944">
        <v>3751</v>
      </c>
      <c r="B9944" t="s">
        <v>10435</v>
      </c>
      <c r="C9944" t="s">
        <v>427</v>
      </c>
      <c r="D9944" s="106">
        <v>38.07</v>
      </c>
    </row>
    <row r="9945" spans="1:4">
      <c r="A9945">
        <v>39376</v>
      </c>
      <c r="B9945" t="s">
        <v>10436</v>
      </c>
      <c r="C9945" t="s">
        <v>427</v>
      </c>
      <c r="D9945" s="106">
        <v>32.1</v>
      </c>
    </row>
    <row r="9946" spans="1:4">
      <c r="A9946">
        <v>3752</v>
      </c>
      <c r="B9946" t="s">
        <v>10437</v>
      </c>
      <c r="C9946" t="s">
        <v>427</v>
      </c>
      <c r="D9946" s="106">
        <v>62.81</v>
      </c>
    </row>
    <row r="9947" spans="1:4">
      <c r="A9947">
        <v>746</v>
      </c>
      <c r="B9947" t="s">
        <v>10438</v>
      </c>
      <c r="C9947" t="s">
        <v>427</v>
      </c>
      <c r="D9947" s="107">
        <v>3300</v>
      </c>
    </row>
    <row r="9948" spans="1:4">
      <c r="A9948">
        <v>20269</v>
      </c>
      <c r="B9948" t="s">
        <v>10439</v>
      </c>
      <c r="C9948" t="s">
        <v>427</v>
      </c>
      <c r="D9948" s="106">
        <v>88.63</v>
      </c>
    </row>
    <row r="9949" spans="1:4">
      <c r="A9949">
        <v>20270</v>
      </c>
      <c r="B9949" t="s">
        <v>10440</v>
      </c>
      <c r="C9949" t="s">
        <v>427</v>
      </c>
      <c r="D9949" s="106">
        <v>97.94</v>
      </c>
    </row>
    <row r="9950" spans="1:4">
      <c r="A9950">
        <v>11696</v>
      </c>
      <c r="B9950" t="s">
        <v>10441</v>
      </c>
      <c r="C9950" t="s">
        <v>427</v>
      </c>
      <c r="D9950" s="106">
        <v>156.77000000000001</v>
      </c>
    </row>
    <row r="9951" spans="1:4">
      <c r="A9951">
        <v>10427</v>
      </c>
      <c r="B9951" t="s">
        <v>10442</v>
      </c>
      <c r="C9951" t="s">
        <v>427</v>
      </c>
      <c r="D9951" s="106">
        <v>438.72</v>
      </c>
    </row>
    <row r="9952" spans="1:4">
      <c r="A9952">
        <v>10428</v>
      </c>
      <c r="B9952" t="s">
        <v>10443</v>
      </c>
      <c r="C9952" t="s">
        <v>427</v>
      </c>
      <c r="D9952" s="106">
        <v>452.02</v>
      </c>
    </row>
    <row r="9953" spans="1:4">
      <c r="A9953">
        <v>36521</v>
      </c>
      <c r="B9953" t="s">
        <v>10444</v>
      </c>
      <c r="C9953" t="s">
        <v>427</v>
      </c>
      <c r="D9953" s="106">
        <v>141.04</v>
      </c>
    </row>
    <row r="9954" spans="1:4">
      <c r="A9954">
        <v>36794</v>
      </c>
      <c r="B9954" t="s">
        <v>10445</v>
      </c>
      <c r="C9954" t="s">
        <v>427</v>
      </c>
      <c r="D9954" s="106">
        <v>150.13999999999999</v>
      </c>
    </row>
    <row r="9955" spans="1:4">
      <c r="A9955">
        <v>10426</v>
      </c>
      <c r="B9955" t="s">
        <v>10446</v>
      </c>
      <c r="C9955" t="s">
        <v>427</v>
      </c>
      <c r="D9955" s="106">
        <v>168.13</v>
      </c>
    </row>
    <row r="9956" spans="1:4">
      <c r="A9956">
        <v>10425</v>
      </c>
      <c r="B9956" t="s">
        <v>10447</v>
      </c>
      <c r="C9956" t="s">
        <v>427</v>
      </c>
      <c r="D9956" s="106">
        <v>85.29</v>
      </c>
    </row>
    <row r="9957" spans="1:4">
      <c r="A9957">
        <v>10431</v>
      </c>
      <c r="B9957" t="s">
        <v>10448</v>
      </c>
      <c r="C9957" t="s">
        <v>427</v>
      </c>
      <c r="D9957" s="106">
        <v>292.02</v>
      </c>
    </row>
    <row r="9958" spans="1:4">
      <c r="A9958">
        <v>10429</v>
      </c>
      <c r="B9958" t="s">
        <v>10449</v>
      </c>
      <c r="C9958" t="s">
        <v>427</v>
      </c>
      <c r="D9958" s="106">
        <v>144.06</v>
      </c>
    </row>
    <row r="9959" spans="1:4">
      <c r="A9959">
        <v>2354</v>
      </c>
      <c r="B9959" t="s">
        <v>10450</v>
      </c>
      <c r="C9959" t="s">
        <v>432</v>
      </c>
      <c r="D9959" s="106">
        <v>10.55</v>
      </c>
    </row>
    <row r="9960" spans="1:4">
      <c r="A9960">
        <v>40932</v>
      </c>
      <c r="B9960" t="s">
        <v>10451</v>
      </c>
      <c r="C9960" t="s">
        <v>433</v>
      </c>
      <c r="D9960" s="107">
        <v>1864.99</v>
      </c>
    </row>
    <row r="9961" spans="1:4">
      <c r="A9961">
        <v>10853</v>
      </c>
      <c r="B9961" t="s">
        <v>10452</v>
      </c>
      <c r="C9961" t="s">
        <v>427</v>
      </c>
      <c r="D9961" s="106">
        <v>116.49</v>
      </c>
    </row>
    <row r="9962" spans="1:4">
      <c r="A9962">
        <v>5093</v>
      </c>
      <c r="B9962" t="s">
        <v>10453</v>
      </c>
      <c r="C9962" t="s">
        <v>434</v>
      </c>
      <c r="D9962" s="106">
        <v>18.649999999999999</v>
      </c>
    </row>
    <row r="9963" spans="1:4">
      <c r="A9963">
        <v>44331</v>
      </c>
      <c r="B9963" t="s">
        <v>10454</v>
      </c>
      <c r="C9963" t="s">
        <v>428</v>
      </c>
      <c r="D9963" s="106">
        <v>34.44</v>
      </c>
    </row>
    <row r="9964" spans="1:4">
      <c r="A9964">
        <v>37768</v>
      </c>
      <c r="B9964" t="s">
        <v>10455</v>
      </c>
      <c r="C9964" t="s">
        <v>427</v>
      </c>
      <c r="D9964" s="107">
        <v>221500</v>
      </c>
    </row>
    <row r="9965" spans="1:4">
      <c r="A9965">
        <v>37773</v>
      </c>
      <c r="B9965" t="s">
        <v>10456</v>
      </c>
      <c r="C9965" t="s">
        <v>427</v>
      </c>
      <c r="D9965" s="107">
        <v>188090.84</v>
      </c>
    </row>
    <row r="9966" spans="1:4">
      <c r="A9966">
        <v>37769</v>
      </c>
      <c r="B9966" t="s">
        <v>10457</v>
      </c>
      <c r="C9966" t="s">
        <v>427</v>
      </c>
      <c r="D9966" s="107">
        <v>314887.76</v>
      </c>
    </row>
    <row r="9967" spans="1:4">
      <c r="A9967">
        <v>37770</v>
      </c>
      <c r="B9967" t="s">
        <v>10458</v>
      </c>
      <c r="C9967" t="s">
        <v>427</v>
      </c>
      <c r="D9967" s="107">
        <v>534414.77</v>
      </c>
    </row>
    <row r="9968" spans="1:4">
      <c r="A9968">
        <v>38382</v>
      </c>
      <c r="B9968" t="s">
        <v>10459</v>
      </c>
      <c r="C9968" t="s">
        <v>427</v>
      </c>
      <c r="D9968" s="106">
        <v>11.77</v>
      </c>
    </row>
    <row r="9969" spans="1:4">
      <c r="A9969">
        <v>38383</v>
      </c>
      <c r="B9969" t="s">
        <v>10460</v>
      </c>
      <c r="C9969" t="s">
        <v>427</v>
      </c>
      <c r="D9969" s="106">
        <v>2.2000000000000002</v>
      </c>
    </row>
    <row r="9970" spans="1:4">
      <c r="A9970">
        <v>3768</v>
      </c>
      <c r="B9970" t="s">
        <v>10461</v>
      </c>
      <c r="C9970" t="s">
        <v>427</v>
      </c>
      <c r="D9970" s="106">
        <v>3.36</v>
      </c>
    </row>
    <row r="9971" spans="1:4">
      <c r="A9971">
        <v>3767</v>
      </c>
      <c r="B9971" t="s">
        <v>13458</v>
      </c>
      <c r="C9971" t="s">
        <v>427</v>
      </c>
      <c r="D9971" s="106">
        <v>1.1200000000000001</v>
      </c>
    </row>
    <row r="9972" spans="1:4">
      <c r="A9972">
        <v>13192</v>
      </c>
      <c r="B9972" t="s">
        <v>10462</v>
      </c>
      <c r="C9972" t="s">
        <v>427</v>
      </c>
      <c r="D9972" s="107">
        <v>7324.8</v>
      </c>
    </row>
    <row r="9973" spans="1:4">
      <c r="A9973">
        <v>38413</v>
      </c>
      <c r="B9973" t="s">
        <v>10463</v>
      </c>
      <c r="C9973" t="s">
        <v>427</v>
      </c>
      <c r="D9973" s="107">
        <v>1211.4100000000001</v>
      </c>
    </row>
    <row r="9974" spans="1:4">
      <c r="A9974">
        <v>42440</v>
      </c>
      <c r="B9974" t="s">
        <v>10464</v>
      </c>
      <c r="C9974" t="s">
        <v>427</v>
      </c>
      <c r="D9974" s="107">
        <v>1213.5999999999999</v>
      </c>
    </row>
    <row r="9975" spans="1:4">
      <c r="A9975">
        <v>20193</v>
      </c>
      <c r="B9975" t="s">
        <v>10465</v>
      </c>
      <c r="C9975" t="s">
        <v>442</v>
      </c>
      <c r="D9975" s="106">
        <v>7.49</v>
      </c>
    </row>
    <row r="9976" spans="1:4">
      <c r="A9976">
        <v>10527</v>
      </c>
      <c r="B9976" t="s">
        <v>10466</v>
      </c>
      <c r="C9976" t="s">
        <v>443</v>
      </c>
      <c r="D9976" s="106">
        <v>22.5</v>
      </c>
    </row>
    <row r="9977" spans="1:4">
      <c r="A9977">
        <v>41805</v>
      </c>
      <c r="B9977" t="s">
        <v>10467</v>
      </c>
      <c r="C9977" t="s">
        <v>433</v>
      </c>
      <c r="D9977" s="106">
        <v>502.55</v>
      </c>
    </row>
    <row r="9978" spans="1:4">
      <c r="A9978">
        <v>40271</v>
      </c>
      <c r="B9978" t="s">
        <v>10468</v>
      </c>
      <c r="C9978" t="s">
        <v>433</v>
      </c>
      <c r="D9978" s="106">
        <v>14.62</v>
      </c>
    </row>
    <row r="9979" spans="1:4">
      <c r="A9979">
        <v>40287</v>
      </c>
      <c r="B9979" t="s">
        <v>10469</v>
      </c>
      <c r="C9979" t="s">
        <v>433</v>
      </c>
      <c r="D9979" s="106">
        <v>5.62</v>
      </c>
    </row>
    <row r="9980" spans="1:4">
      <c r="A9980">
        <v>4084</v>
      </c>
      <c r="B9980" t="s">
        <v>13459</v>
      </c>
      <c r="C9980" t="s">
        <v>432</v>
      </c>
      <c r="D9980" s="106">
        <v>2.14</v>
      </c>
    </row>
    <row r="9981" spans="1:4">
      <c r="A9981">
        <v>743</v>
      </c>
      <c r="B9981" t="s">
        <v>13460</v>
      </c>
      <c r="C9981" t="s">
        <v>432</v>
      </c>
      <c r="D9981" s="106">
        <v>2.14</v>
      </c>
    </row>
    <row r="9982" spans="1:4">
      <c r="A9982">
        <v>40293</v>
      </c>
      <c r="B9982" t="s">
        <v>13461</v>
      </c>
      <c r="C9982" t="s">
        <v>432</v>
      </c>
      <c r="D9982" s="106">
        <v>2.56</v>
      </c>
    </row>
    <row r="9983" spans="1:4">
      <c r="A9983">
        <v>40294</v>
      </c>
      <c r="B9983" t="s">
        <v>13462</v>
      </c>
      <c r="C9983" t="s">
        <v>432</v>
      </c>
      <c r="D9983" s="106">
        <v>2.14</v>
      </c>
    </row>
    <row r="9984" spans="1:4">
      <c r="A9984">
        <v>4085</v>
      </c>
      <c r="B9984" t="s">
        <v>13463</v>
      </c>
      <c r="C9984" t="s">
        <v>432</v>
      </c>
      <c r="D9984" s="106">
        <v>2.99</v>
      </c>
    </row>
    <row r="9985" spans="1:4">
      <c r="A9985">
        <v>10779</v>
      </c>
      <c r="B9985" t="s">
        <v>20484</v>
      </c>
      <c r="C9985" t="s">
        <v>433</v>
      </c>
      <c r="D9985" s="106">
        <v>945</v>
      </c>
    </row>
    <row r="9986" spans="1:4">
      <c r="A9986">
        <v>10777</v>
      </c>
      <c r="B9986" t="s">
        <v>20485</v>
      </c>
      <c r="C9986" t="s">
        <v>433</v>
      </c>
      <c r="D9986" s="106">
        <v>858.37</v>
      </c>
    </row>
    <row r="9987" spans="1:4">
      <c r="A9987">
        <v>10775</v>
      </c>
      <c r="B9987" t="s">
        <v>20486</v>
      </c>
      <c r="C9987" t="s">
        <v>433</v>
      </c>
      <c r="D9987" s="106">
        <v>756</v>
      </c>
    </row>
    <row r="9988" spans="1:4">
      <c r="A9988">
        <v>10776</v>
      </c>
      <c r="B9988" t="s">
        <v>20487</v>
      </c>
      <c r="C9988" t="s">
        <v>433</v>
      </c>
      <c r="D9988" s="106">
        <v>590.62</v>
      </c>
    </row>
    <row r="9989" spans="1:4">
      <c r="A9989">
        <v>10778</v>
      </c>
      <c r="B9989" t="s">
        <v>20488</v>
      </c>
      <c r="C9989" t="s">
        <v>433</v>
      </c>
      <c r="D9989" s="106">
        <v>945</v>
      </c>
    </row>
    <row r="9990" spans="1:4">
      <c r="A9990">
        <v>40339</v>
      </c>
      <c r="B9990" t="s">
        <v>10470</v>
      </c>
      <c r="C9990" t="s">
        <v>433</v>
      </c>
      <c r="D9990" s="106">
        <v>5.62</v>
      </c>
    </row>
    <row r="9991" spans="1:4">
      <c r="A9991">
        <v>10749</v>
      </c>
      <c r="B9991" t="s">
        <v>10471</v>
      </c>
      <c r="C9991" t="s">
        <v>433</v>
      </c>
      <c r="D9991" s="106">
        <v>10.31</v>
      </c>
    </row>
    <row r="9992" spans="1:4">
      <c r="A9992">
        <v>40290</v>
      </c>
      <c r="B9992" t="s">
        <v>10472</v>
      </c>
      <c r="C9992" t="s">
        <v>433</v>
      </c>
      <c r="D9992" s="106">
        <v>14.85</v>
      </c>
    </row>
    <row r="9993" spans="1:4">
      <c r="A9993">
        <v>3346</v>
      </c>
      <c r="B9993" t="s">
        <v>10473</v>
      </c>
      <c r="C9993" t="s">
        <v>432</v>
      </c>
      <c r="D9993" s="106">
        <v>15.75</v>
      </c>
    </row>
    <row r="9994" spans="1:4">
      <c r="A9994">
        <v>3348</v>
      </c>
      <c r="B9994" t="s">
        <v>10474</v>
      </c>
      <c r="C9994" t="s">
        <v>432</v>
      </c>
      <c r="D9994" s="106">
        <v>18.84</v>
      </c>
    </row>
    <row r="9995" spans="1:4">
      <c r="A9995">
        <v>39833</v>
      </c>
      <c r="B9995" t="s">
        <v>10475</v>
      </c>
      <c r="C9995" t="s">
        <v>432</v>
      </c>
      <c r="D9995" s="106">
        <v>25.81</v>
      </c>
    </row>
    <row r="9996" spans="1:4">
      <c r="A9996">
        <v>7252</v>
      </c>
      <c r="B9996" t="s">
        <v>10476</v>
      </c>
      <c r="C9996" t="s">
        <v>432</v>
      </c>
      <c r="D9996" s="106">
        <v>2.25</v>
      </c>
    </row>
    <row r="9997" spans="1:4">
      <c r="A9997">
        <v>7247</v>
      </c>
      <c r="B9997" t="s">
        <v>10477</v>
      </c>
      <c r="C9997" t="s">
        <v>432</v>
      </c>
      <c r="D9997" s="106">
        <v>2.25</v>
      </c>
    </row>
    <row r="9998" spans="1:4">
      <c r="A9998">
        <v>40291</v>
      </c>
      <c r="B9998" t="s">
        <v>10478</v>
      </c>
      <c r="C9998" t="s">
        <v>433</v>
      </c>
      <c r="D9998" s="106">
        <v>784.9</v>
      </c>
    </row>
    <row r="9999" spans="1:4">
      <c r="A9999">
        <v>40275</v>
      </c>
      <c r="B9999" t="s">
        <v>10479</v>
      </c>
      <c r="C9999" t="s">
        <v>433</v>
      </c>
      <c r="D9999" s="106">
        <v>22.5</v>
      </c>
    </row>
    <row r="10000" spans="1:4">
      <c r="A10000">
        <v>42408</v>
      </c>
      <c r="B10000" t="s">
        <v>10480</v>
      </c>
      <c r="C10000" t="s">
        <v>426</v>
      </c>
      <c r="D10000" s="106">
        <v>1.44</v>
      </c>
    </row>
    <row r="10001" spans="1:4">
      <c r="A10001">
        <v>3777</v>
      </c>
      <c r="B10001" t="s">
        <v>10481</v>
      </c>
      <c r="C10001" t="s">
        <v>426</v>
      </c>
      <c r="D10001" s="106">
        <v>1.04</v>
      </c>
    </row>
    <row r="10002" spans="1:4">
      <c r="A10002">
        <v>3798</v>
      </c>
      <c r="B10002" t="s">
        <v>10482</v>
      </c>
      <c r="C10002" t="s">
        <v>427</v>
      </c>
      <c r="D10002" s="106">
        <v>125.85</v>
      </c>
    </row>
    <row r="10003" spans="1:4">
      <c r="A10003">
        <v>38769</v>
      </c>
      <c r="B10003" t="s">
        <v>10483</v>
      </c>
      <c r="C10003" t="s">
        <v>427</v>
      </c>
      <c r="D10003" s="106">
        <v>98.28</v>
      </c>
    </row>
    <row r="10004" spans="1:4">
      <c r="A10004">
        <v>39510</v>
      </c>
      <c r="B10004" t="s">
        <v>10484</v>
      </c>
      <c r="C10004" t="s">
        <v>427</v>
      </c>
      <c r="D10004" s="106">
        <v>397.76</v>
      </c>
    </row>
    <row r="10005" spans="1:4">
      <c r="A10005">
        <v>38776</v>
      </c>
      <c r="B10005" t="s">
        <v>10485</v>
      </c>
      <c r="C10005" t="s">
        <v>427</v>
      </c>
      <c r="D10005" s="106">
        <v>422.14</v>
      </c>
    </row>
    <row r="10006" spans="1:4">
      <c r="A10006">
        <v>38774</v>
      </c>
      <c r="B10006" t="s">
        <v>10486</v>
      </c>
      <c r="C10006" t="s">
        <v>427</v>
      </c>
      <c r="D10006" s="106">
        <v>18.690000000000001</v>
      </c>
    </row>
    <row r="10007" spans="1:4">
      <c r="A10007">
        <v>42247</v>
      </c>
      <c r="B10007" t="s">
        <v>10487</v>
      </c>
      <c r="C10007" t="s">
        <v>427</v>
      </c>
      <c r="D10007" s="106">
        <v>637.97</v>
      </c>
    </row>
    <row r="10008" spans="1:4">
      <c r="A10008">
        <v>42248</v>
      </c>
      <c r="B10008" t="s">
        <v>10488</v>
      </c>
      <c r="C10008" t="s">
        <v>427</v>
      </c>
      <c r="D10008" s="106">
        <v>741.05</v>
      </c>
    </row>
    <row r="10009" spans="1:4">
      <c r="A10009">
        <v>42249</v>
      </c>
      <c r="B10009" t="s">
        <v>10489</v>
      </c>
      <c r="C10009" t="s">
        <v>427</v>
      </c>
      <c r="D10009" s="107">
        <v>1227.6600000000001</v>
      </c>
    </row>
    <row r="10010" spans="1:4">
      <c r="A10010">
        <v>42244</v>
      </c>
      <c r="B10010" t="s">
        <v>10490</v>
      </c>
      <c r="C10010" t="s">
        <v>427</v>
      </c>
      <c r="D10010" s="106">
        <v>191.72</v>
      </c>
    </row>
    <row r="10011" spans="1:4">
      <c r="A10011">
        <v>42245</v>
      </c>
      <c r="B10011" t="s">
        <v>10491</v>
      </c>
      <c r="C10011" t="s">
        <v>427</v>
      </c>
      <c r="D10011" s="106">
        <v>353.79</v>
      </c>
    </row>
    <row r="10012" spans="1:4">
      <c r="A10012">
        <v>42246</v>
      </c>
      <c r="B10012" t="s">
        <v>10492</v>
      </c>
      <c r="C10012" t="s">
        <v>427</v>
      </c>
      <c r="D10012" s="106">
        <v>391.63</v>
      </c>
    </row>
    <row r="10013" spans="1:4">
      <c r="A10013">
        <v>42243</v>
      </c>
      <c r="B10013" t="s">
        <v>10493</v>
      </c>
      <c r="C10013" t="s">
        <v>427</v>
      </c>
      <c r="D10013" s="106">
        <v>472.23</v>
      </c>
    </row>
    <row r="10014" spans="1:4">
      <c r="A10014">
        <v>38889</v>
      </c>
      <c r="B10014" t="s">
        <v>10494</v>
      </c>
      <c r="C10014" t="s">
        <v>427</v>
      </c>
      <c r="D10014" s="106">
        <v>75.33</v>
      </c>
    </row>
    <row r="10015" spans="1:4">
      <c r="A10015">
        <v>38784</v>
      </c>
      <c r="B10015" t="s">
        <v>10495</v>
      </c>
      <c r="C10015" t="s">
        <v>427</v>
      </c>
      <c r="D10015" s="106">
        <v>100.78</v>
      </c>
    </row>
    <row r="10016" spans="1:4">
      <c r="A10016">
        <v>3788</v>
      </c>
      <c r="B10016" t="s">
        <v>10496</v>
      </c>
      <c r="C10016" t="s">
        <v>427</v>
      </c>
      <c r="D10016" s="106">
        <v>105.02</v>
      </c>
    </row>
    <row r="10017" spans="1:4">
      <c r="A10017">
        <v>12230</v>
      </c>
      <c r="B10017" t="s">
        <v>10497</v>
      </c>
      <c r="C10017" t="s">
        <v>427</v>
      </c>
      <c r="D10017" s="106">
        <v>27.01</v>
      </c>
    </row>
    <row r="10018" spans="1:4">
      <c r="A10018">
        <v>3780</v>
      </c>
      <c r="B10018" t="s">
        <v>10498</v>
      </c>
      <c r="C10018" t="s">
        <v>427</v>
      </c>
      <c r="D10018" s="106">
        <v>154.94999999999999</v>
      </c>
    </row>
    <row r="10019" spans="1:4">
      <c r="A10019">
        <v>12231</v>
      </c>
      <c r="B10019" t="s">
        <v>10499</v>
      </c>
      <c r="C10019" t="s">
        <v>427</v>
      </c>
      <c r="D10019" s="106">
        <v>44.92</v>
      </c>
    </row>
    <row r="10020" spans="1:4">
      <c r="A10020">
        <v>3811</v>
      </c>
      <c r="B10020" t="s">
        <v>10500</v>
      </c>
      <c r="C10020" t="s">
        <v>427</v>
      </c>
      <c r="D10020" s="106">
        <v>145.54</v>
      </c>
    </row>
    <row r="10021" spans="1:4">
      <c r="A10021">
        <v>12232</v>
      </c>
      <c r="B10021" t="s">
        <v>10501</v>
      </c>
      <c r="C10021" t="s">
        <v>427</v>
      </c>
      <c r="D10021" s="106">
        <v>47.06</v>
      </c>
    </row>
    <row r="10022" spans="1:4">
      <c r="A10022">
        <v>3799</v>
      </c>
      <c r="B10022" t="s">
        <v>10502</v>
      </c>
      <c r="C10022" t="s">
        <v>427</v>
      </c>
      <c r="D10022" s="106">
        <v>205.84</v>
      </c>
    </row>
    <row r="10023" spans="1:4">
      <c r="A10023">
        <v>12239</v>
      </c>
      <c r="B10023" t="s">
        <v>10503</v>
      </c>
      <c r="C10023" t="s">
        <v>427</v>
      </c>
      <c r="D10023" s="106">
        <v>61.62</v>
      </c>
    </row>
    <row r="10024" spans="1:4">
      <c r="A10024">
        <v>38773</v>
      </c>
      <c r="B10024" t="s">
        <v>10504</v>
      </c>
      <c r="C10024" t="s">
        <v>427</v>
      </c>
      <c r="D10024" s="106">
        <v>9.8800000000000008</v>
      </c>
    </row>
    <row r="10025" spans="1:4">
      <c r="A10025">
        <v>12271</v>
      </c>
      <c r="B10025" t="s">
        <v>10505</v>
      </c>
      <c r="C10025" t="s">
        <v>427</v>
      </c>
      <c r="D10025" s="106">
        <v>551.13</v>
      </c>
    </row>
    <row r="10026" spans="1:4">
      <c r="A10026">
        <v>38785</v>
      </c>
      <c r="B10026" t="s">
        <v>10506</v>
      </c>
      <c r="C10026" t="s">
        <v>427</v>
      </c>
      <c r="D10026" s="106">
        <v>260.93</v>
      </c>
    </row>
    <row r="10027" spans="1:4">
      <c r="A10027">
        <v>38786</v>
      </c>
      <c r="B10027" t="s">
        <v>10507</v>
      </c>
      <c r="C10027" t="s">
        <v>427</v>
      </c>
      <c r="D10027" s="106">
        <v>321.39999999999998</v>
      </c>
    </row>
    <row r="10028" spans="1:4">
      <c r="A10028">
        <v>39385</v>
      </c>
      <c r="B10028" t="s">
        <v>10508</v>
      </c>
      <c r="C10028" t="s">
        <v>427</v>
      </c>
      <c r="D10028" s="106">
        <v>17.09</v>
      </c>
    </row>
    <row r="10029" spans="1:4">
      <c r="A10029">
        <v>39389</v>
      </c>
      <c r="B10029" t="s">
        <v>10509</v>
      </c>
      <c r="C10029" t="s">
        <v>427</v>
      </c>
      <c r="D10029" s="106">
        <v>18.55</v>
      </c>
    </row>
    <row r="10030" spans="1:4">
      <c r="A10030">
        <v>39390</v>
      </c>
      <c r="B10030" t="s">
        <v>10510</v>
      </c>
      <c r="C10030" t="s">
        <v>427</v>
      </c>
      <c r="D10030" s="106">
        <v>38.880000000000003</v>
      </c>
    </row>
    <row r="10031" spans="1:4">
      <c r="A10031">
        <v>39391</v>
      </c>
      <c r="B10031" t="s">
        <v>10511</v>
      </c>
      <c r="C10031" t="s">
        <v>427</v>
      </c>
      <c r="D10031" s="106">
        <v>43.65</v>
      </c>
    </row>
    <row r="10032" spans="1:4">
      <c r="A10032">
        <v>3803</v>
      </c>
      <c r="B10032" t="s">
        <v>10512</v>
      </c>
      <c r="C10032" t="s">
        <v>427</v>
      </c>
      <c r="D10032" s="106">
        <v>93.19</v>
      </c>
    </row>
    <row r="10033" spans="1:4">
      <c r="A10033">
        <v>38770</v>
      </c>
      <c r="B10033" t="s">
        <v>10513</v>
      </c>
      <c r="C10033" t="s">
        <v>427</v>
      </c>
      <c r="D10033" s="106">
        <v>107.91</v>
      </c>
    </row>
    <row r="10034" spans="1:4">
      <c r="A10034">
        <v>12267</v>
      </c>
      <c r="B10034" t="s">
        <v>10514</v>
      </c>
      <c r="C10034" t="s">
        <v>427</v>
      </c>
      <c r="D10034" s="106">
        <v>316.22000000000003</v>
      </c>
    </row>
    <row r="10035" spans="1:4">
      <c r="A10035">
        <v>43265</v>
      </c>
      <c r="B10035" t="s">
        <v>10515</v>
      </c>
      <c r="C10035" t="s">
        <v>427</v>
      </c>
      <c r="D10035" s="106">
        <v>53.46</v>
      </c>
    </row>
    <row r="10036" spans="1:4">
      <c r="A10036">
        <v>12266</v>
      </c>
      <c r="B10036" t="s">
        <v>10516</v>
      </c>
      <c r="C10036" t="s">
        <v>427</v>
      </c>
      <c r="D10036" s="106">
        <v>161.85</v>
      </c>
    </row>
    <row r="10037" spans="1:4">
      <c r="A10037">
        <v>39378</v>
      </c>
      <c r="B10037" t="s">
        <v>10517</v>
      </c>
      <c r="C10037" t="s">
        <v>427</v>
      </c>
      <c r="D10037" s="106">
        <v>114.75</v>
      </c>
    </row>
    <row r="10038" spans="1:4">
      <c r="A10038">
        <v>43543</v>
      </c>
      <c r="B10038" t="s">
        <v>10518</v>
      </c>
      <c r="C10038" t="s">
        <v>427</v>
      </c>
      <c r="D10038" s="106">
        <v>239.06</v>
      </c>
    </row>
    <row r="10039" spans="1:4">
      <c r="A10039">
        <v>38775</v>
      </c>
      <c r="B10039" t="s">
        <v>10519</v>
      </c>
      <c r="C10039" t="s">
        <v>427</v>
      </c>
      <c r="D10039" s="106">
        <v>121.65</v>
      </c>
    </row>
    <row r="10040" spans="1:4">
      <c r="A10040">
        <v>21119</v>
      </c>
      <c r="B10040" t="s">
        <v>10520</v>
      </c>
      <c r="C10040" t="s">
        <v>427</v>
      </c>
      <c r="D10040" s="106">
        <v>2.37</v>
      </c>
    </row>
    <row r="10041" spans="1:4">
      <c r="A10041">
        <v>37974</v>
      </c>
      <c r="B10041" t="s">
        <v>10521</v>
      </c>
      <c r="C10041" t="s">
        <v>427</v>
      </c>
      <c r="D10041" s="106">
        <v>3.52</v>
      </c>
    </row>
    <row r="10042" spans="1:4">
      <c r="A10042">
        <v>37975</v>
      </c>
      <c r="B10042" t="s">
        <v>10522</v>
      </c>
      <c r="C10042" t="s">
        <v>427</v>
      </c>
      <c r="D10042" s="106">
        <v>7.15</v>
      </c>
    </row>
    <row r="10043" spans="1:4">
      <c r="A10043">
        <v>37976</v>
      </c>
      <c r="B10043" t="s">
        <v>10523</v>
      </c>
      <c r="C10043" t="s">
        <v>427</v>
      </c>
      <c r="D10043" s="106">
        <v>14.66</v>
      </c>
    </row>
    <row r="10044" spans="1:4">
      <c r="A10044">
        <v>37977</v>
      </c>
      <c r="B10044" t="s">
        <v>10524</v>
      </c>
      <c r="C10044" t="s">
        <v>427</v>
      </c>
      <c r="D10044" s="106">
        <v>20.16</v>
      </c>
    </row>
    <row r="10045" spans="1:4">
      <c r="A10045">
        <v>37978</v>
      </c>
      <c r="B10045" t="s">
        <v>10525</v>
      </c>
      <c r="C10045" t="s">
        <v>427</v>
      </c>
      <c r="D10045" s="106">
        <v>40.869999999999997</v>
      </c>
    </row>
    <row r="10046" spans="1:4">
      <c r="A10046">
        <v>37979</v>
      </c>
      <c r="B10046" t="s">
        <v>10526</v>
      </c>
      <c r="C10046" t="s">
        <v>427</v>
      </c>
      <c r="D10046" s="106">
        <v>175.56</v>
      </c>
    </row>
    <row r="10047" spans="1:4">
      <c r="A10047">
        <v>37980</v>
      </c>
      <c r="B10047" t="s">
        <v>10527</v>
      </c>
      <c r="C10047" t="s">
        <v>427</v>
      </c>
      <c r="D10047" s="106">
        <v>197.3</v>
      </c>
    </row>
    <row r="10048" spans="1:4">
      <c r="A10048">
        <v>36147</v>
      </c>
      <c r="B10048" t="s">
        <v>10528</v>
      </c>
      <c r="C10048" t="s">
        <v>434</v>
      </c>
      <c r="D10048" s="106">
        <v>517.53</v>
      </c>
    </row>
    <row r="10049" spans="1:4">
      <c r="A10049">
        <v>12731</v>
      </c>
      <c r="B10049" t="s">
        <v>10529</v>
      </c>
      <c r="C10049" t="s">
        <v>427</v>
      </c>
      <c r="D10049" s="106">
        <v>425.7</v>
      </c>
    </row>
    <row r="10050" spans="1:4">
      <c r="A10050">
        <v>12723</v>
      </c>
      <c r="B10050" t="s">
        <v>10530</v>
      </c>
      <c r="C10050" t="s">
        <v>427</v>
      </c>
      <c r="D10050" s="106">
        <v>3.3</v>
      </c>
    </row>
    <row r="10051" spans="1:4">
      <c r="A10051">
        <v>12724</v>
      </c>
      <c r="B10051" t="s">
        <v>10531</v>
      </c>
      <c r="C10051" t="s">
        <v>427</v>
      </c>
      <c r="D10051" s="106">
        <v>6.34</v>
      </c>
    </row>
    <row r="10052" spans="1:4">
      <c r="A10052">
        <v>12725</v>
      </c>
      <c r="B10052" t="s">
        <v>10532</v>
      </c>
      <c r="C10052" t="s">
        <v>427</v>
      </c>
      <c r="D10052" s="106">
        <v>12.72</v>
      </c>
    </row>
    <row r="10053" spans="1:4">
      <c r="A10053">
        <v>12726</v>
      </c>
      <c r="B10053" t="s">
        <v>10533</v>
      </c>
      <c r="C10053" t="s">
        <v>427</v>
      </c>
      <c r="D10053" s="106">
        <v>28.08</v>
      </c>
    </row>
    <row r="10054" spans="1:4">
      <c r="A10054">
        <v>12727</v>
      </c>
      <c r="B10054" t="s">
        <v>10534</v>
      </c>
      <c r="C10054" t="s">
        <v>427</v>
      </c>
      <c r="D10054" s="106">
        <v>35.619999999999997</v>
      </c>
    </row>
    <row r="10055" spans="1:4">
      <c r="A10055">
        <v>12728</v>
      </c>
      <c r="B10055" t="s">
        <v>10535</v>
      </c>
      <c r="C10055" t="s">
        <v>427</v>
      </c>
      <c r="D10055" s="106">
        <v>58.18</v>
      </c>
    </row>
    <row r="10056" spans="1:4">
      <c r="A10056">
        <v>12729</v>
      </c>
      <c r="B10056" t="s">
        <v>10536</v>
      </c>
      <c r="C10056" t="s">
        <v>427</v>
      </c>
      <c r="D10056" s="106">
        <v>190.68</v>
      </c>
    </row>
    <row r="10057" spans="1:4">
      <c r="A10057">
        <v>12730</v>
      </c>
      <c r="B10057" t="s">
        <v>10537</v>
      </c>
      <c r="C10057" t="s">
        <v>427</v>
      </c>
      <c r="D10057" s="106">
        <v>291.94</v>
      </c>
    </row>
    <row r="10058" spans="1:4">
      <c r="A10058">
        <v>3840</v>
      </c>
      <c r="B10058" t="s">
        <v>10538</v>
      </c>
      <c r="C10058" t="s">
        <v>427</v>
      </c>
      <c r="D10058" s="106">
        <v>66.069999999999993</v>
      </c>
    </row>
    <row r="10059" spans="1:4">
      <c r="A10059">
        <v>3838</v>
      </c>
      <c r="B10059" t="s">
        <v>10539</v>
      </c>
      <c r="C10059" t="s">
        <v>427</v>
      </c>
      <c r="D10059" s="106">
        <v>145.81</v>
      </c>
    </row>
    <row r="10060" spans="1:4">
      <c r="A10060">
        <v>3844</v>
      </c>
      <c r="B10060" t="s">
        <v>10540</v>
      </c>
      <c r="C10060" t="s">
        <v>427</v>
      </c>
      <c r="D10060" s="106">
        <v>260.08999999999997</v>
      </c>
    </row>
    <row r="10061" spans="1:4">
      <c r="A10061">
        <v>3839</v>
      </c>
      <c r="B10061" t="s">
        <v>10541</v>
      </c>
      <c r="C10061" t="s">
        <v>427</v>
      </c>
      <c r="D10061" s="106">
        <v>473.75</v>
      </c>
    </row>
    <row r="10062" spans="1:4">
      <c r="A10062">
        <v>3843</v>
      </c>
      <c r="B10062" t="s">
        <v>10542</v>
      </c>
      <c r="C10062" t="s">
        <v>427</v>
      </c>
      <c r="D10062" s="106">
        <v>650.23</v>
      </c>
    </row>
    <row r="10063" spans="1:4">
      <c r="A10063">
        <v>3900</v>
      </c>
      <c r="B10063" t="s">
        <v>10543</v>
      </c>
      <c r="C10063" t="s">
        <v>427</v>
      </c>
      <c r="D10063" s="106">
        <v>45.05</v>
      </c>
    </row>
    <row r="10064" spans="1:4">
      <c r="A10064">
        <v>3846</v>
      </c>
      <c r="B10064" t="s">
        <v>10544</v>
      </c>
      <c r="C10064" t="s">
        <v>427</v>
      </c>
      <c r="D10064" s="106">
        <v>14.2</v>
      </c>
    </row>
    <row r="10065" spans="1:4">
      <c r="A10065">
        <v>3886</v>
      </c>
      <c r="B10065" t="s">
        <v>10545</v>
      </c>
      <c r="C10065" t="s">
        <v>427</v>
      </c>
      <c r="D10065" s="106">
        <v>14.95</v>
      </c>
    </row>
    <row r="10066" spans="1:4">
      <c r="A10066">
        <v>3854</v>
      </c>
      <c r="B10066" t="s">
        <v>10546</v>
      </c>
      <c r="C10066" t="s">
        <v>427</v>
      </c>
      <c r="D10066" s="106">
        <v>8.31</v>
      </c>
    </row>
    <row r="10067" spans="1:4">
      <c r="A10067">
        <v>3873</v>
      </c>
      <c r="B10067" t="s">
        <v>10547</v>
      </c>
      <c r="C10067" t="s">
        <v>427</v>
      </c>
      <c r="D10067" s="106">
        <v>11</v>
      </c>
    </row>
    <row r="10068" spans="1:4">
      <c r="A10068">
        <v>38021</v>
      </c>
      <c r="B10068" t="s">
        <v>10548</v>
      </c>
      <c r="C10068" t="s">
        <v>427</v>
      </c>
      <c r="D10068" s="106">
        <v>26.31</v>
      </c>
    </row>
    <row r="10069" spans="1:4">
      <c r="A10069">
        <v>3847</v>
      </c>
      <c r="B10069" t="s">
        <v>10549</v>
      </c>
      <c r="C10069" t="s">
        <v>427</v>
      </c>
      <c r="D10069" s="106">
        <v>29.86</v>
      </c>
    </row>
    <row r="10070" spans="1:4">
      <c r="A10070">
        <v>38022</v>
      </c>
      <c r="B10070" t="s">
        <v>10550</v>
      </c>
      <c r="C10070" t="s">
        <v>427</v>
      </c>
      <c r="D10070" s="106">
        <v>46.64</v>
      </c>
    </row>
    <row r="10071" spans="1:4">
      <c r="A10071">
        <v>3833</v>
      </c>
      <c r="B10071" t="s">
        <v>10551</v>
      </c>
      <c r="C10071" t="s">
        <v>427</v>
      </c>
      <c r="D10071" s="106">
        <v>27.47</v>
      </c>
    </row>
    <row r="10072" spans="1:4">
      <c r="A10072">
        <v>3835</v>
      </c>
      <c r="B10072" t="s">
        <v>10552</v>
      </c>
      <c r="C10072" t="s">
        <v>427</v>
      </c>
      <c r="D10072" s="106">
        <v>89.44</v>
      </c>
    </row>
    <row r="10073" spans="1:4">
      <c r="A10073">
        <v>3836</v>
      </c>
      <c r="B10073" t="s">
        <v>10553</v>
      </c>
      <c r="C10073" t="s">
        <v>427</v>
      </c>
      <c r="D10073" s="106">
        <v>192.5</v>
      </c>
    </row>
    <row r="10074" spans="1:4">
      <c r="A10074">
        <v>3830</v>
      </c>
      <c r="B10074" t="s">
        <v>10554</v>
      </c>
      <c r="C10074" t="s">
        <v>427</v>
      </c>
      <c r="D10074" s="106">
        <v>314.74</v>
      </c>
    </row>
    <row r="10075" spans="1:4">
      <c r="A10075">
        <v>3831</v>
      </c>
      <c r="B10075" t="s">
        <v>10555</v>
      </c>
      <c r="C10075" t="s">
        <v>427</v>
      </c>
      <c r="D10075" s="106">
        <v>526.14</v>
      </c>
    </row>
    <row r="10076" spans="1:4">
      <c r="A10076">
        <v>37981</v>
      </c>
      <c r="B10076" t="s">
        <v>10556</v>
      </c>
      <c r="C10076" t="s">
        <v>427</v>
      </c>
      <c r="D10076" s="106">
        <v>8.0500000000000007</v>
      </c>
    </row>
    <row r="10077" spans="1:4">
      <c r="A10077">
        <v>37982</v>
      </c>
      <c r="B10077" t="s">
        <v>10557</v>
      </c>
      <c r="C10077" t="s">
        <v>427</v>
      </c>
      <c r="D10077" s="106">
        <v>12.22</v>
      </c>
    </row>
    <row r="10078" spans="1:4">
      <c r="A10078">
        <v>37983</v>
      </c>
      <c r="B10078" t="s">
        <v>10558</v>
      </c>
      <c r="C10078" t="s">
        <v>427</v>
      </c>
      <c r="D10078" s="106">
        <v>17.11</v>
      </c>
    </row>
    <row r="10079" spans="1:4">
      <c r="A10079">
        <v>37984</v>
      </c>
      <c r="B10079" t="s">
        <v>10559</v>
      </c>
      <c r="C10079" t="s">
        <v>427</v>
      </c>
      <c r="D10079" s="106">
        <v>29.54</v>
      </c>
    </row>
    <row r="10080" spans="1:4">
      <c r="A10080">
        <v>37985</v>
      </c>
      <c r="B10080" t="s">
        <v>10560</v>
      </c>
      <c r="C10080" t="s">
        <v>427</v>
      </c>
      <c r="D10080" s="106">
        <v>41.37</v>
      </c>
    </row>
    <row r="10081" spans="1:4">
      <c r="A10081">
        <v>3826</v>
      </c>
      <c r="B10081" t="s">
        <v>10561</v>
      </c>
      <c r="C10081" t="s">
        <v>427</v>
      </c>
      <c r="D10081" s="106">
        <v>65.56</v>
      </c>
    </row>
    <row r="10082" spans="1:4">
      <c r="A10082">
        <v>3825</v>
      </c>
      <c r="B10082" t="s">
        <v>10562</v>
      </c>
      <c r="C10082" t="s">
        <v>427</v>
      </c>
      <c r="D10082" s="106">
        <v>18.850000000000001</v>
      </c>
    </row>
    <row r="10083" spans="1:4">
      <c r="A10083">
        <v>3827</v>
      </c>
      <c r="B10083" t="s">
        <v>10563</v>
      </c>
      <c r="C10083" t="s">
        <v>427</v>
      </c>
      <c r="D10083" s="106">
        <v>41.19</v>
      </c>
    </row>
    <row r="10084" spans="1:4">
      <c r="A10084">
        <v>20165</v>
      </c>
      <c r="B10084" t="s">
        <v>10564</v>
      </c>
      <c r="C10084" t="s">
        <v>427</v>
      </c>
      <c r="D10084" s="106">
        <v>32.04</v>
      </c>
    </row>
    <row r="10085" spans="1:4">
      <c r="A10085">
        <v>20166</v>
      </c>
      <c r="B10085" t="s">
        <v>10565</v>
      </c>
      <c r="C10085" t="s">
        <v>427</v>
      </c>
      <c r="D10085" s="106">
        <v>103.54</v>
      </c>
    </row>
    <row r="10086" spans="1:4">
      <c r="A10086">
        <v>20164</v>
      </c>
      <c r="B10086" t="s">
        <v>10566</v>
      </c>
      <c r="C10086" t="s">
        <v>427</v>
      </c>
      <c r="D10086" s="106">
        <v>16.920000000000002</v>
      </c>
    </row>
    <row r="10087" spans="1:4">
      <c r="A10087">
        <v>3893</v>
      </c>
      <c r="B10087" t="s">
        <v>10567</v>
      </c>
      <c r="C10087" t="s">
        <v>427</v>
      </c>
      <c r="D10087" s="106">
        <v>21</v>
      </c>
    </row>
    <row r="10088" spans="1:4">
      <c r="A10088">
        <v>3848</v>
      </c>
      <c r="B10088" t="s">
        <v>10568</v>
      </c>
      <c r="C10088" t="s">
        <v>427</v>
      </c>
      <c r="D10088" s="106">
        <v>12.76</v>
      </c>
    </row>
    <row r="10089" spans="1:4">
      <c r="A10089">
        <v>3895</v>
      </c>
      <c r="B10089" t="s">
        <v>10569</v>
      </c>
      <c r="C10089" t="s">
        <v>427</v>
      </c>
      <c r="D10089" s="106">
        <v>13.88</v>
      </c>
    </row>
    <row r="10090" spans="1:4">
      <c r="A10090">
        <v>12404</v>
      </c>
      <c r="B10090" t="s">
        <v>10570</v>
      </c>
      <c r="C10090" t="s">
        <v>427</v>
      </c>
      <c r="D10090" s="106">
        <v>8.7799999999999994</v>
      </c>
    </row>
    <row r="10091" spans="1:4">
      <c r="A10091">
        <v>3939</v>
      </c>
      <c r="B10091" t="s">
        <v>10571</v>
      </c>
      <c r="C10091" t="s">
        <v>427</v>
      </c>
      <c r="D10091" s="106">
        <v>18.079999999999998</v>
      </c>
    </row>
    <row r="10092" spans="1:4">
      <c r="A10092">
        <v>3911</v>
      </c>
      <c r="B10092" t="s">
        <v>10572</v>
      </c>
      <c r="C10092" t="s">
        <v>427</v>
      </c>
      <c r="D10092" s="106">
        <v>14.77</v>
      </c>
    </row>
    <row r="10093" spans="1:4">
      <c r="A10093">
        <v>3908</v>
      </c>
      <c r="B10093" t="s">
        <v>10573</v>
      </c>
      <c r="C10093" t="s">
        <v>427</v>
      </c>
      <c r="D10093" s="106">
        <v>4.78</v>
      </c>
    </row>
    <row r="10094" spans="1:4">
      <c r="A10094">
        <v>3910</v>
      </c>
      <c r="B10094" t="s">
        <v>10574</v>
      </c>
      <c r="C10094" t="s">
        <v>427</v>
      </c>
      <c r="D10094" s="106">
        <v>10.57</v>
      </c>
    </row>
    <row r="10095" spans="1:4">
      <c r="A10095">
        <v>3913</v>
      </c>
      <c r="B10095" t="s">
        <v>10575</v>
      </c>
      <c r="C10095" t="s">
        <v>427</v>
      </c>
      <c r="D10095" s="106">
        <v>50.53</v>
      </c>
    </row>
    <row r="10096" spans="1:4">
      <c r="A10096">
        <v>3912</v>
      </c>
      <c r="B10096" t="s">
        <v>10576</v>
      </c>
      <c r="C10096" t="s">
        <v>427</v>
      </c>
      <c r="D10096" s="106">
        <v>27.7</v>
      </c>
    </row>
    <row r="10097" spans="1:4">
      <c r="A10097">
        <v>3909</v>
      </c>
      <c r="B10097" t="s">
        <v>10577</v>
      </c>
      <c r="C10097" t="s">
        <v>427</v>
      </c>
      <c r="D10097" s="106">
        <v>6.5</v>
      </c>
    </row>
    <row r="10098" spans="1:4">
      <c r="A10098">
        <v>3914</v>
      </c>
      <c r="B10098" t="s">
        <v>10578</v>
      </c>
      <c r="C10098" t="s">
        <v>427</v>
      </c>
      <c r="D10098" s="106">
        <v>76.22</v>
      </c>
    </row>
    <row r="10099" spans="1:4">
      <c r="A10099">
        <v>3915</v>
      </c>
      <c r="B10099" t="s">
        <v>10579</v>
      </c>
      <c r="C10099" t="s">
        <v>427</v>
      </c>
      <c r="D10099" s="106">
        <v>120.2</v>
      </c>
    </row>
    <row r="10100" spans="1:4">
      <c r="A10100">
        <v>3916</v>
      </c>
      <c r="B10100" t="s">
        <v>10580</v>
      </c>
      <c r="C10100" t="s">
        <v>427</v>
      </c>
      <c r="D10100" s="106">
        <v>218.98</v>
      </c>
    </row>
    <row r="10101" spans="1:4">
      <c r="A10101">
        <v>3917</v>
      </c>
      <c r="B10101" t="s">
        <v>10581</v>
      </c>
      <c r="C10101" t="s">
        <v>427</v>
      </c>
      <c r="D10101" s="106">
        <v>361.18</v>
      </c>
    </row>
    <row r="10102" spans="1:4">
      <c r="A10102">
        <v>1904</v>
      </c>
      <c r="B10102" t="s">
        <v>10582</v>
      </c>
      <c r="C10102" t="s">
        <v>427</v>
      </c>
      <c r="D10102" s="106">
        <v>0.88</v>
      </c>
    </row>
    <row r="10103" spans="1:4">
      <c r="A10103">
        <v>1899</v>
      </c>
      <c r="B10103" t="s">
        <v>10583</v>
      </c>
      <c r="C10103" t="s">
        <v>427</v>
      </c>
      <c r="D10103" s="106">
        <v>1</v>
      </c>
    </row>
    <row r="10104" spans="1:4">
      <c r="A10104">
        <v>1900</v>
      </c>
      <c r="B10104" t="s">
        <v>10584</v>
      </c>
      <c r="C10104" t="s">
        <v>427</v>
      </c>
      <c r="D10104" s="106">
        <v>1.62</v>
      </c>
    </row>
    <row r="10105" spans="1:4">
      <c r="A10105">
        <v>12407</v>
      </c>
      <c r="B10105" t="s">
        <v>10585</v>
      </c>
      <c r="C10105" t="s">
        <v>427</v>
      </c>
      <c r="D10105" s="106">
        <v>27.34</v>
      </c>
    </row>
    <row r="10106" spans="1:4">
      <c r="A10106">
        <v>12408</v>
      </c>
      <c r="B10106" t="s">
        <v>10586</v>
      </c>
      <c r="C10106" t="s">
        <v>427</v>
      </c>
      <c r="D10106" s="106">
        <v>15.43</v>
      </c>
    </row>
    <row r="10107" spans="1:4">
      <c r="A10107">
        <v>12409</v>
      </c>
      <c r="B10107" t="s">
        <v>10587</v>
      </c>
      <c r="C10107" t="s">
        <v>427</v>
      </c>
      <c r="D10107" s="106">
        <v>15.43</v>
      </c>
    </row>
    <row r="10108" spans="1:4">
      <c r="A10108">
        <v>12410</v>
      </c>
      <c r="B10108" t="s">
        <v>10588</v>
      </c>
      <c r="C10108" t="s">
        <v>427</v>
      </c>
      <c r="D10108" s="106">
        <v>10.63</v>
      </c>
    </row>
    <row r="10109" spans="1:4">
      <c r="A10109">
        <v>3936</v>
      </c>
      <c r="B10109" t="s">
        <v>10589</v>
      </c>
      <c r="C10109" t="s">
        <v>427</v>
      </c>
      <c r="D10109" s="106">
        <v>19.21</v>
      </c>
    </row>
    <row r="10110" spans="1:4">
      <c r="A10110">
        <v>3922</v>
      </c>
      <c r="B10110" t="s">
        <v>10590</v>
      </c>
      <c r="C10110" t="s">
        <v>427</v>
      </c>
      <c r="D10110" s="106">
        <v>17.670000000000002</v>
      </c>
    </row>
    <row r="10111" spans="1:4">
      <c r="A10111">
        <v>3924</v>
      </c>
      <c r="B10111" t="s">
        <v>10591</v>
      </c>
      <c r="C10111" t="s">
        <v>427</v>
      </c>
      <c r="D10111" s="106">
        <v>19.21</v>
      </c>
    </row>
    <row r="10112" spans="1:4">
      <c r="A10112">
        <v>3923</v>
      </c>
      <c r="B10112" t="s">
        <v>10592</v>
      </c>
      <c r="C10112" t="s">
        <v>427</v>
      </c>
      <c r="D10112" s="106">
        <v>19.21</v>
      </c>
    </row>
    <row r="10113" spans="1:4">
      <c r="A10113">
        <v>3937</v>
      </c>
      <c r="B10113" t="s">
        <v>10593</v>
      </c>
      <c r="C10113" t="s">
        <v>427</v>
      </c>
      <c r="D10113" s="106">
        <v>15.85</v>
      </c>
    </row>
    <row r="10114" spans="1:4">
      <c r="A10114">
        <v>3921</v>
      </c>
      <c r="B10114" t="s">
        <v>10594</v>
      </c>
      <c r="C10114" t="s">
        <v>427</v>
      </c>
      <c r="D10114" s="106">
        <v>15.86</v>
      </c>
    </row>
    <row r="10115" spans="1:4">
      <c r="A10115">
        <v>3920</v>
      </c>
      <c r="B10115" t="s">
        <v>10595</v>
      </c>
      <c r="C10115" t="s">
        <v>427</v>
      </c>
      <c r="D10115" s="106">
        <v>15.85</v>
      </c>
    </row>
    <row r="10116" spans="1:4">
      <c r="A10116">
        <v>3938</v>
      </c>
      <c r="B10116" t="s">
        <v>10596</v>
      </c>
      <c r="C10116" t="s">
        <v>427</v>
      </c>
      <c r="D10116" s="106">
        <v>10.45</v>
      </c>
    </row>
    <row r="10117" spans="1:4">
      <c r="A10117">
        <v>3919</v>
      </c>
      <c r="B10117" t="s">
        <v>10597</v>
      </c>
      <c r="C10117" t="s">
        <v>427</v>
      </c>
      <c r="D10117" s="106">
        <v>10.65</v>
      </c>
    </row>
    <row r="10118" spans="1:4">
      <c r="A10118">
        <v>3927</v>
      </c>
      <c r="B10118" t="s">
        <v>10598</v>
      </c>
      <c r="C10118" t="s">
        <v>427</v>
      </c>
      <c r="D10118" s="106">
        <v>53.95</v>
      </c>
    </row>
    <row r="10119" spans="1:4">
      <c r="A10119">
        <v>3928</v>
      </c>
      <c r="B10119" t="s">
        <v>10599</v>
      </c>
      <c r="C10119" t="s">
        <v>427</v>
      </c>
      <c r="D10119" s="106">
        <v>53.95</v>
      </c>
    </row>
    <row r="10120" spans="1:4">
      <c r="A10120">
        <v>3926</v>
      </c>
      <c r="B10120" t="s">
        <v>10600</v>
      </c>
      <c r="C10120" t="s">
        <v>427</v>
      </c>
      <c r="D10120" s="106">
        <v>30.75</v>
      </c>
    </row>
    <row r="10121" spans="1:4">
      <c r="A10121">
        <v>3935</v>
      </c>
      <c r="B10121" t="s">
        <v>10601</v>
      </c>
      <c r="C10121" t="s">
        <v>427</v>
      </c>
      <c r="D10121" s="106">
        <v>30.75</v>
      </c>
    </row>
    <row r="10122" spans="1:4">
      <c r="A10122">
        <v>3925</v>
      </c>
      <c r="B10122" t="s">
        <v>10602</v>
      </c>
      <c r="C10122" t="s">
        <v>427</v>
      </c>
      <c r="D10122" s="106">
        <v>30.75</v>
      </c>
    </row>
    <row r="10123" spans="1:4">
      <c r="A10123">
        <v>12406</v>
      </c>
      <c r="B10123" t="s">
        <v>10603</v>
      </c>
      <c r="C10123" t="s">
        <v>427</v>
      </c>
      <c r="D10123" s="106">
        <v>7.55</v>
      </c>
    </row>
    <row r="10124" spans="1:4">
      <c r="A10124">
        <v>3929</v>
      </c>
      <c r="B10124" t="s">
        <v>10604</v>
      </c>
      <c r="C10124" t="s">
        <v>427</v>
      </c>
      <c r="D10124" s="106">
        <v>82.2</v>
      </c>
    </row>
    <row r="10125" spans="1:4">
      <c r="A10125">
        <v>3931</v>
      </c>
      <c r="B10125" t="s">
        <v>10605</v>
      </c>
      <c r="C10125" t="s">
        <v>427</v>
      </c>
      <c r="D10125" s="106">
        <v>82.2</v>
      </c>
    </row>
    <row r="10126" spans="1:4">
      <c r="A10126">
        <v>3930</v>
      </c>
      <c r="B10126" t="s">
        <v>10606</v>
      </c>
      <c r="C10126" t="s">
        <v>427</v>
      </c>
      <c r="D10126" s="106">
        <v>82.2</v>
      </c>
    </row>
    <row r="10127" spans="1:4">
      <c r="A10127">
        <v>3932</v>
      </c>
      <c r="B10127" t="s">
        <v>10607</v>
      </c>
      <c r="C10127" t="s">
        <v>427</v>
      </c>
      <c r="D10127" s="106">
        <v>141.93</v>
      </c>
    </row>
    <row r="10128" spans="1:4">
      <c r="A10128">
        <v>3933</v>
      </c>
      <c r="B10128" t="s">
        <v>10608</v>
      </c>
      <c r="C10128" t="s">
        <v>427</v>
      </c>
      <c r="D10128" s="106">
        <v>141.93</v>
      </c>
    </row>
    <row r="10129" spans="1:4">
      <c r="A10129">
        <v>3934</v>
      </c>
      <c r="B10129" t="s">
        <v>10609</v>
      </c>
      <c r="C10129" t="s">
        <v>427</v>
      </c>
      <c r="D10129" s="106">
        <v>141.93</v>
      </c>
    </row>
    <row r="10130" spans="1:4">
      <c r="A10130">
        <v>40355</v>
      </c>
      <c r="B10130" t="s">
        <v>10610</v>
      </c>
      <c r="C10130" t="s">
        <v>427</v>
      </c>
      <c r="D10130" s="106">
        <v>12.83</v>
      </c>
    </row>
    <row r="10131" spans="1:4">
      <c r="A10131">
        <v>40364</v>
      </c>
      <c r="B10131" t="s">
        <v>10611</v>
      </c>
      <c r="C10131" t="s">
        <v>427</v>
      </c>
      <c r="D10131" s="106">
        <v>60.12</v>
      </c>
    </row>
    <row r="10132" spans="1:4">
      <c r="A10132">
        <v>40361</v>
      </c>
      <c r="B10132" t="s">
        <v>10612</v>
      </c>
      <c r="C10132" t="s">
        <v>427</v>
      </c>
      <c r="D10132" s="106">
        <v>47.01</v>
      </c>
    </row>
    <row r="10133" spans="1:4">
      <c r="A10133">
        <v>40358</v>
      </c>
      <c r="B10133" t="s">
        <v>10613</v>
      </c>
      <c r="C10133" t="s">
        <v>427</v>
      </c>
      <c r="D10133" s="106">
        <v>17.920000000000002</v>
      </c>
    </row>
    <row r="10134" spans="1:4">
      <c r="A10134">
        <v>40370</v>
      </c>
      <c r="B10134" t="s">
        <v>10614</v>
      </c>
      <c r="C10134" t="s">
        <v>427</v>
      </c>
      <c r="D10134" s="106">
        <v>190.78</v>
      </c>
    </row>
    <row r="10135" spans="1:4">
      <c r="A10135">
        <v>40367</v>
      </c>
      <c r="B10135" t="s">
        <v>10615</v>
      </c>
      <c r="C10135" t="s">
        <v>427</v>
      </c>
      <c r="D10135" s="106">
        <v>94.82</v>
      </c>
    </row>
    <row r="10136" spans="1:4">
      <c r="A10136">
        <v>40373</v>
      </c>
      <c r="B10136" t="s">
        <v>10616</v>
      </c>
      <c r="C10136" t="s">
        <v>427</v>
      </c>
      <c r="D10136" s="106">
        <v>257.98</v>
      </c>
    </row>
    <row r="10137" spans="1:4">
      <c r="A10137">
        <v>38947</v>
      </c>
      <c r="B10137" t="s">
        <v>10617</v>
      </c>
      <c r="C10137" t="s">
        <v>427</v>
      </c>
      <c r="D10137" s="106">
        <v>8.92</v>
      </c>
    </row>
    <row r="10138" spans="1:4">
      <c r="A10138">
        <v>38948</v>
      </c>
      <c r="B10138" t="s">
        <v>10618</v>
      </c>
      <c r="C10138" t="s">
        <v>427</v>
      </c>
      <c r="D10138" s="106">
        <v>14.23</v>
      </c>
    </row>
    <row r="10139" spans="1:4">
      <c r="A10139">
        <v>38949</v>
      </c>
      <c r="B10139" t="s">
        <v>10619</v>
      </c>
      <c r="C10139" t="s">
        <v>427</v>
      </c>
      <c r="D10139" s="106">
        <v>15.79</v>
      </c>
    </row>
    <row r="10140" spans="1:4">
      <c r="A10140">
        <v>38951</v>
      </c>
      <c r="B10140" t="s">
        <v>10620</v>
      </c>
      <c r="C10140" t="s">
        <v>427</v>
      </c>
      <c r="D10140" s="106">
        <v>24.97</v>
      </c>
    </row>
    <row r="10141" spans="1:4">
      <c r="A10141">
        <v>39312</v>
      </c>
      <c r="B10141" t="s">
        <v>10621</v>
      </c>
      <c r="C10141" t="s">
        <v>427</v>
      </c>
      <c r="D10141" s="106">
        <v>19.37</v>
      </c>
    </row>
    <row r="10142" spans="1:4">
      <c r="A10142">
        <v>39313</v>
      </c>
      <c r="B10142" t="s">
        <v>10622</v>
      </c>
      <c r="C10142" t="s">
        <v>427</v>
      </c>
      <c r="D10142" s="106">
        <v>25.28</v>
      </c>
    </row>
    <row r="10143" spans="1:4">
      <c r="A10143">
        <v>38950</v>
      </c>
      <c r="B10143" t="s">
        <v>10623</v>
      </c>
      <c r="C10143" t="s">
        <v>427</v>
      </c>
      <c r="D10143" s="106">
        <v>38.049999999999997</v>
      </c>
    </row>
    <row r="10144" spans="1:4">
      <c r="A10144">
        <v>39314</v>
      </c>
      <c r="B10144" t="s">
        <v>10624</v>
      </c>
      <c r="C10144" t="s">
        <v>427</v>
      </c>
      <c r="D10144" s="106">
        <v>40.14</v>
      </c>
    </row>
    <row r="10145" spans="1:4">
      <c r="A10145">
        <v>3907</v>
      </c>
      <c r="B10145" t="s">
        <v>10625</v>
      </c>
      <c r="C10145" t="s">
        <v>427</v>
      </c>
      <c r="D10145" s="106">
        <v>4.66</v>
      </c>
    </row>
    <row r="10146" spans="1:4">
      <c r="A10146">
        <v>3889</v>
      </c>
      <c r="B10146" t="s">
        <v>10626</v>
      </c>
      <c r="C10146" t="s">
        <v>427</v>
      </c>
      <c r="D10146" s="106">
        <v>3.56</v>
      </c>
    </row>
    <row r="10147" spans="1:4">
      <c r="A10147">
        <v>3868</v>
      </c>
      <c r="B10147" t="s">
        <v>10627</v>
      </c>
      <c r="C10147" t="s">
        <v>427</v>
      </c>
      <c r="D10147" s="106">
        <v>1.38</v>
      </c>
    </row>
    <row r="10148" spans="1:4">
      <c r="A10148">
        <v>3869</v>
      </c>
      <c r="B10148" t="s">
        <v>10628</v>
      </c>
      <c r="C10148" t="s">
        <v>427</v>
      </c>
      <c r="D10148" s="106">
        <v>3.96</v>
      </c>
    </row>
    <row r="10149" spans="1:4">
      <c r="A10149">
        <v>3872</v>
      </c>
      <c r="B10149" t="s">
        <v>10629</v>
      </c>
      <c r="C10149" t="s">
        <v>427</v>
      </c>
      <c r="D10149" s="106">
        <v>4.8099999999999996</v>
      </c>
    </row>
    <row r="10150" spans="1:4">
      <c r="A10150">
        <v>3850</v>
      </c>
      <c r="B10150" t="s">
        <v>10630</v>
      </c>
      <c r="C10150" t="s">
        <v>427</v>
      </c>
      <c r="D10150" s="106">
        <v>12.4</v>
      </c>
    </row>
    <row r="10151" spans="1:4">
      <c r="A10151">
        <v>38023</v>
      </c>
      <c r="B10151" t="s">
        <v>10631</v>
      </c>
      <c r="C10151" t="s">
        <v>427</v>
      </c>
      <c r="D10151" s="106">
        <v>5.23</v>
      </c>
    </row>
    <row r="10152" spans="1:4">
      <c r="A10152">
        <v>37986</v>
      </c>
      <c r="B10152" t="s">
        <v>10632</v>
      </c>
      <c r="C10152" t="s">
        <v>427</v>
      </c>
      <c r="D10152" s="106">
        <v>2.76</v>
      </c>
    </row>
    <row r="10153" spans="1:4">
      <c r="A10153">
        <v>37987</v>
      </c>
      <c r="B10153" t="s">
        <v>10633</v>
      </c>
      <c r="C10153" t="s">
        <v>427</v>
      </c>
      <c r="D10153" s="106">
        <v>206.47</v>
      </c>
    </row>
    <row r="10154" spans="1:4">
      <c r="A10154">
        <v>37988</v>
      </c>
      <c r="B10154" t="s">
        <v>10634</v>
      </c>
      <c r="C10154" t="s">
        <v>427</v>
      </c>
      <c r="D10154" s="106">
        <v>336.77</v>
      </c>
    </row>
    <row r="10155" spans="1:4">
      <c r="A10155">
        <v>21120</v>
      </c>
      <c r="B10155" t="s">
        <v>10635</v>
      </c>
      <c r="C10155" t="s">
        <v>427</v>
      </c>
      <c r="D10155" s="106">
        <v>16.78</v>
      </c>
    </row>
    <row r="10156" spans="1:4">
      <c r="A10156">
        <v>39318</v>
      </c>
      <c r="B10156" t="s">
        <v>10636</v>
      </c>
      <c r="C10156" t="s">
        <v>427</v>
      </c>
      <c r="D10156" s="106">
        <v>13.84</v>
      </c>
    </row>
    <row r="10157" spans="1:4">
      <c r="A10157">
        <v>20162</v>
      </c>
      <c r="B10157" t="s">
        <v>10637</v>
      </c>
      <c r="C10157" t="s">
        <v>427</v>
      </c>
      <c r="D10157" s="106">
        <v>22.25</v>
      </c>
    </row>
    <row r="10158" spans="1:4">
      <c r="A10158">
        <v>40366</v>
      </c>
      <c r="B10158" t="s">
        <v>10638</v>
      </c>
      <c r="C10158" t="s">
        <v>427</v>
      </c>
      <c r="D10158" s="106">
        <v>46.9</v>
      </c>
    </row>
    <row r="10159" spans="1:4">
      <c r="A10159">
        <v>40363</v>
      </c>
      <c r="B10159" t="s">
        <v>10639</v>
      </c>
      <c r="C10159" t="s">
        <v>427</v>
      </c>
      <c r="D10159" s="106">
        <v>36.68</v>
      </c>
    </row>
    <row r="10160" spans="1:4">
      <c r="A10160">
        <v>40354</v>
      </c>
      <c r="B10160" t="s">
        <v>10640</v>
      </c>
      <c r="C10160" t="s">
        <v>427</v>
      </c>
      <c r="D10160" s="106">
        <v>15.97</v>
      </c>
    </row>
    <row r="10161" spans="1:4">
      <c r="A10161">
        <v>40360</v>
      </c>
      <c r="B10161" t="s">
        <v>10641</v>
      </c>
      <c r="C10161" t="s">
        <v>427</v>
      </c>
      <c r="D10161" s="106">
        <v>24.05</v>
      </c>
    </row>
    <row r="10162" spans="1:4">
      <c r="A10162">
        <v>40372</v>
      </c>
      <c r="B10162" t="s">
        <v>10642</v>
      </c>
      <c r="C10162" t="s">
        <v>427</v>
      </c>
      <c r="D10162" s="106">
        <v>148.51</v>
      </c>
    </row>
    <row r="10163" spans="1:4">
      <c r="A10163">
        <v>40369</v>
      </c>
      <c r="B10163" t="s">
        <v>10643</v>
      </c>
      <c r="C10163" t="s">
        <v>427</v>
      </c>
      <c r="D10163" s="106">
        <v>73.91</v>
      </c>
    </row>
    <row r="10164" spans="1:4">
      <c r="A10164">
        <v>40357</v>
      </c>
      <c r="B10164" t="s">
        <v>10644</v>
      </c>
      <c r="C10164" t="s">
        <v>427</v>
      </c>
      <c r="D10164" s="106">
        <v>17.920000000000002</v>
      </c>
    </row>
    <row r="10165" spans="1:4">
      <c r="A10165">
        <v>40375</v>
      </c>
      <c r="B10165" t="s">
        <v>10645</v>
      </c>
      <c r="C10165" t="s">
        <v>427</v>
      </c>
      <c r="D10165" s="106">
        <v>201.04</v>
      </c>
    </row>
    <row r="10166" spans="1:4">
      <c r="A10166">
        <v>1893</v>
      </c>
      <c r="B10166" t="s">
        <v>10646</v>
      </c>
      <c r="C10166" t="s">
        <v>427</v>
      </c>
      <c r="D10166" s="106">
        <v>3.34</v>
      </c>
    </row>
    <row r="10167" spans="1:4">
      <c r="A10167">
        <v>1902</v>
      </c>
      <c r="B10167" t="s">
        <v>10647</v>
      </c>
      <c r="C10167" t="s">
        <v>427</v>
      </c>
      <c r="D10167" s="106">
        <v>2.4300000000000002</v>
      </c>
    </row>
    <row r="10168" spans="1:4">
      <c r="A10168">
        <v>1901</v>
      </c>
      <c r="B10168" t="s">
        <v>10648</v>
      </c>
      <c r="C10168" t="s">
        <v>427</v>
      </c>
      <c r="D10168" s="106">
        <v>0.76</v>
      </c>
    </row>
    <row r="10169" spans="1:4">
      <c r="A10169">
        <v>1892</v>
      </c>
      <c r="B10169" t="s">
        <v>10649</v>
      </c>
      <c r="C10169" t="s">
        <v>427</v>
      </c>
      <c r="D10169" s="106">
        <v>1.56</v>
      </c>
    </row>
    <row r="10170" spans="1:4">
      <c r="A10170">
        <v>1907</v>
      </c>
      <c r="B10170" t="s">
        <v>10650</v>
      </c>
      <c r="C10170" t="s">
        <v>427</v>
      </c>
      <c r="D10170" s="106">
        <v>10.74</v>
      </c>
    </row>
    <row r="10171" spans="1:4">
      <c r="A10171">
        <v>1894</v>
      </c>
      <c r="B10171" t="s">
        <v>10651</v>
      </c>
      <c r="C10171" t="s">
        <v>427</v>
      </c>
      <c r="D10171" s="106">
        <v>4.83</v>
      </c>
    </row>
    <row r="10172" spans="1:4">
      <c r="A10172">
        <v>1891</v>
      </c>
      <c r="B10172" t="s">
        <v>10652</v>
      </c>
      <c r="C10172" t="s">
        <v>427</v>
      </c>
      <c r="D10172" s="106">
        <v>1.1200000000000001</v>
      </c>
    </row>
    <row r="10173" spans="1:4">
      <c r="A10173">
        <v>1896</v>
      </c>
      <c r="B10173" t="s">
        <v>10653</v>
      </c>
      <c r="C10173" t="s">
        <v>427</v>
      </c>
      <c r="D10173" s="106">
        <v>14.42</v>
      </c>
    </row>
    <row r="10174" spans="1:4">
      <c r="A10174">
        <v>1895</v>
      </c>
      <c r="B10174" t="s">
        <v>10654</v>
      </c>
      <c r="C10174" t="s">
        <v>427</v>
      </c>
      <c r="D10174" s="106">
        <v>25.35</v>
      </c>
    </row>
    <row r="10175" spans="1:4">
      <c r="A10175">
        <v>2641</v>
      </c>
      <c r="B10175" t="s">
        <v>10655</v>
      </c>
      <c r="C10175" t="s">
        <v>427</v>
      </c>
      <c r="D10175" s="106">
        <v>29.02</v>
      </c>
    </row>
    <row r="10176" spans="1:4">
      <c r="A10176">
        <v>2636</v>
      </c>
      <c r="B10176" t="s">
        <v>10656</v>
      </c>
      <c r="C10176" t="s">
        <v>427</v>
      </c>
      <c r="D10176" s="106">
        <v>1.87</v>
      </c>
    </row>
    <row r="10177" spans="1:4">
      <c r="A10177">
        <v>2637</v>
      </c>
      <c r="B10177" t="s">
        <v>10657</v>
      </c>
      <c r="C10177" t="s">
        <v>427</v>
      </c>
      <c r="D10177" s="106">
        <v>1.99</v>
      </c>
    </row>
    <row r="10178" spans="1:4">
      <c r="A10178">
        <v>2638</v>
      </c>
      <c r="B10178" t="s">
        <v>10658</v>
      </c>
      <c r="C10178" t="s">
        <v>427</v>
      </c>
      <c r="D10178" s="106">
        <v>2.31</v>
      </c>
    </row>
    <row r="10179" spans="1:4">
      <c r="A10179">
        <v>2639</v>
      </c>
      <c r="B10179" t="s">
        <v>10659</v>
      </c>
      <c r="C10179" t="s">
        <v>427</v>
      </c>
      <c r="D10179" s="106">
        <v>4.0999999999999996</v>
      </c>
    </row>
    <row r="10180" spans="1:4">
      <c r="A10180">
        <v>2644</v>
      </c>
      <c r="B10180" t="s">
        <v>10660</v>
      </c>
      <c r="C10180" t="s">
        <v>427</v>
      </c>
      <c r="D10180" s="106">
        <v>5.94</v>
      </c>
    </row>
    <row r="10181" spans="1:4">
      <c r="A10181">
        <v>2643</v>
      </c>
      <c r="B10181" t="s">
        <v>10661</v>
      </c>
      <c r="C10181" t="s">
        <v>427</v>
      </c>
      <c r="D10181" s="106">
        <v>8.2799999999999994</v>
      </c>
    </row>
    <row r="10182" spans="1:4">
      <c r="A10182">
        <v>2640</v>
      </c>
      <c r="B10182" t="s">
        <v>10662</v>
      </c>
      <c r="C10182" t="s">
        <v>427</v>
      </c>
      <c r="D10182" s="106">
        <v>12.08</v>
      </c>
    </row>
    <row r="10183" spans="1:4">
      <c r="A10183">
        <v>2642</v>
      </c>
      <c r="B10183" t="s">
        <v>10663</v>
      </c>
      <c r="C10183" t="s">
        <v>427</v>
      </c>
      <c r="D10183" s="106">
        <v>18.39</v>
      </c>
    </row>
    <row r="10184" spans="1:4">
      <c r="A10184">
        <v>38943</v>
      </c>
      <c r="B10184" t="s">
        <v>10664</v>
      </c>
      <c r="C10184" t="s">
        <v>427</v>
      </c>
      <c r="D10184" s="106">
        <v>6.58</v>
      </c>
    </row>
    <row r="10185" spans="1:4">
      <c r="A10185">
        <v>38944</v>
      </c>
      <c r="B10185" t="s">
        <v>10665</v>
      </c>
      <c r="C10185" t="s">
        <v>427</v>
      </c>
      <c r="D10185" s="106">
        <v>10.18</v>
      </c>
    </row>
    <row r="10186" spans="1:4">
      <c r="A10186">
        <v>38945</v>
      </c>
      <c r="B10186" t="s">
        <v>10666</v>
      </c>
      <c r="C10186" t="s">
        <v>427</v>
      </c>
      <c r="D10186" s="106">
        <v>20.64</v>
      </c>
    </row>
    <row r="10187" spans="1:4">
      <c r="A10187">
        <v>38946</v>
      </c>
      <c r="B10187" t="s">
        <v>10667</v>
      </c>
      <c r="C10187" t="s">
        <v>427</v>
      </c>
      <c r="D10187" s="106">
        <v>30.78</v>
      </c>
    </row>
    <row r="10188" spans="1:4">
      <c r="A10188">
        <v>39308</v>
      </c>
      <c r="B10188" t="s">
        <v>10668</v>
      </c>
      <c r="C10188" t="s">
        <v>427</v>
      </c>
      <c r="D10188" s="106">
        <v>13.42</v>
      </c>
    </row>
    <row r="10189" spans="1:4">
      <c r="A10189">
        <v>39309</v>
      </c>
      <c r="B10189" t="s">
        <v>10669</v>
      </c>
      <c r="C10189" t="s">
        <v>427</v>
      </c>
      <c r="D10189" s="106">
        <v>19.41</v>
      </c>
    </row>
    <row r="10190" spans="1:4">
      <c r="A10190">
        <v>39310</v>
      </c>
      <c r="B10190" t="s">
        <v>10670</v>
      </c>
      <c r="C10190" t="s">
        <v>427</v>
      </c>
      <c r="D10190" s="106">
        <v>29.41</v>
      </c>
    </row>
    <row r="10191" spans="1:4">
      <c r="A10191">
        <v>39311</v>
      </c>
      <c r="B10191" t="s">
        <v>10671</v>
      </c>
      <c r="C10191" t="s">
        <v>427</v>
      </c>
      <c r="D10191" s="106">
        <v>44.21</v>
      </c>
    </row>
    <row r="10192" spans="1:4">
      <c r="A10192">
        <v>39855</v>
      </c>
      <c r="B10192" t="s">
        <v>10672</v>
      </c>
      <c r="C10192" t="s">
        <v>427</v>
      </c>
      <c r="D10192" s="106">
        <v>3.33</v>
      </c>
    </row>
    <row r="10193" spans="1:4">
      <c r="A10193">
        <v>39856</v>
      </c>
      <c r="B10193" t="s">
        <v>10673</v>
      </c>
      <c r="C10193" t="s">
        <v>427</v>
      </c>
      <c r="D10193" s="106">
        <v>7.86</v>
      </c>
    </row>
    <row r="10194" spans="1:4">
      <c r="A10194">
        <v>39857</v>
      </c>
      <c r="B10194" t="s">
        <v>10674</v>
      </c>
      <c r="C10194" t="s">
        <v>427</v>
      </c>
      <c r="D10194" s="106">
        <v>12.72</v>
      </c>
    </row>
    <row r="10195" spans="1:4">
      <c r="A10195">
        <v>39858</v>
      </c>
      <c r="B10195" t="s">
        <v>10675</v>
      </c>
      <c r="C10195" t="s">
        <v>427</v>
      </c>
      <c r="D10195" s="106">
        <v>28.23</v>
      </c>
    </row>
    <row r="10196" spans="1:4">
      <c r="A10196">
        <v>39859</v>
      </c>
      <c r="B10196" t="s">
        <v>10676</v>
      </c>
      <c r="C10196" t="s">
        <v>427</v>
      </c>
      <c r="D10196" s="106">
        <v>43.52</v>
      </c>
    </row>
    <row r="10197" spans="1:4">
      <c r="A10197">
        <v>39860</v>
      </c>
      <c r="B10197" t="s">
        <v>10677</v>
      </c>
      <c r="C10197" t="s">
        <v>427</v>
      </c>
      <c r="D10197" s="106">
        <v>66.78</v>
      </c>
    </row>
    <row r="10198" spans="1:4">
      <c r="A10198">
        <v>39861</v>
      </c>
      <c r="B10198" t="s">
        <v>10678</v>
      </c>
      <c r="C10198" t="s">
        <v>427</v>
      </c>
      <c r="D10198" s="106">
        <v>190.68</v>
      </c>
    </row>
    <row r="10199" spans="1:4">
      <c r="A10199">
        <v>38447</v>
      </c>
      <c r="B10199" t="s">
        <v>10679</v>
      </c>
      <c r="C10199" t="s">
        <v>427</v>
      </c>
      <c r="D10199" s="106">
        <v>133.9</v>
      </c>
    </row>
    <row r="10200" spans="1:4">
      <c r="A10200">
        <v>36320</v>
      </c>
      <c r="B10200" t="s">
        <v>10680</v>
      </c>
      <c r="C10200" t="s">
        <v>427</v>
      </c>
      <c r="D10200" s="106">
        <v>1.94</v>
      </c>
    </row>
    <row r="10201" spans="1:4">
      <c r="A10201">
        <v>36324</v>
      </c>
      <c r="B10201" t="s">
        <v>10681</v>
      </c>
      <c r="C10201" t="s">
        <v>427</v>
      </c>
      <c r="D10201" s="106">
        <v>2.94</v>
      </c>
    </row>
    <row r="10202" spans="1:4">
      <c r="A10202">
        <v>38441</v>
      </c>
      <c r="B10202" t="s">
        <v>10682</v>
      </c>
      <c r="C10202" t="s">
        <v>427</v>
      </c>
      <c r="D10202" s="106">
        <v>3.86</v>
      </c>
    </row>
    <row r="10203" spans="1:4">
      <c r="A10203">
        <v>38442</v>
      </c>
      <c r="B10203" t="s">
        <v>10683</v>
      </c>
      <c r="C10203" t="s">
        <v>427</v>
      </c>
      <c r="D10203" s="106">
        <v>9.82</v>
      </c>
    </row>
    <row r="10204" spans="1:4">
      <c r="A10204">
        <v>38443</v>
      </c>
      <c r="B10204" t="s">
        <v>10684</v>
      </c>
      <c r="C10204" t="s">
        <v>427</v>
      </c>
      <c r="D10204" s="106">
        <v>14.83</v>
      </c>
    </row>
    <row r="10205" spans="1:4">
      <c r="A10205">
        <v>38444</v>
      </c>
      <c r="B10205" t="s">
        <v>10685</v>
      </c>
      <c r="C10205" t="s">
        <v>427</v>
      </c>
      <c r="D10205" s="106">
        <v>22.08</v>
      </c>
    </row>
    <row r="10206" spans="1:4">
      <c r="A10206">
        <v>38445</v>
      </c>
      <c r="B10206" t="s">
        <v>10686</v>
      </c>
      <c r="C10206" t="s">
        <v>427</v>
      </c>
      <c r="D10206" s="106">
        <v>51.85</v>
      </c>
    </row>
    <row r="10207" spans="1:4">
      <c r="A10207">
        <v>38446</v>
      </c>
      <c r="B10207" t="s">
        <v>10687</v>
      </c>
      <c r="C10207" t="s">
        <v>427</v>
      </c>
      <c r="D10207" s="106">
        <v>83.68</v>
      </c>
    </row>
    <row r="10208" spans="1:4">
      <c r="A10208">
        <v>3867</v>
      </c>
      <c r="B10208" t="s">
        <v>10688</v>
      </c>
      <c r="C10208" t="s">
        <v>427</v>
      </c>
      <c r="D10208" s="106">
        <v>83.32</v>
      </c>
    </row>
    <row r="10209" spans="1:4">
      <c r="A10209">
        <v>3861</v>
      </c>
      <c r="B10209" t="s">
        <v>10689</v>
      </c>
      <c r="C10209" t="s">
        <v>427</v>
      </c>
      <c r="D10209" s="106">
        <v>0.69</v>
      </c>
    </row>
    <row r="10210" spans="1:4">
      <c r="A10210">
        <v>3904</v>
      </c>
      <c r="B10210" t="s">
        <v>10690</v>
      </c>
      <c r="C10210" t="s">
        <v>427</v>
      </c>
      <c r="D10210" s="106">
        <v>0.84</v>
      </c>
    </row>
    <row r="10211" spans="1:4">
      <c r="A10211">
        <v>3903</v>
      </c>
      <c r="B10211" t="s">
        <v>10691</v>
      </c>
      <c r="C10211" t="s">
        <v>427</v>
      </c>
      <c r="D10211" s="106">
        <v>2.0699999999999998</v>
      </c>
    </row>
    <row r="10212" spans="1:4">
      <c r="A10212">
        <v>3862</v>
      </c>
      <c r="B10212" t="s">
        <v>10692</v>
      </c>
      <c r="C10212" t="s">
        <v>427</v>
      </c>
      <c r="D10212" s="106">
        <v>4.22</v>
      </c>
    </row>
    <row r="10213" spans="1:4">
      <c r="A10213">
        <v>3863</v>
      </c>
      <c r="B10213" t="s">
        <v>10693</v>
      </c>
      <c r="C10213" t="s">
        <v>427</v>
      </c>
      <c r="D10213" s="106">
        <v>4.95</v>
      </c>
    </row>
    <row r="10214" spans="1:4">
      <c r="A10214">
        <v>3864</v>
      </c>
      <c r="B10214" t="s">
        <v>10694</v>
      </c>
      <c r="C10214" t="s">
        <v>427</v>
      </c>
      <c r="D10214" s="106">
        <v>12.9</v>
      </c>
    </row>
    <row r="10215" spans="1:4">
      <c r="A10215">
        <v>3865</v>
      </c>
      <c r="B10215" t="s">
        <v>10695</v>
      </c>
      <c r="C10215" t="s">
        <v>427</v>
      </c>
      <c r="D10215" s="106">
        <v>22.44</v>
      </c>
    </row>
    <row r="10216" spans="1:4">
      <c r="A10216">
        <v>3866</v>
      </c>
      <c r="B10216" t="s">
        <v>10696</v>
      </c>
      <c r="C10216" t="s">
        <v>427</v>
      </c>
      <c r="D10216" s="106">
        <v>51.36</v>
      </c>
    </row>
    <row r="10217" spans="1:4">
      <c r="A10217">
        <v>3902</v>
      </c>
      <c r="B10217" t="s">
        <v>10697</v>
      </c>
      <c r="C10217" t="s">
        <v>427</v>
      </c>
      <c r="D10217" s="106">
        <v>24.98</v>
      </c>
    </row>
    <row r="10218" spans="1:4">
      <c r="A10218">
        <v>3878</v>
      </c>
      <c r="B10218" t="s">
        <v>10698</v>
      </c>
      <c r="C10218" t="s">
        <v>427</v>
      </c>
      <c r="D10218" s="106">
        <v>7.89</v>
      </c>
    </row>
    <row r="10219" spans="1:4">
      <c r="A10219">
        <v>3877</v>
      </c>
      <c r="B10219" t="s">
        <v>10699</v>
      </c>
      <c r="C10219" t="s">
        <v>427</v>
      </c>
      <c r="D10219" s="106">
        <v>7.21</v>
      </c>
    </row>
    <row r="10220" spans="1:4">
      <c r="A10220">
        <v>3879</v>
      </c>
      <c r="B10220" t="s">
        <v>10700</v>
      </c>
      <c r="C10220" t="s">
        <v>427</v>
      </c>
      <c r="D10220" s="106">
        <v>15.92</v>
      </c>
    </row>
    <row r="10221" spans="1:4">
      <c r="A10221">
        <v>3880</v>
      </c>
      <c r="B10221" t="s">
        <v>10701</v>
      </c>
      <c r="C10221" t="s">
        <v>427</v>
      </c>
      <c r="D10221" s="106">
        <v>35.92</v>
      </c>
    </row>
    <row r="10222" spans="1:4">
      <c r="A10222">
        <v>12892</v>
      </c>
      <c r="B10222" t="s">
        <v>10702</v>
      </c>
      <c r="C10222" t="s">
        <v>434</v>
      </c>
      <c r="D10222" s="106">
        <v>18</v>
      </c>
    </row>
    <row r="10223" spans="1:4">
      <c r="A10223">
        <v>3883</v>
      </c>
      <c r="B10223" t="s">
        <v>10703</v>
      </c>
      <c r="C10223" t="s">
        <v>427</v>
      </c>
      <c r="D10223" s="106">
        <v>1.66</v>
      </c>
    </row>
    <row r="10224" spans="1:4">
      <c r="A10224">
        <v>3876</v>
      </c>
      <c r="B10224" t="s">
        <v>10704</v>
      </c>
      <c r="C10224" t="s">
        <v>427</v>
      </c>
      <c r="D10224" s="106">
        <v>4.1500000000000004</v>
      </c>
    </row>
    <row r="10225" spans="1:4">
      <c r="A10225">
        <v>3884</v>
      </c>
      <c r="B10225" t="s">
        <v>10705</v>
      </c>
      <c r="C10225" t="s">
        <v>427</v>
      </c>
      <c r="D10225" s="106">
        <v>2.48</v>
      </c>
    </row>
    <row r="10226" spans="1:4">
      <c r="A10226">
        <v>3837</v>
      </c>
      <c r="B10226" t="s">
        <v>10706</v>
      </c>
      <c r="C10226" t="s">
        <v>427</v>
      </c>
      <c r="D10226" s="106">
        <v>56.91</v>
      </c>
    </row>
    <row r="10227" spans="1:4">
      <c r="A10227">
        <v>3845</v>
      </c>
      <c r="B10227" t="s">
        <v>10707</v>
      </c>
      <c r="C10227" t="s">
        <v>427</v>
      </c>
      <c r="D10227" s="106">
        <v>20.79</v>
      </c>
    </row>
    <row r="10228" spans="1:4">
      <c r="A10228">
        <v>11045</v>
      </c>
      <c r="B10228" t="s">
        <v>10708</v>
      </c>
      <c r="C10228" t="s">
        <v>427</v>
      </c>
      <c r="D10228" s="106">
        <v>40.1</v>
      </c>
    </row>
    <row r="10229" spans="1:4">
      <c r="A10229">
        <v>20170</v>
      </c>
      <c r="B10229" t="s">
        <v>10709</v>
      </c>
      <c r="C10229" t="s">
        <v>427</v>
      </c>
      <c r="D10229" s="106">
        <v>18.03</v>
      </c>
    </row>
    <row r="10230" spans="1:4">
      <c r="A10230">
        <v>20171</v>
      </c>
      <c r="B10230" t="s">
        <v>10710</v>
      </c>
      <c r="C10230" t="s">
        <v>427</v>
      </c>
      <c r="D10230" s="106">
        <v>53.57</v>
      </c>
    </row>
    <row r="10231" spans="1:4">
      <c r="A10231">
        <v>20167</v>
      </c>
      <c r="B10231" t="s">
        <v>10711</v>
      </c>
      <c r="C10231" t="s">
        <v>427</v>
      </c>
      <c r="D10231" s="106">
        <v>6.7</v>
      </c>
    </row>
    <row r="10232" spans="1:4">
      <c r="A10232">
        <v>20168</v>
      </c>
      <c r="B10232" t="s">
        <v>10712</v>
      </c>
      <c r="C10232" t="s">
        <v>427</v>
      </c>
      <c r="D10232" s="106">
        <v>10.5</v>
      </c>
    </row>
    <row r="10233" spans="1:4">
      <c r="A10233">
        <v>20169</v>
      </c>
      <c r="B10233" t="s">
        <v>10713</v>
      </c>
      <c r="C10233" t="s">
        <v>427</v>
      </c>
      <c r="D10233" s="106">
        <v>14.87</v>
      </c>
    </row>
    <row r="10234" spans="1:4">
      <c r="A10234">
        <v>3899</v>
      </c>
      <c r="B10234" t="s">
        <v>10714</v>
      </c>
      <c r="C10234" t="s">
        <v>427</v>
      </c>
      <c r="D10234" s="106">
        <v>7.87</v>
      </c>
    </row>
    <row r="10235" spans="1:4">
      <c r="A10235">
        <v>38676</v>
      </c>
      <c r="B10235" t="s">
        <v>10715</v>
      </c>
      <c r="C10235" t="s">
        <v>427</v>
      </c>
      <c r="D10235" s="106">
        <v>38.119999999999997</v>
      </c>
    </row>
    <row r="10236" spans="1:4">
      <c r="A10236">
        <v>3897</v>
      </c>
      <c r="B10236" t="s">
        <v>10716</v>
      </c>
      <c r="C10236" t="s">
        <v>427</v>
      </c>
      <c r="D10236" s="106">
        <v>1.66</v>
      </c>
    </row>
    <row r="10237" spans="1:4">
      <c r="A10237">
        <v>3875</v>
      </c>
      <c r="B10237" t="s">
        <v>10717</v>
      </c>
      <c r="C10237" t="s">
        <v>427</v>
      </c>
      <c r="D10237" s="106">
        <v>3.59</v>
      </c>
    </row>
    <row r="10238" spans="1:4">
      <c r="A10238">
        <v>3898</v>
      </c>
      <c r="B10238" t="s">
        <v>10718</v>
      </c>
      <c r="C10238" t="s">
        <v>427</v>
      </c>
      <c r="D10238" s="106">
        <v>6.79</v>
      </c>
    </row>
    <row r="10239" spans="1:4">
      <c r="A10239">
        <v>3855</v>
      </c>
      <c r="B10239" t="s">
        <v>10719</v>
      </c>
      <c r="C10239" t="s">
        <v>427</v>
      </c>
      <c r="D10239" s="106">
        <v>5.51</v>
      </c>
    </row>
    <row r="10240" spans="1:4">
      <c r="A10240">
        <v>3874</v>
      </c>
      <c r="B10240" t="s">
        <v>10720</v>
      </c>
      <c r="C10240" t="s">
        <v>427</v>
      </c>
      <c r="D10240" s="106">
        <v>5.85</v>
      </c>
    </row>
    <row r="10241" spans="1:4">
      <c r="A10241">
        <v>3870</v>
      </c>
      <c r="B10241" t="s">
        <v>10721</v>
      </c>
      <c r="C10241" t="s">
        <v>427</v>
      </c>
      <c r="D10241" s="106">
        <v>7.27</v>
      </c>
    </row>
    <row r="10242" spans="1:4">
      <c r="A10242">
        <v>38678</v>
      </c>
      <c r="B10242" t="s">
        <v>10722</v>
      </c>
      <c r="C10242" t="s">
        <v>427</v>
      </c>
      <c r="D10242" s="106">
        <v>19.78</v>
      </c>
    </row>
    <row r="10243" spans="1:4">
      <c r="A10243">
        <v>3859</v>
      </c>
      <c r="B10243" t="s">
        <v>10723</v>
      </c>
      <c r="C10243" t="s">
        <v>427</v>
      </c>
      <c r="D10243" s="106">
        <v>1.46</v>
      </c>
    </row>
    <row r="10244" spans="1:4">
      <c r="A10244">
        <v>3856</v>
      </c>
      <c r="B10244" t="s">
        <v>10724</v>
      </c>
      <c r="C10244" t="s">
        <v>427</v>
      </c>
      <c r="D10244" s="106">
        <v>1.86</v>
      </c>
    </row>
    <row r="10245" spans="1:4">
      <c r="A10245">
        <v>3906</v>
      </c>
      <c r="B10245" t="s">
        <v>10725</v>
      </c>
      <c r="C10245" t="s">
        <v>427</v>
      </c>
      <c r="D10245" s="106">
        <v>1.75</v>
      </c>
    </row>
    <row r="10246" spans="1:4">
      <c r="A10246">
        <v>3860</v>
      </c>
      <c r="B10246" t="s">
        <v>10726</v>
      </c>
      <c r="C10246" t="s">
        <v>427</v>
      </c>
      <c r="D10246" s="106">
        <v>5.75</v>
      </c>
    </row>
    <row r="10247" spans="1:4">
      <c r="A10247">
        <v>3905</v>
      </c>
      <c r="B10247" t="s">
        <v>10727</v>
      </c>
      <c r="C10247" t="s">
        <v>427</v>
      </c>
      <c r="D10247" s="106">
        <v>12.73</v>
      </c>
    </row>
    <row r="10248" spans="1:4">
      <c r="A10248">
        <v>3871</v>
      </c>
      <c r="B10248" t="s">
        <v>10728</v>
      </c>
      <c r="C10248" t="s">
        <v>427</v>
      </c>
      <c r="D10248" s="106">
        <v>26.42</v>
      </c>
    </row>
    <row r="10249" spans="1:4">
      <c r="A10249">
        <v>37429</v>
      </c>
      <c r="B10249" t="s">
        <v>10729</v>
      </c>
      <c r="C10249" t="s">
        <v>427</v>
      </c>
      <c r="D10249" s="107">
        <v>2927.43</v>
      </c>
    </row>
    <row r="10250" spans="1:4">
      <c r="A10250">
        <v>37426</v>
      </c>
      <c r="B10250" t="s">
        <v>10730</v>
      </c>
      <c r="C10250" t="s">
        <v>427</v>
      </c>
      <c r="D10250" s="106">
        <v>28.16</v>
      </c>
    </row>
    <row r="10251" spans="1:4">
      <c r="A10251">
        <v>37427</v>
      </c>
      <c r="B10251" t="s">
        <v>10731</v>
      </c>
      <c r="C10251" t="s">
        <v>427</v>
      </c>
      <c r="D10251" s="106">
        <v>67.17</v>
      </c>
    </row>
    <row r="10252" spans="1:4">
      <c r="A10252">
        <v>37424</v>
      </c>
      <c r="B10252" t="s">
        <v>10732</v>
      </c>
      <c r="C10252" t="s">
        <v>427</v>
      </c>
      <c r="D10252" s="106">
        <v>12.94</v>
      </c>
    </row>
    <row r="10253" spans="1:4">
      <c r="A10253">
        <v>37428</v>
      </c>
      <c r="B10253" t="s">
        <v>10733</v>
      </c>
      <c r="C10253" t="s">
        <v>427</v>
      </c>
      <c r="D10253" s="106">
        <v>231.5</v>
      </c>
    </row>
    <row r="10254" spans="1:4">
      <c r="A10254">
        <v>37425</v>
      </c>
      <c r="B10254" t="s">
        <v>10734</v>
      </c>
      <c r="C10254" t="s">
        <v>427</v>
      </c>
      <c r="D10254" s="106">
        <v>13.95</v>
      </c>
    </row>
    <row r="10255" spans="1:4">
      <c r="A10255">
        <v>11519</v>
      </c>
      <c r="B10255" t="s">
        <v>10735</v>
      </c>
      <c r="C10255" t="s">
        <v>434</v>
      </c>
      <c r="D10255" s="106">
        <v>46.4</v>
      </c>
    </row>
    <row r="10256" spans="1:4">
      <c r="A10256">
        <v>11520</v>
      </c>
      <c r="B10256" t="s">
        <v>10736</v>
      </c>
      <c r="C10256" t="s">
        <v>434</v>
      </c>
      <c r="D10256" s="106">
        <v>21.45</v>
      </c>
    </row>
    <row r="10257" spans="1:4">
      <c r="A10257">
        <v>11518</v>
      </c>
      <c r="B10257" t="s">
        <v>10737</v>
      </c>
      <c r="C10257" t="s">
        <v>434</v>
      </c>
      <c r="D10257" s="106">
        <v>78</v>
      </c>
    </row>
    <row r="10258" spans="1:4">
      <c r="A10258">
        <v>38473</v>
      </c>
      <c r="B10258" t="s">
        <v>10738</v>
      </c>
      <c r="C10258" t="s">
        <v>427</v>
      </c>
      <c r="D10258" s="106">
        <v>130.5</v>
      </c>
    </row>
    <row r="10259" spans="1:4">
      <c r="A10259">
        <v>4244</v>
      </c>
      <c r="B10259" t="s">
        <v>10739</v>
      </c>
      <c r="C10259" t="s">
        <v>432</v>
      </c>
      <c r="D10259" s="106">
        <v>16.100000000000001</v>
      </c>
    </row>
    <row r="10260" spans="1:4">
      <c r="A10260">
        <v>40977</v>
      </c>
      <c r="B10260" t="s">
        <v>10740</v>
      </c>
      <c r="C10260" t="s">
        <v>433</v>
      </c>
      <c r="D10260" s="107">
        <v>2848.71</v>
      </c>
    </row>
    <row r="10261" spans="1:4">
      <c r="A10261">
        <v>4115</v>
      </c>
      <c r="B10261" t="s">
        <v>10741</v>
      </c>
      <c r="C10261" t="s">
        <v>429</v>
      </c>
      <c r="D10261" s="106">
        <v>29.39</v>
      </c>
    </row>
    <row r="10262" spans="1:4">
      <c r="A10262">
        <v>4119</v>
      </c>
      <c r="B10262" t="s">
        <v>10742</v>
      </c>
      <c r="C10262" t="s">
        <v>429</v>
      </c>
      <c r="D10262" s="106">
        <v>59.36</v>
      </c>
    </row>
    <row r="10263" spans="1:4">
      <c r="A10263">
        <v>2794</v>
      </c>
      <c r="B10263" t="s">
        <v>10743</v>
      </c>
      <c r="C10263" t="s">
        <v>429</v>
      </c>
      <c r="D10263" s="106">
        <v>157.47</v>
      </c>
    </row>
    <row r="10264" spans="1:4">
      <c r="A10264">
        <v>2788</v>
      </c>
      <c r="B10264" t="s">
        <v>10744</v>
      </c>
      <c r="C10264" t="s">
        <v>429</v>
      </c>
      <c r="D10264" s="106">
        <v>229.4</v>
      </c>
    </row>
    <row r="10265" spans="1:4">
      <c r="A10265">
        <v>4006</v>
      </c>
      <c r="B10265" t="s">
        <v>10745</v>
      </c>
      <c r="C10265" t="s">
        <v>431</v>
      </c>
      <c r="D10265" s="107">
        <v>2021.19</v>
      </c>
    </row>
    <row r="10266" spans="1:4">
      <c r="A10266">
        <v>36151</v>
      </c>
      <c r="B10266" t="s">
        <v>10746</v>
      </c>
      <c r="C10266" t="s">
        <v>427</v>
      </c>
      <c r="D10266" s="106">
        <v>40</v>
      </c>
    </row>
    <row r="10267" spans="1:4">
      <c r="A10267">
        <v>37457</v>
      </c>
      <c r="B10267" t="s">
        <v>10747</v>
      </c>
      <c r="C10267" t="s">
        <v>429</v>
      </c>
      <c r="D10267" s="106">
        <v>3.94</v>
      </c>
    </row>
    <row r="10268" spans="1:4">
      <c r="A10268">
        <v>37456</v>
      </c>
      <c r="B10268" t="s">
        <v>10748</v>
      </c>
      <c r="C10268" t="s">
        <v>429</v>
      </c>
      <c r="D10268" s="106">
        <v>2.08</v>
      </c>
    </row>
    <row r="10269" spans="1:4">
      <c r="A10269">
        <v>37461</v>
      </c>
      <c r="B10269" t="s">
        <v>10749</v>
      </c>
      <c r="C10269" t="s">
        <v>429</v>
      </c>
      <c r="D10269" s="106">
        <v>14.64</v>
      </c>
    </row>
    <row r="10270" spans="1:4">
      <c r="A10270">
        <v>37460</v>
      </c>
      <c r="B10270" t="s">
        <v>10750</v>
      </c>
      <c r="C10270" t="s">
        <v>429</v>
      </c>
      <c r="D10270" s="106">
        <v>19.989999999999998</v>
      </c>
    </row>
    <row r="10271" spans="1:4">
      <c r="A10271">
        <v>37458</v>
      </c>
      <c r="B10271" t="s">
        <v>10751</v>
      </c>
      <c r="C10271" t="s">
        <v>429</v>
      </c>
      <c r="D10271" s="106">
        <v>5.86</v>
      </c>
    </row>
    <row r="10272" spans="1:4">
      <c r="A10272">
        <v>37454</v>
      </c>
      <c r="B10272" t="s">
        <v>10752</v>
      </c>
      <c r="C10272" t="s">
        <v>429</v>
      </c>
      <c r="D10272" s="106">
        <v>1.54</v>
      </c>
    </row>
    <row r="10273" spans="1:4">
      <c r="A10273">
        <v>37455</v>
      </c>
      <c r="B10273" t="s">
        <v>10753</v>
      </c>
      <c r="C10273" t="s">
        <v>429</v>
      </c>
      <c r="D10273" s="106">
        <v>2.58</v>
      </c>
    </row>
    <row r="10274" spans="1:4">
      <c r="A10274">
        <v>37459</v>
      </c>
      <c r="B10274" t="s">
        <v>10754</v>
      </c>
      <c r="C10274" t="s">
        <v>429</v>
      </c>
      <c r="D10274" s="106">
        <v>8.23</v>
      </c>
    </row>
    <row r="10275" spans="1:4">
      <c r="A10275">
        <v>21029</v>
      </c>
      <c r="B10275" t="s">
        <v>10755</v>
      </c>
      <c r="C10275" t="s">
        <v>427</v>
      </c>
      <c r="D10275" s="106">
        <v>372.85</v>
      </c>
    </row>
    <row r="10276" spans="1:4">
      <c r="A10276">
        <v>21030</v>
      </c>
      <c r="B10276" t="s">
        <v>10756</v>
      </c>
      <c r="C10276" t="s">
        <v>427</v>
      </c>
      <c r="D10276" s="106">
        <v>459.6</v>
      </c>
    </row>
    <row r="10277" spans="1:4">
      <c r="A10277">
        <v>21031</v>
      </c>
      <c r="B10277" t="s">
        <v>10757</v>
      </c>
      <c r="C10277" t="s">
        <v>427</v>
      </c>
      <c r="D10277" s="106">
        <v>572.19000000000005</v>
      </c>
    </row>
    <row r="10278" spans="1:4">
      <c r="A10278">
        <v>21032</v>
      </c>
      <c r="B10278" t="s">
        <v>10758</v>
      </c>
      <c r="C10278" t="s">
        <v>427</v>
      </c>
      <c r="D10278" s="106">
        <v>610.95000000000005</v>
      </c>
    </row>
    <row r="10279" spans="1:4">
      <c r="A10279">
        <v>37527</v>
      </c>
      <c r="B10279" t="s">
        <v>10759</v>
      </c>
      <c r="C10279" t="s">
        <v>427</v>
      </c>
      <c r="D10279" s="106">
        <v>551.89</v>
      </c>
    </row>
    <row r="10280" spans="1:4">
      <c r="A10280">
        <v>37528</v>
      </c>
      <c r="B10280" t="s">
        <v>10760</v>
      </c>
      <c r="C10280" t="s">
        <v>427</v>
      </c>
      <c r="D10280" s="106">
        <v>658.02</v>
      </c>
    </row>
    <row r="10281" spans="1:4">
      <c r="A10281">
        <v>37529</v>
      </c>
      <c r="B10281" t="s">
        <v>10761</v>
      </c>
      <c r="C10281" t="s">
        <v>427</v>
      </c>
      <c r="D10281" s="106">
        <v>664.48</v>
      </c>
    </row>
    <row r="10282" spans="1:4">
      <c r="A10282">
        <v>37530</v>
      </c>
      <c r="B10282" t="s">
        <v>10762</v>
      </c>
      <c r="C10282" t="s">
        <v>427</v>
      </c>
      <c r="D10282" s="106">
        <v>867.52</v>
      </c>
    </row>
    <row r="10283" spans="1:4">
      <c r="A10283">
        <v>21034</v>
      </c>
      <c r="B10283" t="s">
        <v>10763</v>
      </c>
      <c r="C10283" t="s">
        <v>427</v>
      </c>
      <c r="D10283" s="106">
        <v>740.16</v>
      </c>
    </row>
    <row r="10284" spans="1:4">
      <c r="A10284">
        <v>37531</v>
      </c>
      <c r="B10284" t="s">
        <v>10764</v>
      </c>
      <c r="C10284" t="s">
        <v>427</v>
      </c>
      <c r="D10284" s="106">
        <v>932.12</v>
      </c>
    </row>
    <row r="10285" spans="1:4">
      <c r="A10285">
        <v>21036</v>
      </c>
      <c r="B10285" t="s">
        <v>10765</v>
      </c>
      <c r="C10285" t="s">
        <v>427</v>
      </c>
      <c r="D10285" s="107">
        <v>1133.31</v>
      </c>
    </row>
    <row r="10286" spans="1:4">
      <c r="A10286">
        <v>21037</v>
      </c>
      <c r="B10286" t="s">
        <v>10766</v>
      </c>
      <c r="C10286" t="s">
        <v>427</v>
      </c>
      <c r="D10286" s="107">
        <v>1292.05</v>
      </c>
    </row>
    <row r="10287" spans="1:4">
      <c r="A10287">
        <v>20185</v>
      </c>
      <c r="B10287" t="s">
        <v>10767</v>
      </c>
      <c r="C10287" t="s">
        <v>429</v>
      </c>
      <c r="D10287" s="106">
        <v>23.8</v>
      </c>
    </row>
    <row r="10288" spans="1:4">
      <c r="A10288">
        <v>20260</v>
      </c>
      <c r="B10288" t="s">
        <v>10768</v>
      </c>
      <c r="C10288" t="s">
        <v>427</v>
      </c>
      <c r="D10288" s="106">
        <v>19.14</v>
      </c>
    </row>
    <row r="10289" spans="1:4">
      <c r="A10289">
        <v>37523</v>
      </c>
      <c r="B10289" t="s">
        <v>10769</v>
      </c>
      <c r="C10289" t="s">
        <v>427</v>
      </c>
      <c r="D10289" s="107">
        <v>519087.13</v>
      </c>
    </row>
    <row r="10290" spans="1:4">
      <c r="A10290">
        <v>37515</v>
      </c>
      <c r="B10290" t="s">
        <v>10770</v>
      </c>
      <c r="C10290" t="s">
        <v>427</v>
      </c>
      <c r="D10290" s="107">
        <v>461495</v>
      </c>
    </row>
    <row r="10291" spans="1:4">
      <c r="A10291">
        <v>12899</v>
      </c>
      <c r="B10291" t="s">
        <v>10771</v>
      </c>
      <c r="C10291" t="s">
        <v>427</v>
      </c>
      <c r="D10291" s="106">
        <v>93.17</v>
      </c>
    </row>
    <row r="10292" spans="1:4">
      <c r="A10292">
        <v>12898</v>
      </c>
      <c r="B10292" t="s">
        <v>10772</v>
      </c>
      <c r="C10292" t="s">
        <v>427</v>
      </c>
      <c r="D10292" s="106">
        <v>147.80000000000001</v>
      </c>
    </row>
    <row r="10293" spans="1:4">
      <c r="A10293">
        <v>42528</v>
      </c>
      <c r="B10293" t="s">
        <v>10773</v>
      </c>
      <c r="C10293" t="s">
        <v>426</v>
      </c>
      <c r="D10293" s="106">
        <v>8.99</v>
      </c>
    </row>
    <row r="10294" spans="1:4">
      <c r="A10294">
        <v>39696</v>
      </c>
      <c r="B10294" t="s">
        <v>10774</v>
      </c>
      <c r="C10294" t="s">
        <v>426</v>
      </c>
      <c r="D10294" s="106">
        <v>6.32</v>
      </c>
    </row>
    <row r="10295" spans="1:4">
      <c r="A10295">
        <v>39700</v>
      </c>
      <c r="B10295" t="s">
        <v>10775</v>
      </c>
      <c r="C10295" t="s">
        <v>426</v>
      </c>
      <c r="D10295" s="106">
        <v>24.98</v>
      </c>
    </row>
    <row r="10296" spans="1:4">
      <c r="A10296">
        <v>11621</v>
      </c>
      <c r="B10296" t="s">
        <v>10776</v>
      </c>
      <c r="C10296" t="s">
        <v>426</v>
      </c>
      <c r="D10296" s="106">
        <v>49.71</v>
      </c>
    </row>
    <row r="10297" spans="1:4">
      <c r="A10297">
        <v>4014</v>
      </c>
      <c r="B10297" t="s">
        <v>10777</v>
      </c>
      <c r="C10297" t="s">
        <v>426</v>
      </c>
      <c r="D10297" s="106">
        <v>51.43</v>
      </c>
    </row>
    <row r="10298" spans="1:4">
      <c r="A10298">
        <v>4015</v>
      </c>
      <c r="B10298" t="s">
        <v>10778</v>
      </c>
      <c r="C10298" t="s">
        <v>426</v>
      </c>
      <c r="D10298" s="106">
        <v>63.16</v>
      </c>
    </row>
    <row r="10299" spans="1:4">
      <c r="A10299">
        <v>4017</v>
      </c>
      <c r="B10299" t="s">
        <v>10779</v>
      </c>
      <c r="C10299" t="s">
        <v>426</v>
      </c>
      <c r="D10299" s="106">
        <v>91.9</v>
      </c>
    </row>
    <row r="10300" spans="1:4">
      <c r="A10300">
        <v>4016</v>
      </c>
      <c r="B10300" t="s">
        <v>10780</v>
      </c>
      <c r="C10300" t="s">
        <v>426</v>
      </c>
      <c r="D10300" s="106">
        <v>36.299999999999997</v>
      </c>
    </row>
    <row r="10301" spans="1:4">
      <c r="A10301">
        <v>39699</v>
      </c>
      <c r="B10301" t="s">
        <v>10781</v>
      </c>
      <c r="C10301" t="s">
        <v>426</v>
      </c>
      <c r="D10301" s="106">
        <v>13.55</v>
      </c>
    </row>
    <row r="10302" spans="1:4">
      <c r="A10302">
        <v>38544</v>
      </c>
      <c r="B10302" t="s">
        <v>10782</v>
      </c>
      <c r="C10302" t="s">
        <v>426</v>
      </c>
      <c r="D10302" s="106">
        <v>9.31</v>
      </c>
    </row>
    <row r="10303" spans="1:4">
      <c r="A10303">
        <v>38545</v>
      </c>
      <c r="B10303" t="s">
        <v>10783</v>
      </c>
      <c r="C10303" t="s">
        <v>426</v>
      </c>
      <c r="D10303" s="106">
        <v>5.98</v>
      </c>
    </row>
    <row r="10304" spans="1:4">
      <c r="A10304">
        <v>42527</v>
      </c>
      <c r="B10304" t="s">
        <v>10784</v>
      </c>
      <c r="C10304" t="s">
        <v>426</v>
      </c>
      <c r="D10304" s="106">
        <v>23.75</v>
      </c>
    </row>
    <row r="10305" spans="1:4">
      <c r="A10305">
        <v>39323</v>
      </c>
      <c r="B10305" t="s">
        <v>10785</v>
      </c>
      <c r="C10305" t="s">
        <v>426</v>
      </c>
      <c r="D10305" s="106">
        <v>22.83</v>
      </c>
    </row>
    <row r="10306" spans="1:4">
      <c r="A10306">
        <v>626</v>
      </c>
      <c r="B10306" t="s">
        <v>10786</v>
      </c>
      <c r="C10306" t="s">
        <v>430</v>
      </c>
      <c r="D10306" s="106">
        <v>32.840000000000003</v>
      </c>
    </row>
    <row r="10307" spans="1:4">
      <c r="A10307">
        <v>44504</v>
      </c>
      <c r="B10307" t="s">
        <v>13464</v>
      </c>
      <c r="C10307" t="s">
        <v>426</v>
      </c>
      <c r="D10307" s="106">
        <v>14.77</v>
      </c>
    </row>
    <row r="10308" spans="1:4">
      <c r="A10308">
        <v>44505</v>
      </c>
      <c r="B10308" t="s">
        <v>13465</v>
      </c>
      <c r="C10308" t="s">
        <v>426</v>
      </c>
      <c r="D10308" s="106">
        <v>22.29</v>
      </c>
    </row>
    <row r="10309" spans="1:4">
      <c r="A10309">
        <v>44506</v>
      </c>
      <c r="B10309" t="s">
        <v>13466</v>
      </c>
      <c r="C10309" t="s">
        <v>426</v>
      </c>
      <c r="D10309" s="106">
        <v>23.66</v>
      </c>
    </row>
    <row r="10310" spans="1:4">
      <c r="A10310">
        <v>44507</v>
      </c>
      <c r="B10310" t="s">
        <v>13467</v>
      </c>
      <c r="C10310" t="s">
        <v>426</v>
      </c>
      <c r="D10310" s="106">
        <v>29.58</v>
      </c>
    </row>
    <row r="10311" spans="1:4">
      <c r="A10311">
        <v>44508</v>
      </c>
      <c r="B10311" t="s">
        <v>13468</v>
      </c>
      <c r="C10311" t="s">
        <v>426</v>
      </c>
      <c r="D10311" s="106">
        <v>44.36</v>
      </c>
    </row>
    <row r="10312" spans="1:4">
      <c r="A10312">
        <v>44509</v>
      </c>
      <c r="B10312" t="s">
        <v>13469</v>
      </c>
      <c r="C10312" t="s">
        <v>426</v>
      </c>
      <c r="D10312" s="106">
        <v>59.42</v>
      </c>
    </row>
    <row r="10313" spans="1:4">
      <c r="A10313">
        <v>44510</v>
      </c>
      <c r="B10313" t="s">
        <v>13470</v>
      </c>
      <c r="C10313" t="s">
        <v>426</v>
      </c>
      <c r="D10313" s="106">
        <v>73.790000000000006</v>
      </c>
    </row>
    <row r="10314" spans="1:4">
      <c r="A10314">
        <v>44512</v>
      </c>
      <c r="B10314" t="s">
        <v>13471</v>
      </c>
      <c r="C10314" t="s">
        <v>426</v>
      </c>
      <c r="D10314" s="106">
        <v>16.47</v>
      </c>
    </row>
    <row r="10315" spans="1:4">
      <c r="A10315">
        <v>44513</v>
      </c>
      <c r="B10315" t="s">
        <v>13472</v>
      </c>
      <c r="C10315" t="s">
        <v>426</v>
      </c>
      <c r="D10315" s="106">
        <v>23.25</v>
      </c>
    </row>
    <row r="10316" spans="1:4">
      <c r="A10316">
        <v>44514</v>
      </c>
      <c r="B10316" t="s">
        <v>13473</v>
      </c>
      <c r="C10316" t="s">
        <v>426</v>
      </c>
      <c r="D10316" s="106">
        <v>26.35</v>
      </c>
    </row>
    <row r="10317" spans="1:4">
      <c r="A10317">
        <v>44515</v>
      </c>
      <c r="B10317" t="s">
        <v>13474</v>
      </c>
      <c r="C10317" t="s">
        <v>426</v>
      </c>
      <c r="D10317" s="106">
        <v>32.36</v>
      </c>
    </row>
    <row r="10318" spans="1:4">
      <c r="A10318">
        <v>44511</v>
      </c>
      <c r="B10318" t="s">
        <v>13475</v>
      </c>
      <c r="C10318" t="s">
        <v>426</v>
      </c>
      <c r="D10318" s="106">
        <v>47.9</v>
      </c>
    </row>
    <row r="10319" spans="1:4">
      <c r="A10319">
        <v>44516</v>
      </c>
      <c r="B10319" t="s">
        <v>13476</v>
      </c>
      <c r="C10319" t="s">
        <v>426</v>
      </c>
      <c r="D10319" s="106">
        <v>64.73</v>
      </c>
    </row>
    <row r="10320" spans="1:4">
      <c r="A10320">
        <v>44517</v>
      </c>
      <c r="B10320" t="s">
        <v>13477</v>
      </c>
      <c r="C10320" t="s">
        <v>426</v>
      </c>
      <c r="D10320" s="106">
        <v>80.739999999999995</v>
      </c>
    </row>
    <row r="10321" spans="1:4">
      <c r="A10321">
        <v>11479</v>
      </c>
      <c r="B10321" t="s">
        <v>10787</v>
      </c>
      <c r="C10321" t="s">
        <v>427</v>
      </c>
      <c r="D10321" s="106">
        <v>32.58</v>
      </c>
    </row>
    <row r="10322" spans="1:4">
      <c r="A10322">
        <v>11481</v>
      </c>
      <c r="B10322" t="s">
        <v>10788</v>
      </c>
      <c r="C10322" t="s">
        <v>427</v>
      </c>
      <c r="D10322" s="106">
        <v>29.47</v>
      </c>
    </row>
    <row r="10323" spans="1:4">
      <c r="A10323">
        <v>43609</v>
      </c>
      <c r="B10323" t="s">
        <v>10789</v>
      </c>
      <c r="C10323" t="s">
        <v>427</v>
      </c>
      <c r="D10323" s="106">
        <v>29.47</v>
      </c>
    </row>
    <row r="10324" spans="1:4">
      <c r="A10324">
        <v>11478</v>
      </c>
      <c r="B10324" t="s">
        <v>10790</v>
      </c>
      <c r="C10324" t="s">
        <v>427</v>
      </c>
      <c r="D10324" s="106">
        <v>55.9</v>
      </c>
    </row>
    <row r="10325" spans="1:4">
      <c r="A10325">
        <v>43608</v>
      </c>
      <c r="B10325" t="s">
        <v>10791</v>
      </c>
      <c r="C10325" t="s">
        <v>427</v>
      </c>
      <c r="D10325" s="106">
        <v>42.66</v>
      </c>
    </row>
    <row r="10326" spans="1:4">
      <c r="A10326">
        <v>11476</v>
      </c>
      <c r="B10326" t="s">
        <v>10792</v>
      </c>
      <c r="C10326" t="s">
        <v>427</v>
      </c>
      <c r="D10326" s="106">
        <v>42.66</v>
      </c>
    </row>
    <row r="10327" spans="1:4">
      <c r="A10327">
        <v>40637</v>
      </c>
      <c r="B10327" t="s">
        <v>10793</v>
      </c>
      <c r="C10327" t="s">
        <v>427</v>
      </c>
      <c r="D10327" s="107">
        <v>723336.37</v>
      </c>
    </row>
    <row r="10328" spans="1:4">
      <c r="A10328">
        <v>13836</v>
      </c>
      <c r="B10328" t="s">
        <v>10794</v>
      </c>
      <c r="C10328" t="s">
        <v>427</v>
      </c>
      <c r="D10328" s="107">
        <v>70491.09</v>
      </c>
    </row>
    <row r="10329" spans="1:4">
      <c r="A10329">
        <v>14534</v>
      </c>
      <c r="B10329" t="s">
        <v>10795</v>
      </c>
      <c r="C10329" t="s">
        <v>427</v>
      </c>
      <c r="D10329" s="107">
        <v>29509.43</v>
      </c>
    </row>
    <row r="10330" spans="1:4">
      <c r="A10330">
        <v>14619</v>
      </c>
      <c r="B10330" t="s">
        <v>10796</v>
      </c>
      <c r="C10330" t="s">
        <v>427</v>
      </c>
      <c r="D10330" s="107">
        <v>20705.2</v>
      </c>
    </row>
    <row r="10331" spans="1:4">
      <c r="A10331">
        <v>14535</v>
      </c>
      <c r="B10331" t="s">
        <v>10797</v>
      </c>
      <c r="C10331" t="s">
        <v>427</v>
      </c>
      <c r="D10331" s="107">
        <v>292883.95</v>
      </c>
    </row>
    <row r="10332" spans="1:4">
      <c r="A10332">
        <v>39813</v>
      </c>
      <c r="B10332" t="s">
        <v>10798</v>
      </c>
      <c r="C10332" t="s">
        <v>427</v>
      </c>
      <c r="D10332" s="107">
        <v>30783.51</v>
      </c>
    </row>
    <row r="10333" spans="1:4">
      <c r="A10333">
        <v>40403</v>
      </c>
      <c r="B10333" t="s">
        <v>10799</v>
      </c>
      <c r="C10333" t="s">
        <v>427</v>
      </c>
      <c r="D10333" s="106">
        <v>771.66</v>
      </c>
    </row>
    <row r="10334" spans="1:4">
      <c r="A10334">
        <v>12868</v>
      </c>
      <c r="B10334" t="s">
        <v>20489</v>
      </c>
      <c r="C10334" t="s">
        <v>432</v>
      </c>
      <c r="D10334" s="106">
        <v>14.75</v>
      </c>
    </row>
    <row r="10335" spans="1:4">
      <c r="A10335">
        <v>40916</v>
      </c>
      <c r="B10335" t="s">
        <v>10800</v>
      </c>
      <c r="C10335" t="s">
        <v>433</v>
      </c>
      <c r="D10335" s="107">
        <v>2608.84</v>
      </c>
    </row>
    <row r="10336" spans="1:4">
      <c r="A10336">
        <v>4755</v>
      </c>
      <c r="B10336" t="s">
        <v>13478</v>
      </c>
      <c r="C10336" t="s">
        <v>432</v>
      </c>
      <c r="D10336" s="106">
        <v>15.93</v>
      </c>
    </row>
    <row r="10337" spans="1:4">
      <c r="A10337">
        <v>41067</v>
      </c>
      <c r="B10337" t="s">
        <v>10801</v>
      </c>
      <c r="C10337" t="s">
        <v>433</v>
      </c>
      <c r="D10337" s="107">
        <v>2814.94</v>
      </c>
    </row>
    <row r="10338" spans="1:4">
      <c r="A10338">
        <v>38463</v>
      </c>
      <c r="B10338" t="s">
        <v>10802</v>
      </c>
      <c r="C10338" t="s">
        <v>427</v>
      </c>
      <c r="D10338" s="106">
        <v>31.7</v>
      </c>
    </row>
    <row r="10339" spans="1:4">
      <c r="A10339">
        <v>40703</v>
      </c>
      <c r="B10339" t="s">
        <v>10803</v>
      </c>
      <c r="C10339" t="s">
        <v>427</v>
      </c>
      <c r="D10339" s="107">
        <v>11084.5</v>
      </c>
    </row>
    <row r="10340" spans="1:4">
      <c r="A10340">
        <v>14531</v>
      </c>
      <c r="B10340" t="s">
        <v>10804</v>
      </c>
      <c r="C10340" t="s">
        <v>427</v>
      </c>
      <c r="D10340" s="107">
        <v>20665.68</v>
      </c>
    </row>
    <row r="10341" spans="1:4">
      <c r="A10341">
        <v>36533</v>
      </c>
      <c r="B10341" t="s">
        <v>10805</v>
      </c>
      <c r="C10341" t="s">
        <v>427</v>
      </c>
      <c r="D10341" s="107">
        <v>23780.92</v>
      </c>
    </row>
    <row r="10342" spans="1:4">
      <c r="A10342">
        <v>11616</v>
      </c>
      <c r="B10342" t="s">
        <v>10806</v>
      </c>
      <c r="C10342" t="s">
        <v>427</v>
      </c>
      <c r="D10342" s="107">
        <v>22460.720000000001</v>
      </c>
    </row>
    <row r="10343" spans="1:4">
      <c r="A10343">
        <v>41898</v>
      </c>
      <c r="B10343" t="s">
        <v>10807</v>
      </c>
      <c r="C10343" t="s">
        <v>427</v>
      </c>
      <c r="D10343" s="107">
        <v>25271.37</v>
      </c>
    </row>
    <row r="10344" spans="1:4">
      <c r="A10344">
        <v>13447</v>
      </c>
      <c r="B10344" t="s">
        <v>10808</v>
      </c>
      <c r="C10344" t="s">
        <v>427</v>
      </c>
      <c r="D10344" s="107">
        <v>46501.06</v>
      </c>
    </row>
    <row r="10345" spans="1:4">
      <c r="A10345">
        <v>14529</v>
      </c>
      <c r="B10345" t="s">
        <v>10809</v>
      </c>
      <c r="C10345" t="s">
        <v>427</v>
      </c>
      <c r="D10345" s="107">
        <v>26006.86</v>
      </c>
    </row>
    <row r="10346" spans="1:4">
      <c r="A10346">
        <v>10747</v>
      </c>
      <c r="B10346" t="s">
        <v>10810</v>
      </c>
      <c r="C10346" t="s">
        <v>427</v>
      </c>
      <c r="D10346" s="107">
        <v>25516.7</v>
      </c>
    </row>
    <row r="10347" spans="1:4">
      <c r="A10347">
        <v>36141</v>
      </c>
      <c r="B10347" t="s">
        <v>10811</v>
      </c>
      <c r="C10347" t="s">
        <v>427</v>
      </c>
      <c r="D10347" s="106">
        <v>54</v>
      </c>
    </row>
    <row r="10348" spans="1:4">
      <c r="A10348">
        <v>43651</v>
      </c>
      <c r="B10348" t="s">
        <v>13479</v>
      </c>
      <c r="C10348" t="s">
        <v>430</v>
      </c>
      <c r="D10348" s="106">
        <v>5.99</v>
      </c>
    </row>
    <row r="10349" spans="1:4">
      <c r="A10349">
        <v>43626</v>
      </c>
      <c r="B10349" t="s">
        <v>13480</v>
      </c>
      <c r="C10349" t="s">
        <v>430</v>
      </c>
      <c r="D10349" s="106">
        <v>3.33</v>
      </c>
    </row>
    <row r="10350" spans="1:4">
      <c r="A10350">
        <v>39434</v>
      </c>
      <c r="B10350" t="s">
        <v>10812</v>
      </c>
      <c r="C10350" t="s">
        <v>430</v>
      </c>
      <c r="D10350" s="106">
        <v>3.72</v>
      </c>
    </row>
    <row r="10351" spans="1:4">
      <c r="A10351">
        <v>39433</v>
      </c>
      <c r="B10351" t="s">
        <v>10813</v>
      </c>
      <c r="C10351" t="s">
        <v>430</v>
      </c>
      <c r="D10351" s="106">
        <v>2.96</v>
      </c>
    </row>
    <row r="10352" spans="1:4">
      <c r="A10352">
        <v>4049</v>
      </c>
      <c r="B10352" t="s">
        <v>10814</v>
      </c>
      <c r="C10352" t="s">
        <v>428</v>
      </c>
      <c r="D10352" s="106">
        <v>66.83</v>
      </c>
    </row>
    <row r="10353" spans="1:4">
      <c r="A10353">
        <v>38120</v>
      </c>
      <c r="B10353" t="s">
        <v>10815</v>
      </c>
      <c r="C10353" t="s">
        <v>430</v>
      </c>
      <c r="D10353" s="106">
        <v>233.71</v>
      </c>
    </row>
    <row r="10354" spans="1:4">
      <c r="A10354">
        <v>43652</v>
      </c>
      <c r="B10354" t="s">
        <v>13481</v>
      </c>
      <c r="C10354" t="s">
        <v>430</v>
      </c>
      <c r="D10354" s="106">
        <v>13.42</v>
      </c>
    </row>
    <row r="10355" spans="1:4">
      <c r="A10355">
        <v>10498</v>
      </c>
      <c r="B10355" t="s">
        <v>10816</v>
      </c>
      <c r="C10355" t="s">
        <v>430</v>
      </c>
      <c r="D10355" s="106">
        <v>15.02</v>
      </c>
    </row>
    <row r="10356" spans="1:4">
      <c r="A10356">
        <v>4823</v>
      </c>
      <c r="B10356" t="s">
        <v>10817</v>
      </c>
      <c r="C10356" t="s">
        <v>430</v>
      </c>
      <c r="D10356" s="106">
        <v>40.53</v>
      </c>
    </row>
    <row r="10357" spans="1:4">
      <c r="A10357">
        <v>38877</v>
      </c>
      <c r="B10357" t="s">
        <v>10818</v>
      </c>
      <c r="C10357" t="s">
        <v>430</v>
      </c>
      <c r="D10357" s="106">
        <v>5.34</v>
      </c>
    </row>
    <row r="10358" spans="1:4">
      <c r="A10358">
        <v>34546</v>
      </c>
      <c r="B10358" t="s">
        <v>10819</v>
      </c>
      <c r="C10358" t="s">
        <v>430</v>
      </c>
      <c r="D10358" s="106">
        <v>5.49</v>
      </c>
    </row>
    <row r="10359" spans="1:4">
      <c r="A10359">
        <v>41387</v>
      </c>
      <c r="B10359" t="s">
        <v>10820</v>
      </c>
      <c r="C10359" t="s">
        <v>429</v>
      </c>
      <c r="D10359" s="106">
        <v>53.47</v>
      </c>
    </row>
    <row r="10360" spans="1:4">
      <c r="A10360">
        <v>41388</v>
      </c>
      <c r="B10360" t="s">
        <v>10821</v>
      </c>
      <c r="C10360" t="s">
        <v>429</v>
      </c>
      <c r="D10360" s="106">
        <v>64.150000000000006</v>
      </c>
    </row>
    <row r="10361" spans="1:4">
      <c r="A10361">
        <v>41380</v>
      </c>
      <c r="B10361" t="s">
        <v>10822</v>
      </c>
      <c r="C10361" t="s">
        <v>427</v>
      </c>
      <c r="D10361" s="106">
        <v>426.81</v>
      </c>
    </row>
    <row r="10362" spans="1:4">
      <c r="A10362">
        <v>41381</v>
      </c>
      <c r="B10362" t="s">
        <v>10823</v>
      </c>
      <c r="C10362" t="s">
        <v>427</v>
      </c>
      <c r="D10362" s="106">
        <v>447.13</v>
      </c>
    </row>
    <row r="10363" spans="1:4">
      <c r="A10363">
        <v>41382</v>
      </c>
      <c r="B10363" t="s">
        <v>10824</v>
      </c>
      <c r="C10363" t="s">
        <v>427</v>
      </c>
      <c r="D10363" s="106">
        <v>432.8</v>
      </c>
    </row>
    <row r="10364" spans="1:4">
      <c r="A10364">
        <v>41383</v>
      </c>
      <c r="B10364" t="s">
        <v>10825</v>
      </c>
      <c r="C10364" t="s">
        <v>427</v>
      </c>
      <c r="D10364" s="106">
        <v>587.44000000000005</v>
      </c>
    </row>
    <row r="10365" spans="1:4">
      <c r="A10365">
        <v>41385</v>
      </c>
      <c r="B10365" t="s">
        <v>10826</v>
      </c>
      <c r="C10365" t="s">
        <v>427</v>
      </c>
      <c r="D10365" s="106">
        <v>730.99</v>
      </c>
    </row>
    <row r="10366" spans="1:4">
      <c r="A10366">
        <v>11079</v>
      </c>
      <c r="B10366" t="s">
        <v>10827</v>
      </c>
      <c r="C10366" t="s">
        <v>431</v>
      </c>
      <c r="D10366" s="107">
        <v>1758.02</v>
      </c>
    </row>
    <row r="10367" spans="1:4">
      <c r="A10367">
        <v>11082</v>
      </c>
      <c r="B10367" t="s">
        <v>10828</v>
      </c>
      <c r="C10367" t="s">
        <v>431</v>
      </c>
      <c r="D10367" s="107">
        <v>1758.02</v>
      </c>
    </row>
    <row r="10368" spans="1:4">
      <c r="A10368">
        <v>4058</v>
      </c>
      <c r="B10368" t="s">
        <v>10829</v>
      </c>
      <c r="C10368" t="s">
        <v>432</v>
      </c>
      <c r="D10368" s="106">
        <v>18.05</v>
      </c>
    </row>
    <row r="10369" spans="1:4">
      <c r="A10369">
        <v>40974</v>
      </c>
      <c r="B10369" t="s">
        <v>10830</v>
      </c>
      <c r="C10369" t="s">
        <v>433</v>
      </c>
      <c r="D10369" s="107">
        <v>3190.17</v>
      </c>
    </row>
    <row r="10370" spans="1:4">
      <c r="A10370">
        <v>34794</v>
      </c>
      <c r="B10370" t="s">
        <v>10831</v>
      </c>
      <c r="C10370" t="s">
        <v>432</v>
      </c>
      <c r="D10370" s="106">
        <v>18.12</v>
      </c>
    </row>
    <row r="10371" spans="1:4">
      <c r="A10371">
        <v>40925</v>
      </c>
      <c r="B10371" t="s">
        <v>10832</v>
      </c>
      <c r="C10371" t="s">
        <v>433</v>
      </c>
      <c r="D10371" s="107">
        <v>3203.2</v>
      </c>
    </row>
    <row r="10372" spans="1:4">
      <c r="A10372">
        <v>13741</v>
      </c>
      <c r="B10372" t="s">
        <v>10833</v>
      </c>
      <c r="C10372" t="s">
        <v>427</v>
      </c>
      <c r="D10372" s="107">
        <v>2436.12</v>
      </c>
    </row>
    <row r="10373" spans="1:4">
      <c r="A10373">
        <v>3288</v>
      </c>
      <c r="B10373" t="s">
        <v>10834</v>
      </c>
      <c r="C10373" t="s">
        <v>429</v>
      </c>
      <c r="D10373" s="106">
        <v>5.99</v>
      </c>
    </row>
    <row r="10374" spans="1:4">
      <c r="A10374">
        <v>13587</v>
      </c>
      <c r="B10374" t="s">
        <v>10835</v>
      </c>
      <c r="C10374" t="s">
        <v>429</v>
      </c>
      <c r="D10374" s="106">
        <v>3.62</v>
      </c>
    </row>
    <row r="10375" spans="1:4">
      <c r="A10375">
        <v>38598</v>
      </c>
      <c r="B10375" t="s">
        <v>10836</v>
      </c>
      <c r="C10375" t="s">
        <v>427</v>
      </c>
      <c r="D10375" s="106">
        <v>3.06</v>
      </c>
    </row>
    <row r="10376" spans="1:4">
      <c r="A10376">
        <v>38595</v>
      </c>
      <c r="B10376" t="s">
        <v>10837</v>
      </c>
      <c r="C10376" t="s">
        <v>427</v>
      </c>
      <c r="D10376" s="106">
        <v>2.59</v>
      </c>
    </row>
    <row r="10377" spans="1:4">
      <c r="A10377">
        <v>38592</v>
      </c>
      <c r="B10377" t="s">
        <v>10838</v>
      </c>
      <c r="C10377" t="s">
        <v>427</v>
      </c>
      <c r="D10377" s="106">
        <v>2.62</v>
      </c>
    </row>
    <row r="10378" spans="1:4">
      <c r="A10378">
        <v>38588</v>
      </c>
      <c r="B10378" t="s">
        <v>10839</v>
      </c>
      <c r="C10378" t="s">
        <v>427</v>
      </c>
      <c r="D10378" s="106">
        <v>2.1</v>
      </c>
    </row>
    <row r="10379" spans="1:4">
      <c r="A10379">
        <v>38593</v>
      </c>
      <c r="B10379" t="s">
        <v>10840</v>
      </c>
      <c r="C10379" t="s">
        <v>427</v>
      </c>
      <c r="D10379" s="106">
        <v>2.9</v>
      </c>
    </row>
    <row r="10380" spans="1:4">
      <c r="A10380">
        <v>38589</v>
      </c>
      <c r="B10380" t="s">
        <v>10841</v>
      </c>
      <c r="C10380" t="s">
        <v>427</v>
      </c>
      <c r="D10380" s="106">
        <v>2.2000000000000002</v>
      </c>
    </row>
    <row r="10381" spans="1:4">
      <c r="A10381">
        <v>38594</v>
      </c>
      <c r="B10381" t="s">
        <v>10842</v>
      </c>
      <c r="C10381" t="s">
        <v>427</v>
      </c>
      <c r="D10381" s="106">
        <v>4.57</v>
      </c>
    </row>
    <row r="10382" spans="1:4">
      <c r="A10382">
        <v>34773</v>
      </c>
      <c r="B10382" t="s">
        <v>10843</v>
      </c>
      <c r="C10382" t="s">
        <v>427</v>
      </c>
      <c r="D10382" s="106">
        <v>2.16</v>
      </c>
    </row>
    <row r="10383" spans="1:4">
      <c r="A10383">
        <v>34769</v>
      </c>
      <c r="B10383" t="s">
        <v>10844</v>
      </c>
      <c r="C10383" t="s">
        <v>427</v>
      </c>
      <c r="D10383" s="106">
        <v>2.68</v>
      </c>
    </row>
    <row r="10384" spans="1:4">
      <c r="A10384">
        <v>34763</v>
      </c>
      <c r="B10384" t="s">
        <v>10845</v>
      </c>
      <c r="C10384" t="s">
        <v>427</v>
      </c>
      <c r="D10384" s="106">
        <v>1.65</v>
      </c>
    </row>
    <row r="10385" spans="1:4">
      <c r="A10385">
        <v>34774</v>
      </c>
      <c r="B10385" t="s">
        <v>10846</v>
      </c>
      <c r="C10385" t="s">
        <v>427</v>
      </c>
      <c r="D10385" s="106">
        <v>2.0499999999999998</v>
      </c>
    </row>
    <row r="10386" spans="1:4">
      <c r="A10386">
        <v>34771</v>
      </c>
      <c r="B10386" t="s">
        <v>10847</v>
      </c>
      <c r="C10386" t="s">
        <v>427</v>
      </c>
      <c r="D10386" s="106">
        <v>2.4700000000000002</v>
      </c>
    </row>
    <row r="10387" spans="1:4">
      <c r="A10387">
        <v>34764</v>
      </c>
      <c r="B10387" t="s">
        <v>10848</v>
      </c>
      <c r="C10387" t="s">
        <v>427</v>
      </c>
      <c r="D10387" s="106">
        <v>1.62</v>
      </c>
    </row>
    <row r="10388" spans="1:4">
      <c r="A10388">
        <v>34788</v>
      </c>
      <c r="B10388" t="s">
        <v>10849</v>
      </c>
      <c r="C10388" t="s">
        <v>427</v>
      </c>
      <c r="D10388" s="106">
        <v>1.65</v>
      </c>
    </row>
    <row r="10389" spans="1:4">
      <c r="A10389">
        <v>34781</v>
      </c>
      <c r="B10389" t="s">
        <v>10850</v>
      </c>
      <c r="C10389" t="s">
        <v>427</v>
      </c>
      <c r="D10389" s="106">
        <v>1.87</v>
      </c>
    </row>
    <row r="10390" spans="1:4">
      <c r="A10390">
        <v>41682</v>
      </c>
      <c r="B10390" t="s">
        <v>10851</v>
      </c>
      <c r="C10390" t="s">
        <v>427</v>
      </c>
      <c r="D10390" s="106">
        <v>33.4</v>
      </c>
    </row>
    <row r="10391" spans="1:4">
      <c r="A10391">
        <v>41683</v>
      </c>
      <c r="B10391" t="s">
        <v>10852</v>
      </c>
      <c r="C10391" t="s">
        <v>427</v>
      </c>
      <c r="D10391" s="106">
        <v>24.57</v>
      </c>
    </row>
    <row r="10392" spans="1:4">
      <c r="A10392">
        <v>41680</v>
      </c>
      <c r="B10392" t="s">
        <v>10853</v>
      </c>
      <c r="C10392" t="s">
        <v>427</v>
      </c>
      <c r="D10392" s="106">
        <v>13.23</v>
      </c>
    </row>
    <row r="10393" spans="1:4">
      <c r="A10393">
        <v>41679</v>
      </c>
      <c r="B10393" t="s">
        <v>10854</v>
      </c>
      <c r="C10393" t="s">
        <v>427</v>
      </c>
      <c r="D10393" s="106">
        <v>30.24</v>
      </c>
    </row>
    <row r="10394" spans="1:4">
      <c r="A10394">
        <v>41681</v>
      </c>
      <c r="B10394" t="s">
        <v>10855</v>
      </c>
      <c r="C10394" t="s">
        <v>427</v>
      </c>
      <c r="D10394" s="106">
        <v>20.69</v>
      </c>
    </row>
    <row r="10395" spans="1:4">
      <c r="A10395">
        <v>43386</v>
      </c>
      <c r="B10395" t="s">
        <v>10856</v>
      </c>
      <c r="C10395" t="s">
        <v>427</v>
      </c>
      <c r="D10395" s="106">
        <v>47.25</v>
      </c>
    </row>
    <row r="10396" spans="1:4">
      <c r="A10396">
        <v>4059</v>
      </c>
      <c r="B10396" t="s">
        <v>10857</v>
      </c>
      <c r="C10396" t="s">
        <v>429</v>
      </c>
      <c r="D10396" s="106">
        <v>33.4</v>
      </c>
    </row>
    <row r="10397" spans="1:4">
      <c r="A10397">
        <v>4062</v>
      </c>
      <c r="B10397" t="s">
        <v>10858</v>
      </c>
      <c r="C10397" t="s">
        <v>427</v>
      </c>
      <c r="D10397" s="106">
        <v>33.4</v>
      </c>
    </row>
    <row r="10398" spans="1:4">
      <c r="A10398">
        <v>4061</v>
      </c>
      <c r="B10398" t="s">
        <v>10859</v>
      </c>
      <c r="C10398" t="s">
        <v>427</v>
      </c>
      <c r="D10398" s="106">
        <v>41.58</v>
      </c>
    </row>
    <row r="10399" spans="1:4">
      <c r="A10399">
        <v>41315</v>
      </c>
      <c r="B10399" t="s">
        <v>10860</v>
      </c>
      <c r="C10399" t="s">
        <v>430</v>
      </c>
      <c r="D10399" s="106">
        <v>66.91</v>
      </c>
    </row>
    <row r="10400" spans="1:4">
      <c r="A10400">
        <v>43148</v>
      </c>
      <c r="B10400" t="s">
        <v>10861</v>
      </c>
      <c r="C10400" t="s">
        <v>430</v>
      </c>
      <c r="D10400" s="106">
        <v>45.41</v>
      </c>
    </row>
    <row r="10401" spans="1:4">
      <c r="A10401">
        <v>43147</v>
      </c>
      <c r="B10401" t="s">
        <v>10862</v>
      </c>
      <c r="C10401" t="s">
        <v>430</v>
      </c>
      <c r="D10401" s="106">
        <v>17.59</v>
      </c>
    </row>
    <row r="10402" spans="1:4">
      <c r="A10402">
        <v>10608</v>
      </c>
      <c r="B10402" t="s">
        <v>10863</v>
      </c>
      <c r="C10402" t="s">
        <v>427</v>
      </c>
      <c r="D10402" s="107">
        <v>10084.049999999999</v>
      </c>
    </row>
    <row r="10403" spans="1:4">
      <c r="A10403">
        <v>4069</v>
      </c>
      <c r="B10403" t="s">
        <v>10864</v>
      </c>
      <c r="C10403" t="s">
        <v>432</v>
      </c>
      <c r="D10403" s="106">
        <v>32.33</v>
      </c>
    </row>
    <row r="10404" spans="1:4">
      <c r="A10404">
        <v>40819</v>
      </c>
      <c r="B10404" t="s">
        <v>10865</v>
      </c>
      <c r="C10404" t="s">
        <v>433</v>
      </c>
      <c r="D10404" s="107">
        <v>5715.66</v>
      </c>
    </row>
    <row r="10405" spans="1:4">
      <c r="A10405">
        <v>34361</v>
      </c>
      <c r="B10405" t="s">
        <v>10866</v>
      </c>
      <c r="C10405" t="s">
        <v>430</v>
      </c>
      <c r="D10405" s="106">
        <v>12.8</v>
      </c>
    </row>
    <row r="10406" spans="1:4">
      <c r="A10406">
        <v>36512</v>
      </c>
      <c r="B10406" t="s">
        <v>10867</v>
      </c>
      <c r="C10406" t="s">
        <v>427</v>
      </c>
      <c r="D10406" s="107">
        <v>19509.32</v>
      </c>
    </row>
    <row r="10407" spans="1:4">
      <c r="A10407">
        <v>44478</v>
      </c>
      <c r="B10407" t="s">
        <v>10868</v>
      </c>
      <c r="C10407" t="s">
        <v>430</v>
      </c>
      <c r="D10407" s="106">
        <v>19.690000000000001</v>
      </c>
    </row>
    <row r="10408" spans="1:4">
      <c r="A10408">
        <v>44477</v>
      </c>
      <c r="B10408" t="s">
        <v>10869</v>
      </c>
      <c r="C10408" t="s">
        <v>430</v>
      </c>
      <c r="D10408" s="106">
        <v>19.690000000000001</v>
      </c>
    </row>
    <row r="10409" spans="1:4">
      <c r="A10409">
        <v>11697</v>
      </c>
      <c r="B10409" t="s">
        <v>10870</v>
      </c>
      <c r="C10409" t="s">
        <v>427</v>
      </c>
      <c r="D10409" s="106">
        <v>797.05</v>
      </c>
    </row>
    <row r="10410" spans="1:4">
      <c r="A10410">
        <v>11698</v>
      </c>
      <c r="B10410" t="s">
        <v>10871</v>
      </c>
      <c r="C10410" t="s">
        <v>427</v>
      </c>
      <c r="D10410" s="106">
        <v>950.84</v>
      </c>
    </row>
    <row r="10411" spans="1:4">
      <c r="A10411">
        <v>10432</v>
      </c>
      <c r="B10411" t="s">
        <v>10872</v>
      </c>
      <c r="C10411" t="s">
        <v>427</v>
      </c>
      <c r="D10411" s="106">
        <v>328.02</v>
      </c>
    </row>
    <row r="10412" spans="1:4">
      <c r="A10412">
        <v>11699</v>
      </c>
      <c r="B10412" t="s">
        <v>10873</v>
      </c>
      <c r="C10412" t="s">
        <v>427</v>
      </c>
      <c r="D10412" s="107">
        <v>1050.8900000000001</v>
      </c>
    </row>
    <row r="10413" spans="1:4">
      <c r="A10413">
        <v>44020</v>
      </c>
      <c r="B10413" t="s">
        <v>10874</v>
      </c>
      <c r="C10413" t="s">
        <v>427</v>
      </c>
      <c r="D10413" s="106">
        <v>809.26</v>
      </c>
    </row>
    <row r="10414" spans="1:4">
      <c r="A10414">
        <v>41420</v>
      </c>
      <c r="B10414" t="s">
        <v>10875</v>
      </c>
      <c r="C10414" t="s">
        <v>427</v>
      </c>
      <c r="D10414" s="106">
        <v>10.88</v>
      </c>
    </row>
    <row r="10415" spans="1:4">
      <c r="A10415">
        <v>41422</v>
      </c>
      <c r="B10415" t="s">
        <v>10876</v>
      </c>
      <c r="C10415" t="s">
        <v>427</v>
      </c>
      <c r="D10415" s="106">
        <v>14.86</v>
      </c>
    </row>
    <row r="10416" spans="1:4">
      <c r="A10416">
        <v>41425</v>
      </c>
      <c r="B10416" t="s">
        <v>10877</v>
      </c>
      <c r="C10416" t="s">
        <v>427</v>
      </c>
      <c r="D10416" s="106">
        <v>7.6</v>
      </c>
    </row>
    <row r="10417" spans="1:4">
      <c r="A10417">
        <v>41426</v>
      </c>
      <c r="B10417" t="s">
        <v>10878</v>
      </c>
      <c r="C10417" t="s">
        <v>427</v>
      </c>
      <c r="D10417" s="106">
        <v>13.71</v>
      </c>
    </row>
    <row r="10418" spans="1:4">
      <c r="A10418">
        <v>41419</v>
      </c>
      <c r="B10418" t="s">
        <v>10879</v>
      </c>
      <c r="C10418" t="s">
        <v>427</v>
      </c>
      <c r="D10418" s="106">
        <v>8</v>
      </c>
    </row>
    <row r="10419" spans="1:4">
      <c r="A10419">
        <v>41421</v>
      </c>
      <c r="B10419" t="s">
        <v>10880</v>
      </c>
      <c r="C10419" t="s">
        <v>427</v>
      </c>
      <c r="D10419" s="106">
        <v>10.85</v>
      </c>
    </row>
    <row r="10420" spans="1:4">
      <c r="A10420">
        <v>41414</v>
      </c>
      <c r="B10420" t="s">
        <v>10881</v>
      </c>
      <c r="C10420" t="s">
        <v>427</v>
      </c>
      <c r="D10420" s="106">
        <v>25.16</v>
      </c>
    </row>
    <row r="10421" spans="1:4">
      <c r="A10421">
        <v>41415</v>
      </c>
      <c r="B10421" t="s">
        <v>10882</v>
      </c>
      <c r="C10421" t="s">
        <v>427</v>
      </c>
      <c r="D10421" s="106">
        <v>29.31</v>
      </c>
    </row>
    <row r="10422" spans="1:4">
      <c r="A10422">
        <v>37514</v>
      </c>
      <c r="B10422" t="s">
        <v>10883</v>
      </c>
      <c r="C10422" t="s">
        <v>427</v>
      </c>
      <c r="D10422" s="107">
        <v>189750</v>
      </c>
    </row>
    <row r="10423" spans="1:4">
      <c r="A10423">
        <v>37519</v>
      </c>
      <c r="B10423" t="s">
        <v>10884</v>
      </c>
      <c r="C10423" t="s">
        <v>427</v>
      </c>
      <c r="D10423" s="107">
        <v>292839.92</v>
      </c>
    </row>
    <row r="10424" spans="1:4">
      <c r="A10424">
        <v>37520</v>
      </c>
      <c r="B10424" t="s">
        <v>10885</v>
      </c>
      <c r="C10424" t="s">
        <v>427</v>
      </c>
      <c r="D10424" s="107">
        <v>288039.26</v>
      </c>
    </row>
    <row r="10425" spans="1:4">
      <c r="A10425">
        <v>37521</v>
      </c>
      <c r="B10425" t="s">
        <v>10886</v>
      </c>
      <c r="C10425" t="s">
        <v>427</v>
      </c>
      <c r="D10425" s="107">
        <v>351407.91</v>
      </c>
    </row>
    <row r="10426" spans="1:4">
      <c r="A10426">
        <v>37522</v>
      </c>
      <c r="B10426" t="s">
        <v>10887</v>
      </c>
      <c r="C10426" t="s">
        <v>427</v>
      </c>
      <c r="D10426" s="107">
        <v>361980.28</v>
      </c>
    </row>
    <row r="10427" spans="1:4">
      <c r="A10427">
        <v>21109</v>
      </c>
      <c r="B10427" t="s">
        <v>10888</v>
      </c>
      <c r="C10427" t="s">
        <v>427</v>
      </c>
      <c r="D10427" s="106">
        <v>48.14</v>
      </c>
    </row>
    <row r="10428" spans="1:4">
      <c r="A10428">
        <v>37546</v>
      </c>
      <c r="B10428" t="s">
        <v>10889</v>
      </c>
      <c r="C10428" t="s">
        <v>427</v>
      </c>
      <c r="D10428" s="107">
        <v>13281.62</v>
      </c>
    </row>
    <row r="10429" spans="1:4">
      <c r="A10429">
        <v>37544</v>
      </c>
      <c r="B10429" t="s">
        <v>10890</v>
      </c>
      <c r="C10429" t="s">
        <v>427</v>
      </c>
      <c r="D10429" s="107">
        <v>14047.54</v>
      </c>
    </row>
    <row r="10430" spans="1:4">
      <c r="A10430">
        <v>37545</v>
      </c>
      <c r="B10430" t="s">
        <v>10891</v>
      </c>
      <c r="C10430" t="s">
        <v>427</v>
      </c>
      <c r="D10430" s="107">
        <v>16714.689999999999</v>
      </c>
    </row>
    <row r="10431" spans="1:4">
      <c r="A10431">
        <v>36793</v>
      </c>
      <c r="B10431" t="s">
        <v>13482</v>
      </c>
      <c r="C10431" t="s">
        <v>427</v>
      </c>
      <c r="D10431" s="106">
        <v>769.71</v>
      </c>
    </row>
    <row r="10432" spans="1:4">
      <c r="A10432">
        <v>11769</v>
      </c>
      <c r="B10432" t="s">
        <v>13483</v>
      </c>
      <c r="C10432" t="s">
        <v>427</v>
      </c>
      <c r="D10432" s="106">
        <v>340.15</v>
      </c>
    </row>
    <row r="10433" spans="1:4">
      <c r="A10433">
        <v>11771</v>
      </c>
      <c r="B10433" t="s">
        <v>13484</v>
      </c>
      <c r="C10433" t="s">
        <v>427</v>
      </c>
      <c r="D10433" s="106">
        <v>416.64</v>
      </c>
    </row>
    <row r="10434" spans="1:4">
      <c r="A10434">
        <v>39919</v>
      </c>
      <c r="B10434" t="s">
        <v>10892</v>
      </c>
      <c r="C10434" t="s">
        <v>427</v>
      </c>
      <c r="D10434" s="107">
        <v>66481.84</v>
      </c>
    </row>
    <row r="10435" spans="1:4">
      <c r="A10435">
        <v>38385</v>
      </c>
      <c r="B10435" t="s">
        <v>10893</v>
      </c>
      <c r="C10435" t="s">
        <v>427</v>
      </c>
      <c r="D10435" s="106">
        <v>48.23</v>
      </c>
    </row>
    <row r="10436" spans="1:4">
      <c r="A10436">
        <v>36800</v>
      </c>
      <c r="B10436" t="s">
        <v>13485</v>
      </c>
      <c r="C10436" t="s">
        <v>427</v>
      </c>
      <c r="D10436" s="106">
        <v>204.39</v>
      </c>
    </row>
    <row r="10437" spans="1:4">
      <c r="A10437">
        <v>37587</v>
      </c>
      <c r="B10437" t="s">
        <v>13486</v>
      </c>
      <c r="C10437" t="s">
        <v>427</v>
      </c>
      <c r="D10437" s="106">
        <v>449.04</v>
      </c>
    </row>
    <row r="10438" spans="1:4">
      <c r="A10438">
        <v>11561</v>
      </c>
      <c r="B10438" t="s">
        <v>10894</v>
      </c>
      <c r="C10438" t="s">
        <v>427</v>
      </c>
      <c r="D10438" s="106">
        <v>248.85</v>
      </c>
    </row>
    <row r="10439" spans="1:4">
      <c r="A10439">
        <v>43604</v>
      </c>
      <c r="B10439" t="s">
        <v>10895</v>
      </c>
      <c r="C10439" t="s">
        <v>427</v>
      </c>
      <c r="D10439" s="106">
        <v>132.66</v>
      </c>
    </row>
    <row r="10440" spans="1:4">
      <c r="A10440">
        <v>11560</v>
      </c>
      <c r="B10440" t="s">
        <v>10896</v>
      </c>
      <c r="C10440" t="s">
        <v>427</v>
      </c>
      <c r="D10440" s="106">
        <v>192.07</v>
      </c>
    </row>
    <row r="10441" spans="1:4">
      <c r="A10441">
        <v>11499</v>
      </c>
      <c r="B10441" t="s">
        <v>10897</v>
      </c>
      <c r="C10441" t="s">
        <v>427</v>
      </c>
      <c r="D10441" s="106">
        <v>770.1</v>
      </c>
    </row>
    <row r="10442" spans="1:4">
      <c r="A10442">
        <v>34761</v>
      </c>
      <c r="B10442" t="s">
        <v>10898</v>
      </c>
      <c r="C10442" t="s">
        <v>432</v>
      </c>
      <c r="D10442" s="106">
        <v>16.079999999999998</v>
      </c>
    </row>
    <row r="10443" spans="1:4">
      <c r="A10443">
        <v>40924</v>
      </c>
      <c r="B10443" t="s">
        <v>10899</v>
      </c>
      <c r="C10443" t="s">
        <v>433</v>
      </c>
      <c r="D10443" s="107">
        <v>2841.91</v>
      </c>
    </row>
    <row r="10444" spans="1:4">
      <c r="A10444">
        <v>40983</v>
      </c>
      <c r="B10444" t="s">
        <v>10900</v>
      </c>
      <c r="C10444" t="s">
        <v>433</v>
      </c>
      <c r="D10444" s="107">
        <v>1994.6</v>
      </c>
    </row>
    <row r="10445" spans="1:4">
      <c r="A10445">
        <v>44497</v>
      </c>
      <c r="B10445" t="s">
        <v>13487</v>
      </c>
      <c r="C10445" t="s">
        <v>432</v>
      </c>
      <c r="D10445" s="106">
        <v>11.28</v>
      </c>
    </row>
    <row r="10446" spans="1:4">
      <c r="A10446">
        <v>2437</v>
      </c>
      <c r="B10446" t="s">
        <v>10901</v>
      </c>
      <c r="C10446" t="s">
        <v>432</v>
      </c>
      <c r="D10446" s="106">
        <v>17.920000000000002</v>
      </c>
    </row>
    <row r="10447" spans="1:4">
      <c r="A10447">
        <v>40921</v>
      </c>
      <c r="B10447" t="s">
        <v>10902</v>
      </c>
      <c r="C10447" t="s">
        <v>433</v>
      </c>
      <c r="D10447" s="107">
        <v>3167.83</v>
      </c>
    </row>
    <row r="10448" spans="1:4">
      <c r="A10448">
        <v>14252</v>
      </c>
      <c r="B10448" t="s">
        <v>10903</v>
      </c>
      <c r="C10448" t="s">
        <v>427</v>
      </c>
      <c r="D10448" s="107">
        <v>2316.27</v>
      </c>
    </row>
    <row r="10449" spans="1:4">
      <c r="A10449">
        <v>730</v>
      </c>
      <c r="B10449" t="s">
        <v>10904</v>
      </c>
      <c r="C10449" t="s">
        <v>427</v>
      </c>
      <c r="D10449" s="107">
        <v>6188.63</v>
      </c>
    </row>
    <row r="10450" spans="1:4">
      <c r="A10450">
        <v>723</v>
      </c>
      <c r="B10450" t="s">
        <v>10905</v>
      </c>
      <c r="C10450" t="s">
        <v>427</v>
      </c>
      <c r="D10450" s="107">
        <v>3075.97</v>
      </c>
    </row>
    <row r="10451" spans="1:4">
      <c r="A10451">
        <v>36502</v>
      </c>
      <c r="B10451" t="s">
        <v>10906</v>
      </c>
      <c r="C10451" t="s">
        <v>427</v>
      </c>
      <c r="D10451" s="107">
        <v>2891.04</v>
      </c>
    </row>
    <row r="10452" spans="1:4">
      <c r="A10452">
        <v>36503</v>
      </c>
      <c r="B10452" t="s">
        <v>10907</v>
      </c>
      <c r="C10452" t="s">
        <v>427</v>
      </c>
      <c r="D10452" s="107">
        <v>3565</v>
      </c>
    </row>
    <row r="10453" spans="1:4">
      <c r="A10453">
        <v>4090</v>
      </c>
      <c r="B10453" t="s">
        <v>10908</v>
      </c>
      <c r="C10453" t="s">
        <v>427</v>
      </c>
      <c r="D10453" s="107">
        <v>928000</v>
      </c>
    </row>
    <row r="10454" spans="1:4">
      <c r="A10454">
        <v>13227</v>
      </c>
      <c r="B10454" t="s">
        <v>10909</v>
      </c>
      <c r="C10454" t="s">
        <v>427</v>
      </c>
      <c r="D10454" s="107">
        <v>1153155.72</v>
      </c>
    </row>
    <row r="10455" spans="1:4">
      <c r="A10455">
        <v>10597</v>
      </c>
      <c r="B10455" t="s">
        <v>10910</v>
      </c>
      <c r="C10455" t="s">
        <v>427</v>
      </c>
      <c r="D10455" s="107">
        <v>1213845.1499999999</v>
      </c>
    </row>
    <row r="10456" spans="1:4">
      <c r="A10456">
        <v>39628</v>
      </c>
      <c r="B10456" t="s">
        <v>10911</v>
      </c>
      <c r="C10456" t="s">
        <v>427</v>
      </c>
      <c r="D10456" s="107">
        <v>4094.61</v>
      </c>
    </row>
    <row r="10457" spans="1:4">
      <c r="A10457">
        <v>39404</v>
      </c>
      <c r="B10457" t="s">
        <v>10912</v>
      </c>
      <c r="C10457" t="s">
        <v>427</v>
      </c>
      <c r="D10457" s="107">
        <v>2030.38</v>
      </c>
    </row>
    <row r="10458" spans="1:4">
      <c r="A10458">
        <v>39402</v>
      </c>
      <c r="B10458" t="s">
        <v>10913</v>
      </c>
      <c r="C10458" t="s">
        <v>427</v>
      </c>
      <c r="D10458" s="107">
        <v>1672.65</v>
      </c>
    </row>
    <row r="10459" spans="1:4">
      <c r="A10459">
        <v>39403</v>
      </c>
      <c r="B10459" t="s">
        <v>10914</v>
      </c>
      <c r="C10459" t="s">
        <v>427</v>
      </c>
      <c r="D10459" s="107">
        <v>1636.26</v>
      </c>
    </row>
    <row r="10460" spans="1:4">
      <c r="A10460">
        <v>4093</v>
      </c>
      <c r="B10460" t="s">
        <v>10915</v>
      </c>
      <c r="C10460" t="s">
        <v>432</v>
      </c>
      <c r="D10460" s="106">
        <v>13.1</v>
      </c>
    </row>
    <row r="10461" spans="1:4">
      <c r="A10461">
        <v>10512</v>
      </c>
      <c r="B10461" t="s">
        <v>10916</v>
      </c>
      <c r="C10461" t="s">
        <v>433</v>
      </c>
      <c r="D10461" s="107">
        <v>2315.6</v>
      </c>
    </row>
    <row r="10462" spans="1:4">
      <c r="A10462">
        <v>20020</v>
      </c>
      <c r="B10462" t="s">
        <v>10917</v>
      </c>
      <c r="C10462" t="s">
        <v>432</v>
      </c>
      <c r="D10462" s="106">
        <v>12.35</v>
      </c>
    </row>
    <row r="10463" spans="1:4">
      <c r="A10463">
        <v>41038</v>
      </c>
      <c r="B10463" t="s">
        <v>10918</v>
      </c>
      <c r="C10463" t="s">
        <v>433</v>
      </c>
      <c r="D10463" s="107">
        <v>2184.1999999999998</v>
      </c>
    </row>
    <row r="10464" spans="1:4">
      <c r="A10464">
        <v>4094</v>
      </c>
      <c r="B10464" t="s">
        <v>10919</v>
      </c>
      <c r="C10464" t="s">
        <v>432</v>
      </c>
      <c r="D10464" s="106">
        <v>17.489999999999998</v>
      </c>
    </row>
    <row r="10465" spans="1:4">
      <c r="A10465">
        <v>40988</v>
      </c>
      <c r="B10465" t="s">
        <v>10920</v>
      </c>
      <c r="C10465" t="s">
        <v>433</v>
      </c>
      <c r="D10465" s="107">
        <v>3092.34</v>
      </c>
    </row>
    <row r="10466" spans="1:4">
      <c r="A10466">
        <v>4095</v>
      </c>
      <c r="B10466" t="s">
        <v>10921</v>
      </c>
      <c r="C10466" t="s">
        <v>432</v>
      </c>
      <c r="D10466" s="106">
        <v>12.13</v>
      </c>
    </row>
    <row r="10467" spans="1:4">
      <c r="A10467">
        <v>40990</v>
      </c>
      <c r="B10467" t="s">
        <v>10922</v>
      </c>
      <c r="C10467" t="s">
        <v>433</v>
      </c>
      <c r="D10467" s="107">
        <v>2145.83</v>
      </c>
    </row>
    <row r="10468" spans="1:4">
      <c r="A10468">
        <v>4097</v>
      </c>
      <c r="B10468" t="s">
        <v>10923</v>
      </c>
      <c r="C10468" t="s">
        <v>432</v>
      </c>
      <c r="D10468" s="106">
        <v>14.28</v>
      </c>
    </row>
    <row r="10469" spans="1:4">
      <c r="A10469">
        <v>40994</v>
      </c>
      <c r="B10469" t="s">
        <v>10924</v>
      </c>
      <c r="C10469" t="s">
        <v>433</v>
      </c>
      <c r="D10469" s="107">
        <v>2526.3200000000002</v>
      </c>
    </row>
    <row r="10470" spans="1:4">
      <c r="A10470">
        <v>4096</v>
      </c>
      <c r="B10470" t="s">
        <v>10925</v>
      </c>
      <c r="C10470" t="s">
        <v>432</v>
      </c>
      <c r="D10470" s="106">
        <v>15.33</v>
      </c>
    </row>
    <row r="10471" spans="1:4">
      <c r="A10471">
        <v>40992</v>
      </c>
      <c r="B10471" t="s">
        <v>10926</v>
      </c>
      <c r="C10471" t="s">
        <v>433</v>
      </c>
      <c r="D10471" s="107">
        <v>2711.15</v>
      </c>
    </row>
    <row r="10472" spans="1:4">
      <c r="A10472">
        <v>4114</v>
      </c>
      <c r="B10472" t="s">
        <v>10927</v>
      </c>
      <c r="C10472" t="s">
        <v>427</v>
      </c>
      <c r="D10472" s="106">
        <v>76.55</v>
      </c>
    </row>
    <row r="10473" spans="1:4">
      <c r="A10473">
        <v>36797</v>
      </c>
      <c r="B10473" t="s">
        <v>10928</v>
      </c>
      <c r="C10473" t="s">
        <v>427</v>
      </c>
      <c r="D10473" s="106">
        <v>68.16</v>
      </c>
    </row>
    <row r="10474" spans="1:4">
      <c r="A10474">
        <v>4107</v>
      </c>
      <c r="B10474" t="s">
        <v>10929</v>
      </c>
      <c r="C10474" t="s">
        <v>427</v>
      </c>
      <c r="D10474" s="106">
        <v>64.27</v>
      </c>
    </row>
    <row r="10475" spans="1:4">
      <c r="A10475">
        <v>4102</v>
      </c>
      <c r="B10475" t="s">
        <v>10930</v>
      </c>
      <c r="C10475" t="s">
        <v>427</v>
      </c>
      <c r="D10475" s="106">
        <v>78.45</v>
      </c>
    </row>
    <row r="10476" spans="1:4">
      <c r="A10476">
        <v>36799</v>
      </c>
      <c r="B10476" t="s">
        <v>10931</v>
      </c>
      <c r="C10476" t="s">
        <v>427</v>
      </c>
      <c r="D10476" s="106">
        <v>66.16</v>
      </c>
    </row>
    <row r="10477" spans="1:4">
      <c r="A10477">
        <v>2747</v>
      </c>
      <c r="B10477" t="s">
        <v>10932</v>
      </c>
      <c r="C10477" t="s">
        <v>429</v>
      </c>
      <c r="D10477" s="106">
        <v>33.31</v>
      </c>
    </row>
    <row r="10478" spans="1:4">
      <c r="A10478">
        <v>21138</v>
      </c>
      <c r="B10478" t="s">
        <v>10933</v>
      </c>
      <c r="C10478" t="s">
        <v>429</v>
      </c>
      <c r="D10478" s="106">
        <v>10.56</v>
      </c>
    </row>
    <row r="10479" spans="1:4">
      <c r="A10479">
        <v>10826</v>
      </c>
      <c r="B10479" t="s">
        <v>10934</v>
      </c>
      <c r="C10479" t="s">
        <v>427</v>
      </c>
      <c r="D10479" s="106">
        <v>86.2</v>
      </c>
    </row>
    <row r="10480" spans="1:4">
      <c r="A10480">
        <v>365</v>
      </c>
      <c r="B10480" t="s">
        <v>10935</v>
      </c>
      <c r="C10480" t="s">
        <v>427</v>
      </c>
      <c r="D10480" s="106">
        <v>53.44</v>
      </c>
    </row>
    <row r="10481" spans="1:4">
      <c r="A10481">
        <v>38639</v>
      </c>
      <c r="B10481" t="s">
        <v>10936</v>
      </c>
      <c r="C10481" t="s">
        <v>427</v>
      </c>
      <c r="D10481" s="106">
        <v>206.89</v>
      </c>
    </row>
    <row r="10482" spans="1:4">
      <c r="A10482">
        <v>38640</v>
      </c>
      <c r="B10482" t="s">
        <v>10937</v>
      </c>
      <c r="C10482" t="s">
        <v>427</v>
      </c>
      <c r="D10482" s="106">
        <v>3.1</v>
      </c>
    </row>
    <row r="10483" spans="1:4">
      <c r="A10483">
        <v>358</v>
      </c>
      <c r="B10483" t="s">
        <v>10938</v>
      </c>
      <c r="C10483" t="s">
        <v>427</v>
      </c>
      <c r="D10483" s="106">
        <v>63.79</v>
      </c>
    </row>
    <row r="10484" spans="1:4">
      <c r="A10484">
        <v>359</v>
      </c>
      <c r="B10484" t="s">
        <v>10939</v>
      </c>
      <c r="C10484" t="s">
        <v>427</v>
      </c>
      <c r="D10484" s="106">
        <v>131.03</v>
      </c>
    </row>
    <row r="10485" spans="1:4">
      <c r="A10485">
        <v>38641</v>
      </c>
      <c r="B10485" t="s">
        <v>10940</v>
      </c>
      <c r="C10485" t="s">
        <v>427</v>
      </c>
      <c r="D10485" s="106">
        <v>129.31</v>
      </c>
    </row>
    <row r="10486" spans="1:4">
      <c r="A10486">
        <v>360</v>
      </c>
      <c r="B10486" t="s">
        <v>10941</v>
      </c>
      <c r="C10486" t="s">
        <v>427</v>
      </c>
      <c r="D10486" s="106">
        <v>3</v>
      </c>
    </row>
    <row r="10487" spans="1:4">
      <c r="A10487">
        <v>42430</v>
      </c>
      <c r="B10487" t="s">
        <v>10942</v>
      </c>
      <c r="C10487" t="s">
        <v>427</v>
      </c>
      <c r="D10487" s="107">
        <v>6318.06</v>
      </c>
    </row>
    <row r="10488" spans="1:4">
      <c r="A10488">
        <v>4214</v>
      </c>
      <c r="B10488" t="s">
        <v>10943</v>
      </c>
      <c r="C10488" t="s">
        <v>427</v>
      </c>
      <c r="D10488" s="106">
        <v>9.8800000000000008</v>
      </c>
    </row>
    <row r="10489" spans="1:4">
      <c r="A10489">
        <v>4215</v>
      </c>
      <c r="B10489" t="s">
        <v>10944</v>
      </c>
      <c r="C10489" t="s">
        <v>427</v>
      </c>
      <c r="D10489" s="106">
        <v>6.5</v>
      </c>
    </row>
    <row r="10490" spans="1:4">
      <c r="A10490">
        <v>4210</v>
      </c>
      <c r="B10490" t="s">
        <v>10945</v>
      </c>
      <c r="C10490" t="s">
        <v>427</v>
      </c>
      <c r="D10490" s="106">
        <v>1.0900000000000001</v>
      </c>
    </row>
    <row r="10491" spans="1:4">
      <c r="A10491">
        <v>4212</v>
      </c>
      <c r="B10491" t="s">
        <v>10946</v>
      </c>
      <c r="C10491" t="s">
        <v>427</v>
      </c>
      <c r="D10491" s="106">
        <v>3.14</v>
      </c>
    </row>
    <row r="10492" spans="1:4">
      <c r="A10492">
        <v>4213</v>
      </c>
      <c r="B10492" t="s">
        <v>10947</v>
      </c>
      <c r="C10492" t="s">
        <v>427</v>
      </c>
      <c r="D10492" s="106">
        <v>14.03</v>
      </c>
    </row>
    <row r="10493" spans="1:4">
      <c r="A10493">
        <v>4211</v>
      </c>
      <c r="B10493" t="s">
        <v>10948</v>
      </c>
      <c r="C10493" t="s">
        <v>427</v>
      </c>
      <c r="D10493" s="106">
        <v>1.57</v>
      </c>
    </row>
    <row r="10494" spans="1:4">
      <c r="A10494">
        <v>4209</v>
      </c>
      <c r="B10494" t="s">
        <v>10949</v>
      </c>
      <c r="C10494" t="s">
        <v>427</v>
      </c>
      <c r="D10494" s="106">
        <v>17.82</v>
      </c>
    </row>
    <row r="10495" spans="1:4">
      <c r="A10495">
        <v>4180</v>
      </c>
      <c r="B10495" t="s">
        <v>10950</v>
      </c>
      <c r="C10495" t="s">
        <v>427</v>
      </c>
      <c r="D10495" s="106">
        <v>13.42</v>
      </c>
    </row>
    <row r="10496" spans="1:4">
      <c r="A10496">
        <v>4177</v>
      </c>
      <c r="B10496" t="s">
        <v>10951</v>
      </c>
      <c r="C10496" t="s">
        <v>427</v>
      </c>
      <c r="D10496" s="106">
        <v>4.45</v>
      </c>
    </row>
    <row r="10497" spans="1:4">
      <c r="A10497">
        <v>4179</v>
      </c>
      <c r="B10497" t="s">
        <v>10952</v>
      </c>
      <c r="C10497" t="s">
        <v>427</v>
      </c>
      <c r="D10497" s="106">
        <v>9.11</v>
      </c>
    </row>
    <row r="10498" spans="1:4">
      <c r="A10498">
        <v>4208</v>
      </c>
      <c r="B10498" t="s">
        <v>10953</v>
      </c>
      <c r="C10498" t="s">
        <v>427</v>
      </c>
      <c r="D10498" s="106">
        <v>42.42</v>
      </c>
    </row>
    <row r="10499" spans="1:4">
      <c r="A10499">
        <v>4181</v>
      </c>
      <c r="B10499" t="s">
        <v>10954</v>
      </c>
      <c r="C10499" t="s">
        <v>427</v>
      </c>
      <c r="D10499" s="106">
        <v>27.72</v>
      </c>
    </row>
    <row r="10500" spans="1:4">
      <c r="A10500">
        <v>4178</v>
      </c>
      <c r="B10500" t="s">
        <v>10955</v>
      </c>
      <c r="C10500" t="s">
        <v>427</v>
      </c>
      <c r="D10500" s="106">
        <v>6.17</v>
      </c>
    </row>
    <row r="10501" spans="1:4">
      <c r="A10501">
        <v>4182</v>
      </c>
      <c r="B10501" t="s">
        <v>10956</v>
      </c>
      <c r="C10501" t="s">
        <v>427</v>
      </c>
      <c r="D10501" s="106">
        <v>69.010000000000005</v>
      </c>
    </row>
    <row r="10502" spans="1:4">
      <c r="A10502">
        <v>4183</v>
      </c>
      <c r="B10502" t="s">
        <v>10957</v>
      </c>
      <c r="C10502" t="s">
        <v>427</v>
      </c>
      <c r="D10502" s="106">
        <v>111.1</v>
      </c>
    </row>
    <row r="10503" spans="1:4">
      <c r="A10503">
        <v>4184</v>
      </c>
      <c r="B10503" t="s">
        <v>10958</v>
      </c>
      <c r="C10503" t="s">
        <v>427</v>
      </c>
      <c r="D10503" s="106">
        <v>245.25</v>
      </c>
    </row>
    <row r="10504" spans="1:4">
      <c r="A10504">
        <v>4185</v>
      </c>
      <c r="B10504" t="s">
        <v>10959</v>
      </c>
      <c r="C10504" t="s">
        <v>427</v>
      </c>
      <c r="D10504" s="106">
        <v>407.5</v>
      </c>
    </row>
    <row r="10505" spans="1:4">
      <c r="A10505">
        <v>4205</v>
      </c>
      <c r="B10505" t="s">
        <v>10960</v>
      </c>
      <c r="C10505" t="s">
        <v>427</v>
      </c>
      <c r="D10505" s="106">
        <v>23.53</v>
      </c>
    </row>
    <row r="10506" spans="1:4">
      <c r="A10506">
        <v>4192</v>
      </c>
      <c r="B10506" t="s">
        <v>10961</v>
      </c>
      <c r="C10506" t="s">
        <v>427</v>
      </c>
      <c r="D10506" s="106">
        <v>23.53</v>
      </c>
    </row>
    <row r="10507" spans="1:4">
      <c r="A10507">
        <v>4191</v>
      </c>
      <c r="B10507" t="s">
        <v>10962</v>
      </c>
      <c r="C10507" t="s">
        <v>427</v>
      </c>
      <c r="D10507" s="106">
        <v>23.53</v>
      </c>
    </row>
    <row r="10508" spans="1:4">
      <c r="A10508">
        <v>4207</v>
      </c>
      <c r="B10508" t="s">
        <v>10963</v>
      </c>
      <c r="C10508" t="s">
        <v>427</v>
      </c>
      <c r="D10508" s="106">
        <v>18.940000000000001</v>
      </c>
    </row>
    <row r="10509" spans="1:4">
      <c r="A10509">
        <v>4206</v>
      </c>
      <c r="B10509" t="s">
        <v>10964</v>
      </c>
      <c r="C10509" t="s">
        <v>427</v>
      </c>
      <c r="D10509" s="106">
        <v>18.39</v>
      </c>
    </row>
    <row r="10510" spans="1:4">
      <c r="A10510">
        <v>4190</v>
      </c>
      <c r="B10510" t="s">
        <v>10965</v>
      </c>
      <c r="C10510" t="s">
        <v>427</v>
      </c>
      <c r="D10510" s="106">
        <v>18.39</v>
      </c>
    </row>
    <row r="10511" spans="1:4">
      <c r="A10511">
        <v>4186</v>
      </c>
      <c r="B10511" t="s">
        <v>10966</v>
      </c>
      <c r="C10511" t="s">
        <v>427</v>
      </c>
      <c r="D10511" s="106">
        <v>5.43</v>
      </c>
    </row>
    <row r="10512" spans="1:4">
      <c r="A10512">
        <v>4188</v>
      </c>
      <c r="B10512" t="s">
        <v>10967</v>
      </c>
      <c r="C10512" t="s">
        <v>427</v>
      </c>
      <c r="D10512" s="106">
        <v>11.1</v>
      </c>
    </row>
    <row r="10513" spans="1:4">
      <c r="A10513">
        <v>4189</v>
      </c>
      <c r="B10513" t="s">
        <v>10968</v>
      </c>
      <c r="C10513" t="s">
        <v>427</v>
      </c>
      <c r="D10513" s="106">
        <v>11.1</v>
      </c>
    </row>
    <row r="10514" spans="1:4">
      <c r="A10514">
        <v>4197</v>
      </c>
      <c r="B10514" t="s">
        <v>10969</v>
      </c>
      <c r="C10514" t="s">
        <v>427</v>
      </c>
      <c r="D10514" s="106">
        <v>58.76</v>
      </c>
    </row>
    <row r="10515" spans="1:4">
      <c r="A10515">
        <v>4194</v>
      </c>
      <c r="B10515" t="s">
        <v>10970</v>
      </c>
      <c r="C10515" t="s">
        <v>427</v>
      </c>
      <c r="D10515" s="106">
        <v>35.51</v>
      </c>
    </row>
    <row r="10516" spans="1:4">
      <c r="A10516">
        <v>4193</v>
      </c>
      <c r="B10516" t="s">
        <v>10971</v>
      </c>
      <c r="C10516" t="s">
        <v>427</v>
      </c>
      <c r="D10516" s="106">
        <v>35.51</v>
      </c>
    </row>
    <row r="10517" spans="1:4">
      <c r="A10517">
        <v>4204</v>
      </c>
      <c r="B10517" t="s">
        <v>10972</v>
      </c>
      <c r="C10517" t="s">
        <v>427</v>
      </c>
      <c r="D10517" s="106">
        <v>35.51</v>
      </c>
    </row>
    <row r="10518" spans="1:4">
      <c r="A10518">
        <v>4187</v>
      </c>
      <c r="B10518" t="s">
        <v>10973</v>
      </c>
      <c r="C10518" t="s">
        <v>427</v>
      </c>
      <c r="D10518" s="106">
        <v>7.07</v>
      </c>
    </row>
    <row r="10519" spans="1:4">
      <c r="A10519">
        <v>4202</v>
      </c>
      <c r="B10519" t="s">
        <v>10974</v>
      </c>
      <c r="C10519" t="s">
        <v>427</v>
      </c>
      <c r="D10519" s="106">
        <v>107.32</v>
      </c>
    </row>
    <row r="10520" spans="1:4">
      <c r="A10520">
        <v>4203</v>
      </c>
      <c r="B10520" t="s">
        <v>10975</v>
      </c>
      <c r="C10520" t="s">
        <v>427</v>
      </c>
      <c r="D10520" s="106">
        <v>94.78</v>
      </c>
    </row>
    <row r="10521" spans="1:4">
      <c r="A10521">
        <v>40368</v>
      </c>
      <c r="B10521" t="s">
        <v>10976</v>
      </c>
      <c r="C10521" t="s">
        <v>427</v>
      </c>
      <c r="D10521" s="106">
        <v>57.46</v>
      </c>
    </row>
    <row r="10522" spans="1:4">
      <c r="A10522">
        <v>40365</v>
      </c>
      <c r="B10522" t="s">
        <v>10977</v>
      </c>
      <c r="C10522" t="s">
        <v>427</v>
      </c>
      <c r="D10522" s="106">
        <v>38.76</v>
      </c>
    </row>
    <row r="10523" spans="1:4">
      <c r="A10523">
        <v>40356</v>
      </c>
      <c r="B10523" t="s">
        <v>10978</v>
      </c>
      <c r="C10523" t="s">
        <v>427</v>
      </c>
      <c r="D10523" s="106">
        <v>13.24</v>
      </c>
    </row>
    <row r="10524" spans="1:4">
      <c r="A10524">
        <v>40362</v>
      </c>
      <c r="B10524" t="s">
        <v>10979</v>
      </c>
      <c r="C10524" t="s">
        <v>427</v>
      </c>
      <c r="D10524" s="106">
        <v>25.67</v>
      </c>
    </row>
    <row r="10525" spans="1:4">
      <c r="A10525">
        <v>40374</v>
      </c>
      <c r="B10525" t="s">
        <v>10980</v>
      </c>
      <c r="C10525" t="s">
        <v>427</v>
      </c>
      <c r="D10525" s="106">
        <v>150.16999999999999</v>
      </c>
    </row>
    <row r="10526" spans="1:4">
      <c r="A10526">
        <v>40371</v>
      </c>
      <c r="B10526" t="s">
        <v>10981</v>
      </c>
      <c r="C10526" t="s">
        <v>427</v>
      </c>
      <c r="D10526" s="106">
        <v>94.53</v>
      </c>
    </row>
    <row r="10527" spans="1:4">
      <c r="A10527">
        <v>40359</v>
      </c>
      <c r="B10527" t="s">
        <v>10982</v>
      </c>
      <c r="C10527" t="s">
        <v>427</v>
      </c>
      <c r="D10527" s="106">
        <v>17.11</v>
      </c>
    </row>
    <row r="10528" spans="1:4">
      <c r="A10528">
        <v>7595</v>
      </c>
      <c r="B10528" t="s">
        <v>10983</v>
      </c>
      <c r="C10528" t="s">
        <v>432</v>
      </c>
      <c r="D10528" s="106">
        <v>8.19</v>
      </c>
    </row>
    <row r="10529" spans="1:4">
      <c r="A10529">
        <v>41094</v>
      </c>
      <c r="B10529" t="s">
        <v>10984</v>
      </c>
      <c r="C10529" t="s">
        <v>433</v>
      </c>
      <c r="D10529" s="107">
        <v>1448.52</v>
      </c>
    </row>
    <row r="10530" spans="1:4">
      <c r="A10530">
        <v>39609</v>
      </c>
      <c r="B10530" t="s">
        <v>10985</v>
      </c>
      <c r="C10530" t="s">
        <v>427</v>
      </c>
      <c r="D10530" s="107">
        <v>42509.14</v>
      </c>
    </row>
    <row r="10531" spans="1:4">
      <c r="A10531">
        <v>39610</v>
      </c>
      <c r="B10531" t="s">
        <v>10986</v>
      </c>
      <c r="C10531" t="s">
        <v>427</v>
      </c>
      <c r="D10531" s="107">
        <v>62050.09</v>
      </c>
    </row>
    <row r="10532" spans="1:4">
      <c r="A10532">
        <v>39611</v>
      </c>
      <c r="B10532" t="s">
        <v>10987</v>
      </c>
      <c r="C10532" t="s">
        <v>427</v>
      </c>
      <c r="D10532" s="107">
        <v>75090.759999999995</v>
      </c>
    </row>
    <row r="10533" spans="1:4">
      <c r="A10533">
        <v>39612</v>
      </c>
      <c r="B10533" t="s">
        <v>10988</v>
      </c>
      <c r="C10533" t="s">
        <v>427</v>
      </c>
      <c r="D10533" s="107">
        <v>117631.38</v>
      </c>
    </row>
    <row r="10534" spans="1:4">
      <c r="A10534">
        <v>39608</v>
      </c>
      <c r="B10534" t="s">
        <v>10989</v>
      </c>
      <c r="C10534" t="s">
        <v>427</v>
      </c>
      <c r="D10534" s="107">
        <v>33989.86</v>
      </c>
    </row>
    <row r="10535" spans="1:4">
      <c r="A10535">
        <v>38175</v>
      </c>
      <c r="B10535" t="s">
        <v>10990</v>
      </c>
      <c r="C10535" t="s">
        <v>427</v>
      </c>
      <c r="D10535" s="106">
        <v>4.99</v>
      </c>
    </row>
    <row r="10536" spans="1:4">
      <c r="A10536">
        <v>38176</v>
      </c>
      <c r="B10536" t="s">
        <v>10991</v>
      </c>
      <c r="C10536" t="s">
        <v>427</v>
      </c>
      <c r="D10536" s="106">
        <v>14.68</v>
      </c>
    </row>
    <row r="10537" spans="1:4">
      <c r="A10537">
        <v>36152</v>
      </c>
      <c r="B10537" t="s">
        <v>10992</v>
      </c>
      <c r="C10537" t="s">
        <v>427</v>
      </c>
      <c r="D10537" s="106">
        <v>7.8</v>
      </c>
    </row>
    <row r="10538" spans="1:4">
      <c r="A10538">
        <v>11138</v>
      </c>
      <c r="B10538" t="s">
        <v>10993</v>
      </c>
      <c r="C10538" t="s">
        <v>428</v>
      </c>
      <c r="D10538" s="106">
        <v>3.8</v>
      </c>
    </row>
    <row r="10539" spans="1:4">
      <c r="A10539">
        <v>4221</v>
      </c>
      <c r="B10539" t="s">
        <v>10994</v>
      </c>
      <c r="C10539" t="s">
        <v>428</v>
      </c>
      <c r="D10539" s="106">
        <v>5.91</v>
      </c>
    </row>
    <row r="10540" spans="1:4">
      <c r="A10540">
        <v>4227</v>
      </c>
      <c r="B10540" t="s">
        <v>10995</v>
      </c>
      <c r="C10540" t="s">
        <v>428</v>
      </c>
      <c r="D10540" s="106">
        <v>24.45</v>
      </c>
    </row>
    <row r="10541" spans="1:4">
      <c r="A10541">
        <v>38170</v>
      </c>
      <c r="B10541" t="s">
        <v>10996</v>
      </c>
      <c r="C10541" t="s">
        <v>427</v>
      </c>
      <c r="D10541" s="106">
        <v>21.81</v>
      </c>
    </row>
    <row r="10542" spans="1:4">
      <c r="A10542">
        <v>4252</v>
      </c>
      <c r="B10542" t="s">
        <v>10997</v>
      </c>
      <c r="C10542" t="s">
        <v>432</v>
      </c>
      <c r="D10542" s="106">
        <v>13.76</v>
      </c>
    </row>
    <row r="10543" spans="1:4">
      <c r="A10543">
        <v>40980</v>
      </c>
      <c r="B10543" t="s">
        <v>10998</v>
      </c>
      <c r="C10543" t="s">
        <v>433</v>
      </c>
      <c r="D10543" s="107">
        <v>2434.48</v>
      </c>
    </row>
    <row r="10544" spans="1:4">
      <c r="A10544">
        <v>4243</v>
      </c>
      <c r="B10544" t="s">
        <v>10999</v>
      </c>
      <c r="C10544" t="s">
        <v>432</v>
      </c>
      <c r="D10544" s="106">
        <v>11.81</v>
      </c>
    </row>
    <row r="10545" spans="1:4">
      <c r="A10545">
        <v>41031</v>
      </c>
      <c r="B10545" t="s">
        <v>11000</v>
      </c>
      <c r="C10545" t="s">
        <v>433</v>
      </c>
      <c r="D10545" s="107">
        <v>2087.83</v>
      </c>
    </row>
    <row r="10546" spans="1:4">
      <c r="A10546">
        <v>37666</v>
      </c>
      <c r="B10546" t="s">
        <v>11001</v>
      </c>
      <c r="C10546" t="s">
        <v>432</v>
      </c>
      <c r="D10546" s="106">
        <v>11.38</v>
      </c>
    </row>
    <row r="10547" spans="1:4">
      <c r="A10547">
        <v>40986</v>
      </c>
      <c r="B10547" t="s">
        <v>11002</v>
      </c>
      <c r="C10547" t="s">
        <v>433</v>
      </c>
      <c r="D10547" s="107">
        <v>2014.83</v>
      </c>
    </row>
    <row r="10548" spans="1:4">
      <c r="A10548">
        <v>4250</v>
      </c>
      <c r="B10548" t="s">
        <v>11003</v>
      </c>
      <c r="C10548" t="s">
        <v>432</v>
      </c>
      <c r="D10548" s="106">
        <v>12.41</v>
      </c>
    </row>
    <row r="10549" spans="1:4">
      <c r="A10549">
        <v>40978</v>
      </c>
      <c r="B10549" t="s">
        <v>11004</v>
      </c>
      <c r="C10549" t="s">
        <v>433</v>
      </c>
      <c r="D10549" s="107">
        <v>2195.88</v>
      </c>
    </row>
    <row r="10550" spans="1:4">
      <c r="A10550">
        <v>41043</v>
      </c>
      <c r="B10550" t="s">
        <v>11005</v>
      </c>
      <c r="C10550" t="s">
        <v>433</v>
      </c>
      <c r="D10550" s="107">
        <v>2569.64</v>
      </c>
    </row>
    <row r="10551" spans="1:4">
      <c r="A10551">
        <v>44501</v>
      </c>
      <c r="B10551" t="s">
        <v>13488</v>
      </c>
      <c r="C10551" t="s">
        <v>432</v>
      </c>
      <c r="D10551" s="106">
        <v>14.53</v>
      </c>
    </row>
    <row r="10552" spans="1:4">
      <c r="A10552">
        <v>4234</v>
      </c>
      <c r="B10552" t="s">
        <v>11006</v>
      </c>
      <c r="C10552" t="s">
        <v>432</v>
      </c>
      <c r="D10552" s="106">
        <v>15.93</v>
      </c>
    </row>
    <row r="10553" spans="1:4">
      <c r="A10553">
        <v>40987</v>
      </c>
      <c r="B10553" t="s">
        <v>11007</v>
      </c>
      <c r="C10553" t="s">
        <v>433</v>
      </c>
      <c r="D10553" s="107">
        <v>2814.94</v>
      </c>
    </row>
    <row r="10554" spans="1:4">
      <c r="A10554">
        <v>4253</v>
      </c>
      <c r="B10554" t="s">
        <v>11008</v>
      </c>
      <c r="C10554" t="s">
        <v>432</v>
      </c>
      <c r="D10554" s="106">
        <v>11.45</v>
      </c>
    </row>
    <row r="10555" spans="1:4">
      <c r="A10555">
        <v>40981</v>
      </c>
      <c r="B10555" t="s">
        <v>11009</v>
      </c>
      <c r="C10555" t="s">
        <v>433</v>
      </c>
      <c r="D10555" s="107">
        <v>2024.81</v>
      </c>
    </row>
    <row r="10556" spans="1:4">
      <c r="A10556">
        <v>4254</v>
      </c>
      <c r="B10556" t="s">
        <v>11010</v>
      </c>
      <c r="C10556" t="s">
        <v>432</v>
      </c>
      <c r="D10556" s="106">
        <v>11.51</v>
      </c>
    </row>
    <row r="10557" spans="1:4">
      <c r="A10557">
        <v>41036</v>
      </c>
      <c r="B10557" t="s">
        <v>11011</v>
      </c>
      <c r="C10557" t="s">
        <v>433</v>
      </c>
      <c r="D10557" s="107">
        <v>2035.91</v>
      </c>
    </row>
    <row r="10558" spans="1:4">
      <c r="A10558">
        <v>4251</v>
      </c>
      <c r="B10558" t="s">
        <v>11012</v>
      </c>
      <c r="C10558" t="s">
        <v>432</v>
      </c>
      <c r="D10558" s="106">
        <v>14.26</v>
      </c>
    </row>
    <row r="10559" spans="1:4">
      <c r="A10559">
        <v>40979</v>
      </c>
      <c r="B10559" t="s">
        <v>11013</v>
      </c>
      <c r="C10559" t="s">
        <v>433</v>
      </c>
      <c r="D10559" s="107">
        <v>2520.0100000000002</v>
      </c>
    </row>
    <row r="10560" spans="1:4">
      <c r="A10560">
        <v>4230</v>
      </c>
      <c r="B10560" t="s">
        <v>11014</v>
      </c>
      <c r="C10560" t="s">
        <v>432</v>
      </c>
      <c r="D10560" s="106">
        <v>12.13</v>
      </c>
    </row>
    <row r="10561" spans="1:4">
      <c r="A10561">
        <v>40998</v>
      </c>
      <c r="B10561" t="s">
        <v>11015</v>
      </c>
      <c r="C10561" t="s">
        <v>433</v>
      </c>
      <c r="D10561" s="107">
        <v>2145.83</v>
      </c>
    </row>
    <row r="10562" spans="1:4">
      <c r="A10562">
        <v>4257</v>
      </c>
      <c r="B10562" t="s">
        <v>11016</v>
      </c>
      <c r="C10562" t="s">
        <v>432</v>
      </c>
      <c r="D10562" s="106">
        <v>9.56</v>
      </c>
    </row>
    <row r="10563" spans="1:4">
      <c r="A10563">
        <v>40982</v>
      </c>
      <c r="B10563" t="s">
        <v>11017</v>
      </c>
      <c r="C10563" t="s">
        <v>433</v>
      </c>
      <c r="D10563" s="107">
        <v>1691.65</v>
      </c>
    </row>
    <row r="10564" spans="1:4">
      <c r="A10564">
        <v>4240</v>
      </c>
      <c r="B10564" t="s">
        <v>11018</v>
      </c>
      <c r="C10564" t="s">
        <v>432</v>
      </c>
      <c r="D10564" s="106">
        <v>14.77</v>
      </c>
    </row>
    <row r="10565" spans="1:4">
      <c r="A10565">
        <v>41026</v>
      </c>
      <c r="B10565" t="s">
        <v>11019</v>
      </c>
      <c r="C10565" t="s">
        <v>433</v>
      </c>
      <c r="D10565" s="107">
        <v>2613.4499999999998</v>
      </c>
    </row>
    <row r="10566" spans="1:4">
      <c r="A10566">
        <v>4239</v>
      </c>
      <c r="B10566" t="s">
        <v>11020</v>
      </c>
      <c r="C10566" t="s">
        <v>432</v>
      </c>
      <c r="D10566" s="106">
        <v>18.14</v>
      </c>
    </row>
    <row r="10567" spans="1:4">
      <c r="A10567">
        <v>41024</v>
      </c>
      <c r="B10567" t="s">
        <v>11021</v>
      </c>
      <c r="C10567" t="s">
        <v>433</v>
      </c>
      <c r="D10567" s="107">
        <v>3206.22</v>
      </c>
    </row>
    <row r="10568" spans="1:4">
      <c r="A10568">
        <v>4248</v>
      </c>
      <c r="B10568" t="s">
        <v>11022</v>
      </c>
      <c r="C10568" t="s">
        <v>432</v>
      </c>
      <c r="D10568" s="106">
        <v>13.25</v>
      </c>
    </row>
    <row r="10569" spans="1:4">
      <c r="A10569">
        <v>41033</v>
      </c>
      <c r="B10569" t="s">
        <v>11023</v>
      </c>
      <c r="C10569" t="s">
        <v>433</v>
      </c>
      <c r="D10569" s="107">
        <v>2341.38</v>
      </c>
    </row>
    <row r="10570" spans="1:4">
      <c r="A10570">
        <v>41040</v>
      </c>
      <c r="B10570" t="s">
        <v>11024</v>
      </c>
      <c r="C10570" t="s">
        <v>433</v>
      </c>
      <c r="D10570" s="107">
        <v>2698.13</v>
      </c>
    </row>
    <row r="10571" spans="1:4">
      <c r="A10571">
        <v>44500</v>
      </c>
      <c r="B10571" t="s">
        <v>13489</v>
      </c>
      <c r="C10571" t="s">
        <v>432</v>
      </c>
      <c r="D10571" s="106">
        <v>15.26</v>
      </c>
    </row>
    <row r="10572" spans="1:4">
      <c r="A10572">
        <v>4238</v>
      </c>
      <c r="B10572" t="s">
        <v>11025</v>
      </c>
      <c r="C10572" t="s">
        <v>432</v>
      </c>
      <c r="D10572" s="106">
        <v>12.13</v>
      </c>
    </row>
    <row r="10573" spans="1:4">
      <c r="A10573">
        <v>41012</v>
      </c>
      <c r="B10573" t="s">
        <v>11026</v>
      </c>
      <c r="C10573" t="s">
        <v>433</v>
      </c>
      <c r="D10573" s="107">
        <v>2145.83</v>
      </c>
    </row>
    <row r="10574" spans="1:4">
      <c r="A10574">
        <v>4237</v>
      </c>
      <c r="B10574" t="s">
        <v>11027</v>
      </c>
      <c r="C10574" t="s">
        <v>432</v>
      </c>
      <c r="D10574" s="106">
        <v>12.22</v>
      </c>
    </row>
    <row r="10575" spans="1:4">
      <c r="A10575">
        <v>41002</v>
      </c>
      <c r="B10575" t="s">
        <v>11028</v>
      </c>
      <c r="C10575" t="s">
        <v>433</v>
      </c>
      <c r="D10575" s="107">
        <v>2162.71</v>
      </c>
    </row>
    <row r="10576" spans="1:4">
      <c r="A10576">
        <v>4233</v>
      </c>
      <c r="B10576" t="s">
        <v>11029</v>
      </c>
      <c r="C10576" t="s">
        <v>432</v>
      </c>
      <c r="D10576" s="106">
        <v>13.1</v>
      </c>
    </row>
    <row r="10577" spans="1:4">
      <c r="A10577">
        <v>41001</v>
      </c>
      <c r="B10577" t="s">
        <v>11030</v>
      </c>
      <c r="C10577" t="s">
        <v>433</v>
      </c>
      <c r="D10577" s="107">
        <v>2317.06</v>
      </c>
    </row>
    <row r="10578" spans="1:4">
      <c r="A10578">
        <v>2</v>
      </c>
      <c r="B10578" t="s">
        <v>11031</v>
      </c>
      <c r="C10578" t="s">
        <v>431</v>
      </c>
      <c r="D10578" s="106">
        <v>16.760000000000002</v>
      </c>
    </row>
    <row r="10579" spans="1:4">
      <c r="A10579">
        <v>36517</v>
      </c>
      <c r="B10579" t="s">
        <v>11032</v>
      </c>
      <c r="C10579" t="s">
        <v>427</v>
      </c>
      <c r="D10579" s="107">
        <v>515040</v>
      </c>
    </row>
    <row r="10580" spans="1:4">
      <c r="A10580">
        <v>4262</v>
      </c>
      <c r="B10580" t="s">
        <v>11033</v>
      </c>
      <c r="C10580" t="s">
        <v>427</v>
      </c>
      <c r="D10580" s="107">
        <v>580000</v>
      </c>
    </row>
    <row r="10581" spans="1:4">
      <c r="A10581">
        <v>4263</v>
      </c>
      <c r="B10581" t="s">
        <v>11034</v>
      </c>
      <c r="C10581" t="s">
        <v>427</v>
      </c>
      <c r="D10581" s="107">
        <v>804266.62</v>
      </c>
    </row>
    <row r="10582" spans="1:4">
      <c r="A10582">
        <v>36518</v>
      </c>
      <c r="B10582" t="s">
        <v>11035</v>
      </c>
      <c r="C10582" t="s">
        <v>427</v>
      </c>
      <c r="D10582" s="107">
        <v>915626.62</v>
      </c>
    </row>
    <row r="10583" spans="1:4">
      <c r="A10583">
        <v>14221</v>
      </c>
      <c r="B10583" t="s">
        <v>11036</v>
      </c>
      <c r="C10583" t="s">
        <v>427</v>
      </c>
      <c r="D10583" s="107">
        <v>534373.31000000006</v>
      </c>
    </row>
    <row r="10584" spans="1:4">
      <c r="A10584">
        <v>38402</v>
      </c>
      <c r="B10584" t="s">
        <v>11037</v>
      </c>
      <c r="C10584" t="s">
        <v>427</v>
      </c>
      <c r="D10584" s="106">
        <v>17.420000000000002</v>
      </c>
    </row>
    <row r="10585" spans="1:4">
      <c r="A10585">
        <v>3412</v>
      </c>
      <c r="B10585" t="s">
        <v>11038</v>
      </c>
      <c r="C10585" t="s">
        <v>426</v>
      </c>
      <c r="D10585" s="106">
        <v>17.27</v>
      </c>
    </row>
    <row r="10586" spans="1:4">
      <c r="A10586">
        <v>3413</v>
      </c>
      <c r="B10586" t="s">
        <v>11039</v>
      </c>
      <c r="C10586" t="s">
        <v>426</v>
      </c>
      <c r="D10586" s="106">
        <v>38.869999999999997</v>
      </c>
    </row>
    <row r="10587" spans="1:4">
      <c r="A10587">
        <v>39744</v>
      </c>
      <c r="B10587" t="s">
        <v>11040</v>
      </c>
      <c r="C10587" t="s">
        <v>426</v>
      </c>
      <c r="D10587" s="106">
        <v>30.18</v>
      </c>
    </row>
    <row r="10588" spans="1:4">
      <c r="A10588">
        <v>39745</v>
      </c>
      <c r="B10588" t="s">
        <v>11041</v>
      </c>
      <c r="C10588" t="s">
        <v>426</v>
      </c>
      <c r="D10588" s="106">
        <v>63.7</v>
      </c>
    </row>
    <row r="10589" spans="1:4">
      <c r="A10589">
        <v>39637</v>
      </c>
      <c r="B10589" t="s">
        <v>11042</v>
      </c>
      <c r="C10589" t="s">
        <v>426</v>
      </c>
      <c r="D10589" s="106">
        <v>104.28</v>
      </c>
    </row>
    <row r="10590" spans="1:4">
      <c r="A10590">
        <v>39638</v>
      </c>
      <c r="B10590" t="s">
        <v>11043</v>
      </c>
      <c r="C10590" t="s">
        <v>426</v>
      </c>
      <c r="D10590" s="106">
        <v>118</v>
      </c>
    </row>
    <row r="10591" spans="1:4">
      <c r="A10591">
        <v>39639</v>
      </c>
      <c r="B10591" t="s">
        <v>11044</v>
      </c>
      <c r="C10591" t="s">
        <v>426</v>
      </c>
      <c r="D10591" s="106">
        <v>178.04</v>
      </c>
    </row>
    <row r="10592" spans="1:4">
      <c r="A10592">
        <v>39517</v>
      </c>
      <c r="B10592" t="s">
        <v>11045</v>
      </c>
      <c r="C10592" t="s">
        <v>426</v>
      </c>
      <c r="D10592" s="106">
        <v>250.46</v>
      </c>
    </row>
    <row r="10593" spans="1:4">
      <c r="A10593">
        <v>39518</v>
      </c>
      <c r="B10593" t="s">
        <v>11046</v>
      </c>
      <c r="C10593" t="s">
        <v>426</v>
      </c>
      <c r="D10593" s="106">
        <v>296.93</v>
      </c>
    </row>
    <row r="10594" spans="1:4">
      <c r="A10594">
        <v>38366</v>
      </c>
      <c r="B10594" t="s">
        <v>11047</v>
      </c>
      <c r="C10594" t="s">
        <v>426</v>
      </c>
      <c r="D10594" s="106">
        <v>5.28</v>
      </c>
    </row>
    <row r="10595" spans="1:4">
      <c r="A10595">
        <v>11703</v>
      </c>
      <c r="B10595" t="s">
        <v>11048</v>
      </c>
      <c r="C10595" t="s">
        <v>427</v>
      </c>
      <c r="D10595" s="106">
        <v>31.89</v>
      </c>
    </row>
    <row r="10596" spans="1:4">
      <c r="A10596">
        <v>37400</v>
      </c>
      <c r="B10596" t="s">
        <v>11049</v>
      </c>
      <c r="C10596" t="s">
        <v>427</v>
      </c>
      <c r="D10596" s="106">
        <v>79.02</v>
      </c>
    </row>
    <row r="10597" spans="1:4">
      <c r="A10597">
        <v>25400</v>
      </c>
      <c r="B10597" t="s">
        <v>11050</v>
      </c>
      <c r="C10597" t="s">
        <v>427</v>
      </c>
      <c r="D10597" s="107">
        <v>3994.77</v>
      </c>
    </row>
    <row r="10598" spans="1:4">
      <c r="A10598">
        <v>4276</v>
      </c>
      <c r="B10598" t="s">
        <v>11051</v>
      </c>
      <c r="C10598" t="s">
        <v>427</v>
      </c>
      <c r="D10598" s="106">
        <v>202.54</v>
      </c>
    </row>
    <row r="10599" spans="1:4">
      <c r="A10599">
        <v>4273</v>
      </c>
      <c r="B10599" t="s">
        <v>11052</v>
      </c>
      <c r="C10599" t="s">
        <v>427</v>
      </c>
      <c r="D10599" s="106">
        <v>367.73</v>
      </c>
    </row>
    <row r="10600" spans="1:4">
      <c r="A10600">
        <v>4274</v>
      </c>
      <c r="B10600" t="s">
        <v>11053</v>
      </c>
      <c r="C10600" t="s">
        <v>427</v>
      </c>
      <c r="D10600" s="106">
        <v>134.53</v>
      </c>
    </row>
    <row r="10601" spans="1:4">
      <c r="A10601">
        <v>39438</v>
      </c>
      <c r="B10601" t="s">
        <v>11054</v>
      </c>
      <c r="C10601" t="s">
        <v>427</v>
      </c>
      <c r="D10601" s="106">
        <v>0.28999999999999998</v>
      </c>
    </row>
    <row r="10602" spans="1:4">
      <c r="A10602">
        <v>11963</v>
      </c>
      <c r="B10602" t="s">
        <v>11055</v>
      </c>
      <c r="C10602" t="s">
        <v>427</v>
      </c>
      <c r="D10602" s="106">
        <v>10.8</v>
      </c>
    </row>
    <row r="10603" spans="1:4">
      <c r="A10603">
        <v>11964</v>
      </c>
      <c r="B10603" t="s">
        <v>11056</v>
      </c>
      <c r="C10603" t="s">
        <v>427</v>
      </c>
      <c r="D10603" s="106">
        <v>2.72</v>
      </c>
    </row>
    <row r="10604" spans="1:4">
      <c r="A10604">
        <v>4379</v>
      </c>
      <c r="B10604" t="s">
        <v>11057</v>
      </c>
      <c r="C10604" t="s">
        <v>427</v>
      </c>
      <c r="D10604" s="106">
        <v>0.05</v>
      </c>
    </row>
    <row r="10605" spans="1:4">
      <c r="A10605">
        <v>4377</v>
      </c>
      <c r="B10605" t="s">
        <v>11058</v>
      </c>
      <c r="C10605" t="s">
        <v>427</v>
      </c>
      <c r="D10605" s="106">
        <v>0.21</v>
      </c>
    </row>
    <row r="10606" spans="1:4">
      <c r="A10606">
        <v>4356</v>
      </c>
      <c r="B10606" t="s">
        <v>11059</v>
      </c>
      <c r="C10606" t="s">
        <v>427</v>
      </c>
      <c r="D10606" s="106">
        <v>0.3</v>
      </c>
    </row>
    <row r="10607" spans="1:4">
      <c r="A10607">
        <v>13246</v>
      </c>
      <c r="B10607" t="s">
        <v>11060</v>
      </c>
      <c r="C10607" t="s">
        <v>427</v>
      </c>
      <c r="D10607" s="106">
        <v>0.51</v>
      </c>
    </row>
    <row r="10608" spans="1:4">
      <c r="A10608">
        <v>4346</v>
      </c>
      <c r="B10608" t="s">
        <v>11061</v>
      </c>
      <c r="C10608" t="s">
        <v>427</v>
      </c>
      <c r="D10608" s="106">
        <v>11.57</v>
      </c>
    </row>
    <row r="10609" spans="1:4">
      <c r="A10609">
        <v>11955</v>
      </c>
      <c r="B10609" t="s">
        <v>11062</v>
      </c>
      <c r="C10609" t="s">
        <v>427</v>
      </c>
      <c r="D10609" s="106">
        <v>5.0599999999999996</v>
      </c>
    </row>
    <row r="10610" spans="1:4">
      <c r="A10610">
        <v>11960</v>
      </c>
      <c r="B10610" t="s">
        <v>11063</v>
      </c>
      <c r="C10610" t="s">
        <v>427</v>
      </c>
      <c r="D10610" s="106">
        <v>0.17</v>
      </c>
    </row>
    <row r="10611" spans="1:4">
      <c r="A10611">
        <v>4333</v>
      </c>
      <c r="B10611" t="s">
        <v>11064</v>
      </c>
      <c r="C10611" t="s">
        <v>427</v>
      </c>
      <c r="D10611" s="106">
        <v>0.3</v>
      </c>
    </row>
    <row r="10612" spans="1:4">
      <c r="A10612">
        <v>4358</v>
      </c>
      <c r="B10612" t="s">
        <v>11065</v>
      </c>
      <c r="C10612" t="s">
        <v>427</v>
      </c>
      <c r="D10612" s="106">
        <v>2.31</v>
      </c>
    </row>
    <row r="10613" spans="1:4">
      <c r="A10613">
        <v>39435</v>
      </c>
      <c r="B10613" t="s">
        <v>11066</v>
      </c>
      <c r="C10613" t="s">
        <v>427</v>
      </c>
      <c r="D10613" s="106">
        <v>0.12</v>
      </c>
    </row>
    <row r="10614" spans="1:4">
      <c r="A10614">
        <v>39436</v>
      </c>
      <c r="B10614" t="s">
        <v>11067</v>
      </c>
      <c r="C10614" t="s">
        <v>427</v>
      </c>
      <c r="D10614" s="106">
        <v>0.2</v>
      </c>
    </row>
    <row r="10615" spans="1:4">
      <c r="A10615">
        <v>39437</v>
      </c>
      <c r="B10615" t="s">
        <v>11068</v>
      </c>
      <c r="C10615" t="s">
        <v>427</v>
      </c>
      <c r="D10615" s="106">
        <v>0.26</v>
      </c>
    </row>
    <row r="10616" spans="1:4">
      <c r="A10616">
        <v>39439</v>
      </c>
      <c r="B10616" t="s">
        <v>11069</v>
      </c>
      <c r="C10616" t="s">
        <v>427</v>
      </c>
      <c r="D10616" s="106">
        <v>0.18</v>
      </c>
    </row>
    <row r="10617" spans="1:4">
      <c r="A10617">
        <v>39440</v>
      </c>
      <c r="B10617" t="s">
        <v>11070</v>
      </c>
      <c r="C10617" t="s">
        <v>427</v>
      </c>
      <c r="D10617" s="106">
        <v>0.23</v>
      </c>
    </row>
    <row r="10618" spans="1:4">
      <c r="A10618">
        <v>39441</v>
      </c>
      <c r="B10618" t="s">
        <v>11071</v>
      </c>
      <c r="C10618" t="s">
        <v>427</v>
      </c>
      <c r="D10618" s="106">
        <v>0.28999999999999998</v>
      </c>
    </row>
    <row r="10619" spans="1:4">
      <c r="A10619">
        <v>39442</v>
      </c>
      <c r="B10619" t="s">
        <v>11072</v>
      </c>
      <c r="C10619" t="s">
        <v>427</v>
      </c>
      <c r="D10619" s="106">
        <v>0.21</v>
      </c>
    </row>
    <row r="10620" spans="1:4">
      <c r="A10620">
        <v>39443</v>
      </c>
      <c r="B10620" t="s">
        <v>11073</v>
      </c>
      <c r="C10620" t="s">
        <v>427</v>
      </c>
      <c r="D10620" s="106">
        <v>0.27</v>
      </c>
    </row>
    <row r="10621" spans="1:4">
      <c r="A10621">
        <v>4329</v>
      </c>
      <c r="B10621" t="s">
        <v>11074</v>
      </c>
      <c r="C10621" t="s">
        <v>427</v>
      </c>
      <c r="D10621" s="106">
        <v>2.4700000000000002</v>
      </c>
    </row>
    <row r="10622" spans="1:4">
      <c r="A10622">
        <v>4383</v>
      </c>
      <c r="B10622" t="s">
        <v>11075</v>
      </c>
      <c r="C10622" t="s">
        <v>427</v>
      </c>
      <c r="D10622" s="106">
        <v>22.33</v>
      </c>
    </row>
    <row r="10623" spans="1:4">
      <c r="A10623">
        <v>4344</v>
      </c>
      <c r="B10623" t="s">
        <v>11076</v>
      </c>
      <c r="C10623" t="s">
        <v>427</v>
      </c>
      <c r="D10623" s="106">
        <v>23.41</v>
      </c>
    </row>
    <row r="10624" spans="1:4">
      <c r="A10624">
        <v>436</v>
      </c>
      <c r="B10624" t="s">
        <v>11077</v>
      </c>
      <c r="C10624" t="s">
        <v>427</v>
      </c>
      <c r="D10624" s="106">
        <v>6.85</v>
      </c>
    </row>
    <row r="10625" spans="1:4">
      <c r="A10625">
        <v>442</v>
      </c>
      <c r="B10625" t="s">
        <v>11078</v>
      </c>
      <c r="C10625" t="s">
        <v>427</v>
      </c>
      <c r="D10625" s="106">
        <v>4.05</v>
      </c>
    </row>
    <row r="10626" spans="1:4">
      <c r="A10626">
        <v>11953</v>
      </c>
      <c r="B10626" t="s">
        <v>11079</v>
      </c>
      <c r="C10626" t="s">
        <v>427</v>
      </c>
      <c r="D10626" s="106">
        <v>3.71</v>
      </c>
    </row>
    <row r="10627" spans="1:4">
      <c r="A10627">
        <v>4335</v>
      </c>
      <c r="B10627" t="s">
        <v>11080</v>
      </c>
      <c r="C10627" t="s">
        <v>427</v>
      </c>
      <c r="D10627" s="106">
        <v>15.72</v>
      </c>
    </row>
    <row r="10628" spans="1:4">
      <c r="A10628">
        <v>4334</v>
      </c>
      <c r="B10628" t="s">
        <v>11081</v>
      </c>
      <c r="C10628" t="s">
        <v>427</v>
      </c>
      <c r="D10628" s="106">
        <v>21.56</v>
      </c>
    </row>
    <row r="10629" spans="1:4">
      <c r="A10629">
        <v>4343</v>
      </c>
      <c r="B10629" t="s">
        <v>11082</v>
      </c>
      <c r="C10629" t="s">
        <v>427</v>
      </c>
      <c r="D10629" s="106">
        <v>5.3</v>
      </c>
    </row>
    <row r="10630" spans="1:4">
      <c r="A10630">
        <v>430</v>
      </c>
      <c r="B10630" t="s">
        <v>11083</v>
      </c>
      <c r="C10630" t="s">
        <v>427</v>
      </c>
      <c r="D10630" s="106">
        <v>6.13</v>
      </c>
    </row>
    <row r="10631" spans="1:4">
      <c r="A10631">
        <v>441</v>
      </c>
      <c r="B10631" t="s">
        <v>11084</v>
      </c>
      <c r="C10631" t="s">
        <v>427</v>
      </c>
      <c r="D10631" s="106">
        <v>6.74</v>
      </c>
    </row>
    <row r="10632" spans="1:4">
      <c r="A10632">
        <v>431</v>
      </c>
      <c r="B10632" t="s">
        <v>11085</v>
      </c>
      <c r="C10632" t="s">
        <v>427</v>
      </c>
      <c r="D10632" s="106">
        <v>8.14</v>
      </c>
    </row>
    <row r="10633" spans="1:4">
      <c r="A10633">
        <v>432</v>
      </c>
      <c r="B10633" t="s">
        <v>11086</v>
      </c>
      <c r="C10633" t="s">
        <v>427</v>
      </c>
      <c r="D10633" s="106">
        <v>8.99</v>
      </c>
    </row>
    <row r="10634" spans="1:4">
      <c r="A10634">
        <v>429</v>
      </c>
      <c r="B10634" t="s">
        <v>11087</v>
      </c>
      <c r="C10634" t="s">
        <v>427</v>
      </c>
      <c r="D10634" s="106">
        <v>12.11</v>
      </c>
    </row>
    <row r="10635" spans="1:4">
      <c r="A10635">
        <v>439</v>
      </c>
      <c r="B10635" t="s">
        <v>11088</v>
      </c>
      <c r="C10635" t="s">
        <v>427</v>
      </c>
      <c r="D10635" s="106">
        <v>10.32</v>
      </c>
    </row>
    <row r="10636" spans="1:4">
      <c r="A10636">
        <v>433</v>
      </c>
      <c r="B10636" t="s">
        <v>11089</v>
      </c>
      <c r="C10636" t="s">
        <v>427</v>
      </c>
      <c r="D10636" s="106">
        <v>12.05</v>
      </c>
    </row>
    <row r="10637" spans="1:4">
      <c r="A10637">
        <v>437</v>
      </c>
      <c r="B10637" t="s">
        <v>11090</v>
      </c>
      <c r="C10637" t="s">
        <v>427</v>
      </c>
      <c r="D10637" s="106">
        <v>16.010000000000002</v>
      </c>
    </row>
    <row r="10638" spans="1:4">
      <c r="A10638">
        <v>11790</v>
      </c>
      <c r="B10638" t="s">
        <v>11091</v>
      </c>
      <c r="C10638" t="s">
        <v>427</v>
      </c>
      <c r="D10638" s="106">
        <v>18.16</v>
      </c>
    </row>
    <row r="10639" spans="1:4">
      <c r="A10639">
        <v>428</v>
      </c>
      <c r="B10639" t="s">
        <v>11092</v>
      </c>
      <c r="C10639" t="s">
        <v>427</v>
      </c>
      <c r="D10639" s="106">
        <v>19.75</v>
      </c>
    </row>
    <row r="10640" spans="1:4">
      <c r="A10640">
        <v>4384</v>
      </c>
      <c r="B10640" t="s">
        <v>11093</v>
      </c>
      <c r="C10640" t="s">
        <v>427</v>
      </c>
      <c r="D10640" s="106">
        <v>25.66</v>
      </c>
    </row>
    <row r="10641" spans="1:4">
      <c r="A10641">
        <v>4351</v>
      </c>
      <c r="B10641" t="s">
        <v>11094</v>
      </c>
      <c r="C10641" t="s">
        <v>427</v>
      </c>
      <c r="D10641" s="106">
        <v>19.02</v>
      </c>
    </row>
    <row r="10642" spans="1:4">
      <c r="A10642">
        <v>11054</v>
      </c>
      <c r="B10642" t="s">
        <v>11095</v>
      </c>
      <c r="C10642" t="s">
        <v>427</v>
      </c>
      <c r="D10642" s="106">
        <v>0.04</v>
      </c>
    </row>
    <row r="10643" spans="1:4">
      <c r="A10643">
        <v>11055</v>
      </c>
      <c r="B10643" t="s">
        <v>11096</v>
      </c>
      <c r="C10643" t="s">
        <v>427</v>
      </c>
      <c r="D10643" s="106">
        <v>7.0000000000000007E-2</v>
      </c>
    </row>
    <row r="10644" spans="1:4">
      <c r="A10644">
        <v>11056</v>
      </c>
      <c r="B10644" t="s">
        <v>11097</v>
      </c>
      <c r="C10644" t="s">
        <v>427</v>
      </c>
      <c r="D10644" s="106">
        <v>0.08</v>
      </c>
    </row>
    <row r="10645" spans="1:4">
      <c r="A10645">
        <v>11057</v>
      </c>
      <c r="B10645" t="s">
        <v>11098</v>
      </c>
      <c r="C10645" t="s">
        <v>427</v>
      </c>
      <c r="D10645" s="106">
        <v>0.17</v>
      </c>
    </row>
    <row r="10646" spans="1:4">
      <c r="A10646">
        <v>11059</v>
      </c>
      <c r="B10646" t="s">
        <v>11099</v>
      </c>
      <c r="C10646" t="s">
        <v>427</v>
      </c>
      <c r="D10646" s="106">
        <v>0.32</v>
      </c>
    </row>
    <row r="10647" spans="1:4">
      <c r="A10647">
        <v>11058</v>
      </c>
      <c r="B10647" t="s">
        <v>11100</v>
      </c>
      <c r="C10647" t="s">
        <v>427</v>
      </c>
      <c r="D10647" s="106">
        <v>0.42</v>
      </c>
    </row>
    <row r="10648" spans="1:4">
      <c r="A10648">
        <v>4380</v>
      </c>
      <c r="B10648" t="s">
        <v>11101</v>
      </c>
      <c r="C10648" t="s">
        <v>427</v>
      </c>
      <c r="D10648" s="106">
        <v>1.42</v>
      </c>
    </row>
    <row r="10649" spans="1:4">
      <c r="A10649">
        <v>4299</v>
      </c>
      <c r="B10649" t="s">
        <v>11102</v>
      </c>
      <c r="C10649" t="s">
        <v>427</v>
      </c>
      <c r="D10649" s="106">
        <v>1.34</v>
      </c>
    </row>
    <row r="10650" spans="1:4">
      <c r="A10650">
        <v>4304</v>
      </c>
      <c r="B10650" t="s">
        <v>11103</v>
      </c>
      <c r="C10650" t="s">
        <v>427</v>
      </c>
      <c r="D10650" s="106">
        <v>1.82</v>
      </c>
    </row>
    <row r="10651" spans="1:4">
      <c r="A10651">
        <v>4305</v>
      </c>
      <c r="B10651" t="s">
        <v>11104</v>
      </c>
      <c r="C10651" t="s">
        <v>427</v>
      </c>
      <c r="D10651" s="106">
        <v>2.12</v>
      </c>
    </row>
    <row r="10652" spans="1:4">
      <c r="A10652">
        <v>4306</v>
      </c>
      <c r="B10652" t="s">
        <v>11105</v>
      </c>
      <c r="C10652" t="s">
        <v>427</v>
      </c>
      <c r="D10652" s="106">
        <v>2.46</v>
      </c>
    </row>
    <row r="10653" spans="1:4">
      <c r="A10653">
        <v>4308</v>
      </c>
      <c r="B10653" t="s">
        <v>11106</v>
      </c>
      <c r="C10653" t="s">
        <v>427</v>
      </c>
      <c r="D10653" s="106">
        <v>5.0999999999999996</v>
      </c>
    </row>
    <row r="10654" spans="1:4">
      <c r="A10654">
        <v>4302</v>
      </c>
      <c r="B10654" t="s">
        <v>11107</v>
      </c>
      <c r="C10654" t="s">
        <v>427</v>
      </c>
      <c r="D10654" s="106">
        <v>3.82</v>
      </c>
    </row>
    <row r="10655" spans="1:4">
      <c r="A10655">
        <v>4300</v>
      </c>
      <c r="B10655" t="s">
        <v>11108</v>
      </c>
      <c r="C10655" t="s">
        <v>427</v>
      </c>
      <c r="D10655" s="106">
        <v>0.91</v>
      </c>
    </row>
    <row r="10656" spans="1:4">
      <c r="A10656">
        <v>4301</v>
      </c>
      <c r="B10656" t="s">
        <v>11109</v>
      </c>
      <c r="C10656" t="s">
        <v>427</v>
      </c>
      <c r="D10656" s="106">
        <v>1.1100000000000001</v>
      </c>
    </row>
    <row r="10657" spans="1:4">
      <c r="A10657">
        <v>4320</v>
      </c>
      <c r="B10657" t="s">
        <v>11110</v>
      </c>
      <c r="C10657" t="s">
        <v>427</v>
      </c>
      <c r="D10657" s="106">
        <v>3.38</v>
      </c>
    </row>
    <row r="10658" spans="1:4">
      <c r="A10658">
        <v>4318</v>
      </c>
      <c r="B10658" t="s">
        <v>11111</v>
      </c>
      <c r="C10658" t="s">
        <v>427</v>
      </c>
      <c r="D10658" s="106">
        <v>1.64</v>
      </c>
    </row>
    <row r="10659" spans="1:4">
      <c r="A10659">
        <v>40547</v>
      </c>
      <c r="B10659" t="s">
        <v>11112</v>
      </c>
      <c r="C10659" t="s">
        <v>440</v>
      </c>
      <c r="D10659" s="106">
        <v>31.18</v>
      </c>
    </row>
    <row r="10660" spans="1:4">
      <c r="A10660">
        <v>11962</v>
      </c>
      <c r="B10660" t="s">
        <v>11113</v>
      </c>
      <c r="C10660" t="s">
        <v>427</v>
      </c>
      <c r="D10660" s="106">
        <v>0.25</v>
      </c>
    </row>
    <row r="10661" spans="1:4">
      <c r="A10661">
        <v>4332</v>
      </c>
      <c r="B10661" t="s">
        <v>11114</v>
      </c>
      <c r="C10661" t="s">
        <v>427</v>
      </c>
      <c r="D10661" s="106">
        <v>1.24</v>
      </c>
    </row>
    <row r="10662" spans="1:4">
      <c r="A10662">
        <v>4331</v>
      </c>
      <c r="B10662" t="s">
        <v>11115</v>
      </c>
      <c r="C10662" t="s">
        <v>427</v>
      </c>
      <c r="D10662" s="106">
        <v>4.68</v>
      </c>
    </row>
    <row r="10663" spans="1:4">
      <c r="A10663">
        <v>4336</v>
      </c>
      <c r="B10663" t="s">
        <v>11116</v>
      </c>
      <c r="C10663" t="s">
        <v>427</v>
      </c>
      <c r="D10663" s="106">
        <v>5.99</v>
      </c>
    </row>
    <row r="10664" spans="1:4">
      <c r="A10664">
        <v>13294</v>
      </c>
      <c r="B10664" t="s">
        <v>11117</v>
      </c>
      <c r="C10664" t="s">
        <v>427</v>
      </c>
      <c r="D10664" s="106">
        <v>1.71</v>
      </c>
    </row>
    <row r="10665" spans="1:4">
      <c r="A10665">
        <v>11948</v>
      </c>
      <c r="B10665" t="s">
        <v>11118</v>
      </c>
      <c r="C10665" t="s">
        <v>427</v>
      </c>
      <c r="D10665" s="106">
        <v>0.77</v>
      </c>
    </row>
    <row r="10666" spans="1:4">
      <c r="A10666">
        <v>4382</v>
      </c>
      <c r="B10666" t="s">
        <v>11119</v>
      </c>
      <c r="C10666" t="s">
        <v>427</v>
      </c>
      <c r="D10666" s="106">
        <v>1.28</v>
      </c>
    </row>
    <row r="10667" spans="1:4">
      <c r="A10667">
        <v>4354</v>
      </c>
      <c r="B10667" t="s">
        <v>11120</v>
      </c>
      <c r="C10667" t="s">
        <v>427</v>
      </c>
      <c r="D10667" s="106">
        <v>53.69</v>
      </c>
    </row>
    <row r="10668" spans="1:4">
      <c r="A10668">
        <v>40839</v>
      </c>
      <c r="B10668" t="s">
        <v>11121</v>
      </c>
      <c r="C10668" t="s">
        <v>440</v>
      </c>
      <c r="D10668" s="106">
        <v>129.19999999999999</v>
      </c>
    </row>
    <row r="10669" spans="1:4">
      <c r="A10669">
        <v>40552</v>
      </c>
      <c r="B10669" t="s">
        <v>11122</v>
      </c>
      <c r="C10669" t="s">
        <v>440</v>
      </c>
      <c r="D10669" s="106">
        <v>53.46</v>
      </c>
    </row>
    <row r="10670" spans="1:4">
      <c r="A10670">
        <v>40549</v>
      </c>
      <c r="B10670" t="s">
        <v>11123</v>
      </c>
      <c r="C10670" t="s">
        <v>440</v>
      </c>
      <c r="D10670" s="106">
        <v>211.62</v>
      </c>
    </row>
    <row r="10671" spans="1:4">
      <c r="A10671">
        <v>4385</v>
      </c>
      <c r="B10671" t="s">
        <v>11124</v>
      </c>
      <c r="C10671" t="s">
        <v>436</v>
      </c>
      <c r="D10671" s="107">
        <v>4136.43</v>
      </c>
    </row>
    <row r="10672" spans="1:4">
      <c r="A10672">
        <v>20078</v>
      </c>
      <c r="B10672" t="s">
        <v>11125</v>
      </c>
      <c r="C10672" t="s">
        <v>427</v>
      </c>
      <c r="D10672" s="106">
        <v>31.75</v>
      </c>
    </row>
    <row r="10673" spans="1:4">
      <c r="A10673">
        <v>39897</v>
      </c>
      <c r="B10673" t="s">
        <v>11126</v>
      </c>
      <c r="C10673" t="s">
        <v>427</v>
      </c>
      <c r="D10673" s="106">
        <v>61.22</v>
      </c>
    </row>
    <row r="10674" spans="1:4">
      <c r="A10674">
        <v>118</v>
      </c>
      <c r="B10674" t="s">
        <v>11127</v>
      </c>
      <c r="C10674" t="s">
        <v>427</v>
      </c>
      <c r="D10674" s="106">
        <v>67.14</v>
      </c>
    </row>
    <row r="10675" spans="1:4">
      <c r="A10675">
        <v>4396</v>
      </c>
      <c r="B10675" t="s">
        <v>11128</v>
      </c>
      <c r="C10675" t="s">
        <v>426</v>
      </c>
      <c r="D10675" s="106">
        <v>193.24</v>
      </c>
    </row>
    <row r="10676" spans="1:4">
      <c r="A10676">
        <v>36881</v>
      </c>
      <c r="B10676" t="s">
        <v>11129</v>
      </c>
      <c r="C10676" t="s">
        <v>426</v>
      </c>
      <c r="D10676" s="106">
        <v>124.45</v>
      </c>
    </row>
    <row r="10677" spans="1:4">
      <c r="A10677">
        <v>4397</v>
      </c>
      <c r="B10677" t="s">
        <v>11130</v>
      </c>
      <c r="C10677" t="s">
        <v>426</v>
      </c>
      <c r="D10677" s="106">
        <v>210.2</v>
      </c>
    </row>
    <row r="10678" spans="1:4">
      <c r="A10678">
        <v>36882</v>
      </c>
      <c r="B10678" t="s">
        <v>11131</v>
      </c>
      <c r="C10678" t="s">
        <v>426</v>
      </c>
      <c r="D10678" s="106">
        <v>148.81</v>
      </c>
    </row>
    <row r="10679" spans="1:4">
      <c r="A10679">
        <v>4751</v>
      </c>
      <c r="B10679" t="s">
        <v>13490</v>
      </c>
      <c r="C10679" t="s">
        <v>432</v>
      </c>
      <c r="D10679" s="106">
        <v>15.93</v>
      </c>
    </row>
    <row r="10680" spans="1:4">
      <c r="A10680">
        <v>41066</v>
      </c>
      <c r="B10680" t="s">
        <v>11132</v>
      </c>
      <c r="C10680" t="s">
        <v>433</v>
      </c>
      <c r="D10680" s="107">
        <v>2814.94</v>
      </c>
    </row>
    <row r="10681" spans="1:4">
      <c r="A10681">
        <v>39604</v>
      </c>
      <c r="B10681" t="s">
        <v>11133</v>
      </c>
      <c r="C10681" t="s">
        <v>427</v>
      </c>
      <c r="D10681" s="106">
        <v>14.16</v>
      </c>
    </row>
    <row r="10682" spans="1:4">
      <c r="A10682">
        <v>39605</v>
      </c>
      <c r="B10682" t="s">
        <v>11134</v>
      </c>
      <c r="C10682" t="s">
        <v>427</v>
      </c>
      <c r="D10682" s="106">
        <v>19.649999999999999</v>
      </c>
    </row>
    <row r="10683" spans="1:4">
      <c r="A10683">
        <v>39606</v>
      </c>
      <c r="B10683" t="s">
        <v>11135</v>
      </c>
      <c r="C10683" t="s">
        <v>427</v>
      </c>
      <c r="D10683" s="106">
        <v>24.95</v>
      </c>
    </row>
    <row r="10684" spans="1:4">
      <c r="A10684">
        <v>39607</v>
      </c>
      <c r="B10684" t="s">
        <v>11136</v>
      </c>
      <c r="C10684" t="s">
        <v>427</v>
      </c>
      <c r="D10684" s="106">
        <v>28.62</v>
      </c>
    </row>
    <row r="10685" spans="1:4">
      <c r="A10685">
        <v>39594</v>
      </c>
      <c r="B10685" t="s">
        <v>11137</v>
      </c>
      <c r="C10685" t="s">
        <v>427</v>
      </c>
      <c r="D10685" s="106">
        <v>271</v>
      </c>
    </row>
    <row r="10686" spans="1:4">
      <c r="A10686">
        <v>39596</v>
      </c>
      <c r="B10686" t="s">
        <v>11138</v>
      </c>
      <c r="C10686" t="s">
        <v>427</v>
      </c>
      <c r="D10686" s="106">
        <v>472.34</v>
      </c>
    </row>
    <row r="10687" spans="1:4">
      <c r="A10687">
        <v>39595</v>
      </c>
      <c r="B10687" t="s">
        <v>11139</v>
      </c>
      <c r="C10687" t="s">
        <v>427</v>
      </c>
      <c r="D10687" s="106">
        <v>396.49</v>
      </c>
    </row>
    <row r="10688" spans="1:4">
      <c r="A10688">
        <v>39597</v>
      </c>
      <c r="B10688" t="s">
        <v>11140</v>
      </c>
      <c r="C10688" t="s">
        <v>427</v>
      </c>
      <c r="D10688" s="106">
        <v>636.97</v>
      </c>
    </row>
    <row r="10689" spans="1:4">
      <c r="A10689">
        <v>10731</v>
      </c>
      <c r="B10689" t="s">
        <v>11141</v>
      </c>
      <c r="C10689" t="s">
        <v>426</v>
      </c>
      <c r="D10689" s="106">
        <v>35.44</v>
      </c>
    </row>
    <row r="10690" spans="1:4">
      <c r="A10690">
        <v>4704</v>
      </c>
      <c r="B10690" t="s">
        <v>11142</v>
      </c>
      <c r="C10690" t="s">
        <v>426</v>
      </c>
      <c r="D10690" s="106">
        <v>31.98</v>
      </c>
    </row>
    <row r="10691" spans="1:4">
      <c r="A10691">
        <v>10730</v>
      </c>
      <c r="B10691" t="s">
        <v>11143</v>
      </c>
      <c r="C10691" t="s">
        <v>426</v>
      </c>
      <c r="D10691" s="106">
        <v>34.26</v>
      </c>
    </row>
    <row r="10692" spans="1:4">
      <c r="A10692">
        <v>4729</v>
      </c>
      <c r="B10692" t="s">
        <v>11144</v>
      </c>
      <c r="C10692" t="s">
        <v>431</v>
      </c>
      <c r="D10692" s="106">
        <v>85.04</v>
      </c>
    </row>
    <row r="10693" spans="1:4">
      <c r="A10693">
        <v>4720</v>
      </c>
      <c r="B10693" t="s">
        <v>11145</v>
      </c>
      <c r="C10693" t="s">
        <v>431</v>
      </c>
      <c r="D10693" s="106">
        <v>97.44</v>
      </c>
    </row>
    <row r="10694" spans="1:4">
      <c r="A10694">
        <v>4721</v>
      </c>
      <c r="B10694" t="s">
        <v>11146</v>
      </c>
      <c r="C10694" t="s">
        <v>431</v>
      </c>
      <c r="D10694" s="106">
        <v>84.4</v>
      </c>
    </row>
    <row r="10695" spans="1:4">
      <c r="A10695">
        <v>4718</v>
      </c>
      <c r="B10695" t="s">
        <v>11147</v>
      </c>
      <c r="C10695" t="s">
        <v>431</v>
      </c>
      <c r="D10695" s="106">
        <v>84.85</v>
      </c>
    </row>
    <row r="10696" spans="1:4">
      <c r="A10696">
        <v>4722</v>
      </c>
      <c r="B10696" t="s">
        <v>11148</v>
      </c>
      <c r="C10696" t="s">
        <v>431</v>
      </c>
      <c r="D10696" s="106">
        <v>79.73</v>
      </c>
    </row>
    <row r="10697" spans="1:4">
      <c r="A10697">
        <v>4723</v>
      </c>
      <c r="B10697" t="s">
        <v>11149</v>
      </c>
      <c r="C10697" t="s">
        <v>431</v>
      </c>
      <c r="D10697" s="106">
        <v>79.040000000000006</v>
      </c>
    </row>
    <row r="10698" spans="1:4">
      <c r="A10698">
        <v>4727</v>
      </c>
      <c r="B10698" t="s">
        <v>11150</v>
      </c>
      <c r="C10698" t="s">
        <v>431</v>
      </c>
      <c r="D10698" s="106">
        <v>72.34</v>
      </c>
    </row>
    <row r="10699" spans="1:4">
      <c r="A10699">
        <v>4748</v>
      </c>
      <c r="B10699" t="s">
        <v>11151</v>
      </c>
      <c r="C10699" t="s">
        <v>431</v>
      </c>
      <c r="D10699" s="106">
        <v>77.95</v>
      </c>
    </row>
    <row r="10700" spans="1:4">
      <c r="A10700">
        <v>4730</v>
      </c>
      <c r="B10700" t="s">
        <v>11152</v>
      </c>
      <c r="C10700" t="s">
        <v>431</v>
      </c>
      <c r="D10700" s="106">
        <v>79.33</v>
      </c>
    </row>
    <row r="10701" spans="1:4">
      <c r="A10701">
        <v>13186</v>
      </c>
      <c r="B10701" t="s">
        <v>11153</v>
      </c>
      <c r="C10701" t="s">
        <v>431</v>
      </c>
      <c r="D10701" s="106">
        <v>62.5</v>
      </c>
    </row>
    <row r="10702" spans="1:4">
      <c r="A10702">
        <v>10737</v>
      </c>
      <c r="B10702" t="s">
        <v>11154</v>
      </c>
      <c r="C10702" t="s">
        <v>426</v>
      </c>
      <c r="D10702" s="106">
        <v>111.37</v>
      </c>
    </row>
    <row r="10703" spans="1:4">
      <c r="A10703">
        <v>10734</v>
      </c>
      <c r="B10703" t="s">
        <v>11155</v>
      </c>
      <c r="C10703" t="s">
        <v>426</v>
      </c>
      <c r="D10703" s="106">
        <v>66.25</v>
      </c>
    </row>
    <row r="10704" spans="1:4">
      <c r="A10704">
        <v>4708</v>
      </c>
      <c r="B10704" t="s">
        <v>11156</v>
      </c>
      <c r="C10704" t="s">
        <v>426</v>
      </c>
      <c r="D10704" s="106">
        <v>128.5</v>
      </c>
    </row>
    <row r="10705" spans="1:4">
      <c r="A10705">
        <v>4712</v>
      </c>
      <c r="B10705" t="s">
        <v>11157</v>
      </c>
      <c r="C10705" t="s">
        <v>426</v>
      </c>
      <c r="D10705" s="106">
        <v>62.82</v>
      </c>
    </row>
    <row r="10706" spans="1:4">
      <c r="A10706">
        <v>4710</v>
      </c>
      <c r="B10706" t="s">
        <v>11158</v>
      </c>
      <c r="C10706" t="s">
        <v>426</v>
      </c>
      <c r="D10706" s="106">
        <v>201.47</v>
      </c>
    </row>
    <row r="10707" spans="1:4">
      <c r="A10707">
        <v>4746</v>
      </c>
      <c r="B10707" t="s">
        <v>11159</v>
      </c>
      <c r="C10707" t="s">
        <v>431</v>
      </c>
      <c r="D10707" s="106">
        <v>59.25</v>
      </c>
    </row>
    <row r="10708" spans="1:4">
      <c r="A10708">
        <v>4750</v>
      </c>
      <c r="B10708" t="s">
        <v>13491</v>
      </c>
      <c r="C10708" t="s">
        <v>432</v>
      </c>
      <c r="D10708" s="106">
        <v>15.93</v>
      </c>
    </row>
    <row r="10709" spans="1:4">
      <c r="A10709">
        <v>41065</v>
      </c>
      <c r="B10709" t="s">
        <v>11160</v>
      </c>
      <c r="C10709" t="s">
        <v>433</v>
      </c>
      <c r="D10709" s="107">
        <v>2814.94</v>
      </c>
    </row>
    <row r="10710" spans="1:4">
      <c r="A10710">
        <v>34747</v>
      </c>
      <c r="B10710" t="s">
        <v>11161</v>
      </c>
      <c r="C10710" t="s">
        <v>429</v>
      </c>
      <c r="D10710" s="106">
        <v>90.92</v>
      </c>
    </row>
    <row r="10711" spans="1:4">
      <c r="A10711">
        <v>4826</v>
      </c>
      <c r="B10711" t="s">
        <v>11162</v>
      </c>
      <c r="C10711" t="s">
        <v>429</v>
      </c>
      <c r="D10711" s="106">
        <v>97.76</v>
      </c>
    </row>
    <row r="10712" spans="1:4">
      <c r="A10712">
        <v>41975</v>
      </c>
      <c r="B10712" t="s">
        <v>11163</v>
      </c>
      <c r="C10712" t="s">
        <v>426</v>
      </c>
      <c r="D10712" s="106">
        <v>76.52</v>
      </c>
    </row>
    <row r="10713" spans="1:4">
      <c r="A10713">
        <v>4825</v>
      </c>
      <c r="B10713" t="s">
        <v>11164</v>
      </c>
      <c r="C10713" t="s">
        <v>429</v>
      </c>
      <c r="D10713" s="106">
        <v>135.32</v>
      </c>
    </row>
    <row r="10714" spans="1:4">
      <c r="A10714">
        <v>34744</v>
      </c>
      <c r="B10714" t="s">
        <v>11165</v>
      </c>
      <c r="C10714" t="s">
        <v>426</v>
      </c>
      <c r="D10714" s="106">
        <v>20.92</v>
      </c>
    </row>
    <row r="10715" spans="1:4">
      <c r="A10715">
        <v>39430</v>
      </c>
      <c r="B10715" t="s">
        <v>11166</v>
      </c>
      <c r="C10715" t="s">
        <v>427</v>
      </c>
      <c r="D10715" s="106">
        <v>2.97</v>
      </c>
    </row>
    <row r="10716" spans="1:4">
      <c r="A10716">
        <v>39573</v>
      </c>
      <c r="B10716" t="s">
        <v>11167</v>
      </c>
      <c r="C10716" t="s">
        <v>427</v>
      </c>
      <c r="D10716" s="106">
        <v>2.92</v>
      </c>
    </row>
    <row r="10717" spans="1:4">
      <c r="A10717">
        <v>38410</v>
      </c>
      <c r="B10717" t="s">
        <v>11168</v>
      </c>
      <c r="C10717" t="s">
        <v>427</v>
      </c>
      <c r="D10717" s="107">
        <v>15552.58</v>
      </c>
    </row>
    <row r="10718" spans="1:4">
      <c r="A10718">
        <v>41596</v>
      </c>
      <c r="B10718" t="s">
        <v>11169</v>
      </c>
      <c r="C10718" t="s">
        <v>430</v>
      </c>
      <c r="D10718" s="106">
        <v>13.96</v>
      </c>
    </row>
    <row r="10719" spans="1:4">
      <c r="A10719">
        <v>41598</v>
      </c>
      <c r="B10719" t="s">
        <v>11170</v>
      </c>
      <c r="C10719" t="s">
        <v>430</v>
      </c>
      <c r="D10719" s="106">
        <v>13.96</v>
      </c>
    </row>
    <row r="10720" spans="1:4">
      <c r="A10720">
        <v>41594</v>
      </c>
      <c r="B10720" t="s">
        <v>11171</v>
      </c>
      <c r="C10720" t="s">
        <v>430</v>
      </c>
      <c r="D10720" s="106">
        <v>14.18</v>
      </c>
    </row>
    <row r="10721" spans="1:4">
      <c r="A10721">
        <v>43663</v>
      </c>
      <c r="B10721" t="s">
        <v>11172</v>
      </c>
      <c r="C10721" t="s">
        <v>430</v>
      </c>
      <c r="D10721" s="106">
        <v>11.68</v>
      </c>
    </row>
    <row r="10722" spans="1:4">
      <c r="A10722">
        <v>4766</v>
      </c>
      <c r="B10722" t="s">
        <v>11173</v>
      </c>
      <c r="C10722" t="s">
        <v>430</v>
      </c>
      <c r="D10722" s="106">
        <v>11</v>
      </c>
    </row>
    <row r="10723" spans="1:4">
      <c r="A10723">
        <v>43664</v>
      </c>
      <c r="B10723" t="s">
        <v>11174</v>
      </c>
      <c r="C10723" t="s">
        <v>430</v>
      </c>
      <c r="D10723" s="106">
        <v>11.74</v>
      </c>
    </row>
    <row r="10724" spans="1:4">
      <c r="A10724">
        <v>43082</v>
      </c>
      <c r="B10724" t="s">
        <v>11175</v>
      </c>
      <c r="C10724" t="s">
        <v>430</v>
      </c>
      <c r="D10724" s="106">
        <v>12.8</v>
      </c>
    </row>
    <row r="10725" spans="1:4">
      <c r="A10725">
        <v>43665</v>
      </c>
      <c r="B10725" t="s">
        <v>11176</v>
      </c>
      <c r="C10725" t="s">
        <v>430</v>
      </c>
      <c r="D10725" s="106">
        <v>11</v>
      </c>
    </row>
    <row r="10726" spans="1:4">
      <c r="A10726">
        <v>10966</v>
      </c>
      <c r="B10726" t="s">
        <v>11177</v>
      </c>
      <c r="C10726" t="s">
        <v>430</v>
      </c>
      <c r="D10726" s="106">
        <v>11.68</v>
      </c>
    </row>
    <row r="10727" spans="1:4">
      <c r="A10727">
        <v>43692</v>
      </c>
      <c r="B10727" t="s">
        <v>11178</v>
      </c>
      <c r="C10727" t="s">
        <v>430</v>
      </c>
      <c r="D10727" s="106">
        <v>11.68</v>
      </c>
    </row>
    <row r="10728" spans="1:4">
      <c r="A10728">
        <v>43083</v>
      </c>
      <c r="B10728" t="s">
        <v>11179</v>
      </c>
      <c r="C10728" t="s">
        <v>430</v>
      </c>
      <c r="D10728" s="106">
        <v>11.09</v>
      </c>
    </row>
    <row r="10729" spans="1:4">
      <c r="A10729">
        <v>40535</v>
      </c>
      <c r="B10729" t="s">
        <v>11180</v>
      </c>
      <c r="C10729" t="s">
        <v>430</v>
      </c>
      <c r="D10729" s="106">
        <v>11.09</v>
      </c>
    </row>
    <row r="10730" spans="1:4">
      <c r="A10730">
        <v>39427</v>
      </c>
      <c r="B10730" t="s">
        <v>11181</v>
      </c>
      <c r="C10730" t="s">
        <v>429</v>
      </c>
      <c r="D10730" s="106">
        <v>7.88</v>
      </c>
    </row>
    <row r="10731" spans="1:4">
      <c r="A10731">
        <v>39424</v>
      </c>
      <c r="B10731" t="s">
        <v>11182</v>
      </c>
      <c r="C10731" t="s">
        <v>429</v>
      </c>
      <c r="D10731" s="106">
        <v>4.6900000000000004</v>
      </c>
    </row>
    <row r="10732" spans="1:4">
      <c r="A10732">
        <v>39425</v>
      </c>
      <c r="B10732" t="s">
        <v>11183</v>
      </c>
      <c r="C10732" t="s">
        <v>429</v>
      </c>
      <c r="D10732" s="106">
        <v>4.62</v>
      </c>
    </row>
    <row r="10733" spans="1:4">
      <c r="A10733">
        <v>40664</v>
      </c>
      <c r="B10733" t="s">
        <v>11184</v>
      </c>
      <c r="C10733" t="s">
        <v>430</v>
      </c>
      <c r="D10733" s="106">
        <v>22.75</v>
      </c>
    </row>
    <row r="10734" spans="1:4">
      <c r="A10734">
        <v>34360</v>
      </c>
      <c r="B10734" t="s">
        <v>11185</v>
      </c>
      <c r="C10734" t="s">
        <v>430</v>
      </c>
      <c r="D10734" s="106">
        <v>47.31</v>
      </c>
    </row>
    <row r="10735" spans="1:4">
      <c r="A10735">
        <v>20259</v>
      </c>
      <c r="B10735" t="s">
        <v>11186</v>
      </c>
      <c r="C10735" t="s">
        <v>429</v>
      </c>
      <c r="D10735" s="106">
        <v>11</v>
      </c>
    </row>
    <row r="10736" spans="1:4">
      <c r="A10736">
        <v>14077</v>
      </c>
      <c r="B10736" t="s">
        <v>11187</v>
      </c>
      <c r="C10736" t="s">
        <v>429</v>
      </c>
      <c r="D10736" s="106">
        <v>168.36</v>
      </c>
    </row>
    <row r="10737" spans="1:4">
      <c r="A10737">
        <v>3678</v>
      </c>
      <c r="B10737" t="s">
        <v>11188</v>
      </c>
      <c r="C10737" t="s">
        <v>429</v>
      </c>
      <c r="D10737" s="106">
        <v>76.099999999999994</v>
      </c>
    </row>
    <row r="10738" spans="1:4">
      <c r="A10738">
        <v>39418</v>
      </c>
      <c r="B10738" t="s">
        <v>11189</v>
      </c>
      <c r="C10738" t="s">
        <v>429</v>
      </c>
      <c r="D10738" s="106">
        <v>8.7899999999999991</v>
      </c>
    </row>
    <row r="10739" spans="1:4">
      <c r="A10739">
        <v>39419</v>
      </c>
      <c r="B10739" t="s">
        <v>11190</v>
      </c>
      <c r="C10739" t="s">
        <v>429</v>
      </c>
      <c r="D10739" s="106">
        <v>10.71</v>
      </c>
    </row>
    <row r="10740" spans="1:4">
      <c r="A10740">
        <v>39420</v>
      </c>
      <c r="B10740" t="s">
        <v>11191</v>
      </c>
      <c r="C10740" t="s">
        <v>429</v>
      </c>
      <c r="D10740" s="106">
        <v>11.82</v>
      </c>
    </row>
    <row r="10741" spans="1:4">
      <c r="A10741">
        <v>39571</v>
      </c>
      <c r="B10741" t="s">
        <v>13492</v>
      </c>
      <c r="C10741" t="s">
        <v>429</v>
      </c>
      <c r="D10741" s="106">
        <v>7.14</v>
      </c>
    </row>
    <row r="10742" spans="1:4">
      <c r="A10742">
        <v>39421</v>
      </c>
      <c r="B10742" t="s">
        <v>11192</v>
      </c>
      <c r="C10742" t="s">
        <v>429</v>
      </c>
      <c r="D10742" s="106">
        <v>10.41</v>
      </c>
    </row>
    <row r="10743" spans="1:4">
      <c r="A10743">
        <v>39422</v>
      </c>
      <c r="B10743" t="s">
        <v>11193</v>
      </c>
      <c r="C10743" t="s">
        <v>429</v>
      </c>
      <c r="D10743" s="106">
        <v>12.15</v>
      </c>
    </row>
    <row r="10744" spans="1:4">
      <c r="A10744">
        <v>39423</v>
      </c>
      <c r="B10744" t="s">
        <v>11194</v>
      </c>
      <c r="C10744" t="s">
        <v>429</v>
      </c>
      <c r="D10744" s="106">
        <v>14.11</v>
      </c>
    </row>
    <row r="10745" spans="1:4">
      <c r="A10745">
        <v>39426</v>
      </c>
      <c r="B10745" t="s">
        <v>11195</v>
      </c>
      <c r="C10745" t="s">
        <v>429</v>
      </c>
      <c r="D10745" s="106">
        <v>31.71</v>
      </c>
    </row>
    <row r="10746" spans="1:4">
      <c r="A10746">
        <v>39429</v>
      </c>
      <c r="B10746" t="s">
        <v>11196</v>
      </c>
      <c r="C10746" t="s">
        <v>429</v>
      </c>
      <c r="D10746" s="106">
        <v>10</v>
      </c>
    </row>
    <row r="10747" spans="1:4">
      <c r="A10747">
        <v>39428</v>
      </c>
      <c r="B10747" t="s">
        <v>11197</v>
      </c>
      <c r="C10747" t="s">
        <v>429</v>
      </c>
      <c r="D10747" s="106">
        <v>7.64</v>
      </c>
    </row>
    <row r="10748" spans="1:4">
      <c r="A10748">
        <v>39572</v>
      </c>
      <c r="B10748" t="s">
        <v>11198</v>
      </c>
      <c r="C10748" t="s">
        <v>429</v>
      </c>
      <c r="D10748" s="106">
        <v>6.62</v>
      </c>
    </row>
    <row r="10749" spans="1:4">
      <c r="A10749">
        <v>39570</v>
      </c>
      <c r="B10749" t="s">
        <v>11199</v>
      </c>
      <c r="C10749" t="s">
        <v>429</v>
      </c>
      <c r="D10749" s="106">
        <v>7.02</v>
      </c>
    </row>
    <row r="10750" spans="1:4">
      <c r="A10750">
        <v>39569</v>
      </c>
      <c r="B10750" t="s">
        <v>11200</v>
      </c>
      <c r="C10750" t="s">
        <v>429</v>
      </c>
      <c r="D10750" s="106">
        <v>6.93</v>
      </c>
    </row>
    <row r="10751" spans="1:4">
      <c r="A10751">
        <v>11552</v>
      </c>
      <c r="B10751" t="s">
        <v>11201</v>
      </c>
      <c r="C10751" t="s">
        <v>429</v>
      </c>
      <c r="D10751" s="106">
        <v>7.7</v>
      </c>
    </row>
    <row r="10752" spans="1:4">
      <c r="A10752">
        <v>40598</v>
      </c>
      <c r="B10752" t="s">
        <v>11202</v>
      </c>
      <c r="C10752" t="s">
        <v>430</v>
      </c>
      <c r="D10752" s="106">
        <v>10.81</v>
      </c>
    </row>
    <row r="10753" spans="1:4">
      <c r="A10753">
        <v>39029</v>
      </c>
      <c r="B10753" t="s">
        <v>11203</v>
      </c>
      <c r="C10753" t="s">
        <v>429</v>
      </c>
      <c r="D10753" s="106">
        <v>22.39</v>
      </c>
    </row>
    <row r="10754" spans="1:4">
      <c r="A10754">
        <v>39028</v>
      </c>
      <c r="B10754" t="s">
        <v>11204</v>
      </c>
      <c r="C10754" t="s">
        <v>429</v>
      </c>
      <c r="D10754" s="106">
        <v>13.03</v>
      </c>
    </row>
    <row r="10755" spans="1:4">
      <c r="A10755">
        <v>39328</v>
      </c>
      <c r="B10755" t="s">
        <v>11205</v>
      </c>
      <c r="C10755" t="s">
        <v>429</v>
      </c>
      <c r="D10755" s="106">
        <v>7.17</v>
      </c>
    </row>
    <row r="10756" spans="1:4">
      <c r="A10756">
        <v>38541</v>
      </c>
      <c r="B10756" t="s">
        <v>11206</v>
      </c>
      <c r="C10756" t="s">
        <v>427</v>
      </c>
      <c r="D10756" s="107">
        <v>3926315.76</v>
      </c>
    </row>
    <row r="10757" spans="1:4">
      <c r="A10757">
        <v>38542</v>
      </c>
      <c r="B10757" t="s">
        <v>11207</v>
      </c>
      <c r="C10757" t="s">
        <v>427</v>
      </c>
      <c r="D10757" s="107">
        <v>6105263.1200000001</v>
      </c>
    </row>
    <row r="10758" spans="1:4">
      <c r="A10758">
        <v>38543</v>
      </c>
      <c r="B10758" t="s">
        <v>11208</v>
      </c>
      <c r="C10758" t="s">
        <v>427</v>
      </c>
      <c r="D10758" s="107">
        <v>1494736.88</v>
      </c>
    </row>
    <row r="10759" spans="1:4">
      <c r="A10759">
        <v>40406</v>
      </c>
      <c r="B10759" t="s">
        <v>11209</v>
      </c>
      <c r="C10759" t="s">
        <v>427</v>
      </c>
      <c r="D10759" s="107">
        <v>74645.61</v>
      </c>
    </row>
    <row r="10760" spans="1:4">
      <c r="A10760">
        <v>40789</v>
      </c>
      <c r="B10760" t="s">
        <v>11210</v>
      </c>
      <c r="C10760" t="s">
        <v>427</v>
      </c>
      <c r="D10760" s="107">
        <v>10757.2</v>
      </c>
    </row>
    <row r="10761" spans="1:4">
      <c r="A10761">
        <v>40791</v>
      </c>
      <c r="B10761" t="s">
        <v>11211</v>
      </c>
      <c r="C10761" t="s">
        <v>427</v>
      </c>
      <c r="D10761" s="107">
        <v>33674.71</v>
      </c>
    </row>
    <row r="10762" spans="1:4">
      <c r="A10762">
        <v>11651</v>
      </c>
      <c r="B10762" t="s">
        <v>11212</v>
      </c>
      <c r="C10762" t="s">
        <v>427</v>
      </c>
      <c r="D10762" s="107">
        <v>18417.18</v>
      </c>
    </row>
    <row r="10763" spans="1:4">
      <c r="A10763">
        <v>40435</v>
      </c>
      <c r="B10763" t="s">
        <v>11213</v>
      </c>
      <c r="C10763" t="s">
        <v>427</v>
      </c>
      <c r="D10763" s="107">
        <v>820000</v>
      </c>
    </row>
    <row r="10764" spans="1:4">
      <c r="A10764">
        <v>39012</v>
      </c>
      <c r="B10764" t="s">
        <v>11214</v>
      </c>
      <c r="C10764" t="s">
        <v>427</v>
      </c>
      <c r="D10764" s="107">
        <v>855556.64</v>
      </c>
    </row>
    <row r="10765" spans="1:4">
      <c r="A10765">
        <v>13617</v>
      </c>
      <c r="B10765" t="s">
        <v>11215</v>
      </c>
      <c r="C10765" t="s">
        <v>427</v>
      </c>
      <c r="D10765" s="107">
        <v>87510.04</v>
      </c>
    </row>
    <row r="10766" spans="1:4">
      <c r="A10766">
        <v>35274</v>
      </c>
      <c r="B10766" t="s">
        <v>11216</v>
      </c>
      <c r="C10766" t="s">
        <v>429</v>
      </c>
      <c r="D10766" s="106">
        <v>39.58</v>
      </c>
    </row>
    <row r="10767" spans="1:4">
      <c r="A10767">
        <v>35275</v>
      </c>
      <c r="B10767" t="s">
        <v>11217</v>
      </c>
      <c r="C10767" t="s">
        <v>429</v>
      </c>
      <c r="D10767" s="106">
        <v>84.01</v>
      </c>
    </row>
    <row r="10768" spans="1:4">
      <c r="A10768">
        <v>35276</v>
      </c>
      <c r="B10768" t="s">
        <v>11218</v>
      </c>
      <c r="C10768" t="s">
        <v>429</v>
      </c>
      <c r="D10768" s="106">
        <v>146.18</v>
      </c>
    </row>
    <row r="10769" spans="1:4">
      <c r="A10769">
        <v>38386</v>
      </c>
      <c r="B10769" t="s">
        <v>11219</v>
      </c>
      <c r="C10769" t="s">
        <v>427</v>
      </c>
      <c r="D10769" s="106">
        <v>5.17</v>
      </c>
    </row>
    <row r="10770" spans="1:4">
      <c r="A10770">
        <v>11091</v>
      </c>
      <c r="B10770" t="s">
        <v>11220</v>
      </c>
      <c r="C10770" t="s">
        <v>427</v>
      </c>
      <c r="D10770" s="106">
        <v>1.63</v>
      </c>
    </row>
    <row r="10771" spans="1:4">
      <c r="A10771">
        <v>37586</v>
      </c>
      <c r="B10771" t="s">
        <v>11221</v>
      </c>
      <c r="C10771" t="s">
        <v>440</v>
      </c>
      <c r="D10771" s="106">
        <v>47.55</v>
      </c>
    </row>
    <row r="10772" spans="1:4">
      <c r="A10772">
        <v>37395</v>
      </c>
      <c r="B10772" t="s">
        <v>11222</v>
      </c>
      <c r="C10772" t="s">
        <v>440</v>
      </c>
      <c r="D10772" s="106">
        <v>40.89</v>
      </c>
    </row>
    <row r="10773" spans="1:4">
      <c r="A10773">
        <v>14147</v>
      </c>
      <c r="B10773" t="s">
        <v>11223</v>
      </c>
      <c r="C10773" t="s">
        <v>440</v>
      </c>
      <c r="D10773" s="106">
        <v>54.24</v>
      </c>
    </row>
    <row r="10774" spans="1:4">
      <c r="A10774">
        <v>37396</v>
      </c>
      <c r="B10774" t="s">
        <v>11224</v>
      </c>
      <c r="C10774" t="s">
        <v>440</v>
      </c>
      <c r="D10774" s="106">
        <v>33.46</v>
      </c>
    </row>
    <row r="10775" spans="1:4">
      <c r="A10775">
        <v>37397</v>
      </c>
      <c r="B10775" t="s">
        <v>11225</v>
      </c>
      <c r="C10775" t="s">
        <v>440</v>
      </c>
      <c r="D10775" s="106">
        <v>35.049999999999997</v>
      </c>
    </row>
    <row r="10776" spans="1:4">
      <c r="A10776">
        <v>43606</v>
      </c>
      <c r="B10776" t="s">
        <v>11226</v>
      </c>
      <c r="C10776" t="s">
        <v>427</v>
      </c>
      <c r="D10776" s="106">
        <v>9.2200000000000006</v>
      </c>
    </row>
    <row r="10777" spans="1:4">
      <c r="A10777">
        <v>444</v>
      </c>
      <c r="B10777" t="s">
        <v>11227</v>
      </c>
      <c r="C10777" t="s">
        <v>427</v>
      </c>
      <c r="D10777" s="106">
        <v>32</v>
      </c>
    </row>
    <row r="10778" spans="1:4">
      <c r="A10778">
        <v>445</v>
      </c>
      <c r="B10778" t="s">
        <v>11228</v>
      </c>
      <c r="C10778" t="s">
        <v>427</v>
      </c>
      <c r="D10778" s="106">
        <v>43.8</v>
      </c>
    </row>
    <row r="10779" spans="1:4">
      <c r="A10779">
        <v>4783</v>
      </c>
      <c r="B10779" t="s">
        <v>20490</v>
      </c>
      <c r="C10779" t="s">
        <v>432</v>
      </c>
      <c r="D10779" s="106">
        <v>15.93</v>
      </c>
    </row>
    <row r="10780" spans="1:4">
      <c r="A10780">
        <v>41079</v>
      </c>
      <c r="B10780" t="s">
        <v>11229</v>
      </c>
      <c r="C10780" t="s">
        <v>433</v>
      </c>
      <c r="D10780" s="107">
        <v>2814.94</v>
      </c>
    </row>
    <row r="10781" spans="1:4">
      <c r="A10781">
        <v>12874</v>
      </c>
      <c r="B10781" t="s">
        <v>20491</v>
      </c>
      <c r="C10781" t="s">
        <v>432</v>
      </c>
      <c r="D10781" s="106">
        <v>15.46</v>
      </c>
    </row>
    <row r="10782" spans="1:4">
      <c r="A10782">
        <v>41082</v>
      </c>
      <c r="B10782" t="s">
        <v>11230</v>
      </c>
      <c r="C10782" t="s">
        <v>433</v>
      </c>
      <c r="D10782" s="107">
        <v>2733.48</v>
      </c>
    </row>
    <row r="10783" spans="1:4">
      <c r="A10783">
        <v>4785</v>
      </c>
      <c r="B10783" t="s">
        <v>20492</v>
      </c>
      <c r="C10783" t="s">
        <v>432</v>
      </c>
      <c r="D10783" s="106">
        <v>15.93</v>
      </c>
    </row>
    <row r="10784" spans="1:4">
      <c r="A10784">
        <v>41081</v>
      </c>
      <c r="B10784" t="s">
        <v>11231</v>
      </c>
      <c r="C10784" t="s">
        <v>433</v>
      </c>
      <c r="D10784" s="107">
        <v>2814.94</v>
      </c>
    </row>
    <row r="10785" spans="1:4">
      <c r="A10785">
        <v>4801</v>
      </c>
      <c r="B10785" t="s">
        <v>11232</v>
      </c>
      <c r="C10785" t="s">
        <v>426</v>
      </c>
      <c r="D10785" s="106">
        <v>64.569999999999993</v>
      </c>
    </row>
    <row r="10786" spans="1:4">
      <c r="A10786">
        <v>4794</v>
      </c>
      <c r="B10786" t="s">
        <v>11233</v>
      </c>
      <c r="C10786" t="s">
        <v>426</v>
      </c>
      <c r="D10786" s="106">
        <v>294.07</v>
      </c>
    </row>
    <row r="10787" spans="1:4">
      <c r="A10787">
        <v>4796</v>
      </c>
      <c r="B10787" t="s">
        <v>11234</v>
      </c>
      <c r="C10787" t="s">
        <v>426</v>
      </c>
      <c r="D10787" s="106">
        <v>178.61</v>
      </c>
    </row>
    <row r="10788" spans="1:4">
      <c r="A10788">
        <v>4800</v>
      </c>
      <c r="B10788" t="s">
        <v>11235</v>
      </c>
      <c r="C10788" t="s">
        <v>426</v>
      </c>
      <c r="D10788" s="106">
        <v>49.12</v>
      </c>
    </row>
    <row r="10789" spans="1:4">
      <c r="A10789">
        <v>4795</v>
      </c>
      <c r="B10789" t="s">
        <v>11236</v>
      </c>
      <c r="C10789" t="s">
        <v>426</v>
      </c>
      <c r="D10789" s="106">
        <v>286.26</v>
      </c>
    </row>
    <row r="10790" spans="1:4">
      <c r="A10790">
        <v>39694</v>
      </c>
      <c r="B10790" t="s">
        <v>11237</v>
      </c>
      <c r="C10790" t="s">
        <v>426</v>
      </c>
      <c r="D10790" s="106">
        <v>479.68</v>
      </c>
    </row>
    <row r="10791" spans="1:4">
      <c r="A10791">
        <v>1292</v>
      </c>
      <c r="B10791" t="s">
        <v>11238</v>
      </c>
      <c r="C10791" t="s">
        <v>426</v>
      </c>
      <c r="D10791" s="106">
        <v>61.97</v>
      </c>
    </row>
    <row r="10792" spans="1:4">
      <c r="A10792">
        <v>1287</v>
      </c>
      <c r="B10792" t="s">
        <v>11239</v>
      </c>
      <c r="C10792" t="s">
        <v>426</v>
      </c>
      <c r="D10792" s="106">
        <v>30.4</v>
      </c>
    </row>
    <row r="10793" spans="1:4">
      <c r="A10793">
        <v>1297</v>
      </c>
      <c r="B10793" t="s">
        <v>11240</v>
      </c>
      <c r="C10793" t="s">
        <v>426</v>
      </c>
      <c r="D10793" s="106">
        <v>25.21</v>
      </c>
    </row>
    <row r="10794" spans="1:4">
      <c r="A10794">
        <v>4786</v>
      </c>
      <c r="B10794" t="s">
        <v>11241</v>
      </c>
      <c r="C10794" t="s">
        <v>426</v>
      </c>
      <c r="D10794" s="106">
        <v>88</v>
      </c>
    </row>
    <row r="10795" spans="1:4">
      <c r="A10795">
        <v>10840</v>
      </c>
      <c r="B10795" t="s">
        <v>11242</v>
      </c>
      <c r="C10795" t="s">
        <v>426</v>
      </c>
      <c r="D10795" s="106">
        <v>372.5</v>
      </c>
    </row>
    <row r="10796" spans="1:4">
      <c r="A10796">
        <v>10841</v>
      </c>
      <c r="B10796" t="s">
        <v>11243</v>
      </c>
      <c r="C10796" t="s">
        <v>426</v>
      </c>
      <c r="D10796" s="106">
        <v>281.13</v>
      </c>
    </row>
    <row r="10797" spans="1:4">
      <c r="A10797">
        <v>44540</v>
      </c>
      <c r="B10797" t="s">
        <v>13493</v>
      </c>
      <c r="C10797" t="s">
        <v>426</v>
      </c>
      <c r="D10797" s="106">
        <v>359.22</v>
      </c>
    </row>
    <row r="10798" spans="1:4">
      <c r="A10798">
        <v>10842</v>
      </c>
      <c r="B10798" t="s">
        <v>11244</v>
      </c>
      <c r="C10798" t="s">
        <v>426</v>
      </c>
      <c r="D10798" s="106">
        <v>406.07</v>
      </c>
    </row>
    <row r="10799" spans="1:4">
      <c r="A10799">
        <v>21108</v>
      </c>
      <c r="B10799" t="s">
        <v>11245</v>
      </c>
      <c r="C10799" t="s">
        <v>426</v>
      </c>
      <c r="D10799" s="106">
        <v>82.59</v>
      </c>
    </row>
    <row r="10800" spans="1:4">
      <c r="A10800">
        <v>38180</v>
      </c>
      <c r="B10800" t="s">
        <v>11246</v>
      </c>
      <c r="C10800" t="s">
        <v>426</v>
      </c>
      <c r="D10800" s="106">
        <v>143.81</v>
      </c>
    </row>
    <row r="10801" spans="1:4">
      <c r="A10801">
        <v>40648</v>
      </c>
      <c r="B10801" t="s">
        <v>11247</v>
      </c>
      <c r="C10801" t="s">
        <v>426</v>
      </c>
      <c r="D10801" s="106">
        <v>168.96</v>
      </c>
    </row>
    <row r="10802" spans="1:4">
      <c r="A10802">
        <v>40649</v>
      </c>
      <c r="B10802" t="s">
        <v>11248</v>
      </c>
      <c r="C10802" t="s">
        <v>426</v>
      </c>
      <c r="D10802" s="106">
        <v>98.41</v>
      </c>
    </row>
    <row r="10803" spans="1:4">
      <c r="A10803">
        <v>40650</v>
      </c>
      <c r="B10803" t="s">
        <v>11249</v>
      </c>
      <c r="C10803" t="s">
        <v>426</v>
      </c>
      <c r="D10803" s="106">
        <v>126.72</v>
      </c>
    </row>
    <row r="10804" spans="1:4">
      <c r="A10804">
        <v>40651</v>
      </c>
      <c r="B10804" t="s">
        <v>11250</v>
      </c>
      <c r="C10804" t="s">
        <v>426</v>
      </c>
      <c r="D10804" s="106">
        <v>233.72</v>
      </c>
    </row>
    <row r="10805" spans="1:4">
      <c r="A10805">
        <v>40652</v>
      </c>
      <c r="B10805" t="s">
        <v>11251</v>
      </c>
      <c r="C10805" t="s">
        <v>426</v>
      </c>
      <c r="D10805" s="106">
        <v>125.31</v>
      </c>
    </row>
    <row r="10806" spans="1:4">
      <c r="A10806">
        <v>40647</v>
      </c>
      <c r="B10806" t="s">
        <v>11252</v>
      </c>
      <c r="C10806" t="s">
        <v>426</v>
      </c>
      <c r="D10806" s="106">
        <v>137.97999999999999</v>
      </c>
    </row>
    <row r="10807" spans="1:4">
      <c r="A10807">
        <v>40653</v>
      </c>
      <c r="B10807" t="s">
        <v>11253</v>
      </c>
      <c r="C10807" t="s">
        <v>426</v>
      </c>
      <c r="D10807" s="106">
        <v>105.6</v>
      </c>
    </row>
    <row r="10808" spans="1:4">
      <c r="A10808">
        <v>36178</v>
      </c>
      <c r="B10808" t="s">
        <v>11254</v>
      </c>
      <c r="C10808" t="s">
        <v>427</v>
      </c>
      <c r="D10808" s="106">
        <v>15.09</v>
      </c>
    </row>
    <row r="10809" spans="1:4">
      <c r="A10809">
        <v>38195</v>
      </c>
      <c r="B10809" t="s">
        <v>11255</v>
      </c>
      <c r="C10809" t="s">
        <v>426</v>
      </c>
      <c r="D10809" s="106">
        <v>97.55</v>
      </c>
    </row>
    <row r="10810" spans="1:4">
      <c r="A10810">
        <v>38181</v>
      </c>
      <c r="B10810" t="s">
        <v>11256</v>
      </c>
      <c r="C10810" t="s">
        <v>426</v>
      </c>
      <c r="D10810" s="106">
        <v>196.32</v>
      </c>
    </row>
    <row r="10811" spans="1:4">
      <c r="A10811">
        <v>38182</v>
      </c>
      <c r="B10811" t="s">
        <v>11257</v>
      </c>
      <c r="C10811" t="s">
        <v>426</v>
      </c>
      <c r="D10811" s="106">
        <v>187</v>
      </c>
    </row>
    <row r="10812" spans="1:4">
      <c r="A10812">
        <v>38186</v>
      </c>
      <c r="B10812" t="s">
        <v>11258</v>
      </c>
      <c r="C10812" t="s">
        <v>426</v>
      </c>
      <c r="D10812" s="106">
        <v>486.08</v>
      </c>
    </row>
    <row r="10813" spans="1:4">
      <c r="A10813">
        <v>38185</v>
      </c>
      <c r="B10813" t="s">
        <v>11259</v>
      </c>
      <c r="C10813" t="s">
        <v>426</v>
      </c>
      <c r="D10813" s="106">
        <v>432.78</v>
      </c>
    </row>
    <row r="10814" spans="1:4">
      <c r="A10814">
        <v>40654</v>
      </c>
      <c r="B10814" t="s">
        <v>11260</v>
      </c>
      <c r="C10814" t="s">
        <v>426</v>
      </c>
      <c r="D10814" s="106">
        <v>164.03</v>
      </c>
    </row>
    <row r="10815" spans="1:4">
      <c r="A10815">
        <v>44541</v>
      </c>
      <c r="B10815" t="s">
        <v>13494</v>
      </c>
      <c r="C10815" t="s">
        <v>426</v>
      </c>
      <c r="D10815" s="106">
        <v>296.75</v>
      </c>
    </row>
    <row r="10816" spans="1:4">
      <c r="A10816">
        <v>4822</v>
      </c>
      <c r="B10816" t="s">
        <v>11261</v>
      </c>
      <c r="C10816" t="s">
        <v>426</v>
      </c>
      <c r="D10816" s="106">
        <v>374.56</v>
      </c>
    </row>
    <row r="10817" spans="1:4">
      <c r="A10817">
        <v>4818</v>
      </c>
      <c r="B10817" t="s">
        <v>11262</v>
      </c>
      <c r="C10817" t="s">
        <v>426</v>
      </c>
      <c r="D10817" s="106">
        <v>385</v>
      </c>
    </row>
    <row r="10818" spans="1:4">
      <c r="A10818">
        <v>39567</v>
      </c>
      <c r="B10818" t="s">
        <v>11263</v>
      </c>
      <c r="C10818" t="s">
        <v>426</v>
      </c>
      <c r="D10818" s="106">
        <v>45.03</v>
      </c>
    </row>
    <row r="10819" spans="1:4">
      <c r="A10819">
        <v>39566</v>
      </c>
      <c r="B10819" t="s">
        <v>11264</v>
      </c>
      <c r="C10819" t="s">
        <v>426</v>
      </c>
      <c r="D10819" s="106">
        <v>47.66</v>
      </c>
    </row>
    <row r="10820" spans="1:4">
      <c r="A10820">
        <v>39416</v>
      </c>
      <c r="B10820" t="s">
        <v>11265</v>
      </c>
      <c r="C10820" t="s">
        <v>426</v>
      </c>
      <c r="D10820" s="106">
        <v>29.05</v>
      </c>
    </row>
    <row r="10821" spans="1:4">
      <c r="A10821">
        <v>39417</v>
      </c>
      <c r="B10821" t="s">
        <v>11266</v>
      </c>
      <c r="C10821" t="s">
        <v>426</v>
      </c>
      <c r="D10821" s="106">
        <v>28.33</v>
      </c>
    </row>
    <row r="10822" spans="1:4">
      <c r="A10822">
        <v>43742</v>
      </c>
      <c r="B10822" t="s">
        <v>11267</v>
      </c>
      <c r="C10822" t="s">
        <v>426</v>
      </c>
      <c r="D10822" s="106">
        <v>30.56</v>
      </c>
    </row>
    <row r="10823" spans="1:4">
      <c r="A10823">
        <v>39414</v>
      </c>
      <c r="B10823" t="s">
        <v>11268</v>
      </c>
      <c r="C10823" t="s">
        <v>426</v>
      </c>
      <c r="D10823" s="106">
        <v>27.51</v>
      </c>
    </row>
    <row r="10824" spans="1:4">
      <c r="A10824">
        <v>39415</v>
      </c>
      <c r="B10824" t="s">
        <v>11269</v>
      </c>
      <c r="C10824" t="s">
        <v>426</v>
      </c>
      <c r="D10824" s="106">
        <v>23.71</v>
      </c>
    </row>
    <row r="10825" spans="1:4">
      <c r="A10825">
        <v>43740</v>
      </c>
      <c r="B10825" t="s">
        <v>11270</v>
      </c>
      <c r="C10825" t="s">
        <v>426</v>
      </c>
      <c r="D10825" s="106">
        <v>28.96</v>
      </c>
    </row>
    <row r="10826" spans="1:4">
      <c r="A10826">
        <v>39412</v>
      </c>
      <c r="B10826" t="s">
        <v>11271</v>
      </c>
      <c r="C10826" t="s">
        <v>426</v>
      </c>
      <c r="D10826" s="106">
        <v>19.86</v>
      </c>
    </row>
    <row r="10827" spans="1:4">
      <c r="A10827">
        <v>39413</v>
      </c>
      <c r="B10827" t="s">
        <v>11272</v>
      </c>
      <c r="C10827" t="s">
        <v>426</v>
      </c>
      <c r="D10827" s="106">
        <v>21.47</v>
      </c>
    </row>
    <row r="10828" spans="1:4">
      <c r="A10828">
        <v>43741</v>
      </c>
      <c r="B10828" t="s">
        <v>11273</v>
      </c>
      <c r="C10828" t="s">
        <v>426</v>
      </c>
      <c r="D10828" s="106">
        <v>22.89</v>
      </c>
    </row>
    <row r="10829" spans="1:4">
      <c r="A10829">
        <v>11062</v>
      </c>
      <c r="B10829" t="s">
        <v>11274</v>
      </c>
      <c r="C10829" t="s">
        <v>426</v>
      </c>
      <c r="D10829" s="106">
        <v>54.27</v>
      </c>
    </row>
    <row r="10830" spans="1:4">
      <c r="A10830">
        <v>11063</v>
      </c>
      <c r="B10830" t="s">
        <v>11275</v>
      </c>
      <c r="C10830" t="s">
        <v>426</v>
      </c>
      <c r="D10830" s="106">
        <v>33.22</v>
      </c>
    </row>
    <row r="10831" spans="1:4">
      <c r="A10831">
        <v>13521</v>
      </c>
      <c r="B10831" t="s">
        <v>11276</v>
      </c>
      <c r="C10831" t="s">
        <v>427</v>
      </c>
      <c r="D10831" s="106">
        <v>74.25</v>
      </c>
    </row>
    <row r="10832" spans="1:4">
      <c r="A10832">
        <v>10851</v>
      </c>
      <c r="B10832" t="s">
        <v>11277</v>
      </c>
      <c r="C10832" t="s">
        <v>427</v>
      </c>
      <c r="D10832" s="106">
        <v>56.2</v>
      </c>
    </row>
    <row r="10833" spans="1:4">
      <c r="A10833">
        <v>39515</v>
      </c>
      <c r="B10833" t="s">
        <v>11278</v>
      </c>
      <c r="C10833" t="s">
        <v>427</v>
      </c>
      <c r="D10833" s="106">
        <v>62.91</v>
      </c>
    </row>
    <row r="10834" spans="1:4">
      <c r="A10834">
        <v>39516</v>
      </c>
      <c r="B10834" t="s">
        <v>11279</v>
      </c>
      <c r="C10834" t="s">
        <v>427</v>
      </c>
      <c r="D10834" s="106">
        <v>53.04</v>
      </c>
    </row>
    <row r="10835" spans="1:4">
      <c r="A10835">
        <v>39514</v>
      </c>
      <c r="B10835" t="s">
        <v>11280</v>
      </c>
      <c r="C10835" t="s">
        <v>427</v>
      </c>
      <c r="D10835" s="106">
        <v>33</v>
      </c>
    </row>
    <row r="10836" spans="1:4">
      <c r="A10836">
        <v>4812</v>
      </c>
      <c r="B10836" t="s">
        <v>11281</v>
      </c>
      <c r="C10836" t="s">
        <v>426</v>
      </c>
      <c r="D10836" s="106">
        <v>11.91</v>
      </c>
    </row>
    <row r="10837" spans="1:4">
      <c r="A10837">
        <v>10849</v>
      </c>
      <c r="B10837" t="s">
        <v>11282</v>
      </c>
      <c r="C10837" t="s">
        <v>427</v>
      </c>
      <c r="D10837" s="107">
        <v>1080.01</v>
      </c>
    </row>
    <row r="10838" spans="1:4">
      <c r="A10838">
        <v>10848</v>
      </c>
      <c r="B10838" t="s">
        <v>11283</v>
      </c>
      <c r="C10838" t="s">
        <v>427</v>
      </c>
      <c r="D10838" s="106">
        <v>678.38</v>
      </c>
    </row>
    <row r="10839" spans="1:4">
      <c r="A10839">
        <v>4813</v>
      </c>
      <c r="B10839" t="s">
        <v>13495</v>
      </c>
      <c r="C10839" t="s">
        <v>426</v>
      </c>
      <c r="D10839" s="106">
        <v>225</v>
      </c>
    </row>
    <row r="10840" spans="1:4">
      <c r="A10840">
        <v>37560</v>
      </c>
      <c r="B10840" t="s">
        <v>11284</v>
      </c>
      <c r="C10840" t="s">
        <v>427</v>
      </c>
      <c r="D10840" s="106">
        <v>42.07</v>
      </c>
    </row>
    <row r="10841" spans="1:4">
      <c r="A10841">
        <v>37557</v>
      </c>
      <c r="B10841" t="s">
        <v>11285</v>
      </c>
      <c r="C10841" t="s">
        <v>427</v>
      </c>
      <c r="D10841" s="106">
        <v>12.77</v>
      </c>
    </row>
    <row r="10842" spans="1:4">
      <c r="A10842">
        <v>37556</v>
      </c>
      <c r="B10842" t="s">
        <v>11286</v>
      </c>
      <c r="C10842" t="s">
        <v>427</v>
      </c>
      <c r="D10842" s="106">
        <v>24.71</v>
      </c>
    </row>
    <row r="10843" spans="1:4">
      <c r="A10843">
        <v>37559</v>
      </c>
      <c r="B10843" t="s">
        <v>11287</v>
      </c>
      <c r="C10843" t="s">
        <v>427</v>
      </c>
      <c r="D10843" s="106">
        <v>30.32</v>
      </c>
    </row>
    <row r="10844" spans="1:4">
      <c r="A10844">
        <v>37539</v>
      </c>
      <c r="B10844" t="s">
        <v>11288</v>
      </c>
      <c r="C10844" t="s">
        <v>427</v>
      </c>
      <c r="D10844" s="106">
        <v>21.37</v>
      </c>
    </row>
    <row r="10845" spans="1:4">
      <c r="A10845">
        <v>37558</v>
      </c>
      <c r="B10845" t="s">
        <v>11289</v>
      </c>
      <c r="C10845" t="s">
        <v>427</v>
      </c>
      <c r="D10845" s="106">
        <v>39.840000000000003</v>
      </c>
    </row>
    <row r="10846" spans="1:4">
      <c r="A10846">
        <v>34723</v>
      </c>
      <c r="B10846" t="s">
        <v>11290</v>
      </c>
      <c r="C10846" t="s">
        <v>426</v>
      </c>
      <c r="D10846" s="106">
        <v>519.75</v>
      </c>
    </row>
    <row r="10847" spans="1:4">
      <c r="A10847">
        <v>34721</v>
      </c>
      <c r="B10847" t="s">
        <v>11291</v>
      </c>
      <c r="C10847" t="s">
        <v>426</v>
      </c>
      <c r="D10847" s="106">
        <v>648</v>
      </c>
    </row>
    <row r="10848" spans="1:4">
      <c r="A10848">
        <v>4309</v>
      </c>
      <c r="B10848" t="s">
        <v>11292</v>
      </c>
      <c r="C10848" t="s">
        <v>427</v>
      </c>
      <c r="D10848" s="106">
        <v>7.33</v>
      </c>
    </row>
    <row r="10849" spans="1:4">
      <c r="A10849">
        <v>4307</v>
      </c>
      <c r="B10849" t="s">
        <v>11293</v>
      </c>
      <c r="C10849" t="s">
        <v>427</v>
      </c>
      <c r="D10849" s="106">
        <v>12.54</v>
      </c>
    </row>
    <row r="10850" spans="1:4">
      <c r="A10850">
        <v>10850</v>
      </c>
      <c r="B10850" t="s">
        <v>11294</v>
      </c>
      <c r="C10850" t="s">
        <v>427</v>
      </c>
      <c r="D10850" s="106">
        <v>33.75</v>
      </c>
    </row>
    <row r="10851" spans="1:4">
      <c r="A10851">
        <v>42438</v>
      </c>
      <c r="B10851" t="s">
        <v>11295</v>
      </c>
      <c r="C10851" t="s">
        <v>427</v>
      </c>
      <c r="D10851" s="107">
        <v>2053.0100000000002</v>
      </c>
    </row>
    <row r="10852" spans="1:4">
      <c r="A10852">
        <v>4792</v>
      </c>
      <c r="B10852" t="s">
        <v>11296</v>
      </c>
      <c r="C10852" t="s">
        <v>426</v>
      </c>
      <c r="D10852" s="106">
        <v>138.05000000000001</v>
      </c>
    </row>
    <row r="10853" spans="1:4">
      <c r="A10853">
        <v>4790</v>
      </c>
      <c r="B10853" t="s">
        <v>11297</v>
      </c>
      <c r="C10853" t="s">
        <v>426</v>
      </c>
      <c r="D10853" s="106">
        <v>83</v>
      </c>
    </row>
    <row r="10854" spans="1:4">
      <c r="A10854">
        <v>40671</v>
      </c>
      <c r="B10854" t="s">
        <v>11298</v>
      </c>
      <c r="C10854" t="s">
        <v>426</v>
      </c>
      <c r="D10854" s="106">
        <v>99.08</v>
      </c>
    </row>
    <row r="10855" spans="1:4">
      <c r="A10855">
        <v>7552</v>
      </c>
      <c r="B10855" t="s">
        <v>11299</v>
      </c>
      <c r="C10855" t="s">
        <v>427</v>
      </c>
      <c r="D10855" s="106">
        <v>27</v>
      </c>
    </row>
    <row r="10856" spans="1:4">
      <c r="A10856">
        <v>4893</v>
      </c>
      <c r="B10856" t="s">
        <v>11300</v>
      </c>
      <c r="C10856" t="s">
        <v>427</v>
      </c>
      <c r="D10856" s="106">
        <v>11.12</v>
      </c>
    </row>
    <row r="10857" spans="1:4">
      <c r="A10857">
        <v>4894</v>
      </c>
      <c r="B10857" t="s">
        <v>11301</v>
      </c>
      <c r="C10857" t="s">
        <v>427</v>
      </c>
      <c r="D10857" s="106">
        <v>9.5399999999999991</v>
      </c>
    </row>
    <row r="10858" spans="1:4">
      <c r="A10858">
        <v>4888</v>
      </c>
      <c r="B10858" t="s">
        <v>11302</v>
      </c>
      <c r="C10858" t="s">
        <v>427</v>
      </c>
      <c r="D10858" s="106">
        <v>3.25</v>
      </c>
    </row>
    <row r="10859" spans="1:4">
      <c r="A10859">
        <v>4890</v>
      </c>
      <c r="B10859" t="s">
        <v>11303</v>
      </c>
      <c r="C10859" t="s">
        <v>427</v>
      </c>
      <c r="D10859" s="106">
        <v>6.1</v>
      </c>
    </row>
    <row r="10860" spans="1:4">
      <c r="A10860">
        <v>12411</v>
      </c>
      <c r="B10860" t="s">
        <v>11304</v>
      </c>
      <c r="C10860" t="s">
        <v>427</v>
      </c>
      <c r="D10860" s="106">
        <v>32.869999999999997</v>
      </c>
    </row>
    <row r="10861" spans="1:4">
      <c r="A10861">
        <v>4891</v>
      </c>
      <c r="B10861" t="s">
        <v>11305</v>
      </c>
      <c r="C10861" t="s">
        <v>427</v>
      </c>
      <c r="D10861" s="106">
        <v>16.43</v>
      </c>
    </row>
    <row r="10862" spans="1:4">
      <c r="A10862">
        <v>4889</v>
      </c>
      <c r="B10862" t="s">
        <v>11306</v>
      </c>
      <c r="C10862" t="s">
        <v>427</v>
      </c>
      <c r="D10862" s="106">
        <v>4.3899999999999997</v>
      </c>
    </row>
    <row r="10863" spans="1:4">
      <c r="A10863">
        <v>4892</v>
      </c>
      <c r="B10863" t="s">
        <v>11307</v>
      </c>
      <c r="C10863" t="s">
        <v>427</v>
      </c>
      <c r="D10863" s="106">
        <v>46.03</v>
      </c>
    </row>
    <row r="10864" spans="1:4">
      <c r="A10864">
        <v>12412</v>
      </c>
      <c r="B10864" t="s">
        <v>11308</v>
      </c>
      <c r="C10864" t="s">
        <v>427</v>
      </c>
      <c r="D10864" s="106">
        <v>85.55</v>
      </c>
    </row>
    <row r="10865" spans="1:4">
      <c r="A10865">
        <v>11073</v>
      </c>
      <c r="B10865" t="s">
        <v>11309</v>
      </c>
      <c r="C10865" t="s">
        <v>427</v>
      </c>
      <c r="D10865" s="106">
        <v>6.77</v>
      </c>
    </row>
    <row r="10866" spans="1:4">
      <c r="A10866">
        <v>11071</v>
      </c>
      <c r="B10866" t="s">
        <v>11310</v>
      </c>
      <c r="C10866" t="s">
        <v>427</v>
      </c>
      <c r="D10866" s="106">
        <v>10.98</v>
      </c>
    </row>
    <row r="10867" spans="1:4">
      <c r="A10867">
        <v>11072</v>
      </c>
      <c r="B10867" t="s">
        <v>11311</v>
      </c>
      <c r="C10867" t="s">
        <v>427</v>
      </c>
      <c r="D10867" s="106">
        <v>3.83</v>
      </c>
    </row>
    <row r="10868" spans="1:4">
      <c r="A10868">
        <v>4895</v>
      </c>
      <c r="B10868" t="s">
        <v>11312</v>
      </c>
      <c r="C10868" t="s">
        <v>427</v>
      </c>
      <c r="D10868" s="106">
        <v>0.59</v>
      </c>
    </row>
    <row r="10869" spans="1:4">
      <c r="A10869">
        <v>4907</v>
      </c>
      <c r="B10869" t="s">
        <v>11313</v>
      </c>
      <c r="C10869" t="s">
        <v>427</v>
      </c>
      <c r="D10869" s="106">
        <v>38.29</v>
      </c>
    </row>
    <row r="10870" spans="1:4">
      <c r="A10870">
        <v>4902</v>
      </c>
      <c r="B10870" t="s">
        <v>11314</v>
      </c>
      <c r="C10870" t="s">
        <v>427</v>
      </c>
      <c r="D10870" s="106">
        <v>86.67</v>
      </c>
    </row>
    <row r="10871" spans="1:4">
      <c r="A10871">
        <v>4908</v>
      </c>
      <c r="B10871" t="s">
        <v>11315</v>
      </c>
      <c r="C10871" t="s">
        <v>427</v>
      </c>
      <c r="D10871" s="106">
        <v>176</v>
      </c>
    </row>
    <row r="10872" spans="1:4">
      <c r="A10872">
        <v>4909</v>
      </c>
      <c r="B10872" t="s">
        <v>11316</v>
      </c>
      <c r="C10872" t="s">
        <v>427</v>
      </c>
      <c r="D10872" s="106">
        <v>339.89</v>
      </c>
    </row>
    <row r="10873" spans="1:4">
      <c r="A10873">
        <v>4903</v>
      </c>
      <c r="B10873" t="s">
        <v>11317</v>
      </c>
      <c r="C10873" t="s">
        <v>427</v>
      </c>
      <c r="D10873" s="106">
        <v>999.41</v>
      </c>
    </row>
    <row r="10874" spans="1:4">
      <c r="A10874">
        <v>4897</v>
      </c>
      <c r="B10874" t="s">
        <v>11318</v>
      </c>
      <c r="C10874" t="s">
        <v>427</v>
      </c>
      <c r="D10874" s="106">
        <v>2.4900000000000002</v>
      </c>
    </row>
    <row r="10875" spans="1:4">
      <c r="A10875">
        <v>4896</v>
      </c>
      <c r="B10875" t="s">
        <v>11319</v>
      </c>
      <c r="C10875" t="s">
        <v>427</v>
      </c>
      <c r="D10875" s="106">
        <v>0.89</v>
      </c>
    </row>
    <row r="10876" spans="1:4">
      <c r="A10876">
        <v>4900</v>
      </c>
      <c r="B10876" t="s">
        <v>11320</v>
      </c>
      <c r="C10876" t="s">
        <v>427</v>
      </c>
      <c r="D10876" s="106">
        <v>7.42</v>
      </c>
    </row>
    <row r="10877" spans="1:4">
      <c r="A10877">
        <v>4898</v>
      </c>
      <c r="B10877" t="s">
        <v>11321</v>
      </c>
      <c r="C10877" t="s">
        <v>427</v>
      </c>
      <c r="D10877" s="106">
        <v>2.77</v>
      </c>
    </row>
    <row r="10878" spans="1:4">
      <c r="A10878">
        <v>4899</v>
      </c>
      <c r="B10878" t="s">
        <v>11322</v>
      </c>
      <c r="C10878" t="s">
        <v>427</v>
      </c>
      <c r="D10878" s="106">
        <v>10.18</v>
      </c>
    </row>
    <row r="10879" spans="1:4">
      <c r="A10879">
        <v>11096</v>
      </c>
      <c r="B10879" t="s">
        <v>11323</v>
      </c>
      <c r="C10879" t="s">
        <v>430</v>
      </c>
      <c r="D10879" s="106">
        <v>1.1599999999999999</v>
      </c>
    </row>
    <row r="10880" spans="1:4">
      <c r="A10880">
        <v>4741</v>
      </c>
      <c r="B10880" t="s">
        <v>11324</v>
      </c>
      <c r="C10880" t="s">
        <v>431</v>
      </c>
      <c r="D10880" s="106">
        <v>79.73</v>
      </c>
    </row>
    <row r="10881" spans="1:4">
      <c r="A10881">
        <v>4752</v>
      </c>
      <c r="B10881" t="s">
        <v>11325</v>
      </c>
      <c r="C10881" t="s">
        <v>432</v>
      </c>
      <c r="D10881" s="106">
        <v>11.45</v>
      </c>
    </row>
    <row r="10882" spans="1:4">
      <c r="A10882">
        <v>41091</v>
      </c>
      <c r="B10882" t="s">
        <v>11326</v>
      </c>
      <c r="C10882" t="s">
        <v>433</v>
      </c>
      <c r="D10882" s="107">
        <v>2024.81</v>
      </c>
    </row>
    <row r="10883" spans="1:4">
      <c r="A10883">
        <v>13954</v>
      </c>
      <c r="B10883" t="s">
        <v>11327</v>
      </c>
      <c r="C10883" t="s">
        <v>427</v>
      </c>
      <c r="D10883" s="107">
        <v>6723.23</v>
      </c>
    </row>
    <row r="10884" spans="1:4">
      <c r="A10884">
        <v>3411</v>
      </c>
      <c r="B10884" t="s">
        <v>11328</v>
      </c>
      <c r="C10884" t="s">
        <v>430</v>
      </c>
      <c r="D10884" s="106">
        <v>48.47</v>
      </c>
    </row>
    <row r="10885" spans="1:4">
      <c r="A10885">
        <v>39995</v>
      </c>
      <c r="B10885" t="s">
        <v>11329</v>
      </c>
      <c r="C10885" t="s">
        <v>431</v>
      </c>
      <c r="D10885" s="106">
        <v>372.89</v>
      </c>
    </row>
    <row r="10886" spans="1:4">
      <c r="A10886">
        <v>11615</v>
      </c>
      <c r="B10886" t="s">
        <v>11330</v>
      </c>
      <c r="C10886" t="s">
        <v>426</v>
      </c>
      <c r="D10886" s="106">
        <v>3.16</v>
      </c>
    </row>
    <row r="10887" spans="1:4">
      <c r="A10887">
        <v>3408</v>
      </c>
      <c r="B10887" t="s">
        <v>11331</v>
      </c>
      <c r="C10887" t="s">
        <v>426</v>
      </c>
      <c r="D10887" s="106">
        <v>8.4</v>
      </c>
    </row>
    <row r="10888" spans="1:4">
      <c r="A10888">
        <v>3409</v>
      </c>
      <c r="B10888" t="s">
        <v>11332</v>
      </c>
      <c r="C10888" t="s">
        <v>426</v>
      </c>
      <c r="D10888" s="106">
        <v>21</v>
      </c>
    </row>
    <row r="10889" spans="1:4">
      <c r="A10889">
        <v>11427</v>
      </c>
      <c r="B10889" t="s">
        <v>11333</v>
      </c>
      <c r="C10889" t="s">
        <v>430</v>
      </c>
      <c r="D10889" s="106">
        <v>134.86000000000001</v>
      </c>
    </row>
    <row r="10890" spans="1:4">
      <c r="A10890">
        <v>4491</v>
      </c>
      <c r="B10890" t="s">
        <v>11334</v>
      </c>
      <c r="C10890" t="s">
        <v>429</v>
      </c>
      <c r="D10890" s="106">
        <v>8.98</v>
      </c>
    </row>
    <row r="10891" spans="1:4">
      <c r="A10891">
        <v>2745</v>
      </c>
      <c r="B10891" t="s">
        <v>11335</v>
      </c>
      <c r="C10891" t="s">
        <v>429</v>
      </c>
      <c r="D10891" s="106">
        <v>3.88</v>
      </c>
    </row>
    <row r="10892" spans="1:4">
      <c r="A10892">
        <v>14439</v>
      </c>
      <c r="B10892" t="s">
        <v>11336</v>
      </c>
      <c r="C10892" t="s">
        <v>429</v>
      </c>
      <c r="D10892" s="106">
        <v>4.82</v>
      </c>
    </row>
    <row r="10893" spans="1:4">
      <c r="A10893">
        <v>44496</v>
      </c>
      <c r="B10893" t="s">
        <v>13496</v>
      </c>
      <c r="C10893" t="s">
        <v>427</v>
      </c>
      <c r="D10893" s="106">
        <v>188.63</v>
      </c>
    </row>
    <row r="10894" spans="1:4">
      <c r="A10894">
        <v>12362</v>
      </c>
      <c r="B10894" t="s">
        <v>11337</v>
      </c>
      <c r="C10894" t="s">
        <v>427</v>
      </c>
      <c r="D10894" s="106">
        <v>17.39</v>
      </c>
    </row>
    <row r="10895" spans="1:4">
      <c r="A10895">
        <v>421</v>
      </c>
      <c r="B10895" t="s">
        <v>11338</v>
      </c>
      <c r="C10895" t="s">
        <v>427</v>
      </c>
      <c r="D10895" s="106">
        <v>11.93</v>
      </c>
    </row>
    <row r="10896" spans="1:4">
      <c r="A10896">
        <v>14148</v>
      </c>
      <c r="B10896" t="s">
        <v>11339</v>
      </c>
      <c r="C10896" t="s">
        <v>427</v>
      </c>
      <c r="D10896" s="106">
        <v>0.92</v>
      </c>
    </row>
    <row r="10897" spans="1:4">
      <c r="A10897">
        <v>4341</v>
      </c>
      <c r="B10897" t="s">
        <v>11340</v>
      </c>
      <c r="C10897" t="s">
        <v>427</v>
      </c>
      <c r="D10897" s="106">
        <v>1.1499999999999999</v>
      </c>
    </row>
    <row r="10898" spans="1:4">
      <c r="A10898">
        <v>4337</v>
      </c>
      <c r="B10898" t="s">
        <v>11341</v>
      </c>
      <c r="C10898" t="s">
        <v>427</v>
      </c>
      <c r="D10898" s="106">
        <v>2.92</v>
      </c>
    </row>
    <row r="10899" spans="1:4">
      <c r="A10899">
        <v>4339</v>
      </c>
      <c r="B10899" t="s">
        <v>11342</v>
      </c>
      <c r="C10899" t="s">
        <v>427</v>
      </c>
      <c r="D10899" s="106">
        <v>0.62</v>
      </c>
    </row>
    <row r="10900" spans="1:4">
      <c r="A10900">
        <v>39997</v>
      </c>
      <c r="B10900" t="s">
        <v>11343</v>
      </c>
      <c r="C10900" t="s">
        <v>427</v>
      </c>
      <c r="D10900" s="106">
        <v>0.34</v>
      </c>
    </row>
    <row r="10901" spans="1:4">
      <c r="A10901">
        <v>11971</v>
      </c>
      <c r="B10901" t="s">
        <v>11344</v>
      </c>
      <c r="C10901" t="s">
        <v>427</v>
      </c>
      <c r="D10901" s="106">
        <v>4.83</v>
      </c>
    </row>
    <row r="10902" spans="1:4">
      <c r="A10902">
        <v>4342</v>
      </c>
      <c r="B10902" t="s">
        <v>11345</v>
      </c>
      <c r="C10902" t="s">
        <v>427</v>
      </c>
      <c r="D10902" s="106">
        <v>0.25</v>
      </c>
    </row>
    <row r="10903" spans="1:4">
      <c r="A10903">
        <v>4330</v>
      </c>
      <c r="B10903" t="s">
        <v>11346</v>
      </c>
      <c r="C10903" t="s">
        <v>427</v>
      </c>
      <c r="D10903" s="106">
        <v>0.17</v>
      </c>
    </row>
    <row r="10904" spans="1:4">
      <c r="A10904">
        <v>4340</v>
      </c>
      <c r="B10904" t="s">
        <v>11347</v>
      </c>
      <c r="C10904" t="s">
        <v>427</v>
      </c>
      <c r="D10904" s="106">
        <v>1.35</v>
      </c>
    </row>
    <row r="10905" spans="1:4">
      <c r="A10905">
        <v>5088</v>
      </c>
      <c r="B10905" t="s">
        <v>11348</v>
      </c>
      <c r="C10905" t="s">
        <v>427</v>
      </c>
      <c r="D10905" s="106">
        <v>7.2</v>
      </c>
    </row>
    <row r="10906" spans="1:4">
      <c r="A10906">
        <v>11154</v>
      </c>
      <c r="B10906" t="s">
        <v>11349</v>
      </c>
      <c r="C10906" t="s">
        <v>427</v>
      </c>
      <c r="D10906" s="107">
        <v>1264.1400000000001</v>
      </c>
    </row>
    <row r="10907" spans="1:4">
      <c r="A10907">
        <v>4989</v>
      </c>
      <c r="B10907" t="s">
        <v>11350</v>
      </c>
      <c r="C10907" t="s">
        <v>427</v>
      </c>
      <c r="D10907" s="106">
        <v>305.23</v>
      </c>
    </row>
    <row r="10908" spans="1:4">
      <c r="A10908">
        <v>4982</v>
      </c>
      <c r="B10908" t="s">
        <v>11351</v>
      </c>
      <c r="C10908" t="s">
        <v>427</v>
      </c>
      <c r="D10908" s="106">
        <v>286.29000000000002</v>
      </c>
    </row>
    <row r="10909" spans="1:4">
      <c r="A10909">
        <v>4962</v>
      </c>
      <c r="B10909" t="s">
        <v>11352</v>
      </c>
      <c r="C10909" t="s">
        <v>427</v>
      </c>
      <c r="D10909" s="106">
        <v>225.78</v>
      </c>
    </row>
    <row r="10910" spans="1:4">
      <c r="A10910">
        <v>4981</v>
      </c>
      <c r="B10910" t="s">
        <v>11353</v>
      </c>
      <c r="C10910" t="s">
        <v>427</v>
      </c>
      <c r="D10910" s="106">
        <v>201</v>
      </c>
    </row>
    <row r="10911" spans="1:4">
      <c r="A10911">
        <v>4964</v>
      </c>
      <c r="B10911" t="s">
        <v>11354</v>
      </c>
      <c r="C10911" t="s">
        <v>427</v>
      </c>
      <c r="D10911" s="106">
        <v>254.99</v>
      </c>
    </row>
    <row r="10912" spans="1:4">
      <c r="A10912">
        <v>4992</v>
      </c>
      <c r="B10912" t="s">
        <v>11355</v>
      </c>
      <c r="C10912" t="s">
        <v>427</v>
      </c>
      <c r="D10912" s="106">
        <v>249.08</v>
      </c>
    </row>
    <row r="10913" spans="1:4">
      <c r="A10913">
        <v>4987</v>
      </c>
      <c r="B10913" t="s">
        <v>11356</v>
      </c>
      <c r="C10913" t="s">
        <v>427</v>
      </c>
      <c r="D10913" s="106">
        <v>284.97000000000003</v>
      </c>
    </row>
    <row r="10914" spans="1:4">
      <c r="A10914">
        <v>4930</v>
      </c>
      <c r="B10914" t="s">
        <v>11357</v>
      </c>
      <c r="C10914" t="s">
        <v>426</v>
      </c>
      <c r="D10914" s="106">
        <v>535.44000000000005</v>
      </c>
    </row>
    <row r="10915" spans="1:4">
      <c r="A10915">
        <v>39021</v>
      </c>
      <c r="B10915" t="s">
        <v>11358</v>
      </c>
      <c r="C10915" t="s">
        <v>427</v>
      </c>
      <c r="D10915" s="106">
        <v>569.30999999999995</v>
      </c>
    </row>
    <row r="10916" spans="1:4">
      <c r="A10916">
        <v>39022</v>
      </c>
      <c r="B10916" t="s">
        <v>11359</v>
      </c>
      <c r="C10916" t="s">
        <v>427</v>
      </c>
      <c r="D10916" s="106">
        <v>509.95</v>
      </c>
    </row>
    <row r="10917" spans="1:4">
      <c r="A10917">
        <v>39024</v>
      </c>
      <c r="B10917" t="s">
        <v>11360</v>
      </c>
      <c r="C10917" t="s">
        <v>427</v>
      </c>
      <c r="D10917" s="106">
        <v>683.62</v>
      </c>
    </row>
    <row r="10918" spans="1:4">
      <c r="A10918">
        <v>4914</v>
      </c>
      <c r="B10918" t="s">
        <v>11361</v>
      </c>
      <c r="C10918" t="s">
        <v>426</v>
      </c>
      <c r="D10918" s="106">
        <v>554.29</v>
      </c>
    </row>
    <row r="10919" spans="1:4">
      <c r="A10919">
        <v>4917</v>
      </c>
      <c r="B10919" t="s">
        <v>11362</v>
      </c>
      <c r="C10919" t="s">
        <v>426</v>
      </c>
      <c r="D10919" s="106">
        <v>382.8</v>
      </c>
    </row>
    <row r="10920" spans="1:4">
      <c r="A10920">
        <v>39025</v>
      </c>
      <c r="B10920" t="s">
        <v>11363</v>
      </c>
      <c r="C10920" t="s">
        <v>427</v>
      </c>
      <c r="D10920" s="106">
        <v>700.98</v>
      </c>
    </row>
    <row r="10921" spans="1:4">
      <c r="A10921">
        <v>4922</v>
      </c>
      <c r="B10921" t="s">
        <v>11364</v>
      </c>
      <c r="C10921" t="s">
        <v>426</v>
      </c>
      <c r="D10921" s="106">
        <v>355.08</v>
      </c>
    </row>
    <row r="10922" spans="1:4">
      <c r="A10922">
        <v>4911</v>
      </c>
      <c r="B10922" t="s">
        <v>11365</v>
      </c>
      <c r="C10922" t="s">
        <v>426</v>
      </c>
      <c r="D10922" s="106">
        <v>420</v>
      </c>
    </row>
    <row r="10923" spans="1:4">
      <c r="A10923">
        <v>37518</v>
      </c>
      <c r="B10923" t="s">
        <v>11366</v>
      </c>
      <c r="C10923" t="s">
        <v>426</v>
      </c>
      <c r="D10923" s="106">
        <v>682.5</v>
      </c>
    </row>
    <row r="10924" spans="1:4">
      <c r="A10924">
        <v>4910</v>
      </c>
      <c r="B10924" t="s">
        <v>11367</v>
      </c>
      <c r="C10924" t="s">
        <v>426</v>
      </c>
      <c r="D10924" s="106">
        <v>575.35</v>
      </c>
    </row>
    <row r="10925" spans="1:4">
      <c r="A10925">
        <v>4943</v>
      </c>
      <c r="B10925" t="s">
        <v>11368</v>
      </c>
      <c r="C10925" t="s">
        <v>426</v>
      </c>
      <c r="D10925" s="106">
        <v>857.14</v>
      </c>
    </row>
    <row r="10926" spans="1:4">
      <c r="A10926">
        <v>5002</v>
      </c>
      <c r="B10926" t="s">
        <v>11369</v>
      </c>
      <c r="C10926" t="s">
        <v>426</v>
      </c>
      <c r="D10926" s="106">
        <v>409.73</v>
      </c>
    </row>
    <row r="10927" spans="1:4">
      <c r="A10927">
        <v>4977</v>
      </c>
      <c r="B10927" t="s">
        <v>11370</v>
      </c>
      <c r="C10927" t="s">
        <v>426</v>
      </c>
      <c r="D10927" s="106">
        <v>276.58</v>
      </c>
    </row>
    <row r="10928" spans="1:4">
      <c r="A10928">
        <v>5028</v>
      </c>
      <c r="B10928" t="s">
        <v>11371</v>
      </c>
      <c r="C10928" t="s">
        <v>426</v>
      </c>
      <c r="D10928" s="106">
        <v>676.75</v>
      </c>
    </row>
    <row r="10929" spans="1:4">
      <c r="A10929">
        <v>4998</v>
      </c>
      <c r="B10929" t="s">
        <v>11372</v>
      </c>
      <c r="C10929" t="s">
        <v>426</v>
      </c>
      <c r="D10929" s="106">
        <v>562.04999999999995</v>
      </c>
    </row>
    <row r="10930" spans="1:4">
      <c r="A10930">
        <v>4969</v>
      </c>
      <c r="B10930" t="s">
        <v>11373</v>
      </c>
      <c r="C10930" t="s">
        <v>426</v>
      </c>
      <c r="D10930" s="106">
        <v>391.17</v>
      </c>
    </row>
    <row r="10931" spans="1:4">
      <c r="A10931">
        <v>11364</v>
      </c>
      <c r="B10931" t="s">
        <v>11374</v>
      </c>
      <c r="C10931" t="s">
        <v>427</v>
      </c>
      <c r="D10931" s="106">
        <v>172.68</v>
      </c>
    </row>
    <row r="10932" spans="1:4">
      <c r="A10932">
        <v>11365</v>
      </c>
      <c r="B10932" t="s">
        <v>11375</v>
      </c>
      <c r="C10932" t="s">
        <v>427</v>
      </c>
      <c r="D10932" s="106">
        <v>179.19</v>
      </c>
    </row>
    <row r="10933" spans="1:4">
      <c r="A10933">
        <v>11366</v>
      </c>
      <c r="B10933" t="s">
        <v>11376</v>
      </c>
      <c r="C10933" t="s">
        <v>427</v>
      </c>
      <c r="D10933" s="106">
        <v>190.48</v>
      </c>
    </row>
    <row r="10934" spans="1:4">
      <c r="A10934">
        <v>43777</v>
      </c>
      <c r="B10934" t="s">
        <v>11377</v>
      </c>
      <c r="C10934" t="s">
        <v>427</v>
      </c>
      <c r="D10934" s="106">
        <v>223.75</v>
      </c>
    </row>
    <row r="10935" spans="1:4">
      <c r="A10935">
        <v>20322</v>
      </c>
      <c r="B10935" t="s">
        <v>11378</v>
      </c>
      <c r="C10935" t="s">
        <v>427</v>
      </c>
      <c r="D10935" s="106">
        <v>207.71</v>
      </c>
    </row>
    <row r="10936" spans="1:4">
      <c r="A10936">
        <v>10553</v>
      </c>
      <c r="B10936" t="s">
        <v>11379</v>
      </c>
      <c r="C10936" t="s">
        <v>427</v>
      </c>
      <c r="D10936" s="106">
        <v>188.6</v>
      </c>
    </row>
    <row r="10937" spans="1:4">
      <c r="A10937">
        <v>5020</v>
      </c>
      <c r="B10937" t="s">
        <v>11380</v>
      </c>
      <c r="C10937" t="s">
        <v>427</v>
      </c>
      <c r="D10937" s="106">
        <v>198.84</v>
      </c>
    </row>
    <row r="10938" spans="1:4">
      <c r="A10938">
        <v>10554</v>
      </c>
      <c r="B10938" t="s">
        <v>11381</v>
      </c>
      <c r="C10938" t="s">
        <v>427</v>
      </c>
      <c r="D10938" s="106">
        <v>190.27</v>
      </c>
    </row>
    <row r="10939" spans="1:4">
      <c r="A10939">
        <v>10555</v>
      </c>
      <c r="B10939" t="s">
        <v>11382</v>
      </c>
      <c r="C10939" t="s">
        <v>427</v>
      </c>
      <c r="D10939" s="106">
        <v>207.5</v>
      </c>
    </row>
    <row r="10940" spans="1:4">
      <c r="A10940">
        <v>10556</v>
      </c>
      <c r="B10940" t="s">
        <v>11383</v>
      </c>
      <c r="C10940" t="s">
        <v>427</v>
      </c>
      <c r="D10940" s="106">
        <v>275.89</v>
      </c>
    </row>
    <row r="10941" spans="1:4">
      <c r="A10941">
        <v>39502</v>
      </c>
      <c r="B10941" t="s">
        <v>11384</v>
      </c>
      <c r="C10941" t="s">
        <v>427</v>
      </c>
      <c r="D10941" s="106">
        <v>387.41</v>
      </c>
    </row>
    <row r="10942" spans="1:4">
      <c r="A10942">
        <v>39504</v>
      </c>
      <c r="B10942" t="s">
        <v>11385</v>
      </c>
      <c r="C10942" t="s">
        <v>427</v>
      </c>
      <c r="D10942" s="106">
        <v>428.41</v>
      </c>
    </row>
    <row r="10943" spans="1:4">
      <c r="A10943">
        <v>39503</v>
      </c>
      <c r="B10943" t="s">
        <v>11386</v>
      </c>
      <c r="C10943" t="s">
        <v>427</v>
      </c>
      <c r="D10943" s="106">
        <v>450.88</v>
      </c>
    </row>
    <row r="10944" spans="1:4">
      <c r="A10944">
        <v>39505</v>
      </c>
      <c r="B10944" t="s">
        <v>11387</v>
      </c>
      <c r="C10944" t="s">
        <v>427</v>
      </c>
      <c r="D10944" s="106">
        <v>485.89</v>
      </c>
    </row>
    <row r="10945" spans="1:4">
      <c r="A10945">
        <v>44471</v>
      </c>
      <c r="B10945" t="s">
        <v>11388</v>
      </c>
      <c r="C10945" t="s">
        <v>427</v>
      </c>
      <c r="D10945" s="106">
        <v>528.22</v>
      </c>
    </row>
    <row r="10946" spans="1:4">
      <c r="A10946">
        <v>4944</v>
      </c>
      <c r="B10946" t="s">
        <v>11389</v>
      </c>
      <c r="C10946" t="s">
        <v>426</v>
      </c>
      <c r="D10946" s="107">
        <v>1281.42</v>
      </c>
    </row>
    <row r="10947" spans="1:4">
      <c r="A10947">
        <v>21102</v>
      </c>
      <c r="B10947" t="s">
        <v>11390</v>
      </c>
      <c r="C10947" t="s">
        <v>427</v>
      </c>
      <c r="D10947" s="106">
        <v>37.94</v>
      </c>
    </row>
    <row r="10948" spans="1:4">
      <c r="A10948">
        <v>21101</v>
      </c>
      <c r="B10948" t="s">
        <v>11391</v>
      </c>
      <c r="C10948" t="s">
        <v>427</v>
      </c>
      <c r="D10948" s="106">
        <v>24.36</v>
      </c>
    </row>
    <row r="10949" spans="1:4">
      <c r="A10949">
        <v>34713</v>
      </c>
      <c r="B10949" t="s">
        <v>11392</v>
      </c>
      <c r="C10949" t="s">
        <v>426</v>
      </c>
      <c r="D10949" s="106">
        <v>473.99</v>
      </c>
    </row>
    <row r="10950" spans="1:4">
      <c r="A10950">
        <v>37563</v>
      </c>
      <c r="B10950" t="s">
        <v>11393</v>
      </c>
      <c r="C10950" t="s">
        <v>426</v>
      </c>
      <c r="D10950" s="106">
        <v>589.17999999999995</v>
      </c>
    </row>
    <row r="10951" spans="1:4">
      <c r="A10951">
        <v>4948</v>
      </c>
      <c r="B10951" t="s">
        <v>11394</v>
      </c>
      <c r="C10951" t="s">
        <v>426</v>
      </c>
      <c r="D10951" s="106">
        <v>512.6</v>
      </c>
    </row>
    <row r="10952" spans="1:4">
      <c r="A10952">
        <v>37561</v>
      </c>
      <c r="B10952" t="s">
        <v>11395</v>
      </c>
      <c r="C10952" t="s">
        <v>426</v>
      </c>
      <c r="D10952" s="106">
        <v>478.07</v>
      </c>
    </row>
    <row r="10953" spans="1:4">
      <c r="A10953">
        <v>37562</v>
      </c>
      <c r="B10953" t="s">
        <v>11396</v>
      </c>
      <c r="C10953" t="s">
        <v>426</v>
      </c>
      <c r="D10953" s="106">
        <v>626.80999999999995</v>
      </c>
    </row>
    <row r="10954" spans="1:4">
      <c r="A10954">
        <v>14164</v>
      </c>
      <c r="B10954" t="s">
        <v>11397</v>
      </c>
      <c r="C10954" t="s">
        <v>427</v>
      </c>
      <c r="D10954" s="107">
        <v>2405.31</v>
      </c>
    </row>
    <row r="10955" spans="1:4">
      <c r="A10955">
        <v>14163</v>
      </c>
      <c r="B10955" t="s">
        <v>11398</v>
      </c>
      <c r="C10955" t="s">
        <v>427</v>
      </c>
      <c r="D10955" s="107">
        <v>2733.79</v>
      </c>
    </row>
    <row r="10956" spans="1:4">
      <c r="A10956">
        <v>5051</v>
      </c>
      <c r="B10956" t="s">
        <v>11399</v>
      </c>
      <c r="C10956" t="s">
        <v>427</v>
      </c>
      <c r="D10956" s="107">
        <v>2325.06</v>
      </c>
    </row>
    <row r="10957" spans="1:4">
      <c r="A10957">
        <v>14162</v>
      </c>
      <c r="B10957" t="s">
        <v>11400</v>
      </c>
      <c r="C10957" t="s">
        <v>427</v>
      </c>
      <c r="D10957" s="107">
        <v>2321.6799999999998</v>
      </c>
    </row>
    <row r="10958" spans="1:4">
      <c r="A10958">
        <v>5052</v>
      </c>
      <c r="B10958" t="s">
        <v>11401</v>
      </c>
      <c r="C10958" t="s">
        <v>427</v>
      </c>
      <c r="D10958" s="107">
        <v>1732.3</v>
      </c>
    </row>
    <row r="10959" spans="1:4">
      <c r="A10959">
        <v>14166</v>
      </c>
      <c r="B10959" t="s">
        <v>11402</v>
      </c>
      <c r="C10959" t="s">
        <v>427</v>
      </c>
      <c r="D10959" s="107">
        <v>1754.29</v>
      </c>
    </row>
    <row r="10960" spans="1:4">
      <c r="A10960">
        <v>14165</v>
      </c>
      <c r="B10960" t="s">
        <v>11403</v>
      </c>
      <c r="C10960" t="s">
        <v>427</v>
      </c>
      <c r="D10960" s="107">
        <v>2430.33</v>
      </c>
    </row>
    <row r="10961" spans="1:4">
      <c r="A10961">
        <v>5050</v>
      </c>
      <c r="B10961" t="s">
        <v>11404</v>
      </c>
      <c r="C10961" t="s">
        <v>427</v>
      </c>
      <c r="D10961" s="106">
        <v>598.16</v>
      </c>
    </row>
    <row r="10962" spans="1:4">
      <c r="A10962">
        <v>12366</v>
      </c>
      <c r="B10962" t="s">
        <v>13497</v>
      </c>
      <c r="C10962" t="s">
        <v>427</v>
      </c>
      <c r="D10962" s="107">
        <v>1020.97</v>
      </c>
    </row>
    <row r="10963" spans="1:4">
      <c r="A10963">
        <v>5045</v>
      </c>
      <c r="B10963" t="s">
        <v>13498</v>
      </c>
      <c r="C10963" t="s">
        <v>427</v>
      </c>
      <c r="D10963" s="107">
        <v>1621.63</v>
      </c>
    </row>
    <row r="10964" spans="1:4">
      <c r="A10964">
        <v>5035</v>
      </c>
      <c r="B10964" t="s">
        <v>13499</v>
      </c>
      <c r="C10964" t="s">
        <v>427</v>
      </c>
      <c r="D10964" s="107">
        <v>2487.88</v>
      </c>
    </row>
    <row r="10965" spans="1:4">
      <c r="A10965">
        <v>41180</v>
      </c>
      <c r="B10965" t="s">
        <v>13500</v>
      </c>
      <c r="C10965" t="s">
        <v>427</v>
      </c>
      <c r="D10965" s="107">
        <v>3645.41</v>
      </c>
    </row>
    <row r="10966" spans="1:4">
      <c r="A10966">
        <v>41181</v>
      </c>
      <c r="B10966" t="s">
        <v>13501</v>
      </c>
      <c r="C10966" t="s">
        <v>427</v>
      </c>
      <c r="D10966" s="107">
        <v>4826.41</v>
      </c>
    </row>
    <row r="10967" spans="1:4">
      <c r="A10967">
        <v>41182</v>
      </c>
      <c r="B10967" t="s">
        <v>13502</v>
      </c>
      <c r="C10967" t="s">
        <v>427</v>
      </c>
      <c r="D10967" s="107">
        <v>6923.88</v>
      </c>
    </row>
    <row r="10968" spans="1:4">
      <c r="A10968">
        <v>41183</v>
      </c>
      <c r="B10968" t="s">
        <v>13503</v>
      </c>
      <c r="C10968" t="s">
        <v>427</v>
      </c>
      <c r="D10968" s="107">
        <v>8644.61</v>
      </c>
    </row>
    <row r="10969" spans="1:4">
      <c r="A10969">
        <v>41184</v>
      </c>
      <c r="B10969" t="s">
        <v>13504</v>
      </c>
      <c r="C10969" t="s">
        <v>427</v>
      </c>
      <c r="D10969" s="107">
        <v>13161.95</v>
      </c>
    </row>
    <row r="10970" spans="1:4">
      <c r="A10970">
        <v>41185</v>
      </c>
      <c r="B10970" t="s">
        <v>13505</v>
      </c>
      <c r="C10970" t="s">
        <v>427</v>
      </c>
      <c r="D10970" s="107">
        <v>4881.04</v>
      </c>
    </row>
    <row r="10971" spans="1:4">
      <c r="A10971">
        <v>41186</v>
      </c>
      <c r="B10971" t="s">
        <v>13506</v>
      </c>
      <c r="C10971" t="s">
        <v>427</v>
      </c>
      <c r="D10971" s="107">
        <v>6840.22</v>
      </c>
    </row>
    <row r="10972" spans="1:4">
      <c r="A10972">
        <v>41187</v>
      </c>
      <c r="B10972" t="s">
        <v>13507</v>
      </c>
      <c r="C10972" t="s">
        <v>427</v>
      </c>
      <c r="D10972" s="107">
        <v>9173.2999999999993</v>
      </c>
    </row>
    <row r="10973" spans="1:4">
      <c r="A10973">
        <v>41188</v>
      </c>
      <c r="B10973" t="s">
        <v>13508</v>
      </c>
      <c r="C10973" t="s">
        <v>427</v>
      </c>
      <c r="D10973" s="107">
        <v>11730.6</v>
      </c>
    </row>
    <row r="10974" spans="1:4">
      <c r="A10974">
        <v>5036</v>
      </c>
      <c r="B10974" t="s">
        <v>13509</v>
      </c>
      <c r="C10974" t="s">
        <v>427</v>
      </c>
      <c r="D10974" s="106">
        <v>879.61</v>
      </c>
    </row>
    <row r="10975" spans="1:4">
      <c r="A10975">
        <v>41189</v>
      </c>
      <c r="B10975" t="s">
        <v>13510</v>
      </c>
      <c r="C10975" t="s">
        <v>427</v>
      </c>
      <c r="D10975" s="107">
        <v>15080.92</v>
      </c>
    </row>
    <row r="10976" spans="1:4">
      <c r="A10976">
        <v>41190</v>
      </c>
      <c r="B10976" t="s">
        <v>13511</v>
      </c>
      <c r="C10976" t="s">
        <v>427</v>
      </c>
      <c r="D10976" s="107">
        <v>5244.61</v>
      </c>
    </row>
    <row r="10977" spans="1:4">
      <c r="A10977">
        <v>41191</v>
      </c>
      <c r="B10977" t="s">
        <v>13512</v>
      </c>
      <c r="C10977" t="s">
        <v>427</v>
      </c>
      <c r="D10977" s="107">
        <v>8042.42</v>
      </c>
    </row>
    <row r="10978" spans="1:4">
      <c r="A10978">
        <v>41192</v>
      </c>
      <c r="B10978" t="s">
        <v>13513</v>
      </c>
      <c r="C10978" t="s">
        <v>427</v>
      </c>
      <c r="D10978" s="107">
        <v>8384.16</v>
      </c>
    </row>
    <row r="10979" spans="1:4">
      <c r="A10979">
        <v>41193</v>
      </c>
      <c r="B10979" t="s">
        <v>13514</v>
      </c>
      <c r="C10979" t="s">
        <v>427</v>
      </c>
      <c r="D10979" s="107">
        <v>13699.44</v>
      </c>
    </row>
    <row r="10980" spans="1:4">
      <c r="A10980">
        <v>41194</v>
      </c>
      <c r="B10980" t="s">
        <v>13515</v>
      </c>
      <c r="C10980" t="s">
        <v>427</v>
      </c>
      <c r="D10980" s="107">
        <v>16346.54</v>
      </c>
    </row>
    <row r="10981" spans="1:4">
      <c r="A10981">
        <v>5044</v>
      </c>
      <c r="B10981" t="s">
        <v>13516</v>
      </c>
      <c r="C10981" t="s">
        <v>427</v>
      </c>
      <c r="D10981" s="107">
        <v>1410.41</v>
      </c>
    </row>
    <row r="10982" spans="1:4">
      <c r="A10982">
        <v>5059</v>
      </c>
      <c r="B10982" t="s">
        <v>13517</v>
      </c>
      <c r="C10982" t="s">
        <v>427</v>
      </c>
      <c r="D10982" s="107">
        <v>1051.9100000000001</v>
      </c>
    </row>
    <row r="10983" spans="1:4">
      <c r="A10983">
        <v>41201</v>
      </c>
      <c r="B10983" t="s">
        <v>13518</v>
      </c>
      <c r="C10983" t="s">
        <v>427</v>
      </c>
      <c r="D10983" s="107">
        <v>2134.7600000000002</v>
      </c>
    </row>
    <row r="10984" spans="1:4">
      <c r="A10984">
        <v>41199</v>
      </c>
      <c r="B10984" t="s">
        <v>13519</v>
      </c>
      <c r="C10984" t="s">
        <v>427</v>
      </c>
      <c r="D10984" s="106">
        <v>685.98</v>
      </c>
    </row>
    <row r="10985" spans="1:4">
      <c r="A10985">
        <v>5057</v>
      </c>
      <c r="B10985" t="s">
        <v>13520</v>
      </c>
      <c r="C10985" t="s">
        <v>427</v>
      </c>
      <c r="D10985" s="106">
        <v>928.69</v>
      </c>
    </row>
    <row r="10986" spans="1:4">
      <c r="A10986">
        <v>41200</v>
      </c>
      <c r="B10986" t="s">
        <v>13521</v>
      </c>
      <c r="C10986" t="s">
        <v>427</v>
      </c>
      <c r="D10986" s="107">
        <v>1335.15</v>
      </c>
    </row>
    <row r="10987" spans="1:4">
      <c r="A10987">
        <v>41205</v>
      </c>
      <c r="B10987" t="s">
        <v>13522</v>
      </c>
      <c r="C10987" t="s">
        <v>427</v>
      </c>
      <c r="D10987" s="107">
        <v>2474.0100000000002</v>
      </c>
    </row>
    <row r="10988" spans="1:4">
      <c r="A10988">
        <v>41202</v>
      </c>
      <c r="B10988" t="s">
        <v>13523</v>
      </c>
      <c r="C10988" t="s">
        <v>427</v>
      </c>
      <c r="D10988" s="106">
        <v>721.93</v>
      </c>
    </row>
    <row r="10989" spans="1:4">
      <c r="A10989">
        <v>41206</v>
      </c>
      <c r="B10989" t="s">
        <v>13524</v>
      </c>
      <c r="C10989" t="s">
        <v>427</v>
      </c>
      <c r="D10989" s="107">
        <v>3261.88</v>
      </c>
    </row>
    <row r="10990" spans="1:4">
      <c r="A10990">
        <v>12372</v>
      </c>
      <c r="B10990" t="s">
        <v>13525</v>
      </c>
      <c r="C10990" t="s">
        <v>427</v>
      </c>
      <c r="D10990" s="106">
        <v>758.03</v>
      </c>
    </row>
    <row r="10991" spans="1:4">
      <c r="A10991">
        <v>41207</v>
      </c>
      <c r="B10991" t="s">
        <v>13526</v>
      </c>
      <c r="C10991" t="s">
        <v>427</v>
      </c>
      <c r="D10991" s="107">
        <v>4391.1400000000003</v>
      </c>
    </row>
    <row r="10992" spans="1:4">
      <c r="A10992">
        <v>41203</v>
      </c>
      <c r="B10992" t="s">
        <v>13527</v>
      </c>
      <c r="C10992" t="s">
        <v>427</v>
      </c>
      <c r="D10992" s="107">
        <v>1156.46</v>
      </c>
    </row>
    <row r="10993" spans="1:4">
      <c r="A10993">
        <v>41204</v>
      </c>
      <c r="B10993" t="s">
        <v>13528</v>
      </c>
      <c r="C10993" t="s">
        <v>427</v>
      </c>
      <c r="D10993" s="107">
        <v>1634.94</v>
      </c>
    </row>
    <row r="10994" spans="1:4">
      <c r="A10994">
        <v>41210</v>
      </c>
      <c r="B10994" t="s">
        <v>13529</v>
      </c>
      <c r="C10994" t="s">
        <v>427</v>
      </c>
      <c r="D10994" s="107">
        <v>2731.12</v>
      </c>
    </row>
    <row r="10995" spans="1:4">
      <c r="A10995">
        <v>41208</v>
      </c>
      <c r="B10995" t="s">
        <v>13530</v>
      </c>
      <c r="C10995" t="s">
        <v>427</v>
      </c>
      <c r="D10995" s="106">
        <v>956.05</v>
      </c>
    </row>
    <row r="10996" spans="1:4">
      <c r="A10996">
        <v>41211</v>
      </c>
      <c r="B10996" t="s">
        <v>13531</v>
      </c>
      <c r="C10996" t="s">
        <v>427</v>
      </c>
      <c r="D10996" s="107">
        <v>3848.11</v>
      </c>
    </row>
    <row r="10997" spans="1:4">
      <c r="A10997">
        <v>13339</v>
      </c>
      <c r="B10997" t="s">
        <v>13532</v>
      </c>
      <c r="C10997" t="s">
        <v>427</v>
      </c>
      <c r="D10997" s="107">
        <v>1295.68</v>
      </c>
    </row>
    <row r="10998" spans="1:4">
      <c r="A10998">
        <v>41213</v>
      </c>
      <c r="B10998" t="s">
        <v>13533</v>
      </c>
      <c r="C10998" t="s">
        <v>427</v>
      </c>
      <c r="D10998" s="107">
        <v>7976.19</v>
      </c>
    </row>
    <row r="10999" spans="1:4">
      <c r="A10999">
        <v>41209</v>
      </c>
      <c r="B10999" t="s">
        <v>13534</v>
      </c>
      <c r="C10999" t="s">
        <v>427</v>
      </c>
      <c r="D10999" s="107">
        <v>1782.7</v>
      </c>
    </row>
    <row r="11000" spans="1:4">
      <c r="A11000">
        <v>41216</v>
      </c>
      <c r="B11000" t="s">
        <v>13535</v>
      </c>
      <c r="C11000" t="s">
        <v>427</v>
      </c>
      <c r="D11000" s="107">
        <v>3339.23</v>
      </c>
    </row>
    <row r="11001" spans="1:4">
      <c r="A11001">
        <v>41217</v>
      </c>
      <c r="B11001" t="s">
        <v>13536</v>
      </c>
      <c r="C11001" t="s">
        <v>427</v>
      </c>
      <c r="D11001" s="107">
        <v>5353.97</v>
      </c>
    </row>
    <row r="11002" spans="1:4">
      <c r="A11002">
        <v>41218</v>
      </c>
      <c r="B11002" t="s">
        <v>13537</v>
      </c>
      <c r="C11002" t="s">
        <v>427</v>
      </c>
      <c r="D11002" s="107">
        <v>7179.83</v>
      </c>
    </row>
    <row r="11003" spans="1:4">
      <c r="A11003">
        <v>41214</v>
      </c>
      <c r="B11003" t="s">
        <v>13538</v>
      </c>
      <c r="C11003" t="s">
        <v>427</v>
      </c>
      <c r="D11003" s="107">
        <v>1513.85</v>
      </c>
    </row>
    <row r="11004" spans="1:4">
      <c r="A11004">
        <v>41215</v>
      </c>
      <c r="B11004" t="s">
        <v>13539</v>
      </c>
      <c r="C11004" t="s">
        <v>427</v>
      </c>
      <c r="D11004" s="107">
        <v>2279.31</v>
      </c>
    </row>
    <row r="11005" spans="1:4">
      <c r="A11005">
        <v>41221</v>
      </c>
      <c r="B11005" t="s">
        <v>13540</v>
      </c>
      <c r="C11005" t="s">
        <v>427</v>
      </c>
      <c r="D11005" s="107">
        <v>6599.79</v>
      </c>
    </row>
    <row r="11006" spans="1:4">
      <c r="A11006">
        <v>41222</v>
      </c>
      <c r="B11006" t="s">
        <v>13541</v>
      </c>
      <c r="C11006" t="s">
        <v>427</v>
      </c>
      <c r="D11006" s="107">
        <v>9444.3700000000008</v>
      </c>
    </row>
    <row r="11007" spans="1:4">
      <c r="A11007">
        <v>41195</v>
      </c>
      <c r="B11007" t="s">
        <v>13542</v>
      </c>
      <c r="C11007" t="s">
        <v>427</v>
      </c>
      <c r="D11007" s="106">
        <v>485.41</v>
      </c>
    </row>
    <row r="11008" spans="1:4">
      <c r="A11008">
        <v>41198</v>
      </c>
      <c r="B11008" t="s">
        <v>13543</v>
      </c>
      <c r="C11008" t="s">
        <v>427</v>
      </c>
      <c r="D11008" s="107">
        <v>1896.88</v>
      </c>
    </row>
    <row r="11009" spans="1:4">
      <c r="A11009">
        <v>41196</v>
      </c>
      <c r="B11009" t="s">
        <v>13544</v>
      </c>
      <c r="C11009" t="s">
        <v>427</v>
      </c>
      <c r="D11009" s="106">
        <v>601.70000000000005</v>
      </c>
    </row>
    <row r="11010" spans="1:4">
      <c r="A11010">
        <v>5033</v>
      </c>
      <c r="B11010" t="s">
        <v>13545</v>
      </c>
      <c r="C11010" t="s">
        <v>427</v>
      </c>
      <c r="D11010" s="106">
        <v>790</v>
      </c>
    </row>
    <row r="11011" spans="1:4">
      <c r="A11011">
        <v>41197</v>
      </c>
      <c r="B11011" t="s">
        <v>13546</v>
      </c>
      <c r="C11011" t="s">
        <v>427</v>
      </c>
      <c r="D11011" s="107">
        <v>1173.44</v>
      </c>
    </row>
    <row r="11012" spans="1:4">
      <c r="A11012">
        <v>12388</v>
      </c>
      <c r="B11012" t="s">
        <v>11405</v>
      </c>
      <c r="C11012" t="s">
        <v>427</v>
      </c>
      <c r="D11012" s="106">
        <v>354.06</v>
      </c>
    </row>
    <row r="11013" spans="1:4">
      <c r="A11013">
        <v>2731</v>
      </c>
      <c r="B11013" t="s">
        <v>11406</v>
      </c>
      <c r="C11013" t="s">
        <v>429</v>
      </c>
      <c r="D11013" s="106">
        <v>110.97</v>
      </c>
    </row>
    <row r="11014" spans="1:4">
      <c r="A11014">
        <v>41457</v>
      </c>
      <c r="B11014" t="s">
        <v>11407</v>
      </c>
      <c r="C11014" t="s">
        <v>427</v>
      </c>
      <c r="D11014" s="107">
        <v>1586.26</v>
      </c>
    </row>
    <row r="11015" spans="1:4">
      <c r="A11015">
        <v>41458</v>
      </c>
      <c r="B11015" t="s">
        <v>11408</v>
      </c>
      <c r="C11015" t="s">
        <v>427</v>
      </c>
      <c r="D11015" s="107">
        <v>2214.4899999999998</v>
      </c>
    </row>
    <row r="11016" spans="1:4">
      <c r="A11016">
        <v>41459</v>
      </c>
      <c r="B11016" t="s">
        <v>11409</v>
      </c>
      <c r="C11016" t="s">
        <v>427</v>
      </c>
      <c r="D11016" s="107">
        <v>3089.05</v>
      </c>
    </row>
    <row r="11017" spans="1:4">
      <c r="A11017">
        <v>41461</v>
      </c>
      <c r="B11017" t="s">
        <v>11410</v>
      </c>
      <c r="C11017" t="s">
        <v>427</v>
      </c>
      <c r="D11017" s="107">
        <v>4211.76</v>
      </c>
    </row>
    <row r="11018" spans="1:4">
      <c r="A11018">
        <v>44537</v>
      </c>
      <c r="B11018" t="s">
        <v>13547</v>
      </c>
      <c r="C11018" t="s">
        <v>437</v>
      </c>
      <c r="D11018" s="106">
        <v>265.91000000000003</v>
      </c>
    </row>
    <row r="11019" spans="1:4">
      <c r="A11019">
        <v>11844</v>
      </c>
      <c r="B11019" t="s">
        <v>11411</v>
      </c>
      <c r="C11019" t="s">
        <v>429</v>
      </c>
      <c r="D11019" s="106">
        <v>41.45</v>
      </c>
    </row>
    <row r="11020" spans="1:4">
      <c r="A11020">
        <v>4465</v>
      </c>
      <c r="B11020" t="s">
        <v>11412</v>
      </c>
      <c r="C11020" t="s">
        <v>429</v>
      </c>
      <c r="D11020" s="106">
        <v>34.44</v>
      </c>
    </row>
    <row r="11021" spans="1:4">
      <c r="A11021">
        <v>35273</v>
      </c>
      <c r="B11021" t="s">
        <v>11413</v>
      </c>
      <c r="C11021" t="s">
        <v>429</v>
      </c>
      <c r="D11021" s="106">
        <v>41.31</v>
      </c>
    </row>
    <row r="11022" spans="1:4">
      <c r="A11022">
        <v>4470</v>
      </c>
      <c r="B11022" t="s">
        <v>11414</v>
      </c>
      <c r="C11022" t="s">
        <v>429</v>
      </c>
      <c r="D11022" s="106">
        <v>95.33</v>
      </c>
    </row>
    <row r="11023" spans="1:4">
      <c r="A11023">
        <v>20208</v>
      </c>
      <c r="B11023" t="s">
        <v>11415</v>
      </c>
      <c r="C11023" t="s">
        <v>429</v>
      </c>
      <c r="D11023" s="106">
        <v>85.8</v>
      </c>
    </row>
    <row r="11024" spans="1:4">
      <c r="A11024">
        <v>20204</v>
      </c>
      <c r="B11024" t="s">
        <v>11416</v>
      </c>
      <c r="C11024" t="s">
        <v>429</v>
      </c>
      <c r="D11024" s="106">
        <v>63.55</v>
      </c>
    </row>
    <row r="11025" spans="1:4">
      <c r="A11025">
        <v>4437</v>
      </c>
      <c r="B11025" t="s">
        <v>11417</v>
      </c>
      <c r="C11025" t="s">
        <v>429</v>
      </c>
      <c r="D11025" s="106">
        <v>71.5</v>
      </c>
    </row>
    <row r="11026" spans="1:4">
      <c r="A11026">
        <v>14580</v>
      </c>
      <c r="B11026" t="s">
        <v>11418</v>
      </c>
      <c r="C11026" t="s">
        <v>429</v>
      </c>
      <c r="D11026" s="106">
        <v>71.5</v>
      </c>
    </row>
    <row r="11027" spans="1:4">
      <c r="A11027">
        <v>40304</v>
      </c>
      <c r="B11027" t="s">
        <v>11419</v>
      </c>
      <c r="C11027" t="s">
        <v>430</v>
      </c>
      <c r="D11027" s="106">
        <v>29.33</v>
      </c>
    </row>
    <row r="11028" spans="1:4">
      <c r="A11028">
        <v>5065</v>
      </c>
      <c r="B11028" t="s">
        <v>11420</v>
      </c>
      <c r="C11028" t="s">
        <v>430</v>
      </c>
      <c r="D11028" s="106">
        <v>45.2</v>
      </c>
    </row>
    <row r="11029" spans="1:4">
      <c r="A11029">
        <v>5072</v>
      </c>
      <c r="B11029" t="s">
        <v>11421</v>
      </c>
      <c r="C11029" t="s">
        <v>430</v>
      </c>
      <c r="D11029" s="106">
        <v>41.81</v>
      </c>
    </row>
    <row r="11030" spans="1:4">
      <c r="A11030">
        <v>5066</v>
      </c>
      <c r="B11030" t="s">
        <v>11422</v>
      </c>
      <c r="C11030" t="s">
        <v>430</v>
      </c>
      <c r="D11030" s="106">
        <v>31.31</v>
      </c>
    </row>
    <row r="11031" spans="1:4">
      <c r="A11031">
        <v>5063</v>
      </c>
      <c r="B11031" t="s">
        <v>11423</v>
      </c>
      <c r="C11031" t="s">
        <v>430</v>
      </c>
      <c r="D11031" s="106">
        <v>28.35</v>
      </c>
    </row>
    <row r="11032" spans="1:4">
      <c r="A11032">
        <v>20247</v>
      </c>
      <c r="B11032" t="s">
        <v>11424</v>
      </c>
      <c r="C11032" t="s">
        <v>430</v>
      </c>
      <c r="D11032" s="106">
        <v>26.31</v>
      </c>
    </row>
    <row r="11033" spans="1:4">
      <c r="A11033">
        <v>5074</v>
      </c>
      <c r="B11033" t="s">
        <v>11425</v>
      </c>
      <c r="C11033" t="s">
        <v>430</v>
      </c>
      <c r="D11033" s="106">
        <v>26.62</v>
      </c>
    </row>
    <row r="11034" spans="1:4">
      <c r="A11034">
        <v>5067</v>
      </c>
      <c r="B11034" t="s">
        <v>11426</v>
      </c>
      <c r="C11034" t="s">
        <v>430</v>
      </c>
      <c r="D11034" s="106">
        <v>25.33</v>
      </c>
    </row>
    <row r="11035" spans="1:4">
      <c r="A11035">
        <v>5078</v>
      </c>
      <c r="B11035" t="s">
        <v>11427</v>
      </c>
      <c r="C11035" t="s">
        <v>430</v>
      </c>
      <c r="D11035" s="106">
        <v>25.04</v>
      </c>
    </row>
    <row r="11036" spans="1:4">
      <c r="A11036">
        <v>5068</v>
      </c>
      <c r="B11036" t="s">
        <v>11428</v>
      </c>
      <c r="C11036" t="s">
        <v>430</v>
      </c>
      <c r="D11036" s="106">
        <v>23.76</v>
      </c>
    </row>
    <row r="11037" spans="1:4">
      <c r="A11037">
        <v>5073</v>
      </c>
      <c r="B11037" t="s">
        <v>11429</v>
      </c>
      <c r="C11037" t="s">
        <v>430</v>
      </c>
      <c r="D11037" s="106">
        <v>24.22</v>
      </c>
    </row>
    <row r="11038" spans="1:4">
      <c r="A11038">
        <v>5069</v>
      </c>
      <c r="B11038" t="s">
        <v>11430</v>
      </c>
      <c r="C11038" t="s">
        <v>430</v>
      </c>
      <c r="D11038" s="106">
        <v>24.22</v>
      </c>
    </row>
    <row r="11039" spans="1:4">
      <c r="A11039">
        <v>5070</v>
      </c>
      <c r="B11039" t="s">
        <v>11431</v>
      </c>
      <c r="C11039" t="s">
        <v>430</v>
      </c>
      <c r="D11039" s="106">
        <v>24.48</v>
      </c>
    </row>
    <row r="11040" spans="1:4">
      <c r="A11040">
        <v>5071</v>
      </c>
      <c r="B11040" t="s">
        <v>11432</v>
      </c>
      <c r="C11040" t="s">
        <v>430</v>
      </c>
      <c r="D11040" s="106">
        <v>23.76</v>
      </c>
    </row>
    <row r="11041" spans="1:4">
      <c r="A11041">
        <v>5061</v>
      </c>
      <c r="B11041" t="s">
        <v>11433</v>
      </c>
      <c r="C11041" t="s">
        <v>430</v>
      </c>
      <c r="D11041" s="106">
        <v>23.36</v>
      </c>
    </row>
    <row r="11042" spans="1:4">
      <c r="A11042">
        <v>5075</v>
      </c>
      <c r="B11042" t="s">
        <v>11434</v>
      </c>
      <c r="C11042" t="s">
        <v>430</v>
      </c>
      <c r="D11042" s="106">
        <v>23.76</v>
      </c>
    </row>
    <row r="11043" spans="1:4">
      <c r="A11043">
        <v>39027</v>
      </c>
      <c r="B11043" t="s">
        <v>11435</v>
      </c>
      <c r="C11043" t="s">
        <v>430</v>
      </c>
      <c r="D11043" s="106">
        <v>23.74</v>
      </c>
    </row>
    <row r="11044" spans="1:4">
      <c r="A11044">
        <v>5062</v>
      </c>
      <c r="B11044" t="s">
        <v>11436</v>
      </c>
      <c r="C11044" t="s">
        <v>430</v>
      </c>
      <c r="D11044" s="106">
        <v>24.08</v>
      </c>
    </row>
    <row r="11045" spans="1:4">
      <c r="A11045">
        <v>40568</v>
      </c>
      <c r="B11045" t="s">
        <v>11437</v>
      </c>
      <c r="C11045" t="s">
        <v>430</v>
      </c>
      <c r="D11045" s="106">
        <v>23.94</v>
      </c>
    </row>
    <row r="11046" spans="1:4">
      <c r="A11046">
        <v>39026</v>
      </c>
      <c r="B11046" t="s">
        <v>11438</v>
      </c>
      <c r="C11046" t="s">
        <v>430</v>
      </c>
      <c r="D11046" s="106">
        <v>26.72</v>
      </c>
    </row>
    <row r="11047" spans="1:4">
      <c r="A11047">
        <v>42431</v>
      </c>
      <c r="B11047" t="s">
        <v>11439</v>
      </c>
      <c r="C11047" t="s">
        <v>427</v>
      </c>
      <c r="D11047" s="107">
        <v>3886.39</v>
      </c>
    </row>
    <row r="11048" spans="1:4">
      <c r="A11048">
        <v>44074</v>
      </c>
      <c r="B11048" t="s">
        <v>11440</v>
      </c>
      <c r="C11048" t="s">
        <v>428</v>
      </c>
      <c r="D11048" s="106">
        <v>424.73</v>
      </c>
    </row>
    <row r="11049" spans="1:4">
      <c r="A11049">
        <v>44072</v>
      </c>
      <c r="B11049" t="s">
        <v>11441</v>
      </c>
      <c r="C11049" t="s">
        <v>428</v>
      </c>
      <c r="D11049" s="106">
        <v>90.52</v>
      </c>
    </row>
    <row r="11050" spans="1:4">
      <c r="A11050">
        <v>511</v>
      </c>
      <c r="B11050" t="s">
        <v>11442</v>
      </c>
      <c r="C11050" t="s">
        <v>428</v>
      </c>
      <c r="D11050" s="106">
        <v>16.75</v>
      </c>
    </row>
    <row r="11051" spans="1:4">
      <c r="A11051">
        <v>37540</v>
      </c>
      <c r="B11051" t="s">
        <v>11443</v>
      </c>
      <c r="C11051" t="s">
        <v>427</v>
      </c>
      <c r="D11051" s="107">
        <v>86418.13</v>
      </c>
    </row>
    <row r="11052" spans="1:4">
      <c r="A11052">
        <v>37548</v>
      </c>
      <c r="B11052" t="s">
        <v>11444</v>
      </c>
      <c r="C11052" t="s">
        <v>427</v>
      </c>
      <c r="D11052" s="107">
        <v>114546.8</v>
      </c>
    </row>
    <row r="11053" spans="1:4">
      <c r="A11053">
        <v>39828</v>
      </c>
      <c r="B11053" t="s">
        <v>11445</v>
      </c>
      <c r="C11053" t="s">
        <v>427</v>
      </c>
      <c r="D11053" s="106">
        <v>687.17</v>
      </c>
    </row>
    <row r="11054" spans="1:4">
      <c r="A11054">
        <v>12273</v>
      </c>
      <c r="B11054" t="s">
        <v>11446</v>
      </c>
      <c r="C11054" t="s">
        <v>427</v>
      </c>
      <c r="D11054" s="106">
        <v>162.62</v>
      </c>
    </row>
    <row r="11055" spans="1:4">
      <c r="A11055">
        <v>38392</v>
      </c>
      <c r="B11055" t="s">
        <v>11447</v>
      </c>
      <c r="C11055" t="s">
        <v>427</v>
      </c>
      <c r="D11055" s="106">
        <v>57.09</v>
      </c>
    </row>
    <row r="11056" spans="1:4">
      <c r="A11056">
        <v>11735</v>
      </c>
      <c r="B11056" t="s">
        <v>11448</v>
      </c>
      <c r="C11056" t="s">
        <v>427</v>
      </c>
      <c r="D11056" s="106">
        <v>9.44</v>
      </c>
    </row>
    <row r="11057" spans="1:4">
      <c r="A11057">
        <v>11737</v>
      </c>
      <c r="B11057" t="s">
        <v>11449</v>
      </c>
      <c r="C11057" t="s">
        <v>427</v>
      </c>
      <c r="D11057" s="106">
        <v>13.39</v>
      </c>
    </row>
    <row r="11058" spans="1:4">
      <c r="A11058">
        <v>11738</v>
      </c>
      <c r="B11058" t="s">
        <v>11450</v>
      </c>
      <c r="C11058" t="s">
        <v>427</v>
      </c>
      <c r="D11058" s="106">
        <v>16.88</v>
      </c>
    </row>
    <row r="11059" spans="1:4">
      <c r="A11059">
        <v>36143</v>
      </c>
      <c r="B11059" t="s">
        <v>11451</v>
      </c>
      <c r="C11059" t="s">
        <v>427</v>
      </c>
      <c r="D11059" s="106">
        <v>41</v>
      </c>
    </row>
    <row r="11060" spans="1:4">
      <c r="A11060">
        <v>36142</v>
      </c>
      <c r="B11060" t="s">
        <v>11452</v>
      </c>
      <c r="C11060" t="s">
        <v>427</v>
      </c>
      <c r="D11060" s="106">
        <v>3</v>
      </c>
    </row>
    <row r="11061" spans="1:4">
      <c r="A11061">
        <v>36146</v>
      </c>
      <c r="B11061" t="s">
        <v>11453</v>
      </c>
      <c r="C11061" t="s">
        <v>427</v>
      </c>
      <c r="D11061" s="106">
        <v>340</v>
      </c>
    </row>
    <row r="11062" spans="1:4">
      <c r="A11062">
        <v>39015</v>
      </c>
      <c r="B11062" t="s">
        <v>11454</v>
      </c>
      <c r="C11062" t="s">
        <v>427</v>
      </c>
      <c r="D11062" s="106">
        <v>0.96</v>
      </c>
    </row>
    <row r="11063" spans="1:4">
      <c r="A11063">
        <v>38377</v>
      </c>
      <c r="B11063" t="s">
        <v>11455</v>
      </c>
      <c r="C11063" t="s">
        <v>427</v>
      </c>
      <c r="D11063" s="106">
        <v>37.28</v>
      </c>
    </row>
    <row r="11064" spans="1:4">
      <c r="A11064">
        <v>38376</v>
      </c>
      <c r="B11064" t="s">
        <v>11456</v>
      </c>
      <c r="C11064" t="s">
        <v>427</v>
      </c>
      <c r="D11064" s="106">
        <v>42.51</v>
      </c>
    </row>
    <row r="11065" spans="1:4">
      <c r="A11065">
        <v>38116</v>
      </c>
      <c r="B11065" t="s">
        <v>11457</v>
      </c>
      <c r="C11065" t="s">
        <v>427</v>
      </c>
      <c r="D11065" s="106">
        <v>4.9400000000000004</v>
      </c>
    </row>
    <row r="11066" spans="1:4">
      <c r="A11066">
        <v>38066</v>
      </c>
      <c r="B11066" t="s">
        <v>11458</v>
      </c>
      <c r="C11066" t="s">
        <v>427</v>
      </c>
      <c r="D11066" s="106">
        <v>8.16</v>
      </c>
    </row>
    <row r="11067" spans="1:4">
      <c r="A11067">
        <v>38117</v>
      </c>
      <c r="B11067" t="s">
        <v>11459</v>
      </c>
      <c r="C11067" t="s">
        <v>427</v>
      </c>
      <c r="D11067" s="106">
        <v>8.42</v>
      </c>
    </row>
    <row r="11068" spans="1:4">
      <c r="A11068">
        <v>38067</v>
      </c>
      <c r="B11068" t="s">
        <v>11460</v>
      </c>
      <c r="C11068" t="s">
        <v>427</v>
      </c>
      <c r="D11068" s="106">
        <v>11.49</v>
      </c>
    </row>
    <row r="11069" spans="1:4">
      <c r="A11069">
        <v>11522</v>
      </c>
      <c r="B11069" t="s">
        <v>11461</v>
      </c>
      <c r="C11069" t="s">
        <v>427</v>
      </c>
      <c r="D11069" s="106">
        <v>13.95</v>
      </c>
    </row>
    <row r="11070" spans="1:4">
      <c r="A11070">
        <v>43600</v>
      </c>
      <c r="B11070" t="s">
        <v>11462</v>
      </c>
      <c r="C11070" t="s">
        <v>427</v>
      </c>
      <c r="D11070" s="106">
        <v>55.89</v>
      </c>
    </row>
    <row r="11071" spans="1:4">
      <c r="A11071">
        <v>5080</v>
      </c>
      <c r="B11071" t="s">
        <v>11463</v>
      </c>
      <c r="C11071" t="s">
        <v>427</v>
      </c>
      <c r="D11071" s="106">
        <v>21.79</v>
      </c>
    </row>
    <row r="11072" spans="1:4">
      <c r="A11072">
        <v>38168</v>
      </c>
      <c r="B11072" t="s">
        <v>11464</v>
      </c>
      <c r="C11072" t="s">
        <v>427</v>
      </c>
      <c r="D11072" s="106">
        <v>152.16999999999999</v>
      </c>
    </row>
    <row r="11073" spans="1:4">
      <c r="A11073">
        <v>43601</v>
      </c>
      <c r="B11073" t="s">
        <v>11465</v>
      </c>
      <c r="C11073" t="s">
        <v>427</v>
      </c>
      <c r="D11073" s="106">
        <v>76.08</v>
      </c>
    </row>
    <row r="11074" spans="1:4">
      <c r="A11074">
        <v>13393</v>
      </c>
      <c r="B11074" t="s">
        <v>11466</v>
      </c>
      <c r="C11074" t="s">
        <v>427</v>
      </c>
      <c r="D11074" s="106">
        <v>435.79</v>
      </c>
    </row>
    <row r="11075" spans="1:4">
      <c r="A11075">
        <v>13395</v>
      </c>
      <c r="B11075" t="s">
        <v>11467</v>
      </c>
      <c r="C11075" t="s">
        <v>427</v>
      </c>
      <c r="D11075" s="106">
        <v>610.71</v>
      </c>
    </row>
    <row r="11076" spans="1:4">
      <c r="A11076">
        <v>12039</v>
      </c>
      <c r="B11076" t="s">
        <v>11468</v>
      </c>
      <c r="C11076" t="s">
        <v>427</v>
      </c>
      <c r="D11076" s="106">
        <v>641.79</v>
      </c>
    </row>
    <row r="11077" spans="1:4">
      <c r="A11077">
        <v>13396</v>
      </c>
      <c r="B11077" t="s">
        <v>11469</v>
      </c>
      <c r="C11077" t="s">
        <v>427</v>
      </c>
      <c r="D11077" s="106">
        <v>901.36</v>
      </c>
    </row>
    <row r="11078" spans="1:4">
      <c r="A11078">
        <v>12041</v>
      </c>
      <c r="B11078" t="s">
        <v>11470</v>
      </c>
      <c r="C11078" t="s">
        <v>427</v>
      </c>
      <c r="D11078" s="106">
        <v>736.01</v>
      </c>
    </row>
    <row r="11079" spans="1:4">
      <c r="A11079">
        <v>12043</v>
      </c>
      <c r="B11079" t="s">
        <v>11471</v>
      </c>
      <c r="C11079" t="s">
        <v>427</v>
      </c>
      <c r="D11079" s="107">
        <v>1553.97</v>
      </c>
    </row>
    <row r="11080" spans="1:4">
      <c r="A11080">
        <v>39762</v>
      </c>
      <c r="B11080" t="s">
        <v>11472</v>
      </c>
      <c r="C11080" t="s">
        <v>427</v>
      </c>
      <c r="D11080" s="106">
        <v>739.73</v>
      </c>
    </row>
    <row r="11081" spans="1:4">
      <c r="A11081">
        <v>12042</v>
      </c>
      <c r="B11081" t="s">
        <v>11473</v>
      </c>
      <c r="C11081" t="s">
        <v>427</v>
      </c>
      <c r="D11081" s="107">
        <v>1079.98</v>
      </c>
    </row>
    <row r="11082" spans="1:4">
      <c r="A11082">
        <v>39763</v>
      </c>
      <c r="B11082" t="s">
        <v>11474</v>
      </c>
      <c r="C11082" t="s">
        <v>427</v>
      </c>
      <c r="D11082" s="107">
        <v>1263.98</v>
      </c>
    </row>
    <row r="11083" spans="1:4">
      <c r="A11083">
        <v>39760</v>
      </c>
      <c r="B11083" t="s">
        <v>11475</v>
      </c>
      <c r="C11083" t="s">
        <v>427</v>
      </c>
      <c r="D11083" s="107">
        <v>1259.82</v>
      </c>
    </row>
    <row r="11084" spans="1:4">
      <c r="A11084">
        <v>39756</v>
      </c>
      <c r="B11084" t="s">
        <v>11476</v>
      </c>
      <c r="C11084" t="s">
        <v>427</v>
      </c>
      <c r="D11084" s="106">
        <v>452.35</v>
      </c>
    </row>
    <row r="11085" spans="1:4">
      <c r="A11085">
        <v>12038</v>
      </c>
      <c r="B11085" t="s">
        <v>11477</v>
      </c>
      <c r="C11085" t="s">
        <v>427</v>
      </c>
      <c r="D11085" s="106">
        <v>565.23</v>
      </c>
    </row>
    <row r="11086" spans="1:4">
      <c r="A11086">
        <v>39757</v>
      </c>
      <c r="B11086" t="s">
        <v>11478</v>
      </c>
      <c r="C11086" t="s">
        <v>427</v>
      </c>
      <c r="D11086" s="106">
        <v>522.66</v>
      </c>
    </row>
    <row r="11087" spans="1:4">
      <c r="A11087">
        <v>39758</v>
      </c>
      <c r="B11087" t="s">
        <v>11479</v>
      </c>
      <c r="C11087" t="s">
        <v>427</v>
      </c>
      <c r="D11087" s="106">
        <v>761.71</v>
      </c>
    </row>
    <row r="11088" spans="1:4">
      <c r="A11088">
        <v>39759</v>
      </c>
      <c r="B11088" t="s">
        <v>11480</v>
      </c>
      <c r="C11088" t="s">
        <v>427</v>
      </c>
      <c r="D11088" s="106">
        <v>940.71</v>
      </c>
    </row>
    <row r="11089" spans="1:4">
      <c r="A11089">
        <v>39761</v>
      </c>
      <c r="B11089" t="s">
        <v>11481</v>
      </c>
      <c r="C11089" t="s">
        <v>427</v>
      </c>
      <c r="D11089" s="107">
        <v>1130.76</v>
      </c>
    </row>
    <row r="11090" spans="1:4">
      <c r="A11090">
        <v>39805</v>
      </c>
      <c r="B11090" t="s">
        <v>11482</v>
      </c>
      <c r="C11090" t="s">
        <v>427</v>
      </c>
      <c r="D11090" s="106">
        <v>133.63</v>
      </c>
    </row>
    <row r="11091" spans="1:4">
      <c r="A11091">
        <v>39806</v>
      </c>
      <c r="B11091" t="s">
        <v>11483</v>
      </c>
      <c r="C11091" t="s">
        <v>427</v>
      </c>
      <c r="D11091" s="106">
        <v>247.58</v>
      </c>
    </row>
    <row r="11092" spans="1:4">
      <c r="A11092">
        <v>39807</v>
      </c>
      <c r="B11092" t="s">
        <v>11484</v>
      </c>
      <c r="C11092" t="s">
        <v>427</v>
      </c>
      <c r="D11092" s="106">
        <v>536.55999999999995</v>
      </c>
    </row>
    <row r="11093" spans="1:4">
      <c r="A11093">
        <v>43100</v>
      </c>
      <c r="B11093" t="s">
        <v>11485</v>
      </c>
      <c r="C11093" t="s">
        <v>427</v>
      </c>
      <c r="D11093" s="106">
        <v>419.48</v>
      </c>
    </row>
    <row r="11094" spans="1:4">
      <c r="A11094">
        <v>39804</v>
      </c>
      <c r="B11094" t="s">
        <v>11486</v>
      </c>
      <c r="C11094" t="s">
        <v>427</v>
      </c>
      <c r="D11094" s="106">
        <v>78.47</v>
      </c>
    </row>
    <row r="11095" spans="1:4">
      <c r="A11095">
        <v>39796</v>
      </c>
      <c r="B11095" t="s">
        <v>11487</v>
      </c>
      <c r="C11095" t="s">
        <v>427</v>
      </c>
      <c r="D11095" s="106">
        <v>81.27</v>
      </c>
    </row>
    <row r="11096" spans="1:4">
      <c r="A11096">
        <v>39797</v>
      </c>
      <c r="B11096" t="s">
        <v>11488</v>
      </c>
      <c r="C11096" t="s">
        <v>427</v>
      </c>
      <c r="D11096" s="106">
        <v>127.58</v>
      </c>
    </row>
    <row r="11097" spans="1:4">
      <c r="A11097">
        <v>39798</v>
      </c>
      <c r="B11097" t="s">
        <v>11489</v>
      </c>
      <c r="C11097" t="s">
        <v>427</v>
      </c>
      <c r="D11097" s="106">
        <v>218.84</v>
      </c>
    </row>
    <row r="11098" spans="1:4">
      <c r="A11098">
        <v>39794</v>
      </c>
      <c r="B11098" t="s">
        <v>11490</v>
      </c>
      <c r="C11098" t="s">
        <v>427</v>
      </c>
      <c r="D11098" s="106">
        <v>34.5</v>
      </c>
    </row>
    <row r="11099" spans="1:4">
      <c r="A11099">
        <v>39795</v>
      </c>
      <c r="B11099" t="s">
        <v>11491</v>
      </c>
      <c r="C11099" t="s">
        <v>427</v>
      </c>
      <c r="D11099" s="106">
        <v>54.5</v>
      </c>
    </row>
    <row r="11100" spans="1:4">
      <c r="A11100">
        <v>39799</v>
      </c>
      <c r="B11100" t="s">
        <v>11492</v>
      </c>
      <c r="C11100" t="s">
        <v>427</v>
      </c>
      <c r="D11100" s="106">
        <v>40.21</v>
      </c>
    </row>
    <row r="11101" spans="1:4">
      <c r="A11101">
        <v>39801</v>
      </c>
      <c r="B11101" t="s">
        <v>11493</v>
      </c>
      <c r="C11101" t="s">
        <v>427</v>
      </c>
      <c r="D11101" s="106">
        <v>115.08</v>
      </c>
    </row>
    <row r="11102" spans="1:4">
      <c r="A11102">
        <v>39802</v>
      </c>
      <c r="B11102" t="s">
        <v>11494</v>
      </c>
      <c r="C11102" t="s">
        <v>427</v>
      </c>
      <c r="D11102" s="106">
        <v>168.69</v>
      </c>
    </row>
    <row r="11103" spans="1:4">
      <c r="A11103">
        <v>39803</v>
      </c>
      <c r="B11103" t="s">
        <v>11495</v>
      </c>
      <c r="C11103" t="s">
        <v>427</v>
      </c>
      <c r="D11103" s="106">
        <v>235.33</v>
      </c>
    </row>
    <row r="11104" spans="1:4">
      <c r="A11104">
        <v>39800</v>
      </c>
      <c r="B11104" t="s">
        <v>11496</v>
      </c>
      <c r="C11104" t="s">
        <v>427</v>
      </c>
      <c r="D11104" s="106">
        <v>68.5</v>
      </c>
    </row>
    <row r="11105" spans="1:4">
      <c r="A11105">
        <v>21059</v>
      </c>
      <c r="B11105" t="s">
        <v>11497</v>
      </c>
      <c r="C11105" t="s">
        <v>427</v>
      </c>
      <c r="D11105" s="106">
        <v>64.180000000000007</v>
      </c>
    </row>
    <row r="11106" spans="1:4">
      <c r="A11106">
        <v>11234</v>
      </c>
      <c r="B11106" t="s">
        <v>11498</v>
      </c>
      <c r="C11106" t="s">
        <v>427</v>
      </c>
      <c r="D11106" s="106">
        <v>96.74</v>
      </c>
    </row>
    <row r="11107" spans="1:4">
      <c r="A11107">
        <v>21060</v>
      </c>
      <c r="B11107" t="s">
        <v>11499</v>
      </c>
      <c r="C11107" t="s">
        <v>427</v>
      </c>
      <c r="D11107" s="106">
        <v>119.06</v>
      </c>
    </row>
    <row r="11108" spans="1:4">
      <c r="A11108">
        <v>21061</v>
      </c>
      <c r="B11108" t="s">
        <v>11500</v>
      </c>
      <c r="C11108" t="s">
        <v>427</v>
      </c>
      <c r="D11108" s="106">
        <v>148.83000000000001</v>
      </c>
    </row>
    <row r="11109" spans="1:4">
      <c r="A11109">
        <v>21062</v>
      </c>
      <c r="B11109" t="s">
        <v>11501</v>
      </c>
      <c r="C11109" t="s">
        <v>427</v>
      </c>
      <c r="D11109" s="106">
        <v>234.41</v>
      </c>
    </row>
    <row r="11110" spans="1:4">
      <c r="A11110">
        <v>11708</v>
      </c>
      <c r="B11110" t="s">
        <v>11502</v>
      </c>
      <c r="C11110" t="s">
        <v>427</v>
      </c>
      <c r="D11110" s="106">
        <v>25.58</v>
      </c>
    </row>
    <row r="11111" spans="1:4">
      <c r="A11111">
        <v>11709</v>
      </c>
      <c r="B11111" t="s">
        <v>11503</v>
      </c>
      <c r="C11111" t="s">
        <v>427</v>
      </c>
      <c r="D11111" s="106">
        <v>60.09</v>
      </c>
    </row>
    <row r="11112" spans="1:4">
      <c r="A11112">
        <v>11710</v>
      </c>
      <c r="B11112" t="s">
        <v>11504</v>
      </c>
      <c r="C11112" t="s">
        <v>427</v>
      </c>
      <c r="D11112" s="106">
        <v>138.13</v>
      </c>
    </row>
    <row r="11113" spans="1:4">
      <c r="A11113">
        <v>11707</v>
      </c>
      <c r="B11113" t="s">
        <v>11505</v>
      </c>
      <c r="C11113" t="s">
        <v>427</v>
      </c>
      <c r="D11113" s="106">
        <v>19.16</v>
      </c>
    </row>
    <row r="11114" spans="1:4">
      <c r="A11114">
        <v>5102</v>
      </c>
      <c r="B11114" t="s">
        <v>11506</v>
      </c>
      <c r="C11114" t="s">
        <v>427</v>
      </c>
      <c r="D11114" s="106">
        <v>13.26</v>
      </c>
    </row>
    <row r="11115" spans="1:4">
      <c r="A11115">
        <v>11739</v>
      </c>
      <c r="B11115" t="s">
        <v>11507</v>
      </c>
      <c r="C11115" t="s">
        <v>427</v>
      </c>
      <c r="D11115" s="106">
        <v>9.4499999999999993</v>
      </c>
    </row>
    <row r="11116" spans="1:4">
      <c r="A11116">
        <v>11711</v>
      </c>
      <c r="B11116" t="s">
        <v>11508</v>
      </c>
      <c r="C11116" t="s">
        <v>427</v>
      </c>
      <c r="D11116" s="106">
        <v>11.05</v>
      </c>
    </row>
    <row r="11117" spans="1:4">
      <c r="A11117">
        <v>11741</v>
      </c>
      <c r="B11117" t="s">
        <v>11509</v>
      </c>
      <c r="C11117" t="s">
        <v>427</v>
      </c>
      <c r="D11117" s="106">
        <v>12.03</v>
      </c>
    </row>
    <row r="11118" spans="1:4">
      <c r="A11118">
        <v>11745</v>
      </c>
      <c r="B11118" t="s">
        <v>11510</v>
      </c>
      <c r="C11118" t="s">
        <v>427</v>
      </c>
      <c r="D11118" s="106">
        <v>15.86</v>
      </c>
    </row>
    <row r="11119" spans="1:4">
      <c r="A11119">
        <v>11743</v>
      </c>
      <c r="B11119" t="s">
        <v>11511</v>
      </c>
      <c r="C11119" t="s">
        <v>427</v>
      </c>
      <c r="D11119" s="106">
        <v>10.1</v>
      </c>
    </row>
    <row r="11120" spans="1:4">
      <c r="A11120">
        <v>40985</v>
      </c>
      <c r="B11120" t="s">
        <v>11512</v>
      </c>
      <c r="C11120" t="s">
        <v>433</v>
      </c>
      <c r="D11120" s="107">
        <v>1825.02</v>
      </c>
    </row>
    <row r="11121" spans="1:4">
      <c r="A11121">
        <v>44502</v>
      </c>
      <c r="B11121" t="s">
        <v>13548</v>
      </c>
      <c r="C11121" t="s">
        <v>432</v>
      </c>
      <c r="D11121" s="106">
        <v>10.31</v>
      </c>
    </row>
    <row r="11122" spans="1:4">
      <c r="A11122">
        <v>1088</v>
      </c>
      <c r="B11122" t="s">
        <v>11513</v>
      </c>
      <c r="C11122" t="s">
        <v>427</v>
      </c>
      <c r="D11122" s="106">
        <v>43.21</v>
      </c>
    </row>
    <row r="11123" spans="1:4">
      <c r="A11123">
        <v>1087</v>
      </c>
      <c r="B11123" t="s">
        <v>11514</v>
      </c>
      <c r="C11123" t="s">
        <v>427</v>
      </c>
      <c r="D11123" s="106">
        <v>53.97</v>
      </c>
    </row>
    <row r="11124" spans="1:4">
      <c r="A11124">
        <v>38777</v>
      </c>
      <c r="B11124" t="s">
        <v>11515</v>
      </c>
      <c r="C11124" t="s">
        <v>427</v>
      </c>
      <c r="D11124" s="106">
        <v>107.49</v>
      </c>
    </row>
    <row r="11125" spans="1:4">
      <c r="A11125">
        <v>1086</v>
      </c>
      <c r="B11125" t="s">
        <v>11516</v>
      </c>
      <c r="C11125" t="s">
        <v>427</v>
      </c>
      <c r="D11125" s="106">
        <v>56.72</v>
      </c>
    </row>
    <row r="11126" spans="1:4">
      <c r="A11126">
        <v>1079</v>
      </c>
      <c r="B11126" t="s">
        <v>11517</v>
      </c>
      <c r="C11126" t="s">
        <v>427</v>
      </c>
      <c r="D11126" s="106">
        <v>58.64</v>
      </c>
    </row>
    <row r="11127" spans="1:4">
      <c r="A11127">
        <v>39374</v>
      </c>
      <c r="B11127" t="s">
        <v>11518</v>
      </c>
      <c r="C11127" t="s">
        <v>427</v>
      </c>
      <c r="D11127" s="106">
        <v>121.9</v>
      </c>
    </row>
    <row r="11128" spans="1:4">
      <c r="A11128">
        <v>1082</v>
      </c>
      <c r="B11128" t="s">
        <v>11519</v>
      </c>
      <c r="C11128" t="s">
        <v>427</v>
      </c>
      <c r="D11128" s="106">
        <v>368.62</v>
      </c>
    </row>
    <row r="11129" spans="1:4">
      <c r="A11129">
        <v>12316</v>
      </c>
      <c r="B11129" t="s">
        <v>11520</v>
      </c>
      <c r="C11129" t="s">
        <v>427</v>
      </c>
      <c r="D11129" s="106">
        <v>168.95</v>
      </c>
    </row>
    <row r="11130" spans="1:4">
      <c r="A11130">
        <v>12317</v>
      </c>
      <c r="B11130" t="s">
        <v>11521</v>
      </c>
      <c r="C11130" t="s">
        <v>427</v>
      </c>
      <c r="D11130" s="106">
        <v>201.47</v>
      </c>
    </row>
    <row r="11131" spans="1:4">
      <c r="A11131">
        <v>12318</v>
      </c>
      <c r="B11131" t="s">
        <v>11522</v>
      </c>
      <c r="C11131" t="s">
        <v>427</v>
      </c>
      <c r="D11131" s="106">
        <v>232.1</v>
      </c>
    </row>
    <row r="11132" spans="1:4">
      <c r="A11132">
        <v>5104</v>
      </c>
      <c r="B11132" t="s">
        <v>11523</v>
      </c>
      <c r="C11132" t="s">
        <v>430</v>
      </c>
      <c r="D11132" s="106">
        <v>77.14</v>
      </c>
    </row>
    <row r="11133" spans="1:4">
      <c r="A11133">
        <v>44530</v>
      </c>
      <c r="B11133" t="s">
        <v>13549</v>
      </c>
      <c r="C11133" t="s">
        <v>427</v>
      </c>
      <c r="D11133" s="106">
        <v>67.010000000000005</v>
      </c>
    </row>
    <row r="11134" spans="1:4">
      <c r="A11134">
        <v>2710</v>
      </c>
      <c r="B11134" t="s">
        <v>11524</v>
      </c>
      <c r="C11134" t="s">
        <v>427</v>
      </c>
      <c r="D11134" s="106">
        <v>53.51</v>
      </c>
    </row>
    <row r="11135" spans="1:4">
      <c r="A11135">
        <v>14575</v>
      </c>
      <c r="B11135" t="s">
        <v>11525</v>
      </c>
      <c r="C11135" t="s">
        <v>427</v>
      </c>
      <c r="D11135" s="107">
        <v>5335391.82</v>
      </c>
    </row>
    <row r="11136" spans="1:4">
      <c r="A11136">
        <v>20034</v>
      </c>
      <c r="B11136" t="s">
        <v>11526</v>
      </c>
      <c r="C11136" t="s">
        <v>427</v>
      </c>
      <c r="D11136" s="106">
        <v>125.21</v>
      </c>
    </row>
    <row r="11137" spans="1:4">
      <c r="A11137">
        <v>20036</v>
      </c>
      <c r="B11137" t="s">
        <v>11527</v>
      </c>
      <c r="C11137" t="s">
        <v>427</v>
      </c>
      <c r="D11137" s="106">
        <v>240.86</v>
      </c>
    </row>
    <row r="11138" spans="1:4">
      <c r="A11138">
        <v>20037</v>
      </c>
      <c r="B11138" t="s">
        <v>11528</v>
      </c>
      <c r="C11138" t="s">
        <v>427</v>
      </c>
      <c r="D11138" s="106">
        <v>454.3</v>
      </c>
    </row>
    <row r="11139" spans="1:4">
      <c r="A11139">
        <v>20043</v>
      </c>
      <c r="B11139" t="s">
        <v>11529</v>
      </c>
      <c r="C11139" t="s">
        <v>427</v>
      </c>
      <c r="D11139" s="106">
        <v>9.2100000000000009</v>
      </c>
    </row>
    <row r="11140" spans="1:4">
      <c r="A11140">
        <v>20044</v>
      </c>
      <c r="B11140" t="s">
        <v>11530</v>
      </c>
      <c r="C11140" t="s">
        <v>427</v>
      </c>
      <c r="D11140" s="106">
        <v>10.76</v>
      </c>
    </row>
    <row r="11141" spans="1:4">
      <c r="A11141">
        <v>20042</v>
      </c>
      <c r="B11141" t="s">
        <v>11531</v>
      </c>
      <c r="C11141" t="s">
        <v>427</v>
      </c>
      <c r="D11141" s="106">
        <v>7.8</v>
      </c>
    </row>
    <row r="11142" spans="1:4">
      <c r="A11142">
        <v>20046</v>
      </c>
      <c r="B11142" t="s">
        <v>11532</v>
      </c>
      <c r="C11142" t="s">
        <v>427</v>
      </c>
      <c r="D11142" s="106">
        <v>22.84</v>
      </c>
    </row>
    <row r="11143" spans="1:4">
      <c r="A11143">
        <v>20047</v>
      </c>
      <c r="B11143" t="s">
        <v>11533</v>
      </c>
      <c r="C11143" t="s">
        <v>427</v>
      </c>
      <c r="D11143" s="106">
        <v>62.42</v>
      </c>
    </row>
    <row r="11144" spans="1:4">
      <c r="A11144">
        <v>20045</v>
      </c>
      <c r="B11144" t="s">
        <v>11534</v>
      </c>
      <c r="C11144" t="s">
        <v>427</v>
      </c>
      <c r="D11144" s="106">
        <v>9.39</v>
      </c>
    </row>
    <row r="11145" spans="1:4">
      <c r="A11145">
        <v>20972</v>
      </c>
      <c r="B11145" t="s">
        <v>11535</v>
      </c>
      <c r="C11145" t="s">
        <v>427</v>
      </c>
      <c r="D11145" s="106">
        <v>111.07</v>
      </c>
    </row>
    <row r="11146" spans="1:4">
      <c r="A11146">
        <v>20032</v>
      </c>
      <c r="B11146" t="s">
        <v>11536</v>
      </c>
      <c r="C11146" t="s">
        <v>427</v>
      </c>
      <c r="D11146" s="106">
        <v>81.13</v>
      </c>
    </row>
    <row r="11147" spans="1:4">
      <c r="A11147">
        <v>11321</v>
      </c>
      <c r="B11147" t="s">
        <v>11537</v>
      </c>
      <c r="C11147" t="s">
        <v>427</v>
      </c>
      <c r="D11147" s="106">
        <v>36.99</v>
      </c>
    </row>
    <row r="11148" spans="1:4">
      <c r="A11148">
        <v>11323</v>
      </c>
      <c r="B11148" t="s">
        <v>11538</v>
      </c>
      <c r="C11148" t="s">
        <v>427</v>
      </c>
      <c r="D11148" s="106">
        <v>42.54</v>
      </c>
    </row>
    <row r="11149" spans="1:4">
      <c r="A11149">
        <v>20327</v>
      </c>
      <c r="B11149" t="s">
        <v>11539</v>
      </c>
      <c r="C11149" t="s">
        <v>427</v>
      </c>
      <c r="D11149" s="106">
        <v>24.14</v>
      </c>
    </row>
    <row r="11150" spans="1:4">
      <c r="A11150">
        <v>13390</v>
      </c>
      <c r="B11150" t="s">
        <v>11540</v>
      </c>
      <c r="C11150" t="s">
        <v>427</v>
      </c>
      <c r="D11150" s="106">
        <v>213.22</v>
      </c>
    </row>
    <row r="11151" spans="1:4">
      <c r="A11151">
        <v>6034</v>
      </c>
      <c r="B11151" t="s">
        <v>11541</v>
      </c>
      <c r="C11151" t="s">
        <v>427</v>
      </c>
      <c r="D11151" s="106">
        <v>8.6</v>
      </c>
    </row>
    <row r="11152" spans="1:4">
      <c r="A11152">
        <v>6036</v>
      </c>
      <c r="B11152" t="s">
        <v>11542</v>
      </c>
      <c r="C11152" t="s">
        <v>427</v>
      </c>
      <c r="D11152" s="106">
        <v>11.71</v>
      </c>
    </row>
    <row r="11153" spans="1:4">
      <c r="A11153">
        <v>6031</v>
      </c>
      <c r="B11153" t="s">
        <v>11543</v>
      </c>
      <c r="C11153" t="s">
        <v>427</v>
      </c>
      <c r="D11153" s="106">
        <v>13.76</v>
      </c>
    </row>
    <row r="11154" spans="1:4">
      <c r="A11154">
        <v>6029</v>
      </c>
      <c r="B11154" t="s">
        <v>11544</v>
      </c>
      <c r="C11154" t="s">
        <v>427</v>
      </c>
      <c r="D11154" s="106">
        <v>13.9</v>
      </c>
    </row>
    <row r="11155" spans="1:4">
      <c r="A11155">
        <v>6033</v>
      </c>
      <c r="B11155" t="s">
        <v>11545</v>
      </c>
      <c r="C11155" t="s">
        <v>427</v>
      </c>
      <c r="D11155" s="106">
        <v>18.329999999999998</v>
      </c>
    </row>
    <row r="11156" spans="1:4">
      <c r="A11156">
        <v>11672</v>
      </c>
      <c r="B11156" t="s">
        <v>11546</v>
      </c>
      <c r="C11156" t="s">
        <v>427</v>
      </c>
      <c r="D11156" s="106">
        <v>39.869999999999997</v>
      </c>
    </row>
    <row r="11157" spans="1:4">
      <c r="A11157">
        <v>11669</v>
      </c>
      <c r="B11157" t="s">
        <v>11547</v>
      </c>
      <c r="C11157" t="s">
        <v>427</v>
      </c>
      <c r="D11157" s="106">
        <v>37.97</v>
      </c>
    </row>
    <row r="11158" spans="1:4">
      <c r="A11158">
        <v>11670</v>
      </c>
      <c r="B11158" t="s">
        <v>11548</v>
      </c>
      <c r="C11158" t="s">
        <v>427</v>
      </c>
      <c r="D11158" s="106">
        <v>14.54</v>
      </c>
    </row>
    <row r="11159" spans="1:4">
      <c r="A11159">
        <v>20055</v>
      </c>
      <c r="B11159" t="s">
        <v>11549</v>
      </c>
      <c r="C11159" t="s">
        <v>427</v>
      </c>
      <c r="D11159" s="106">
        <v>28.43</v>
      </c>
    </row>
    <row r="11160" spans="1:4">
      <c r="A11160">
        <v>11671</v>
      </c>
      <c r="B11160" t="s">
        <v>11550</v>
      </c>
      <c r="C11160" t="s">
        <v>427</v>
      </c>
      <c r="D11160" s="106">
        <v>61.01</v>
      </c>
    </row>
    <row r="11161" spans="1:4">
      <c r="A11161">
        <v>6032</v>
      </c>
      <c r="B11161" t="s">
        <v>11551</v>
      </c>
      <c r="C11161" t="s">
        <v>427</v>
      </c>
      <c r="D11161" s="106">
        <v>17.420000000000002</v>
      </c>
    </row>
    <row r="11162" spans="1:4">
      <c r="A11162">
        <v>11673</v>
      </c>
      <c r="B11162" t="s">
        <v>11552</v>
      </c>
      <c r="C11162" t="s">
        <v>427</v>
      </c>
      <c r="D11162" s="106">
        <v>13.72</v>
      </c>
    </row>
    <row r="11163" spans="1:4">
      <c r="A11163">
        <v>11674</v>
      </c>
      <c r="B11163" t="s">
        <v>11553</v>
      </c>
      <c r="C11163" t="s">
        <v>427</v>
      </c>
      <c r="D11163" s="106">
        <v>17.670000000000002</v>
      </c>
    </row>
    <row r="11164" spans="1:4">
      <c r="A11164">
        <v>11675</v>
      </c>
      <c r="B11164" t="s">
        <v>11554</v>
      </c>
      <c r="C11164" t="s">
        <v>427</v>
      </c>
      <c r="D11164" s="106">
        <v>28.06</v>
      </c>
    </row>
    <row r="11165" spans="1:4">
      <c r="A11165">
        <v>11676</v>
      </c>
      <c r="B11165" t="s">
        <v>11555</v>
      </c>
      <c r="C11165" t="s">
        <v>427</v>
      </c>
      <c r="D11165" s="106">
        <v>37.520000000000003</v>
      </c>
    </row>
    <row r="11166" spans="1:4">
      <c r="A11166">
        <v>11677</v>
      </c>
      <c r="B11166" t="s">
        <v>11556</v>
      </c>
      <c r="C11166" t="s">
        <v>427</v>
      </c>
      <c r="D11166" s="106">
        <v>38.75</v>
      </c>
    </row>
    <row r="11167" spans="1:4">
      <c r="A11167">
        <v>11678</v>
      </c>
      <c r="B11167" t="s">
        <v>11557</v>
      </c>
      <c r="C11167" t="s">
        <v>427</v>
      </c>
      <c r="D11167" s="106">
        <v>70.97</v>
      </c>
    </row>
    <row r="11168" spans="1:4">
      <c r="A11168">
        <v>6038</v>
      </c>
      <c r="B11168" t="s">
        <v>11558</v>
      </c>
      <c r="C11168" t="s">
        <v>427</v>
      </c>
      <c r="D11168" s="106">
        <v>4.5</v>
      </c>
    </row>
    <row r="11169" spans="1:4">
      <c r="A11169">
        <v>11718</v>
      </c>
      <c r="B11169" t="s">
        <v>11559</v>
      </c>
      <c r="C11169" t="s">
        <v>427</v>
      </c>
      <c r="D11169" s="106">
        <v>12.84</v>
      </c>
    </row>
    <row r="11170" spans="1:4">
      <c r="A11170">
        <v>6037</v>
      </c>
      <c r="B11170" t="s">
        <v>11560</v>
      </c>
      <c r="C11170" t="s">
        <v>427</v>
      </c>
      <c r="D11170" s="106">
        <v>9.36</v>
      </c>
    </row>
    <row r="11171" spans="1:4">
      <c r="A11171">
        <v>11719</v>
      </c>
      <c r="B11171" t="s">
        <v>11561</v>
      </c>
      <c r="C11171" t="s">
        <v>427</v>
      </c>
      <c r="D11171" s="106">
        <v>10.41</v>
      </c>
    </row>
    <row r="11172" spans="1:4">
      <c r="A11172">
        <v>6019</v>
      </c>
      <c r="B11172" t="s">
        <v>11562</v>
      </c>
      <c r="C11172" t="s">
        <v>427</v>
      </c>
      <c r="D11172" s="106">
        <v>42.96</v>
      </c>
    </row>
    <row r="11173" spans="1:4">
      <c r="A11173">
        <v>6010</v>
      </c>
      <c r="B11173" t="s">
        <v>11563</v>
      </c>
      <c r="C11173" t="s">
        <v>427</v>
      </c>
      <c r="D11173" s="106">
        <v>73.92</v>
      </c>
    </row>
    <row r="11174" spans="1:4">
      <c r="A11174">
        <v>6017</v>
      </c>
      <c r="B11174" t="s">
        <v>11564</v>
      </c>
      <c r="C11174" t="s">
        <v>427</v>
      </c>
      <c r="D11174" s="106">
        <v>58.55</v>
      </c>
    </row>
    <row r="11175" spans="1:4">
      <c r="A11175">
        <v>6020</v>
      </c>
      <c r="B11175" t="s">
        <v>11565</v>
      </c>
      <c r="C11175" t="s">
        <v>427</v>
      </c>
      <c r="D11175" s="106">
        <v>25.8</v>
      </c>
    </row>
    <row r="11176" spans="1:4">
      <c r="A11176">
        <v>6028</v>
      </c>
      <c r="B11176" t="s">
        <v>11566</v>
      </c>
      <c r="C11176" t="s">
        <v>427</v>
      </c>
      <c r="D11176" s="106">
        <v>102.96</v>
      </c>
    </row>
    <row r="11177" spans="1:4">
      <c r="A11177">
        <v>6011</v>
      </c>
      <c r="B11177" t="s">
        <v>11567</v>
      </c>
      <c r="C11177" t="s">
        <v>427</v>
      </c>
      <c r="D11177" s="106">
        <v>213.53</v>
      </c>
    </row>
    <row r="11178" spans="1:4">
      <c r="A11178">
        <v>6012</v>
      </c>
      <c r="B11178" t="s">
        <v>11568</v>
      </c>
      <c r="C11178" t="s">
        <v>427</v>
      </c>
      <c r="D11178" s="106">
        <v>258.52</v>
      </c>
    </row>
    <row r="11179" spans="1:4">
      <c r="A11179">
        <v>6016</v>
      </c>
      <c r="B11179" t="s">
        <v>11569</v>
      </c>
      <c r="C11179" t="s">
        <v>427</v>
      </c>
      <c r="D11179" s="106">
        <v>27.21</v>
      </c>
    </row>
    <row r="11180" spans="1:4">
      <c r="A11180">
        <v>6027</v>
      </c>
      <c r="B11180" t="s">
        <v>11570</v>
      </c>
      <c r="C11180" t="s">
        <v>427</v>
      </c>
      <c r="D11180" s="106">
        <v>538.66</v>
      </c>
    </row>
    <row r="11181" spans="1:4">
      <c r="A11181">
        <v>6013</v>
      </c>
      <c r="B11181" t="s">
        <v>11571</v>
      </c>
      <c r="C11181" t="s">
        <v>427</v>
      </c>
      <c r="D11181" s="106">
        <v>81.28</v>
      </c>
    </row>
    <row r="11182" spans="1:4">
      <c r="A11182">
        <v>6015</v>
      </c>
      <c r="B11182" t="s">
        <v>11572</v>
      </c>
      <c r="C11182" t="s">
        <v>427</v>
      </c>
      <c r="D11182" s="106">
        <v>118.2</v>
      </c>
    </row>
    <row r="11183" spans="1:4">
      <c r="A11183">
        <v>6014</v>
      </c>
      <c r="B11183" t="s">
        <v>11573</v>
      </c>
      <c r="C11183" t="s">
        <v>427</v>
      </c>
      <c r="D11183" s="106">
        <v>113.01</v>
      </c>
    </row>
    <row r="11184" spans="1:4">
      <c r="A11184">
        <v>6006</v>
      </c>
      <c r="B11184" t="s">
        <v>11574</v>
      </c>
      <c r="C11184" t="s">
        <v>427</v>
      </c>
      <c r="D11184" s="106">
        <v>58.86</v>
      </c>
    </row>
    <row r="11185" spans="1:4">
      <c r="A11185">
        <v>6005</v>
      </c>
      <c r="B11185" t="s">
        <v>11575</v>
      </c>
      <c r="C11185" t="s">
        <v>427</v>
      </c>
      <c r="D11185" s="106">
        <v>66.400000000000006</v>
      </c>
    </row>
    <row r="11186" spans="1:4">
      <c r="A11186">
        <v>11756</v>
      </c>
      <c r="B11186" t="s">
        <v>11576</v>
      </c>
      <c r="C11186" t="s">
        <v>427</v>
      </c>
      <c r="D11186" s="106">
        <v>31.71</v>
      </c>
    </row>
    <row r="11187" spans="1:4">
      <c r="A11187">
        <v>10904</v>
      </c>
      <c r="B11187" t="s">
        <v>11577</v>
      </c>
      <c r="C11187" t="s">
        <v>427</v>
      </c>
      <c r="D11187" s="106">
        <v>155.5</v>
      </c>
    </row>
    <row r="11188" spans="1:4">
      <c r="A11188">
        <v>11752</v>
      </c>
      <c r="B11188" t="s">
        <v>11578</v>
      </c>
      <c r="C11188" t="s">
        <v>427</v>
      </c>
      <c r="D11188" s="106">
        <v>18.28</v>
      </c>
    </row>
    <row r="11189" spans="1:4">
      <c r="A11189">
        <v>11753</v>
      </c>
      <c r="B11189" t="s">
        <v>11579</v>
      </c>
      <c r="C11189" t="s">
        <v>427</v>
      </c>
      <c r="D11189" s="106">
        <v>21.83</v>
      </c>
    </row>
    <row r="11190" spans="1:4">
      <c r="A11190">
        <v>6021</v>
      </c>
      <c r="B11190" t="s">
        <v>11580</v>
      </c>
      <c r="C11190" t="s">
        <v>427</v>
      </c>
      <c r="D11190" s="106">
        <v>60.58</v>
      </c>
    </row>
    <row r="11191" spans="1:4">
      <c r="A11191">
        <v>6024</v>
      </c>
      <c r="B11191" t="s">
        <v>11581</v>
      </c>
      <c r="C11191" t="s">
        <v>427</v>
      </c>
      <c r="D11191" s="106">
        <v>62.62</v>
      </c>
    </row>
    <row r="11192" spans="1:4">
      <c r="A11192">
        <v>38379</v>
      </c>
      <c r="B11192" t="s">
        <v>11582</v>
      </c>
      <c r="C11192" t="s">
        <v>429</v>
      </c>
      <c r="D11192" s="106">
        <v>49.88</v>
      </c>
    </row>
    <row r="11193" spans="1:4">
      <c r="A11193">
        <v>13897</v>
      </c>
      <c r="B11193" t="s">
        <v>11583</v>
      </c>
      <c r="C11193" t="s">
        <v>427</v>
      </c>
      <c r="D11193" s="107">
        <v>6131.58</v>
      </c>
    </row>
    <row r="11194" spans="1:4">
      <c r="A11194">
        <v>10640</v>
      </c>
      <c r="B11194" t="s">
        <v>11584</v>
      </c>
      <c r="C11194" t="s">
        <v>427</v>
      </c>
      <c r="D11194" s="107">
        <v>13279.73</v>
      </c>
    </row>
    <row r="11195" spans="1:4">
      <c r="A11195">
        <v>34357</v>
      </c>
      <c r="B11195" t="s">
        <v>11585</v>
      </c>
      <c r="C11195" t="s">
        <v>430</v>
      </c>
      <c r="D11195" s="106">
        <v>4.8099999999999996</v>
      </c>
    </row>
    <row r="11196" spans="1:4">
      <c r="A11196">
        <v>37329</v>
      </c>
      <c r="B11196" t="s">
        <v>11586</v>
      </c>
      <c r="C11196" t="s">
        <v>430</v>
      </c>
      <c r="D11196" s="106">
        <v>101.41</v>
      </c>
    </row>
    <row r="11197" spans="1:4">
      <c r="A11197">
        <v>2510</v>
      </c>
      <c r="B11197" t="s">
        <v>11587</v>
      </c>
      <c r="C11197" t="s">
        <v>427</v>
      </c>
      <c r="D11197" s="106">
        <v>53.4</v>
      </c>
    </row>
    <row r="11198" spans="1:4">
      <c r="A11198">
        <v>12359</v>
      </c>
      <c r="B11198" t="s">
        <v>11588</v>
      </c>
      <c r="C11198" t="s">
        <v>427</v>
      </c>
      <c r="D11198" s="106">
        <v>132.94999999999999</v>
      </c>
    </row>
    <row r="11199" spans="1:4">
      <c r="A11199">
        <v>7353</v>
      </c>
      <c r="B11199" t="s">
        <v>11589</v>
      </c>
      <c r="C11199" t="s">
        <v>428</v>
      </c>
      <c r="D11199" s="106">
        <v>24.82</v>
      </c>
    </row>
    <row r="11200" spans="1:4">
      <c r="A11200">
        <v>36144</v>
      </c>
      <c r="B11200" t="s">
        <v>11590</v>
      </c>
      <c r="C11200" t="s">
        <v>427</v>
      </c>
      <c r="D11200" s="106">
        <v>2.2400000000000002</v>
      </c>
    </row>
    <row r="11201" spans="1:4">
      <c r="A11201">
        <v>10518</v>
      </c>
      <c r="B11201" t="s">
        <v>11591</v>
      </c>
      <c r="C11201" t="s">
        <v>427</v>
      </c>
      <c r="D11201" s="106">
        <v>137.99</v>
      </c>
    </row>
    <row r="11202" spans="1:4">
      <c r="A11202">
        <v>36530</v>
      </c>
      <c r="B11202" t="s">
        <v>11592</v>
      </c>
      <c r="C11202" t="s">
        <v>427</v>
      </c>
      <c r="D11202" s="107">
        <v>314222.88</v>
      </c>
    </row>
    <row r="11203" spans="1:4">
      <c r="A11203">
        <v>6046</v>
      </c>
      <c r="B11203" t="s">
        <v>11593</v>
      </c>
      <c r="C11203" t="s">
        <v>427</v>
      </c>
      <c r="D11203" s="107">
        <v>340823.77</v>
      </c>
    </row>
    <row r="11204" spans="1:4">
      <c r="A11204">
        <v>36531</v>
      </c>
      <c r="B11204" t="s">
        <v>11594</v>
      </c>
      <c r="C11204" t="s">
        <v>427</v>
      </c>
      <c r="D11204" s="107">
        <v>353292.9</v>
      </c>
    </row>
    <row r="11205" spans="1:4">
      <c r="A11205">
        <v>34684</v>
      </c>
      <c r="B11205" t="s">
        <v>11595</v>
      </c>
      <c r="C11205" t="s">
        <v>426</v>
      </c>
      <c r="D11205" s="106">
        <v>208.13</v>
      </c>
    </row>
    <row r="11206" spans="1:4">
      <c r="A11206">
        <v>34683</v>
      </c>
      <c r="B11206" t="s">
        <v>11596</v>
      </c>
      <c r="C11206" t="s">
        <v>426</v>
      </c>
      <c r="D11206" s="106">
        <v>130.08000000000001</v>
      </c>
    </row>
    <row r="11207" spans="1:4">
      <c r="A11207">
        <v>533</v>
      </c>
      <c r="B11207" t="s">
        <v>11597</v>
      </c>
      <c r="C11207" t="s">
        <v>426</v>
      </c>
      <c r="D11207" s="106">
        <v>23.04</v>
      </c>
    </row>
    <row r="11208" spans="1:4">
      <c r="A11208">
        <v>10515</v>
      </c>
      <c r="B11208" t="s">
        <v>11598</v>
      </c>
      <c r="C11208" t="s">
        <v>426</v>
      </c>
      <c r="D11208" s="106">
        <v>43.47</v>
      </c>
    </row>
    <row r="11209" spans="1:4">
      <c r="A11209">
        <v>536</v>
      </c>
      <c r="B11209" t="s">
        <v>11599</v>
      </c>
      <c r="C11209" t="s">
        <v>426</v>
      </c>
      <c r="D11209" s="106">
        <v>31.45</v>
      </c>
    </row>
    <row r="11210" spans="1:4">
      <c r="A11210">
        <v>153</v>
      </c>
      <c r="B11210" t="s">
        <v>11600</v>
      </c>
      <c r="C11210" t="s">
        <v>428</v>
      </c>
      <c r="D11210" s="106">
        <v>73.64</v>
      </c>
    </row>
    <row r="11211" spans="1:4">
      <c r="A11211">
        <v>34682</v>
      </c>
      <c r="B11211" t="s">
        <v>11601</v>
      </c>
      <c r="C11211" t="s">
        <v>426</v>
      </c>
      <c r="D11211" s="106">
        <v>99.47</v>
      </c>
    </row>
    <row r="11212" spans="1:4">
      <c r="A11212">
        <v>20205</v>
      </c>
      <c r="B11212" t="s">
        <v>11602</v>
      </c>
      <c r="C11212" t="s">
        <v>429</v>
      </c>
      <c r="D11212" s="106">
        <v>2.64</v>
      </c>
    </row>
    <row r="11213" spans="1:4">
      <c r="A11213">
        <v>4412</v>
      </c>
      <c r="B11213" t="s">
        <v>11603</v>
      </c>
      <c r="C11213" t="s">
        <v>429</v>
      </c>
      <c r="D11213" s="106">
        <v>1.58</v>
      </c>
    </row>
    <row r="11214" spans="1:4">
      <c r="A11214">
        <v>4408</v>
      </c>
      <c r="B11214" t="s">
        <v>11604</v>
      </c>
      <c r="C11214" t="s">
        <v>429</v>
      </c>
      <c r="D11214" s="106">
        <v>1.98</v>
      </c>
    </row>
    <row r="11215" spans="1:4">
      <c r="A11215">
        <v>36250</v>
      </c>
      <c r="B11215" t="s">
        <v>11605</v>
      </c>
      <c r="C11215" t="s">
        <v>429</v>
      </c>
      <c r="D11215" s="106">
        <v>5.68</v>
      </c>
    </row>
    <row r="11216" spans="1:4">
      <c r="A11216">
        <v>10857</v>
      </c>
      <c r="B11216" t="s">
        <v>11606</v>
      </c>
      <c r="C11216" t="s">
        <v>429</v>
      </c>
      <c r="D11216" s="106">
        <v>13.8</v>
      </c>
    </row>
    <row r="11217" spans="1:4">
      <c r="A11217">
        <v>4803</v>
      </c>
      <c r="B11217" t="s">
        <v>11607</v>
      </c>
      <c r="C11217" t="s">
        <v>429</v>
      </c>
      <c r="D11217" s="106">
        <v>26.25</v>
      </c>
    </row>
    <row r="11218" spans="1:4">
      <c r="A11218">
        <v>6186</v>
      </c>
      <c r="B11218" t="s">
        <v>11608</v>
      </c>
      <c r="C11218" t="s">
        <v>429</v>
      </c>
      <c r="D11218" s="106">
        <v>16.05</v>
      </c>
    </row>
    <row r="11219" spans="1:4">
      <c r="A11219">
        <v>4829</v>
      </c>
      <c r="B11219" t="s">
        <v>11609</v>
      </c>
      <c r="C11219" t="s">
        <v>429</v>
      </c>
      <c r="D11219" s="106">
        <v>45.83</v>
      </c>
    </row>
    <row r="11220" spans="1:4">
      <c r="A11220">
        <v>39829</v>
      </c>
      <c r="B11220" t="s">
        <v>11610</v>
      </c>
      <c r="C11220" t="s">
        <v>429</v>
      </c>
      <c r="D11220" s="106">
        <v>34.94</v>
      </c>
    </row>
    <row r="11221" spans="1:4">
      <c r="A11221">
        <v>20231</v>
      </c>
      <c r="B11221" t="s">
        <v>11611</v>
      </c>
      <c r="C11221" t="s">
        <v>429</v>
      </c>
      <c r="D11221" s="106">
        <v>55.44</v>
      </c>
    </row>
    <row r="11222" spans="1:4">
      <c r="A11222">
        <v>4804</v>
      </c>
      <c r="B11222" t="s">
        <v>11612</v>
      </c>
      <c r="C11222" t="s">
        <v>429</v>
      </c>
      <c r="D11222" s="106">
        <v>20.149999999999999</v>
      </c>
    </row>
    <row r="11223" spans="1:4">
      <c r="A11223">
        <v>34680</v>
      </c>
      <c r="B11223" t="s">
        <v>11613</v>
      </c>
      <c r="C11223" t="s">
        <v>429</v>
      </c>
      <c r="D11223" s="106">
        <v>30.6</v>
      </c>
    </row>
    <row r="11224" spans="1:4">
      <c r="A11224">
        <v>11573</v>
      </c>
      <c r="B11224" t="s">
        <v>11614</v>
      </c>
      <c r="C11224" t="s">
        <v>427</v>
      </c>
      <c r="D11224" s="106">
        <v>6.24</v>
      </c>
    </row>
    <row r="11225" spans="1:4">
      <c r="A11225">
        <v>38401</v>
      </c>
      <c r="B11225" t="s">
        <v>11615</v>
      </c>
      <c r="C11225" t="s">
        <v>427</v>
      </c>
      <c r="D11225" s="106">
        <v>20.73</v>
      </c>
    </row>
    <row r="11226" spans="1:4">
      <c r="A11226">
        <v>11575</v>
      </c>
      <c r="B11226" t="s">
        <v>11616</v>
      </c>
      <c r="C11226" t="s">
        <v>427</v>
      </c>
      <c r="D11226" s="106">
        <v>60.19</v>
      </c>
    </row>
    <row r="11227" spans="1:4">
      <c r="A11227">
        <v>38179</v>
      </c>
      <c r="B11227" t="s">
        <v>11617</v>
      </c>
      <c r="C11227" t="s">
        <v>427</v>
      </c>
      <c r="D11227" s="106">
        <v>49.77</v>
      </c>
    </row>
    <row r="11228" spans="1:4">
      <c r="A11228">
        <v>20256</v>
      </c>
      <c r="B11228" t="s">
        <v>11618</v>
      </c>
      <c r="C11228" t="s">
        <v>427</v>
      </c>
      <c r="D11228" s="106">
        <v>0.37</v>
      </c>
    </row>
    <row r="11229" spans="1:4">
      <c r="A11229">
        <v>14511</v>
      </c>
      <c r="B11229" t="s">
        <v>11619</v>
      </c>
      <c r="C11229" t="s">
        <v>427</v>
      </c>
      <c r="D11229" s="107">
        <v>993313.97</v>
      </c>
    </row>
    <row r="11230" spans="1:4">
      <c r="A11230">
        <v>10642</v>
      </c>
      <c r="B11230" t="s">
        <v>11620</v>
      </c>
      <c r="C11230" t="s">
        <v>427</v>
      </c>
      <c r="D11230" s="107">
        <v>935750</v>
      </c>
    </row>
    <row r="11231" spans="1:4">
      <c r="A11231">
        <v>14489</v>
      </c>
      <c r="B11231" t="s">
        <v>11621</v>
      </c>
      <c r="C11231" t="s">
        <v>427</v>
      </c>
      <c r="D11231" s="107">
        <v>829992.84</v>
      </c>
    </row>
    <row r="11232" spans="1:4">
      <c r="A11232">
        <v>14513</v>
      </c>
      <c r="B11232" t="s">
        <v>11622</v>
      </c>
      <c r="C11232" t="s">
        <v>427</v>
      </c>
      <c r="D11232" s="107">
        <v>622514.32999999996</v>
      </c>
    </row>
    <row r="11233" spans="1:4">
      <c r="A11233">
        <v>13600</v>
      </c>
      <c r="B11233" t="s">
        <v>11623</v>
      </c>
      <c r="C11233" t="s">
        <v>427</v>
      </c>
      <c r="D11233" s="107">
        <v>803218.79</v>
      </c>
    </row>
    <row r="11234" spans="1:4">
      <c r="A11234">
        <v>10646</v>
      </c>
      <c r="B11234" t="s">
        <v>11624</v>
      </c>
      <c r="C11234" t="s">
        <v>427</v>
      </c>
      <c r="D11234" s="107">
        <v>598746.09</v>
      </c>
    </row>
    <row r="11235" spans="1:4">
      <c r="A11235">
        <v>6070</v>
      </c>
      <c r="B11235" t="s">
        <v>11625</v>
      </c>
      <c r="C11235" t="s">
        <v>427</v>
      </c>
      <c r="D11235" s="107">
        <v>818112.84</v>
      </c>
    </row>
    <row r="11236" spans="1:4">
      <c r="A11236">
        <v>6069</v>
      </c>
      <c r="B11236" t="s">
        <v>11626</v>
      </c>
      <c r="C11236" t="s">
        <v>427</v>
      </c>
      <c r="D11236" s="107">
        <v>180733.46</v>
      </c>
    </row>
    <row r="11237" spans="1:4">
      <c r="A11237">
        <v>14626</v>
      </c>
      <c r="B11237" t="s">
        <v>11627</v>
      </c>
      <c r="C11237" t="s">
        <v>427</v>
      </c>
      <c r="D11237" s="107">
        <v>895646.46</v>
      </c>
    </row>
    <row r="11238" spans="1:4">
      <c r="A11238">
        <v>6067</v>
      </c>
      <c r="B11238" t="s">
        <v>11628</v>
      </c>
      <c r="C11238" t="s">
        <v>427</v>
      </c>
      <c r="D11238" s="107">
        <v>735232.15</v>
      </c>
    </row>
    <row r="11239" spans="1:4">
      <c r="A11239">
        <v>38393</v>
      </c>
      <c r="B11239" t="s">
        <v>11629</v>
      </c>
      <c r="C11239" t="s">
        <v>427</v>
      </c>
      <c r="D11239" s="106">
        <v>15.99</v>
      </c>
    </row>
    <row r="11240" spans="1:4">
      <c r="A11240">
        <v>38390</v>
      </c>
      <c r="B11240" t="s">
        <v>11630</v>
      </c>
      <c r="C11240" t="s">
        <v>427</v>
      </c>
      <c r="D11240" s="106">
        <v>35.46</v>
      </c>
    </row>
    <row r="11241" spans="1:4">
      <c r="A11241">
        <v>36532</v>
      </c>
      <c r="B11241" t="s">
        <v>11631</v>
      </c>
      <c r="C11241" t="s">
        <v>427</v>
      </c>
      <c r="D11241" s="107">
        <v>28801.58</v>
      </c>
    </row>
    <row r="11242" spans="1:4">
      <c r="A11242">
        <v>11578</v>
      </c>
      <c r="B11242" t="s">
        <v>11632</v>
      </c>
      <c r="C11242" t="s">
        <v>427</v>
      </c>
      <c r="D11242" s="106">
        <v>12.99</v>
      </c>
    </row>
    <row r="11243" spans="1:4">
      <c r="A11243">
        <v>11577</v>
      </c>
      <c r="B11243" t="s">
        <v>11633</v>
      </c>
      <c r="C11243" t="s">
        <v>427</v>
      </c>
      <c r="D11243" s="106">
        <v>12.4</v>
      </c>
    </row>
    <row r="11244" spans="1:4">
      <c r="A11244">
        <v>42432</v>
      </c>
      <c r="B11244" t="s">
        <v>11634</v>
      </c>
      <c r="C11244" t="s">
        <v>427</v>
      </c>
      <c r="D11244" s="107">
        <v>2380.86</v>
      </c>
    </row>
    <row r="11245" spans="1:4">
      <c r="A11245">
        <v>42437</v>
      </c>
      <c r="B11245" t="s">
        <v>11635</v>
      </c>
      <c r="C11245" t="s">
        <v>427</v>
      </c>
      <c r="D11245" s="107">
        <v>1810.09</v>
      </c>
    </row>
    <row r="11246" spans="1:4">
      <c r="A11246">
        <v>1116</v>
      </c>
      <c r="B11246" t="s">
        <v>11636</v>
      </c>
      <c r="C11246" t="s">
        <v>429</v>
      </c>
      <c r="D11246" s="106">
        <v>25.04</v>
      </c>
    </row>
    <row r="11247" spans="1:4">
      <c r="A11247">
        <v>1115</v>
      </c>
      <c r="B11247" t="s">
        <v>11637</v>
      </c>
      <c r="C11247" t="s">
        <v>429</v>
      </c>
      <c r="D11247" s="106">
        <v>30</v>
      </c>
    </row>
    <row r="11248" spans="1:4">
      <c r="A11248">
        <v>1113</v>
      </c>
      <c r="B11248" t="s">
        <v>11638</v>
      </c>
      <c r="C11248" t="s">
        <v>429</v>
      </c>
      <c r="D11248" s="106">
        <v>35.07</v>
      </c>
    </row>
    <row r="11249" spans="1:4">
      <c r="A11249">
        <v>1114</v>
      </c>
      <c r="B11249" t="s">
        <v>11639</v>
      </c>
      <c r="C11249" t="s">
        <v>429</v>
      </c>
      <c r="D11249" s="106">
        <v>41.78</v>
      </c>
    </row>
    <row r="11250" spans="1:4">
      <c r="A11250">
        <v>40873</v>
      </c>
      <c r="B11250" t="s">
        <v>11640</v>
      </c>
      <c r="C11250" t="s">
        <v>429</v>
      </c>
      <c r="D11250" s="106">
        <v>32.700000000000003</v>
      </c>
    </row>
    <row r="11251" spans="1:4">
      <c r="A11251">
        <v>20214</v>
      </c>
      <c r="B11251" t="s">
        <v>11641</v>
      </c>
      <c r="C11251" t="s">
        <v>427</v>
      </c>
      <c r="D11251" s="106">
        <v>60.88</v>
      </c>
    </row>
    <row r="11252" spans="1:4">
      <c r="A11252">
        <v>7237</v>
      </c>
      <c r="B11252" t="s">
        <v>11642</v>
      </c>
      <c r="C11252" t="s">
        <v>427</v>
      </c>
      <c r="D11252" s="106">
        <v>59.6</v>
      </c>
    </row>
    <row r="11253" spans="1:4">
      <c r="A11253">
        <v>11757</v>
      </c>
      <c r="B11253" t="s">
        <v>11643</v>
      </c>
      <c r="C11253" t="s">
        <v>427</v>
      </c>
      <c r="D11253" s="106">
        <v>31.09</v>
      </c>
    </row>
    <row r="11254" spans="1:4">
      <c r="A11254">
        <v>11758</v>
      </c>
      <c r="B11254" t="s">
        <v>11644</v>
      </c>
      <c r="C11254" t="s">
        <v>427</v>
      </c>
      <c r="D11254" s="106">
        <v>75.900000000000006</v>
      </c>
    </row>
    <row r="11255" spans="1:4">
      <c r="A11255">
        <v>37526</v>
      </c>
      <c r="B11255" t="s">
        <v>11645</v>
      </c>
      <c r="C11255" t="s">
        <v>427</v>
      </c>
      <c r="D11255" s="106">
        <v>3.41</v>
      </c>
    </row>
    <row r="11256" spans="1:4">
      <c r="A11256">
        <v>6076</v>
      </c>
      <c r="B11256" t="s">
        <v>11646</v>
      </c>
      <c r="C11256" t="s">
        <v>431</v>
      </c>
      <c r="D11256" s="106">
        <v>66.36</v>
      </c>
    </row>
    <row r="11257" spans="1:4">
      <c r="A11257">
        <v>13109</v>
      </c>
      <c r="B11257" t="s">
        <v>11647</v>
      </c>
      <c r="C11257" t="s">
        <v>427</v>
      </c>
      <c r="D11257" s="106">
        <v>276.67</v>
      </c>
    </row>
    <row r="11258" spans="1:4">
      <c r="A11258">
        <v>13110</v>
      </c>
      <c r="B11258" t="s">
        <v>11648</v>
      </c>
      <c r="C11258" t="s">
        <v>427</v>
      </c>
      <c r="D11258" s="106">
        <v>364.11</v>
      </c>
    </row>
    <row r="11259" spans="1:4">
      <c r="A11259">
        <v>7581</v>
      </c>
      <c r="B11259" t="s">
        <v>11649</v>
      </c>
      <c r="C11259" t="s">
        <v>427</v>
      </c>
      <c r="D11259" s="106">
        <v>4.59</v>
      </c>
    </row>
    <row r="11260" spans="1:4">
      <c r="A11260">
        <v>4509</v>
      </c>
      <c r="B11260" t="s">
        <v>11650</v>
      </c>
      <c r="C11260" t="s">
        <v>429</v>
      </c>
      <c r="D11260" s="106">
        <v>4.55</v>
      </c>
    </row>
    <row r="11261" spans="1:4">
      <c r="A11261">
        <v>4512</v>
      </c>
      <c r="B11261" t="s">
        <v>11651</v>
      </c>
      <c r="C11261" t="s">
        <v>429</v>
      </c>
      <c r="D11261" s="106">
        <v>2.17</v>
      </c>
    </row>
    <row r="11262" spans="1:4">
      <c r="A11262">
        <v>4517</v>
      </c>
      <c r="B11262" t="s">
        <v>11652</v>
      </c>
      <c r="C11262" t="s">
        <v>429</v>
      </c>
      <c r="D11262" s="106">
        <v>3.14</v>
      </c>
    </row>
    <row r="11263" spans="1:4">
      <c r="A11263">
        <v>20206</v>
      </c>
      <c r="B11263" t="s">
        <v>11653</v>
      </c>
      <c r="C11263" t="s">
        <v>429</v>
      </c>
      <c r="D11263" s="106">
        <v>7.15</v>
      </c>
    </row>
    <row r="11264" spans="1:4">
      <c r="A11264">
        <v>4460</v>
      </c>
      <c r="B11264" t="s">
        <v>11654</v>
      </c>
      <c r="C11264" t="s">
        <v>429</v>
      </c>
      <c r="D11264" s="106">
        <v>7.34</v>
      </c>
    </row>
    <row r="11265" spans="1:4">
      <c r="A11265">
        <v>4417</v>
      </c>
      <c r="B11265" t="s">
        <v>11655</v>
      </c>
      <c r="C11265" t="s">
        <v>429</v>
      </c>
      <c r="D11265" s="106">
        <v>5.66</v>
      </c>
    </row>
    <row r="11266" spans="1:4">
      <c r="A11266">
        <v>4415</v>
      </c>
      <c r="B11266" t="s">
        <v>11656</v>
      </c>
      <c r="C11266" t="s">
        <v>429</v>
      </c>
      <c r="D11266" s="106">
        <v>3.93</v>
      </c>
    </row>
    <row r="11267" spans="1:4">
      <c r="A11267">
        <v>37373</v>
      </c>
      <c r="B11267" t="s">
        <v>11657</v>
      </c>
      <c r="C11267" t="s">
        <v>432</v>
      </c>
      <c r="D11267" s="106">
        <v>0.06</v>
      </c>
    </row>
    <row r="11268" spans="1:4">
      <c r="A11268">
        <v>40864</v>
      </c>
      <c r="B11268" t="s">
        <v>11658</v>
      </c>
      <c r="C11268" t="s">
        <v>433</v>
      </c>
      <c r="D11268" s="106">
        <v>11.8</v>
      </c>
    </row>
    <row r="11269" spans="1:4">
      <c r="A11269">
        <v>4734</v>
      </c>
      <c r="B11269" t="s">
        <v>11659</v>
      </c>
      <c r="C11269" t="s">
        <v>431</v>
      </c>
      <c r="D11269" s="106">
        <v>277.45999999999998</v>
      </c>
    </row>
    <row r="11270" spans="1:4">
      <c r="A11270">
        <v>6085</v>
      </c>
      <c r="B11270" t="s">
        <v>11660</v>
      </c>
      <c r="C11270" t="s">
        <v>428</v>
      </c>
      <c r="D11270" s="106">
        <v>4.4400000000000004</v>
      </c>
    </row>
    <row r="11271" spans="1:4">
      <c r="A11271">
        <v>38396</v>
      </c>
      <c r="B11271" t="s">
        <v>11661</v>
      </c>
      <c r="C11271" t="s">
        <v>427</v>
      </c>
      <c r="D11271" s="106">
        <v>535.28</v>
      </c>
    </row>
    <row r="11272" spans="1:4">
      <c r="A11272">
        <v>11622</v>
      </c>
      <c r="B11272" t="s">
        <v>11662</v>
      </c>
      <c r="C11272" t="s">
        <v>430</v>
      </c>
      <c r="D11272" s="106">
        <v>55.49</v>
      </c>
    </row>
    <row r="11273" spans="1:4">
      <c r="A11273">
        <v>43143</v>
      </c>
      <c r="B11273" t="s">
        <v>11663</v>
      </c>
      <c r="C11273" t="s">
        <v>428</v>
      </c>
      <c r="D11273" s="106">
        <v>20.96</v>
      </c>
    </row>
    <row r="11274" spans="1:4">
      <c r="A11274">
        <v>7317</v>
      </c>
      <c r="B11274" t="s">
        <v>11664</v>
      </c>
      <c r="C11274" t="s">
        <v>430</v>
      </c>
      <c r="D11274" s="106">
        <v>69.22</v>
      </c>
    </row>
    <row r="11275" spans="1:4">
      <c r="A11275">
        <v>142</v>
      </c>
      <c r="B11275" t="s">
        <v>11665</v>
      </c>
      <c r="C11275" t="s">
        <v>444</v>
      </c>
      <c r="D11275" s="106">
        <v>26.18</v>
      </c>
    </row>
    <row r="11276" spans="1:4">
      <c r="A11276">
        <v>43142</v>
      </c>
      <c r="B11276" t="s">
        <v>11666</v>
      </c>
      <c r="C11276" t="s">
        <v>428</v>
      </c>
      <c r="D11276" s="106">
        <v>118.94</v>
      </c>
    </row>
    <row r="11277" spans="1:4">
      <c r="A11277">
        <v>38123</v>
      </c>
      <c r="B11277" t="s">
        <v>11667</v>
      </c>
      <c r="C11277" t="s">
        <v>430</v>
      </c>
      <c r="D11277" s="106">
        <v>28.07</v>
      </c>
    </row>
    <row r="11278" spans="1:4">
      <c r="A11278">
        <v>42701</v>
      </c>
      <c r="B11278" t="s">
        <v>11668</v>
      </c>
      <c r="C11278" t="s">
        <v>427</v>
      </c>
      <c r="D11278" s="106">
        <v>58.23</v>
      </c>
    </row>
    <row r="11279" spans="1:4">
      <c r="A11279">
        <v>42702</v>
      </c>
      <c r="B11279" t="s">
        <v>11669</v>
      </c>
      <c r="C11279" t="s">
        <v>427</v>
      </c>
      <c r="D11279" s="106">
        <v>103.47</v>
      </c>
    </row>
    <row r="11280" spans="1:4">
      <c r="A11280">
        <v>37955</v>
      </c>
      <c r="B11280" t="s">
        <v>11670</v>
      </c>
      <c r="C11280" t="s">
        <v>427</v>
      </c>
      <c r="D11280" s="106">
        <v>134.09</v>
      </c>
    </row>
    <row r="11281" spans="1:4">
      <c r="A11281">
        <v>42699</v>
      </c>
      <c r="B11281" t="s">
        <v>11671</v>
      </c>
      <c r="C11281" t="s">
        <v>427</v>
      </c>
      <c r="D11281" s="106">
        <v>35.57</v>
      </c>
    </row>
    <row r="11282" spans="1:4">
      <c r="A11282">
        <v>42700</v>
      </c>
      <c r="B11282" t="s">
        <v>11672</v>
      </c>
      <c r="C11282" t="s">
        <v>427</v>
      </c>
      <c r="D11282" s="106">
        <v>101.4</v>
      </c>
    </row>
    <row r="11283" spans="1:4">
      <c r="A11283">
        <v>37743</v>
      </c>
      <c r="B11283" t="s">
        <v>11673</v>
      </c>
      <c r="C11283" t="s">
        <v>427</v>
      </c>
      <c r="D11283" s="107">
        <v>217162.48</v>
      </c>
    </row>
    <row r="11284" spans="1:4">
      <c r="A11284">
        <v>37744</v>
      </c>
      <c r="B11284" t="s">
        <v>11674</v>
      </c>
      <c r="C11284" t="s">
        <v>427</v>
      </c>
      <c r="D11284" s="107">
        <v>255342.23</v>
      </c>
    </row>
    <row r="11285" spans="1:4">
      <c r="A11285">
        <v>37741</v>
      </c>
      <c r="B11285" t="s">
        <v>11675</v>
      </c>
      <c r="C11285" t="s">
        <v>427</v>
      </c>
      <c r="D11285" s="107">
        <v>197464.65</v>
      </c>
    </row>
    <row r="11286" spans="1:4">
      <c r="A11286">
        <v>39396</v>
      </c>
      <c r="B11286" t="s">
        <v>11676</v>
      </c>
      <c r="C11286" t="s">
        <v>427</v>
      </c>
      <c r="D11286" s="106">
        <v>104.57</v>
      </c>
    </row>
    <row r="11287" spans="1:4">
      <c r="A11287">
        <v>39392</v>
      </c>
      <c r="B11287" t="s">
        <v>11677</v>
      </c>
      <c r="C11287" t="s">
        <v>427</v>
      </c>
      <c r="D11287" s="106">
        <v>117.96</v>
      </c>
    </row>
    <row r="11288" spans="1:4">
      <c r="A11288">
        <v>39393</v>
      </c>
      <c r="B11288" t="s">
        <v>11678</v>
      </c>
      <c r="C11288" t="s">
        <v>427</v>
      </c>
      <c r="D11288" s="106">
        <v>72.95</v>
      </c>
    </row>
    <row r="11289" spans="1:4">
      <c r="A11289">
        <v>39394</v>
      </c>
      <c r="B11289" t="s">
        <v>11679</v>
      </c>
      <c r="C11289" t="s">
        <v>427</v>
      </c>
      <c r="D11289" s="106">
        <v>82.11</v>
      </c>
    </row>
    <row r="11290" spans="1:4">
      <c r="A11290">
        <v>39395</v>
      </c>
      <c r="B11290" t="s">
        <v>11680</v>
      </c>
      <c r="C11290" t="s">
        <v>427</v>
      </c>
      <c r="D11290" s="106">
        <v>76.349999999999994</v>
      </c>
    </row>
    <row r="11291" spans="1:4">
      <c r="A11291">
        <v>14618</v>
      </c>
      <c r="B11291" t="s">
        <v>11681</v>
      </c>
      <c r="C11291" t="s">
        <v>427</v>
      </c>
      <c r="D11291" s="107">
        <v>1768.05</v>
      </c>
    </row>
    <row r="11292" spans="1:4">
      <c r="A11292">
        <v>40269</v>
      </c>
      <c r="B11292" t="s">
        <v>11682</v>
      </c>
      <c r="C11292" t="s">
        <v>427</v>
      </c>
      <c r="D11292" s="107">
        <v>7123.36</v>
      </c>
    </row>
    <row r="11293" spans="1:4">
      <c r="A11293">
        <v>6110</v>
      </c>
      <c r="B11293" t="s">
        <v>13550</v>
      </c>
      <c r="C11293" t="s">
        <v>432</v>
      </c>
      <c r="D11293" s="106">
        <v>15.93</v>
      </c>
    </row>
    <row r="11294" spans="1:4">
      <c r="A11294">
        <v>40910</v>
      </c>
      <c r="B11294" t="s">
        <v>11683</v>
      </c>
      <c r="C11294" t="s">
        <v>433</v>
      </c>
      <c r="D11294" s="107">
        <v>2814.94</v>
      </c>
    </row>
    <row r="11295" spans="1:4">
      <c r="A11295">
        <v>6111</v>
      </c>
      <c r="B11295" t="s">
        <v>11684</v>
      </c>
      <c r="C11295" t="s">
        <v>432</v>
      </c>
      <c r="D11295" s="106">
        <v>11.85</v>
      </c>
    </row>
    <row r="11296" spans="1:4">
      <c r="A11296">
        <v>41084</v>
      </c>
      <c r="B11296" t="s">
        <v>11685</v>
      </c>
      <c r="C11296" t="s">
        <v>433</v>
      </c>
      <c r="D11296" s="107">
        <v>2095.1</v>
      </c>
    </row>
    <row r="11297" spans="1:4">
      <c r="A11297">
        <v>44535</v>
      </c>
      <c r="B11297" t="s">
        <v>13551</v>
      </c>
      <c r="C11297" t="s">
        <v>431</v>
      </c>
      <c r="D11297" s="106">
        <v>53.46</v>
      </c>
    </row>
    <row r="11298" spans="1:4">
      <c r="A11298">
        <v>38637</v>
      </c>
      <c r="B11298" t="s">
        <v>11686</v>
      </c>
      <c r="C11298" t="s">
        <v>427</v>
      </c>
      <c r="D11298" s="106">
        <v>186.89</v>
      </c>
    </row>
    <row r="11299" spans="1:4">
      <c r="A11299">
        <v>6150</v>
      </c>
      <c r="B11299" t="s">
        <v>11687</v>
      </c>
      <c r="C11299" t="s">
        <v>427</v>
      </c>
      <c r="D11299" s="106">
        <v>189.17</v>
      </c>
    </row>
    <row r="11300" spans="1:4">
      <c r="A11300">
        <v>6136</v>
      </c>
      <c r="B11300" t="s">
        <v>11688</v>
      </c>
      <c r="C11300" t="s">
        <v>427</v>
      </c>
      <c r="D11300" s="106">
        <v>148.69999999999999</v>
      </c>
    </row>
    <row r="11301" spans="1:4">
      <c r="A11301">
        <v>38638</v>
      </c>
      <c r="B11301" t="s">
        <v>11689</v>
      </c>
      <c r="C11301" t="s">
        <v>427</v>
      </c>
      <c r="D11301" s="106">
        <v>157.47999999999999</v>
      </c>
    </row>
    <row r="11302" spans="1:4">
      <c r="A11302">
        <v>20262</v>
      </c>
      <c r="B11302" t="s">
        <v>11690</v>
      </c>
      <c r="C11302" t="s">
        <v>427</v>
      </c>
      <c r="D11302" s="106">
        <v>17.760000000000002</v>
      </c>
    </row>
    <row r="11303" spans="1:4">
      <c r="A11303">
        <v>6148</v>
      </c>
      <c r="B11303" t="s">
        <v>11691</v>
      </c>
      <c r="C11303" t="s">
        <v>427</v>
      </c>
      <c r="D11303" s="106">
        <v>10.99</v>
      </c>
    </row>
    <row r="11304" spans="1:4">
      <c r="A11304">
        <v>6145</v>
      </c>
      <c r="B11304" t="s">
        <v>11692</v>
      </c>
      <c r="C11304" t="s">
        <v>427</v>
      </c>
      <c r="D11304" s="106">
        <v>19.71</v>
      </c>
    </row>
    <row r="11305" spans="1:4">
      <c r="A11305">
        <v>6149</v>
      </c>
      <c r="B11305" t="s">
        <v>11693</v>
      </c>
      <c r="C11305" t="s">
        <v>427</v>
      </c>
      <c r="D11305" s="106">
        <v>18.579999999999998</v>
      </c>
    </row>
    <row r="11306" spans="1:4">
      <c r="A11306">
        <v>6146</v>
      </c>
      <c r="B11306" t="s">
        <v>11694</v>
      </c>
      <c r="C11306" t="s">
        <v>427</v>
      </c>
      <c r="D11306" s="106">
        <v>19.72</v>
      </c>
    </row>
    <row r="11307" spans="1:4">
      <c r="A11307">
        <v>44536</v>
      </c>
      <c r="B11307" t="s">
        <v>13552</v>
      </c>
      <c r="C11307" t="s">
        <v>430</v>
      </c>
      <c r="D11307" s="106">
        <v>2.2000000000000002</v>
      </c>
    </row>
    <row r="11308" spans="1:4">
      <c r="A11308">
        <v>39961</v>
      </c>
      <c r="B11308" t="s">
        <v>11695</v>
      </c>
      <c r="C11308" t="s">
        <v>427</v>
      </c>
      <c r="D11308" s="106">
        <v>17.3</v>
      </c>
    </row>
    <row r="11309" spans="1:4">
      <c r="A11309">
        <v>42433</v>
      </c>
      <c r="B11309" t="s">
        <v>11696</v>
      </c>
      <c r="C11309" t="s">
        <v>427</v>
      </c>
      <c r="D11309" s="107">
        <v>4702.72</v>
      </c>
    </row>
    <row r="11310" spans="1:4">
      <c r="A11310">
        <v>42434</v>
      </c>
      <c r="B11310" t="s">
        <v>11697</v>
      </c>
      <c r="C11310" t="s">
        <v>427</v>
      </c>
      <c r="D11310" s="107">
        <v>5081.97</v>
      </c>
    </row>
    <row r="11311" spans="1:4">
      <c r="A11311">
        <v>42435</v>
      </c>
      <c r="B11311" t="s">
        <v>11698</v>
      </c>
      <c r="C11311" t="s">
        <v>427</v>
      </c>
      <c r="D11311" s="107">
        <v>2534.19</v>
      </c>
    </row>
    <row r="11312" spans="1:4">
      <c r="A11312">
        <v>38061</v>
      </c>
      <c r="B11312" t="s">
        <v>11699</v>
      </c>
      <c r="C11312" t="s">
        <v>427</v>
      </c>
      <c r="D11312" s="106">
        <v>47.96</v>
      </c>
    </row>
    <row r="11313" spans="1:4">
      <c r="A11313">
        <v>20250</v>
      </c>
      <c r="B11313" t="s">
        <v>11700</v>
      </c>
      <c r="C11313" t="s">
        <v>430</v>
      </c>
      <c r="D11313" s="106">
        <v>15.39</v>
      </c>
    </row>
    <row r="11314" spans="1:4">
      <c r="A11314">
        <v>13388</v>
      </c>
      <c r="B11314" t="s">
        <v>11701</v>
      </c>
      <c r="C11314" t="s">
        <v>430</v>
      </c>
      <c r="D11314" s="106">
        <v>139.41999999999999</v>
      </c>
    </row>
    <row r="11315" spans="1:4">
      <c r="A11315">
        <v>39914</v>
      </c>
      <c r="B11315" t="s">
        <v>11702</v>
      </c>
      <c r="C11315" t="s">
        <v>430</v>
      </c>
      <c r="D11315" s="106">
        <v>289.41000000000003</v>
      </c>
    </row>
    <row r="11316" spans="1:4">
      <c r="A11316">
        <v>12732</v>
      </c>
      <c r="B11316" t="s">
        <v>11703</v>
      </c>
      <c r="C11316" t="s">
        <v>427</v>
      </c>
      <c r="D11316" s="106">
        <v>333.94</v>
      </c>
    </row>
    <row r="11317" spans="1:4">
      <c r="A11317">
        <v>6160</v>
      </c>
      <c r="B11317" t="s">
        <v>11704</v>
      </c>
      <c r="C11317" t="s">
        <v>432</v>
      </c>
      <c r="D11317" s="106">
        <v>15.93</v>
      </c>
    </row>
    <row r="11318" spans="1:4">
      <c r="A11318">
        <v>41087</v>
      </c>
      <c r="B11318" t="s">
        <v>11705</v>
      </c>
      <c r="C11318" t="s">
        <v>433</v>
      </c>
      <c r="D11318" s="107">
        <v>2814.94</v>
      </c>
    </row>
    <row r="11319" spans="1:4">
      <c r="A11319">
        <v>6166</v>
      </c>
      <c r="B11319" t="s">
        <v>11706</v>
      </c>
      <c r="C11319" t="s">
        <v>432</v>
      </c>
      <c r="D11319" s="106">
        <v>21.35</v>
      </c>
    </row>
    <row r="11320" spans="1:4">
      <c r="A11320">
        <v>41088</v>
      </c>
      <c r="B11320" t="s">
        <v>11707</v>
      </c>
      <c r="C11320" t="s">
        <v>433</v>
      </c>
      <c r="D11320" s="107">
        <v>3773.7</v>
      </c>
    </row>
    <row r="11321" spans="1:4">
      <c r="A11321">
        <v>20232</v>
      </c>
      <c r="B11321" t="s">
        <v>11708</v>
      </c>
      <c r="C11321" t="s">
        <v>429</v>
      </c>
      <c r="D11321" s="106">
        <v>78.48</v>
      </c>
    </row>
    <row r="11322" spans="1:4">
      <c r="A11322">
        <v>10856</v>
      </c>
      <c r="B11322" t="s">
        <v>11709</v>
      </c>
      <c r="C11322" t="s">
        <v>429</v>
      </c>
      <c r="D11322" s="106">
        <v>84.17</v>
      </c>
    </row>
    <row r="11323" spans="1:4">
      <c r="A11323">
        <v>4828</v>
      </c>
      <c r="B11323" t="s">
        <v>11710</v>
      </c>
      <c r="C11323" t="s">
        <v>429</v>
      </c>
      <c r="D11323" s="106">
        <v>68.41</v>
      </c>
    </row>
    <row r="11324" spans="1:4">
      <c r="A11324">
        <v>20249</v>
      </c>
      <c r="B11324" t="s">
        <v>11711</v>
      </c>
      <c r="C11324" t="s">
        <v>429</v>
      </c>
      <c r="D11324" s="106">
        <v>37.46</v>
      </c>
    </row>
    <row r="11325" spans="1:4">
      <c r="A11325">
        <v>11609</v>
      </c>
      <c r="B11325" t="s">
        <v>11712</v>
      </c>
      <c r="C11325" t="s">
        <v>428</v>
      </c>
      <c r="D11325" s="106">
        <v>9.2200000000000006</v>
      </c>
    </row>
    <row r="11326" spans="1:4">
      <c r="A11326">
        <v>20083</v>
      </c>
      <c r="B11326" t="s">
        <v>11713</v>
      </c>
      <c r="C11326" t="s">
        <v>427</v>
      </c>
      <c r="D11326" s="106">
        <v>87.17</v>
      </c>
    </row>
    <row r="11327" spans="1:4">
      <c r="A11327">
        <v>10691</v>
      </c>
      <c r="B11327" t="s">
        <v>11714</v>
      </c>
      <c r="C11327" t="s">
        <v>428</v>
      </c>
      <c r="D11327" s="106">
        <v>61.71</v>
      </c>
    </row>
    <row r="11328" spans="1:4">
      <c r="A11328">
        <v>12295</v>
      </c>
      <c r="B11328" t="s">
        <v>11715</v>
      </c>
      <c r="C11328" t="s">
        <v>427</v>
      </c>
      <c r="D11328" s="106">
        <v>3.12</v>
      </c>
    </row>
    <row r="11329" spans="1:4">
      <c r="A11329">
        <v>12296</v>
      </c>
      <c r="B11329" t="s">
        <v>11716</v>
      </c>
      <c r="C11329" t="s">
        <v>427</v>
      </c>
      <c r="D11329" s="106">
        <v>4.04</v>
      </c>
    </row>
    <row r="11330" spans="1:4">
      <c r="A11330">
        <v>12294</v>
      </c>
      <c r="B11330" t="s">
        <v>11717</v>
      </c>
      <c r="C11330" t="s">
        <v>427</v>
      </c>
      <c r="D11330" s="106">
        <v>9.7100000000000009</v>
      </c>
    </row>
    <row r="11331" spans="1:4">
      <c r="A11331">
        <v>14543</v>
      </c>
      <c r="B11331" t="s">
        <v>11718</v>
      </c>
      <c r="C11331" t="s">
        <v>427</v>
      </c>
      <c r="D11331" s="106">
        <v>6.93</v>
      </c>
    </row>
    <row r="11332" spans="1:4">
      <c r="A11332">
        <v>13329</v>
      </c>
      <c r="B11332" t="s">
        <v>11719</v>
      </c>
      <c r="C11332" t="s">
        <v>427</v>
      </c>
      <c r="D11332" s="106">
        <v>4.07</v>
      </c>
    </row>
    <row r="11333" spans="1:4">
      <c r="A11333">
        <v>21044</v>
      </c>
      <c r="B11333" t="s">
        <v>11720</v>
      </c>
      <c r="C11333" t="s">
        <v>427</v>
      </c>
      <c r="D11333" s="106">
        <v>29.63</v>
      </c>
    </row>
    <row r="11334" spans="1:4">
      <c r="A11334">
        <v>21045</v>
      </c>
      <c r="B11334" t="s">
        <v>11721</v>
      </c>
      <c r="C11334" t="s">
        <v>427</v>
      </c>
      <c r="D11334" s="106">
        <v>40.590000000000003</v>
      </c>
    </row>
    <row r="11335" spans="1:4">
      <c r="A11335">
        <v>21040</v>
      </c>
      <c r="B11335" t="s">
        <v>11722</v>
      </c>
      <c r="C11335" t="s">
        <v>427</v>
      </c>
      <c r="D11335" s="106">
        <v>29</v>
      </c>
    </row>
    <row r="11336" spans="1:4">
      <c r="A11336">
        <v>21041</v>
      </c>
      <c r="B11336" t="s">
        <v>11723</v>
      </c>
      <c r="C11336" t="s">
        <v>427</v>
      </c>
      <c r="D11336" s="106">
        <v>35</v>
      </c>
    </row>
    <row r="11337" spans="1:4">
      <c r="A11337">
        <v>21047</v>
      </c>
      <c r="B11337" t="s">
        <v>11724</v>
      </c>
      <c r="C11337" t="s">
        <v>427</v>
      </c>
      <c r="D11337" s="106">
        <v>43.69</v>
      </c>
    </row>
    <row r="11338" spans="1:4">
      <c r="A11338">
        <v>21043</v>
      </c>
      <c r="B11338" t="s">
        <v>11725</v>
      </c>
      <c r="C11338" t="s">
        <v>427</v>
      </c>
      <c r="D11338" s="106">
        <v>42.54</v>
      </c>
    </row>
    <row r="11339" spans="1:4">
      <c r="A11339">
        <v>21042</v>
      </c>
      <c r="B11339" t="s">
        <v>11726</v>
      </c>
      <c r="C11339" t="s">
        <v>427</v>
      </c>
      <c r="D11339" s="106">
        <v>33.67</v>
      </c>
    </row>
    <row r="11340" spans="1:4">
      <c r="A11340">
        <v>14149</v>
      </c>
      <c r="B11340" t="s">
        <v>11727</v>
      </c>
      <c r="C11340" t="s">
        <v>440</v>
      </c>
      <c r="D11340" s="106">
        <v>193.02</v>
      </c>
    </row>
    <row r="11341" spans="1:4">
      <c r="A11341">
        <v>38099</v>
      </c>
      <c r="B11341" t="s">
        <v>11728</v>
      </c>
      <c r="C11341" t="s">
        <v>427</v>
      </c>
      <c r="D11341" s="106">
        <v>1.3</v>
      </c>
    </row>
    <row r="11342" spans="1:4">
      <c r="A11342">
        <v>38100</v>
      </c>
      <c r="B11342" t="s">
        <v>11729</v>
      </c>
      <c r="C11342" t="s">
        <v>427</v>
      </c>
      <c r="D11342" s="106">
        <v>2.12</v>
      </c>
    </row>
    <row r="11343" spans="1:4">
      <c r="A11343">
        <v>20061</v>
      </c>
      <c r="B11343" t="s">
        <v>11730</v>
      </c>
      <c r="C11343" t="s">
        <v>427</v>
      </c>
      <c r="D11343" s="106">
        <v>3.54</v>
      </c>
    </row>
    <row r="11344" spans="1:4">
      <c r="A11344">
        <v>7576</v>
      </c>
      <c r="B11344" t="s">
        <v>11731</v>
      </c>
      <c r="C11344" t="s">
        <v>427</v>
      </c>
      <c r="D11344" s="106">
        <v>188.4</v>
      </c>
    </row>
    <row r="11345" spans="1:4">
      <c r="A11345">
        <v>3384</v>
      </c>
      <c r="B11345" t="s">
        <v>11732</v>
      </c>
      <c r="C11345" t="s">
        <v>427</v>
      </c>
      <c r="D11345" s="106">
        <v>6.12</v>
      </c>
    </row>
    <row r="11346" spans="1:4">
      <c r="A11346">
        <v>7572</v>
      </c>
      <c r="B11346" t="s">
        <v>11733</v>
      </c>
      <c r="C11346" t="s">
        <v>427</v>
      </c>
      <c r="D11346" s="106">
        <v>7.84</v>
      </c>
    </row>
    <row r="11347" spans="1:4">
      <c r="A11347">
        <v>3396</v>
      </c>
      <c r="B11347" t="s">
        <v>11734</v>
      </c>
      <c r="C11347" t="s">
        <v>427</v>
      </c>
      <c r="D11347" s="106">
        <v>5.3</v>
      </c>
    </row>
    <row r="11348" spans="1:4">
      <c r="A11348">
        <v>37590</v>
      </c>
      <c r="B11348" t="s">
        <v>11735</v>
      </c>
      <c r="C11348" t="s">
        <v>427</v>
      </c>
      <c r="D11348" s="106">
        <v>21.58</v>
      </c>
    </row>
    <row r="11349" spans="1:4">
      <c r="A11349">
        <v>37591</v>
      </c>
      <c r="B11349" t="s">
        <v>11736</v>
      </c>
      <c r="C11349" t="s">
        <v>427</v>
      </c>
      <c r="D11349" s="106">
        <v>25.94</v>
      </c>
    </row>
    <row r="11350" spans="1:4">
      <c r="A11350">
        <v>12626</v>
      </c>
      <c r="B11350" t="s">
        <v>11737</v>
      </c>
      <c r="C11350" t="s">
        <v>427</v>
      </c>
      <c r="D11350" s="106">
        <v>17.010000000000002</v>
      </c>
    </row>
    <row r="11351" spans="1:4">
      <c r="A11351">
        <v>11033</v>
      </c>
      <c r="B11351" t="s">
        <v>11738</v>
      </c>
      <c r="C11351" t="s">
        <v>427</v>
      </c>
      <c r="D11351" s="106">
        <v>7.01</v>
      </c>
    </row>
    <row r="11352" spans="1:4">
      <c r="A11352">
        <v>390</v>
      </c>
      <c r="B11352" t="s">
        <v>11739</v>
      </c>
      <c r="C11352" t="s">
        <v>427</v>
      </c>
      <c r="D11352" s="106">
        <v>9.59</v>
      </c>
    </row>
    <row r="11353" spans="1:4">
      <c r="A11353">
        <v>42436</v>
      </c>
      <c r="B11353" t="s">
        <v>11740</v>
      </c>
      <c r="C11353" t="s">
        <v>427</v>
      </c>
      <c r="D11353" s="107">
        <v>2652.57</v>
      </c>
    </row>
    <row r="11354" spans="1:4">
      <c r="A11354">
        <v>6193</v>
      </c>
      <c r="B11354" t="s">
        <v>11741</v>
      </c>
      <c r="C11354" t="s">
        <v>429</v>
      </c>
      <c r="D11354" s="106">
        <v>14.69</v>
      </c>
    </row>
    <row r="11355" spans="1:4">
      <c r="A11355">
        <v>6194</v>
      </c>
      <c r="B11355" t="s">
        <v>11742</v>
      </c>
      <c r="C11355" t="s">
        <v>429</v>
      </c>
      <c r="D11355" s="106">
        <v>6.41</v>
      </c>
    </row>
    <row r="11356" spans="1:4">
      <c r="A11356">
        <v>10567</v>
      </c>
      <c r="B11356" t="s">
        <v>11743</v>
      </c>
      <c r="C11356" t="s">
        <v>429</v>
      </c>
      <c r="D11356" s="106">
        <v>10.15</v>
      </c>
    </row>
    <row r="11357" spans="1:4">
      <c r="A11357">
        <v>6212</v>
      </c>
      <c r="B11357" t="s">
        <v>11744</v>
      </c>
      <c r="C11357" t="s">
        <v>429</v>
      </c>
      <c r="D11357" s="106">
        <v>14.89</v>
      </c>
    </row>
    <row r="11358" spans="1:4">
      <c r="A11358">
        <v>3993</v>
      </c>
      <c r="B11358" t="s">
        <v>11745</v>
      </c>
      <c r="C11358" t="s">
        <v>426</v>
      </c>
      <c r="D11358" s="106">
        <v>94.99</v>
      </c>
    </row>
    <row r="11359" spans="1:4">
      <c r="A11359">
        <v>3990</v>
      </c>
      <c r="B11359" t="s">
        <v>11746</v>
      </c>
      <c r="C11359" t="s">
        <v>429</v>
      </c>
      <c r="D11359" s="106">
        <v>17.87</v>
      </c>
    </row>
    <row r="11360" spans="1:4">
      <c r="A11360">
        <v>3992</v>
      </c>
      <c r="B11360" t="s">
        <v>11747</v>
      </c>
      <c r="C11360" t="s">
        <v>429</v>
      </c>
      <c r="D11360" s="106">
        <v>24.13</v>
      </c>
    </row>
    <row r="11361" spans="1:4">
      <c r="A11361">
        <v>6178</v>
      </c>
      <c r="B11361" t="s">
        <v>11748</v>
      </c>
      <c r="C11361" t="s">
        <v>426</v>
      </c>
      <c r="D11361" s="106">
        <v>267.77</v>
      </c>
    </row>
    <row r="11362" spans="1:4">
      <c r="A11362">
        <v>6180</v>
      </c>
      <c r="B11362" t="s">
        <v>11749</v>
      </c>
      <c r="C11362" t="s">
        <v>426</v>
      </c>
      <c r="D11362" s="106">
        <v>289</v>
      </c>
    </row>
    <row r="11363" spans="1:4">
      <c r="A11363">
        <v>6182</v>
      </c>
      <c r="B11363" t="s">
        <v>11750</v>
      </c>
      <c r="C11363" t="s">
        <v>426</v>
      </c>
      <c r="D11363" s="106">
        <v>358.72</v>
      </c>
    </row>
    <row r="11364" spans="1:4">
      <c r="A11364">
        <v>43614</v>
      </c>
      <c r="B11364" t="s">
        <v>11751</v>
      </c>
      <c r="C11364" t="s">
        <v>429</v>
      </c>
      <c r="D11364" s="106">
        <v>12.07</v>
      </c>
    </row>
    <row r="11365" spans="1:4">
      <c r="A11365">
        <v>6189</v>
      </c>
      <c r="B11365" t="s">
        <v>11752</v>
      </c>
      <c r="C11365" t="s">
        <v>429</v>
      </c>
      <c r="D11365" s="106">
        <v>21.45</v>
      </c>
    </row>
    <row r="11366" spans="1:4">
      <c r="A11366">
        <v>6214</v>
      </c>
      <c r="B11366" t="s">
        <v>11753</v>
      </c>
      <c r="C11366" t="s">
        <v>426</v>
      </c>
      <c r="D11366" s="106">
        <v>167.74</v>
      </c>
    </row>
    <row r="11367" spans="1:4">
      <c r="A11367">
        <v>36153</v>
      </c>
      <c r="B11367" t="s">
        <v>11754</v>
      </c>
      <c r="C11367" t="s">
        <v>427</v>
      </c>
      <c r="D11367" s="106">
        <v>267.5</v>
      </c>
    </row>
    <row r="11368" spans="1:4">
      <c r="A11368">
        <v>10740</v>
      </c>
      <c r="B11368" t="s">
        <v>11755</v>
      </c>
      <c r="C11368" t="s">
        <v>427</v>
      </c>
      <c r="D11368" s="107">
        <v>11693.47</v>
      </c>
    </row>
    <row r="11369" spans="1:4">
      <c r="A11369">
        <v>13914</v>
      </c>
      <c r="B11369" t="s">
        <v>11756</v>
      </c>
      <c r="C11369" t="s">
        <v>427</v>
      </c>
      <c r="D11369" s="106">
        <v>846.07</v>
      </c>
    </row>
    <row r="11370" spans="1:4">
      <c r="A11370">
        <v>10742</v>
      </c>
      <c r="B11370" t="s">
        <v>11757</v>
      </c>
      <c r="C11370" t="s">
        <v>427</v>
      </c>
      <c r="D11370" s="107">
        <v>1234</v>
      </c>
    </row>
    <row r="11371" spans="1:4">
      <c r="A11371">
        <v>38465</v>
      </c>
      <c r="B11371" t="s">
        <v>11758</v>
      </c>
      <c r="C11371" t="s">
        <v>427</v>
      </c>
      <c r="D11371" s="106">
        <v>32.32</v>
      </c>
    </row>
    <row r="11372" spans="1:4">
      <c r="A11372">
        <v>7543</v>
      </c>
      <c r="B11372" t="s">
        <v>11759</v>
      </c>
      <c r="C11372" t="s">
        <v>427</v>
      </c>
      <c r="D11372" s="106">
        <v>5.0199999999999996</v>
      </c>
    </row>
    <row r="11373" spans="1:4">
      <c r="A11373">
        <v>43427</v>
      </c>
      <c r="B11373" t="s">
        <v>11760</v>
      </c>
      <c r="C11373" t="s">
        <v>427</v>
      </c>
      <c r="D11373" s="107">
        <v>1588.58</v>
      </c>
    </row>
    <row r="11374" spans="1:4">
      <c r="A11374">
        <v>41613</v>
      </c>
      <c r="B11374" t="s">
        <v>11761</v>
      </c>
      <c r="C11374" t="s">
        <v>427</v>
      </c>
      <c r="D11374" s="106">
        <v>102.11</v>
      </c>
    </row>
    <row r="11375" spans="1:4">
      <c r="A11375">
        <v>41614</v>
      </c>
      <c r="B11375" t="s">
        <v>11762</v>
      </c>
      <c r="C11375" t="s">
        <v>427</v>
      </c>
      <c r="D11375" s="106">
        <v>130.11000000000001</v>
      </c>
    </row>
    <row r="11376" spans="1:4">
      <c r="A11376">
        <v>41615</v>
      </c>
      <c r="B11376" t="s">
        <v>11763</v>
      </c>
      <c r="C11376" t="s">
        <v>427</v>
      </c>
      <c r="D11376" s="106">
        <v>201.1</v>
      </c>
    </row>
    <row r="11377" spans="1:4">
      <c r="A11377">
        <v>41616</v>
      </c>
      <c r="B11377" t="s">
        <v>11764</v>
      </c>
      <c r="C11377" t="s">
        <v>427</v>
      </c>
      <c r="D11377" s="106">
        <v>300.48</v>
      </c>
    </row>
    <row r="11378" spans="1:4">
      <c r="A11378">
        <v>41617</v>
      </c>
      <c r="B11378" t="s">
        <v>11765</v>
      </c>
      <c r="C11378" t="s">
        <v>427</v>
      </c>
      <c r="D11378" s="106">
        <v>597.47</v>
      </c>
    </row>
    <row r="11379" spans="1:4">
      <c r="A11379">
        <v>41618</v>
      </c>
      <c r="B11379" t="s">
        <v>11766</v>
      </c>
      <c r="C11379" t="s">
        <v>427</v>
      </c>
      <c r="D11379" s="107">
        <v>1099.9000000000001</v>
      </c>
    </row>
    <row r="11380" spans="1:4">
      <c r="A11380">
        <v>43428</v>
      </c>
      <c r="B11380" t="s">
        <v>11767</v>
      </c>
      <c r="C11380" t="s">
        <v>427</v>
      </c>
      <c r="D11380" s="107">
        <v>1932</v>
      </c>
    </row>
    <row r="11381" spans="1:4">
      <c r="A11381">
        <v>41619</v>
      </c>
      <c r="B11381" t="s">
        <v>11768</v>
      </c>
      <c r="C11381" t="s">
        <v>427</v>
      </c>
      <c r="D11381" s="106">
        <v>125.17</v>
      </c>
    </row>
    <row r="11382" spans="1:4">
      <c r="A11382">
        <v>41620</v>
      </c>
      <c r="B11382" t="s">
        <v>11769</v>
      </c>
      <c r="C11382" t="s">
        <v>427</v>
      </c>
      <c r="D11382" s="106">
        <v>158.11000000000001</v>
      </c>
    </row>
    <row r="11383" spans="1:4">
      <c r="A11383">
        <v>41622</v>
      </c>
      <c r="B11383" t="s">
        <v>11770</v>
      </c>
      <c r="C11383" t="s">
        <v>427</v>
      </c>
      <c r="D11383" s="106">
        <v>274.23</v>
      </c>
    </row>
    <row r="11384" spans="1:4">
      <c r="A11384">
        <v>41623</v>
      </c>
      <c r="B11384" t="s">
        <v>11771</v>
      </c>
      <c r="C11384" t="s">
        <v>427</v>
      </c>
      <c r="D11384" s="106">
        <v>421.64</v>
      </c>
    </row>
    <row r="11385" spans="1:4">
      <c r="A11385">
        <v>41624</v>
      </c>
      <c r="B11385" t="s">
        <v>11772</v>
      </c>
      <c r="C11385" t="s">
        <v>427</v>
      </c>
      <c r="D11385" s="106">
        <v>790.58</v>
      </c>
    </row>
    <row r="11386" spans="1:4">
      <c r="A11386">
        <v>41625</v>
      </c>
      <c r="B11386" t="s">
        <v>11773</v>
      </c>
      <c r="C11386" t="s">
        <v>427</v>
      </c>
      <c r="D11386" s="107">
        <v>1216.3499999999999</v>
      </c>
    </row>
    <row r="11387" spans="1:4">
      <c r="A11387">
        <v>39352</v>
      </c>
      <c r="B11387" t="s">
        <v>11774</v>
      </c>
      <c r="C11387" t="s">
        <v>427</v>
      </c>
      <c r="D11387" s="106">
        <v>3.1</v>
      </c>
    </row>
    <row r="11388" spans="1:4">
      <c r="A11388">
        <v>39346</v>
      </c>
      <c r="B11388" t="s">
        <v>11775</v>
      </c>
      <c r="C11388" t="s">
        <v>427</v>
      </c>
      <c r="D11388" s="106">
        <v>3.1</v>
      </c>
    </row>
    <row r="11389" spans="1:4">
      <c r="A11389">
        <v>39350</v>
      </c>
      <c r="B11389" t="s">
        <v>11776</v>
      </c>
      <c r="C11389" t="s">
        <v>427</v>
      </c>
      <c r="D11389" s="106">
        <v>3.34</v>
      </c>
    </row>
    <row r="11390" spans="1:4">
      <c r="A11390">
        <v>39351</v>
      </c>
      <c r="B11390" t="s">
        <v>11777</v>
      </c>
      <c r="C11390" t="s">
        <v>427</v>
      </c>
      <c r="D11390" s="106">
        <v>3.86</v>
      </c>
    </row>
    <row r="11391" spans="1:4">
      <c r="A11391">
        <v>38952</v>
      </c>
      <c r="B11391" t="s">
        <v>11778</v>
      </c>
      <c r="C11391" t="s">
        <v>427</v>
      </c>
      <c r="D11391" s="106">
        <v>4.1500000000000004</v>
      </c>
    </row>
    <row r="11392" spans="1:4">
      <c r="A11392">
        <v>38953</v>
      </c>
      <c r="B11392" t="s">
        <v>11779</v>
      </c>
      <c r="C11392" t="s">
        <v>427</v>
      </c>
      <c r="D11392" s="106">
        <v>6.53</v>
      </c>
    </row>
    <row r="11393" spans="1:4">
      <c r="A11393">
        <v>38835</v>
      </c>
      <c r="B11393" t="s">
        <v>11780</v>
      </c>
      <c r="C11393" t="s">
        <v>427</v>
      </c>
      <c r="D11393" s="106">
        <v>5.86</v>
      </c>
    </row>
    <row r="11394" spans="1:4">
      <c r="A11394">
        <v>38837</v>
      </c>
      <c r="B11394" t="s">
        <v>11781</v>
      </c>
      <c r="C11394" t="s">
        <v>427</v>
      </c>
      <c r="D11394" s="106">
        <v>15.27</v>
      </c>
    </row>
    <row r="11395" spans="1:4">
      <c r="A11395">
        <v>38836</v>
      </c>
      <c r="B11395" t="s">
        <v>11782</v>
      </c>
      <c r="C11395" t="s">
        <v>427</v>
      </c>
      <c r="D11395" s="106">
        <v>8.4499999999999993</v>
      </c>
    </row>
    <row r="11396" spans="1:4">
      <c r="A11396">
        <v>2666</v>
      </c>
      <c r="B11396" t="s">
        <v>11783</v>
      </c>
      <c r="C11396" t="s">
        <v>427</v>
      </c>
      <c r="D11396" s="106">
        <v>5.05</v>
      </c>
    </row>
    <row r="11397" spans="1:4">
      <c r="A11397">
        <v>2668</v>
      </c>
      <c r="B11397" t="s">
        <v>11784</v>
      </c>
      <c r="C11397" t="s">
        <v>427</v>
      </c>
      <c r="D11397" s="106">
        <v>5.77</v>
      </c>
    </row>
    <row r="11398" spans="1:4">
      <c r="A11398">
        <v>2664</v>
      </c>
      <c r="B11398" t="s">
        <v>11785</v>
      </c>
      <c r="C11398" t="s">
        <v>427</v>
      </c>
      <c r="D11398" s="106">
        <v>8.51</v>
      </c>
    </row>
    <row r="11399" spans="1:4">
      <c r="A11399">
        <v>2662</v>
      </c>
      <c r="B11399" t="s">
        <v>11786</v>
      </c>
      <c r="C11399" t="s">
        <v>427</v>
      </c>
      <c r="D11399" s="106">
        <v>10.44</v>
      </c>
    </row>
    <row r="11400" spans="1:4">
      <c r="A11400">
        <v>20964</v>
      </c>
      <c r="B11400" t="s">
        <v>11787</v>
      </c>
      <c r="C11400" t="s">
        <v>427</v>
      </c>
      <c r="D11400" s="106">
        <v>60.71</v>
      </c>
    </row>
    <row r="11401" spans="1:4">
      <c r="A11401">
        <v>10905</v>
      </c>
      <c r="B11401" t="s">
        <v>11788</v>
      </c>
      <c r="C11401" t="s">
        <v>427</v>
      </c>
      <c r="D11401" s="106">
        <v>81.45</v>
      </c>
    </row>
    <row r="11402" spans="1:4">
      <c r="A11402">
        <v>42703</v>
      </c>
      <c r="B11402" t="s">
        <v>11789</v>
      </c>
      <c r="C11402" t="s">
        <v>427</v>
      </c>
      <c r="D11402" s="106">
        <v>113.95</v>
      </c>
    </row>
    <row r="11403" spans="1:4">
      <c r="A11403">
        <v>42704</v>
      </c>
      <c r="B11403" t="s">
        <v>11790</v>
      </c>
      <c r="C11403" t="s">
        <v>427</v>
      </c>
      <c r="D11403" s="106">
        <v>174.93</v>
      </c>
    </row>
    <row r="11404" spans="1:4">
      <c r="A11404">
        <v>42705</v>
      </c>
      <c r="B11404" t="s">
        <v>11791</v>
      </c>
      <c r="C11404" t="s">
        <v>427</v>
      </c>
      <c r="D11404" s="106">
        <v>223.18</v>
      </c>
    </row>
    <row r="11405" spans="1:4">
      <c r="A11405">
        <v>42706</v>
      </c>
      <c r="B11405" t="s">
        <v>11792</v>
      </c>
      <c r="C11405" t="s">
        <v>427</v>
      </c>
      <c r="D11405" s="106">
        <v>276.41000000000003</v>
      </c>
    </row>
    <row r="11406" spans="1:4">
      <c r="A11406">
        <v>11289</v>
      </c>
      <c r="B11406" t="s">
        <v>11793</v>
      </c>
      <c r="C11406" t="s">
        <v>427</v>
      </c>
      <c r="D11406" s="106">
        <v>104.18</v>
      </c>
    </row>
    <row r="11407" spans="1:4">
      <c r="A11407">
        <v>11241</v>
      </c>
      <c r="B11407" t="s">
        <v>11794</v>
      </c>
      <c r="C11407" t="s">
        <v>427</v>
      </c>
      <c r="D11407" s="106">
        <v>260.45999999999998</v>
      </c>
    </row>
    <row r="11408" spans="1:4">
      <c r="A11408">
        <v>11301</v>
      </c>
      <c r="B11408" t="s">
        <v>20493</v>
      </c>
      <c r="C11408" t="s">
        <v>427</v>
      </c>
      <c r="D11408" s="106">
        <v>660.46</v>
      </c>
    </row>
    <row r="11409" spans="1:4">
      <c r="A11409">
        <v>21090</v>
      </c>
      <c r="B11409" t="s">
        <v>20494</v>
      </c>
      <c r="C11409" t="s">
        <v>427</v>
      </c>
      <c r="D11409" s="106">
        <v>809.3</v>
      </c>
    </row>
    <row r="11410" spans="1:4">
      <c r="A11410">
        <v>11315</v>
      </c>
      <c r="B11410" t="s">
        <v>20495</v>
      </c>
      <c r="C11410" t="s">
        <v>427</v>
      </c>
      <c r="D11410" s="106">
        <v>158.13</v>
      </c>
    </row>
    <row r="11411" spans="1:4">
      <c r="A11411">
        <v>21071</v>
      </c>
      <c r="B11411" t="s">
        <v>20496</v>
      </c>
      <c r="C11411" t="s">
        <v>427</v>
      </c>
      <c r="D11411" s="106">
        <v>241.86</v>
      </c>
    </row>
    <row r="11412" spans="1:4">
      <c r="A11412">
        <v>14112</v>
      </c>
      <c r="B11412" t="s">
        <v>20497</v>
      </c>
      <c r="C11412" t="s">
        <v>427</v>
      </c>
      <c r="D11412" s="106">
        <v>337.67</v>
      </c>
    </row>
    <row r="11413" spans="1:4">
      <c r="A11413">
        <v>11316</v>
      </c>
      <c r="B11413" t="s">
        <v>20498</v>
      </c>
      <c r="C11413" t="s">
        <v>427</v>
      </c>
      <c r="D11413" s="106">
        <v>520.92999999999995</v>
      </c>
    </row>
    <row r="11414" spans="1:4">
      <c r="A11414">
        <v>6243</v>
      </c>
      <c r="B11414" t="s">
        <v>20499</v>
      </c>
      <c r="C11414" t="s">
        <v>427</v>
      </c>
      <c r="D11414" s="106">
        <v>600</v>
      </c>
    </row>
    <row r="11415" spans="1:4">
      <c r="A11415">
        <v>6240</v>
      </c>
      <c r="B11415" t="s">
        <v>20500</v>
      </c>
      <c r="C11415" t="s">
        <v>427</v>
      </c>
      <c r="D11415" s="106">
        <v>794.41</v>
      </c>
    </row>
    <row r="11416" spans="1:4">
      <c r="A11416">
        <v>11296</v>
      </c>
      <c r="B11416" t="s">
        <v>20501</v>
      </c>
      <c r="C11416" t="s">
        <v>427</v>
      </c>
      <c r="D11416" s="107">
        <v>2531.16</v>
      </c>
    </row>
    <row r="11417" spans="1:4">
      <c r="A11417">
        <v>11299</v>
      </c>
      <c r="B11417" t="s">
        <v>20502</v>
      </c>
      <c r="C11417" t="s">
        <v>427</v>
      </c>
      <c r="D11417" s="106">
        <v>856.74</v>
      </c>
    </row>
    <row r="11418" spans="1:4">
      <c r="A11418">
        <v>11688</v>
      </c>
      <c r="B11418" t="s">
        <v>11795</v>
      </c>
      <c r="C11418" t="s">
        <v>427</v>
      </c>
      <c r="D11418" s="106">
        <v>570.67999999999995</v>
      </c>
    </row>
    <row r="11419" spans="1:4">
      <c r="A11419">
        <v>37736</v>
      </c>
      <c r="B11419" t="s">
        <v>11796</v>
      </c>
      <c r="C11419" t="s">
        <v>427</v>
      </c>
      <c r="D11419" s="107">
        <v>84300</v>
      </c>
    </row>
    <row r="11420" spans="1:4">
      <c r="A11420">
        <v>37739</v>
      </c>
      <c r="B11420" t="s">
        <v>11797</v>
      </c>
      <c r="C11420" t="s">
        <v>427</v>
      </c>
      <c r="D11420" s="107">
        <v>103753.84</v>
      </c>
    </row>
    <row r="11421" spans="1:4">
      <c r="A11421">
        <v>37740</v>
      </c>
      <c r="B11421" t="s">
        <v>11798</v>
      </c>
      <c r="C11421" t="s">
        <v>427</v>
      </c>
      <c r="D11421" s="107">
        <v>59207.35</v>
      </c>
    </row>
    <row r="11422" spans="1:4">
      <c r="A11422">
        <v>37738</v>
      </c>
      <c r="B11422" t="s">
        <v>11799</v>
      </c>
      <c r="C11422" t="s">
        <v>427</v>
      </c>
      <c r="D11422" s="107">
        <v>70343.98</v>
      </c>
    </row>
    <row r="11423" spans="1:4">
      <c r="A11423">
        <v>37737</v>
      </c>
      <c r="B11423" t="s">
        <v>11800</v>
      </c>
      <c r="C11423" t="s">
        <v>427</v>
      </c>
      <c r="D11423" s="107">
        <v>55965.05</v>
      </c>
    </row>
    <row r="11424" spans="1:4">
      <c r="A11424">
        <v>25014</v>
      </c>
      <c r="B11424" t="s">
        <v>11801</v>
      </c>
      <c r="C11424" t="s">
        <v>427</v>
      </c>
      <c r="D11424" s="107">
        <v>117216.46</v>
      </c>
    </row>
    <row r="11425" spans="1:4">
      <c r="A11425">
        <v>25013</v>
      </c>
      <c r="B11425" t="s">
        <v>11802</v>
      </c>
      <c r="C11425" t="s">
        <v>427</v>
      </c>
      <c r="D11425" s="107">
        <v>122855.27</v>
      </c>
    </row>
    <row r="11426" spans="1:4">
      <c r="A11426">
        <v>14405</v>
      </c>
      <c r="B11426" t="s">
        <v>11803</v>
      </c>
      <c r="C11426" t="s">
        <v>427</v>
      </c>
      <c r="D11426" s="107">
        <v>144212.20000000001</v>
      </c>
    </row>
    <row r="11427" spans="1:4">
      <c r="A11427">
        <v>20271</v>
      </c>
      <c r="B11427" t="s">
        <v>11804</v>
      </c>
      <c r="C11427" t="s">
        <v>427</v>
      </c>
      <c r="D11427" s="106">
        <v>491.46</v>
      </c>
    </row>
    <row r="11428" spans="1:4">
      <c r="A11428">
        <v>10423</v>
      </c>
      <c r="B11428" t="s">
        <v>11805</v>
      </c>
      <c r="C11428" t="s">
        <v>427</v>
      </c>
      <c r="D11428" s="106">
        <v>360.84</v>
      </c>
    </row>
    <row r="11429" spans="1:4">
      <c r="A11429">
        <v>36790</v>
      </c>
      <c r="B11429" t="s">
        <v>11806</v>
      </c>
      <c r="C11429" t="s">
        <v>427</v>
      </c>
      <c r="D11429" s="106">
        <v>253.69</v>
      </c>
    </row>
    <row r="11430" spans="1:4">
      <c r="A11430">
        <v>37589</v>
      </c>
      <c r="B11430" t="s">
        <v>11807</v>
      </c>
      <c r="C11430" t="s">
        <v>427</v>
      </c>
      <c r="D11430" s="106">
        <v>310.83999999999997</v>
      </c>
    </row>
    <row r="11431" spans="1:4">
      <c r="A11431">
        <v>11690</v>
      </c>
      <c r="B11431" t="s">
        <v>11808</v>
      </c>
      <c r="C11431" t="s">
        <v>427</v>
      </c>
      <c r="D11431" s="106">
        <v>165.13</v>
      </c>
    </row>
    <row r="11432" spans="1:4">
      <c r="A11432">
        <v>20234</v>
      </c>
      <c r="B11432" t="s">
        <v>11809</v>
      </c>
      <c r="C11432" t="s">
        <v>427</v>
      </c>
      <c r="D11432" s="106">
        <v>208.97</v>
      </c>
    </row>
    <row r="11433" spans="1:4">
      <c r="A11433">
        <v>4763</v>
      </c>
      <c r="B11433" t="s">
        <v>20503</v>
      </c>
      <c r="C11433" t="s">
        <v>432</v>
      </c>
      <c r="D11433" s="106">
        <v>15.93</v>
      </c>
    </row>
    <row r="11434" spans="1:4">
      <c r="A11434">
        <v>41070</v>
      </c>
      <c r="B11434" t="s">
        <v>11810</v>
      </c>
      <c r="C11434" t="s">
        <v>433</v>
      </c>
      <c r="D11434" s="107">
        <v>2814.94</v>
      </c>
    </row>
    <row r="11435" spans="1:4">
      <c r="A11435">
        <v>44480</v>
      </c>
      <c r="B11435" t="s">
        <v>11811</v>
      </c>
      <c r="C11435" t="s">
        <v>431</v>
      </c>
      <c r="D11435" s="106">
        <v>17.59</v>
      </c>
    </row>
    <row r="11436" spans="1:4">
      <c r="A11436">
        <v>11457</v>
      </c>
      <c r="B11436" t="s">
        <v>11812</v>
      </c>
      <c r="C11436" t="s">
        <v>427</v>
      </c>
      <c r="D11436" s="106">
        <v>49.21</v>
      </c>
    </row>
    <row r="11437" spans="1:4">
      <c r="A11437">
        <v>44073</v>
      </c>
      <c r="B11437" t="s">
        <v>11813</v>
      </c>
      <c r="C11437" t="s">
        <v>429</v>
      </c>
      <c r="D11437" s="106">
        <v>0.49</v>
      </c>
    </row>
    <row r="11438" spans="1:4">
      <c r="A11438">
        <v>21121</v>
      </c>
      <c r="B11438" t="s">
        <v>11814</v>
      </c>
      <c r="C11438" t="s">
        <v>427</v>
      </c>
      <c r="D11438" s="106">
        <v>4.5199999999999996</v>
      </c>
    </row>
    <row r="11439" spans="1:4">
      <c r="A11439">
        <v>38010</v>
      </c>
      <c r="B11439" t="s">
        <v>11815</v>
      </c>
      <c r="C11439" t="s">
        <v>427</v>
      </c>
      <c r="D11439" s="106">
        <v>7.4</v>
      </c>
    </row>
    <row r="11440" spans="1:4">
      <c r="A11440">
        <v>38011</v>
      </c>
      <c r="B11440" t="s">
        <v>11816</v>
      </c>
      <c r="C11440" t="s">
        <v>427</v>
      </c>
      <c r="D11440" s="106">
        <v>13.65</v>
      </c>
    </row>
    <row r="11441" spans="1:4">
      <c r="A11441">
        <v>38012</v>
      </c>
      <c r="B11441" t="s">
        <v>11817</v>
      </c>
      <c r="C11441" t="s">
        <v>427</v>
      </c>
      <c r="D11441" s="106">
        <v>46.65</v>
      </c>
    </row>
    <row r="11442" spans="1:4">
      <c r="A11442">
        <v>38013</v>
      </c>
      <c r="B11442" t="s">
        <v>11818</v>
      </c>
      <c r="C11442" t="s">
        <v>427</v>
      </c>
      <c r="D11442" s="106">
        <v>60.56</v>
      </c>
    </row>
    <row r="11443" spans="1:4">
      <c r="A11443">
        <v>38014</v>
      </c>
      <c r="B11443" t="s">
        <v>11819</v>
      </c>
      <c r="C11443" t="s">
        <v>427</v>
      </c>
      <c r="D11443" s="106">
        <v>98.56</v>
      </c>
    </row>
    <row r="11444" spans="1:4">
      <c r="A11444">
        <v>38015</v>
      </c>
      <c r="B11444" t="s">
        <v>11820</v>
      </c>
      <c r="C11444" t="s">
        <v>427</v>
      </c>
      <c r="D11444" s="106">
        <v>237.99</v>
      </c>
    </row>
    <row r="11445" spans="1:4">
      <c r="A11445">
        <v>38016</v>
      </c>
      <c r="B11445" t="s">
        <v>11821</v>
      </c>
      <c r="C11445" t="s">
        <v>427</v>
      </c>
      <c r="D11445" s="106">
        <v>289.58</v>
      </c>
    </row>
    <row r="11446" spans="1:4">
      <c r="A11446">
        <v>12741</v>
      </c>
      <c r="B11446" t="s">
        <v>11822</v>
      </c>
      <c r="C11446" t="s">
        <v>427</v>
      </c>
      <c r="D11446" s="107">
        <v>1603.48</v>
      </c>
    </row>
    <row r="11447" spans="1:4">
      <c r="A11447">
        <v>12733</v>
      </c>
      <c r="B11447" t="s">
        <v>11823</v>
      </c>
      <c r="C11447" t="s">
        <v>427</v>
      </c>
      <c r="D11447" s="106">
        <v>8.07</v>
      </c>
    </row>
    <row r="11448" spans="1:4">
      <c r="A11448">
        <v>12734</v>
      </c>
      <c r="B11448" t="s">
        <v>11824</v>
      </c>
      <c r="C11448" t="s">
        <v>427</v>
      </c>
      <c r="D11448" s="106">
        <v>17.190000000000001</v>
      </c>
    </row>
    <row r="11449" spans="1:4">
      <c r="A11449">
        <v>12735</v>
      </c>
      <c r="B11449" t="s">
        <v>11825</v>
      </c>
      <c r="C11449" t="s">
        <v>427</v>
      </c>
      <c r="D11449" s="106">
        <v>28.29</v>
      </c>
    </row>
    <row r="11450" spans="1:4">
      <c r="A11450">
        <v>12736</v>
      </c>
      <c r="B11450" t="s">
        <v>11826</v>
      </c>
      <c r="C11450" t="s">
        <v>427</v>
      </c>
      <c r="D11450" s="106">
        <v>64.67</v>
      </c>
    </row>
    <row r="11451" spans="1:4">
      <c r="A11451">
        <v>12737</v>
      </c>
      <c r="B11451" t="s">
        <v>11827</v>
      </c>
      <c r="C11451" t="s">
        <v>427</v>
      </c>
      <c r="D11451" s="106">
        <v>83.31</v>
      </c>
    </row>
    <row r="11452" spans="1:4">
      <c r="A11452">
        <v>12738</v>
      </c>
      <c r="B11452" t="s">
        <v>11828</v>
      </c>
      <c r="C11452" t="s">
        <v>427</v>
      </c>
      <c r="D11452" s="106">
        <v>164.67</v>
      </c>
    </row>
    <row r="11453" spans="1:4">
      <c r="A11453">
        <v>12739</v>
      </c>
      <c r="B11453" t="s">
        <v>11829</v>
      </c>
      <c r="C11453" t="s">
        <v>427</v>
      </c>
      <c r="D11453" s="106">
        <v>468.74</v>
      </c>
    </row>
    <row r="11454" spans="1:4">
      <c r="A11454">
        <v>12740</v>
      </c>
      <c r="B11454" t="s">
        <v>11830</v>
      </c>
      <c r="C11454" t="s">
        <v>427</v>
      </c>
      <c r="D11454" s="106">
        <v>733.37</v>
      </c>
    </row>
    <row r="11455" spans="1:4">
      <c r="A11455">
        <v>6297</v>
      </c>
      <c r="B11455" t="s">
        <v>11831</v>
      </c>
      <c r="C11455" t="s">
        <v>427</v>
      </c>
      <c r="D11455" s="106">
        <v>33.020000000000003</v>
      </c>
    </row>
    <row r="11456" spans="1:4">
      <c r="A11456">
        <v>6296</v>
      </c>
      <c r="B11456" t="s">
        <v>11832</v>
      </c>
      <c r="C11456" t="s">
        <v>427</v>
      </c>
      <c r="D11456" s="106">
        <v>26.07</v>
      </c>
    </row>
    <row r="11457" spans="1:4">
      <c r="A11457">
        <v>6294</v>
      </c>
      <c r="B11457" t="s">
        <v>11833</v>
      </c>
      <c r="C11457" t="s">
        <v>427</v>
      </c>
      <c r="D11457" s="106">
        <v>7.43</v>
      </c>
    </row>
    <row r="11458" spans="1:4">
      <c r="A11458">
        <v>6323</v>
      </c>
      <c r="B11458" t="s">
        <v>11834</v>
      </c>
      <c r="C11458" t="s">
        <v>427</v>
      </c>
      <c r="D11458" s="106">
        <v>17.03</v>
      </c>
    </row>
    <row r="11459" spans="1:4">
      <c r="A11459">
        <v>6299</v>
      </c>
      <c r="B11459" t="s">
        <v>11835</v>
      </c>
      <c r="C11459" t="s">
        <v>427</v>
      </c>
      <c r="D11459" s="106">
        <v>99.32</v>
      </c>
    </row>
    <row r="11460" spans="1:4">
      <c r="A11460">
        <v>6298</v>
      </c>
      <c r="B11460" t="s">
        <v>11836</v>
      </c>
      <c r="C11460" t="s">
        <v>427</v>
      </c>
      <c r="D11460" s="106">
        <v>52.31</v>
      </c>
    </row>
    <row r="11461" spans="1:4">
      <c r="A11461">
        <v>6295</v>
      </c>
      <c r="B11461" t="s">
        <v>11837</v>
      </c>
      <c r="C11461" t="s">
        <v>427</v>
      </c>
      <c r="D11461" s="106">
        <v>10.58</v>
      </c>
    </row>
    <row r="11462" spans="1:4">
      <c r="A11462">
        <v>6322</v>
      </c>
      <c r="B11462" t="s">
        <v>11838</v>
      </c>
      <c r="C11462" t="s">
        <v>427</v>
      </c>
      <c r="D11462" s="106">
        <v>133.03</v>
      </c>
    </row>
    <row r="11463" spans="1:4">
      <c r="A11463">
        <v>6300</v>
      </c>
      <c r="B11463" t="s">
        <v>11839</v>
      </c>
      <c r="C11463" t="s">
        <v>427</v>
      </c>
      <c r="D11463" s="106">
        <v>245.26</v>
      </c>
    </row>
    <row r="11464" spans="1:4">
      <c r="A11464">
        <v>6321</v>
      </c>
      <c r="B11464" t="s">
        <v>11840</v>
      </c>
      <c r="C11464" t="s">
        <v>427</v>
      </c>
      <c r="D11464" s="106">
        <v>350.35</v>
      </c>
    </row>
    <row r="11465" spans="1:4">
      <c r="A11465">
        <v>6301</v>
      </c>
      <c r="B11465" t="s">
        <v>11841</v>
      </c>
      <c r="C11465" t="s">
        <v>427</v>
      </c>
      <c r="D11465" s="106">
        <v>821.17</v>
      </c>
    </row>
    <row r="11466" spans="1:4">
      <c r="A11466">
        <v>7105</v>
      </c>
      <c r="B11466" t="s">
        <v>11842</v>
      </c>
      <c r="C11466" t="s">
        <v>427</v>
      </c>
      <c r="D11466" s="106">
        <v>49.68</v>
      </c>
    </row>
    <row r="11467" spans="1:4">
      <c r="A11467">
        <v>20183</v>
      </c>
      <c r="B11467" t="s">
        <v>11843</v>
      </c>
      <c r="C11467" t="s">
        <v>427</v>
      </c>
      <c r="D11467" s="106">
        <v>65.41</v>
      </c>
    </row>
    <row r="11468" spans="1:4">
      <c r="A11468">
        <v>38448</v>
      </c>
      <c r="B11468" t="s">
        <v>11844</v>
      </c>
      <c r="C11468" t="s">
        <v>427</v>
      </c>
      <c r="D11468" s="106">
        <v>307.33999999999997</v>
      </c>
    </row>
    <row r="11469" spans="1:4">
      <c r="A11469">
        <v>20182</v>
      </c>
      <c r="B11469" t="s">
        <v>11845</v>
      </c>
      <c r="C11469" t="s">
        <v>427</v>
      </c>
      <c r="D11469" s="106">
        <v>37.340000000000003</v>
      </c>
    </row>
    <row r="11470" spans="1:4">
      <c r="A11470">
        <v>7119</v>
      </c>
      <c r="B11470" t="s">
        <v>11846</v>
      </c>
      <c r="C11470" t="s">
        <v>427</v>
      </c>
      <c r="D11470" s="106">
        <v>10.36</v>
      </c>
    </row>
    <row r="11471" spans="1:4">
      <c r="A11471">
        <v>7120</v>
      </c>
      <c r="B11471" t="s">
        <v>11847</v>
      </c>
      <c r="C11471" t="s">
        <v>427</v>
      </c>
      <c r="D11471" s="106">
        <v>7.11</v>
      </c>
    </row>
    <row r="11472" spans="1:4">
      <c r="A11472">
        <v>6319</v>
      </c>
      <c r="B11472" t="s">
        <v>11848</v>
      </c>
      <c r="C11472" t="s">
        <v>427</v>
      </c>
      <c r="D11472" s="106">
        <v>38.799999999999997</v>
      </c>
    </row>
    <row r="11473" spans="1:4">
      <c r="A11473">
        <v>6304</v>
      </c>
      <c r="B11473" t="s">
        <v>11849</v>
      </c>
      <c r="C11473" t="s">
        <v>427</v>
      </c>
      <c r="D11473" s="106">
        <v>38.799999999999997</v>
      </c>
    </row>
    <row r="11474" spans="1:4">
      <c r="A11474">
        <v>21116</v>
      </c>
      <c r="B11474" t="s">
        <v>11850</v>
      </c>
      <c r="C11474" t="s">
        <v>427</v>
      </c>
      <c r="D11474" s="106">
        <v>29.38</v>
      </c>
    </row>
    <row r="11475" spans="1:4">
      <c r="A11475">
        <v>6320</v>
      </c>
      <c r="B11475" t="s">
        <v>11851</v>
      </c>
      <c r="C11475" t="s">
        <v>427</v>
      </c>
      <c r="D11475" s="106">
        <v>19.98</v>
      </c>
    </row>
    <row r="11476" spans="1:4">
      <c r="A11476">
        <v>6303</v>
      </c>
      <c r="B11476" t="s">
        <v>11852</v>
      </c>
      <c r="C11476" t="s">
        <v>427</v>
      </c>
      <c r="D11476" s="106">
        <v>19.98</v>
      </c>
    </row>
    <row r="11477" spans="1:4">
      <c r="A11477">
        <v>6308</v>
      </c>
      <c r="B11477" t="s">
        <v>11853</v>
      </c>
      <c r="C11477" t="s">
        <v>427</v>
      </c>
      <c r="D11477" s="106">
        <v>107.36</v>
      </c>
    </row>
    <row r="11478" spans="1:4">
      <c r="A11478">
        <v>6317</v>
      </c>
      <c r="B11478" t="s">
        <v>11854</v>
      </c>
      <c r="C11478" t="s">
        <v>427</v>
      </c>
      <c r="D11478" s="106">
        <v>107.36</v>
      </c>
    </row>
    <row r="11479" spans="1:4">
      <c r="A11479">
        <v>6307</v>
      </c>
      <c r="B11479" t="s">
        <v>11855</v>
      </c>
      <c r="C11479" t="s">
        <v>427</v>
      </c>
      <c r="D11479" s="106">
        <v>107.36</v>
      </c>
    </row>
    <row r="11480" spans="1:4">
      <c r="A11480">
        <v>6309</v>
      </c>
      <c r="B11480" t="s">
        <v>11856</v>
      </c>
      <c r="C11480" t="s">
        <v>427</v>
      </c>
      <c r="D11480" s="106">
        <v>110.48</v>
      </c>
    </row>
    <row r="11481" spans="1:4">
      <c r="A11481">
        <v>6318</v>
      </c>
      <c r="B11481" t="s">
        <v>11857</v>
      </c>
      <c r="C11481" t="s">
        <v>427</v>
      </c>
      <c r="D11481" s="106">
        <v>57.91</v>
      </c>
    </row>
    <row r="11482" spans="1:4">
      <c r="A11482">
        <v>6306</v>
      </c>
      <c r="B11482" t="s">
        <v>11858</v>
      </c>
      <c r="C11482" t="s">
        <v>427</v>
      </c>
      <c r="D11482" s="106">
        <v>57.91</v>
      </c>
    </row>
    <row r="11483" spans="1:4">
      <c r="A11483">
        <v>6305</v>
      </c>
      <c r="B11483" t="s">
        <v>11859</v>
      </c>
      <c r="C11483" t="s">
        <v>427</v>
      </c>
      <c r="D11483" s="106">
        <v>57.91</v>
      </c>
    </row>
    <row r="11484" spans="1:4">
      <c r="A11484">
        <v>6302</v>
      </c>
      <c r="B11484" t="s">
        <v>11860</v>
      </c>
      <c r="C11484" t="s">
        <v>427</v>
      </c>
      <c r="D11484" s="106">
        <v>12.28</v>
      </c>
    </row>
    <row r="11485" spans="1:4">
      <c r="A11485">
        <v>6312</v>
      </c>
      <c r="B11485" t="s">
        <v>11861</v>
      </c>
      <c r="C11485" t="s">
        <v>427</v>
      </c>
      <c r="D11485" s="106">
        <v>154.41999999999999</v>
      </c>
    </row>
    <row r="11486" spans="1:4">
      <c r="A11486">
        <v>6311</v>
      </c>
      <c r="B11486" t="s">
        <v>11862</v>
      </c>
      <c r="C11486" t="s">
        <v>427</v>
      </c>
      <c r="D11486" s="106">
        <v>154.41999999999999</v>
      </c>
    </row>
    <row r="11487" spans="1:4">
      <c r="A11487">
        <v>6310</v>
      </c>
      <c r="B11487" t="s">
        <v>11863</v>
      </c>
      <c r="C11487" t="s">
        <v>427</v>
      </c>
      <c r="D11487" s="106">
        <v>154.41999999999999</v>
      </c>
    </row>
    <row r="11488" spans="1:4">
      <c r="A11488">
        <v>6314</v>
      </c>
      <c r="B11488" t="s">
        <v>11864</v>
      </c>
      <c r="C11488" t="s">
        <v>427</v>
      </c>
      <c r="D11488" s="106">
        <v>154.41999999999999</v>
      </c>
    </row>
    <row r="11489" spans="1:4">
      <c r="A11489">
        <v>6313</v>
      </c>
      <c r="B11489" t="s">
        <v>11865</v>
      </c>
      <c r="C11489" t="s">
        <v>427</v>
      </c>
      <c r="D11489" s="106">
        <v>154.41999999999999</v>
      </c>
    </row>
    <row r="11490" spans="1:4">
      <c r="A11490">
        <v>6315</v>
      </c>
      <c r="B11490" t="s">
        <v>11866</v>
      </c>
      <c r="C11490" t="s">
        <v>427</v>
      </c>
      <c r="D11490" s="106">
        <v>292.39</v>
      </c>
    </row>
    <row r="11491" spans="1:4">
      <c r="A11491">
        <v>6316</v>
      </c>
      <c r="B11491" t="s">
        <v>11867</v>
      </c>
      <c r="C11491" t="s">
        <v>427</v>
      </c>
      <c r="D11491" s="106">
        <v>292.39</v>
      </c>
    </row>
    <row r="11492" spans="1:4">
      <c r="A11492">
        <v>38878</v>
      </c>
      <c r="B11492" t="s">
        <v>11868</v>
      </c>
      <c r="C11492" t="s">
        <v>427</v>
      </c>
      <c r="D11492" s="106">
        <v>21.48</v>
      </c>
    </row>
    <row r="11493" spans="1:4">
      <c r="A11493">
        <v>38879</v>
      </c>
      <c r="B11493" t="s">
        <v>11869</v>
      </c>
      <c r="C11493" t="s">
        <v>427</v>
      </c>
      <c r="D11493" s="106">
        <v>40.26</v>
      </c>
    </row>
    <row r="11494" spans="1:4">
      <c r="A11494">
        <v>38881</v>
      </c>
      <c r="B11494" t="s">
        <v>11870</v>
      </c>
      <c r="C11494" t="s">
        <v>427</v>
      </c>
      <c r="D11494" s="106">
        <v>21.07</v>
      </c>
    </row>
    <row r="11495" spans="1:4">
      <c r="A11495">
        <v>38880</v>
      </c>
      <c r="B11495" t="s">
        <v>11871</v>
      </c>
      <c r="C11495" t="s">
        <v>427</v>
      </c>
      <c r="D11495" s="106">
        <v>22.08</v>
      </c>
    </row>
    <row r="11496" spans="1:4">
      <c r="A11496">
        <v>38882</v>
      </c>
      <c r="B11496" t="s">
        <v>11872</v>
      </c>
      <c r="C11496" t="s">
        <v>427</v>
      </c>
      <c r="D11496" s="106">
        <v>22.87</v>
      </c>
    </row>
    <row r="11497" spans="1:4">
      <c r="A11497">
        <v>38883</v>
      </c>
      <c r="B11497" t="s">
        <v>11873</v>
      </c>
      <c r="C11497" t="s">
        <v>427</v>
      </c>
      <c r="D11497" s="106">
        <v>33.82</v>
      </c>
    </row>
    <row r="11498" spans="1:4">
      <c r="A11498">
        <v>38884</v>
      </c>
      <c r="B11498" t="s">
        <v>11874</v>
      </c>
      <c r="C11498" t="s">
        <v>427</v>
      </c>
      <c r="D11498" s="106">
        <v>36.71</v>
      </c>
    </row>
    <row r="11499" spans="1:4">
      <c r="A11499">
        <v>38885</v>
      </c>
      <c r="B11499" t="s">
        <v>11875</v>
      </c>
      <c r="C11499" t="s">
        <v>427</v>
      </c>
      <c r="D11499" s="106">
        <v>35.51</v>
      </c>
    </row>
    <row r="11500" spans="1:4">
      <c r="A11500">
        <v>38886</v>
      </c>
      <c r="B11500" t="s">
        <v>11876</v>
      </c>
      <c r="C11500" t="s">
        <v>427</v>
      </c>
      <c r="D11500" s="106">
        <v>38.33</v>
      </c>
    </row>
    <row r="11501" spans="1:4">
      <c r="A11501">
        <v>38887</v>
      </c>
      <c r="B11501" t="s">
        <v>11877</v>
      </c>
      <c r="C11501" t="s">
        <v>427</v>
      </c>
      <c r="D11501" s="106">
        <v>34.42</v>
      </c>
    </row>
    <row r="11502" spans="1:4">
      <c r="A11502">
        <v>38888</v>
      </c>
      <c r="B11502" t="s">
        <v>11878</v>
      </c>
      <c r="C11502" t="s">
        <v>427</v>
      </c>
      <c r="D11502" s="106">
        <v>40.92</v>
      </c>
    </row>
    <row r="11503" spans="1:4">
      <c r="A11503">
        <v>38890</v>
      </c>
      <c r="B11503" t="s">
        <v>11879</v>
      </c>
      <c r="C11503" t="s">
        <v>427</v>
      </c>
      <c r="D11503" s="106">
        <v>60.83</v>
      </c>
    </row>
    <row r="11504" spans="1:4">
      <c r="A11504">
        <v>38893</v>
      </c>
      <c r="B11504" t="s">
        <v>11880</v>
      </c>
      <c r="C11504" t="s">
        <v>427</v>
      </c>
      <c r="D11504" s="106">
        <v>48.92</v>
      </c>
    </row>
    <row r="11505" spans="1:4">
      <c r="A11505">
        <v>38894</v>
      </c>
      <c r="B11505" t="s">
        <v>11881</v>
      </c>
      <c r="C11505" t="s">
        <v>427</v>
      </c>
      <c r="D11505" s="106">
        <v>62.13</v>
      </c>
    </row>
    <row r="11506" spans="1:4">
      <c r="A11506">
        <v>38896</v>
      </c>
      <c r="B11506" t="s">
        <v>11882</v>
      </c>
      <c r="C11506" t="s">
        <v>427</v>
      </c>
      <c r="D11506" s="106">
        <v>63.35</v>
      </c>
    </row>
    <row r="11507" spans="1:4">
      <c r="A11507">
        <v>39324</v>
      </c>
      <c r="B11507" t="s">
        <v>11883</v>
      </c>
      <c r="C11507" t="s">
        <v>427</v>
      </c>
      <c r="D11507" s="106">
        <v>10.029999999999999</v>
      </c>
    </row>
    <row r="11508" spans="1:4">
      <c r="A11508">
        <v>39325</v>
      </c>
      <c r="B11508" t="s">
        <v>11884</v>
      </c>
      <c r="C11508" t="s">
        <v>427</v>
      </c>
      <c r="D11508" s="106">
        <v>15.18</v>
      </c>
    </row>
    <row r="11509" spans="1:4">
      <c r="A11509">
        <v>39326</v>
      </c>
      <c r="B11509" t="s">
        <v>11885</v>
      </c>
      <c r="C11509" t="s">
        <v>427</v>
      </c>
      <c r="D11509" s="106">
        <v>39.090000000000003</v>
      </c>
    </row>
    <row r="11510" spans="1:4">
      <c r="A11510">
        <v>39327</v>
      </c>
      <c r="B11510" t="s">
        <v>11886</v>
      </c>
      <c r="C11510" t="s">
        <v>427</v>
      </c>
      <c r="D11510" s="106">
        <v>59.22</v>
      </c>
    </row>
    <row r="11511" spans="1:4">
      <c r="A11511">
        <v>20176</v>
      </c>
      <c r="B11511" t="s">
        <v>11887</v>
      </c>
      <c r="C11511" t="s">
        <v>427</v>
      </c>
      <c r="D11511" s="106">
        <v>56.37</v>
      </c>
    </row>
    <row r="11512" spans="1:4">
      <c r="A11512">
        <v>11378</v>
      </c>
      <c r="B11512" t="s">
        <v>11888</v>
      </c>
      <c r="C11512" t="s">
        <v>427</v>
      </c>
      <c r="D11512" s="106">
        <v>115.7</v>
      </c>
    </row>
    <row r="11513" spans="1:4">
      <c r="A11513">
        <v>11379</v>
      </c>
      <c r="B11513" t="s">
        <v>11889</v>
      </c>
      <c r="C11513" t="s">
        <v>427</v>
      </c>
      <c r="D11513" s="106">
        <v>97.77</v>
      </c>
    </row>
    <row r="11514" spans="1:4">
      <c r="A11514">
        <v>11493</v>
      </c>
      <c r="B11514" t="s">
        <v>11890</v>
      </c>
      <c r="C11514" t="s">
        <v>427</v>
      </c>
      <c r="D11514" s="106">
        <v>56.39</v>
      </c>
    </row>
    <row r="11515" spans="1:4">
      <c r="A11515">
        <v>42717</v>
      </c>
      <c r="B11515" t="s">
        <v>11891</v>
      </c>
      <c r="C11515" t="s">
        <v>427</v>
      </c>
      <c r="D11515" s="106">
        <v>678.12</v>
      </c>
    </row>
    <row r="11516" spans="1:4">
      <c r="A11516">
        <v>42718</v>
      </c>
      <c r="B11516" t="s">
        <v>11892</v>
      </c>
      <c r="C11516" t="s">
        <v>427</v>
      </c>
      <c r="D11516" s="106">
        <v>752.85</v>
      </c>
    </row>
    <row r="11517" spans="1:4">
      <c r="A11517">
        <v>7106</v>
      </c>
      <c r="B11517" t="s">
        <v>11893</v>
      </c>
      <c r="C11517" t="s">
        <v>427</v>
      </c>
      <c r="D11517" s="106">
        <v>168.51</v>
      </c>
    </row>
    <row r="11518" spans="1:4">
      <c r="A11518">
        <v>7104</v>
      </c>
      <c r="B11518" t="s">
        <v>11894</v>
      </c>
      <c r="C11518" t="s">
        <v>427</v>
      </c>
      <c r="D11518" s="106">
        <v>3.51</v>
      </c>
    </row>
    <row r="11519" spans="1:4">
      <c r="A11519">
        <v>7136</v>
      </c>
      <c r="B11519" t="s">
        <v>11895</v>
      </c>
      <c r="C11519" t="s">
        <v>427</v>
      </c>
      <c r="D11519" s="106">
        <v>6.6</v>
      </c>
    </row>
    <row r="11520" spans="1:4">
      <c r="A11520">
        <v>7128</v>
      </c>
      <c r="B11520" t="s">
        <v>11896</v>
      </c>
      <c r="C11520" t="s">
        <v>427</v>
      </c>
      <c r="D11520" s="106">
        <v>10.82</v>
      </c>
    </row>
    <row r="11521" spans="1:4">
      <c r="A11521">
        <v>7108</v>
      </c>
      <c r="B11521" t="s">
        <v>11897</v>
      </c>
      <c r="C11521" t="s">
        <v>427</v>
      </c>
      <c r="D11521" s="106">
        <v>11.58</v>
      </c>
    </row>
    <row r="11522" spans="1:4">
      <c r="A11522">
        <v>7129</v>
      </c>
      <c r="B11522" t="s">
        <v>11898</v>
      </c>
      <c r="C11522" t="s">
        <v>427</v>
      </c>
      <c r="D11522" s="106">
        <v>9.6300000000000008</v>
      </c>
    </row>
    <row r="11523" spans="1:4">
      <c r="A11523">
        <v>7130</v>
      </c>
      <c r="B11523" t="s">
        <v>11899</v>
      </c>
      <c r="C11523" t="s">
        <v>427</v>
      </c>
      <c r="D11523" s="106">
        <v>15.7</v>
      </c>
    </row>
    <row r="11524" spans="1:4">
      <c r="A11524">
        <v>7131</v>
      </c>
      <c r="B11524" t="s">
        <v>11900</v>
      </c>
      <c r="C11524" t="s">
        <v>427</v>
      </c>
      <c r="D11524" s="106">
        <v>19.260000000000002</v>
      </c>
    </row>
    <row r="11525" spans="1:4">
      <c r="A11525">
        <v>7132</v>
      </c>
      <c r="B11525" t="s">
        <v>11901</v>
      </c>
      <c r="C11525" t="s">
        <v>427</v>
      </c>
      <c r="D11525" s="106">
        <v>53.47</v>
      </c>
    </row>
    <row r="11526" spans="1:4">
      <c r="A11526">
        <v>7133</v>
      </c>
      <c r="B11526" t="s">
        <v>11902</v>
      </c>
      <c r="C11526" t="s">
        <v>427</v>
      </c>
      <c r="D11526" s="106">
        <v>83.05</v>
      </c>
    </row>
    <row r="11527" spans="1:4">
      <c r="A11527">
        <v>37420</v>
      </c>
      <c r="B11527" t="s">
        <v>11903</v>
      </c>
      <c r="C11527" t="s">
        <v>427</v>
      </c>
      <c r="D11527" s="106">
        <v>48.01</v>
      </c>
    </row>
    <row r="11528" spans="1:4">
      <c r="A11528">
        <v>37421</v>
      </c>
      <c r="B11528" t="s">
        <v>11904</v>
      </c>
      <c r="C11528" t="s">
        <v>427</v>
      </c>
      <c r="D11528" s="106">
        <v>65.62</v>
      </c>
    </row>
    <row r="11529" spans="1:4">
      <c r="A11529">
        <v>37422</v>
      </c>
      <c r="B11529" t="s">
        <v>11905</v>
      </c>
      <c r="C11529" t="s">
        <v>427</v>
      </c>
      <c r="D11529" s="106">
        <v>61.42</v>
      </c>
    </row>
    <row r="11530" spans="1:4">
      <c r="A11530">
        <v>37443</v>
      </c>
      <c r="B11530" t="s">
        <v>11906</v>
      </c>
      <c r="C11530" t="s">
        <v>427</v>
      </c>
      <c r="D11530" s="106">
        <v>210.18</v>
      </c>
    </row>
    <row r="11531" spans="1:4">
      <c r="A11531">
        <v>37444</v>
      </c>
      <c r="B11531" t="s">
        <v>11907</v>
      </c>
      <c r="C11531" t="s">
        <v>427</v>
      </c>
      <c r="D11531" s="106">
        <v>213.75</v>
      </c>
    </row>
    <row r="11532" spans="1:4">
      <c r="A11532">
        <v>37445</v>
      </c>
      <c r="B11532" t="s">
        <v>11908</v>
      </c>
      <c r="C11532" t="s">
        <v>427</v>
      </c>
      <c r="D11532" s="106">
        <v>323.98</v>
      </c>
    </row>
    <row r="11533" spans="1:4">
      <c r="A11533">
        <v>37446</v>
      </c>
      <c r="B11533" t="s">
        <v>11909</v>
      </c>
      <c r="C11533" t="s">
        <v>427</v>
      </c>
      <c r="D11533" s="106">
        <v>353.19</v>
      </c>
    </row>
    <row r="11534" spans="1:4">
      <c r="A11534">
        <v>37447</v>
      </c>
      <c r="B11534" t="s">
        <v>11910</v>
      </c>
      <c r="C11534" t="s">
        <v>427</v>
      </c>
      <c r="D11534" s="106">
        <v>358.72</v>
      </c>
    </row>
    <row r="11535" spans="1:4">
      <c r="A11535">
        <v>37448</v>
      </c>
      <c r="B11535" t="s">
        <v>11911</v>
      </c>
      <c r="C11535" t="s">
        <v>427</v>
      </c>
      <c r="D11535" s="106">
        <v>492.04</v>
      </c>
    </row>
    <row r="11536" spans="1:4">
      <c r="A11536">
        <v>37440</v>
      </c>
      <c r="B11536" t="s">
        <v>11912</v>
      </c>
      <c r="C11536" t="s">
        <v>427</v>
      </c>
      <c r="D11536" s="106">
        <v>166.83</v>
      </c>
    </row>
    <row r="11537" spans="1:4">
      <c r="A11537">
        <v>37441</v>
      </c>
      <c r="B11537" t="s">
        <v>11913</v>
      </c>
      <c r="C11537" t="s">
        <v>427</v>
      </c>
      <c r="D11537" s="106">
        <v>166.83</v>
      </c>
    </row>
    <row r="11538" spans="1:4">
      <c r="A11538">
        <v>37442</v>
      </c>
      <c r="B11538" t="s">
        <v>11914</v>
      </c>
      <c r="C11538" t="s">
        <v>427</v>
      </c>
      <c r="D11538" s="106">
        <v>200.93</v>
      </c>
    </row>
    <row r="11539" spans="1:4">
      <c r="A11539">
        <v>38017</v>
      </c>
      <c r="B11539" t="s">
        <v>11915</v>
      </c>
      <c r="C11539" t="s">
        <v>427</v>
      </c>
      <c r="D11539" s="106">
        <v>14.27</v>
      </c>
    </row>
    <row r="11540" spans="1:4">
      <c r="A11540">
        <v>38018</v>
      </c>
      <c r="B11540" t="s">
        <v>11916</v>
      </c>
      <c r="C11540" t="s">
        <v>427</v>
      </c>
      <c r="D11540" s="106">
        <v>15.74</v>
      </c>
    </row>
    <row r="11541" spans="1:4">
      <c r="A11541">
        <v>39895</v>
      </c>
      <c r="B11541" t="s">
        <v>11917</v>
      </c>
      <c r="C11541" t="s">
        <v>427</v>
      </c>
      <c r="D11541" s="106">
        <v>58.25</v>
      </c>
    </row>
    <row r="11542" spans="1:4">
      <c r="A11542">
        <v>39896</v>
      </c>
      <c r="B11542" t="s">
        <v>11918</v>
      </c>
      <c r="C11542" t="s">
        <v>427</v>
      </c>
      <c r="D11542" s="106">
        <v>85.37</v>
      </c>
    </row>
    <row r="11543" spans="1:4">
      <c r="A11543">
        <v>38873</v>
      </c>
      <c r="B11543" t="s">
        <v>11919</v>
      </c>
      <c r="C11543" t="s">
        <v>427</v>
      </c>
      <c r="D11543" s="106">
        <v>19.05</v>
      </c>
    </row>
    <row r="11544" spans="1:4">
      <c r="A11544">
        <v>38874</v>
      </c>
      <c r="B11544" t="s">
        <v>11920</v>
      </c>
      <c r="C11544" t="s">
        <v>427</v>
      </c>
      <c r="D11544" s="106">
        <v>23.16</v>
      </c>
    </row>
    <row r="11545" spans="1:4">
      <c r="A11545">
        <v>38875</v>
      </c>
      <c r="B11545" t="s">
        <v>11921</v>
      </c>
      <c r="C11545" t="s">
        <v>427</v>
      </c>
      <c r="D11545" s="106">
        <v>40.94</v>
      </c>
    </row>
    <row r="11546" spans="1:4">
      <c r="A11546">
        <v>38876</v>
      </c>
      <c r="B11546" t="s">
        <v>11922</v>
      </c>
      <c r="C11546" t="s">
        <v>427</v>
      </c>
      <c r="D11546" s="106">
        <v>55.09</v>
      </c>
    </row>
    <row r="11547" spans="1:4">
      <c r="A11547">
        <v>39000</v>
      </c>
      <c r="B11547" t="s">
        <v>11923</v>
      </c>
      <c r="C11547" t="s">
        <v>427</v>
      </c>
      <c r="D11547" s="106">
        <v>42.92</v>
      </c>
    </row>
    <row r="11548" spans="1:4">
      <c r="A11548">
        <v>38674</v>
      </c>
      <c r="B11548" t="s">
        <v>11924</v>
      </c>
      <c r="C11548" t="s">
        <v>427</v>
      </c>
      <c r="D11548" s="106">
        <v>49.6</v>
      </c>
    </row>
    <row r="11549" spans="1:4">
      <c r="A11549">
        <v>38911</v>
      </c>
      <c r="B11549" t="s">
        <v>11925</v>
      </c>
      <c r="C11549" t="s">
        <v>427</v>
      </c>
      <c r="D11549" s="106">
        <v>68.319999999999993</v>
      </c>
    </row>
    <row r="11550" spans="1:4">
      <c r="A11550">
        <v>38912</v>
      </c>
      <c r="B11550" t="s">
        <v>11926</v>
      </c>
      <c r="C11550" t="s">
        <v>427</v>
      </c>
      <c r="D11550" s="106">
        <v>86.82</v>
      </c>
    </row>
    <row r="11551" spans="1:4">
      <c r="A11551">
        <v>38019</v>
      </c>
      <c r="B11551" t="s">
        <v>11927</v>
      </c>
      <c r="C11551" t="s">
        <v>427</v>
      </c>
      <c r="D11551" s="106">
        <v>12.43</v>
      </c>
    </row>
    <row r="11552" spans="1:4">
      <c r="A11552">
        <v>38020</v>
      </c>
      <c r="B11552" t="s">
        <v>11928</v>
      </c>
      <c r="C11552" t="s">
        <v>427</v>
      </c>
      <c r="D11552" s="106">
        <v>15.74</v>
      </c>
    </row>
    <row r="11553" spans="1:4">
      <c r="A11553">
        <v>38454</v>
      </c>
      <c r="B11553" t="s">
        <v>11929</v>
      </c>
      <c r="C11553" t="s">
        <v>427</v>
      </c>
      <c r="D11553" s="106">
        <v>7.83</v>
      </c>
    </row>
    <row r="11554" spans="1:4">
      <c r="A11554">
        <v>38455</v>
      </c>
      <c r="B11554" t="s">
        <v>11930</v>
      </c>
      <c r="C11554" t="s">
        <v>427</v>
      </c>
      <c r="D11554" s="106">
        <v>7.17</v>
      </c>
    </row>
    <row r="11555" spans="1:4">
      <c r="A11555">
        <v>38462</v>
      </c>
      <c r="B11555" t="s">
        <v>11931</v>
      </c>
      <c r="C11555" t="s">
        <v>427</v>
      </c>
      <c r="D11555" s="106">
        <v>202.41</v>
      </c>
    </row>
    <row r="11556" spans="1:4">
      <c r="A11556">
        <v>36362</v>
      </c>
      <c r="B11556" t="s">
        <v>11932</v>
      </c>
      <c r="C11556" t="s">
        <v>427</v>
      </c>
      <c r="D11556" s="106">
        <v>3.08</v>
      </c>
    </row>
    <row r="11557" spans="1:4">
      <c r="A11557">
        <v>36298</v>
      </c>
      <c r="B11557" t="s">
        <v>11933</v>
      </c>
      <c r="C11557" t="s">
        <v>427</v>
      </c>
      <c r="D11557" s="106">
        <v>4.57</v>
      </c>
    </row>
    <row r="11558" spans="1:4">
      <c r="A11558">
        <v>38456</v>
      </c>
      <c r="B11558" t="s">
        <v>11934</v>
      </c>
      <c r="C11558" t="s">
        <v>427</v>
      </c>
      <c r="D11558" s="106">
        <v>7.45</v>
      </c>
    </row>
    <row r="11559" spans="1:4">
      <c r="A11559">
        <v>38457</v>
      </c>
      <c r="B11559" t="s">
        <v>11935</v>
      </c>
      <c r="C11559" t="s">
        <v>427</v>
      </c>
      <c r="D11559" s="106">
        <v>16.78</v>
      </c>
    </row>
    <row r="11560" spans="1:4">
      <c r="A11560">
        <v>38458</v>
      </c>
      <c r="B11560" t="s">
        <v>11936</v>
      </c>
      <c r="C11560" t="s">
        <v>427</v>
      </c>
      <c r="D11560" s="106">
        <v>22.49</v>
      </c>
    </row>
    <row r="11561" spans="1:4">
      <c r="A11561">
        <v>38459</v>
      </c>
      <c r="B11561" t="s">
        <v>11937</v>
      </c>
      <c r="C11561" t="s">
        <v>427</v>
      </c>
      <c r="D11561" s="106">
        <v>39.700000000000003</v>
      </c>
    </row>
    <row r="11562" spans="1:4">
      <c r="A11562">
        <v>38460</v>
      </c>
      <c r="B11562" t="s">
        <v>11938</v>
      </c>
      <c r="C11562" t="s">
        <v>427</v>
      </c>
      <c r="D11562" s="106">
        <v>82.92</v>
      </c>
    </row>
    <row r="11563" spans="1:4">
      <c r="A11563">
        <v>38461</v>
      </c>
      <c r="B11563" t="s">
        <v>11939</v>
      </c>
      <c r="C11563" t="s">
        <v>427</v>
      </c>
      <c r="D11563" s="106">
        <v>126.49</v>
      </c>
    </row>
    <row r="11564" spans="1:4">
      <c r="A11564">
        <v>7094</v>
      </c>
      <c r="B11564" t="s">
        <v>11940</v>
      </c>
      <c r="C11564" t="s">
        <v>427</v>
      </c>
      <c r="D11564" s="106">
        <v>12.14</v>
      </c>
    </row>
    <row r="11565" spans="1:4">
      <c r="A11565">
        <v>7116</v>
      </c>
      <c r="B11565" t="s">
        <v>11941</v>
      </c>
      <c r="C11565" t="s">
        <v>427</v>
      </c>
      <c r="D11565" s="106">
        <v>4.21</v>
      </c>
    </row>
    <row r="11566" spans="1:4">
      <c r="A11566">
        <v>7118</v>
      </c>
      <c r="B11566" t="s">
        <v>11942</v>
      </c>
      <c r="C11566" t="s">
        <v>427</v>
      </c>
      <c r="D11566" s="106">
        <v>26.79</v>
      </c>
    </row>
    <row r="11567" spans="1:4">
      <c r="A11567">
        <v>7117</v>
      </c>
      <c r="B11567" t="s">
        <v>11943</v>
      </c>
      <c r="C11567" t="s">
        <v>427</v>
      </c>
      <c r="D11567" s="106">
        <v>23.82</v>
      </c>
    </row>
    <row r="11568" spans="1:4">
      <c r="A11568">
        <v>7098</v>
      </c>
      <c r="B11568" t="s">
        <v>11944</v>
      </c>
      <c r="C11568" t="s">
        <v>427</v>
      </c>
      <c r="D11568" s="106">
        <v>3.32</v>
      </c>
    </row>
    <row r="11569" spans="1:4">
      <c r="A11569">
        <v>7110</v>
      </c>
      <c r="B11569" t="s">
        <v>11945</v>
      </c>
      <c r="C11569" t="s">
        <v>427</v>
      </c>
      <c r="D11569" s="106">
        <v>58.27</v>
      </c>
    </row>
    <row r="11570" spans="1:4">
      <c r="A11570">
        <v>7123</v>
      </c>
      <c r="B11570" t="s">
        <v>11946</v>
      </c>
      <c r="C11570" t="s">
        <v>427</v>
      </c>
      <c r="D11570" s="106">
        <v>4.2699999999999996</v>
      </c>
    </row>
    <row r="11571" spans="1:4">
      <c r="A11571">
        <v>7121</v>
      </c>
      <c r="B11571" t="s">
        <v>11947</v>
      </c>
      <c r="C11571" t="s">
        <v>427</v>
      </c>
      <c r="D11571" s="106">
        <v>10.53</v>
      </c>
    </row>
    <row r="11572" spans="1:4">
      <c r="A11572">
        <v>7137</v>
      </c>
      <c r="B11572" t="s">
        <v>11948</v>
      </c>
      <c r="C11572" t="s">
        <v>427</v>
      </c>
      <c r="D11572" s="106">
        <v>9.48</v>
      </c>
    </row>
    <row r="11573" spans="1:4">
      <c r="A11573">
        <v>7122</v>
      </c>
      <c r="B11573" t="s">
        <v>11949</v>
      </c>
      <c r="C11573" t="s">
        <v>427</v>
      </c>
      <c r="D11573" s="106">
        <v>11.84</v>
      </c>
    </row>
    <row r="11574" spans="1:4">
      <c r="A11574">
        <v>7114</v>
      </c>
      <c r="B11574" t="s">
        <v>11950</v>
      </c>
      <c r="C11574" t="s">
        <v>427</v>
      </c>
      <c r="D11574" s="106">
        <v>18.260000000000002</v>
      </c>
    </row>
    <row r="11575" spans="1:4">
      <c r="A11575">
        <v>7109</v>
      </c>
      <c r="B11575" t="s">
        <v>11951</v>
      </c>
      <c r="C11575" t="s">
        <v>427</v>
      </c>
      <c r="D11575" s="106">
        <v>3.2</v>
      </c>
    </row>
    <row r="11576" spans="1:4">
      <c r="A11576">
        <v>7135</v>
      </c>
      <c r="B11576" t="s">
        <v>11952</v>
      </c>
      <c r="C11576" t="s">
        <v>427</v>
      </c>
      <c r="D11576" s="106">
        <v>4.99</v>
      </c>
    </row>
    <row r="11577" spans="1:4">
      <c r="A11577">
        <v>37947</v>
      </c>
      <c r="B11577" t="s">
        <v>11953</v>
      </c>
      <c r="C11577" t="s">
        <v>427</v>
      </c>
      <c r="D11577" s="106">
        <v>5.05</v>
      </c>
    </row>
    <row r="11578" spans="1:4">
      <c r="A11578">
        <v>7103</v>
      </c>
      <c r="B11578" t="s">
        <v>11954</v>
      </c>
      <c r="C11578" t="s">
        <v>427</v>
      </c>
      <c r="D11578" s="106">
        <v>11.58</v>
      </c>
    </row>
    <row r="11579" spans="1:4">
      <c r="A11579">
        <v>40419</v>
      </c>
      <c r="B11579" t="s">
        <v>11955</v>
      </c>
      <c r="C11579" t="s">
        <v>427</v>
      </c>
      <c r="D11579" s="106">
        <v>48.71</v>
      </c>
    </row>
    <row r="11580" spans="1:4">
      <c r="A11580">
        <v>40420</v>
      </c>
      <c r="B11580" t="s">
        <v>11956</v>
      </c>
      <c r="C11580" t="s">
        <v>427</v>
      </c>
      <c r="D11580" s="106">
        <v>71.069999999999993</v>
      </c>
    </row>
    <row r="11581" spans="1:4">
      <c r="A11581">
        <v>40421</v>
      </c>
      <c r="B11581" t="s">
        <v>11957</v>
      </c>
      <c r="C11581" t="s">
        <v>427</v>
      </c>
      <c r="D11581" s="106">
        <v>75.650000000000006</v>
      </c>
    </row>
    <row r="11582" spans="1:4">
      <c r="A11582">
        <v>7126</v>
      </c>
      <c r="B11582" t="s">
        <v>11958</v>
      </c>
      <c r="C11582" t="s">
        <v>427</v>
      </c>
      <c r="D11582" s="106">
        <v>24.31</v>
      </c>
    </row>
    <row r="11583" spans="1:4">
      <c r="A11583">
        <v>38905</v>
      </c>
      <c r="B11583" t="s">
        <v>11959</v>
      </c>
      <c r="C11583" t="s">
        <v>427</v>
      </c>
      <c r="D11583" s="106">
        <v>21.41</v>
      </c>
    </row>
    <row r="11584" spans="1:4">
      <c r="A11584">
        <v>38907</v>
      </c>
      <c r="B11584" t="s">
        <v>11960</v>
      </c>
      <c r="C11584" t="s">
        <v>427</v>
      </c>
      <c r="D11584" s="106">
        <v>22.78</v>
      </c>
    </row>
    <row r="11585" spans="1:4">
      <c r="A11585">
        <v>38908</v>
      </c>
      <c r="B11585" t="s">
        <v>11961</v>
      </c>
      <c r="C11585" t="s">
        <v>427</v>
      </c>
      <c r="D11585" s="106">
        <v>25.63</v>
      </c>
    </row>
    <row r="11586" spans="1:4">
      <c r="A11586">
        <v>38909</v>
      </c>
      <c r="B11586" t="s">
        <v>11962</v>
      </c>
      <c r="C11586" t="s">
        <v>427</v>
      </c>
      <c r="D11586" s="106">
        <v>36.85</v>
      </c>
    </row>
    <row r="11587" spans="1:4">
      <c r="A11587">
        <v>38910</v>
      </c>
      <c r="B11587" t="s">
        <v>11963</v>
      </c>
      <c r="C11587" t="s">
        <v>427</v>
      </c>
      <c r="D11587" s="106">
        <v>39.799999999999997</v>
      </c>
    </row>
    <row r="11588" spans="1:4">
      <c r="A11588">
        <v>38897</v>
      </c>
      <c r="B11588" t="s">
        <v>11964</v>
      </c>
      <c r="C11588" t="s">
        <v>427</v>
      </c>
      <c r="D11588" s="106">
        <v>21.5</v>
      </c>
    </row>
    <row r="11589" spans="1:4">
      <c r="A11589">
        <v>38899</v>
      </c>
      <c r="B11589" t="s">
        <v>11965</v>
      </c>
      <c r="C11589" t="s">
        <v>427</v>
      </c>
      <c r="D11589" s="106">
        <v>24.18</v>
      </c>
    </row>
    <row r="11590" spans="1:4">
      <c r="A11590">
        <v>38900</v>
      </c>
      <c r="B11590" t="s">
        <v>11966</v>
      </c>
      <c r="C11590" t="s">
        <v>427</v>
      </c>
      <c r="D11590" s="106">
        <v>25.21</v>
      </c>
    </row>
    <row r="11591" spans="1:4">
      <c r="A11591">
        <v>38901</v>
      </c>
      <c r="B11591" t="s">
        <v>11967</v>
      </c>
      <c r="C11591" t="s">
        <v>427</v>
      </c>
      <c r="D11591" s="106">
        <v>41.24</v>
      </c>
    </row>
    <row r="11592" spans="1:4">
      <c r="A11592">
        <v>38904</v>
      </c>
      <c r="B11592" t="s">
        <v>11968</v>
      </c>
      <c r="C11592" t="s">
        <v>427</v>
      </c>
      <c r="D11592" s="106">
        <v>67</v>
      </c>
    </row>
    <row r="11593" spans="1:4">
      <c r="A11593">
        <v>38903</v>
      </c>
      <c r="B11593" t="s">
        <v>11969</v>
      </c>
      <c r="C11593" t="s">
        <v>427</v>
      </c>
      <c r="D11593" s="106">
        <v>66.58</v>
      </c>
    </row>
    <row r="11594" spans="1:4">
      <c r="A11594">
        <v>7091</v>
      </c>
      <c r="B11594" t="s">
        <v>11970</v>
      </c>
      <c r="C11594" t="s">
        <v>427</v>
      </c>
      <c r="D11594" s="106">
        <v>19.84</v>
      </c>
    </row>
    <row r="11595" spans="1:4">
      <c r="A11595">
        <v>11655</v>
      </c>
      <c r="B11595" t="s">
        <v>11971</v>
      </c>
      <c r="C11595" t="s">
        <v>427</v>
      </c>
      <c r="D11595" s="106">
        <v>18.95</v>
      </c>
    </row>
    <row r="11596" spans="1:4">
      <c r="A11596">
        <v>11656</v>
      </c>
      <c r="B11596" t="s">
        <v>11972</v>
      </c>
      <c r="C11596" t="s">
        <v>427</v>
      </c>
      <c r="D11596" s="106">
        <v>19.82</v>
      </c>
    </row>
    <row r="11597" spans="1:4">
      <c r="A11597">
        <v>37948</v>
      </c>
      <c r="B11597" t="s">
        <v>11973</v>
      </c>
      <c r="C11597" t="s">
        <v>427</v>
      </c>
      <c r="D11597" s="106">
        <v>4.01</v>
      </c>
    </row>
    <row r="11598" spans="1:4">
      <c r="A11598">
        <v>7097</v>
      </c>
      <c r="B11598" t="s">
        <v>11974</v>
      </c>
      <c r="C11598" t="s">
        <v>427</v>
      </c>
      <c r="D11598" s="106">
        <v>8.81</v>
      </c>
    </row>
    <row r="11599" spans="1:4">
      <c r="A11599">
        <v>11657</v>
      </c>
      <c r="B11599" t="s">
        <v>11975</v>
      </c>
      <c r="C11599" t="s">
        <v>427</v>
      </c>
      <c r="D11599" s="106">
        <v>17.28</v>
      </c>
    </row>
    <row r="11600" spans="1:4">
      <c r="A11600">
        <v>11658</v>
      </c>
      <c r="B11600" t="s">
        <v>11976</v>
      </c>
      <c r="C11600" t="s">
        <v>427</v>
      </c>
      <c r="D11600" s="106">
        <v>17.600000000000001</v>
      </c>
    </row>
    <row r="11601" spans="1:4">
      <c r="A11601">
        <v>7146</v>
      </c>
      <c r="B11601" t="s">
        <v>11977</v>
      </c>
      <c r="C11601" t="s">
        <v>427</v>
      </c>
      <c r="D11601" s="106">
        <v>180.45</v>
      </c>
    </row>
    <row r="11602" spans="1:4">
      <c r="A11602">
        <v>7138</v>
      </c>
      <c r="B11602" t="s">
        <v>11978</v>
      </c>
      <c r="C11602" t="s">
        <v>427</v>
      </c>
      <c r="D11602" s="106">
        <v>1.02</v>
      </c>
    </row>
    <row r="11603" spans="1:4">
      <c r="A11603">
        <v>7139</v>
      </c>
      <c r="B11603" t="s">
        <v>11979</v>
      </c>
      <c r="C11603" t="s">
        <v>427</v>
      </c>
      <c r="D11603" s="106">
        <v>1.34</v>
      </c>
    </row>
    <row r="11604" spans="1:4">
      <c r="A11604">
        <v>7140</v>
      </c>
      <c r="B11604" t="s">
        <v>11980</v>
      </c>
      <c r="C11604" t="s">
        <v>427</v>
      </c>
      <c r="D11604" s="106">
        <v>4.45</v>
      </c>
    </row>
    <row r="11605" spans="1:4">
      <c r="A11605">
        <v>7141</v>
      </c>
      <c r="B11605" t="s">
        <v>11981</v>
      </c>
      <c r="C11605" t="s">
        <v>427</v>
      </c>
      <c r="D11605" s="106">
        <v>9.73</v>
      </c>
    </row>
    <row r="11606" spans="1:4">
      <c r="A11606">
        <v>7143</v>
      </c>
      <c r="B11606" t="s">
        <v>11982</v>
      </c>
      <c r="C11606" t="s">
        <v>427</v>
      </c>
      <c r="D11606" s="106">
        <v>32.43</v>
      </c>
    </row>
    <row r="11607" spans="1:4">
      <c r="A11607">
        <v>7144</v>
      </c>
      <c r="B11607" t="s">
        <v>11983</v>
      </c>
      <c r="C11607" t="s">
        <v>427</v>
      </c>
      <c r="D11607" s="106">
        <v>64.88</v>
      </c>
    </row>
    <row r="11608" spans="1:4">
      <c r="A11608">
        <v>7145</v>
      </c>
      <c r="B11608" t="s">
        <v>11984</v>
      </c>
      <c r="C11608" t="s">
        <v>427</v>
      </c>
      <c r="D11608" s="106">
        <v>106.4</v>
      </c>
    </row>
    <row r="11609" spans="1:4">
      <c r="A11609">
        <v>7142</v>
      </c>
      <c r="B11609" t="s">
        <v>11985</v>
      </c>
      <c r="C11609" t="s">
        <v>427</v>
      </c>
      <c r="D11609" s="106">
        <v>10.88</v>
      </c>
    </row>
    <row r="11610" spans="1:4">
      <c r="A11610">
        <v>3593</v>
      </c>
      <c r="B11610" t="s">
        <v>11986</v>
      </c>
      <c r="C11610" t="s">
        <v>427</v>
      </c>
      <c r="D11610" s="106">
        <v>71.67</v>
      </c>
    </row>
    <row r="11611" spans="1:4">
      <c r="A11611">
        <v>3588</v>
      </c>
      <c r="B11611" t="s">
        <v>11987</v>
      </c>
      <c r="C11611" t="s">
        <v>427</v>
      </c>
      <c r="D11611" s="106">
        <v>55.25</v>
      </c>
    </row>
    <row r="11612" spans="1:4">
      <c r="A11612">
        <v>3585</v>
      </c>
      <c r="B11612" t="s">
        <v>11988</v>
      </c>
      <c r="C11612" t="s">
        <v>427</v>
      </c>
      <c r="D11612" s="106">
        <v>17.059999999999999</v>
      </c>
    </row>
    <row r="11613" spans="1:4">
      <c r="A11613">
        <v>3587</v>
      </c>
      <c r="B11613" t="s">
        <v>11989</v>
      </c>
      <c r="C11613" t="s">
        <v>427</v>
      </c>
      <c r="D11613" s="106">
        <v>34.28</v>
      </c>
    </row>
    <row r="11614" spans="1:4">
      <c r="A11614">
        <v>3590</v>
      </c>
      <c r="B11614" t="s">
        <v>11990</v>
      </c>
      <c r="C11614" t="s">
        <v>427</v>
      </c>
      <c r="D11614" s="106">
        <v>203.5</v>
      </c>
    </row>
    <row r="11615" spans="1:4">
      <c r="A11615">
        <v>3589</v>
      </c>
      <c r="B11615" t="s">
        <v>11991</v>
      </c>
      <c r="C11615" t="s">
        <v>427</v>
      </c>
      <c r="D11615" s="106">
        <v>109.23</v>
      </c>
    </row>
    <row r="11616" spans="1:4">
      <c r="A11616">
        <v>3586</v>
      </c>
      <c r="B11616" t="s">
        <v>11992</v>
      </c>
      <c r="C11616" t="s">
        <v>427</v>
      </c>
      <c r="D11616" s="106">
        <v>22.35</v>
      </c>
    </row>
    <row r="11617" spans="1:4">
      <c r="A11617">
        <v>3592</v>
      </c>
      <c r="B11617" t="s">
        <v>11993</v>
      </c>
      <c r="C11617" t="s">
        <v>427</v>
      </c>
      <c r="D11617" s="106">
        <v>321.68</v>
      </c>
    </row>
    <row r="11618" spans="1:4">
      <c r="A11618">
        <v>3591</v>
      </c>
      <c r="B11618" t="s">
        <v>11994</v>
      </c>
      <c r="C11618" t="s">
        <v>427</v>
      </c>
      <c r="D11618" s="106">
        <v>515.66999999999996</v>
      </c>
    </row>
    <row r="11619" spans="1:4">
      <c r="A11619">
        <v>40396</v>
      </c>
      <c r="B11619" t="s">
        <v>11995</v>
      </c>
      <c r="C11619" t="s">
        <v>427</v>
      </c>
      <c r="D11619" s="106">
        <v>133.44999999999999</v>
      </c>
    </row>
    <row r="11620" spans="1:4">
      <c r="A11620">
        <v>40395</v>
      </c>
      <c r="B11620" t="s">
        <v>11996</v>
      </c>
      <c r="C11620" t="s">
        <v>427</v>
      </c>
      <c r="D11620" s="106">
        <v>102.42</v>
      </c>
    </row>
    <row r="11621" spans="1:4">
      <c r="A11621">
        <v>40392</v>
      </c>
      <c r="B11621" t="s">
        <v>11997</v>
      </c>
      <c r="C11621" t="s">
        <v>427</v>
      </c>
      <c r="D11621" s="106">
        <v>32.950000000000003</v>
      </c>
    </row>
    <row r="11622" spans="1:4">
      <c r="A11622">
        <v>40394</v>
      </c>
      <c r="B11622" t="s">
        <v>11998</v>
      </c>
      <c r="C11622" t="s">
        <v>427</v>
      </c>
      <c r="D11622" s="106">
        <v>66.680000000000007</v>
      </c>
    </row>
    <row r="11623" spans="1:4">
      <c r="A11623">
        <v>40398</v>
      </c>
      <c r="B11623" t="s">
        <v>11999</v>
      </c>
      <c r="C11623" t="s">
        <v>427</v>
      </c>
      <c r="D11623" s="106">
        <v>428.14</v>
      </c>
    </row>
    <row r="11624" spans="1:4">
      <c r="A11624">
        <v>40397</v>
      </c>
      <c r="B11624" t="s">
        <v>12000</v>
      </c>
      <c r="C11624" t="s">
        <v>427</v>
      </c>
      <c r="D11624" s="106">
        <v>219.26</v>
      </c>
    </row>
    <row r="11625" spans="1:4">
      <c r="A11625">
        <v>40393</v>
      </c>
      <c r="B11625" t="s">
        <v>12001</v>
      </c>
      <c r="C11625" t="s">
        <v>427</v>
      </c>
      <c r="D11625" s="106">
        <v>42.45</v>
      </c>
    </row>
    <row r="11626" spans="1:4">
      <c r="A11626">
        <v>40399</v>
      </c>
      <c r="B11626" t="s">
        <v>12002</v>
      </c>
      <c r="C11626" t="s">
        <v>427</v>
      </c>
      <c r="D11626" s="106">
        <v>700.44</v>
      </c>
    </row>
    <row r="11627" spans="1:4">
      <c r="A11627">
        <v>39322</v>
      </c>
      <c r="B11627" t="s">
        <v>12003</v>
      </c>
      <c r="C11627" t="s">
        <v>427</v>
      </c>
      <c r="D11627" s="106">
        <v>25.97</v>
      </c>
    </row>
    <row r="11628" spans="1:4">
      <c r="A11628">
        <v>39289</v>
      </c>
      <c r="B11628" t="s">
        <v>12004</v>
      </c>
      <c r="C11628" t="s">
        <v>427</v>
      </c>
      <c r="D11628" s="106">
        <v>31.11</v>
      </c>
    </row>
    <row r="11629" spans="1:4">
      <c r="A11629">
        <v>39290</v>
      </c>
      <c r="B11629" t="s">
        <v>12005</v>
      </c>
      <c r="C11629" t="s">
        <v>427</v>
      </c>
      <c r="D11629" s="106">
        <v>52.8</v>
      </c>
    </row>
    <row r="11630" spans="1:4">
      <c r="A11630">
        <v>39291</v>
      </c>
      <c r="B11630" t="s">
        <v>12006</v>
      </c>
      <c r="C11630" t="s">
        <v>427</v>
      </c>
      <c r="D11630" s="106">
        <v>79.06</v>
      </c>
    </row>
    <row r="11631" spans="1:4">
      <c r="A11631">
        <v>20174</v>
      </c>
      <c r="B11631" t="s">
        <v>12007</v>
      </c>
      <c r="C11631" t="s">
        <v>427</v>
      </c>
      <c r="D11631" s="106">
        <v>48.34</v>
      </c>
    </row>
    <row r="11632" spans="1:4">
      <c r="A11632">
        <v>41892</v>
      </c>
      <c r="B11632" t="s">
        <v>12008</v>
      </c>
      <c r="C11632" t="s">
        <v>427</v>
      </c>
      <c r="D11632" s="106">
        <v>145.6</v>
      </c>
    </row>
    <row r="11633" spans="1:4">
      <c r="A11633">
        <v>7048</v>
      </c>
      <c r="B11633" t="s">
        <v>12009</v>
      </c>
      <c r="C11633" t="s">
        <v>427</v>
      </c>
      <c r="D11633" s="106">
        <v>31.42</v>
      </c>
    </row>
    <row r="11634" spans="1:4">
      <c r="A11634">
        <v>7088</v>
      </c>
      <c r="B11634" t="s">
        <v>12010</v>
      </c>
      <c r="C11634" t="s">
        <v>427</v>
      </c>
      <c r="D11634" s="106">
        <v>68.72</v>
      </c>
    </row>
    <row r="11635" spans="1:4">
      <c r="A11635">
        <v>20179</v>
      </c>
      <c r="B11635" t="s">
        <v>12011</v>
      </c>
      <c r="C11635" t="s">
        <v>427</v>
      </c>
      <c r="D11635" s="106">
        <v>65.08</v>
      </c>
    </row>
    <row r="11636" spans="1:4">
      <c r="A11636">
        <v>20178</v>
      </c>
      <c r="B11636" t="s">
        <v>12012</v>
      </c>
      <c r="C11636" t="s">
        <v>427</v>
      </c>
      <c r="D11636" s="106">
        <v>57.51</v>
      </c>
    </row>
    <row r="11637" spans="1:4">
      <c r="A11637">
        <v>20180</v>
      </c>
      <c r="B11637" t="s">
        <v>12013</v>
      </c>
      <c r="C11637" t="s">
        <v>427</v>
      </c>
      <c r="D11637" s="106">
        <v>105.69</v>
      </c>
    </row>
    <row r="11638" spans="1:4">
      <c r="A11638">
        <v>20181</v>
      </c>
      <c r="B11638" t="s">
        <v>12014</v>
      </c>
      <c r="C11638" t="s">
        <v>427</v>
      </c>
      <c r="D11638" s="106">
        <v>156.78</v>
      </c>
    </row>
    <row r="11639" spans="1:4">
      <c r="A11639">
        <v>20177</v>
      </c>
      <c r="B11639" t="s">
        <v>12015</v>
      </c>
      <c r="C11639" t="s">
        <v>427</v>
      </c>
      <c r="D11639" s="106">
        <v>37.69</v>
      </c>
    </row>
    <row r="11640" spans="1:4">
      <c r="A11640">
        <v>7082</v>
      </c>
      <c r="B11640" t="s">
        <v>12016</v>
      </c>
      <c r="C11640" t="s">
        <v>427</v>
      </c>
      <c r="D11640" s="106">
        <v>73.05</v>
      </c>
    </row>
    <row r="11641" spans="1:4">
      <c r="A11641">
        <v>42707</v>
      </c>
      <c r="B11641" t="s">
        <v>12017</v>
      </c>
      <c r="C11641" t="s">
        <v>427</v>
      </c>
      <c r="D11641" s="106">
        <v>198.38</v>
      </c>
    </row>
    <row r="11642" spans="1:4">
      <c r="A11642">
        <v>7069</v>
      </c>
      <c r="B11642" t="s">
        <v>12018</v>
      </c>
      <c r="C11642" t="s">
        <v>427</v>
      </c>
      <c r="D11642" s="106">
        <v>162.12</v>
      </c>
    </row>
    <row r="11643" spans="1:4">
      <c r="A11643">
        <v>42708</v>
      </c>
      <c r="B11643" t="s">
        <v>12019</v>
      </c>
      <c r="C11643" t="s">
        <v>427</v>
      </c>
      <c r="D11643" s="106">
        <v>520.69000000000005</v>
      </c>
    </row>
    <row r="11644" spans="1:4">
      <c r="A11644">
        <v>7070</v>
      </c>
      <c r="B11644" t="s">
        <v>12020</v>
      </c>
      <c r="C11644" t="s">
        <v>427</v>
      </c>
      <c r="D11644" s="106">
        <v>232.15</v>
      </c>
    </row>
    <row r="11645" spans="1:4">
      <c r="A11645">
        <v>42709</v>
      </c>
      <c r="B11645" t="s">
        <v>12021</v>
      </c>
      <c r="C11645" t="s">
        <v>427</v>
      </c>
      <c r="D11645" s="106">
        <v>778.71</v>
      </c>
    </row>
    <row r="11646" spans="1:4">
      <c r="A11646">
        <v>42710</v>
      </c>
      <c r="B11646" t="s">
        <v>12022</v>
      </c>
      <c r="C11646" t="s">
        <v>427</v>
      </c>
      <c r="D11646" s="107">
        <v>2238.42</v>
      </c>
    </row>
    <row r="11647" spans="1:4">
      <c r="A11647">
        <v>42716</v>
      </c>
      <c r="B11647" t="s">
        <v>12023</v>
      </c>
      <c r="C11647" t="s">
        <v>427</v>
      </c>
      <c r="D11647" s="107">
        <v>2786.1</v>
      </c>
    </row>
    <row r="11648" spans="1:4">
      <c r="A11648">
        <v>20172</v>
      </c>
      <c r="B11648" t="s">
        <v>12024</v>
      </c>
      <c r="C11648" t="s">
        <v>427</v>
      </c>
      <c r="D11648" s="106">
        <v>53.57</v>
      </c>
    </row>
    <row r="11649" spans="1:4">
      <c r="A11649">
        <v>40945</v>
      </c>
      <c r="B11649" t="s">
        <v>12025</v>
      </c>
      <c r="C11649" t="s">
        <v>432</v>
      </c>
      <c r="D11649" s="106">
        <v>15.18</v>
      </c>
    </row>
    <row r="11650" spans="1:4">
      <c r="A11650">
        <v>40946</v>
      </c>
      <c r="B11650" t="s">
        <v>12026</v>
      </c>
      <c r="C11650" t="s">
        <v>433</v>
      </c>
      <c r="D11650" s="107">
        <v>2685.2</v>
      </c>
    </row>
    <row r="11651" spans="1:4">
      <c r="A11651">
        <v>7153</v>
      </c>
      <c r="B11651" t="s">
        <v>12027</v>
      </c>
      <c r="C11651" t="s">
        <v>432</v>
      </c>
      <c r="D11651" s="106">
        <v>22.92</v>
      </c>
    </row>
    <row r="11652" spans="1:4">
      <c r="A11652">
        <v>41089</v>
      </c>
      <c r="B11652" t="s">
        <v>12028</v>
      </c>
      <c r="C11652" t="s">
        <v>433</v>
      </c>
      <c r="D11652" s="107">
        <v>4052.72</v>
      </c>
    </row>
    <row r="11653" spans="1:4">
      <c r="A11653">
        <v>40943</v>
      </c>
      <c r="B11653" t="s">
        <v>12029</v>
      </c>
      <c r="C11653" t="s">
        <v>432</v>
      </c>
      <c r="D11653" s="106">
        <v>24.14</v>
      </c>
    </row>
    <row r="11654" spans="1:4">
      <c r="A11654">
        <v>40944</v>
      </c>
      <c r="B11654" t="s">
        <v>12030</v>
      </c>
      <c r="C11654" t="s">
        <v>433</v>
      </c>
      <c r="D11654" s="107">
        <v>4268.0600000000004</v>
      </c>
    </row>
    <row r="11655" spans="1:4">
      <c r="A11655">
        <v>6175</v>
      </c>
      <c r="B11655" t="s">
        <v>12031</v>
      </c>
      <c r="C11655" t="s">
        <v>432</v>
      </c>
      <c r="D11655" s="106">
        <v>21.12</v>
      </c>
    </row>
    <row r="11656" spans="1:4">
      <c r="A11656">
        <v>41092</v>
      </c>
      <c r="B11656" t="s">
        <v>12032</v>
      </c>
      <c r="C11656" t="s">
        <v>433</v>
      </c>
      <c r="D11656" s="107">
        <v>3733.39</v>
      </c>
    </row>
    <row r="11657" spans="1:4">
      <c r="A11657">
        <v>37712</v>
      </c>
      <c r="B11657" t="s">
        <v>12033</v>
      </c>
      <c r="C11657" t="s">
        <v>426</v>
      </c>
      <c r="D11657" s="106">
        <v>67.72</v>
      </c>
    </row>
    <row r="11658" spans="1:4">
      <c r="A11658">
        <v>34547</v>
      </c>
      <c r="B11658" t="s">
        <v>12034</v>
      </c>
      <c r="C11658" t="s">
        <v>429</v>
      </c>
      <c r="D11658" s="106">
        <v>6.98</v>
      </c>
    </row>
    <row r="11659" spans="1:4">
      <c r="A11659">
        <v>34548</v>
      </c>
      <c r="B11659" t="s">
        <v>12035</v>
      </c>
      <c r="C11659" t="s">
        <v>429</v>
      </c>
      <c r="D11659" s="106">
        <v>11.45</v>
      </c>
    </row>
    <row r="11660" spans="1:4">
      <c r="A11660">
        <v>34558</v>
      </c>
      <c r="B11660" t="s">
        <v>12036</v>
      </c>
      <c r="C11660" t="s">
        <v>429</v>
      </c>
      <c r="D11660" s="106">
        <v>5.67</v>
      </c>
    </row>
    <row r="11661" spans="1:4">
      <c r="A11661">
        <v>34550</v>
      </c>
      <c r="B11661" t="s">
        <v>12037</v>
      </c>
      <c r="C11661" t="s">
        <v>429</v>
      </c>
      <c r="D11661" s="106">
        <v>3.02</v>
      </c>
    </row>
    <row r="11662" spans="1:4">
      <c r="A11662">
        <v>34557</v>
      </c>
      <c r="B11662" t="s">
        <v>12038</v>
      </c>
      <c r="C11662" t="s">
        <v>429</v>
      </c>
      <c r="D11662" s="106">
        <v>4.42</v>
      </c>
    </row>
    <row r="11663" spans="1:4">
      <c r="A11663">
        <v>37411</v>
      </c>
      <c r="B11663" t="s">
        <v>12039</v>
      </c>
      <c r="C11663" t="s">
        <v>426</v>
      </c>
      <c r="D11663" s="106">
        <v>32.31</v>
      </c>
    </row>
    <row r="11664" spans="1:4">
      <c r="A11664">
        <v>39508</v>
      </c>
      <c r="B11664" t="s">
        <v>12040</v>
      </c>
      <c r="C11664" t="s">
        <v>426</v>
      </c>
      <c r="D11664" s="106">
        <v>18.149999999999999</v>
      </c>
    </row>
    <row r="11665" spans="1:4">
      <c r="A11665">
        <v>39507</v>
      </c>
      <c r="B11665" t="s">
        <v>12041</v>
      </c>
      <c r="C11665" t="s">
        <v>426</v>
      </c>
      <c r="D11665" s="106">
        <v>27.07</v>
      </c>
    </row>
    <row r="11666" spans="1:4">
      <c r="A11666">
        <v>7155</v>
      </c>
      <c r="B11666" t="s">
        <v>12042</v>
      </c>
      <c r="C11666" t="s">
        <v>426</v>
      </c>
      <c r="D11666" s="106">
        <v>34.75</v>
      </c>
    </row>
    <row r="11667" spans="1:4">
      <c r="A11667">
        <v>42406</v>
      </c>
      <c r="B11667" t="s">
        <v>12043</v>
      </c>
      <c r="C11667" t="s">
        <v>426</v>
      </c>
      <c r="D11667" s="106">
        <v>39.85</v>
      </c>
    </row>
    <row r="11668" spans="1:4">
      <c r="A11668">
        <v>7156</v>
      </c>
      <c r="B11668" t="s">
        <v>12044</v>
      </c>
      <c r="C11668" t="s">
        <v>426</v>
      </c>
      <c r="D11668" s="106">
        <v>49.86</v>
      </c>
    </row>
    <row r="11669" spans="1:4">
      <c r="A11669">
        <v>43127</v>
      </c>
      <c r="B11669" t="s">
        <v>12045</v>
      </c>
      <c r="C11669" t="s">
        <v>426</v>
      </c>
      <c r="D11669" s="106">
        <v>71.36</v>
      </c>
    </row>
    <row r="11670" spans="1:4">
      <c r="A11670">
        <v>10917</v>
      </c>
      <c r="B11670" t="s">
        <v>12046</v>
      </c>
      <c r="C11670" t="s">
        <v>426</v>
      </c>
      <c r="D11670" s="106">
        <v>15.06</v>
      </c>
    </row>
    <row r="11671" spans="1:4">
      <c r="A11671">
        <v>21141</v>
      </c>
      <c r="B11671" t="s">
        <v>12047</v>
      </c>
      <c r="C11671" t="s">
        <v>426</v>
      </c>
      <c r="D11671" s="106">
        <v>23.32</v>
      </c>
    </row>
    <row r="11672" spans="1:4">
      <c r="A11672">
        <v>39509</v>
      </c>
      <c r="B11672" t="s">
        <v>12048</v>
      </c>
      <c r="C11672" t="s">
        <v>426</v>
      </c>
      <c r="D11672" s="106">
        <v>22.43</v>
      </c>
    </row>
    <row r="11673" spans="1:4">
      <c r="A11673">
        <v>44529</v>
      </c>
      <c r="B11673" t="s">
        <v>13553</v>
      </c>
      <c r="C11673" t="s">
        <v>426</v>
      </c>
      <c r="D11673" s="106">
        <v>13.82</v>
      </c>
    </row>
    <row r="11674" spans="1:4">
      <c r="A11674">
        <v>7167</v>
      </c>
      <c r="B11674" t="s">
        <v>12049</v>
      </c>
      <c r="C11674" t="s">
        <v>426</v>
      </c>
      <c r="D11674" s="106">
        <v>27.21</v>
      </c>
    </row>
    <row r="11675" spans="1:4">
      <c r="A11675">
        <v>10928</v>
      </c>
      <c r="B11675" t="s">
        <v>12050</v>
      </c>
      <c r="C11675" t="s">
        <v>426</v>
      </c>
      <c r="D11675" s="106">
        <v>15.64</v>
      </c>
    </row>
    <row r="11676" spans="1:4">
      <c r="A11676">
        <v>10933</v>
      </c>
      <c r="B11676" t="s">
        <v>12051</v>
      </c>
      <c r="C11676" t="s">
        <v>426</v>
      </c>
      <c r="D11676" s="106">
        <v>23.58</v>
      </c>
    </row>
    <row r="11677" spans="1:4">
      <c r="A11677">
        <v>7158</v>
      </c>
      <c r="B11677" t="s">
        <v>12052</v>
      </c>
      <c r="C11677" t="s">
        <v>426</v>
      </c>
      <c r="D11677" s="106">
        <v>40</v>
      </c>
    </row>
    <row r="11678" spans="1:4">
      <c r="A11678">
        <v>10927</v>
      </c>
      <c r="B11678" t="s">
        <v>12053</v>
      </c>
      <c r="C11678" t="s">
        <v>426</v>
      </c>
      <c r="D11678" s="106">
        <v>25.58</v>
      </c>
    </row>
    <row r="11679" spans="1:4">
      <c r="A11679">
        <v>7162</v>
      </c>
      <c r="B11679" t="s">
        <v>12054</v>
      </c>
      <c r="C11679" t="s">
        <v>426</v>
      </c>
      <c r="D11679" s="106">
        <v>62.59</v>
      </c>
    </row>
    <row r="11680" spans="1:4">
      <c r="A11680">
        <v>10932</v>
      </c>
      <c r="B11680" t="s">
        <v>12055</v>
      </c>
      <c r="C11680" t="s">
        <v>426</v>
      </c>
      <c r="D11680" s="106">
        <v>108.87</v>
      </c>
    </row>
    <row r="11681" spans="1:4">
      <c r="A11681">
        <v>10937</v>
      </c>
      <c r="B11681" t="s">
        <v>12056</v>
      </c>
      <c r="C11681" t="s">
        <v>426</v>
      </c>
      <c r="D11681" s="106">
        <v>27.98</v>
      </c>
    </row>
    <row r="11682" spans="1:4">
      <c r="A11682">
        <v>10935</v>
      </c>
      <c r="B11682" t="s">
        <v>12057</v>
      </c>
      <c r="C11682" t="s">
        <v>426</v>
      </c>
      <c r="D11682" s="106">
        <v>48.53</v>
      </c>
    </row>
    <row r="11683" spans="1:4">
      <c r="A11683">
        <v>10931</v>
      </c>
      <c r="B11683" t="s">
        <v>12058</v>
      </c>
      <c r="C11683" t="s">
        <v>426</v>
      </c>
      <c r="D11683" s="106">
        <v>13.65</v>
      </c>
    </row>
    <row r="11684" spans="1:4">
      <c r="A11684">
        <v>7164</v>
      </c>
      <c r="B11684" t="s">
        <v>12059</v>
      </c>
      <c r="C11684" t="s">
        <v>426</v>
      </c>
      <c r="D11684" s="106">
        <v>45.18</v>
      </c>
    </row>
    <row r="11685" spans="1:4">
      <c r="A11685">
        <v>36887</v>
      </c>
      <c r="B11685" t="s">
        <v>12060</v>
      </c>
      <c r="C11685" t="s">
        <v>426</v>
      </c>
      <c r="D11685" s="106">
        <v>10.87</v>
      </c>
    </row>
    <row r="11686" spans="1:4">
      <c r="A11686">
        <v>34630</v>
      </c>
      <c r="B11686" t="s">
        <v>12061</v>
      </c>
      <c r="C11686" t="s">
        <v>427</v>
      </c>
      <c r="D11686" s="107">
        <v>1100.67</v>
      </c>
    </row>
    <row r="11687" spans="1:4">
      <c r="A11687">
        <v>7161</v>
      </c>
      <c r="B11687" t="s">
        <v>12062</v>
      </c>
      <c r="C11687" t="s">
        <v>426</v>
      </c>
      <c r="D11687" s="106">
        <v>5.62</v>
      </c>
    </row>
    <row r="11688" spans="1:4">
      <c r="A11688">
        <v>7170</v>
      </c>
      <c r="B11688" t="s">
        <v>12063</v>
      </c>
      <c r="C11688" t="s">
        <v>426</v>
      </c>
      <c r="D11688" s="106">
        <v>2.62</v>
      </c>
    </row>
    <row r="11689" spans="1:4">
      <c r="A11689">
        <v>37524</v>
      </c>
      <c r="B11689" t="s">
        <v>12064</v>
      </c>
      <c r="C11689" t="s">
        <v>429</v>
      </c>
      <c r="D11689" s="106">
        <v>2.4</v>
      </c>
    </row>
    <row r="11690" spans="1:4">
      <c r="A11690">
        <v>37525</v>
      </c>
      <c r="B11690" t="s">
        <v>12065</v>
      </c>
      <c r="C11690" t="s">
        <v>429</v>
      </c>
      <c r="D11690" s="106">
        <v>3.28</v>
      </c>
    </row>
    <row r="11691" spans="1:4">
      <c r="A11691">
        <v>36789</v>
      </c>
      <c r="B11691" t="s">
        <v>12066</v>
      </c>
      <c r="C11691" t="s">
        <v>427</v>
      </c>
      <c r="D11691" s="106">
        <v>2.77</v>
      </c>
    </row>
    <row r="11692" spans="1:4">
      <c r="A11692">
        <v>7173</v>
      </c>
      <c r="B11692" t="s">
        <v>12067</v>
      </c>
      <c r="C11692" t="s">
        <v>436</v>
      </c>
      <c r="D11692" s="107">
        <v>1789.99</v>
      </c>
    </row>
    <row r="11693" spans="1:4">
      <c r="A11693">
        <v>7175</v>
      </c>
      <c r="B11693" t="s">
        <v>12068</v>
      </c>
      <c r="C11693" t="s">
        <v>427</v>
      </c>
      <c r="D11693" s="106">
        <v>2.02</v>
      </c>
    </row>
    <row r="11694" spans="1:4">
      <c r="A11694">
        <v>40741</v>
      </c>
      <c r="B11694" t="s">
        <v>12069</v>
      </c>
      <c r="C11694" t="s">
        <v>427</v>
      </c>
      <c r="D11694" s="106">
        <v>2.8</v>
      </c>
    </row>
    <row r="11695" spans="1:4">
      <c r="A11695">
        <v>7184</v>
      </c>
      <c r="B11695" t="s">
        <v>12070</v>
      </c>
      <c r="C11695" t="s">
        <v>426</v>
      </c>
      <c r="D11695" s="106">
        <v>35.770000000000003</v>
      </c>
    </row>
    <row r="11696" spans="1:4">
      <c r="A11696">
        <v>34458</v>
      </c>
      <c r="B11696" t="s">
        <v>12071</v>
      </c>
      <c r="C11696" t="s">
        <v>427</v>
      </c>
      <c r="D11696" s="106">
        <v>166.26</v>
      </c>
    </row>
    <row r="11697" spans="1:4">
      <c r="A11697">
        <v>34464</v>
      </c>
      <c r="B11697" t="s">
        <v>12072</v>
      </c>
      <c r="C11697" t="s">
        <v>427</v>
      </c>
      <c r="D11697" s="106">
        <v>247.49</v>
      </c>
    </row>
    <row r="11698" spans="1:4">
      <c r="A11698">
        <v>34468</v>
      </c>
      <c r="B11698" t="s">
        <v>12073</v>
      </c>
      <c r="C11698" t="s">
        <v>427</v>
      </c>
      <c r="D11698" s="106">
        <v>312.02</v>
      </c>
    </row>
    <row r="11699" spans="1:4">
      <c r="A11699">
        <v>34473</v>
      </c>
      <c r="B11699" t="s">
        <v>12074</v>
      </c>
      <c r="C11699" t="s">
        <v>427</v>
      </c>
      <c r="D11699" s="106">
        <v>189.27</v>
      </c>
    </row>
    <row r="11700" spans="1:4">
      <c r="A11700">
        <v>34480</v>
      </c>
      <c r="B11700" t="s">
        <v>12075</v>
      </c>
      <c r="C11700" t="s">
        <v>427</v>
      </c>
      <c r="D11700" s="106">
        <v>349.79</v>
      </c>
    </row>
    <row r="11701" spans="1:4">
      <c r="A11701">
        <v>34486</v>
      </c>
      <c r="B11701" t="s">
        <v>12076</v>
      </c>
      <c r="C11701" t="s">
        <v>427</v>
      </c>
      <c r="D11701" s="106">
        <v>414.14</v>
      </c>
    </row>
    <row r="11702" spans="1:4">
      <c r="A11702">
        <v>7190</v>
      </c>
      <c r="B11702" t="s">
        <v>12077</v>
      </c>
      <c r="C11702" t="s">
        <v>427</v>
      </c>
      <c r="D11702" s="106">
        <v>13.82</v>
      </c>
    </row>
    <row r="11703" spans="1:4">
      <c r="A11703">
        <v>34417</v>
      </c>
      <c r="B11703" t="s">
        <v>12078</v>
      </c>
      <c r="C11703" t="s">
        <v>427</v>
      </c>
      <c r="D11703" s="106">
        <v>22.13</v>
      </c>
    </row>
    <row r="11704" spans="1:4">
      <c r="A11704">
        <v>7213</v>
      </c>
      <c r="B11704" t="s">
        <v>12079</v>
      </c>
      <c r="C11704" t="s">
        <v>426</v>
      </c>
      <c r="D11704" s="106">
        <v>20.29</v>
      </c>
    </row>
    <row r="11705" spans="1:4">
      <c r="A11705">
        <v>7195</v>
      </c>
      <c r="B11705" t="s">
        <v>12080</v>
      </c>
      <c r="C11705" t="s">
        <v>427</v>
      </c>
      <c r="D11705" s="106">
        <v>59.58</v>
      </c>
    </row>
    <row r="11706" spans="1:4">
      <c r="A11706">
        <v>7186</v>
      </c>
      <c r="B11706" t="s">
        <v>12081</v>
      </c>
      <c r="C11706" t="s">
        <v>427</v>
      </c>
      <c r="D11706" s="106">
        <v>64.900000000000006</v>
      </c>
    </row>
    <row r="11707" spans="1:4">
      <c r="A11707">
        <v>7194</v>
      </c>
      <c r="B11707" t="s">
        <v>12082</v>
      </c>
      <c r="C11707" t="s">
        <v>426</v>
      </c>
      <c r="D11707" s="106">
        <v>29.92</v>
      </c>
    </row>
    <row r="11708" spans="1:4">
      <c r="A11708">
        <v>7197</v>
      </c>
      <c r="B11708" t="s">
        <v>12083</v>
      </c>
      <c r="C11708" t="s">
        <v>427</v>
      </c>
      <c r="D11708" s="106">
        <v>126.29</v>
      </c>
    </row>
    <row r="11709" spans="1:4">
      <c r="A11709">
        <v>7192</v>
      </c>
      <c r="B11709" t="s">
        <v>12084</v>
      </c>
      <c r="C11709" t="s">
        <v>427</v>
      </c>
      <c r="D11709" s="106">
        <v>113.15</v>
      </c>
    </row>
    <row r="11710" spans="1:4">
      <c r="A11710">
        <v>7193</v>
      </c>
      <c r="B11710" t="s">
        <v>12085</v>
      </c>
      <c r="C11710" t="s">
        <v>427</v>
      </c>
      <c r="D11710" s="106">
        <v>127.39</v>
      </c>
    </row>
    <row r="11711" spans="1:4">
      <c r="A11711">
        <v>7189</v>
      </c>
      <c r="B11711" t="s">
        <v>12086</v>
      </c>
      <c r="C11711" t="s">
        <v>427</v>
      </c>
      <c r="D11711" s="106">
        <v>148.04</v>
      </c>
    </row>
    <row r="11712" spans="1:4">
      <c r="A11712">
        <v>34402</v>
      </c>
      <c r="B11712" t="s">
        <v>12087</v>
      </c>
      <c r="C11712" t="s">
        <v>427</v>
      </c>
      <c r="D11712" s="106">
        <v>209</v>
      </c>
    </row>
    <row r="11713" spans="1:4">
      <c r="A11713">
        <v>7245</v>
      </c>
      <c r="B11713" t="s">
        <v>12088</v>
      </c>
      <c r="C11713" t="s">
        <v>427</v>
      </c>
      <c r="D11713" s="106">
        <v>45.79</v>
      </c>
    </row>
    <row r="11714" spans="1:4">
      <c r="A11714">
        <v>34425</v>
      </c>
      <c r="B11714" t="s">
        <v>12089</v>
      </c>
      <c r="C11714" t="s">
        <v>427</v>
      </c>
      <c r="D11714" s="106">
        <v>134.26</v>
      </c>
    </row>
    <row r="11715" spans="1:4">
      <c r="A11715">
        <v>7223</v>
      </c>
      <c r="B11715" t="s">
        <v>12090</v>
      </c>
      <c r="C11715" t="s">
        <v>427</v>
      </c>
      <c r="D11715" s="106">
        <v>149.62</v>
      </c>
    </row>
    <row r="11716" spans="1:4">
      <c r="A11716">
        <v>7234</v>
      </c>
      <c r="B11716" t="s">
        <v>12091</v>
      </c>
      <c r="C11716" t="s">
        <v>427</v>
      </c>
      <c r="D11716" s="106">
        <v>225.78</v>
      </c>
    </row>
    <row r="11717" spans="1:4">
      <c r="A11717">
        <v>7224</v>
      </c>
      <c r="B11717" t="s">
        <v>12092</v>
      </c>
      <c r="C11717" t="s">
        <v>427</v>
      </c>
      <c r="D11717" s="106">
        <v>275.06</v>
      </c>
    </row>
    <row r="11718" spans="1:4">
      <c r="A11718">
        <v>7225</v>
      </c>
      <c r="B11718" t="s">
        <v>12093</v>
      </c>
      <c r="C11718" t="s">
        <v>427</v>
      </c>
      <c r="D11718" s="106">
        <v>294.93</v>
      </c>
    </row>
    <row r="11719" spans="1:4">
      <c r="A11719">
        <v>7226</v>
      </c>
      <c r="B11719" t="s">
        <v>12094</v>
      </c>
      <c r="C11719" t="s">
        <v>427</v>
      </c>
      <c r="D11719" s="106">
        <v>314.74</v>
      </c>
    </row>
    <row r="11720" spans="1:4">
      <c r="A11720">
        <v>7227</v>
      </c>
      <c r="B11720" t="s">
        <v>12095</v>
      </c>
      <c r="C11720" t="s">
        <v>427</v>
      </c>
      <c r="D11720" s="106">
        <v>358.25</v>
      </c>
    </row>
    <row r="11721" spans="1:4">
      <c r="A11721">
        <v>7212</v>
      </c>
      <c r="B11721" t="s">
        <v>12096</v>
      </c>
      <c r="C11721" t="s">
        <v>427</v>
      </c>
      <c r="D11721" s="106">
        <v>393.63</v>
      </c>
    </row>
    <row r="11722" spans="1:4">
      <c r="A11722">
        <v>7229</v>
      </c>
      <c r="B11722" t="s">
        <v>12097</v>
      </c>
      <c r="C11722" t="s">
        <v>427</v>
      </c>
      <c r="D11722" s="106">
        <v>249.51</v>
      </c>
    </row>
    <row r="11723" spans="1:4">
      <c r="A11723">
        <v>7230</v>
      </c>
      <c r="B11723" t="s">
        <v>12098</v>
      </c>
      <c r="C11723" t="s">
        <v>427</v>
      </c>
      <c r="D11723" s="106">
        <v>415.38</v>
      </c>
    </row>
    <row r="11724" spans="1:4">
      <c r="A11724">
        <v>7231</v>
      </c>
      <c r="B11724" t="s">
        <v>12099</v>
      </c>
      <c r="C11724" t="s">
        <v>427</v>
      </c>
      <c r="D11724" s="106">
        <v>589.26</v>
      </c>
    </row>
    <row r="11725" spans="1:4">
      <c r="A11725">
        <v>7220</v>
      </c>
      <c r="B11725" t="s">
        <v>12100</v>
      </c>
      <c r="C11725" t="s">
        <v>427</v>
      </c>
      <c r="D11725" s="106">
        <v>727.38</v>
      </c>
    </row>
    <row r="11726" spans="1:4">
      <c r="A11726">
        <v>34447</v>
      </c>
      <c r="B11726" t="s">
        <v>12101</v>
      </c>
      <c r="C11726" t="s">
        <v>427</v>
      </c>
      <c r="D11726" s="106">
        <v>813.32</v>
      </c>
    </row>
    <row r="11727" spans="1:4">
      <c r="A11727">
        <v>7233</v>
      </c>
      <c r="B11727" t="s">
        <v>12102</v>
      </c>
      <c r="C11727" t="s">
        <v>427</v>
      </c>
      <c r="D11727" s="106">
        <v>933</v>
      </c>
    </row>
    <row r="11728" spans="1:4">
      <c r="A11728">
        <v>40740</v>
      </c>
      <c r="B11728" t="s">
        <v>12103</v>
      </c>
      <c r="C11728" t="s">
        <v>426</v>
      </c>
      <c r="D11728" s="106">
        <v>179.98</v>
      </c>
    </row>
    <row r="11729" spans="1:4">
      <c r="A11729">
        <v>25007</v>
      </c>
      <c r="B11729" t="s">
        <v>12104</v>
      </c>
      <c r="C11729" t="s">
        <v>426</v>
      </c>
      <c r="D11729" s="106">
        <v>51.5</v>
      </c>
    </row>
    <row r="11730" spans="1:4">
      <c r="A11730">
        <v>43071</v>
      </c>
      <c r="B11730" t="s">
        <v>12105</v>
      </c>
      <c r="C11730" t="s">
        <v>426</v>
      </c>
      <c r="D11730" s="106">
        <v>202.65</v>
      </c>
    </row>
    <row r="11731" spans="1:4">
      <c r="A11731">
        <v>39520</v>
      </c>
      <c r="B11731" t="s">
        <v>12106</v>
      </c>
      <c r="C11731" t="s">
        <v>426</v>
      </c>
      <c r="D11731" s="106">
        <v>165.33</v>
      </c>
    </row>
    <row r="11732" spans="1:4">
      <c r="A11732">
        <v>39521</v>
      </c>
      <c r="B11732" t="s">
        <v>12107</v>
      </c>
      <c r="C11732" t="s">
        <v>426</v>
      </c>
      <c r="D11732" s="106">
        <v>170.73</v>
      </c>
    </row>
    <row r="11733" spans="1:4">
      <c r="A11733">
        <v>39522</v>
      </c>
      <c r="B11733" t="s">
        <v>12108</v>
      </c>
      <c r="C11733" t="s">
        <v>426</v>
      </c>
      <c r="D11733" s="106">
        <v>176.3</v>
      </c>
    </row>
    <row r="11734" spans="1:4">
      <c r="A11734">
        <v>7243</v>
      </c>
      <c r="B11734" t="s">
        <v>12109</v>
      </c>
      <c r="C11734" t="s">
        <v>426</v>
      </c>
      <c r="D11734" s="106">
        <v>53.81</v>
      </c>
    </row>
    <row r="11735" spans="1:4">
      <c r="A11735">
        <v>11067</v>
      </c>
      <c r="B11735" t="s">
        <v>12110</v>
      </c>
      <c r="C11735" t="s">
        <v>427</v>
      </c>
      <c r="D11735" s="106">
        <v>481.54</v>
      </c>
    </row>
    <row r="11736" spans="1:4">
      <c r="A11736">
        <v>11068</v>
      </c>
      <c r="B11736" t="s">
        <v>12111</v>
      </c>
      <c r="C11736" t="s">
        <v>427</v>
      </c>
      <c r="D11736" s="106">
        <v>608.35</v>
      </c>
    </row>
    <row r="11737" spans="1:4">
      <c r="A11737">
        <v>7246</v>
      </c>
      <c r="B11737" t="s">
        <v>12112</v>
      </c>
      <c r="C11737" t="s">
        <v>427</v>
      </c>
      <c r="D11737" s="106">
        <v>50.57</v>
      </c>
    </row>
    <row r="11738" spans="1:4">
      <c r="A11738">
        <v>41097</v>
      </c>
      <c r="B11738" t="s">
        <v>12113</v>
      </c>
      <c r="C11738" t="s">
        <v>433</v>
      </c>
      <c r="D11738" s="107">
        <v>2781.48</v>
      </c>
    </row>
    <row r="11739" spans="1:4">
      <c r="A11739">
        <v>12869</v>
      </c>
      <c r="B11739" t="s">
        <v>20504</v>
      </c>
      <c r="C11739" t="s">
        <v>432</v>
      </c>
      <c r="D11739" s="106">
        <v>15.74</v>
      </c>
    </row>
    <row r="11740" spans="1:4">
      <c r="A11740">
        <v>1574</v>
      </c>
      <c r="B11740" t="s">
        <v>12114</v>
      </c>
      <c r="C11740" t="s">
        <v>427</v>
      </c>
      <c r="D11740" s="106">
        <v>1.27</v>
      </c>
    </row>
    <row r="11741" spans="1:4">
      <c r="A11741">
        <v>1581</v>
      </c>
      <c r="B11741" t="s">
        <v>12115</v>
      </c>
      <c r="C11741" t="s">
        <v>427</v>
      </c>
      <c r="D11741" s="106">
        <v>8.83</v>
      </c>
    </row>
    <row r="11742" spans="1:4">
      <c r="A11742">
        <v>1575</v>
      </c>
      <c r="B11742" t="s">
        <v>12116</v>
      </c>
      <c r="C11742" t="s">
        <v>427</v>
      </c>
      <c r="D11742" s="106">
        <v>1.51</v>
      </c>
    </row>
    <row r="11743" spans="1:4">
      <c r="A11743">
        <v>1570</v>
      </c>
      <c r="B11743" t="s">
        <v>12117</v>
      </c>
      <c r="C11743" t="s">
        <v>427</v>
      </c>
      <c r="D11743" s="106">
        <v>0.76</v>
      </c>
    </row>
    <row r="11744" spans="1:4">
      <c r="A11744">
        <v>1576</v>
      </c>
      <c r="B11744" t="s">
        <v>12118</v>
      </c>
      <c r="C11744" t="s">
        <v>427</v>
      </c>
      <c r="D11744" s="106">
        <v>2.09</v>
      </c>
    </row>
    <row r="11745" spans="1:4">
      <c r="A11745">
        <v>1577</v>
      </c>
      <c r="B11745" t="s">
        <v>12119</v>
      </c>
      <c r="C11745" t="s">
        <v>427</v>
      </c>
      <c r="D11745" s="106">
        <v>2.36</v>
      </c>
    </row>
    <row r="11746" spans="1:4">
      <c r="A11746">
        <v>1571</v>
      </c>
      <c r="B11746" t="s">
        <v>12120</v>
      </c>
      <c r="C11746" t="s">
        <v>427</v>
      </c>
      <c r="D11746" s="106">
        <v>0.99</v>
      </c>
    </row>
    <row r="11747" spans="1:4">
      <c r="A11747">
        <v>1578</v>
      </c>
      <c r="B11747" t="s">
        <v>12121</v>
      </c>
      <c r="C11747" t="s">
        <v>427</v>
      </c>
      <c r="D11747" s="106">
        <v>4.09</v>
      </c>
    </row>
    <row r="11748" spans="1:4">
      <c r="A11748">
        <v>1573</v>
      </c>
      <c r="B11748" t="s">
        <v>12122</v>
      </c>
      <c r="C11748" t="s">
        <v>427</v>
      </c>
      <c r="D11748" s="106">
        <v>1.18</v>
      </c>
    </row>
    <row r="11749" spans="1:4">
      <c r="A11749">
        <v>1579</v>
      </c>
      <c r="B11749" t="s">
        <v>12123</v>
      </c>
      <c r="C11749" t="s">
        <v>427</v>
      </c>
      <c r="D11749" s="106">
        <v>5.0999999999999996</v>
      </c>
    </row>
    <row r="11750" spans="1:4">
      <c r="A11750">
        <v>1580</v>
      </c>
      <c r="B11750" t="s">
        <v>12124</v>
      </c>
      <c r="C11750" t="s">
        <v>427</v>
      </c>
      <c r="D11750" s="106">
        <v>6.28</v>
      </c>
    </row>
    <row r="11751" spans="1:4">
      <c r="A11751">
        <v>39321</v>
      </c>
      <c r="B11751" t="s">
        <v>12125</v>
      </c>
      <c r="C11751" t="s">
        <v>427</v>
      </c>
      <c r="D11751" s="106">
        <v>21.84</v>
      </c>
    </row>
    <row r="11752" spans="1:4">
      <c r="A11752">
        <v>39319</v>
      </c>
      <c r="B11752" t="s">
        <v>12126</v>
      </c>
      <c r="C11752" t="s">
        <v>427</v>
      </c>
      <c r="D11752" s="106">
        <v>8.5299999999999994</v>
      </c>
    </row>
    <row r="11753" spans="1:4">
      <c r="A11753">
        <v>39320</v>
      </c>
      <c r="B11753" t="s">
        <v>12127</v>
      </c>
      <c r="C11753" t="s">
        <v>427</v>
      </c>
      <c r="D11753" s="106">
        <v>14.18</v>
      </c>
    </row>
    <row r="11754" spans="1:4">
      <c r="A11754">
        <v>1591</v>
      </c>
      <c r="B11754" t="s">
        <v>12128</v>
      </c>
      <c r="C11754" t="s">
        <v>427</v>
      </c>
      <c r="D11754" s="106">
        <v>19.48</v>
      </c>
    </row>
    <row r="11755" spans="1:4">
      <c r="A11755">
        <v>1547</v>
      </c>
      <c r="B11755" t="s">
        <v>12129</v>
      </c>
      <c r="C11755" t="s">
        <v>427</v>
      </c>
      <c r="D11755" s="106">
        <v>102.08</v>
      </c>
    </row>
    <row r="11756" spans="1:4">
      <c r="A11756">
        <v>38196</v>
      </c>
      <c r="B11756" t="s">
        <v>12130</v>
      </c>
      <c r="C11756" t="s">
        <v>427</v>
      </c>
      <c r="D11756" s="106">
        <v>19.88</v>
      </c>
    </row>
    <row r="11757" spans="1:4">
      <c r="A11757">
        <v>1543</v>
      </c>
      <c r="B11757" t="s">
        <v>12131</v>
      </c>
      <c r="C11757" t="s">
        <v>427</v>
      </c>
      <c r="D11757" s="106">
        <v>21.13</v>
      </c>
    </row>
    <row r="11758" spans="1:4">
      <c r="A11758">
        <v>1585</v>
      </c>
      <c r="B11758" t="s">
        <v>12132</v>
      </c>
      <c r="C11758" t="s">
        <v>427</v>
      </c>
      <c r="D11758" s="106">
        <v>4.09</v>
      </c>
    </row>
    <row r="11759" spans="1:4">
      <c r="A11759">
        <v>1593</v>
      </c>
      <c r="B11759" t="s">
        <v>12133</v>
      </c>
      <c r="C11759" t="s">
        <v>427</v>
      </c>
      <c r="D11759" s="106">
        <v>21.73</v>
      </c>
    </row>
    <row r="11760" spans="1:4">
      <c r="A11760">
        <v>11838</v>
      </c>
      <c r="B11760" t="s">
        <v>12134</v>
      </c>
      <c r="C11760" t="s">
        <v>427</v>
      </c>
      <c r="D11760" s="106">
        <v>28.67</v>
      </c>
    </row>
    <row r="11761" spans="1:4">
      <c r="A11761">
        <v>1594</v>
      </c>
      <c r="B11761" t="s">
        <v>12135</v>
      </c>
      <c r="C11761" t="s">
        <v>427</v>
      </c>
      <c r="D11761" s="106">
        <v>28.98</v>
      </c>
    </row>
    <row r="11762" spans="1:4">
      <c r="A11762">
        <v>1586</v>
      </c>
      <c r="B11762" t="s">
        <v>12136</v>
      </c>
      <c r="C11762" t="s">
        <v>427</v>
      </c>
      <c r="D11762" s="106">
        <v>5.18</v>
      </c>
    </row>
    <row r="11763" spans="1:4">
      <c r="A11763">
        <v>11839</v>
      </c>
      <c r="B11763" t="s">
        <v>12137</v>
      </c>
      <c r="C11763" t="s">
        <v>427</v>
      </c>
      <c r="D11763" s="106">
        <v>41.71</v>
      </c>
    </row>
    <row r="11764" spans="1:4">
      <c r="A11764">
        <v>1587</v>
      </c>
      <c r="B11764" t="s">
        <v>12138</v>
      </c>
      <c r="C11764" t="s">
        <v>427</v>
      </c>
      <c r="D11764" s="106">
        <v>5.27</v>
      </c>
    </row>
    <row r="11765" spans="1:4">
      <c r="A11765">
        <v>1545</v>
      </c>
      <c r="B11765" t="s">
        <v>12139</v>
      </c>
      <c r="C11765" t="s">
        <v>427</v>
      </c>
      <c r="D11765" s="106">
        <v>50.06</v>
      </c>
    </row>
    <row r="11766" spans="1:4">
      <c r="A11766">
        <v>1588</v>
      </c>
      <c r="B11766" t="s">
        <v>12140</v>
      </c>
      <c r="C11766" t="s">
        <v>427</v>
      </c>
      <c r="D11766" s="106">
        <v>7.23</v>
      </c>
    </row>
    <row r="11767" spans="1:4">
      <c r="A11767">
        <v>1535</v>
      </c>
      <c r="B11767" t="s">
        <v>12141</v>
      </c>
      <c r="C11767" t="s">
        <v>427</v>
      </c>
      <c r="D11767" s="106">
        <v>4.17</v>
      </c>
    </row>
    <row r="11768" spans="1:4">
      <c r="A11768">
        <v>1589</v>
      </c>
      <c r="B11768" t="s">
        <v>12142</v>
      </c>
      <c r="C11768" t="s">
        <v>427</v>
      </c>
      <c r="D11768" s="106">
        <v>7.46</v>
      </c>
    </row>
    <row r="11769" spans="1:4">
      <c r="A11769">
        <v>1546</v>
      </c>
      <c r="B11769" t="s">
        <v>12143</v>
      </c>
      <c r="C11769" t="s">
        <v>427</v>
      </c>
      <c r="D11769" s="106">
        <v>84.47</v>
      </c>
    </row>
    <row r="11770" spans="1:4">
      <c r="A11770">
        <v>1590</v>
      </c>
      <c r="B11770" t="s">
        <v>12144</v>
      </c>
      <c r="C11770" t="s">
        <v>427</v>
      </c>
      <c r="D11770" s="106">
        <v>13.14</v>
      </c>
    </row>
    <row r="11771" spans="1:4">
      <c r="A11771">
        <v>1542</v>
      </c>
      <c r="B11771" t="s">
        <v>12145</v>
      </c>
      <c r="C11771" t="s">
        <v>427</v>
      </c>
      <c r="D11771" s="106">
        <v>17.399999999999999</v>
      </c>
    </row>
    <row r="11772" spans="1:4">
      <c r="A11772">
        <v>38415</v>
      </c>
      <c r="B11772" t="s">
        <v>12146</v>
      </c>
      <c r="C11772" t="s">
        <v>427</v>
      </c>
      <c r="D11772" s="107">
        <v>1311.09</v>
      </c>
    </row>
    <row r="11773" spans="1:4">
      <c r="A11773">
        <v>38414</v>
      </c>
      <c r="B11773" t="s">
        <v>12147</v>
      </c>
      <c r="C11773" t="s">
        <v>427</v>
      </c>
      <c r="D11773" s="107">
        <v>1840.13</v>
      </c>
    </row>
    <row r="11774" spans="1:4">
      <c r="A11774">
        <v>38128</v>
      </c>
      <c r="B11774" t="s">
        <v>12148</v>
      </c>
      <c r="C11774" t="s">
        <v>430</v>
      </c>
      <c r="D11774" s="106">
        <v>0.67</v>
      </c>
    </row>
    <row r="11775" spans="1:4">
      <c r="A11775">
        <v>7253</v>
      </c>
      <c r="B11775" t="s">
        <v>12149</v>
      </c>
      <c r="C11775" t="s">
        <v>431</v>
      </c>
      <c r="D11775" s="106">
        <v>143.57</v>
      </c>
    </row>
    <row r="11776" spans="1:4">
      <c r="A11776">
        <v>4806</v>
      </c>
      <c r="B11776" t="s">
        <v>12150</v>
      </c>
      <c r="C11776" t="s">
        <v>429</v>
      </c>
      <c r="D11776" s="106">
        <v>15.24</v>
      </c>
    </row>
    <row r="11777" spans="1:4">
      <c r="A11777">
        <v>34401</v>
      </c>
      <c r="B11777" t="s">
        <v>12151</v>
      </c>
      <c r="C11777" t="s">
        <v>427</v>
      </c>
      <c r="D11777" s="106">
        <v>2.13</v>
      </c>
    </row>
    <row r="11778" spans="1:4">
      <c r="A11778">
        <v>7260</v>
      </c>
      <c r="B11778" t="s">
        <v>12152</v>
      </c>
      <c r="C11778" t="s">
        <v>427</v>
      </c>
      <c r="D11778" s="106">
        <v>1.89</v>
      </c>
    </row>
    <row r="11779" spans="1:4">
      <c r="A11779">
        <v>7256</v>
      </c>
      <c r="B11779" t="s">
        <v>12153</v>
      </c>
      <c r="C11779" t="s">
        <v>427</v>
      </c>
      <c r="D11779" s="106">
        <v>1.87</v>
      </c>
    </row>
    <row r="11780" spans="1:4">
      <c r="A11780">
        <v>7258</v>
      </c>
      <c r="B11780" t="s">
        <v>12154</v>
      </c>
      <c r="C11780" t="s">
        <v>427</v>
      </c>
      <c r="D11780" s="106">
        <v>0.77</v>
      </c>
    </row>
    <row r="11781" spans="1:4">
      <c r="A11781">
        <v>34400</v>
      </c>
      <c r="B11781" t="s">
        <v>12155</v>
      </c>
      <c r="C11781" t="s">
        <v>427</v>
      </c>
      <c r="D11781" s="106">
        <v>3.28</v>
      </c>
    </row>
    <row r="11782" spans="1:4">
      <c r="A11782">
        <v>10617</v>
      </c>
      <c r="B11782" t="s">
        <v>12156</v>
      </c>
      <c r="C11782" t="s">
        <v>427</v>
      </c>
      <c r="D11782" s="106">
        <v>6.27</v>
      </c>
    </row>
    <row r="11783" spans="1:4">
      <c r="A11783">
        <v>7274</v>
      </c>
      <c r="B11783" t="s">
        <v>12157</v>
      </c>
      <c r="C11783" t="s">
        <v>427</v>
      </c>
      <c r="D11783" s="106">
        <v>64.459999999999994</v>
      </c>
    </row>
    <row r="11784" spans="1:4">
      <c r="A11784">
        <v>11663</v>
      </c>
      <c r="B11784" t="s">
        <v>12158</v>
      </c>
      <c r="C11784" t="s">
        <v>427</v>
      </c>
      <c r="D11784" s="106">
        <v>530.29</v>
      </c>
    </row>
    <row r="11785" spans="1:4">
      <c r="A11785">
        <v>154</v>
      </c>
      <c r="B11785" t="s">
        <v>12159</v>
      </c>
      <c r="C11785" t="s">
        <v>428</v>
      </c>
      <c r="D11785" s="106">
        <v>55.36</v>
      </c>
    </row>
    <row r="11786" spans="1:4">
      <c r="A11786">
        <v>38121</v>
      </c>
      <c r="B11786" t="s">
        <v>12160</v>
      </c>
      <c r="C11786" t="s">
        <v>428</v>
      </c>
      <c r="D11786" s="106">
        <v>8.19</v>
      </c>
    </row>
    <row r="11787" spans="1:4">
      <c r="A11787">
        <v>43776</v>
      </c>
      <c r="B11787" t="s">
        <v>12161</v>
      </c>
      <c r="C11787" t="s">
        <v>428</v>
      </c>
      <c r="D11787" s="106">
        <v>20.28</v>
      </c>
    </row>
    <row r="11788" spans="1:4">
      <c r="A11788">
        <v>7343</v>
      </c>
      <c r="B11788" t="s">
        <v>12162</v>
      </c>
      <c r="C11788" t="s">
        <v>428</v>
      </c>
      <c r="D11788" s="106">
        <v>7.25</v>
      </c>
    </row>
    <row r="11789" spans="1:4">
      <c r="A11789">
        <v>7348</v>
      </c>
      <c r="B11789" t="s">
        <v>12163</v>
      </c>
      <c r="C11789" t="s">
        <v>428</v>
      </c>
      <c r="D11789" s="106">
        <v>15.02</v>
      </c>
    </row>
    <row r="11790" spans="1:4">
      <c r="A11790">
        <v>7313</v>
      </c>
      <c r="B11790" t="s">
        <v>12164</v>
      </c>
      <c r="C11790" t="s">
        <v>428</v>
      </c>
      <c r="D11790" s="106">
        <v>36.549999999999997</v>
      </c>
    </row>
    <row r="11791" spans="1:4">
      <c r="A11791">
        <v>7319</v>
      </c>
      <c r="B11791" t="s">
        <v>12165</v>
      </c>
      <c r="C11791" t="s">
        <v>428</v>
      </c>
      <c r="D11791" s="106">
        <v>20.92</v>
      </c>
    </row>
    <row r="11792" spans="1:4">
      <c r="A11792">
        <v>7314</v>
      </c>
      <c r="B11792" t="s">
        <v>12166</v>
      </c>
      <c r="C11792" t="s">
        <v>428</v>
      </c>
      <c r="D11792" s="106">
        <v>32.46</v>
      </c>
    </row>
    <row r="11793" spans="1:4">
      <c r="A11793">
        <v>7304</v>
      </c>
      <c r="B11793" t="s">
        <v>12167</v>
      </c>
      <c r="C11793" t="s">
        <v>428</v>
      </c>
      <c r="D11793" s="106">
        <v>60.12</v>
      </c>
    </row>
    <row r="11794" spans="1:4">
      <c r="A11794">
        <v>43649</v>
      </c>
      <c r="B11794" t="s">
        <v>12168</v>
      </c>
      <c r="C11794" t="s">
        <v>428</v>
      </c>
      <c r="D11794" s="106">
        <v>31.09</v>
      </c>
    </row>
    <row r="11795" spans="1:4">
      <c r="A11795">
        <v>43650</v>
      </c>
      <c r="B11795" t="s">
        <v>12169</v>
      </c>
      <c r="C11795" t="s">
        <v>428</v>
      </c>
      <c r="D11795" s="106">
        <v>29.38</v>
      </c>
    </row>
    <row r="11796" spans="1:4">
      <c r="A11796">
        <v>7311</v>
      </c>
      <c r="B11796" t="s">
        <v>12170</v>
      </c>
      <c r="C11796" t="s">
        <v>428</v>
      </c>
      <c r="D11796" s="106">
        <v>30.1</v>
      </c>
    </row>
    <row r="11797" spans="1:4">
      <c r="A11797">
        <v>7292</v>
      </c>
      <c r="B11797" t="s">
        <v>12171</v>
      </c>
      <c r="C11797" t="s">
        <v>428</v>
      </c>
      <c r="D11797" s="106">
        <v>29.14</v>
      </c>
    </row>
    <row r="11798" spans="1:4">
      <c r="A11798">
        <v>7293</v>
      </c>
      <c r="B11798" t="s">
        <v>12172</v>
      </c>
      <c r="C11798" t="s">
        <v>428</v>
      </c>
      <c r="D11798" s="106">
        <v>32.24</v>
      </c>
    </row>
    <row r="11799" spans="1:4">
      <c r="A11799">
        <v>7306</v>
      </c>
      <c r="B11799" t="s">
        <v>12173</v>
      </c>
      <c r="C11799" t="s">
        <v>428</v>
      </c>
      <c r="D11799" s="106">
        <v>35.58</v>
      </c>
    </row>
    <row r="11800" spans="1:4">
      <c r="A11800">
        <v>7288</v>
      </c>
      <c r="B11800" t="s">
        <v>12174</v>
      </c>
      <c r="C11800" t="s">
        <v>428</v>
      </c>
      <c r="D11800" s="106">
        <v>29.54</v>
      </c>
    </row>
    <row r="11801" spans="1:4">
      <c r="A11801">
        <v>43625</v>
      </c>
      <c r="B11801" t="s">
        <v>12175</v>
      </c>
      <c r="C11801" t="s">
        <v>428</v>
      </c>
      <c r="D11801" s="106">
        <v>23.85</v>
      </c>
    </row>
    <row r="11802" spans="1:4">
      <c r="A11802">
        <v>43647</v>
      </c>
      <c r="B11802" t="s">
        <v>12176</v>
      </c>
      <c r="C11802" t="s">
        <v>428</v>
      </c>
      <c r="D11802" s="106">
        <v>21.66</v>
      </c>
    </row>
    <row r="11803" spans="1:4">
      <c r="A11803">
        <v>43648</v>
      </c>
      <c r="B11803" t="s">
        <v>12177</v>
      </c>
      <c r="C11803" t="s">
        <v>428</v>
      </c>
      <c r="D11803" s="106">
        <v>20.9</v>
      </c>
    </row>
    <row r="11804" spans="1:4">
      <c r="A11804">
        <v>35693</v>
      </c>
      <c r="B11804" t="s">
        <v>12178</v>
      </c>
      <c r="C11804" t="s">
        <v>428</v>
      </c>
      <c r="D11804" s="106">
        <v>9.34</v>
      </c>
    </row>
    <row r="11805" spans="1:4">
      <c r="A11805">
        <v>7356</v>
      </c>
      <c r="B11805" t="s">
        <v>12179</v>
      </c>
      <c r="C11805" t="s">
        <v>428</v>
      </c>
      <c r="D11805" s="106">
        <v>22.4</v>
      </c>
    </row>
    <row r="11806" spans="1:4">
      <c r="A11806">
        <v>35692</v>
      </c>
      <c r="B11806" t="s">
        <v>12180</v>
      </c>
      <c r="C11806" t="s">
        <v>428</v>
      </c>
      <c r="D11806" s="106">
        <v>14.66</v>
      </c>
    </row>
    <row r="11807" spans="1:4">
      <c r="A11807">
        <v>43624</v>
      </c>
      <c r="B11807" t="s">
        <v>12181</v>
      </c>
      <c r="C11807" t="s">
        <v>428</v>
      </c>
      <c r="D11807" s="106">
        <v>27.3</v>
      </c>
    </row>
    <row r="11808" spans="1:4">
      <c r="A11808">
        <v>7342</v>
      </c>
      <c r="B11808" t="s">
        <v>12182</v>
      </c>
      <c r="C11808" t="s">
        <v>430</v>
      </c>
      <c r="D11808" s="106">
        <v>4.01</v>
      </c>
    </row>
    <row r="11809" spans="1:4">
      <c r="A11809">
        <v>7350</v>
      </c>
      <c r="B11809" t="s">
        <v>12183</v>
      </c>
      <c r="C11809" t="s">
        <v>428</v>
      </c>
      <c r="D11809" s="106">
        <v>32.33</v>
      </c>
    </row>
    <row r="11810" spans="1:4">
      <c r="A11810">
        <v>39574</v>
      </c>
      <c r="B11810" t="s">
        <v>12184</v>
      </c>
      <c r="C11810" t="s">
        <v>427</v>
      </c>
      <c r="D11810" s="106">
        <v>6.67</v>
      </c>
    </row>
    <row r="11811" spans="1:4">
      <c r="A11811">
        <v>11060</v>
      </c>
      <c r="B11811" t="s">
        <v>12185</v>
      </c>
      <c r="C11811" t="s">
        <v>427</v>
      </c>
      <c r="D11811" s="106">
        <v>41.58</v>
      </c>
    </row>
    <row r="11812" spans="1:4">
      <c r="A11812">
        <v>37401</v>
      </c>
      <c r="B11812" t="s">
        <v>12186</v>
      </c>
      <c r="C11812" t="s">
        <v>427</v>
      </c>
      <c r="D11812" s="106">
        <v>79.02</v>
      </c>
    </row>
    <row r="11813" spans="1:4">
      <c r="A11813">
        <v>7525</v>
      </c>
      <c r="B11813" t="s">
        <v>12187</v>
      </c>
      <c r="C11813" t="s">
        <v>427</v>
      </c>
      <c r="D11813" s="106">
        <v>38.85</v>
      </c>
    </row>
    <row r="11814" spans="1:4">
      <c r="A11814">
        <v>7524</v>
      </c>
      <c r="B11814" t="s">
        <v>12188</v>
      </c>
      <c r="C11814" t="s">
        <v>427</v>
      </c>
      <c r="D11814" s="106">
        <v>36.61</v>
      </c>
    </row>
    <row r="11815" spans="1:4">
      <c r="A11815">
        <v>38105</v>
      </c>
      <c r="B11815" t="s">
        <v>12189</v>
      </c>
      <c r="C11815" t="s">
        <v>427</v>
      </c>
      <c r="D11815" s="106">
        <v>9.4</v>
      </c>
    </row>
    <row r="11816" spans="1:4">
      <c r="A11816">
        <v>38084</v>
      </c>
      <c r="B11816" t="s">
        <v>12190</v>
      </c>
      <c r="C11816" t="s">
        <v>427</v>
      </c>
      <c r="D11816" s="106">
        <v>13.35</v>
      </c>
    </row>
    <row r="11817" spans="1:4">
      <c r="A11817">
        <v>38103</v>
      </c>
      <c r="B11817" t="s">
        <v>12191</v>
      </c>
      <c r="C11817" t="s">
        <v>427</v>
      </c>
      <c r="D11817" s="106">
        <v>14.12</v>
      </c>
    </row>
    <row r="11818" spans="1:4">
      <c r="A11818">
        <v>38082</v>
      </c>
      <c r="B11818" t="s">
        <v>12192</v>
      </c>
      <c r="C11818" t="s">
        <v>427</v>
      </c>
      <c r="D11818" s="106">
        <v>17.39</v>
      </c>
    </row>
    <row r="11819" spans="1:4">
      <c r="A11819">
        <v>38104</v>
      </c>
      <c r="B11819" t="s">
        <v>12193</v>
      </c>
      <c r="C11819" t="s">
        <v>427</v>
      </c>
      <c r="D11819" s="106">
        <v>27.64</v>
      </c>
    </row>
    <row r="11820" spans="1:4">
      <c r="A11820">
        <v>38083</v>
      </c>
      <c r="B11820" t="s">
        <v>12194</v>
      </c>
      <c r="C11820" t="s">
        <v>427</v>
      </c>
      <c r="D11820" s="106">
        <v>30.69</v>
      </c>
    </row>
    <row r="11821" spans="1:4">
      <c r="A11821">
        <v>38101</v>
      </c>
      <c r="B11821" t="s">
        <v>12195</v>
      </c>
      <c r="C11821" t="s">
        <v>427</v>
      </c>
      <c r="D11821" s="106">
        <v>6.71</v>
      </c>
    </row>
    <row r="11822" spans="1:4">
      <c r="A11822">
        <v>7528</v>
      </c>
      <c r="B11822" t="s">
        <v>12196</v>
      </c>
      <c r="C11822" t="s">
        <v>427</v>
      </c>
      <c r="D11822" s="106">
        <v>7.89</v>
      </c>
    </row>
    <row r="11823" spans="1:4">
      <c r="A11823">
        <v>12147</v>
      </c>
      <c r="B11823" t="s">
        <v>12197</v>
      </c>
      <c r="C11823" t="s">
        <v>427</v>
      </c>
      <c r="D11823" s="106">
        <v>12.03</v>
      </c>
    </row>
    <row r="11824" spans="1:4">
      <c r="A11824">
        <v>38075</v>
      </c>
      <c r="B11824" t="s">
        <v>12198</v>
      </c>
      <c r="C11824" t="s">
        <v>427</v>
      </c>
      <c r="D11824" s="106">
        <v>13.66</v>
      </c>
    </row>
    <row r="11825" spans="1:4">
      <c r="A11825">
        <v>38102</v>
      </c>
      <c r="B11825" t="s">
        <v>12199</v>
      </c>
      <c r="C11825" t="s">
        <v>427</v>
      </c>
      <c r="D11825" s="106">
        <v>8.59</v>
      </c>
    </row>
    <row r="11826" spans="1:4">
      <c r="A11826">
        <v>38076</v>
      </c>
      <c r="B11826" t="s">
        <v>12200</v>
      </c>
      <c r="C11826" t="s">
        <v>427</v>
      </c>
      <c r="D11826" s="106">
        <v>15.32</v>
      </c>
    </row>
    <row r="11827" spans="1:4">
      <c r="A11827">
        <v>7592</v>
      </c>
      <c r="B11827" t="s">
        <v>12201</v>
      </c>
      <c r="C11827" t="s">
        <v>432</v>
      </c>
      <c r="D11827" s="106">
        <v>15.93</v>
      </c>
    </row>
    <row r="11828" spans="1:4">
      <c r="A11828">
        <v>40820</v>
      </c>
      <c r="B11828" t="s">
        <v>12202</v>
      </c>
      <c r="C11828" t="s">
        <v>433</v>
      </c>
      <c r="D11828" s="107">
        <v>2814.94</v>
      </c>
    </row>
    <row r="11829" spans="1:4">
      <c r="A11829">
        <v>11826</v>
      </c>
      <c r="B11829" t="s">
        <v>12203</v>
      </c>
      <c r="C11829" t="s">
        <v>427</v>
      </c>
      <c r="D11829" s="106">
        <v>67.63</v>
      </c>
    </row>
    <row r="11830" spans="1:4">
      <c r="A11830">
        <v>7606</v>
      </c>
      <c r="B11830" t="s">
        <v>12204</v>
      </c>
      <c r="C11830" t="s">
        <v>427</v>
      </c>
      <c r="D11830" s="106">
        <v>81.33</v>
      </c>
    </row>
    <row r="11831" spans="1:4">
      <c r="A11831">
        <v>11763</v>
      </c>
      <c r="B11831" t="s">
        <v>12205</v>
      </c>
      <c r="C11831" t="s">
        <v>427</v>
      </c>
      <c r="D11831" s="106">
        <v>177.61</v>
      </c>
    </row>
    <row r="11832" spans="1:4">
      <c r="A11832">
        <v>11764</v>
      </c>
      <c r="B11832" t="s">
        <v>12206</v>
      </c>
      <c r="C11832" t="s">
        <v>427</v>
      </c>
      <c r="D11832" s="106">
        <v>145.72</v>
      </c>
    </row>
    <row r="11833" spans="1:4">
      <c r="A11833">
        <v>11829</v>
      </c>
      <c r="B11833" t="s">
        <v>12207</v>
      </c>
      <c r="C11833" t="s">
        <v>427</v>
      </c>
      <c r="D11833" s="106">
        <v>35.22</v>
      </c>
    </row>
    <row r="11834" spans="1:4">
      <c r="A11834">
        <v>11830</v>
      </c>
      <c r="B11834" t="s">
        <v>12208</v>
      </c>
      <c r="C11834" t="s">
        <v>427</v>
      </c>
      <c r="D11834" s="106">
        <v>38.03</v>
      </c>
    </row>
    <row r="11835" spans="1:4">
      <c r="A11835">
        <v>11825</v>
      </c>
      <c r="B11835" t="s">
        <v>12209</v>
      </c>
      <c r="C11835" t="s">
        <v>427</v>
      </c>
      <c r="D11835" s="106">
        <v>85.56</v>
      </c>
    </row>
    <row r="11836" spans="1:4">
      <c r="A11836">
        <v>11767</v>
      </c>
      <c r="B11836" t="s">
        <v>12210</v>
      </c>
      <c r="C11836" t="s">
        <v>427</v>
      </c>
      <c r="D11836" s="106">
        <v>227.88</v>
      </c>
    </row>
    <row r="11837" spans="1:4">
      <c r="A11837">
        <v>11766</v>
      </c>
      <c r="B11837" t="s">
        <v>12211</v>
      </c>
      <c r="C11837" t="s">
        <v>427</v>
      </c>
      <c r="D11837" s="106">
        <v>53.12</v>
      </c>
    </row>
    <row r="11838" spans="1:4">
      <c r="A11838">
        <v>11765</v>
      </c>
      <c r="B11838" t="s">
        <v>12212</v>
      </c>
      <c r="C11838" t="s">
        <v>427</v>
      </c>
      <c r="D11838" s="106">
        <v>97.11</v>
      </c>
    </row>
    <row r="11839" spans="1:4">
      <c r="A11839">
        <v>11824</v>
      </c>
      <c r="B11839" t="s">
        <v>12213</v>
      </c>
      <c r="C11839" t="s">
        <v>427</v>
      </c>
      <c r="D11839" s="106">
        <v>62.48</v>
      </c>
    </row>
    <row r="11840" spans="1:4">
      <c r="A11840">
        <v>44045</v>
      </c>
      <c r="B11840" t="s">
        <v>13554</v>
      </c>
      <c r="C11840" t="s">
        <v>427</v>
      </c>
      <c r="D11840" s="106">
        <v>287.10000000000002</v>
      </c>
    </row>
    <row r="11841" spans="1:4">
      <c r="A11841">
        <v>39702</v>
      </c>
      <c r="B11841" t="s">
        <v>13555</v>
      </c>
      <c r="C11841" t="s">
        <v>427</v>
      </c>
      <c r="D11841" s="107">
        <v>1906.74</v>
      </c>
    </row>
    <row r="11842" spans="1:4">
      <c r="A11842">
        <v>13415</v>
      </c>
      <c r="B11842" t="s">
        <v>13556</v>
      </c>
      <c r="C11842" t="s">
        <v>427</v>
      </c>
      <c r="D11842" s="106">
        <v>62.6</v>
      </c>
    </row>
    <row r="11843" spans="1:4">
      <c r="A11843">
        <v>7602</v>
      </c>
      <c r="B11843" t="s">
        <v>12214</v>
      </c>
      <c r="C11843" t="s">
        <v>427</v>
      </c>
      <c r="D11843" s="106">
        <v>39.950000000000003</v>
      </c>
    </row>
    <row r="11844" spans="1:4">
      <c r="A11844">
        <v>7603</v>
      </c>
      <c r="B11844" t="s">
        <v>12215</v>
      </c>
      <c r="C11844" t="s">
        <v>427</v>
      </c>
      <c r="D11844" s="106">
        <v>33.89</v>
      </c>
    </row>
    <row r="11845" spans="1:4">
      <c r="A11845">
        <v>11777</v>
      </c>
      <c r="B11845" t="s">
        <v>12216</v>
      </c>
      <c r="C11845" t="s">
        <v>427</v>
      </c>
      <c r="D11845" s="106">
        <v>161.97999999999999</v>
      </c>
    </row>
    <row r="11846" spans="1:4">
      <c r="A11846">
        <v>13417</v>
      </c>
      <c r="B11846" t="s">
        <v>13557</v>
      </c>
      <c r="C11846" t="s">
        <v>427</v>
      </c>
      <c r="D11846" s="106">
        <v>81.53</v>
      </c>
    </row>
    <row r="11847" spans="1:4">
      <c r="A11847">
        <v>36791</v>
      </c>
      <c r="B11847" t="s">
        <v>13558</v>
      </c>
      <c r="C11847" t="s">
        <v>427</v>
      </c>
      <c r="D11847" s="106">
        <v>122.36</v>
      </c>
    </row>
    <row r="11848" spans="1:4">
      <c r="A11848">
        <v>36795</v>
      </c>
      <c r="B11848" t="s">
        <v>13559</v>
      </c>
      <c r="C11848" t="s">
        <v>427</v>
      </c>
      <c r="D11848" s="107">
        <v>1547.15</v>
      </c>
    </row>
    <row r="11849" spans="1:4">
      <c r="A11849">
        <v>36796</v>
      </c>
      <c r="B11849" t="s">
        <v>13560</v>
      </c>
      <c r="C11849" t="s">
        <v>427</v>
      </c>
      <c r="D11849" s="106">
        <v>128.56</v>
      </c>
    </row>
    <row r="11850" spans="1:4">
      <c r="A11850">
        <v>36792</v>
      </c>
      <c r="B11850" t="s">
        <v>13561</v>
      </c>
      <c r="C11850" t="s">
        <v>427</v>
      </c>
      <c r="D11850" s="106">
        <v>162.86000000000001</v>
      </c>
    </row>
    <row r="11851" spans="1:4">
      <c r="A11851">
        <v>11773</v>
      </c>
      <c r="B11851" t="s">
        <v>13562</v>
      </c>
      <c r="C11851" t="s">
        <v>427</v>
      </c>
      <c r="D11851" s="106">
        <v>108.41</v>
      </c>
    </row>
    <row r="11852" spans="1:4">
      <c r="A11852">
        <v>11762</v>
      </c>
      <c r="B11852" t="s">
        <v>13563</v>
      </c>
      <c r="C11852" t="s">
        <v>427</v>
      </c>
      <c r="D11852" s="106">
        <v>51.42</v>
      </c>
    </row>
    <row r="11853" spans="1:4">
      <c r="A11853">
        <v>7604</v>
      </c>
      <c r="B11853" t="s">
        <v>13564</v>
      </c>
      <c r="C11853" t="s">
        <v>427</v>
      </c>
      <c r="D11853" s="106">
        <v>43.54</v>
      </c>
    </row>
    <row r="11854" spans="1:4">
      <c r="A11854">
        <v>13984</v>
      </c>
      <c r="B11854" t="s">
        <v>13565</v>
      </c>
      <c r="C11854" t="s">
        <v>427</v>
      </c>
      <c r="D11854" s="106">
        <v>63.28</v>
      </c>
    </row>
    <row r="11855" spans="1:4">
      <c r="A11855">
        <v>11772</v>
      </c>
      <c r="B11855" t="s">
        <v>13566</v>
      </c>
      <c r="C11855" t="s">
        <v>427</v>
      </c>
      <c r="D11855" s="106">
        <v>108.75</v>
      </c>
    </row>
    <row r="11856" spans="1:4">
      <c r="A11856">
        <v>13983</v>
      </c>
      <c r="B11856" t="s">
        <v>13567</v>
      </c>
      <c r="C11856" t="s">
        <v>427</v>
      </c>
      <c r="D11856" s="106">
        <v>82.36</v>
      </c>
    </row>
    <row r="11857" spans="1:4">
      <c r="A11857">
        <v>13416</v>
      </c>
      <c r="B11857" t="s">
        <v>13568</v>
      </c>
      <c r="C11857" t="s">
        <v>427</v>
      </c>
      <c r="D11857" s="106">
        <v>73.150000000000006</v>
      </c>
    </row>
    <row r="11858" spans="1:4">
      <c r="A11858">
        <v>40329</v>
      </c>
      <c r="B11858" t="s">
        <v>12217</v>
      </c>
      <c r="C11858" t="s">
        <v>427</v>
      </c>
      <c r="D11858" s="106">
        <v>22.07</v>
      </c>
    </row>
    <row r="11859" spans="1:4">
      <c r="A11859">
        <v>11823</v>
      </c>
      <c r="B11859" t="s">
        <v>12218</v>
      </c>
      <c r="C11859" t="s">
        <v>427</v>
      </c>
      <c r="D11859" s="106">
        <v>9.2899999999999991</v>
      </c>
    </row>
    <row r="11860" spans="1:4">
      <c r="A11860">
        <v>11822</v>
      </c>
      <c r="B11860" t="s">
        <v>12219</v>
      </c>
      <c r="C11860" t="s">
        <v>427</v>
      </c>
      <c r="D11860" s="106">
        <v>48.19</v>
      </c>
    </row>
    <row r="11861" spans="1:4">
      <c r="A11861">
        <v>11831</v>
      </c>
      <c r="B11861" t="s">
        <v>12220</v>
      </c>
      <c r="C11861" t="s">
        <v>427</v>
      </c>
      <c r="D11861" s="106">
        <v>36.590000000000003</v>
      </c>
    </row>
    <row r="11862" spans="1:4">
      <c r="A11862">
        <v>7613</v>
      </c>
      <c r="B11862" t="s">
        <v>12221</v>
      </c>
      <c r="C11862" t="s">
        <v>427</v>
      </c>
      <c r="D11862" s="107">
        <v>130613.67</v>
      </c>
    </row>
    <row r="11863" spans="1:4">
      <c r="A11863">
        <v>7619</v>
      </c>
      <c r="B11863" t="s">
        <v>12222</v>
      </c>
      <c r="C11863" t="s">
        <v>427</v>
      </c>
      <c r="D11863" s="107">
        <v>20190.07</v>
      </c>
    </row>
    <row r="11864" spans="1:4">
      <c r="A11864">
        <v>12076</v>
      </c>
      <c r="B11864" t="s">
        <v>12223</v>
      </c>
      <c r="C11864" t="s">
        <v>427</v>
      </c>
      <c r="D11864" s="107">
        <v>9261.5</v>
      </c>
    </row>
    <row r="11865" spans="1:4">
      <c r="A11865">
        <v>7614</v>
      </c>
      <c r="B11865" t="s">
        <v>12224</v>
      </c>
      <c r="C11865" t="s">
        <v>427</v>
      </c>
      <c r="D11865" s="107">
        <v>25464.5</v>
      </c>
    </row>
    <row r="11866" spans="1:4">
      <c r="A11866">
        <v>7618</v>
      </c>
      <c r="B11866" t="s">
        <v>12225</v>
      </c>
      <c r="C11866" t="s">
        <v>427</v>
      </c>
      <c r="D11866" s="107">
        <v>165156.43</v>
      </c>
    </row>
    <row r="11867" spans="1:4">
      <c r="A11867">
        <v>7620</v>
      </c>
      <c r="B11867" t="s">
        <v>12226</v>
      </c>
      <c r="C11867" t="s">
        <v>427</v>
      </c>
      <c r="D11867" s="107">
        <v>35722.94</v>
      </c>
    </row>
    <row r="11868" spans="1:4">
      <c r="A11868">
        <v>7610</v>
      </c>
      <c r="B11868" t="s">
        <v>12227</v>
      </c>
      <c r="C11868" t="s">
        <v>427</v>
      </c>
      <c r="D11868" s="107">
        <v>11312.26</v>
      </c>
    </row>
    <row r="11869" spans="1:4">
      <c r="A11869">
        <v>7615</v>
      </c>
      <c r="B11869" t="s">
        <v>12228</v>
      </c>
      <c r="C11869" t="s">
        <v>427</v>
      </c>
      <c r="D11869" s="107">
        <v>41676.76</v>
      </c>
    </row>
    <row r="11870" spans="1:4">
      <c r="A11870">
        <v>7617</v>
      </c>
      <c r="B11870" t="s">
        <v>12229</v>
      </c>
      <c r="C11870" t="s">
        <v>427</v>
      </c>
      <c r="D11870" s="107">
        <v>12635.33</v>
      </c>
    </row>
    <row r="11871" spans="1:4">
      <c r="A11871">
        <v>7616</v>
      </c>
      <c r="B11871" t="s">
        <v>12230</v>
      </c>
      <c r="C11871" t="s">
        <v>427</v>
      </c>
      <c r="D11871" s="107">
        <v>68009.87</v>
      </c>
    </row>
    <row r="11872" spans="1:4">
      <c r="A11872">
        <v>7611</v>
      </c>
      <c r="B11872" t="s">
        <v>12231</v>
      </c>
      <c r="C11872" t="s">
        <v>427</v>
      </c>
      <c r="D11872" s="107">
        <v>16339.94</v>
      </c>
    </row>
    <row r="11873" spans="1:4">
      <c r="A11873">
        <v>7612</v>
      </c>
      <c r="B11873" t="s">
        <v>12232</v>
      </c>
      <c r="C11873" t="s">
        <v>427</v>
      </c>
      <c r="D11873" s="107">
        <v>93287.16</v>
      </c>
    </row>
    <row r="11874" spans="1:4">
      <c r="A11874">
        <v>37371</v>
      </c>
      <c r="B11874" t="s">
        <v>12233</v>
      </c>
      <c r="C11874" t="s">
        <v>432</v>
      </c>
      <c r="D11874" s="106">
        <v>0.68</v>
      </c>
    </row>
    <row r="11875" spans="1:4">
      <c r="A11875">
        <v>40861</v>
      </c>
      <c r="B11875" t="s">
        <v>12234</v>
      </c>
      <c r="C11875" t="s">
        <v>433</v>
      </c>
      <c r="D11875" s="106">
        <v>128.34</v>
      </c>
    </row>
    <row r="11876" spans="1:4">
      <c r="A11876">
        <v>36510</v>
      </c>
      <c r="B11876" t="s">
        <v>12235</v>
      </c>
      <c r="C11876" t="s">
        <v>427</v>
      </c>
      <c r="D11876" s="107">
        <v>879448.23</v>
      </c>
    </row>
    <row r="11877" spans="1:4">
      <c r="A11877">
        <v>25020</v>
      </c>
      <c r="B11877" t="s">
        <v>12236</v>
      </c>
      <c r="C11877" t="s">
        <v>427</v>
      </c>
      <c r="D11877" s="107">
        <v>3623017.32</v>
      </c>
    </row>
    <row r="11878" spans="1:4">
      <c r="A11878">
        <v>7622</v>
      </c>
      <c r="B11878" t="s">
        <v>12237</v>
      </c>
      <c r="C11878" t="s">
        <v>427</v>
      </c>
      <c r="D11878" s="107">
        <v>853193.32</v>
      </c>
    </row>
    <row r="11879" spans="1:4">
      <c r="A11879">
        <v>7624</v>
      </c>
      <c r="B11879" t="s">
        <v>12238</v>
      </c>
      <c r="C11879" t="s">
        <v>427</v>
      </c>
      <c r="D11879" s="107">
        <v>1106075.33</v>
      </c>
    </row>
    <row r="11880" spans="1:4">
      <c r="A11880">
        <v>7625</v>
      </c>
      <c r="B11880" t="s">
        <v>12239</v>
      </c>
      <c r="C11880" t="s">
        <v>427</v>
      </c>
      <c r="D11880" s="107">
        <v>1099310.24</v>
      </c>
    </row>
    <row r="11881" spans="1:4">
      <c r="A11881">
        <v>7623</v>
      </c>
      <c r="B11881" t="s">
        <v>12240</v>
      </c>
      <c r="C11881" t="s">
        <v>427</v>
      </c>
      <c r="D11881" s="107">
        <v>3623017.32</v>
      </c>
    </row>
    <row r="11882" spans="1:4">
      <c r="A11882">
        <v>36508</v>
      </c>
      <c r="B11882" t="s">
        <v>12241</v>
      </c>
      <c r="C11882" t="s">
        <v>427</v>
      </c>
      <c r="D11882" s="107">
        <v>1629414.65</v>
      </c>
    </row>
    <row r="11883" spans="1:4">
      <c r="A11883">
        <v>36509</v>
      </c>
      <c r="B11883" t="s">
        <v>12242</v>
      </c>
      <c r="C11883" t="s">
        <v>427</v>
      </c>
      <c r="D11883" s="107">
        <v>892978.19</v>
      </c>
    </row>
    <row r="11884" spans="1:4">
      <c r="A11884">
        <v>13238</v>
      </c>
      <c r="B11884" t="s">
        <v>12243</v>
      </c>
      <c r="C11884" t="s">
        <v>427</v>
      </c>
      <c r="D11884" s="107">
        <v>294392.5</v>
      </c>
    </row>
    <row r="11885" spans="1:4">
      <c r="A11885">
        <v>36511</v>
      </c>
      <c r="B11885" t="s">
        <v>12244</v>
      </c>
      <c r="C11885" t="s">
        <v>427</v>
      </c>
      <c r="D11885" s="107">
        <v>341121.47</v>
      </c>
    </row>
    <row r="11886" spans="1:4">
      <c r="A11886">
        <v>36515</v>
      </c>
      <c r="B11886" t="s">
        <v>12245</v>
      </c>
      <c r="C11886" t="s">
        <v>427</v>
      </c>
      <c r="D11886" s="107">
        <v>100467.27</v>
      </c>
    </row>
    <row r="11887" spans="1:4">
      <c r="A11887">
        <v>10598</v>
      </c>
      <c r="B11887" t="s">
        <v>12246</v>
      </c>
      <c r="C11887" t="s">
        <v>427</v>
      </c>
      <c r="D11887" s="107">
        <v>162922.87</v>
      </c>
    </row>
    <row r="11888" spans="1:4">
      <c r="A11888">
        <v>7640</v>
      </c>
      <c r="B11888" t="s">
        <v>12247</v>
      </c>
      <c r="C11888" t="s">
        <v>427</v>
      </c>
      <c r="D11888" s="107">
        <v>250000</v>
      </c>
    </row>
    <row r="11889" spans="1:4">
      <c r="A11889">
        <v>36513</v>
      </c>
      <c r="B11889" t="s">
        <v>12248</v>
      </c>
      <c r="C11889" t="s">
        <v>427</v>
      </c>
      <c r="D11889" s="107">
        <v>240829.42</v>
      </c>
    </row>
    <row r="11890" spans="1:4">
      <c r="A11890">
        <v>36514</v>
      </c>
      <c r="B11890" t="s">
        <v>12249</v>
      </c>
      <c r="C11890" t="s">
        <v>427</v>
      </c>
      <c r="D11890" s="107">
        <v>268691.57</v>
      </c>
    </row>
    <row r="11891" spans="1:4">
      <c r="A11891">
        <v>11572</v>
      </c>
      <c r="B11891" t="s">
        <v>12250</v>
      </c>
      <c r="C11891" t="s">
        <v>427</v>
      </c>
      <c r="D11891" s="106">
        <v>33.450000000000003</v>
      </c>
    </row>
    <row r="11892" spans="1:4">
      <c r="A11892">
        <v>36149</v>
      </c>
      <c r="B11892" t="s">
        <v>12251</v>
      </c>
      <c r="C11892" t="s">
        <v>427</v>
      </c>
      <c r="D11892" s="106">
        <v>235</v>
      </c>
    </row>
    <row r="11893" spans="1:4">
      <c r="A11893">
        <v>42407</v>
      </c>
      <c r="B11893" t="s">
        <v>12252</v>
      </c>
      <c r="C11893" t="s">
        <v>429</v>
      </c>
      <c r="D11893" s="106">
        <v>11.38</v>
      </c>
    </row>
    <row r="11894" spans="1:4">
      <c r="A11894">
        <v>11581</v>
      </c>
      <c r="B11894" t="s">
        <v>12253</v>
      </c>
      <c r="C11894" t="s">
        <v>429</v>
      </c>
      <c r="D11894" s="106">
        <v>22.08</v>
      </c>
    </row>
    <row r="11895" spans="1:4">
      <c r="A11895">
        <v>43605</v>
      </c>
      <c r="B11895" t="s">
        <v>12254</v>
      </c>
      <c r="C11895" t="s">
        <v>429</v>
      </c>
      <c r="D11895" s="106">
        <v>45.17</v>
      </c>
    </row>
    <row r="11896" spans="1:4">
      <c r="A11896">
        <v>11580</v>
      </c>
      <c r="B11896" t="s">
        <v>12255</v>
      </c>
      <c r="C11896" t="s">
        <v>429</v>
      </c>
      <c r="D11896" s="106">
        <v>8.86</v>
      </c>
    </row>
    <row r="11897" spans="1:4">
      <c r="A11897">
        <v>10743</v>
      </c>
      <c r="B11897" t="s">
        <v>12256</v>
      </c>
      <c r="C11897" t="s">
        <v>427</v>
      </c>
      <c r="D11897" s="106">
        <v>683.15</v>
      </c>
    </row>
    <row r="11898" spans="1:4">
      <c r="A11898">
        <v>39848</v>
      </c>
      <c r="B11898" t="s">
        <v>12257</v>
      </c>
      <c r="C11898" t="s">
        <v>429</v>
      </c>
      <c r="D11898" s="106">
        <v>2</v>
      </c>
    </row>
    <row r="11899" spans="1:4">
      <c r="A11899">
        <v>20999</v>
      </c>
      <c r="B11899" t="s">
        <v>12258</v>
      </c>
      <c r="C11899" t="s">
        <v>429</v>
      </c>
      <c r="D11899" s="106">
        <v>14.69</v>
      </c>
    </row>
    <row r="11900" spans="1:4">
      <c r="A11900">
        <v>21001</v>
      </c>
      <c r="B11900" t="s">
        <v>12259</v>
      </c>
      <c r="C11900" t="s">
        <v>429</v>
      </c>
      <c r="D11900" s="106">
        <v>27.42</v>
      </c>
    </row>
    <row r="11901" spans="1:4">
      <c r="A11901">
        <v>21003</v>
      </c>
      <c r="B11901" t="s">
        <v>12260</v>
      </c>
      <c r="C11901" t="s">
        <v>429</v>
      </c>
      <c r="D11901" s="106">
        <v>45.06</v>
      </c>
    </row>
    <row r="11902" spans="1:4">
      <c r="A11902">
        <v>21006</v>
      </c>
      <c r="B11902" t="s">
        <v>12261</v>
      </c>
      <c r="C11902" t="s">
        <v>429</v>
      </c>
      <c r="D11902" s="106">
        <v>95.62</v>
      </c>
    </row>
    <row r="11903" spans="1:4">
      <c r="A11903">
        <v>21019</v>
      </c>
      <c r="B11903" t="s">
        <v>12262</v>
      </c>
      <c r="C11903" t="s">
        <v>429</v>
      </c>
      <c r="D11903" s="106">
        <v>33.24</v>
      </c>
    </row>
    <row r="11904" spans="1:4">
      <c r="A11904">
        <v>21021</v>
      </c>
      <c r="B11904" t="s">
        <v>12263</v>
      </c>
      <c r="C11904" t="s">
        <v>429</v>
      </c>
      <c r="D11904" s="106">
        <v>52.54</v>
      </c>
    </row>
    <row r="11905" spans="1:4">
      <c r="A11905">
        <v>21024</v>
      </c>
      <c r="B11905" t="s">
        <v>12264</v>
      </c>
      <c r="C11905" t="s">
        <v>429</v>
      </c>
      <c r="D11905" s="106">
        <v>112.58</v>
      </c>
    </row>
    <row r="11906" spans="1:4">
      <c r="A11906">
        <v>40624</v>
      </c>
      <c r="B11906" t="s">
        <v>12265</v>
      </c>
      <c r="C11906" t="s">
        <v>429</v>
      </c>
      <c r="D11906" s="106">
        <v>74.290000000000006</v>
      </c>
    </row>
    <row r="11907" spans="1:4">
      <c r="A11907">
        <v>42575</v>
      </c>
      <c r="B11907" t="s">
        <v>12266</v>
      </c>
      <c r="C11907" t="s">
        <v>429</v>
      </c>
      <c r="D11907" s="106">
        <v>68.180000000000007</v>
      </c>
    </row>
    <row r="11908" spans="1:4">
      <c r="A11908">
        <v>13127</v>
      </c>
      <c r="B11908" t="s">
        <v>12267</v>
      </c>
      <c r="C11908" t="s">
        <v>429</v>
      </c>
      <c r="D11908" s="106">
        <v>33.14</v>
      </c>
    </row>
    <row r="11909" spans="1:4">
      <c r="A11909">
        <v>13137</v>
      </c>
      <c r="B11909" t="s">
        <v>12268</v>
      </c>
      <c r="C11909" t="s">
        <v>429</v>
      </c>
      <c r="D11909" s="106">
        <v>43.97</v>
      </c>
    </row>
    <row r="11910" spans="1:4">
      <c r="A11910">
        <v>42574</v>
      </c>
      <c r="B11910" t="s">
        <v>12269</v>
      </c>
      <c r="C11910" t="s">
        <v>429</v>
      </c>
      <c r="D11910" s="106">
        <v>50.88</v>
      </c>
    </row>
    <row r="11911" spans="1:4">
      <c r="A11911">
        <v>20989</v>
      </c>
      <c r="B11911" t="s">
        <v>12270</v>
      </c>
      <c r="C11911" t="s">
        <v>429</v>
      </c>
      <c r="D11911" s="107">
        <v>1575.44</v>
      </c>
    </row>
    <row r="11912" spans="1:4">
      <c r="A11912">
        <v>21147</v>
      </c>
      <c r="B11912" t="s">
        <v>12271</v>
      </c>
      <c r="C11912" t="s">
        <v>429</v>
      </c>
      <c r="D11912" s="106">
        <v>147.71</v>
      </c>
    </row>
    <row r="11913" spans="1:4">
      <c r="A11913">
        <v>21148</v>
      </c>
      <c r="B11913" t="s">
        <v>12272</v>
      </c>
      <c r="C11913" t="s">
        <v>429</v>
      </c>
      <c r="D11913" s="106">
        <v>91.17</v>
      </c>
    </row>
    <row r="11914" spans="1:4">
      <c r="A11914">
        <v>20984</v>
      </c>
      <c r="B11914" t="s">
        <v>12273</v>
      </c>
      <c r="C11914" t="s">
        <v>429</v>
      </c>
      <c r="D11914" s="107">
        <v>3022.96</v>
      </c>
    </row>
    <row r="11915" spans="1:4">
      <c r="A11915">
        <v>13042</v>
      </c>
      <c r="B11915" t="s">
        <v>12274</v>
      </c>
      <c r="C11915" t="s">
        <v>429</v>
      </c>
      <c r="D11915" s="107">
        <v>1675.17</v>
      </c>
    </row>
    <row r="11916" spans="1:4">
      <c r="A11916">
        <v>21150</v>
      </c>
      <c r="B11916" t="s">
        <v>12275</v>
      </c>
      <c r="C11916" t="s">
        <v>429</v>
      </c>
      <c r="D11916" s="106">
        <v>45.2</v>
      </c>
    </row>
    <row r="11917" spans="1:4">
      <c r="A11917">
        <v>13141</v>
      </c>
      <c r="B11917" t="s">
        <v>12276</v>
      </c>
      <c r="C11917" t="s">
        <v>429</v>
      </c>
      <c r="D11917" s="106">
        <v>56.96</v>
      </c>
    </row>
    <row r="11918" spans="1:4">
      <c r="A11918">
        <v>42576</v>
      </c>
      <c r="B11918" t="s">
        <v>12277</v>
      </c>
      <c r="C11918" t="s">
        <v>429</v>
      </c>
      <c r="D11918" s="106">
        <v>185.97</v>
      </c>
    </row>
    <row r="11919" spans="1:4">
      <c r="A11919">
        <v>21151</v>
      </c>
      <c r="B11919" t="s">
        <v>12278</v>
      </c>
      <c r="C11919" t="s">
        <v>429</v>
      </c>
      <c r="D11919" s="106">
        <v>270.58999999999997</v>
      </c>
    </row>
    <row r="11920" spans="1:4">
      <c r="A11920">
        <v>13142</v>
      </c>
      <c r="B11920" t="s">
        <v>12279</v>
      </c>
      <c r="C11920" t="s">
        <v>429</v>
      </c>
      <c r="D11920" s="106">
        <v>386.83</v>
      </c>
    </row>
    <row r="11921" spans="1:4">
      <c r="A11921">
        <v>42577</v>
      </c>
      <c r="B11921" t="s">
        <v>12280</v>
      </c>
      <c r="C11921" t="s">
        <v>429</v>
      </c>
      <c r="D11921" s="106">
        <v>424.46</v>
      </c>
    </row>
    <row r="11922" spans="1:4">
      <c r="A11922">
        <v>20994</v>
      </c>
      <c r="B11922" t="s">
        <v>12281</v>
      </c>
      <c r="C11922" t="s">
        <v>429</v>
      </c>
      <c r="D11922" s="106">
        <v>729.35</v>
      </c>
    </row>
    <row r="11923" spans="1:4">
      <c r="A11923">
        <v>7672</v>
      </c>
      <c r="B11923" t="s">
        <v>12282</v>
      </c>
      <c r="C11923" t="s">
        <v>429</v>
      </c>
      <c r="D11923" s="106">
        <v>477.8</v>
      </c>
    </row>
    <row r="11924" spans="1:4">
      <c r="A11924">
        <v>20995</v>
      </c>
      <c r="B11924" t="s">
        <v>12283</v>
      </c>
      <c r="C11924" t="s">
        <v>429</v>
      </c>
      <c r="D11924" s="106">
        <v>958.5</v>
      </c>
    </row>
    <row r="11925" spans="1:4">
      <c r="A11925">
        <v>7690</v>
      </c>
      <c r="B11925" t="s">
        <v>12284</v>
      </c>
      <c r="C11925" t="s">
        <v>429</v>
      </c>
      <c r="D11925" s="106">
        <v>554.36</v>
      </c>
    </row>
    <row r="11926" spans="1:4">
      <c r="A11926">
        <v>20980</v>
      </c>
      <c r="B11926" t="s">
        <v>12285</v>
      </c>
      <c r="C11926" t="s">
        <v>429</v>
      </c>
      <c r="D11926" s="106">
        <v>604.76</v>
      </c>
    </row>
    <row r="11927" spans="1:4">
      <c r="A11927">
        <v>7661</v>
      </c>
      <c r="B11927" t="s">
        <v>12286</v>
      </c>
      <c r="C11927" t="s">
        <v>429</v>
      </c>
      <c r="D11927" s="106">
        <v>719.41</v>
      </c>
    </row>
    <row r="11928" spans="1:4">
      <c r="A11928">
        <v>21016</v>
      </c>
      <c r="B11928" t="s">
        <v>12287</v>
      </c>
      <c r="C11928" t="s">
        <v>429</v>
      </c>
      <c r="D11928" s="106">
        <v>192.04</v>
      </c>
    </row>
    <row r="11929" spans="1:4">
      <c r="A11929">
        <v>21008</v>
      </c>
      <c r="B11929" t="s">
        <v>12288</v>
      </c>
      <c r="C11929" t="s">
        <v>429</v>
      </c>
      <c r="D11929" s="106">
        <v>22.43</v>
      </c>
    </row>
    <row r="11930" spans="1:4">
      <c r="A11930">
        <v>21009</v>
      </c>
      <c r="B11930" t="s">
        <v>12289</v>
      </c>
      <c r="C11930" t="s">
        <v>429</v>
      </c>
      <c r="D11930" s="106">
        <v>29.21</v>
      </c>
    </row>
    <row r="11931" spans="1:4">
      <c r="A11931">
        <v>21010</v>
      </c>
      <c r="B11931" t="s">
        <v>12290</v>
      </c>
      <c r="C11931" t="s">
        <v>429</v>
      </c>
      <c r="D11931" s="106">
        <v>39.22</v>
      </c>
    </row>
    <row r="11932" spans="1:4">
      <c r="A11932">
        <v>21011</v>
      </c>
      <c r="B11932" t="s">
        <v>12291</v>
      </c>
      <c r="C11932" t="s">
        <v>429</v>
      </c>
      <c r="D11932" s="106">
        <v>57.16</v>
      </c>
    </row>
    <row r="11933" spans="1:4">
      <c r="A11933">
        <v>21012</v>
      </c>
      <c r="B11933" t="s">
        <v>12292</v>
      </c>
      <c r="C11933" t="s">
        <v>429</v>
      </c>
      <c r="D11933" s="106">
        <v>63.17</v>
      </c>
    </row>
    <row r="11934" spans="1:4">
      <c r="A11934">
        <v>21013</v>
      </c>
      <c r="B11934" t="s">
        <v>12293</v>
      </c>
      <c r="C11934" t="s">
        <v>429</v>
      </c>
      <c r="D11934" s="106">
        <v>82.43</v>
      </c>
    </row>
    <row r="11935" spans="1:4">
      <c r="A11935">
        <v>21014</v>
      </c>
      <c r="B11935" t="s">
        <v>12294</v>
      </c>
      <c r="C11935" t="s">
        <v>429</v>
      </c>
      <c r="D11935" s="106">
        <v>115.34</v>
      </c>
    </row>
    <row r="11936" spans="1:4">
      <c r="A11936">
        <v>21015</v>
      </c>
      <c r="B11936" t="s">
        <v>12295</v>
      </c>
      <c r="C11936" t="s">
        <v>429</v>
      </c>
      <c r="D11936" s="106">
        <v>132.51</v>
      </c>
    </row>
    <row r="11937" spans="1:4">
      <c r="A11937">
        <v>7697</v>
      </c>
      <c r="B11937" t="s">
        <v>12296</v>
      </c>
      <c r="C11937" t="s">
        <v>429</v>
      </c>
      <c r="D11937" s="106">
        <v>63.23</v>
      </c>
    </row>
    <row r="11938" spans="1:4">
      <c r="A11938">
        <v>7698</v>
      </c>
      <c r="B11938" t="s">
        <v>12297</v>
      </c>
      <c r="C11938" t="s">
        <v>429</v>
      </c>
      <c r="D11938" s="106">
        <v>54.43</v>
      </c>
    </row>
    <row r="11939" spans="1:4">
      <c r="A11939">
        <v>7691</v>
      </c>
      <c r="B11939" t="s">
        <v>12298</v>
      </c>
      <c r="C11939" t="s">
        <v>429</v>
      </c>
      <c r="D11939" s="106">
        <v>23</v>
      </c>
    </row>
    <row r="11940" spans="1:4">
      <c r="A11940">
        <v>40626</v>
      </c>
      <c r="B11940" t="s">
        <v>12299</v>
      </c>
      <c r="C11940" t="s">
        <v>429</v>
      </c>
      <c r="D11940" s="106">
        <v>43.16</v>
      </c>
    </row>
    <row r="11941" spans="1:4">
      <c r="A11941">
        <v>7701</v>
      </c>
      <c r="B11941" t="s">
        <v>12300</v>
      </c>
      <c r="C11941" t="s">
        <v>429</v>
      </c>
      <c r="D11941" s="106">
        <v>113.16</v>
      </c>
    </row>
    <row r="11942" spans="1:4">
      <c r="A11942">
        <v>7696</v>
      </c>
      <c r="B11942" t="s">
        <v>12301</v>
      </c>
      <c r="C11942" t="s">
        <v>429</v>
      </c>
      <c r="D11942" s="106">
        <v>91.18</v>
      </c>
    </row>
    <row r="11943" spans="1:4">
      <c r="A11943">
        <v>7700</v>
      </c>
      <c r="B11943" t="s">
        <v>12302</v>
      </c>
      <c r="C11943" t="s">
        <v>429</v>
      </c>
      <c r="D11943" s="106">
        <v>29.09</v>
      </c>
    </row>
    <row r="11944" spans="1:4">
      <c r="A11944">
        <v>7694</v>
      </c>
      <c r="B11944" t="s">
        <v>12303</v>
      </c>
      <c r="C11944" t="s">
        <v>429</v>
      </c>
      <c r="D11944" s="106">
        <v>152.27000000000001</v>
      </c>
    </row>
    <row r="11945" spans="1:4">
      <c r="A11945">
        <v>7693</v>
      </c>
      <c r="B11945" t="s">
        <v>12304</v>
      </c>
      <c r="C11945" t="s">
        <v>429</v>
      </c>
      <c r="D11945" s="106">
        <v>209.71</v>
      </c>
    </row>
    <row r="11946" spans="1:4">
      <c r="A11946">
        <v>7692</v>
      </c>
      <c r="B11946" t="s">
        <v>12305</v>
      </c>
      <c r="C11946" t="s">
        <v>429</v>
      </c>
      <c r="D11946" s="106">
        <v>313.98</v>
      </c>
    </row>
    <row r="11947" spans="1:4">
      <c r="A11947">
        <v>7695</v>
      </c>
      <c r="B11947" t="s">
        <v>12306</v>
      </c>
      <c r="C11947" t="s">
        <v>429</v>
      </c>
      <c r="D11947" s="106">
        <v>340.51</v>
      </c>
    </row>
    <row r="11948" spans="1:4">
      <c r="A11948">
        <v>13356</v>
      </c>
      <c r="B11948" t="s">
        <v>12307</v>
      </c>
      <c r="C11948" t="s">
        <v>429</v>
      </c>
      <c r="D11948" s="106">
        <v>24.69</v>
      </c>
    </row>
    <row r="11949" spans="1:4">
      <c r="A11949">
        <v>36365</v>
      </c>
      <c r="B11949" t="s">
        <v>12308</v>
      </c>
      <c r="C11949" t="s">
        <v>429</v>
      </c>
      <c r="D11949" s="106">
        <v>39.44</v>
      </c>
    </row>
    <row r="11950" spans="1:4">
      <c r="A11950">
        <v>41930</v>
      </c>
      <c r="B11950" t="s">
        <v>12309</v>
      </c>
      <c r="C11950" t="s">
        <v>429</v>
      </c>
      <c r="D11950" s="106">
        <v>127.67</v>
      </c>
    </row>
    <row r="11951" spans="1:4">
      <c r="A11951">
        <v>41931</v>
      </c>
      <c r="B11951" t="s">
        <v>12310</v>
      </c>
      <c r="C11951" t="s">
        <v>429</v>
      </c>
      <c r="D11951" s="106">
        <v>217.71</v>
      </c>
    </row>
    <row r="11952" spans="1:4">
      <c r="A11952">
        <v>41932</v>
      </c>
      <c r="B11952" t="s">
        <v>12311</v>
      </c>
      <c r="C11952" t="s">
        <v>429</v>
      </c>
      <c r="D11952" s="106">
        <v>351.64</v>
      </c>
    </row>
    <row r="11953" spans="1:4">
      <c r="A11953">
        <v>41933</v>
      </c>
      <c r="B11953" t="s">
        <v>12312</v>
      </c>
      <c r="C11953" t="s">
        <v>429</v>
      </c>
      <c r="D11953" s="106">
        <v>435.51</v>
      </c>
    </row>
    <row r="11954" spans="1:4">
      <c r="A11954">
        <v>41934</v>
      </c>
      <c r="B11954" t="s">
        <v>12313</v>
      </c>
      <c r="C11954" t="s">
        <v>429</v>
      </c>
      <c r="D11954" s="106">
        <v>564.09</v>
      </c>
    </row>
    <row r="11955" spans="1:4">
      <c r="A11955">
        <v>41936</v>
      </c>
      <c r="B11955" t="s">
        <v>12314</v>
      </c>
      <c r="C11955" t="s">
        <v>429</v>
      </c>
      <c r="D11955" s="106">
        <v>85.05</v>
      </c>
    </row>
    <row r="11956" spans="1:4">
      <c r="A11956">
        <v>41785</v>
      </c>
      <c r="B11956" t="s">
        <v>12315</v>
      </c>
      <c r="C11956" t="s">
        <v>429</v>
      </c>
      <c r="D11956" s="107">
        <v>2248.63</v>
      </c>
    </row>
    <row r="11957" spans="1:4">
      <c r="A11957">
        <v>41781</v>
      </c>
      <c r="B11957" t="s">
        <v>12316</v>
      </c>
      <c r="C11957" t="s">
        <v>429</v>
      </c>
      <c r="D11957" s="106">
        <v>641.1</v>
      </c>
    </row>
    <row r="11958" spans="1:4">
      <c r="A11958">
        <v>41783</v>
      </c>
      <c r="B11958" t="s">
        <v>12317</v>
      </c>
      <c r="C11958" t="s">
        <v>429</v>
      </c>
      <c r="D11958" s="107">
        <v>1691.77</v>
      </c>
    </row>
    <row r="11959" spans="1:4">
      <c r="A11959">
        <v>41786</v>
      </c>
      <c r="B11959" t="s">
        <v>12318</v>
      </c>
      <c r="C11959" t="s">
        <v>429</v>
      </c>
      <c r="D11959" s="107">
        <v>3529.21</v>
      </c>
    </row>
    <row r="11960" spans="1:4">
      <c r="A11960">
        <v>41779</v>
      </c>
      <c r="B11960" t="s">
        <v>12319</v>
      </c>
      <c r="C11960" t="s">
        <v>429</v>
      </c>
      <c r="D11960" s="106">
        <v>245.88</v>
      </c>
    </row>
    <row r="11961" spans="1:4">
      <c r="A11961">
        <v>41780</v>
      </c>
      <c r="B11961" t="s">
        <v>12320</v>
      </c>
      <c r="C11961" t="s">
        <v>429</v>
      </c>
      <c r="D11961" s="106">
        <v>290.81</v>
      </c>
    </row>
    <row r="11962" spans="1:4">
      <c r="A11962">
        <v>41782</v>
      </c>
      <c r="B11962" t="s">
        <v>12321</v>
      </c>
      <c r="C11962" t="s">
        <v>429</v>
      </c>
      <c r="D11962" s="107">
        <v>1198.81</v>
      </c>
    </row>
    <row r="11963" spans="1:4">
      <c r="A11963">
        <v>38130</v>
      </c>
      <c r="B11963" t="s">
        <v>12322</v>
      </c>
      <c r="C11963" t="s">
        <v>429</v>
      </c>
      <c r="D11963" s="106">
        <v>35.24</v>
      </c>
    </row>
    <row r="11964" spans="1:4">
      <c r="A11964">
        <v>21123</v>
      </c>
      <c r="B11964" t="s">
        <v>12323</v>
      </c>
      <c r="C11964" t="s">
        <v>429</v>
      </c>
      <c r="D11964" s="106">
        <v>10</v>
      </c>
    </row>
    <row r="11965" spans="1:4">
      <c r="A11965">
        <v>21124</v>
      </c>
      <c r="B11965" t="s">
        <v>12324</v>
      </c>
      <c r="C11965" t="s">
        <v>429</v>
      </c>
      <c r="D11965" s="106">
        <v>17.73</v>
      </c>
    </row>
    <row r="11966" spans="1:4">
      <c r="A11966">
        <v>21125</v>
      </c>
      <c r="B11966" t="s">
        <v>12325</v>
      </c>
      <c r="C11966" t="s">
        <v>429</v>
      </c>
      <c r="D11966" s="106">
        <v>28.46</v>
      </c>
    </row>
    <row r="11967" spans="1:4">
      <c r="A11967">
        <v>38028</v>
      </c>
      <c r="B11967" t="s">
        <v>12326</v>
      </c>
      <c r="C11967" t="s">
        <v>429</v>
      </c>
      <c r="D11967" s="106">
        <v>48.29</v>
      </c>
    </row>
    <row r="11968" spans="1:4">
      <c r="A11968">
        <v>38029</v>
      </c>
      <c r="B11968" t="s">
        <v>12327</v>
      </c>
      <c r="C11968" t="s">
        <v>429</v>
      </c>
      <c r="D11968" s="106">
        <v>73.61</v>
      </c>
    </row>
    <row r="11969" spans="1:4">
      <c r="A11969">
        <v>38030</v>
      </c>
      <c r="B11969" t="s">
        <v>12328</v>
      </c>
      <c r="C11969" t="s">
        <v>429</v>
      </c>
      <c r="D11969" s="106">
        <v>113.07</v>
      </c>
    </row>
    <row r="11970" spans="1:4">
      <c r="A11970">
        <v>38031</v>
      </c>
      <c r="B11970" t="s">
        <v>12329</v>
      </c>
      <c r="C11970" t="s">
        <v>429</v>
      </c>
      <c r="D11970" s="106">
        <v>179.18</v>
      </c>
    </row>
    <row r="11971" spans="1:4">
      <c r="A11971">
        <v>39735</v>
      </c>
      <c r="B11971" t="s">
        <v>12330</v>
      </c>
      <c r="C11971" t="s">
        <v>429</v>
      </c>
      <c r="D11971" s="106">
        <v>112.9</v>
      </c>
    </row>
    <row r="11972" spans="1:4">
      <c r="A11972">
        <v>39734</v>
      </c>
      <c r="B11972" t="s">
        <v>12331</v>
      </c>
      <c r="C11972" t="s">
        <v>429</v>
      </c>
      <c r="D11972" s="106">
        <v>133.91999999999999</v>
      </c>
    </row>
    <row r="11973" spans="1:4">
      <c r="A11973">
        <v>39736</v>
      </c>
      <c r="B11973" t="s">
        <v>12332</v>
      </c>
      <c r="C11973" t="s">
        <v>429</v>
      </c>
      <c r="D11973" s="106">
        <v>152.84</v>
      </c>
    </row>
    <row r="11974" spans="1:4">
      <c r="A11974">
        <v>39737</v>
      </c>
      <c r="B11974" t="s">
        <v>12333</v>
      </c>
      <c r="C11974" t="s">
        <v>429</v>
      </c>
      <c r="D11974" s="106">
        <v>20.56</v>
      </c>
    </row>
    <row r="11975" spans="1:4">
      <c r="A11975">
        <v>39738</v>
      </c>
      <c r="B11975" t="s">
        <v>12334</v>
      </c>
      <c r="C11975" t="s">
        <v>429</v>
      </c>
      <c r="D11975" s="106">
        <v>7.43</v>
      </c>
    </row>
    <row r="11976" spans="1:4">
      <c r="A11976">
        <v>39739</v>
      </c>
      <c r="B11976" t="s">
        <v>12335</v>
      </c>
      <c r="C11976" t="s">
        <v>429</v>
      </c>
      <c r="D11976" s="106">
        <v>105.7</v>
      </c>
    </row>
    <row r="11977" spans="1:4">
      <c r="A11977">
        <v>39733</v>
      </c>
      <c r="B11977" t="s">
        <v>12336</v>
      </c>
      <c r="C11977" t="s">
        <v>429</v>
      </c>
      <c r="D11977" s="106">
        <v>182.91</v>
      </c>
    </row>
    <row r="11978" spans="1:4">
      <c r="A11978">
        <v>39854</v>
      </c>
      <c r="B11978" t="s">
        <v>12337</v>
      </c>
      <c r="C11978" t="s">
        <v>429</v>
      </c>
      <c r="D11978" s="106">
        <v>185.5</v>
      </c>
    </row>
    <row r="11979" spans="1:4">
      <c r="A11979">
        <v>39740</v>
      </c>
      <c r="B11979" t="s">
        <v>12338</v>
      </c>
      <c r="C11979" t="s">
        <v>429</v>
      </c>
      <c r="D11979" s="106">
        <v>101.5</v>
      </c>
    </row>
    <row r="11980" spans="1:4">
      <c r="A11980">
        <v>39741</v>
      </c>
      <c r="B11980" t="s">
        <v>12339</v>
      </c>
      <c r="C11980" t="s">
        <v>429</v>
      </c>
      <c r="D11980" s="106">
        <v>18.7</v>
      </c>
    </row>
    <row r="11981" spans="1:4">
      <c r="A11981">
        <v>39853</v>
      </c>
      <c r="B11981" t="s">
        <v>12340</v>
      </c>
      <c r="C11981" t="s">
        <v>429</v>
      </c>
      <c r="D11981" s="106">
        <v>24.57</v>
      </c>
    </row>
    <row r="11982" spans="1:4">
      <c r="A11982">
        <v>39742</v>
      </c>
      <c r="B11982" t="s">
        <v>12341</v>
      </c>
      <c r="C11982" t="s">
        <v>429</v>
      </c>
      <c r="D11982" s="106">
        <v>81.58</v>
      </c>
    </row>
    <row r="11983" spans="1:4">
      <c r="A11983">
        <v>39749</v>
      </c>
      <c r="B11983" t="s">
        <v>12342</v>
      </c>
      <c r="C11983" t="s">
        <v>429</v>
      </c>
      <c r="D11983" s="106">
        <v>112.56</v>
      </c>
    </row>
    <row r="11984" spans="1:4">
      <c r="A11984">
        <v>39751</v>
      </c>
      <c r="B11984" t="s">
        <v>12343</v>
      </c>
      <c r="C11984" t="s">
        <v>429</v>
      </c>
      <c r="D11984" s="106">
        <v>204.54</v>
      </c>
    </row>
    <row r="11985" spans="1:4">
      <c r="A11985">
        <v>39750</v>
      </c>
      <c r="B11985" t="s">
        <v>12344</v>
      </c>
      <c r="C11985" t="s">
        <v>429</v>
      </c>
      <c r="D11985" s="106">
        <v>170.01</v>
      </c>
    </row>
    <row r="11986" spans="1:4">
      <c r="A11986">
        <v>39747</v>
      </c>
      <c r="B11986" t="s">
        <v>12345</v>
      </c>
      <c r="C11986" t="s">
        <v>429</v>
      </c>
      <c r="D11986" s="106">
        <v>54.68</v>
      </c>
    </row>
    <row r="11987" spans="1:4">
      <c r="A11987">
        <v>39753</v>
      </c>
      <c r="B11987" t="s">
        <v>12346</v>
      </c>
      <c r="C11987" t="s">
        <v>429</v>
      </c>
      <c r="D11987" s="106">
        <v>376.5</v>
      </c>
    </row>
    <row r="11988" spans="1:4">
      <c r="A11988">
        <v>39754</v>
      </c>
      <c r="B11988" t="s">
        <v>12347</v>
      </c>
      <c r="C11988" t="s">
        <v>429</v>
      </c>
      <c r="D11988" s="106">
        <v>554.69000000000005</v>
      </c>
    </row>
    <row r="11989" spans="1:4">
      <c r="A11989">
        <v>39748</v>
      </c>
      <c r="B11989" t="s">
        <v>12348</v>
      </c>
      <c r="C11989" t="s">
        <v>429</v>
      </c>
      <c r="D11989" s="106">
        <v>88.48</v>
      </c>
    </row>
    <row r="11990" spans="1:4">
      <c r="A11990">
        <v>39755</v>
      </c>
      <c r="B11990" t="s">
        <v>12349</v>
      </c>
      <c r="C11990" t="s">
        <v>429</v>
      </c>
      <c r="D11990" s="106">
        <v>841.04</v>
      </c>
    </row>
    <row r="11991" spans="1:4">
      <c r="A11991">
        <v>12742</v>
      </c>
      <c r="B11991" t="s">
        <v>12350</v>
      </c>
      <c r="C11991" t="s">
        <v>429</v>
      </c>
      <c r="D11991" s="106">
        <v>665.96</v>
      </c>
    </row>
    <row r="11992" spans="1:4">
      <c r="A11992">
        <v>12713</v>
      </c>
      <c r="B11992" t="s">
        <v>12351</v>
      </c>
      <c r="C11992" t="s">
        <v>429</v>
      </c>
      <c r="D11992" s="106">
        <v>35.32</v>
      </c>
    </row>
    <row r="11993" spans="1:4">
      <c r="A11993">
        <v>12743</v>
      </c>
      <c r="B11993" t="s">
        <v>12352</v>
      </c>
      <c r="C11993" t="s">
        <v>429</v>
      </c>
      <c r="D11993" s="106">
        <v>60.76</v>
      </c>
    </row>
    <row r="11994" spans="1:4">
      <c r="A11994">
        <v>12744</v>
      </c>
      <c r="B11994" t="s">
        <v>12353</v>
      </c>
      <c r="C11994" t="s">
        <v>429</v>
      </c>
      <c r="D11994" s="106">
        <v>77.11</v>
      </c>
    </row>
    <row r="11995" spans="1:4">
      <c r="A11995">
        <v>12745</v>
      </c>
      <c r="B11995" t="s">
        <v>12354</v>
      </c>
      <c r="C11995" t="s">
        <v>429</v>
      </c>
      <c r="D11995" s="106">
        <v>111.98</v>
      </c>
    </row>
    <row r="11996" spans="1:4">
      <c r="A11996">
        <v>12746</v>
      </c>
      <c r="B11996" t="s">
        <v>12355</v>
      </c>
      <c r="C11996" t="s">
        <v>429</v>
      </c>
      <c r="D11996" s="106">
        <v>151.22</v>
      </c>
    </row>
    <row r="11997" spans="1:4">
      <c r="A11997">
        <v>12747</v>
      </c>
      <c r="B11997" t="s">
        <v>12356</v>
      </c>
      <c r="C11997" t="s">
        <v>429</v>
      </c>
      <c r="D11997" s="106">
        <v>219.3</v>
      </c>
    </row>
    <row r="11998" spans="1:4">
      <c r="A11998">
        <v>12748</v>
      </c>
      <c r="B11998" t="s">
        <v>12357</v>
      </c>
      <c r="C11998" t="s">
        <v>429</v>
      </c>
      <c r="D11998" s="106">
        <v>308.95</v>
      </c>
    </row>
    <row r="11999" spans="1:4">
      <c r="A11999">
        <v>12749</v>
      </c>
      <c r="B11999" t="s">
        <v>12358</v>
      </c>
      <c r="C11999" t="s">
        <v>429</v>
      </c>
      <c r="D11999" s="106">
        <v>451.63</v>
      </c>
    </row>
    <row r="12000" spans="1:4">
      <c r="A12000">
        <v>39726</v>
      </c>
      <c r="B12000" t="s">
        <v>12359</v>
      </c>
      <c r="C12000" t="s">
        <v>429</v>
      </c>
      <c r="D12000" s="106">
        <v>148.34</v>
      </c>
    </row>
    <row r="12001" spans="1:4">
      <c r="A12001">
        <v>39728</v>
      </c>
      <c r="B12001" t="s">
        <v>12360</v>
      </c>
      <c r="C12001" t="s">
        <v>429</v>
      </c>
      <c r="D12001" s="106">
        <v>260.72000000000003</v>
      </c>
    </row>
    <row r="12002" spans="1:4">
      <c r="A12002">
        <v>39727</v>
      </c>
      <c r="B12002" t="s">
        <v>12361</v>
      </c>
      <c r="C12002" t="s">
        <v>429</v>
      </c>
      <c r="D12002" s="106">
        <v>214.55</v>
      </c>
    </row>
    <row r="12003" spans="1:4">
      <c r="A12003">
        <v>39724</v>
      </c>
      <c r="B12003" t="s">
        <v>12362</v>
      </c>
      <c r="C12003" t="s">
        <v>429</v>
      </c>
      <c r="D12003" s="106">
        <v>65.69</v>
      </c>
    </row>
    <row r="12004" spans="1:4">
      <c r="A12004">
        <v>39729</v>
      </c>
      <c r="B12004" t="s">
        <v>12363</v>
      </c>
      <c r="C12004" t="s">
        <v>429</v>
      </c>
      <c r="D12004" s="106">
        <v>361.04</v>
      </c>
    </row>
    <row r="12005" spans="1:4">
      <c r="A12005">
        <v>39730</v>
      </c>
      <c r="B12005" t="s">
        <v>12364</v>
      </c>
      <c r="C12005" t="s">
        <v>429</v>
      </c>
      <c r="D12005" s="106">
        <v>468.44</v>
      </c>
    </row>
    <row r="12006" spans="1:4">
      <c r="A12006">
        <v>39731</v>
      </c>
      <c r="B12006" t="s">
        <v>12365</v>
      </c>
      <c r="C12006" t="s">
        <v>429</v>
      </c>
      <c r="D12006" s="106">
        <v>693.79</v>
      </c>
    </row>
    <row r="12007" spans="1:4">
      <c r="A12007">
        <v>39725</v>
      </c>
      <c r="B12007" t="s">
        <v>12366</v>
      </c>
      <c r="C12007" t="s">
        <v>429</v>
      </c>
      <c r="D12007" s="106">
        <v>107.07</v>
      </c>
    </row>
    <row r="12008" spans="1:4">
      <c r="A12008">
        <v>39732</v>
      </c>
      <c r="B12008" t="s">
        <v>12367</v>
      </c>
      <c r="C12008" t="s">
        <v>429</v>
      </c>
      <c r="D12008" s="107">
        <v>1021.22</v>
      </c>
    </row>
    <row r="12009" spans="1:4">
      <c r="A12009">
        <v>39660</v>
      </c>
      <c r="B12009" t="s">
        <v>12368</v>
      </c>
      <c r="C12009" t="s">
        <v>429</v>
      </c>
      <c r="D12009" s="106">
        <v>46.53</v>
      </c>
    </row>
    <row r="12010" spans="1:4">
      <c r="A12010">
        <v>39662</v>
      </c>
      <c r="B12010" t="s">
        <v>12369</v>
      </c>
      <c r="C12010" t="s">
        <v>429</v>
      </c>
      <c r="D12010" s="106">
        <v>22.3</v>
      </c>
    </row>
    <row r="12011" spans="1:4">
      <c r="A12011">
        <v>39661</v>
      </c>
      <c r="B12011" t="s">
        <v>12370</v>
      </c>
      <c r="C12011" t="s">
        <v>429</v>
      </c>
      <c r="D12011" s="106">
        <v>15.21</v>
      </c>
    </row>
    <row r="12012" spans="1:4">
      <c r="A12012">
        <v>39666</v>
      </c>
      <c r="B12012" t="s">
        <v>12371</v>
      </c>
      <c r="C12012" t="s">
        <v>429</v>
      </c>
      <c r="D12012" s="106">
        <v>70</v>
      </c>
    </row>
    <row r="12013" spans="1:4">
      <c r="A12013">
        <v>39664</v>
      </c>
      <c r="B12013" t="s">
        <v>12372</v>
      </c>
      <c r="C12013" t="s">
        <v>429</v>
      </c>
      <c r="D12013" s="106">
        <v>34.31</v>
      </c>
    </row>
    <row r="12014" spans="1:4">
      <c r="A12014">
        <v>39663</v>
      </c>
      <c r="B12014" t="s">
        <v>12373</v>
      </c>
      <c r="C12014" t="s">
        <v>429</v>
      </c>
      <c r="D12014" s="106">
        <v>27.43</v>
      </c>
    </row>
    <row r="12015" spans="1:4">
      <c r="A12015">
        <v>39665</v>
      </c>
      <c r="B12015" t="s">
        <v>12374</v>
      </c>
      <c r="C12015" t="s">
        <v>429</v>
      </c>
      <c r="D12015" s="106">
        <v>57.88</v>
      </c>
    </row>
    <row r="12016" spans="1:4">
      <c r="A12016">
        <v>39752</v>
      </c>
      <c r="B12016" t="s">
        <v>12375</v>
      </c>
      <c r="C12016" t="s">
        <v>429</v>
      </c>
      <c r="D12016" s="106">
        <v>291.04000000000002</v>
      </c>
    </row>
    <row r="12017" spans="1:4">
      <c r="A12017">
        <v>7725</v>
      </c>
      <c r="B12017" t="s">
        <v>12376</v>
      </c>
      <c r="C12017" t="s">
        <v>429</v>
      </c>
      <c r="D12017" s="106">
        <v>196</v>
      </c>
    </row>
    <row r="12018" spans="1:4">
      <c r="A12018">
        <v>7753</v>
      </c>
      <c r="B12018" t="s">
        <v>12377</v>
      </c>
      <c r="C12018" t="s">
        <v>429</v>
      </c>
      <c r="D12018" s="106">
        <v>382.11</v>
      </c>
    </row>
    <row r="12019" spans="1:4">
      <c r="A12019">
        <v>13256</v>
      </c>
      <c r="B12019" t="s">
        <v>12378</v>
      </c>
      <c r="C12019" t="s">
        <v>429</v>
      </c>
      <c r="D12019" s="106">
        <v>535.29</v>
      </c>
    </row>
    <row r="12020" spans="1:4">
      <c r="A12020">
        <v>7757</v>
      </c>
      <c r="B12020" t="s">
        <v>12379</v>
      </c>
      <c r="C12020" t="s">
        <v>429</v>
      </c>
      <c r="D12020" s="106">
        <v>570.70000000000005</v>
      </c>
    </row>
    <row r="12021" spans="1:4">
      <c r="A12021">
        <v>7758</v>
      </c>
      <c r="B12021" t="s">
        <v>12380</v>
      </c>
      <c r="C12021" t="s">
        <v>429</v>
      </c>
      <c r="D12021" s="106">
        <v>826.82</v>
      </c>
    </row>
    <row r="12022" spans="1:4">
      <c r="A12022">
        <v>7759</v>
      </c>
      <c r="B12022" t="s">
        <v>12381</v>
      </c>
      <c r="C12022" t="s">
        <v>429</v>
      </c>
      <c r="D12022" s="107">
        <v>2291.12</v>
      </c>
    </row>
    <row r="12023" spans="1:4">
      <c r="A12023">
        <v>40334</v>
      </c>
      <c r="B12023" t="s">
        <v>12382</v>
      </c>
      <c r="C12023" t="s">
        <v>429</v>
      </c>
      <c r="D12023" s="106">
        <v>89.76</v>
      </c>
    </row>
    <row r="12024" spans="1:4">
      <c r="A12024">
        <v>7745</v>
      </c>
      <c r="B12024" t="s">
        <v>12383</v>
      </c>
      <c r="C12024" t="s">
        <v>429</v>
      </c>
      <c r="D12024" s="106">
        <v>101.29</v>
      </c>
    </row>
    <row r="12025" spans="1:4">
      <c r="A12025">
        <v>7714</v>
      </c>
      <c r="B12025" t="s">
        <v>12384</v>
      </c>
      <c r="C12025" t="s">
        <v>429</v>
      </c>
      <c r="D12025" s="106">
        <v>121.05</v>
      </c>
    </row>
    <row r="12026" spans="1:4">
      <c r="A12026">
        <v>7742</v>
      </c>
      <c r="B12026" t="s">
        <v>12385</v>
      </c>
      <c r="C12026" t="s">
        <v>429</v>
      </c>
      <c r="D12026" s="106">
        <v>267.14999999999998</v>
      </c>
    </row>
    <row r="12027" spans="1:4">
      <c r="A12027">
        <v>7750</v>
      </c>
      <c r="B12027" t="s">
        <v>12386</v>
      </c>
      <c r="C12027" t="s">
        <v>429</v>
      </c>
      <c r="D12027" s="106">
        <v>326.11</v>
      </c>
    </row>
    <row r="12028" spans="1:4">
      <c r="A12028">
        <v>7756</v>
      </c>
      <c r="B12028" t="s">
        <v>12387</v>
      </c>
      <c r="C12028" t="s">
        <v>429</v>
      </c>
      <c r="D12028" s="106">
        <v>374.7</v>
      </c>
    </row>
    <row r="12029" spans="1:4">
      <c r="A12029">
        <v>7765</v>
      </c>
      <c r="B12029" t="s">
        <v>12388</v>
      </c>
      <c r="C12029" t="s">
        <v>429</v>
      </c>
      <c r="D12029" s="106">
        <v>419.99</v>
      </c>
    </row>
    <row r="12030" spans="1:4">
      <c r="A12030">
        <v>12569</v>
      </c>
      <c r="B12030" t="s">
        <v>12389</v>
      </c>
      <c r="C12030" t="s">
        <v>429</v>
      </c>
      <c r="D12030" s="106">
        <v>579.76</v>
      </c>
    </row>
    <row r="12031" spans="1:4">
      <c r="A12031">
        <v>7766</v>
      </c>
      <c r="B12031" t="s">
        <v>12390</v>
      </c>
      <c r="C12031" t="s">
        <v>429</v>
      </c>
      <c r="D12031" s="106">
        <v>615.99</v>
      </c>
    </row>
    <row r="12032" spans="1:4">
      <c r="A12032">
        <v>7767</v>
      </c>
      <c r="B12032" t="s">
        <v>12391</v>
      </c>
      <c r="C12032" t="s">
        <v>429</v>
      </c>
      <c r="D12032" s="106">
        <v>884.47</v>
      </c>
    </row>
    <row r="12033" spans="1:4">
      <c r="A12033">
        <v>7727</v>
      </c>
      <c r="B12033" t="s">
        <v>12392</v>
      </c>
      <c r="C12033" t="s">
        <v>429</v>
      </c>
      <c r="D12033" s="107">
        <v>2569.41</v>
      </c>
    </row>
    <row r="12034" spans="1:4">
      <c r="A12034">
        <v>7760</v>
      </c>
      <c r="B12034" t="s">
        <v>12393</v>
      </c>
      <c r="C12034" t="s">
        <v>429</v>
      </c>
      <c r="D12034" s="106">
        <v>102.11</v>
      </c>
    </row>
    <row r="12035" spans="1:4">
      <c r="A12035">
        <v>7761</v>
      </c>
      <c r="B12035" t="s">
        <v>12394</v>
      </c>
      <c r="C12035" t="s">
        <v>429</v>
      </c>
      <c r="D12035" s="106">
        <v>107.05</v>
      </c>
    </row>
    <row r="12036" spans="1:4">
      <c r="A12036">
        <v>7752</v>
      </c>
      <c r="B12036" t="s">
        <v>12395</v>
      </c>
      <c r="C12036" t="s">
        <v>429</v>
      </c>
      <c r="D12036" s="106">
        <v>130.11000000000001</v>
      </c>
    </row>
    <row r="12037" spans="1:4">
      <c r="A12037">
        <v>7762</v>
      </c>
      <c r="B12037" t="s">
        <v>12396</v>
      </c>
      <c r="C12037" t="s">
        <v>429</v>
      </c>
      <c r="D12037" s="106">
        <v>170.05</v>
      </c>
    </row>
    <row r="12038" spans="1:4">
      <c r="A12038">
        <v>7722</v>
      </c>
      <c r="B12038" t="s">
        <v>12397</v>
      </c>
      <c r="C12038" t="s">
        <v>429</v>
      </c>
      <c r="D12038" s="106">
        <v>260.23</v>
      </c>
    </row>
    <row r="12039" spans="1:4">
      <c r="A12039">
        <v>7763</v>
      </c>
      <c r="B12039" t="s">
        <v>12398</v>
      </c>
      <c r="C12039" t="s">
        <v>429</v>
      </c>
      <c r="D12039" s="106">
        <v>317.05</v>
      </c>
    </row>
    <row r="12040" spans="1:4">
      <c r="A12040">
        <v>7764</v>
      </c>
      <c r="B12040" t="s">
        <v>12399</v>
      </c>
      <c r="C12040" t="s">
        <v>429</v>
      </c>
      <c r="D12040" s="106">
        <v>378.82</v>
      </c>
    </row>
    <row r="12041" spans="1:4">
      <c r="A12041">
        <v>12572</v>
      </c>
      <c r="B12041" t="s">
        <v>12400</v>
      </c>
      <c r="C12041" t="s">
        <v>429</v>
      </c>
      <c r="D12041" s="106">
        <v>535.29</v>
      </c>
    </row>
    <row r="12042" spans="1:4">
      <c r="A12042">
        <v>12573</v>
      </c>
      <c r="B12042" t="s">
        <v>12401</v>
      </c>
      <c r="C12042" t="s">
        <v>429</v>
      </c>
      <c r="D12042" s="106">
        <v>704.11</v>
      </c>
    </row>
    <row r="12043" spans="1:4">
      <c r="A12043">
        <v>12574</v>
      </c>
      <c r="B12043" t="s">
        <v>12402</v>
      </c>
      <c r="C12043" t="s">
        <v>429</v>
      </c>
      <c r="D12043" s="106">
        <v>851.36</v>
      </c>
    </row>
    <row r="12044" spans="1:4">
      <c r="A12044">
        <v>12575</v>
      </c>
      <c r="B12044" t="s">
        <v>12403</v>
      </c>
      <c r="C12044" t="s">
        <v>429</v>
      </c>
      <c r="D12044" s="107">
        <v>1292.94</v>
      </c>
    </row>
    <row r="12045" spans="1:4">
      <c r="A12045">
        <v>12576</v>
      </c>
      <c r="B12045" t="s">
        <v>12404</v>
      </c>
      <c r="C12045" t="s">
        <v>429</v>
      </c>
      <c r="D12045" s="106">
        <v>156.47</v>
      </c>
    </row>
    <row r="12046" spans="1:4">
      <c r="A12046">
        <v>12577</v>
      </c>
      <c r="B12046" t="s">
        <v>12405</v>
      </c>
      <c r="C12046" t="s">
        <v>429</v>
      </c>
      <c r="D12046" s="106">
        <v>210.82</v>
      </c>
    </row>
    <row r="12047" spans="1:4">
      <c r="A12047">
        <v>12578</v>
      </c>
      <c r="B12047" t="s">
        <v>12406</v>
      </c>
      <c r="C12047" t="s">
        <v>429</v>
      </c>
      <c r="D12047" s="106">
        <v>255.29</v>
      </c>
    </row>
    <row r="12048" spans="1:4">
      <c r="A12048">
        <v>12579</v>
      </c>
      <c r="B12048" t="s">
        <v>12407</v>
      </c>
      <c r="C12048" t="s">
        <v>429</v>
      </c>
      <c r="D12048" s="106">
        <v>439.76</v>
      </c>
    </row>
    <row r="12049" spans="1:4">
      <c r="A12049">
        <v>12580</v>
      </c>
      <c r="B12049" t="s">
        <v>12408</v>
      </c>
      <c r="C12049" t="s">
        <v>429</v>
      </c>
      <c r="D12049" s="106">
        <v>458.21</v>
      </c>
    </row>
    <row r="12050" spans="1:4">
      <c r="A12050">
        <v>12581</v>
      </c>
      <c r="B12050" t="s">
        <v>12409</v>
      </c>
      <c r="C12050" t="s">
        <v>429</v>
      </c>
      <c r="D12050" s="106">
        <v>490.82</v>
      </c>
    </row>
    <row r="12051" spans="1:4">
      <c r="A12051">
        <v>7720</v>
      </c>
      <c r="B12051" t="s">
        <v>12410</v>
      </c>
      <c r="C12051" t="s">
        <v>429</v>
      </c>
      <c r="D12051" s="106">
        <v>767.52</v>
      </c>
    </row>
    <row r="12052" spans="1:4">
      <c r="A12052">
        <v>40335</v>
      </c>
      <c r="B12052" t="s">
        <v>12411</v>
      </c>
      <c r="C12052" t="s">
        <v>429</v>
      </c>
      <c r="D12052" s="106">
        <v>160.58000000000001</v>
      </c>
    </row>
    <row r="12053" spans="1:4">
      <c r="A12053">
        <v>7740</v>
      </c>
      <c r="B12053" t="s">
        <v>12412</v>
      </c>
      <c r="C12053" t="s">
        <v>429</v>
      </c>
      <c r="D12053" s="106">
        <v>164.7</v>
      </c>
    </row>
    <row r="12054" spans="1:4">
      <c r="A12054">
        <v>7741</v>
      </c>
      <c r="B12054" t="s">
        <v>12413</v>
      </c>
      <c r="C12054" t="s">
        <v>429</v>
      </c>
      <c r="D12054" s="106">
        <v>304.7</v>
      </c>
    </row>
    <row r="12055" spans="1:4">
      <c r="A12055">
        <v>7774</v>
      </c>
      <c r="B12055" t="s">
        <v>12414</v>
      </c>
      <c r="C12055" t="s">
        <v>429</v>
      </c>
      <c r="D12055" s="106">
        <v>373.88</v>
      </c>
    </row>
    <row r="12056" spans="1:4">
      <c r="A12056">
        <v>7744</v>
      </c>
      <c r="B12056" t="s">
        <v>12415</v>
      </c>
      <c r="C12056" t="s">
        <v>429</v>
      </c>
      <c r="D12056" s="106">
        <v>488.35</v>
      </c>
    </row>
    <row r="12057" spans="1:4">
      <c r="A12057">
        <v>7773</v>
      </c>
      <c r="B12057" t="s">
        <v>12416</v>
      </c>
      <c r="C12057" t="s">
        <v>429</v>
      </c>
      <c r="D12057" s="106">
        <v>499.14</v>
      </c>
    </row>
    <row r="12058" spans="1:4">
      <c r="A12058">
        <v>7754</v>
      </c>
      <c r="B12058" t="s">
        <v>12417</v>
      </c>
      <c r="C12058" t="s">
        <v>429</v>
      </c>
      <c r="D12058" s="106">
        <v>756.82</v>
      </c>
    </row>
    <row r="12059" spans="1:4">
      <c r="A12059">
        <v>7735</v>
      </c>
      <c r="B12059" t="s">
        <v>12418</v>
      </c>
      <c r="C12059" t="s">
        <v>429</v>
      </c>
      <c r="D12059" s="106">
        <v>980</v>
      </c>
    </row>
    <row r="12060" spans="1:4">
      <c r="A12060">
        <v>7755</v>
      </c>
      <c r="B12060" t="s">
        <v>12419</v>
      </c>
      <c r="C12060" t="s">
        <v>429</v>
      </c>
      <c r="D12060" s="106">
        <v>194.35</v>
      </c>
    </row>
    <row r="12061" spans="1:4">
      <c r="A12061">
        <v>7776</v>
      </c>
      <c r="B12061" t="s">
        <v>12420</v>
      </c>
      <c r="C12061" t="s">
        <v>429</v>
      </c>
      <c r="D12061" s="106">
        <v>405.17</v>
      </c>
    </row>
    <row r="12062" spans="1:4">
      <c r="A12062">
        <v>7743</v>
      </c>
      <c r="B12062" t="s">
        <v>12421</v>
      </c>
      <c r="C12062" t="s">
        <v>429</v>
      </c>
      <c r="D12062" s="106">
        <v>429.05</v>
      </c>
    </row>
    <row r="12063" spans="1:4">
      <c r="A12063">
        <v>7733</v>
      </c>
      <c r="B12063" t="s">
        <v>12422</v>
      </c>
      <c r="C12063" t="s">
        <v>429</v>
      </c>
      <c r="D12063" s="106">
        <v>560</v>
      </c>
    </row>
    <row r="12064" spans="1:4">
      <c r="A12064">
        <v>7775</v>
      </c>
      <c r="B12064" t="s">
        <v>12423</v>
      </c>
      <c r="C12064" t="s">
        <v>429</v>
      </c>
      <c r="D12064" s="106">
        <v>613.52</v>
      </c>
    </row>
    <row r="12065" spans="1:4">
      <c r="A12065">
        <v>7734</v>
      </c>
      <c r="B12065" t="s">
        <v>12424</v>
      </c>
      <c r="C12065" t="s">
        <v>429</v>
      </c>
      <c r="D12065" s="106">
        <v>868.82</v>
      </c>
    </row>
    <row r="12066" spans="1:4">
      <c r="A12066">
        <v>37449</v>
      </c>
      <c r="B12066" t="s">
        <v>12425</v>
      </c>
      <c r="C12066" t="s">
        <v>429</v>
      </c>
      <c r="D12066" s="106">
        <v>24.96</v>
      </c>
    </row>
    <row r="12067" spans="1:4">
      <c r="A12067">
        <v>37450</v>
      </c>
      <c r="B12067" t="s">
        <v>12426</v>
      </c>
      <c r="C12067" t="s">
        <v>429</v>
      </c>
      <c r="D12067" s="106">
        <v>34.950000000000003</v>
      </c>
    </row>
    <row r="12068" spans="1:4">
      <c r="A12068">
        <v>37451</v>
      </c>
      <c r="B12068" t="s">
        <v>12427</v>
      </c>
      <c r="C12068" t="s">
        <v>429</v>
      </c>
      <c r="D12068" s="106">
        <v>48.79</v>
      </c>
    </row>
    <row r="12069" spans="1:4">
      <c r="A12069">
        <v>37452</v>
      </c>
      <c r="B12069" t="s">
        <v>12428</v>
      </c>
      <c r="C12069" t="s">
        <v>429</v>
      </c>
      <c r="D12069" s="106">
        <v>70.92</v>
      </c>
    </row>
    <row r="12070" spans="1:4">
      <c r="A12070">
        <v>37453</v>
      </c>
      <c r="B12070" t="s">
        <v>12429</v>
      </c>
      <c r="C12070" t="s">
        <v>429</v>
      </c>
      <c r="D12070" s="106">
        <v>81.680000000000007</v>
      </c>
    </row>
    <row r="12071" spans="1:4">
      <c r="A12071">
        <v>7778</v>
      </c>
      <c r="B12071" t="s">
        <v>12430</v>
      </c>
      <c r="C12071" t="s">
        <v>429</v>
      </c>
      <c r="D12071" s="106">
        <v>30.64</v>
      </c>
    </row>
    <row r="12072" spans="1:4">
      <c r="A12072">
        <v>7796</v>
      </c>
      <c r="B12072" t="s">
        <v>12431</v>
      </c>
      <c r="C12072" t="s">
        <v>429</v>
      </c>
      <c r="D12072" s="106">
        <v>41.99</v>
      </c>
    </row>
    <row r="12073" spans="1:4">
      <c r="A12073">
        <v>7781</v>
      </c>
      <c r="B12073" t="s">
        <v>12432</v>
      </c>
      <c r="C12073" t="s">
        <v>429</v>
      </c>
      <c r="D12073" s="106">
        <v>49.62</v>
      </c>
    </row>
    <row r="12074" spans="1:4">
      <c r="A12074">
        <v>7795</v>
      </c>
      <c r="B12074" t="s">
        <v>12433</v>
      </c>
      <c r="C12074" t="s">
        <v>429</v>
      </c>
      <c r="D12074" s="106">
        <v>73.849999999999994</v>
      </c>
    </row>
    <row r="12075" spans="1:4">
      <c r="A12075">
        <v>7791</v>
      </c>
      <c r="B12075" t="s">
        <v>12434</v>
      </c>
      <c r="C12075" t="s">
        <v>429</v>
      </c>
      <c r="D12075" s="106">
        <v>88.4</v>
      </c>
    </row>
    <row r="12076" spans="1:4">
      <c r="A12076">
        <v>7783</v>
      </c>
      <c r="B12076" t="s">
        <v>12435</v>
      </c>
      <c r="C12076" t="s">
        <v>429</v>
      </c>
      <c r="D12076" s="106">
        <v>31.32</v>
      </c>
    </row>
    <row r="12077" spans="1:4">
      <c r="A12077">
        <v>7790</v>
      </c>
      <c r="B12077" t="s">
        <v>12436</v>
      </c>
      <c r="C12077" t="s">
        <v>429</v>
      </c>
      <c r="D12077" s="106">
        <v>49.36</v>
      </c>
    </row>
    <row r="12078" spans="1:4">
      <c r="A12078">
        <v>7785</v>
      </c>
      <c r="B12078" t="s">
        <v>12437</v>
      </c>
      <c r="C12078" t="s">
        <v>429</v>
      </c>
      <c r="D12078" s="106">
        <v>54.47</v>
      </c>
    </row>
    <row r="12079" spans="1:4">
      <c r="A12079">
        <v>7792</v>
      </c>
      <c r="B12079" t="s">
        <v>12438</v>
      </c>
      <c r="C12079" t="s">
        <v>429</v>
      </c>
      <c r="D12079" s="106">
        <v>77.25</v>
      </c>
    </row>
    <row r="12080" spans="1:4">
      <c r="A12080">
        <v>7793</v>
      </c>
      <c r="B12080" t="s">
        <v>12439</v>
      </c>
      <c r="C12080" t="s">
        <v>429</v>
      </c>
      <c r="D12080" s="106">
        <v>91.24</v>
      </c>
    </row>
    <row r="12081" spans="1:4">
      <c r="A12081">
        <v>13159</v>
      </c>
      <c r="B12081" t="s">
        <v>12440</v>
      </c>
      <c r="C12081" t="s">
        <v>429</v>
      </c>
      <c r="D12081" s="106">
        <v>79.44</v>
      </c>
    </row>
    <row r="12082" spans="1:4">
      <c r="A12082">
        <v>13168</v>
      </c>
      <c r="B12082" t="s">
        <v>12441</v>
      </c>
      <c r="C12082" t="s">
        <v>429</v>
      </c>
      <c r="D12082" s="106">
        <v>96.46</v>
      </c>
    </row>
    <row r="12083" spans="1:4">
      <c r="A12083">
        <v>13173</v>
      </c>
      <c r="B12083" t="s">
        <v>12442</v>
      </c>
      <c r="C12083" t="s">
        <v>429</v>
      </c>
      <c r="D12083" s="106">
        <v>130.5</v>
      </c>
    </row>
    <row r="12084" spans="1:4">
      <c r="A12084">
        <v>12583</v>
      </c>
      <c r="B12084" t="s">
        <v>12443</v>
      </c>
      <c r="C12084" t="s">
        <v>429</v>
      </c>
      <c r="D12084" s="106">
        <v>26.1</v>
      </c>
    </row>
    <row r="12085" spans="1:4">
      <c r="A12085">
        <v>12584</v>
      </c>
      <c r="B12085" t="s">
        <v>12444</v>
      </c>
      <c r="C12085" t="s">
        <v>429</v>
      </c>
      <c r="D12085" s="106">
        <v>34.04</v>
      </c>
    </row>
    <row r="12086" spans="1:4">
      <c r="A12086">
        <v>12613</v>
      </c>
      <c r="B12086" t="s">
        <v>12445</v>
      </c>
      <c r="C12086" t="s">
        <v>427</v>
      </c>
      <c r="D12086" s="106">
        <v>20.18</v>
      </c>
    </row>
    <row r="12087" spans="1:4">
      <c r="A12087">
        <v>1031</v>
      </c>
      <c r="B12087" t="s">
        <v>12446</v>
      </c>
      <c r="C12087" t="s">
        <v>427</v>
      </c>
      <c r="D12087" s="106">
        <v>14.55</v>
      </c>
    </row>
    <row r="12088" spans="1:4">
      <c r="A12088">
        <v>39707</v>
      </c>
      <c r="B12088" t="s">
        <v>12447</v>
      </c>
      <c r="C12088" t="s">
        <v>429</v>
      </c>
      <c r="D12088" s="106">
        <v>4.51</v>
      </c>
    </row>
    <row r="12089" spans="1:4">
      <c r="A12089">
        <v>39708</v>
      </c>
      <c r="B12089" t="s">
        <v>12448</v>
      </c>
      <c r="C12089" t="s">
        <v>429</v>
      </c>
      <c r="D12089" s="106">
        <v>4.37</v>
      </c>
    </row>
    <row r="12090" spans="1:4">
      <c r="A12090">
        <v>39710</v>
      </c>
      <c r="B12090" t="s">
        <v>12449</v>
      </c>
      <c r="C12090" t="s">
        <v>429</v>
      </c>
      <c r="D12090" s="106">
        <v>3.07</v>
      </c>
    </row>
    <row r="12091" spans="1:4">
      <c r="A12091">
        <v>39709</v>
      </c>
      <c r="B12091" t="s">
        <v>12450</v>
      </c>
      <c r="C12091" t="s">
        <v>429</v>
      </c>
      <c r="D12091" s="106">
        <v>4.2699999999999996</v>
      </c>
    </row>
    <row r="12092" spans="1:4">
      <c r="A12092">
        <v>39711</v>
      </c>
      <c r="B12092" t="s">
        <v>12451</v>
      </c>
      <c r="C12092" t="s">
        <v>429</v>
      </c>
      <c r="D12092" s="106">
        <v>4.79</v>
      </c>
    </row>
    <row r="12093" spans="1:4">
      <c r="A12093">
        <v>39712</v>
      </c>
      <c r="B12093" t="s">
        <v>12452</v>
      </c>
      <c r="C12093" t="s">
        <v>429</v>
      </c>
      <c r="D12093" s="106">
        <v>1.68</v>
      </c>
    </row>
    <row r="12094" spans="1:4">
      <c r="A12094">
        <v>39713</v>
      </c>
      <c r="B12094" t="s">
        <v>12453</v>
      </c>
      <c r="C12094" t="s">
        <v>429</v>
      </c>
      <c r="D12094" s="106">
        <v>1.33</v>
      </c>
    </row>
    <row r="12095" spans="1:4">
      <c r="A12095">
        <v>39714</v>
      </c>
      <c r="B12095" t="s">
        <v>12454</v>
      </c>
      <c r="C12095" t="s">
        <v>429</v>
      </c>
      <c r="D12095" s="106">
        <v>3.04</v>
      </c>
    </row>
    <row r="12096" spans="1:4">
      <c r="A12096">
        <v>39715</v>
      </c>
      <c r="B12096" t="s">
        <v>12455</v>
      </c>
      <c r="C12096" t="s">
        <v>429</v>
      </c>
      <c r="D12096" s="106">
        <v>2.17</v>
      </c>
    </row>
    <row r="12097" spans="1:4">
      <c r="A12097">
        <v>39716</v>
      </c>
      <c r="B12097" t="s">
        <v>12456</v>
      </c>
      <c r="C12097" t="s">
        <v>429</v>
      </c>
      <c r="D12097" s="106">
        <v>1.64</v>
      </c>
    </row>
    <row r="12098" spans="1:4">
      <c r="A12098">
        <v>39718</v>
      </c>
      <c r="B12098" t="s">
        <v>12457</v>
      </c>
      <c r="C12098" t="s">
        <v>429</v>
      </c>
      <c r="D12098" s="106">
        <v>2.8</v>
      </c>
    </row>
    <row r="12099" spans="1:4">
      <c r="A12099">
        <v>9813</v>
      </c>
      <c r="B12099" t="s">
        <v>12458</v>
      </c>
      <c r="C12099" t="s">
        <v>429</v>
      </c>
      <c r="D12099" s="106">
        <v>5.71</v>
      </c>
    </row>
    <row r="12100" spans="1:4">
      <c r="A12100">
        <v>9815</v>
      </c>
      <c r="B12100" t="s">
        <v>12459</v>
      </c>
      <c r="C12100" t="s">
        <v>429</v>
      </c>
      <c r="D12100" s="106">
        <v>11.27</v>
      </c>
    </row>
    <row r="12101" spans="1:4">
      <c r="A12101">
        <v>44543</v>
      </c>
      <c r="B12101" t="s">
        <v>13569</v>
      </c>
      <c r="C12101" t="s">
        <v>429</v>
      </c>
      <c r="D12101" s="107">
        <v>5611.02</v>
      </c>
    </row>
    <row r="12102" spans="1:4">
      <c r="A12102">
        <v>44526</v>
      </c>
      <c r="B12102" t="s">
        <v>13570</v>
      </c>
      <c r="C12102" t="s">
        <v>429</v>
      </c>
      <c r="D12102" s="106">
        <v>137.52000000000001</v>
      </c>
    </row>
    <row r="12103" spans="1:4">
      <c r="A12103">
        <v>44518</v>
      </c>
      <c r="B12103" t="s">
        <v>13571</v>
      </c>
      <c r="C12103" t="s">
        <v>429</v>
      </c>
      <c r="D12103" s="107">
        <v>4130.8900000000003</v>
      </c>
    </row>
    <row r="12104" spans="1:4">
      <c r="A12104">
        <v>44544</v>
      </c>
      <c r="B12104" t="s">
        <v>13572</v>
      </c>
      <c r="C12104" t="s">
        <v>429</v>
      </c>
      <c r="D12104" s="107">
        <v>2008.27</v>
      </c>
    </row>
    <row r="12105" spans="1:4">
      <c r="A12105">
        <v>44545</v>
      </c>
      <c r="B12105" t="s">
        <v>13573</v>
      </c>
      <c r="C12105" t="s">
        <v>429</v>
      </c>
      <c r="D12105" s="106">
        <v>295.18</v>
      </c>
    </row>
    <row r="12106" spans="1:4">
      <c r="A12106">
        <v>44546</v>
      </c>
      <c r="B12106" t="s">
        <v>13574</v>
      </c>
      <c r="C12106" t="s">
        <v>429</v>
      </c>
      <c r="D12106" s="107">
        <v>1318.31</v>
      </c>
    </row>
    <row r="12107" spans="1:4">
      <c r="A12107">
        <v>44525</v>
      </c>
      <c r="B12107" t="s">
        <v>13575</v>
      </c>
      <c r="C12107" t="s">
        <v>429</v>
      </c>
      <c r="D12107" s="107">
        <v>5089.16</v>
      </c>
    </row>
    <row r="12108" spans="1:4">
      <c r="A12108">
        <v>44547</v>
      </c>
      <c r="B12108" t="s">
        <v>13576</v>
      </c>
      <c r="C12108" t="s">
        <v>429</v>
      </c>
      <c r="D12108" s="106">
        <v>460.15</v>
      </c>
    </row>
    <row r="12109" spans="1:4">
      <c r="A12109">
        <v>44519</v>
      </c>
      <c r="B12109" t="s">
        <v>13577</v>
      </c>
      <c r="C12109" t="s">
        <v>429</v>
      </c>
      <c r="D12109" s="107">
        <v>1127.5</v>
      </c>
    </row>
    <row r="12110" spans="1:4">
      <c r="A12110">
        <v>44520</v>
      </c>
      <c r="B12110" t="s">
        <v>13578</v>
      </c>
      <c r="C12110" t="s">
        <v>429</v>
      </c>
      <c r="D12110" s="107">
        <v>1816</v>
      </c>
    </row>
    <row r="12111" spans="1:4">
      <c r="A12111">
        <v>44521</v>
      </c>
      <c r="B12111" t="s">
        <v>13579</v>
      </c>
      <c r="C12111" t="s">
        <v>429</v>
      </c>
      <c r="D12111" s="106">
        <v>29.29</v>
      </c>
    </row>
    <row r="12112" spans="1:4">
      <c r="A12112">
        <v>44522</v>
      </c>
      <c r="B12112" t="s">
        <v>13580</v>
      </c>
      <c r="C12112" t="s">
        <v>429</v>
      </c>
      <c r="D12112" s="107">
        <v>3188.22</v>
      </c>
    </row>
    <row r="12113" spans="1:4">
      <c r="A12113">
        <v>44523</v>
      </c>
      <c r="B12113" t="s">
        <v>13581</v>
      </c>
      <c r="C12113" t="s">
        <v>429</v>
      </c>
      <c r="D12113" s="107">
        <v>4741.78</v>
      </c>
    </row>
    <row r="12114" spans="1:4">
      <c r="A12114">
        <v>44527</v>
      </c>
      <c r="B12114" t="s">
        <v>13582</v>
      </c>
      <c r="C12114" t="s">
        <v>429</v>
      </c>
      <c r="D12114" s="107">
        <v>2377.88</v>
      </c>
    </row>
    <row r="12115" spans="1:4">
      <c r="A12115">
        <v>44524</v>
      </c>
      <c r="B12115" t="s">
        <v>13583</v>
      </c>
      <c r="C12115" t="s">
        <v>429</v>
      </c>
      <c r="D12115" s="106">
        <v>65.52</v>
      </c>
    </row>
    <row r="12116" spans="1:4">
      <c r="A12116">
        <v>44542</v>
      </c>
      <c r="B12116" t="s">
        <v>13584</v>
      </c>
      <c r="C12116" t="s">
        <v>429</v>
      </c>
      <c r="D12116" s="107">
        <v>3102.34</v>
      </c>
    </row>
    <row r="12117" spans="1:4">
      <c r="A12117">
        <v>9876</v>
      </c>
      <c r="B12117" t="s">
        <v>12460</v>
      </c>
      <c r="C12117" t="s">
        <v>429</v>
      </c>
      <c r="D12117" s="106">
        <v>27.86</v>
      </c>
    </row>
    <row r="12118" spans="1:4">
      <c r="A12118">
        <v>9877</v>
      </c>
      <c r="B12118" t="s">
        <v>12461</v>
      </c>
      <c r="C12118" t="s">
        <v>429</v>
      </c>
      <c r="D12118" s="106">
        <v>97.6</v>
      </c>
    </row>
    <row r="12119" spans="1:4">
      <c r="A12119">
        <v>9878</v>
      </c>
      <c r="B12119" t="s">
        <v>12462</v>
      </c>
      <c r="C12119" t="s">
        <v>429</v>
      </c>
      <c r="D12119" s="106">
        <v>127.13</v>
      </c>
    </row>
    <row r="12120" spans="1:4">
      <c r="A12120">
        <v>9879</v>
      </c>
      <c r="B12120" t="s">
        <v>12463</v>
      </c>
      <c r="C12120" t="s">
        <v>429</v>
      </c>
      <c r="D12120" s="106">
        <v>303.45</v>
      </c>
    </row>
    <row r="12121" spans="1:4">
      <c r="A12121">
        <v>41986</v>
      </c>
      <c r="B12121" t="s">
        <v>12464</v>
      </c>
      <c r="C12121" t="s">
        <v>429</v>
      </c>
      <c r="D12121" s="107">
        <v>2851.31</v>
      </c>
    </row>
    <row r="12122" spans="1:4">
      <c r="A12122">
        <v>43422</v>
      </c>
      <c r="B12122" t="s">
        <v>12465</v>
      </c>
      <c r="C12122" t="s">
        <v>429</v>
      </c>
      <c r="D12122" s="107">
        <v>3496.86</v>
      </c>
    </row>
    <row r="12123" spans="1:4">
      <c r="A12123">
        <v>41987</v>
      </c>
      <c r="B12123" t="s">
        <v>12466</v>
      </c>
      <c r="C12123" t="s">
        <v>429</v>
      </c>
      <c r="D12123" s="107">
        <v>4053.15</v>
      </c>
    </row>
    <row r="12124" spans="1:4">
      <c r="A12124">
        <v>41988</v>
      </c>
      <c r="B12124" t="s">
        <v>12467</v>
      </c>
      <c r="C12124" t="s">
        <v>429</v>
      </c>
      <c r="D12124" s="107">
        <v>5353.63</v>
      </c>
    </row>
    <row r="12125" spans="1:4">
      <c r="A12125">
        <v>41697</v>
      </c>
      <c r="B12125" t="s">
        <v>12468</v>
      </c>
      <c r="C12125" t="s">
        <v>429</v>
      </c>
      <c r="D12125" s="106">
        <v>948.91</v>
      </c>
    </row>
    <row r="12126" spans="1:4">
      <c r="A12126">
        <v>41985</v>
      </c>
      <c r="B12126" t="s">
        <v>12469</v>
      </c>
      <c r="C12126" t="s">
        <v>429</v>
      </c>
      <c r="D12126" s="107">
        <v>1321.58</v>
      </c>
    </row>
    <row r="12127" spans="1:4">
      <c r="A12127">
        <v>41699</v>
      </c>
      <c r="B12127" t="s">
        <v>12470</v>
      </c>
      <c r="C12127" t="s">
        <v>429</v>
      </c>
      <c r="D12127" s="107">
        <v>1881.87</v>
      </c>
    </row>
    <row r="12128" spans="1:4">
      <c r="A12128">
        <v>38053</v>
      </c>
      <c r="B12128" t="s">
        <v>12471</v>
      </c>
      <c r="C12128" t="s">
        <v>429</v>
      </c>
      <c r="D12128" s="106">
        <v>21.35</v>
      </c>
    </row>
    <row r="12129" spans="1:4">
      <c r="A12129">
        <v>38054</v>
      </c>
      <c r="B12129" t="s">
        <v>12472</v>
      </c>
      <c r="C12129" t="s">
        <v>429</v>
      </c>
      <c r="D12129" s="106">
        <v>36.71</v>
      </c>
    </row>
    <row r="12130" spans="1:4">
      <c r="A12130">
        <v>38052</v>
      </c>
      <c r="B12130" t="s">
        <v>12473</v>
      </c>
      <c r="C12130" t="s">
        <v>429</v>
      </c>
      <c r="D12130" s="106">
        <v>10.34</v>
      </c>
    </row>
    <row r="12131" spans="1:4">
      <c r="A12131">
        <v>38051</v>
      </c>
      <c r="B12131" t="s">
        <v>12474</v>
      </c>
      <c r="C12131" t="s">
        <v>429</v>
      </c>
      <c r="D12131" s="106">
        <v>6.45</v>
      </c>
    </row>
    <row r="12132" spans="1:4">
      <c r="A12132">
        <v>38787</v>
      </c>
      <c r="B12132" t="s">
        <v>12475</v>
      </c>
      <c r="C12132" t="s">
        <v>429</v>
      </c>
      <c r="D12132" s="106">
        <v>6.09</v>
      </c>
    </row>
    <row r="12133" spans="1:4">
      <c r="A12133">
        <v>38825</v>
      </c>
      <c r="B12133" t="s">
        <v>12476</v>
      </c>
      <c r="C12133" t="s">
        <v>429</v>
      </c>
      <c r="D12133" s="106">
        <v>7.98</v>
      </c>
    </row>
    <row r="12134" spans="1:4">
      <c r="A12134">
        <v>38826</v>
      </c>
      <c r="B12134" t="s">
        <v>12477</v>
      </c>
      <c r="C12134" t="s">
        <v>429</v>
      </c>
      <c r="D12134" s="106">
        <v>11.82</v>
      </c>
    </row>
    <row r="12135" spans="1:4">
      <c r="A12135">
        <v>38827</v>
      </c>
      <c r="B12135" t="s">
        <v>12478</v>
      </c>
      <c r="C12135" t="s">
        <v>429</v>
      </c>
      <c r="D12135" s="106">
        <v>18.989999999999998</v>
      </c>
    </row>
    <row r="12136" spans="1:4">
      <c r="A12136">
        <v>38830</v>
      </c>
      <c r="B12136" t="s">
        <v>12479</v>
      </c>
      <c r="C12136" t="s">
        <v>429</v>
      </c>
      <c r="D12136" s="106">
        <v>26.6</v>
      </c>
    </row>
    <row r="12137" spans="1:4">
      <c r="A12137">
        <v>38828</v>
      </c>
      <c r="B12137" t="s">
        <v>12480</v>
      </c>
      <c r="C12137" t="s">
        <v>429</v>
      </c>
      <c r="D12137" s="106">
        <v>11.73</v>
      </c>
    </row>
    <row r="12138" spans="1:4">
      <c r="A12138">
        <v>38829</v>
      </c>
      <c r="B12138" t="s">
        <v>12481</v>
      </c>
      <c r="C12138" t="s">
        <v>429</v>
      </c>
      <c r="D12138" s="106">
        <v>19.21</v>
      </c>
    </row>
    <row r="12139" spans="1:4">
      <c r="A12139">
        <v>38831</v>
      </c>
      <c r="B12139" t="s">
        <v>12482</v>
      </c>
      <c r="C12139" t="s">
        <v>429</v>
      </c>
      <c r="D12139" s="106">
        <v>37.1</v>
      </c>
    </row>
    <row r="12140" spans="1:4">
      <c r="A12140">
        <v>36274</v>
      </c>
      <c r="B12140" t="s">
        <v>12483</v>
      </c>
      <c r="C12140" t="s">
        <v>429</v>
      </c>
      <c r="D12140" s="106">
        <v>9.56</v>
      </c>
    </row>
    <row r="12141" spans="1:4">
      <c r="A12141">
        <v>36278</v>
      </c>
      <c r="B12141" t="s">
        <v>12484</v>
      </c>
      <c r="C12141" t="s">
        <v>429</v>
      </c>
      <c r="D12141" s="106">
        <v>12.97</v>
      </c>
    </row>
    <row r="12142" spans="1:4">
      <c r="A12142">
        <v>38977</v>
      </c>
      <c r="B12142" t="s">
        <v>12485</v>
      </c>
      <c r="C12142" t="s">
        <v>429</v>
      </c>
      <c r="D12142" s="106">
        <v>197.35</v>
      </c>
    </row>
    <row r="12143" spans="1:4">
      <c r="A12143">
        <v>38971</v>
      </c>
      <c r="B12143" t="s">
        <v>12486</v>
      </c>
      <c r="C12143" t="s">
        <v>429</v>
      </c>
      <c r="D12143" s="106">
        <v>16.260000000000002</v>
      </c>
    </row>
    <row r="12144" spans="1:4">
      <c r="A12144">
        <v>38972</v>
      </c>
      <c r="B12144" t="s">
        <v>12487</v>
      </c>
      <c r="C12144" t="s">
        <v>429</v>
      </c>
      <c r="D12144" s="106">
        <v>24.76</v>
      </c>
    </row>
    <row r="12145" spans="1:4">
      <c r="A12145">
        <v>38973</v>
      </c>
      <c r="B12145" t="s">
        <v>12488</v>
      </c>
      <c r="C12145" t="s">
        <v>429</v>
      </c>
      <c r="D12145" s="106">
        <v>32.75</v>
      </c>
    </row>
    <row r="12146" spans="1:4">
      <c r="A12146">
        <v>38974</v>
      </c>
      <c r="B12146" t="s">
        <v>12489</v>
      </c>
      <c r="C12146" t="s">
        <v>429</v>
      </c>
      <c r="D12146" s="106">
        <v>47.77</v>
      </c>
    </row>
    <row r="12147" spans="1:4">
      <c r="A12147">
        <v>38975</v>
      </c>
      <c r="B12147" t="s">
        <v>12490</v>
      </c>
      <c r="C12147" t="s">
        <v>429</v>
      </c>
      <c r="D12147" s="106">
        <v>79.599999999999994</v>
      </c>
    </row>
    <row r="12148" spans="1:4">
      <c r="A12148">
        <v>38976</v>
      </c>
      <c r="B12148" t="s">
        <v>12491</v>
      </c>
      <c r="C12148" t="s">
        <v>429</v>
      </c>
      <c r="D12148" s="106">
        <v>111.64</v>
      </c>
    </row>
    <row r="12149" spans="1:4">
      <c r="A12149">
        <v>38986</v>
      </c>
      <c r="B12149" t="s">
        <v>12492</v>
      </c>
      <c r="C12149" t="s">
        <v>429</v>
      </c>
      <c r="D12149" s="106">
        <v>224.67</v>
      </c>
    </row>
    <row r="12150" spans="1:4">
      <c r="A12150">
        <v>38978</v>
      </c>
      <c r="B12150" t="s">
        <v>12493</v>
      </c>
      <c r="C12150" t="s">
        <v>429</v>
      </c>
      <c r="D12150" s="106">
        <v>9.56</v>
      </c>
    </row>
    <row r="12151" spans="1:4">
      <c r="A12151">
        <v>38979</v>
      </c>
      <c r="B12151" t="s">
        <v>12494</v>
      </c>
      <c r="C12151" t="s">
        <v>429</v>
      </c>
      <c r="D12151" s="106">
        <v>12.97</v>
      </c>
    </row>
    <row r="12152" spans="1:4">
      <c r="A12152">
        <v>38980</v>
      </c>
      <c r="B12152" t="s">
        <v>12495</v>
      </c>
      <c r="C12152" t="s">
        <v>429</v>
      </c>
      <c r="D12152" s="106">
        <v>21.68</v>
      </c>
    </row>
    <row r="12153" spans="1:4">
      <c r="A12153">
        <v>38981</v>
      </c>
      <c r="B12153" t="s">
        <v>12496</v>
      </c>
      <c r="C12153" t="s">
        <v>429</v>
      </c>
      <c r="D12153" s="106">
        <v>30.02</v>
      </c>
    </row>
    <row r="12154" spans="1:4">
      <c r="A12154">
        <v>38982</v>
      </c>
      <c r="B12154" t="s">
        <v>12497</v>
      </c>
      <c r="C12154" t="s">
        <v>429</v>
      </c>
      <c r="D12154" s="106">
        <v>43.69</v>
      </c>
    </row>
    <row r="12155" spans="1:4">
      <c r="A12155">
        <v>38983</v>
      </c>
      <c r="B12155" t="s">
        <v>12498</v>
      </c>
      <c r="C12155" t="s">
        <v>429</v>
      </c>
      <c r="D12155" s="106">
        <v>57.92</v>
      </c>
    </row>
    <row r="12156" spans="1:4">
      <c r="A12156">
        <v>38984</v>
      </c>
      <c r="B12156" t="s">
        <v>12499</v>
      </c>
      <c r="C12156" t="s">
        <v>429</v>
      </c>
      <c r="D12156" s="106">
        <v>111.71</v>
      </c>
    </row>
    <row r="12157" spans="1:4">
      <c r="A12157">
        <v>38985</v>
      </c>
      <c r="B12157" t="s">
        <v>12500</v>
      </c>
      <c r="C12157" t="s">
        <v>429</v>
      </c>
      <c r="D12157" s="106">
        <v>165.38</v>
      </c>
    </row>
    <row r="12158" spans="1:4">
      <c r="A12158">
        <v>9836</v>
      </c>
      <c r="B12158" t="s">
        <v>12501</v>
      </c>
      <c r="C12158" t="s">
        <v>429</v>
      </c>
      <c r="D12158" s="106">
        <v>18.170000000000002</v>
      </c>
    </row>
    <row r="12159" spans="1:4">
      <c r="A12159">
        <v>20065</v>
      </c>
      <c r="B12159" t="s">
        <v>12502</v>
      </c>
      <c r="C12159" t="s">
        <v>429</v>
      </c>
      <c r="D12159" s="106">
        <v>46.48</v>
      </c>
    </row>
    <row r="12160" spans="1:4">
      <c r="A12160">
        <v>9835</v>
      </c>
      <c r="B12160" t="s">
        <v>12503</v>
      </c>
      <c r="C12160" t="s">
        <v>429</v>
      </c>
      <c r="D12160" s="106">
        <v>6.55</v>
      </c>
    </row>
    <row r="12161" spans="1:4">
      <c r="A12161">
        <v>38032</v>
      </c>
      <c r="B12161" t="s">
        <v>12504</v>
      </c>
      <c r="C12161" t="s">
        <v>429</v>
      </c>
      <c r="D12161" s="106">
        <v>65.94</v>
      </c>
    </row>
    <row r="12162" spans="1:4">
      <c r="A12162">
        <v>38033</v>
      </c>
      <c r="B12162" t="s">
        <v>12505</v>
      </c>
      <c r="C12162" t="s">
        <v>429</v>
      </c>
      <c r="D12162" s="106">
        <v>107.91</v>
      </c>
    </row>
    <row r="12163" spans="1:4">
      <c r="A12163">
        <v>38034</v>
      </c>
      <c r="B12163" t="s">
        <v>12506</v>
      </c>
      <c r="C12163" t="s">
        <v>429</v>
      </c>
      <c r="D12163" s="106">
        <v>178.51</v>
      </c>
    </row>
    <row r="12164" spans="1:4">
      <c r="A12164">
        <v>38035</v>
      </c>
      <c r="B12164" t="s">
        <v>12507</v>
      </c>
      <c r="C12164" t="s">
        <v>429</v>
      </c>
      <c r="D12164" s="106">
        <v>248.75</v>
      </c>
    </row>
    <row r="12165" spans="1:4">
      <c r="A12165">
        <v>38036</v>
      </c>
      <c r="B12165" t="s">
        <v>12508</v>
      </c>
      <c r="C12165" t="s">
        <v>429</v>
      </c>
      <c r="D12165" s="106">
        <v>350.99</v>
      </c>
    </row>
    <row r="12166" spans="1:4">
      <c r="A12166">
        <v>38037</v>
      </c>
      <c r="B12166" t="s">
        <v>12509</v>
      </c>
      <c r="C12166" t="s">
        <v>429</v>
      </c>
      <c r="D12166" s="106">
        <v>406.98</v>
      </c>
    </row>
    <row r="12167" spans="1:4">
      <c r="A12167">
        <v>9850</v>
      </c>
      <c r="B12167" t="s">
        <v>12510</v>
      </c>
      <c r="C12167" t="s">
        <v>429</v>
      </c>
      <c r="D12167" s="106">
        <v>150.88</v>
      </c>
    </row>
    <row r="12168" spans="1:4">
      <c r="A12168">
        <v>9853</v>
      </c>
      <c r="B12168" t="s">
        <v>12511</v>
      </c>
      <c r="C12168" t="s">
        <v>429</v>
      </c>
      <c r="D12168" s="106">
        <v>268.31</v>
      </c>
    </row>
    <row r="12169" spans="1:4">
      <c r="A12169">
        <v>9854</v>
      </c>
      <c r="B12169" t="s">
        <v>12512</v>
      </c>
      <c r="C12169" t="s">
        <v>429</v>
      </c>
      <c r="D12169" s="106">
        <v>117.56</v>
      </c>
    </row>
    <row r="12170" spans="1:4">
      <c r="A12170">
        <v>9851</v>
      </c>
      <c r="B12170" t="s">
        <v>12513</v>
      </c>
      <c r="C12170" t="s">
        <v>429</v>
      </c>
      <c r="D12170" s="106">
        <v>203.85</v>
      </c>
    </row>
    <row r="12171" spans="1:4">
      <c r="A12171">
        <v>9855</v>
      </c>
      <c r="B12171" t="s">
        <v>12514</v>
      </c>
      <c r="C12171" t="s">
        <v>429</v>
      </c>
      <c r="D12171" s="106">
        <v>340.96</v>
      </c>
    </row>
    <row r="12172" spans="1:4">
      <c r="A12172">
        <v>9825</v>
      </c>
      <c r="B12172" t="s">
        <v>12515</v>
      </c>
      <c r="C12172" t="s">
        <v>429</v>
      </c>
      <c r="D12172" s="106">
        <v>59</v>
      </c>
    </row>
    <row r="12173" spans="1:4">
      <c r="A12173">
        <v>9828</v>
      </c>
      <c r="B12173" t="s">
        <v>12516</v>
      </c>
      <c r="C12173" t="s">
        <v>429</v>
      </c>
      <c r="D12173" s="106">
        <v>158.79</v>
      </c>
    </row>
    <row r="12174" spans="1:4">
      <c r="A12174">
        <v>9829</v>
      </c>
      <c r="B12174" t="s">
        <v>12517</v>
      </c>
      <c r="C12174" t="s">
        <v>429</v>
      </c>
      <c r="D12174" s="106">
        <v>269.10000000000002</v>
      </c>
    </row>
    <row r="12175" spans="1:4">
      <c r="A12175">
        <v>9826</v>
      </c>
      <c r="B12175" t="s">
        <v>12518</v>
      </c>
      <c r="C12175" t="s">
        <v>429</v>
      </c>
      <c r="D12175" s="106">
        <v>409.67</v>
      </c>
    </row>
    <row r="12176" spans="1:4">
      <c r="A12176">
        <v>9827</v>
      </c>
      <c r="B12176" t="s">
        <v>12519</v>
      </c>
      <c r="C12176" t="s">
        <v>429</v>
      </c>
      <c r="D12176" s="106">
        <v>581.73</v>
      </c>
    </row>
    <row r="12177" spans="1:4">
      <c r="A12177">
        <v>36374</v>
      </c>
      <c r="B12177" t="s">
        <v>12520</v>
      </c>
      <c r="C12177" t="s">
        <v>429</v>
      </c>
      <c r="D12177" s="106">
        <v>70.72</v>
      </c>
    </row>
    <row r="12178" spans="1:4">
      <c r="A12178">
        <v>36084</v>
      </c>
      <c r="B12178" t="s">
        <v>12521</v>
      </c>
      <c r="C12178" t="s">
        <v>429</v>
      </c>
      <c r="D12178" s="106">
        <v>20.95</v>
      </c>
    </row>
    <row r="12179" spans="1:4">
      <c r="A12179">
        <v>36373</v>
      </c>
      <c r="B12179" t="s">
        <v>12522</v>
      </c>
      <c r="C12179" t="s">
        <v>429</v>
      </c>
      <c r="D12179" s="106">
        <v>43.51</v>
      </c>
    </row>
    <row r="12180" spans="1:4">
      <c r="A12180">
        <v>36377</v>
      </c>
      <c r="B12180" t="s">
        <v>12523</v>
      </c>
      <c r="C12180" t="s">
        <v>429</v>
      </c>
      <c r="D12180" s="106">
        <v>84.83</v>
      </c>
    </row>
    <row r="12181" spans="1:4">
      <c r="A12181">
        <v>36375</v>
      </c>
      <c r="B12181" t="s">
        <v>12524</v>
      </c>
      <c r="C12181" t="s">
        <v>429</v>
      </c>
      <c r="D12181" s="106">
        <v>25.85</v>
      </c>
    </row>
    <row r="12182" spans="1:4">
      <c r="A12182">
        <v>36376</v>
      </c>
      <c r="B12182" t="s">
        <v>12525</v>
      </c>
      <c r="C12182" t="s">
        <v>429</v>
      </c>
      <c r="D12182" s="106">
        <v>50.77</v>
      </c>
    </row>
    <row r="12183" spans="1:4">
      <c r="A12183">
        <v>36380</v>
      </c>
      <c r="B12183" t="s">
        <v>12526</v>
      </c>
      <c r="C12183" t="s">
        <v>429</v>
      </c>
      <c r="D12183" s="106">
        <v>106.07</v>
      </c>
    </row>
    <row r="12184" spans="1:4">
      <c r="A12184">
        <v>36378</v>
      </c>
      <c r="B12184" t="s">
        <v>12527</v>
      </c>
      <c r="C12184" t="s">
        <v>429</v>
      </c>
      <c r="D12184" s="106">
        <v>31.78</v>
      </c>
    </row>
    <row r="12185" spans="1:4">
      <c r="A12185">
        <v>36379</v>
      </c>
      <c r="B12185" t="s">
        <v>12528</v>
      </c>
      <c r="C12185" t="s">
        <v>429</v>
      </c>
      <c r="D12185" s="106">
        <v>64.069999999999993</v>
      </c>
    </row>
    <row r="12186" spans="1:4">
      <c r="A12186">
        <v>9859</v>
      </c>
      <c r="B12186" t="s">
        <v>12529</v>
      </c>
      <c r="C12186" t="s">
        <v>429</v>
      </c>
      <c r="D12186" s="106">
        <v>10.78</v>
      </c>
    </row>
    <row r="12187" spans="1:4">
      <c r="A12187">
        <v>9838</v>
      </c>
      <c r="B12187" t="s">
        <v>12530</v>
      </c>
      <c r="C12187" t="s">
        <v>429</v>
      </c>
      <c r="D12187" s="106">
        <v>11.15</v>
      </c>
    </row>
    <row r="12188" spans="1:4">
      <c r="A12188">
        <v>9837</v>
      </c>
      <c r="B12188" t="s">
        <v>12531</v>
      </c>
      <c r="C12188" t="s">
        <v>429</v>
      </c>
      <c r="D12188" s="106">
        <v>16.100000000000001</v>
      </c>
    </row>
    <row r="12189" spans="1:4">
      <c r="A12189">
        <v>9833</v>
      </c>
      <c r="B12189" t="s">
        <v>12532</v>
      </c>
      <c r="C12189" t="s">
        <v>429</v>
      </c>
      <c r="D12189" s="106">
        <v>12</v>
      </c>
    </row>
    <row r="12190" spans="1:4">
      <c r="A12190">
        <v>9830</v>
      </c>
      <c r="B12190" t="s">
        <v>12533</v>
      </c>
      <c r="C12190" t="s">
        <v>429</v>
      </c>
      <c r="D12190" s="106">
        <v>6.42</v>
      </c>
    </row>
    <row r="12191" spans="1:4">
      <c r="A12191">
        <v>9834</v>
      </c>
      <c r="B12191" t="s">
        <v>12534</v>
      </c>
      <c r="C12191" t="s">
        <v>429</v>
      </c>
      <c r="D12191" s="106">
        <v>33.39</v>
      </c>
    </row>
    <row r="12192" spans="1:4">
      <c r="A12192">
        <v>9863</v>
      </c>
      <c r="B12192" t="s">
        <v>12535</v>
      </c>
      <c r="C12192" t="s">
        <v>429</v>
      </c>
      <c r="D12192" s="106">
        <v>77.819999999999993</v>
      </c>
    </row>
    <row r="12193" spans="1:4">
      <c r="A12193">
        <v>9860</v>
      </c>
      <c r="B12193" t="s">
        <v>12536</v>
      </c>
      <c r="C12193" t="s">
        <v>429</v>
      </c>
      <c r="D12193" s="106">
        <v>49.96</v>
      </c>
    </row>
    <row r="12194" spans="1:4">
      <c r="A12194">
        <v>9862</v>
      </c>
      <c r="B12194" t="s">
        <v>12537</v>
      </c>
      <c r="C12194" t="s">
        <v>429</v>
      </c>
      <c r="D12194" s="106">
        <v>35.25</v>
      </c>
    </row>
    <row r="12195" spans="1:4">
      <c r="A12195">
        <v>9861</v>
      </c>
      <c r="B12195" t="s">
        <v>12538</v>
      </c>
      <c r="C12195" t="s">
        <v>429</v>
      </c>
      <c r="D12195" s="106">
        <v>28.33</v>
      </c>
    </row>
    <row r="12196" spans="1:4">
      <c r="A12196">
        <v>9856</v>
      </c>
      <c r="B12196" t="s">
        <v>12539</v>
      </c>
      <c r="C12196" t="s">
        <v>429</v>
      </c>
      <c r="D12196" s="106">
        <v>7.61</v>
      </c>
    </row>
    <row r="12197" spans="1:4">
      <c r="A12197">
        <v>9866</v>
      </c>
      <c r="B12197" t="s">
        <v>12540</v>
      </c>
      <c r="C12197" t="s">
        <v>429</v>
      </c>
      <c r="D12197" s="106">
        <v>20.93</v>
      </c>
    </row>
    <row r="12198" spans="1:4">
      <c r="A12198">
        <v>9857</v>
      </c>
      <c r="B12198" t="s">
        <v>12541</v>
      </c>
      <c r="C12198" t="s">
        <v>429</v>
      </c>
      <c r="D12198" s="106">
        <v>100.65</v>
      </c>
    </row>
    <row r="12199" spans="1:4">
      <c r="A12199">
        <v>9864</v>
      </c>
      <c r="B12199" t="s">
        <v>12542</v>
      </c>
      <c r="C12199" t="s">
        <v>429</v>
      </c>
      <c r="D12199" s="106">
        <v>121.51</v>
      </c>
    </row>
    <row r="12200" spans="1:4">
      <c r="A12200">
        <v>9865</v>
      </c>
      <c r="B12200" t="s">
        <v>12543</v>
      </c>
      <c r="C12200" t="s">
        <v>429</v>
      </c>
      <c r="D12200" s="106">
        <v>174.74</v>
      </c>
    </row>
    <row r="12201" spans="1:4">
      <c r="A12201">
        <v>9858</v>
      </c>
      <c r="B12201" t="s">
        <v>12544</v>
      </c>
      <c r="C12201" t="s">
        <v>429</v>
      </c>
      <c r="D12201" s="106">
        <v>183.2</v>
      </c>
    </row>
    <row r="12202" spans="1:4">
      <c r="A12202">
        <v>9841</v>
      </c>
      <c r="B12202" t="s">
        <v>12545</v>
      </c>
      <c r="C12202" t="s">
        <v>429</v>
      </c>
      <c r="D12202" s="106">
        <v>44.84</v>
      </c>
    </row>
    <row r="12203" spans="1:4">
      <c r="A12203">
        <v>9840</v>
      </c>
      <c r="B12203" t="s">
        <v>12546</v>
      </c>
      <c r="C12203" t="s">
        <v>429</v>
      </c>
      <c r="D12203" s="106">
        <v>91.14</v>
      </c>
    </row>
    <row r="12204" spans="1:4">
      <c r="A12204">
        <v>20067</v>
      </c>
      <c r="B12204" t="s">
        <v>12547</v>
      </c>
      <c r="C12204" t="s">
        <v>429</v>
      </c>
      <c r="D12204" s="106">
        <v>15.66</v>
      </c>
    </row>
    <row r="12205" spans="1:4">
      <c r="A12205">
        <v>20068</v>
      </c>
      <c r="B12205" t="s">
        <v>12548</v>
      </c>
      <c r="C12205" t="s">
        <v>429</v>
      </c>
      <c r="D12205" s="106">
        <v>19.53</v>
      </c>
    </row>
    <row r="12206" spans="1:4">
      <c r="A12206">
        <v>9839</v>
      </c>
      <c r="B12206" t="s">
        <v>12549</v>
      </c>
      <c r="C12206" t="s">
        <v>429</v>
      </c>
      <c r="D12206" s="106">
        <v>25.6</v>
      </c>
    </row>
    <row r="12207" spans="1:4">
      <c r="A12207">
        <v>9870</v>
      </c>
      <c r="B12207" t="s">
        <v>12550</v>
      </c>
      <c r="C12207" t="s">
        <v>429</v>
      </c>
      <c r="D12207" s="106">
        <v>84.86</v>
      </c>
    </row>
    <row r="12208" spans="1:4">
      <c r="A12208">
        <v>9867</v>
      </c>
      <c r="B12208" t="s">
        <v>12551</v>
      </c>
      <c r="C12208" t="s">
        <v>429</v>
      </c>
      <c r="D12208" s="106">
        <v>3.12</v>
      </c>
    </row>
    <row r="12209" spans="1:4">
      <c r="A12209">
        <v>9868</v>
      </c>
      <c r="B12209" t="s">
        <v>12552</v>
      </c>
      <c r="C12209" t="s">
        <v>429</v>
      </c>
      <c r="D12209" s="106">
        <v>4</v>
      </c>
    </row>
    <row r="12210" spans="1:4">
      <c r="A12210">
        <v>9869</v>
      </c>
      <c r="B12210" t="s">
        <v>12553</v>
      </c>
      <c r="C12210" t="s">
        <v>429</v>
      </c>
      <c r="D12210" s="106">
        <v>8.98</v>
      </c>
    </row>
    <row r="12211" spans="1:4">
      <c r="A12211">
        <v>9874</v>
      </c>
      <c r="B12211" t="s">
        <v>12554</v>
      </c>
      <c r="C12211" t="s">
        <v>429</v>
      </c>
      <c r="D12211" s="106">
        <v>13.07</v>
      </c>
    </row>
    <row r="12212" spans="1:4">
      <c r="A12212">
        <v>9875</v>
      </c>
      <c r="B12212" t="s">
        <v>12555</v>
      </c>
      <c r="C12212" t="s">
        <v>429</v>
      </c>
      <c r="D12212" s="106">
        <v>14.98</v>
      </c>
    </row>
    <row r="12213" spans="1:4">
      <c r="A12213">
        <v>9873</v>
      </c>
      <c r="B12213" t="s">
        <v>12556</v>
      </c>
      <c r="C12213" t="s">
        <v>429</v>
      </c>
      <c r="D12213" s="106">
        <v>25.27</v>
      </c>
    </row>
    <row r="12214" spans="1:4">
      <c r="A12214">
        <v>9871</v>
      </c>
      <c r="B12214" t="s">
        <v>12557</v>
      </c>
      <c r="C12214" t="s">
        <v>429</v>
      </c>
      <c r="D12214" s="106">
        <v>42.33</v>
      </c>
    </row>
    <row r="12215" spans="1:4">
      <c r="A12215">
        <v>9872</v>
      </c>
      <c r="B12215" t="s">
        <v>12558</v>
      </c>
      <c r="C12215" t="s">
        <v>429</v>
      </c>
      <c r="D12215" s="106">
        <v>52.89</v>
      </c>
    </row>
    <row r="12216" spans="1:4">
      <c r="A12216">
        <v>7667</v>
      </c>
      <c r="B12216" t="s">
        <v>12559</v>
      </c>
      <c r="C12216" t="s">
        <v>429</v>
      </c>
      <c r="D12216" s="107">
        <v>2691.1</v>
      </c>
    </row>
    <row r="12217" spans="1:4">
      <c r="A12217">
        <v>7660</v>
      </c>
      <c r="B12217" t="s">
        <v>12560</v>
      </c>
      <c r="C12217" t="s">
        <v>429</v>
      </c>
      <c r="D12217" s="107">
        <v>3430.51</v>
      </c>
    </row>
    <row r="12218" spans="1:4">
      <c r="A12218">
        <v>7676</v>
      </c>
      <c r="B12218" t="s">
        <v>12561</v>
      </c>
      <c r="C12218" t="s">
        <v>429</v>
      </c>
      <c r="D12218" s="107">
        <v>3469.72</v>
      </c>
    </row>
    <row r="12219" spans="1:4">
      <c r="A12219">
        <v>12426</v>
      </c>
      <c r="B12219" t="s">
        <v>12562</v>
      </c>
      <c r="C12219" t="s">
        <v>427</v>
      </c>
      <c r="D12219" s="106">
        <v>35.81</v>
      </c>
    </row>
    <row r="12220" spans="1:4">
      <c r="A12220">
        <v>12425</v>
      </c>
      <c r="B12220" t="s">
        <v>12563</v>
      </c>
      <c r="C12220" t="s">
        <v>427</v>
      </c>
      <c r="D12220" s="106">
        <v>49.2</v>
      </c>
    </row>
    <row r="12221" spans="1:4">
      <c r="A12221">
        <v>12427</v>
      </c>
      <c r="B12221" t="s">
        <v>12564</v>
      </c>
      <c r="C12221" t="s">
        <v>427</v>
      </c>
      <c r="D12221" s="106">
        <v>204.21</v>
      </c>
    </row>
    <row r="12222" spans="1:4">
      <c r="A12222">
        <v>12428</v>
      </c>
      <c r="B12222" t="s">
        <v>12565</v>
      </c>
      <c r="C12222" t="s">
        <v>427</v>
      </c>
      <c r="D12222" s="106">
        <v>131.08000000000001</v>
      </c>
    </row>
    <row r="12223" spans="1:4">
      <c r="A12223">
        <v>12430</v>
      </c>
      <c r="B12223" t="s">
        <v>12566</v>
      </c>
      <c r="C12223" t="s">
        <v>427</v>
      </c>
      <c r="D12223" s="106">
        <v>43.9</v>
      </c>
    </row>
    <row r="12224" spans="1:4">
      <c r="A12224">
        <v>12429</v>
      </c>
      <c r="B12224" t="s">
        <v>12567</v>
      </c>
      <c r="C12224" t="s">
        <v>427</v>
      </c>
      <c r="D12224" s="106">
        <v>330.22</v>
      </c>
    </row>
    <row r="12225" spans="1:4">
      <c r="A12225">
        <v>12431</v>
      </c>
      <c r="B12225" t="s">
        <v>12568</v>
      </c>
      <c r="C12225" t="s">
        <v>427</v>
      </c>
      <c r="D12225" s="106">
        <v>561.98</v>
      </c>
    </row>
    <row r="12226" spans="1:4">
      <c r="A12226">
        <v>12432</v>
      </c>
      <c r="B12226" t="s">
        <v>12569</v>
      </c>
      <c r="C12226" t="s">
        <v>427</v>
      </c>
      <c r="D12226" s="106">
        <v>115.58</v>
      </c>
    </row>
    <row r="12227" spans="1:4">
      <c r="A12227">
        <v>12434</v>
      </c>
      <c r="B12227" t="s">
        <v>12570</v>
      </c>
      <c r="C12227" t="s">
        <v>427</v>
      </c>
      <c r="D12227" s="106">
        <v>37.659999999999997</v>
      </c>
    </row>
    <row r="12228" spans="1:4">
      <c r="A12228">
        <v>12433</v>
      </c>
      <c r="B12228" t="s">
        <v>12571</v>
      </c>
      <c r="C12228" t="s">
        <v>427</v>
      </c>
      <c r="D12228" s="106">
        <v>73.58</v>
      </c>
    </row>
    <row r="12229" spans="1:4">
      <c r="A12229">
        <v>12435</v>
      </c>
      <c r="B12229" t="s">
        <v>12572</v>
      </c>
      <c r="C12229" t="s">
        <v>427</v>
      </c>
      <c r="D12229" s="106">
        <v>227.71</v>
      </c>
    </row>
    <row r="12230" spans="1:4">
      <c r="A12230">
        <v>12437</v>
      </c>
      <c r="B12230" t="s">
        <v>12573</v>
      </c>
      <c r="C12230" t="s">
        <v>427</v>
      </c>
      <c r="D12230" s="106">
        <v>183.91</v>
      </c>
    </row>
    <row r="12231" spans="1:4">
      <c r="A12231">
        <v>12439</v>
      </c>
      <c r="B12231" t="s">
        <v>12574</v>
      </c>
      <c r="C12231" t="s">
        <v>427</v>
      </c>
      <c r="D12231" s="106">
        <v>59.02</v>
      </c>
    </row>
    <row r="12232" spans="1:4">
      <c r="A12232">
        <v>12438</v>
      </c>
      <c r="B12232" t="s">
        <v>12575</v>
      </c>
      <c r="C12232" t="s">
        <v>427</v>
      </c>
      <c r="D12232" s="106">
        <v>332.81</v>
      </c>
    </row>
    <row r="12233" spans="1:4">
      <c r="A12233">
        <v>12436</v>
      </c>
      <c r="B12233" t="s">
        <v>12576</v>
      </c>
      <c r="C12233" t="s">
        <v>427</v>
      </c>
      <c r="D12233" s="106">
        <v>420.41</v>
      </c>
    </row>
    <row r="12234" spans="1:4">
      <c r="A12234">
        <v>36357</v>
      </c>
      <c r="B12234" t="s">
        <v>12577</v>
      </c>
      <c r="C12234" t="s">
        <v>427</v>
      </c>
      <c r="D12234" s="106">
        <v>170.07</v>
      </c>
    </row>
    <row r="12235" spans="1:4">
      <c r="A12235">
        <v>12424</v>
      </c>
      <c r="B12235" t="s">
        <v>12578</v>
      </c>
      <c r="C12235" t="s">
        <v>427</v>
      </c>
      <c r="D12235" s="106">
        <v>75.760000000000005</v>
      </c>
    </row>
    <row r="12236" spans="1:4">
      <c r="A12236">
        <v>12440</v>
      </c>
      <c r="B12236" t="s">
        <v>12579</v>
      </c>
      <c r="C12236" t="s">
        <v>427</v>
      </c>
      <c r="D12236" s="106">
        <v>73.22</v>
      </c>
    </row>
    <row r="12237" spans="1:4">
      <c r="A12237">
        <v>9884</v>
      </c>
      <c r="B12237" t="s">
        <v>12580</v>
      </c>
      <c r="C12237" t="s">
        <v>427</v>
      </c>
      <c r="D12237" s="106">
        <v>54.62</v>
      </c>
    </row>
    <row r="12238" spans="1:4">
      <c r="A12238">
        <v>9888</v>
      </c>
      <c r="B12238" t="s">
        <v>12581</v>
      </c>
      <c r="C12238" t="s">
        <v>427</v>
      </c>
      <c r="D12238" s="106">
        <v>43.88</v>
      </c>
    </row>
    <row r="12239" spans="1:4">
      <c r="A12239">
        <v>9883</v>
      </c>
      <c r="B12239" t="s">
        <v>12582</v>
      </c>
      <c r="C12239" t="s">
        <v>427</v>
      </c>
      <c r="D12239" s="106">
        <v>19.149999999999999</v>
      </c>
    </row>
    <row r="12240" spans="1:4">
      <c r="A12240">
        <v>9886</v>
      </c>
      <c r="B12240" t="s">
        <v>12583</v>
      </c>
      <c r="C12240" t="s">
        <v>427</v>
      </c>
      <c r="D12240" s="106">
        <v>26.23</v>
      </c>
    </row>
    <row r="12241" spans="1:4">
      <c r="A12241">
        <v>9889</v>
      </c>
      <c r="B12241" t="s">
        <v>12584</v>
      </c>
      <c r="C12241" t="s">
        <v>427</v>
      </c>
      <c r="D12241" s="106">
        <v>132.88</v>
      </c>
    </row>
    <row r="12242" spans="1:4">
      <c r="A12242">
        <v>9887</v>
      </c>
      <c r="B12242" t="s">
        <v>12585</v>
      </c>
      <c r="C12242" t="s">
        <v>427</v>
      </c>
      <c r="D12242" s="106">
        <v>80.31</v>
      </c>
    </row>
    <row r="12243" spans="1:4">
      <c r="A12243">
        <v>9885</v>
      </c>
      <c r="B12243" t="s">
        <v>12586</v>
      </c>
      <c r="C12243" t="s">
        <v>427</v>
      </c>
      <c r="D12243" s="106">
        <v>25.36</v>
      </c>
    </row>
    <row r="12244" spans="1:4">
      <c r="A12244">
        <v>9890</v>
      </c>
      <c r="B12244" t="s">
        <v>12587</v>
      </c>
      <c r="C12244" t="s">
        <v>427</v>
      </c>
      <c r="D12244" s="106">
        <v>205.86</v>
      </c>
    </row>
    <row r="12245" spans="1:4">
      <c r="A12245">
        <v>9891</v>
      </c>
      <c r="B12245" t="s">
        <v>12588</v>
      </c>
      <c r="C12245" t="s">
        <v>427</v>
      </c>
      <c r="D12245" s="106">
        <v>289</v>
      </c>
    </row>
    <row r="12246" spans="1:4">
      <c r="A12246">
        <v>39292</v>
      </c>
      <c r="B12246" t="s">
        <v>12589</v>
      </c>
      <c r="C12246" t="s">
        <v>427</v>
      </c>
      <c r="D12246" s="106">
        <v>12.03</v>
      </c>
    </row>
    <row r="12247" spans="1:4">
      <c r="A12247">
        <v>39293</v>
      </c>
      <c r="B12247" t="s">
        <v>12590</v>
      </c>
      <c r="C12247" t="s">
        <v>427</v>
      </c>
      <c r="D12247" s="106">
        <v>19.420000000000002</v>
      </c>
    </row>
    <row r="12248" spans="1:4">
      <c r="A12248">
        <v>39294</v>
      </c>
      <c r="B12248" t="s">
        <v>12591</v>
      </c>
      <c r="C12248" t="s">
        <v>427</v>
      </c>
      <c r="D12248" s="106">
        <v>19.420000000000002</v>
      </c>
    </row>
    <row r="12249" spans="1:4">
      <c r="A12249">
        <v>39295</v>
      </c>
      <c r="B12249" t="s">
        <v>12592</v>
      </c>
      <c r="C12249" t="s">
        <v>427</v>
      </c>
      <c r="D12249" s="106">
        <v>33.119999999999997</v>
      </c>
    </row>
    <row r="12250" spans="1:4">
      <c r="A12250">
        <v>36313</v>
      </c>
      <c r="B12250" t="s">
        <v>12593</v>
      </c>
      <c r="C12250" t="s">
        <v>427</v>
      </c>
      <c r="D12250" s="106">
        <v>40.32</v>
      </c>
    </row>
    <row r="12251" spans="1:4">
      <c r="A12251">
        <v>36316</v>
      </c>
      <c r="B12251" t="s">
        <v>12594</v>
      </c>
      <c r="C12251" t="s">
        <v>427</v>
      </c>
      <c r="D12251" s="106">
        <v>48.9</v>
      </c>
    </row>
    <row r="12252" spans="1:4">
      <c r="A12252">
        <v>64</v>
      </c>
      <c r="B12252" t="s">
        <v>12595</v>
      </c>
      <c r="C12252" t="s">
        <v>427</v>
      </c>
      <c r="D12252" s="106">
        <v>5.71</v>
      </c>
    </row>
    <row r="12253" spans="1:4">
      <c r="A12253">
        <v>37423</v>
      </c>
      <c r="B12253" t="s">
        <v>12596</v>
      </c>
      <c r="C12253" t="s">
        <v>427</v>
      </c>
      <c r="D12253" s="106">
        <v>14.1</v>
      </c>
    </row>
    <row r="12254" spans="1:4">
      <c r="A12254">
        <v>39296</v>
      </c>
      <c r="B12254" t="s">
        <v>12597</v>
      </c>
      <c r="C12254" t="s">
        <v>427</v>
      </c>
      <c r="D12254" s="106">
        <v>9.3000000000000007</v>
      </c>
    </row>
    <row r="12255" spans="1:4">
      <c r="A12255">
        <v>39297</v>
      </c>
      <c r="B12255" t="s">
        <v>12598</v>
      </c>
      <c r="C12255" t="s">
        <v>427</v>
      </c>
      <c r="D12255" s="106">
        <v>13.29</v>
      </c>
    </row>
    <row r="12256" spans="1:4">
      <c r="A12256">
        <v>39298</v>
      </c>
      <c r="B12256" t="s">
        <v>12599</v>
      </c>
      <c r="C12256" t="s">
        <v>427</v>
      </c>
      <c r="D12256" s="106">
        <v>23.41</v>
      </c>
    </row>
    <row r="12257" spans="1:4">
      <c r="A12257">
        <v>39299</v>
      </c>
      <c r="B12257" t="s">
        <v>12600</v>
      </c>
      <c r="C12257" t="s">
        <v>427</v>
      </c>
      <c r="D12257" s="106">
        <v>39.85</v>
      </c>
    </row>
    <row r="12258" spans="1:4">
      <c r="A12258">
        <v>9892</v>
      </c>
      <c r="B12258" t="s">
        <v>12601</v>
      </c>
      <c r="C12258" t="s">
        <v>427</v>
      </c>
      <c r="D12258" s="106">
        <v>6.8</v>
      </c>
    </row>
    <row r="12259" spans="1:4">
      <c r="A12259">
        <v>9893</v>
      </c>
      <c r="B12259" t="s">
        <v>12602</v>
      </c>
      <c r="C12259" t="s">
        <v>427</v>
      </c>
      <c r="D12259" s="106">
        <v>92.3</v>
      </c>
    </row>
    <row r="12260" spans="1:4">
      <c r="A12260">
        <v>9901</v>
      </c>
      <c r="B12260" t="s">
        <v>12603</v>
      </c>
      <c r="C12260" t="s">
        <v>427</v>
      </c>
      <c r="D12260" s="106">
        <v>40.96</v>
      </c>
    </row>
    <row r="12261" spans="1:4">
      <c r="A12261">
        <v>9896</v>
      </c>
      <c r="B12261" t="s">
        <v>12604</v>
      </c>
      <c r="C12261" t="s">
        <v>427</v>
      </c>
      <c r="D12261" s="106">
        <v>36.92</v>
      </c>
    </row>
    <row r="12262" spans="1:4">
      <c r="A12262">
        <v>9900</v>
      </c>
      <c r="B12262" t="s">
        <v>12605</v>
      </c>
      <c r="C12262" t="s">
        <v>427</v>
      </c>
      <c r="D12262" s="106">
        <v>22.4</v>
      </c>
    </row>
    <row r="12263" spans="1:4">
      <c r="A12263">
        <v>9898</v>
      </c>
      <c r="B12263" t="s">
        <v>12606</v>
      </c>
      <c r="C12263" t="s">
        <v>427</v>
      </c>
      <c r="D12263" s="106">
        <v>189.8</v>
      </c>
    </row>
    <row r="12264" spans="1:4">
      <c r="A12264">
        <v>9899</v>
      </c>
      <c r="B12264" t="s">
        <v>12607</v>
      </c>
      <c r="C12264" t="s">
        <v>427</v>
      </c>
      <c r="D12264" s="106">
        <v>12.23</v>
      </c>
    </row>
    <row r="12265" spans="1:4">
      <c r="A12265">
        <v>9902</v>
      </c>
      <c r="B12265" t="s">
        <v>12608</v>
      </c>
      <c r="C12265" t="s">
        <v>427</v>
      </c>
      <c r="D12265" s="106">
        <v>240.35</v>
      </c>
    </row>
    <row r="12266" spans="1:4">
      <c r="A12266">
        <v>9908</v>
      </c>
      <c r="B12266" t="s">
        <v>12609</v>
      </c>
      <c r="C12266" t="s">
        <v>427</v>
      </c>
      <c r="D12266" s="106">
        <v>479.23</v>
      </c>
    </row>
    <row r="12267" spans="1:4">
      <c r="A12267">
        <v>9905</v>
      </c>
      <c r="B12267" t="s">
        <v>12610</v>
      </c>
      <c r="C12267" t="s">
        <v>427</v>
      </c>
      <c r="D12267" s="106">
        <v>8.01</v>
      </c>
    </row>
    <row r="12268" spans="1:4">
      <c r="A12268">
        <v>9906</v>
      </c>
      <c r="B12268" t="s">
        <v>12611</v>
      </c>
      <c r="C12268" t="s">
        <v>427</v>
      </c>
      <c r="D12268" s="106">
        <v>9.59</v>
      </c>
    </row>
    <row r="12269" spans="1:4">
      <c r="A12269">
        <v>9895</v>
      </c>
      <c r="B12269" t="s">
        <v>12612</v>
      </c>
      <c r="C12269" t="s">
        <v>427</v>
      </c>
      <c r="D12269" s="106">
        <v>15.74</v>
      </c>
    </row>
    <row r="12270" spans="1:4">
      <c r="A12270">
        <v>9894</v>
      </c>
      <c r="B12270" t="s">
        <v>12613</v>
      </c>
      <c r="C12270" t="s">
        <v>427</v>
      </c>
      <c r="D12270" s="106">
        <v>30.67</v>
      </c>
    </row>
    <row r="12271" spans="1:4">
      <c r="A12271">
        <v>9897</v>
      </c>
      <c r="B12271" t="s">
        <v>12614</v>
      </c>
      <c r="C12271" t="s">
        <v>427</v>
      </c>
      <c r="D12271" s="106">
        <v>33.200000000000003</v>
      </c>
    </row>
    <row r="12272" spans="1:4">
      <c r="A12272">
        <v>9910</v>
      </c>
      <c r="B12272" t="s">
        <v>12615</v>
      </c>
      <c r="C12272" t="s">
        <v>427</v>
      </c>
      <c r="D12272" s="106">
        <v>83.57</v>
      </c>
    </row>
    <row r="12273" spans="1:4">
      <c r="A12273">
        <v>9909</v>
      </c>
      <c r="B12273" t="s">
        <v>12616</v>
      </c>
      <c r="C12273" t="s">
        <v>427</v>
      </c>
      <c r="D12273" s="106">
        <v>168.64</v>
      </c>
    </row>
    <row r="12274" spans="1:4">
      <c r="A12274">
        <v>9907</v>
      </c>
      <c r="B12274" t="s">
        <v>12617</v>
      </c>
      <c r="C12274" t="s">
        <v>427</v>
      </c>
      <c r="D12274" s="106">
        <v>259.3</v>
      </c>
    </row>
    <row r="12275" spans="1:4">
      <c r="A12275">
        <v>20973</v>
      </c>
      <c r="B12275" t="s">
        <v>12618</v>
      </c>
      <c r="C12275" t="s">
        <v>427</v>
      </c>
      <c r="D12275" s="106">
        <v>95.23</v>
      </c>
    </row>
    <row r="12276" spans="1:4">
      <c r="A12276">
        <v>20974</v>
      </c>
      <c r="B12276" t="s">
        <v>12619</v>
      </c>
      <c r="C12276" t="s">
        <v>427</v>
      </c>
      <c r="D12276" s="106">
        <v>136.24</v>
      </c>
    </row>
    <row r="12277" spans="1:4">
      <c r="A12277">
        <v>37989</v>
      </c>
      <c r="B12277" t="s">
        <v>12620</v>
      </c>
      <c r="C12277" t="s">
        <v>427</v>
      </c>
      <c r="D12277" s="106">
        <v>16.21</v>
      </c>
    </row>
    <row r="12278" spans="1:4">
      <c r="A12278">
        <v>37990</v>
      </c>
      <c r="B12278" t="s">
        <v>12621</v>
      </c>
      <c r="C12278" t="s">
        <v>427</v>
      </c>
      <c r="D12278" s="106">
        <v>18.829999999999998</v>
      </c>
    </row>
    <row r="12279" spans="1:4">
      <c r="A12279">
        <v>37991</v>
      </c>
      <c r="B12279" t="s">
        <v>12622</v>
      </c>
      <c r="C12279" t="s">
        <v>427</v>
      </c>
      <c r="D12279" s="106">
        <v>29.79</v>
      </c>
    </row>
    <row r="12280" spans="1:4">
      <c r="A12280">
        <v>37992</v>
      </c>
      <c r="B12280" t="s">
        <v>12623</v>
      </c>
      <c r="C12280" t="s">
        <v>427</v>
      </c>
      <c r="D12280" s="106">
        <v>45.5</v>
      </c>
    </row>
    <row r="12281" spans="1:4">
      <c r="A12281">
        <v>37993</v>
      </c>
      <c r="B12281" t="s">
        <v>12624</v>
      </c>
      <c r="C12281" t="s">
        <v>427</v>
      </c>
      <c r="D12281" s="106">
        <v>67.540000000000006</v>
      </c>
    </row>
    <row r="12282" spans="1:4">
      <c r="A12282">
        <v>37994</v>
      </c>
      <c r="B12282" t="s">
        <v>12625</v>
      </c>
      <c r="C12282" t="s">
        <v>427</v>
      </c>
      <c r="D12282" s="106">
        <v>162.29</v>
      </c>
    </row>
    <row r="12283" spans="1:4">
      <c r="A12283">
        <v>37995</v>
      </c>
      <c r="B12283" t="s">
        <v>12626</v>
      </c>
      <c r="C12283" t="s">
        <v>427</v>
      </c>
      <c r="D12283" s="106">
        <v>235.55</v>
      </c>
    </row>
    <row r="12284" spans="1:4">
      <c r="A12284">
        <v>37996</v>
      </c>
      <c r="B12284" t="s">
        <v>12627</v>
      </c>
      <c r="C12284" t="s">
        <v>427</v>
      </c>
      <c r="D12284" s="106">
        <v>347.3</v>
      </c>
    </row>
    <row r="12285" spans="1:4">
      <c r="A12285">
        <v>13883</v>
      </c>
      <c r="B12285" t="s">
        <v>12628</v>
      </c>
      <c r="C12285" t="s">
        <v>427</v>
      </c>
      <c r="D12285" s="107">
        <v>133972.06</v>
      </c>
    </row>
    <row r="12286" spans="1:4">
      <c r="A12286">
        <v>38604</v>
      </c>
      <c r="B12286" t="s">
        <v>12629</v>
      </c>
      <c r="C12286" t="s">
        <v>427</v>
      </c>
      <c r="D12286" s="107">
        <v>166860.43</v>
      </c>
    </row>
    <row r="12287" spans="1:4">
      <c r="A12287">
        <v>10601</v>
      </c>
      <c r="B12287" t="s">
        <v>12630</v>
      </c>
      <c r="C12287" t="s">
        <v>427</v>
      </c>
      <c r="D12287" s="107">
        <v>3245768.15</v>
      </c>
    </row>
    <row r="12288" spans="1:4">
      <c r="A12288">
        <v>44469</v>
      </c>
      <c r="B12288" t="s">
        <v>12631</v>
      </c>
      <c r="C12288" t="s">
        <v>427</v>
      </c>
      <c r="D12288" s="107">
        <v>8545993.0099999998</v>
      </c>
    </row>
    <row r="12289" spans="1:4">
      <c r="A12289">
        <v>13894</v>
      </c>
      <c r="B12289" t="s">
        <v>12632</v>
      </c>
      <c r="C12289" t="s">
        <v>427</v>
      </c>
      <c r="D12289" s="107">
        <v>392649.25</v>
      </c>
    </row>
    <row r="12290" spans="1:4">
      <c r="A12290">
        <v>13895</v>
      </c>
      <c r="B12290" t="s">
        <v>12633</v>
      </c>
      <c r="C12290" t="s">
        <v>427</v>
      </c>
      <c r="D12290" s="107">
        <v>527982.35</v>
      </c>
    </row>
    <row r="12291" spans="1:4">
      <c r="A12291">
        <v>13892</v>
      </c>
      <c r="B12291" t="s">
        <v>12634</v>
      </c>
      <c r="C12291" t="s">
        <v>427</v>
      </c>
      <c r="D12291" s="107">
        <v>647029.46</v>
      </c>
    </row>
    <row r="12292" spans="1:4">
      <c r="A12292">
        <v>9914</v>
      </c>
      <c r="B12292" t="s">
        <v>12635</v>
      </c>
      <c r="C12292" t="s">
        <v>427</v>
      </c>
      <c r="D12292" s="107">
        <v>700000</v>
      </c>
    </row>
    <row r="12293" spans="1:4">
      <c r="A12293">
        <v>36485</v>
      </c>
      <c r="B12293" t="s">
        <v>12636</v>
      </c>
      <c r="C12293" t="s">
        <v>427</v>
      </c>
      <c r="D12293" s="107">
        <v>606832.91</v>
      </c>
    </row>
    <row r="12294" spans="1:4">
      <c r="A12294">
        <v>9912</v>
      </c>
      <c r="B12294" t="s">
        <v>12637</v>
      </c>
      <c r="C12294" t="s">
        <v>427</v>
      </c>
      <c r="D12294" s="107">
        <v>2642421</v>
      </c>
    </row>
    <row r="12295" spans="1:4">
      <c r="A12295">
        <v>9921</v>
      </c>
      <c r="B12295" t="s">
        <v>12638</v>
      </c>
      <c r="C12295" t="s">
        <v>427</v>
      </c>
      <c r="D12295" s="107">
        <v>1363085.73</v>
      </c>
    </row>
    <row r="12296" spans="1:4">
      <c r="A12296">
        <v>21112</v>
      </c>
      <c r="B12296" t="s">
        <v>12639</v>
      </c>
      <c r="C12296" t="s">
        <v>427</v>
      </c>
      <c r="D12296" s="106">
        <v>133.84</v>
      </c>
    </row>
    <row r="12297" spans="1:4">
      <c r="A12297">
        <v>10228</v>
      </c>
      <c r="B12297" t="s">
        <v>12640</v>
      </c>
      <c r="C12297" t="s">
        <v>427</v>
      </c>
      <c r="D12297" s="106">
        <v>155.49</v>
      </c>
    </row>
    <row r="12298" spans="1:4">
      <c r="A12298">
        <v>11781</v>
      </c>
      <c r="B12298" t="s">
        <v>12641</v>
      </c>
      <c r="C12298" t="s">
        <v>427</v>
      </c>
      <c r="D12298" s="106">
        <v>125.96</v>
      </c>
    </row>
    <row r="12299" spans="1:4">
      <c r="A12299">
        <v>37588</v>
      </c>
      <c r="B12299" t="s">
        <v>12642</v>
      </c>
      <c r="C12299" t="s">
        <v>427</v>
      </c>
      <c r="D12299" s="106">
        <v>46.78</v>
      </c>
    </row>
    <row r="12300" spans="1:4">
      <c r="A12300">
        <v>11746</v>
      </c>
      <c r="B12300" t="s">
        <v>12643</v>
      </c>
      <c r="C12300" t="s">
        <v>427</v>
      </c>
      <c r="D12300" s="106">
        <v>60.27</v>
      </c>
    </row>
    <row r="12301" spans="1:4">
      <c r="A12301">
        <v>11751</v>
      </c>
      <c r="B12301" t="s">
        <v>12644</v>
      </c>
      <c r="C12301" t="s">
        <v>427</v>
      </c>
      <c r="D12301" s="106">
        <v>108.26</v>
      </c>
    </row>
    <row r="12302" spans="1:4">
      <c r="A12302">
        <v>11750</v>
      </c>
      <c r="B12302" t="s">
        <v>12645</v>
      </c>
      <c r="C12302" t="s">
        <v>427</v>
      </c>
      <c r="D12302" s="106">
        <v>89.84</v>
      </c>
    </row>
    <row r="12303" spans="1:4">
      <c r="A12303">
        <v>11748</v>
      </c>
      <c r="B12303" t="s">
        <v>12646</v>
      </c>
      <c r="C12303" t="s">
        <v>427</v>
      </c>
      <c r="D12303" s="106">
        <v>38.68</v>
      </c>
    </row>
    <row r="12304" spans="1:4">
      <c r="A12304">
        <v>11747</v>
      </c>
      <c r="B12304" t="s">
        <v>12647</v>
      </c>
      <c r="C12304" t="s">
        <v>427</v>
      </c>
      <c r="D12304" s="106">
        <v>166.93</v>
      </c>
    </row>
    <row r="12305" spans="1:4">
      <c r="A12305">
        <v>11749</v>
      </c>
      <c r="B12305" t="s">
        <v>12648</v>
      </c>
      <c r="C12305" t="s">
        <v>427</v>
      </c>
      <c r="D12305" s="106">
        <v>44.64</v>
      </c>
    </row>
    <row r="12306" spans="1:4">
      <c r="A12306">
        <v>10236</v>
      </c>
      <c r="B12306" t="s">
        <v>12649</v>
      </c>
      <c r="C12306" t="s">
        <v>427</v>
      </c>
      <c r="D12306" s="106">
        <v>104.95</v>
      </c>
    </row>
    <row r="12307" spans="1:4">
      <c r="A12307">
        <v>10233</v>
      </c>
      <c r="B12307" t="s">
        <v>12650</v>
      </c>
      <c r="C12307" t="s">
        <v>427</v>
      </c>
      <c r="D12307" s="106">
        <v>98.35</v>
      </c>
    </row>
    <row r="12308" spans="1:4">
      <c r="A12308">
        <v>10234</v>
      </c>
      <c r="B12308" t="s">
        <v>12651</v>
      </c>
      <c r="C12308" t="s">
        <v>427</v>
      </c>
      <c r="D12308" s="106">
        <v>61.95</v>
      </c>
    </row>
    <row r="12309" spans="1:4">
      <c r="A12309">
        <v>10231</v>
      </c>
      <c r="B12309" t="s">
        <v>12652</v>
      </c>
      <c r="C12309" t="s">
        <v>427</v>
      </c>
      <c r="D12309" s="106">
        <v>284.10000000000002</v>
      </c>
    </row>
    <row r="12310" spans="1:4">
      <c r="A12310">
        <v>10232</v>
      </c>
      <c r="B12310" t="s">
        <v>12653</v>
      </c>
      <c r="C12310" t="s">
        <v>427</v>
      </c>
      <c r="D12310" s="106">
        <v>158.97999999999999</v>
      </c>
    </row>
    <row r="12311" spans="1:4">
      <c r="A12311">
        <v>10229</v>
      </c>
      <c r="B12311" t="s">
        <v>12654</v>
      </c>
      <c r="C12311" t="s">
        <v>427</v>
      </c>
      <c r="D12311" s="106">
        <v>56.03</v>
      </c>
    </row>
    <row r="12312" spans="1:4">
      <c r="A12312">
        <v>10235</v>
      </c>
      <c r="B12312" t="s">
        <v>12655</v>
      </c>
      <c r="C12312" t="s">
        <v>427</v>
      </c>
      <c r="D12312" s="106">
        <v>389.47</v>
      </c>
    </row>
    <row r="12313" spans="1:4">
      <c r="A12313">
        <v>10230</v>
      </c>
      <c r="B12313" t="s">
        <v>12656</v>
      </c>
      <c r="C12313" t="s">
        <v>427</v>
      </c>
      <c r="D12313" s="106">
        <v>685.44</v>
      </c>
    </row>
    <row r="12314" spans="1:4">
      <c r="A12314">
        <v>10409</v>
      </c>
      <c r="B12314" t="s">
        <v>12657</v>
      </c>
      <c r="C12314" t="s">
        <v>427</v>
      </c>
      <c r="D12314" s="106">
        <v>203.64</v>
      </c>
    </row>
    <row r="12315" spans="1:4">
      <c r="A12315">
        <v>10411</v>
      </c>
      <c r="B12315" t="s">
        <v>12658</v>
      </c>
      <c r="C12315" t="s">
        <v>427</v>
      </c>
      <c r="D12315" s="106">
        <v>182.21</v>
      </c>
    </row>
    <row r="12316" spans="1:4">
      <c r="A12316">
        <v>10404</v>
      </c>
      <c r="B12316" t="s">
        <v>12659</v>
      </c>
      <c r="C12316" t="s">
        <v>427</v>
      </c>
      <c r="D12316" s="106">
        <v>73.900000000000006</v>
      </c>
    </row>
    <row r="12317" spans="1:4">
      <c r="A12317">
        <v>10410</v>
      </c>
      <c r="B12317" t="s">
        <v>12660</v>
      </c>
      <c r="C12317" t="s">
        <v>427</v>
      </c>
      <c r="D12317" s="106">
        <v>121.72</v>
      </c>
    </row>
    <row r="12318" spans="1:4">
      <c r="A12318">
        <v>10405</v>
      </c>
      <c r="B12318" t="s">
        <v>12661</v>
      </c>
      <c r="C12318" t="s">
        <v>427</v>
      </c>
      <c r="D12318" s="106">
        <v>407.98</v>
      </c>
    </row>
    <row r="12319" spans="1:4">
      <c r="A12319">
        <v>10408</v>
      </c>
      <c r="B12319" t="s">
        <v>12662</v>
      </c>
      <c r="C12319" t="s">
        <v>427</v>
      </c>
      <c r="D12319" s="106">
        <v>285.3</v>
      </c>
    </row>
    <row r="12320" spans="1:4">
      <c r="A12320">
        <v>10412</v>
      </c>
      <c r="B12320" t="s">
        <v>12663</v>
      </c>
      <c r="C12320" t="s">
        <v>427</v>
      </c>
      <c r="D12320" s="106">
        <v>89.55</v>
      </c>
    </row>
    <row r="12321" spans="1:4">
      <c r="A12321">
        <v>10406</v>
      </c>
      <c r="B12321" t="s">
        <v>12664</v>
      </c>
      <c r="C12321" t="s">
        <v>427</v>
      </c>
      <c r="D12321" s="106">
        <v>563.51</v>
      </c>
    </row>
    <row r="12322" spans="1:4">
      <c r="A12322">
        <v>10407</v>
      </c>
      <c r="B12322" t="s">
        <v>12665</v>
      </c>
      <c r="C12322" t="s">
        <v>427</v>
      </c>
      <c r="D12322" s="106">
        <v>874.01</v>
      </c>
    </row>
    <row r="12323" spans="1:4">
      <c r="A12323">
        <v>10416</v>
      </c>
      <c r="B12323" t="s">
        <v>12666</v>
      </c>
      <c r="C12323" t="s">
        <v>427</v>
      </c>
      <c r="D12323" s="106">
        <v>108.41</v>
      </c>
    </row>
    <row r="12324" spans="1:4">
      <c r="A12324">
        <v>10419</v>
      </c>
      <c r="B12324" t="s">
        <v>12667</v>
      </c>
      <c r="C12324" t="s">
        <v>427</v>
      </c>
      <c r="D12324" s="106">
        <v>94.1</v>
      </c>
    </row>
    <row r="12325" spans="1:4">
      <c r="A12325">
        <v>21092</v>
      </c>
      <c r="B12325" t="s">
        <v>12668</v>
      </c>
      <c r="C12325" t="s">
        <v>427</v>
      </c>
      <c r="D12325" s="106">
        <v>53.8</v>
      </c>
    </row>
    <row r="12326" spans="1:4">
      <c r="A12326">
        <v>10418</v>
      </c>
      <c r="B12326" t="s">
        <v>12669</v>
      </c>
      <c r="C12326" t="s">
        <v>427</v>
      </c>
      <c r="D12326" s="106">
        <v>62.72</v>
      </c>
    </row>
    <row r="12327" spans="1:4">
      <c r="A12327">
        <v>12657</v>
      </c>
      <c r="B12327" t="s">
        <v>12670</v>
      </c>
      <c r="C12327" t="s">
        <v>427</v>
      </c>
      <c r="D12327" s="106">
        <v>253.12</v>
      </c>
    </row>
    <row r="12328" spans="1:4">
      <c r="A12328">
        <v>10417</v>
      </c>
      <c r="B12328" t="s">
        <v>12671</v>
      </c>
      <c r="C12328" t="s">
        <v>427</v>
      </c>
      <c r="D12328" s="106">
        <v>157.96</v>
      </c>
    </row>
    <row r="12329" spans="1:4">
      <c r="A12329">
        <v>10413</v>
      </c>
      <c r="B12329" t="s">
        <v>12672</v>
      </c>
      <c r="C12329" t="s">
        <v>427</v>
      </c>
      <c r="D12329" s="106">
        <v>57.41</v>
      </c>
    </row>
    <row r="12330" spans="1:4">
      <c r="A12330">
        <v>10414</v>
      </c>
      <c r="B12330" t="s">
        <v>12673</v>
      </c>
      <c r="C12330" t="s">
        <v>427</v>
      </c>
      <c r="D12330" s="106">
        <v>345.65</v>
      </c>
    </row>
    <row r="12331" spans="1:4">
      <c r="A12331">
        <v>10415</v>
      </c>
      <c r="B12331" t="s">
        <v>12674</v>
      </c>
      <c r="C12331" t="s">
        <v>427</v>
      </c>
      <c r="D12331" s="106">
        <v>599.89</v>
      </c>
    </row>
    <row r="12332" spans="1:4">
      <c r="A12332">
        <v>38643</v>
      </c>
      <c r="B12332" t="s">
        <v>12675</v>
      </c>
      <c r="C12332" t="s">
        <v>427</v>
      </c>
      <c r="D12332" s="106">
        <v>37.17</v>
      </c>
    </row>
    <row r="12333" spans="1:4">
      <c r="A12333">
        <v>6157</v>
      </c>
      <c r="B12333" t="s">
        <v>12676</v>
      </c>
      <c r="C12333" t="s">
        <v>427</v>
      </c>
      <c r="D12333" s="106">
        <v>50.78</v>
      </c>
    </row>
    <row r="12334" spans="1:4">
      <c r="A12334">
        <v>6152</v>
      </c>
      <c r="B12334" t="s">
        <v>12677</v>
      </c>
      <c r="C12334" t="s">
        <v>427</v>
      </c>
      <c r="D12334" s="106">
        <v>4.21</v>
      </c>
    </row>
    <row r="12335" spans="1:4">
      <c r="A12335">
        <v>6158</v>
      </c>
      <c r="B12335" t="s">
        <v>12678</v>
      </c>
      <c r="C12335" t="s">
        <v>427</v>
      </c>
      <c r="D12335" s="106">
        <v>5.09</v>
      </c>
    </row>
    <row r="12336" spans="1:4">
      <c r="A12336">
        <v>6153</v>
      </c>
      <c r="B12336" t="s">
        <v>12679</v>
      </c>
      <c r="C12336" t="s">
        <v>427</v>
      </c>
      <c r="D12336" s="106">
        <v>3.96</v>
      </c>
    </row>
    <row r="12337" spans="1:4">
      <c r="A12337">
        <v>6156</v>
      </c>
      <c r="B12337" t="s">
        <v>12680</v>
      </c>
      <c r="C12337" t="s">
        <v>427</v>
      </c>
      <c r="D12337" s="106">
        <v>5.0199999999999996</v>
      </c>
    </row>
    <row r="12338" spans="1:4">
      <c r="A12338">
        <v>6154</v>
      </c>
      <c r="B12338" t="s">
        <v>12681</v>
      </c>
      <c r="C12338" t="s">
        <v>427</v>
      </c>
      <c r="D12338" s="106">
        <v>9.4499999999999993</v>
      </c>
    </row>
    <row r="12339" spans="1:4">
      <c r="A12339">
        <v>6155</v>
      </c>
      <c r="B12339" t="s">
        <v>12682</v>
      </c>
      <c r="C12339" t="s">
        <v>427</v>
      </c>
      <c r="D12339" s="106">
        <v>19.53</v>
      </c>
    </row>
    <row r="12340" spans="1:4">
      <c r="A12340">
        <v>43595</v>
      </c>
      <c r="B12340" t="s">
        <v>12683</v>
      </c>
      <c r="C12340" t="s">
        <v>427</v>
      </c>
      <c r="D12340" s="106">
        <v>20</v>
      </c>
    </row>
    <row r="12341" spans="1:4">
      <c r="A12341">
        <v>43596</v>
      </c>
      <c r="B12341" t="s">
        <v>12684</v>
      </c>
      <c r="C12341" t="s">
        <v>427</v>
      </c>
      <c r="D12341" s="106">
        <v>23.12</v>
      </c>
    </row>
    <row r="12342" spans="1:4">
      <c r="A12342">
        <v>38108</v>
      </c>
      <c r="B12342" t="s">
        <v>12685</v>
      </c>
      <c r="C12342" t="s">
        <v>427</v>
      </c>
      <c r="D12342" s="106">
        <v>41.09</v>
      </c>
    </row>
    <row r="12343" spans="1:4">
      <c r="A12343">
        <v>38087</v>
      </c>
      <c r="B12343" t="s">
        <v>12686</v>
      </c>
      <c r="C12343" t="s">
        <v>427</v>
      </c>
      <c r="D12343" s="106">
        <v>52.85</v>
      </c>
    </row>
    <row r="12344" spans="1:4">
      <c r="A12344">
        <v>38109</v>
      </c>
      <c r="B12344" t="s">
        <v>12687</v>
      </c>
      <c r="C12344" t="s">
        <v>427</v>
      </c>
      <c r="D12344" s="106">
        <v>65.67</v>
      </c>
    </row>
    <row r="12345" spans="1:4">
      <c r="A12345">
        <v>38088</v>
      </c>
      <c r="B12345" t="s">
        <v>12688</v>
      </c>
      <c r="C12345" t="s">
        <v>427</v>
      </c>
      <c r="D12345" s="106">
        <v>69.05</v>
      </c>
    </row>
    <row r="12346" spans="1:4">
      <c r="A12346">
        <v>38110</v>
      </c>
      <c r="B12346" t="s">
        <v>12689</v>
      </c>
      <c r="C12346" t="s">
        <v>427</v>
      </c>
      <c r="D12346" s="106">
        <v>25.26</v>
      </c>
    </row>
    <row r="12347" spans="1:4">
      <c r="A12347">
        <v>38089</v>
      </c>
      <c r="B12347" t="s">
        <v>12690</v>
      </c>
      <c r="C12347" t="s">
        <v>427</v>
      </c>
      <c r="D12347" s="106">
        <v>44.02</v>
      </c>
    </row>
    <row r="12348" spans="1:4">
      <c r="A12348">
        <v>38111</v>
      </c>
      <c r="B12348" t="s">
        <v>12691</v>
      </c>
      <c r="C12348" t="s">
        <v>427</v>
      </c>
      <c r="D12348" s="106">
        <v>28.25</v>
      </c>
    </row>
    <row r="12349" spans="1:4">
      <c r="A12349">
        <v>38090</v>
      </c>
      <c r="B12349" t="s">
        <v>12692</v>
      </c>
      <c r="C12349" t="s">
        <v>427</v>
      </c>
      <c r="D12349" s="106">
        <v>45.5</v>
      </c>
    </row>
    <row r="12350" spans="1:4">
      <c r="A12350">
        <v>13726</v>
      </c>
      <c r="B12350" t="s">
        <v>12693</v>
      </c>
      <c r="C12350" t="s">
        <v>427</v>
      </c>
      <c r="D12350" s="107">
        <v>83150.5</v>
      </c>
    </row>
    <row r="12351" spans="1:4">
      <c r="A12351">
        <v>38400</v>
      </c>
      <c r="B12351" t="s">
        <v>12694</v>
      </c>
      <c r="C12351" t="s">
        <v>427</v>
      </c>
      <c r="D12351" s="106">
        <v>29</v>
      </c>
    </row>
    <row r="12352" spans="1:4">
      <c r="A12352">
        <v>12627</v>
      </c>
      <c r="B12352" t="s">
        <v>12695</v>
      </c>
      <c r="C12352" t="s">
        <v>427</v>
      </c>
      <c r="D12352" s="106">
        <v>0.49</v>
      </c>
    </row>
    <row r="12353" spans="1:4">
      <c r="A12353">
        <v>39996</v>
      </c>
      <c r="B12353" t="s">
        <v>12696</v>
      </c>
      <c r="C12353" t="s">
        <v>429</v>
      </c>
      <c r="D12353" s="106">
        <v>5.01</v>
      </c>
    </row>
    <row r="12354" spans="1:4">
      <c r="A12354">
        <v>10478</v>
      </c>
      <c r="B12354" t="s">
        <v>13585</v>
      </c>
      <c r="C12354" t="s">
        <v>428</v>
      </c>
      <c r="D12354" s="106">
        <v>27.99</v>
      </c>
    </row>
    <row r="12355" spans="1:4">
      <c r="A12355">
        <v>10481</v>
      </c>
      <c r="B12355" t="s">
        <v>13586</v>
      </c>
      <c r="C12355" t="s">
        <v>428</v>
      </c>
      <c r="D12355" s="106">
        <v>24.89</v>
      </c>
    </row>
    <row r="12356" spans="1:4">
      <c r="A12356">
        <v>10475</v>
      </c>
      <c r="B12356" t="s">
        <v>13587</v>
      </c>
      <c r="C12356" t="s">
        <v>428</v>
      </c>
      <c r="D12356" s="106">
        <v>24.08</v>
      </c>
    </row>
    <row r="12357" spans="1:4">
      <c r="A12357">
        <v>4031</v>
      </c>
      <c r="B12357" t="s">
        <v>12697</v>
      </c>
      <c r="C12357" t="s">
        <v>426</v>
      </c>
      <c r="D12357" s="106">
        <v>31.68</v>
      </c>
    </row>
    <row r="12358" spans="1:4">
      <c r="A12358">
        <v>4030</v>
      </c>
      <c r="B12358" t="s">
        <v>12698</v>
      </c>
      <c r="C12358" t="s">
        <v>426</v>
      </c>
      <c r="D12358" s="106">
        <v>6.74</v>
      </c>
    </row>
    <row r="12359" spans="1:4">
      <c r="A12359">
        <v>39399</v>
      </c>
      <c r="B12359" t="s">
        <v>12699</v>
      </c>
      <c r="C12359" t="s">
        <v>427</v>
      </c>
      <c r="D12359" s="107">
        <v>1334.25</v>
      </c>
    </row>
    <row r="12360" spans="1:4">
      <c r="A12360">
        <v>39400</v>
      </c>
      <c r="B12360" t="s">
        <v>12700</v>
      </c>
      <c r="C12360" t="s">
        <v>427</v>
      </c>
      <c r="D12360" s="107">
        <v>1450.27</v>
      </c>
    </row>
    <row r="12361" spans="1:4">
      <c r="A12361">
        <v>39401</v>
      </c>
      <c r="B12361" t="s">
        <v>12701</v>
      </c>
      <c r="C12361" t="s">
        <v>427</v>
      </c>
      <c r="D12361" s="107">
        <v>1626.86</v>
      </c>
    </row>
    <row r="12362" spans="1:4">
      <c r="A12362">
        <v>11652</v>
      </c>
      <c r="B12362" t="s">
        <v>12702</v>
      </c>
      <c r="C12362" t="s">
        <v>427</v>
      </c>
      <c r="D12362" s="107">
        <v>3500</v>
      </c>
    </row>
    <row r="12363" spans="1:4">
      <c r="A12363">
        <v>13896</v>
      </c>
      <c r="B12363" t="s">
        <v>12703</v>
      </c>
      <c r="C12363" t="s">
        <v>427</v>
      </c>
      <c r="D12363" s="107">
        <v>3139.8</v>
      </c>
    </row>
    <row r="12364" spans="1:4">
      <c r="A12364">
        <v>13475</v>
      </c>
      <c r="B12364" t="s">
        <v>12704</v>
      </c>
      <c r="C12364" t="s">
        <v>427</v>
      </c>
      <c r="D12364" s="107">
        <v>3824.66</v>
      </c>
    </row>
    <row r="12365" spans="1:4">
      <c r="A12365">
        <v>44491</v>
      </c>
      <c r="B12365" t="s">
        <v>13588</v>
      </c>
      <c r="C12365" t="s">
        <v>427</v>
      </c>
      <c r="D12365" s="107">
        <v>4282422.76</v>
      </c>
    </row>
    <row r="12366" spans="1:4">
      <c r="A12366">
        <v>44470</v>
      </c>
      <c r="B12366" t="s">
        <v>12705</v>
      </c>
      <c r="C12366" t="s">
        <v>427</v>
      </c>
      <c r="D12366" s="107">
        <v>1802850.28</v>
      </c>
    </row>
    <row r="12367" spans="1:4">
      <c r="A12367">
        <v>13476</v>
      </c>
      <c r="B12367" t="s">
        <v>12706</v>
      </c>
      <c r="C12367" t="s">
        <v>427</v>
      </c>
      <c r="D12367" s="107">
        <v>1815914.54</v>
      </c>
    </row>
    <row r="12368" spans="1:4">
      <c r="A12368">
        <v>10488</v>
      </c>
      <c r="B12368" t="s">
        <v>12707</v>
      </c>
      <c r="C12368" t="s">
        <v>427</v>
      </c>
      <c r="D12368" s="107">
        <v>2200000</v>
      </c>
    </row>
    <row r="12369" spans="1:4">
      <c r="A12369">
        <v>13606</v>
      </c>
      <c r="B12369" t="s">
        <v>12708</v>
      </c>
      <c r="C12369" t="s">
        <v>427</v>
      </c>
      <c r="D12369" s="107">
        <v>1949168.54</v>
      </c>
    </row>
    <row r="12370" spans="1:4">
      <c r="A12370">
        <v>10489</v>
      </c>
      <c r="B12370" t="s">
        <v>13589</v>
      </c>
      <c r="C12370" t="s">
        <v>432</v>
      </c>
      <c r="D12370" s="106">
        <v>13.72</v>
      </c>
    </row>
    <row r="12371" spans="1:4">
      <c r="A12371">
        <v>41073</v>
      </c>
      <c r="B12371" t="s">
        <v>12709</v>
      </c>
      <c r="C12371" t="s">
        <v>433</v>
      </c>
      <c r="D12371" s="107">
        <v>2427.2600000000002</v>
      </c>
    </row>
    <row r="12372" spans="1:4">
      <c r="A12372">
        <v>34391</v>
      </c>
      <c r="B12372" t="s">
        <v>12710</v>
      </c>
      <c r="C12372" t="s">
        <v>426</v>
      </c>
      <c r="D12372" s="107">
        <v>1131.42</v>
      </c>
    </row>
    <row r="12373" spans="1:4">
      <c r="A12373">
        <v>10496</v>
      </c>
      <c r="B12373" t="s">
        <v>12711</v>
      </c>
      <c r="C12373" t="s">
        <v>426</v>
      </c>
      <c r="D12373" s="106">
        <v>984.88</v>
      </c>
    </row>
    <row r="12374" spans="1:4">
      <c r="A12374">
        <v>10497</v>
      </c>
      <c r="B12374" t="s">
        <v>12712</v>
      </c>
      <c r="C12374" t="s">
        <v>426</v>
      </c>
      <c r="D12374" s="107">
        <v>2560.71</v>
      </c>
    </row>
    <row r="12375" spans="1:4">
      <c r="A12375">
        <v>10504</v>
      </c>
      <c r="B12375" t="s">
        <v>12713</v>
      </c>
      <c r="C12375" t="s">
        <v>426</v>
      </c>
      <c r="D12375" s="107">
        <v>2994.06</v>
      </c>
    </row>
    <row r="12376" spans="1:4">
      <c r="A12376">
        <v>34390</v>
      </c>
      <c r="B12376" t="s">
        <v>12714</v>
      </c>
      <c r="C12376" t="s">
        <v>426</v>
      </c>
      <c r="D12376" s="106">
        <v>882.46</v>
      </c>
    </row>
    <row r="12377" spans="1:4">
      <c r="A12377">
        <v>34389</v>
      </c>
      <c r="B12377" t="s">
        <v>12715</v>
      </c>
      <c r="C12377" t="s">
        <v>426</v>
      </c>
      <c r="D12377" s="106">
        <v>275.76</v>
      </c>
    </row>
    <row r="12378" spans="1:4">
      <c r="A12378">
        <v>34388</v>
      </c>
      <c r="B12378" t="s">
        <v>12716</v>
      </c>
      <c r="C12378" t="s">
        <v>426</v>
      </c>
      <c r="D12378" s="106">
        <v>391.92</v>
      </c>
    </row>
    <row r="12379" spans="1:4">
      <c r="A12379">
        <v>34387</v>
      </c>
      <c r="B12379" t="s">
        <v>12717</v>
      </c>
      <c r="C12379" t="s">
        <v>426</v>
      </c>
      <c r="D12379" s="106">
        <v>636.23</v>
      </c>
    </row>
    <row r="12380" spans="1:4">
      <c r="A12380">
        <v>11188</v>
      </c>
      <c r="B12380" t="s">
        <v>12718</v>
      </c>
      <c r="C12380" t="s">
        <v>426</v>
      </c>
      <c r="D12380" s="106">
        <v>315.16000000000003</v>
      </c>
    </row>
    <row r="12381" spans="1:4">
      <c r="A12381">
        <v>11189</v>
      </c>
      <c r="B12381" t="s">
        <v>12719</v>
      </c>
      <c r="C12381" t="s">
        <v>426</v>
      </c>
      <c r="D12381" s="106">
        <v>472.74</v>
      </c>
    </row>
    <row r="12382" spans="1:4">
      <c r="A12382">
        <v>21107</v>
      </c>
      <c r="B12382" t="s">
        <v>12720</v>
      </c>
      <c r="C12382" t="s">
        <v>426</v>
      </c>
      <c r="D12382" s="106">
        <v>340.2</v>
      </c>
    </row>
    <row r="12383" spans="1:4">
      <c r="A12383">
        <v>34386</v>
      </c>
      <c r="B12383" t="s">
        <v>12721</v>
      </c>
      <c r="C12383" t="s">
        <v>426</v>
      </c>
      <c r="D12383" s="106">
        <v>590.92999999999995</v>
      </c>
    </row>
    <row r="12384" spans="1:4">
      <c r="A12384">
        <v>10490</v>
      </c>
      <c r="B12384" t="s">
        <v>12722</v>
      </c>
      <c r="C12384" t="s">
        <v>426</v>
      </c>
      <c r="D12384" s="106">
        <v>177.28</v>
      </c>
    </row>
    <row r="12385" spans="1:4">
      <c r="A12385">
        <v>10492</v>
      </c>
      <c r="B12385" t="s">
        <v>12723</v>
      </c>
      <c r="C12385" t="s">
        <v>426</v>
      </c>
      <c r="D12385" s="106">
        <v>236.37</v>
      </c>
    </row>
    <row r="12386" spans="1:4">
      <c r="A12386">
        <v>10493</v>
      </c>
      <c r="B12386" t="s">
        <v>12724</v>
      </c>
      <c r="C12386" t="s">
        <v>426</v>
      </c>
      <c r="D12386" s="106">
        <v>275.76</v>
      </c>
    </row>
    <row r="12387" spans="1:4">
      <c r="A12387">
        <v>10491</v>
      </c>
      <c r="B12387" t="s">
        <v>12725</v>
      </c>
      <c r="C12387" t="s">
        <v>426</v>
      </c>
      <c r="D12387" s="106">
        <v>334.86</v>
      </c>
    </row>
    <row r="12388" spans="1:4">
      <c r="A12388">
        <v>34385</v>
      </c>
      <c r="B12388" t="s">
        <v>12726</v>
      </c>
      <c r="C12388" t="s">
        <v>426</v>
      </c>
      <c r="D12388" s="106">
        <v>488.5</v>
      </c>
    </row>
    <row r="12389" spans="1:4">
      <c r="A12389">
        <v>10499</v>
      </c>
      <c r="B12389" t="s">
        <v>12727</v>
      </c>
      <c r="C12389" t="s">
        <v>426</v>
      </c>
      <c r="D12389" s="106">
        <v>196.97</v>
      </c>
    </row>
    <row r="12390" spans="1:4">
      <c r="A12390">
        <v>34384</v>
      </c>
      <c r="B12390" t="s">
        <v>12728</v>
      </c>
      <c r="C12390" t="s">
        <v>426</v>
      </c>
      <c r="D12390" s="106">
        <v>590.92999999999995</v>
      </c>
    </row>
    <row r="12391" spans="1:4">
      <c r="A12391">
        <v>11185</v>
      </c>
      <c r="B12391" t="s">
        <v>12729</v>
      </c>
      <c r="C12391" t="s">
        <v>426</v>
      </c>
      <c r="D12391" s="106">
        <v>610.63</v>
      </c>
    </row>
    <row r="12392" spans="1:4">
      <c r="A12392">
        <v>10507</v>
      </c>
      <c r="B12392" t="s">
        <v>12730</v>
      </c>
      <c r="C12392" t="s">
        <v>426</v>
      </c>
      <c r="D12392" s="106">
        <v>462.27</v>
      </c>
    </row>
    <row r="12393" spans="1:4">
      <c r="A12393">
        <v>10505</v>
      </c>
      <c r="B12393" t="s">
        <v>12731</v>
      </c>
      <c r="C12393" t="s">
        <v>426</v>
      </c>
      <c r="D12393" s="106">
        <v>272.77</v>
      </c>
    </row>
    <row r="12394" spans="1:4">
      <c r="A12394">
        <v>10506</v>
      </c>
      <c r="B12394" t="s">
        <v>12732</v>
      </c>
      <c r="C12394" t="s">
        <v>426</v>
      </c>
      <c r="D12394" s="106">
        <v>356.08</v>
      </c>
    </row>
    <row r="12395" spans="1:4">
      <c r="A12395">
        <v>5031</v>
      </c>
      <c r="B12395" t="s">
        <v>12733</v>
      </c>
      <c r="C12395" t="s">
        <v>426</v>
      </c>
      <c r="D12395" s="106">
        <v>500</v>
      </c>
    </row>
    <row r="12396" spans="1:4">
      <c r="A12396">
        <v>10502</v>
      </c>
      <c r="B12396" t="s">
        <v>12734</v>
      </c>
      <c r="C12396" t="s">
        <v>426</v>
      </c>
      <c r="D12396" s="106">
        <v>582.62</v>
      </c>
    </row>
    <row r="12397" spans="1:4">
      <c r="A12397">
        <v>10501</v>
      </c>
      <c r="B12397" t="s">
        <v>12735</v>
      </c>
      <c r="C12397" t="s">
        <v>426</v>
      </c>
      <c r="D12397" s="106">
        <v>329.16</v>
      </c>
    </row>
    <row r="12398" spans="1:4">
      <c r="A12398">
        <v>10503</v>
      </c>
      <c r="B12398" t="s">
        <v>12736</v>
      </c>
      <c r="C12398" t="s">
        <v>426</v>
      </c>
      <c r="D12398" s="106">
        <v>444.7</v>
      </c>
    </row>
    <row r="12399" spans="1:4">
      <c r="A12399">
        <v>4500</v>
      </c>
      <c r="B12399" t="s">
        <v>12737</v>
      </c>
      <c r="C12399" t="s">
        <v>429</v>
      </c>
      <c r="D12399" s="106">
        <v>17.309999999999999</v>
      </c>
    </row>
    <row r="12400" spans="1:4">
      <c r="A12400">
        <v>4448</v>
      </c>
      <c r="B12400" t="s">
        <v>12738</v>
      </c>
      <c r="C12400" t="s">
        <v>429</v>
      </c>
      <c r="D12400" s="106">
        <v>23.78</v>
      </c>
    </row>
    <row r="12401" spans="1:4">
      <c r="A12401">
        <v>20213</v>
      </c>
      <c r="B12401" t="s">
        <v>12739</v>
      </c>
      <c r="C12401" t="s">
        <v>429</v>
      </c>
      <c r="D12401" s="106">
        <v>20.100000000000001</v>
      </c>
    </row>
    <row r="12402" spans="1:4">
      <c r="A12402">
        <v>20211</v>
      </c>
      <c r="B12402" t="s">
        <v>12740</v>
      </c>
      <c r="C12402" t="s">
        <v>429</v>
      </c>
      <c r="D12402" s="106">
        <v>26.61</v>
      </c>
    </row>
    <row r="12403" spans="1:4">
      <c r="A12403">
        <v>40270</v>
      </c>
      <c r="B12403" t="s">
        <v>12741</v>
      </c>
      <c r="C12403" t="s">
        <v>429</v>
      </c>
      <c r="D12403" s="106">
        <v>111.97</v>
      </c>
    </row>
    <row r="12404" spans="1:4">
      <c r="A12404">
        <v>4425</v>
      </c>
      <c r="B12404" t="s">
        <v>12742</v>
      </c>
      <c r="C12404" t="s">
        <v>429</v>
      </c>
      <c r="D12404" s="106">
        <v>21.99</v>
      </c>
    </row>
    <row r="12405" spans="1:4">
      <c r="A12405">
        <v>4472</v>
      </c>
      <c r="B12405" t="s">
        <v>12743</v>
      </c>
      <c r="C12405" t="s">
        <v>429</v>
      </c>
      <c r="D12405" s="106">
        <v>27.48</v>
      </c>
    </row>
    <row r="12406" spans="1:4">
      <c r="A12406">
        <v>35272</v>
      </c>
      <c r="B12406" t="s">
        <v>12744</v>
      </c>
      <c r="C12406" t="s">
        <v>429</v>
      </c>
      <c r="D12406" s="106">
        <v>39.72</v>
      </c>
    </row>
    <row r="12407" spans="1:4">
      <c r="A12407">
        <v>4481</v>
      </c>
      <c r="B12407" t="s">
        <v>12745</v>
      </c>
      <c r="C12407" t="s">
        <v>429</v>
      </c>
      <c r="D12407" s="106">
        <v>42.52</v>
      </c>
    </row>
    <row r="12408" spans="1:4">
      <c r="A12408">
        <v>34345</v>
      </c>
      <c r="B12408" t="s">
        <v>12746</v>
      </c>
      <c r="C12408" t="s">
        <v>432</v>
      </c>
      <c r="D12408" s="106">
        <v>11.85</v>
      </c>
    </row>
    <row r="12409" spans="1:4">
      <c r="A12409">
        <v>41096</v>
      </c>
      <c r="B12409" t="s">
        <v>12747</v>
      </c>
      <c r="C12409" t="s">
        <v>433</v>
      </c>
      <c r="D12409" s="107">
        <v>2095.1</v>
      </c>
    </row>
    <row r="12410" spans="1:4">
      <c r="A12410">
        <v>41776</v>
      </c>
      <c r="B12410" t="s">
        <v>12748</v>
      </c>
      <c r="C12410" t="s">
        <v>432</v>
      </c>
      <c r="D12410" s="106">
        <v>16.25</v>
      </c>
    </row>
  </sheetData>
  <mergeCells count="3">
    <mergeCell ref="A1:D1"/>
    <mergeCell ref="A2:D2"/>
    <mergeCell ref="A3:D3"/>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11"/>
  <sheetViews>
    <sheetView topLeftCell="A9069" workbookViewId="0">
      <selection activeCell="N9089" sqref="N9089"/>
    </sheetView>
  </sheetViews>
  <sheetFormatPr defaultRowHeight="15"/>
  <cols>
    <col min="1" max="1" width="24.5703125" customWidth="1"/>
    <col min="2" max="2" width="48.7109375" customWidth="1"/>
    <col min="3" max="3" width="8.140625" customWidth="1"/>
    <col min="4" max="4" width="21.140625" customWidth="1"/>
  </cols>
  <sheetData>
    <row r="1" spans="1:4">
      <c r="A1" s="86" t="s">
        <v>420</v>
      </c>
      <c r="B1" s="86"/>
      <c r="C1" s="86"/>
      <c r="D1" s="86"/>
    </row>
    <row r="2" spans="1:4">
      <c r="A2" s="86" t="s">
        <v>421</v>
      </c>
      <c r="B2" s="86"/>
      <c r="C2" s="86"/>
      <c r="D2" s="86"/>
    </row>
    <row r="3" spans="1:4">
      <c r="A3" s="85" t="s">
        <v>20505</v>
      </c>
      <c r="B3" s="85"/>
      <c r="C3" s="85"/>
      <c r="D3" s="85"/>
    </row>
    <row r="4" spans="1:4">
      <c r="A4" s="86" t="s">
        <v>422</v>
      </c>
      <c r="B4" s="86"/>
      <c r="C4" s="86"/>
      <c r="D4" s="86"/>
    </row>
    <row r="5" spans="1:4">
      <c r="A5" s="86" t="s">
        <v>423</v>
      </c>
      <c r="B5" s="86"/>
      <c r="C5" s="86"/>
      <c r="D5" s="86"/>
    </row>
    <row r="7" spans="1:4">
      <c r="A7" s="105">
        <v>97141</v>
      </c>
      <c r="B7" s="104" t="s">
        <v>445</v>
      </c>
      <c r="C7" s="104" t="s">
        <v>40</v>
      </c>
      <c r="D7" s="129" t="s">
        <v>20506</v>
      </c>
    </row>
    <row r="8" spans="1:4">
      <c r="A8" s="105">
        <v>97142</v>
      </c>
      <c r="B8" s="104" t="s">
        <v>446</v>
      </c>
      <c r="C8" s="104" t="s">
        <v>40</v>
      </c>
      <c r="D8" s="129" t="s">
        <v>20507</v>
      </c>
    </row>
    <row r="9" spans="1:4">
      <c r="A9" s="105">
        <v>97143</v>
      </c>
      <c r="B9" s="104" t="s">
        <v>447</v>
      </c>
      <c r="C9" s="104" t="s">
        <v>40</v>
      </c>
      <c r="D9" s="129" t="s">
        <v>19268</v>
      </c>
    </row>
    <row r="10" spans="1:4">
      <c r="A10" s="105">
        <v>97144</v>
      </c>
      <c r="B10" s="104" t="s">
        <v>448</v>
      </c>
      <c r="C10" s="104" t="s">
        <v>40</v>
      </c>
      <c r="D10" s="129" t="s">
        <v>20508</v>
      </c>
    </row>
    <row r="11" spans="1:4">
      <c r="A11" s="105">
        <v>97145</v>
      </c>
      <c r="B11" s="104" t="s">
        <v>449</v>
      </c>
      <c r="C11" s="104" t="s">
        <v>40</v>
      </c>
      <c r="D11" s="129" t="s">
        <v>20509</v>
      </c>
    </row>
    <row r="12" spans="1:4">
      <c r="A12" s="105">
        <v>97146</v>
      </c>
      <c r="B12" s="104" t="s">
        <v>450</v>
      </c>
      <c r="C12" s="104" t="s">
        <v>40</v>
      </c>
      <c r="D12" s="129" t="s">
        <v>19258</v>
      </c>
    </row>
    <row r="13" spans="1:4">
      <c r="A13" s="105">
        <v>97147</v>
      </c>
      <c r="B13" s="104" t="s">
        <v>451</v>
      </c>
      <c r="C13" s="104" t="s">
        <v>40</v>
      </c>
      <c r="D13" s="129" t="s">
        <v>20510</v>
      </c>
    </row>
    <row r="14" spans="1:4">
      <c r="A14" s="105">
        <v>97148</v>
      </c>
      <c r="B14" s="104" t="s">
        <v>452</v>
      </c>
      <c r="C14" s="104" t="s">
        <v>40</v>
      </c>
      <c r="D14" s="129" t="s">
        <v>14763</v>
      </c>
    </row>
    <row r="15" spans="1:4">
      <c r="A15" s="105">
        <v>97149</v>
      </c>
      <c r="B15" s="104" t="s">
        <v>453</v>
      </c>
      <c r="C15" s="104" t="s">
        <v>40</v>
      </c>
      <c r="D15" s="129" t="s">
        <v>17585</v>
      </c>
    </row>
    <row r="16" spans="1:4">
      <c r="A16" s="105">
        <v>97150</v>
      </c>
      <c r="B16" s="104" t="s">
        <v>454</v>
      </c>
      <c r="C16" s="104" t="s">
        <v>40</v>
      </c>
      <c r="D16" s="129" t="s">
        <v>20511</v>
      </c>
    </row>
    <row r="17" spans="1:4">
      <c r="A17" s="105">
        <v>97151</v>
      </c>
      <c r="B17" s="104" t="s">
        <v>455</v>
      </c>
      <c r="C17" s="104" t="s">
        <v>40</v>
      </c>
      <c r="D17" s="129" t="s">
        <v>20512</v>
      </c>
    </row>
    <row r="18" spans="1:4">
      <c r="A18" s="105">
        <v>97152</v>
      </c>
      <c r="B18" s="104" t="s">
        <v>456</v>
      </c>
      <c r="C18" s="104" t="s">
        <v>40</v>
      </c>
      <c r="D18" s="129" t="s">
        <v>20513</v>
      </c>
    </row>
    <row r="19" spans="1:4">
      <c r="A19" s="105">
        <v>97153</v>
      </c>
      <c r="B19" s="104" t="s">
        <v>457</v>
      </c>
      <c r="C19" s="104" t="s">
        <v>40</v>
      </c>
      <c r="D19" s="129" t="s">
        <v>20514</v>
      </c>
    </row>
    <row r="20" spans="1:4">
      <c r="A20" s="105">
        <v>97154</v>
      </c>
      <c r="B20" s="104" t="s">
        <v>458</v>
      </c>
      <c r="C20" s="104" t="s">
        <v>40</v>
      </c>
      <c r="D20" s="129" t="s">
        <v>20515</v>
      </c>
    </row>
    <row r="21" spans="1:4">
      <c r="A21" s="105">
        <v>97155</v>
      </c>
      <c r="B21" s="104" t="s">
        <v>459</v>
      </c>
      <c r="C21" s="104" t="s">
        <v>40</v>
      </c>
      <c r="D21" s="129" t="s">
        <v>20516</v>
      </c>
    </row>
    <row r="22" spans="1:4">
      <c r="A22" s="105">
        <v>97156</v>
      </c>
      <c r="B22" s="104" t="s">
        <v>460</v>
      </c>
      <c r="C22" s="104" t="s">
        <v>40</v>
      </c>
      <c r="D22" s="129" t="s">
        <v>20517</v>
      </c>
    </row>
    <row r="23" spans="1:4">
      <c r="A23" s="105">
        <v>97157</v>
      </c>
      <c r="B23" s="104" t="s">
        <v>461</v>
      </c>
      <c r="C23" s="104" t="s">
        <v>40</v>
      </c>
      <c r="D23" s="129" t="s">
        <v>19638</v>
      </c>
    </row>
    <row r="24" spans="1:4">
      <c r="A24" s="105">
        <v>97158</v>
      </c>
      <c r="B24" s="104" t="s">
        <v>462</v>
      </c>
      <c r="C24" s="104" t="s">
        <v>40</v>
      </c>
      <c r="D24" s="129" t="s">
        <v>15628</v>
      </c>
    </row>
    <row r="25" spans="1:4">
      <c r="A25" s="105">
        <v>97159</v>
      </c>
      <c r="B25" s="104" t="s">
        <v>463</v>
      </c>
      <c r="C25" s="104" t="s">
        <v>40</v>
      </c>
      <c r="D25" s="129" t="s">
        <v>15142</v>
      </c>
    </row>
    <row r="26" spans="1:4">
      <c r="A26" s="105">
        <v>97160</v>
      </c>
      <c r="B26" s="104" t="s">
        <v>464</v>
      </c>
      <c r="C26" s="104" t="s">
        <v>40</v>
      </c>
      <c r="D26" s="129" t="s">
        <v>15594</v>
      </c>
    </row>
    <row r="27" spans="1:4">
      <c r="A27" s="105">
        <v>97161</v>
      </c>
      <c r="B27" s="104" t="s">
        <v>465</v>
      </c>
      <c r="C27" s="104" t="s">
        <v>40</v>
      </c>
      <c r="D27" s="129" t="s">
        <v>15486</v>
      </c>
    </row>
    <row r="28" spans="1:4">
      <c r="A28" s="105">
        <v>97162</v>
      </c>
      <c r="B28" s="104" t="s">
        <v>466</v>
      </c>
      <c r="C28" s="104" t="s">
        <v>40</v>
      </c>
      <c r="D28" s="129" t="s">
        <v>20518</v>
      </c>
    </row>
    <row r="29" spans="1:4">
      <c r="A29" s="105">
        <v>97163</v>
      </c>
      <c r="B29" s="104" t="s">
        <v>467</v>
      </c>
      <c r="C29" s="104" t="s">
        <v>40</v>
      </c>
      <c r="D29" s="129" t="s">
        <v>17396</v>
      </c>
    </row>
    <row r="30" spans="1:4">
      <c r="A30" s="105">
        <v>97164</v>
      </c>
      <c r="B30" s="104" t="s">
        <v>468</v>
      </c>
      <c r="C30" s="104" t="s">
        <v>40</v>
      </c>
      <c r="D30" s="129" t="s">
        <v>17205</v>
      </c>
    </row>
    <row r="31" spans="1:4">
      <c r="A31" s="105">
        <v>97165</v>
      </c>
      <c r="B31" s="104" t="s">
        <v>469</v>
      </c>
      <c r="C31" s="104" t="s">
        <v>40</v>
      </c>
      <c r="D31" s="129" t="s">
        <v>16617</v>
      </c>
    </row>
    <row r="32" spans="1:4">
      <c r="A32" s="105">
        <v>97166</v>
      </c>
      <c r="B32" s="104" t="s">
        <v>470</v>
      </c>
      <c r="C32" s="104" t="s">
        <v>40</v>
      </c>
      <c r="D32" s="129" t="s">
        <v>20519</v>
      </c>
    </row>
    <row r="33" spans="1:4">
      <c r="A33" s="105">
        <v>97167</v>
      </c>
      <c r="B33" s="104" t="s">
        <v>471</v>
      </c>
      <c r="C33" s="104" t="s">
        <v>40</v>
      </c>
      <c r="D33" s="129" t="s">
        <v>20520</v>
      </c>
    </row>
    <row r="34" spans="1:4">
      <c r="A34" s="105">
        <v>97168</v>
      </c>
      <c r="B34" s="104" t="s">
        <v>472</v>
      </c>
      <c r="C34" s="104" t="s">
        <v>40</v>
      </c>
      <c r="D34" s="129" t="s">
        <v>20264</v>
      </c>
    </row>
    <row r="35" spans="1:4">
      <c r="A35" s="105">
        <v>97169</v>
      </c>
      <c r="B35" s="104" t="s">
        <v>473</v>
      </c>
      <c r="C35" s="104" t="s">
        <v>40</v>
      </c>
      <c r="D35" s="129" t="s">
        <v>20521</v>
      </c>
    </row>
    <row r="36" spans="1:4">
      <c r="A36" s="105">
        <v>97170</v>
      </c>
      <c r="B36" s="104" t="s">
        <v>474</v>
      </c>
      <c r="C36" s="104" t="s">
        <v>40</v>
      </c>
      <c r="D36" s="129" t="s">
        <v>19796</v>
      </c>
    </row>
    <row r="37" spans="1:4">
      <c r="A37" s="105">
        <v>97171</v>
      </c>
      <c r="B37" s="104" t="s">
        <v>475</v>
      </c>
      <c r="C37" s="104" t="s">
        <v>40</v>
      </c>
      <c r="D37" s="129" t="s">
        <v>20522</v>
      </c>
    </row>
    <row r="38" spans="1:4">
      <c r="A38" s="105">
        <v>97172</v>
      </c>
      <c r="B38" s="104" t="s">
        <v>476</v>
      </c>
      <c r="C38" s="104" t="s">
        <v>40</v>
      </c>
      <c r="D38" s="129" t="s">
        <v>20523</v>
      </c>
    </row>
    <row r="39" spans="1:4">
      <c r="A39" s="105">
        <v>97173</v>
      </c>
      <c r="B39" s="104" t="s">
        <v>477</v>
      </c>
      <c r="C39" s="104" t="s">
        <v>40</v>
      </c>
      <c r="D39" s="129" t="s">
        <v>20524</v>
      </c>
    </row>
    <row r="40" spans="1:4">
      <c r="A40" s="105">
        <v>97174</v>
      </c>
      <c r="B40" s="104" t="s">
        <v>478</v>
      </c>
      <c r="C40" s="104" t="s">
        <v>40</v>
      </c>
      <c r="D40" s="129" t="s">
        <v>20525</v>
      </c>
    </row>
    <row r="41" spans="1:4">
      <c r="A41" s="105">
        <v>97175</v>
      </c>
      <c r="B41" s="104" t="s">
        <v>479</v>
      </c>
      <c r="C41" s="104" t="s">
        <v>40</v>
      </c>
      <c r="D41" s="129" t="s">
        <v>20526</v>
      </c>
    </row>
    <row r="42" spans="1:4">
      <c r="A42" s="105">
        <v>97176</v>
      </c>
      <c r="B42" s="104" t="s">
        <v>480</v>
      </c>
      <c r="C42" s="104" t="s">
        <v>40</v>
      </c>
      <c r="D42" s="129" t="s">
        <v>20527</v>
      </c>
    </row>
    <row r="43" spans="1:4">
      <c r="A43" s="105">
        <v>97177</v>
      </c>
      <c r="B43" s="104" t="s">
        <v>481</v>
      </c>
      <c r="C43" s="104" t="s">
        <v>40</v>
      </c>
      <c r="D43" s="129" t="s">
        <v>20528</v>
      </c>
    </row>
    <row r="44" spans="1:4">
      <c r="A44" s="105">
        <v>97178</v>
      </c>
      <c r="B44" s="104" t="s">
        <v>482</v>
      </c>
      <c r="C44" s="104" t="s">
        <v>40</v>
      </c>
      <c r="D44" s="129" t="s">
        <v>20529</v>
      </c>
    </row>
    <row r="45" spans="1:4">
      <c r="A45" s="105">
        <v>97179</v>
      </c>
      <c r="B45" s="104" t="s">
        <v>483</v>
      </c>
      <c r="C45" s="104" t="s">
        <v>40</v>
      </c>
      <c r="D45" s="129" t="s">
        <v>20530</v>
      </c>
    </row>
    <row r="46" spans="1:4">
      <c r="A46" s="105">
        <v>97180</v>
      </c>
      <c r="B46" s="104" t="s">
        <v>484</v>
      </c>
      <c r="C46" s="104" t="s">
        <v>40</v>
      </c>
      <c r="D46" s="129" t="s">
        <v>15364</v>
      </c>
    </row>
    <row r="47" spans="1:4">
      <c r="A47" s="105">
        <v>97181</v>
      </c>
      <c r="B47" s="104" t="s">
        <v>485</v>
      </c>
      <c r="C47" s="104" t="s">
        <v>40</v>
      </c>
      <c r="D47" s="129" t="s">
        <v>20531</v>
      </c>
    </row>
    <row r="48" spans="1:4">
      <c r="A48" s="105">
        <v>97182</v>
      </c>
      <c r="B48" s="104" t="s">
        <v>486</v>
      </c>
      <c r="C48" s="104" t="s">
        <v>40</v>
      </c>
      <c r="D48" s="129" t="s">
        <v>20532</v>
      </c>
    </row>
    <row r="49" spans="1:4">
      <c r="A49" s="105">
        <v>97183</v>
      </c>
      <c r="B49" s="104" t="s">
        <v>487</v>
      </c>
      <c r="C49" s="104" t="s">
        <v>40</v>
      </c>
      <c r="D49" s="129" t="s">
        <v>20533</v>
      </c>
    </row>
    <row r="50" spans="1:4">
      <c r="A50" s="105">
        <v>97184</v>
      </c>
      <c r="B50" s="104" t="s">
        <v>488</v>
      </c>
      <c r="C50" s="104" t="s">
        <v>40</v>
      </c>
      <c r="D50" s="129" t="s">
        <v>20288</v>
      </c>
    </row>
    <row r="51" spans="1:4">
      <c r="A51" s="105">
        <v>97185</v>
      </c>
      <c r="B51" s="104" t="s">
        <v>489</v>
      </c>
      <c r="C51" s="104" t="s">
        <v>40</v>
      </c>
      <c r="D51" s="129" t="s">
        <v>20534</v>
      </c>
    </row>
    <row r="52" spans="1:4">
      <c r="A52" s="105">
        <v>97186</v>
      </c>
      <c r="B52" s="104" t="s">
        <v>490</v>
      </c>
      <c r="C52" s="104" t="s">
        <v>40</v>
      </c>
      <c r="D52" s="129" t="s">
        <v>20535</v>
      </c>
    </row>
    <row r="53" spans="1:4">
      <c r="A53" s="105">
        <v>97187</v>
      </c>
      <c r="B53" s="104" t="s">
        <v>491</v>
      </c>
      <c r="C53" s="104" t="s">
        <v>40</v>
      </c>
      <c r="D53" s="129" t="s">
        <v>15244</v>
      </c>
    </row>
    <row r="54" spans="1:4">
      <c r="A54" s="105">
        <v>97188</v>
      </c>
      <c r="B54" s="104" t="s">
        <v>492</v>
      </c>
      <c r="C54" s="104" t="s">
        <v>40</v>
      </c>
      <c r="D54" s="129" t="s">
        <v>20536</v>
      </c>
    </row>
    <row r="55" spans="1:4">
      <c r="A55" s="105">
        <v>97189</v>
      </c>
      <c r="B55" s="104" t="s">
        <v>493</v>
      </c>
      <c r="C55" s="104" t="s">
        <v>40</v>
      </c>
      <c r="D55" s="129" t="s">
        <v>20537</v>
      </c>
    </row>
    <row r="56" spans="1:4">
      <c r="A56" s="105">
        <v>97190</v>
      </c>
      <c r="B56" s="104" t="s">
        <v>494</v>
      </c>
      <c r="C56" s="104" t="s">
        <v>40</v>
      </c>
      <c r="D56" s="129" t="s">
        <v>20538</v>
      </c>
    </row>
    <row r="57" spans="1:4">
      <c r="A57" s="105">
        <v>97191</v>
      </c>
      <c r="B57" s="104" t="s">
        <v>495</v>
      </c>
      <c r="C57" s="104" t="s">
        <v>40</v>
      </c>
      <c r="D57" s="129" t="s">
        <v>20539</v>
      </c>
    </row>
    <row r="58" spans="1:4">
      <c r="A58" s="105">
        <v>97192</v>
      </c>
      <c r="B58" s="104" t="s">
        <v>496</v>
      </c>
      <c r="C58" s="104" t="s">
        <v>40</v>
      </c>
      <c r="D58" s="129" t="s">
        <v>19733</v>
      </c>
    </row>
    <row r="59" spans="1:4">
      <c r="A59" s="105">
        <v>90694</v>
      </c>
      <c r="B59" s="104" t="s">
        <v>497</v>
      </c>
      <c r="C59" s="104" t="s">
        <v>40</v>
      </c>
      <c r="D59" s="129" t="s">
        <v>20540</v>
      </c>
    </row>
    <row r="60" spans="1:4">
      <c r="A60" s="105">
        <v>90695</v>
      </c>
      <c r="B60" s="104" t="s">
        <v>498</v>
      </c>
      <c r="C60" s="104" t="s">
        <v>40</v>
      </c>
      <c r="D60" s="129" t="s">
        <v>20541</v>
      </c>
    </row>
    <row r="61" spans="1:4">
      <c r="A61" s="105">
        <v>90696</v>
      </c>
      <c r="B61" s="104" t="s">
        <v>499</v>
      </c>
      <c r="C61" s="104" t="s">
        <v>40</v>
      </c>
      <c r="D61" s="129" t="s">
        <v>20542</v>
      </c>
    </row>
    <row r="62" spans="1:4">
      <c r="A62" s="105">
        <v>90697</v>
      </c>
      <c r="B62" s="104" t="s">
        <v>500</v>
      </c>
      <c r="C62" s="104" t="s">
        <v>40</v>
      </c>
      <c r="D62" s="129" t="s">
        <v>20543</v>
      </c>
    </row>
    <row r="63" spans="1:4">
      <c r="A63" s="105">
        <v>90698</v>
      </c>
      <c r="B63" s="104" t="s">
        <v>501</v>
      </c>
      <c r="C63" s="104" t="s">
        <v>40</v>
      </c>
      <c r="D63" s="129" t="s">
        <v>20544</v>
      </c>
    </row>
    <row r="64" spans="1:4">
      <c r="A64" s="105">
        <v>90699</v>
      </c>
      <c r="B64" s="104" t="s">
        <v>502</v>
      </c>
      <c r="C64" s="104" t="s">
        <v>40</v>
      </c>
      <c r="D64" s="129" t="s">
        <v>20545</v>
      </c>
    </row>
    <row r="65" spans="1:4">
      <c r="A65" s="105">
        <v>90700</v>
      </c>
      <c r="B65" s="104" t="s">
        <v>503</v>
      </c>
      <c r="C65" s="104" t="s">
        <v>40</v>
      </c>
      <c r="D65" s="129" t="s">
        <v>20546</v>
      </c>
    </row>
    <row r="66" spans="1:4">
      <c r="A66" s="105">
        <v>90701</v>
      </c>
      <c r="B66" s="104" t="s">
        <v>504</v>
      </c>
      <c r="C66" s="104" t="s">
        <v>40</v>
      </c>
      <c r="D66" s="129" t="s">
        <v>15236</v>
      </c>
    </row>
    <row r="67" spans="1:4">
      <c r="A67" s="105">
        <v>90702</v>
      </c>
      <c r="B67" s="104" t="s">
        <v>505</v>
      </c>
      <c r="C67" s="104" t="s">
        <v>40</v>
      </c>
      <c r="D67" s="129" t="s">
        <v>20547</v>
      </c>
    </row>
    <row r="68" spans="1:4">
      <c r="A68" s="105">
        <v>90703</v>
      </c>
      <c r="B68" s="104" t="s">
        <v>506</v>
      </c>
      <c r="C68" s="104" t="s">
        <v>40</v>
      </c>
      <c r="D68" s="129" t="s">
        <v>20548</v>
      </c>
    </row>
    <row r="69" spans="1:4">
      <c r="A69" s="105">
        <v>90704</v>
      </c>
      <c r="B69" s="104" t="s">
        <v>507</v>
      </c>
      <c r="C69" s="104" t="s">
        <v>40</v>
      </c>
      <c r="D69" s="129" t="s">
        <v>20549</v>
      </c>
    </row>
    <row r="70" spans="1:4">
      <c r="A70" s="105">
        <v>90705</v>
      </c>
      <c r="B70" s="104" t="s">
        <v>508</v>
      </c>
      <c r="C70" s="104" t="s">
        <v>40</v>
      </c>
      <c r="D70" s="129" t="s">
        <v>20550</v>
      </c>
    </row>
    <row r="71" spans="1:4">
      <c r="A71" s="105">
        <v>90706</v>
      </c>
      <c r="B71" s="104" t="s">
        <v>509</v>
      </c>
      <c r="C71" s="104" t="s">
        <v>40</v>
      </c>
      <c r="D71" s="129" t="s">
        <v>20551</v>
      </c>
    </row>
    <row r="72" spans="1:4">
      <c r="A72" s="105">
        <v>90708</v>
      </c>
      <c r="B72" s="104" t="s">
        <v>510</v>
      </c>
      <c r="C72" s="104" t="s">
        <v>40</v>
      </c>
      <c r="D72" s="129" t="s">
        <v>20552</v>
      </c>
    </row>
    <row r="73" spans="1:4">
      <c r="A73" s="105">
        <v>90724</v>
      </c>
      <c r="B73" s="104" t="s">
        <v>511</v>
      </c>
      <c r="C73" s="104" t="s">
        <v>183</v>
      </c>
      <c r="D73" s="129" t="s">
        <v>15204</v>
      </c>
    </row>
    <row r="74" spans="1:4">
      <c r="A74" s="105">
        <v>90725</v>
      </c>
      <c r="B74" s="104" t="s">
        <v>512</v>
      </c>
      <c r="C74" s="104" t="s">
        <v>183</v>
      </c>
      <c r="D74" s="129" t="s">
        <v>20553</v>
      </c>
    </row>
    <row r="75" spans="1:4">
      <c r="A75" s="105">
        <v>90726</v>
      </c>
      <c r="B75" s="104" t="s">
        <v>513</v>
      </c>
      <c r="C75" s="104" t="s">
        <v>183</v>
      </c>
      <c r="D75" s="129" t="s">
        <v>20554</v>
      </c>
    </row>
    <row r="76" spans="1:4">
      <c r="A76" s="105">
        <v>90727</v>
      </c>
      <c r="B76" s="104" t="s">
        <v>514</v>
      </c>
      <c r="C76" s="104" t="s">
        <v>183</v>
      </c>
      <c r="D76" s="129" t="s">
        <v>20555</v>
      </c>
    </row>
    <row r="77" spans="1:4">
      <c r="A77" s="105">
        <v>90728</v>
      </c>
      <c r="B77" s="104" t="s">
        <v>515</v>
      </c>
      <c r="C77" s="104" t="s">
        <v>183</v>
      </c>
      <c r="D77" s="129" t="s">
        <v>18489</v>
      </c>
    </row>
    <row r="78" spans="1:4">
      <c r="A78" s="105">
        <v>90729</v>
      </c>
      <c r="B78" s="104" t="s">
        <v>516</v>
      </c>
      <c r="C78" s="104" t="s">
        <v>183</v>
      </c>
      <c r="D78" s="129" t="s">
        <v>20556</v>
      </c>
    </row>
    <row r="79" spans="1:4">
      <c r="A79" s="105">
        <v>90730</v>
      </c>
      <c r="B79" s="104" t="s">
        <v>517</v>
      </c>
      <c r="C79" s="104" t="s">
        <v>183</v>
      </c>
      <c r="D79" s="129" t="s">
        <v>20557</v>
      </c>
    </row>
    <row r="80" spans="1:4">
      <c r="A80" s="105">
        <v>90731</v>
      </c>
      <c r="B80" s="104" t="s">
        <v>518</v>
      </c>
      <c r="C80" s="104" t="s">
        <v>183</v>
      </c>
      <c r="D80" s="129" t="s">
        <v>20558</v>
      </c>
    </row>
    <row r="81" spans="1:4">
      <c r="A81" s="105">
        <v>90732</v>
      </c>
      <c r="B81" s="104" t="s">
        <v>519</v>
      </c>
      <c r="C81" s="104" t="s">
        <v>183</v>
      </c>
      <c r="D81" s="129" t="s">
        <v>17816</v>
      </c>
    </row>
    <row r="82" spans="1:4">
      <c r="A82" s="105">
        <v>90733</v>
      </c>
      <c r="B82" s="104" t="s">
        <v>520</v>
      </c>
      <c r="C82" s="104" t="s">
        <v>40</v>
      </c>
      <c r="D82" s="129" t="s">
        <v>19639</v>
      </c>
    </row>
    <row r="83" spans="1:4">
      <c r="A83" s="105">
        <v>90734</v>
      </c>
      <c r="B83" s="104" t="s">
        <v>521</v>
      </c>
      <c r="C83" s="104" t="s">
        <v>40</v>
      </c>
      <c r="D83" s="129" t="s">
        <v>19633</v>
      </c>
    </row>
    <row r="84" spans="1:4">
      <c r="A84" s="105">
        <v>90735</v>
      </c>
      <c r="B84" s="104" t="s">
        <v>522</v>
      </c>
      <c r="C84" s="104" t="s">
        <v>40</v>
      </c>
      <c r="D84" s="129" t="s">
        <v>15667</v>
      </c>
    </row>
    <row r="85" spans="1:4">
      <c r="A85" s="105">
        <v>90736</v>
      </c>
      <c r="B85" s="104" t="s">
        <v>523</v>
      </c>
      <c r="C85" s="104" t="s">
        <v>40</v>
      </c>
      <c r="D85" s="129" t="s">
        <v>20559</v>
      </c>
    </row>
    <row r="86" spans="1:4">
      <c r="A86" s="105">
        <v>90737</v>
      </c>
      <c r="B86" s="104" t="s">
        <v>524</v>
      </c>
      <c r="C86" s="104" t="s">
        <v>40</v>
      </c>
      <c r="D86" s="129" t="s">
        <v>20560</v>
      </c>
    </row>
    <row r="87" spans="1:4">
      <c r="A87" s="105">
        <v>90738</v>
      </c>
      <c r="B87" s="104" t="s">
        <v>525</v>
      </c>
      <c r="C87" s="104" t="s">
        <v>40</v>
      </c>
      <c r="D87" s="129" t="s">
        <v>20561</v>
      </c>
    </row>
    <row r="88" spans="1:4">
      <c r="A88" s="105">
        <v>90739</v>
      </c>
      <c r="B88" s="104" t="s">
        <v>526</v>
      </c>
      <c r="C88" s="104" t="s">
        <v>40</v>
      </c>
      <c r="D88" s="129" t="s">
        <v>19129</v>
      </c>
    </row>
    <row r="89" spans="1:4">
      <c r="A89" s="105">
        <v>90740</v>
      </c>
      <c r="B89" s="104" t="s">
        <v>527</v>
      </c>
      <c r="C89" s="104" t="s">
        <v>40</v>
      </c>
      <c r="D89" s="129" t="s">
        <v>20088</v>
      </c>
    </row>
    <row r="90" spans="1:4">
      <c r="A90" s="105">
        <v>90741</v>
      </c>
      <c r="B90" s="104" t="s">
        <v>528</v>
      </c>
      <c r="C90" s="104" t="s">
        <v>40</v>
      </c>
      <c r="D90" s="129" t="s">
        <v>15622</v>
      </c>
    </row>
    <row r="91" spans="1:4">
      <c r="A91" s="105">
        <v>90742</v>
      </c>
      <c r="B91" s="104" t="s">
        <v>529</v>
      </c>
      <c r="C91" s="104" t="s">
        <v>40</v>
      </c>
      <c r="D91" s="129" t="s">
        <v>20562</v>
      </c>
    </row>
    <row r="92" spans="1:4">
      <c r="A92" s="105">
        <v>90743</v>
      </c>
      <c r="B92" s="104" t="s">
        <v>530</v>
      </c>
      <c r="C92" s="104" t="s">
        <v>40</v>
      </c>
      <c r="D92" s="129" t="s">
        <v>20563</v>
      </c>
    </row>
    <row r="93" spans="1:4">
      <c r="A93" s="105">
        <v>90744</v>
      </c>
      <c r="B93" s="104" t="s">
        <v>531</v>
      </c>
      <c r="C93" s="104" t="s">
        <v>40</v>
      </c>
      <c r="D93" s="129" t="s">
        <v>20564</v>
      </c>
    </row>
    <row r="94" spans="1:4">
      <c r="A94" s="105">
        <v>90745</v>
      </c>
      <c r="B94" s="104" t="s">
        <v>532</v>
      </c>
      <c r="C94" s="104" t="s">
        <v>40</v>
      </c>
      <c r="D94" s="129" t="s">
        <v>20565</v>
      </c>
    </row>
    <row r="95" spans="1:4">
      <c r="A95" s="105">
        <v>90746</v>
      </c>
      <c r="B95" s="104" t="s">
        <v>533</v>
      </c>
      <c r="C95" s="104" t="s">
        <v>40</v>
      </c>
      <c r="D95" s="129" t="s">
        <v>14831</v>
      </c>
    </row>
    <row r="96" spans="1:4">
      <c r="A96" s="105">
        <v>90747</v>
      </c>
      <c r="B96" s="104" t="s">
        <v>534</v>
      </c>
      <c r="C96" s="104" t="s">
        <v>40</v>
      </c>
      <c r="D96" s="129" t="s">
        <v>16901</v>
      </c>
    </row>
    <row r="97" spans="1:4">
      <c r="A97" s="105">
        <v>94869</v>
      </c>
      <c r="B97" s="104" t="s">
        <v>535</v>
      </c>
      <c r="C97" s="104" t="s">
        <v>40</v>
      </c>
      <c r="D97" s="129" t="s">
        <v>20566</v>
      </c>
    </row>
    <row r="98" spans="1:4">
      <c r="A98" s="105">
        <v>94870</v>
      </c>
      <c r="B98" s="104" t="s">
        <v>536</v>
      </c>
      <c r="C98" s="104" t="s">
        <v>40</v>
      </c>
      <c r="D98" s="129" t="s">
        <v>15695</v>
      </c>
    </row>
    <row r="99" spans="1:4">
      <c r="A99" s="105">
        <v>94871</v>
      </c>
      <c r="B99" s="104" t="s">
        <v>537</v>
      </c>
      <c r="C99" s="104" t="s">
        <v>40</v>
      </c>
      <c r="D99" s="129" t="s">
        <v>20567</v>
      </c>
    </row>
    <row r="100" spans="1:4">
      <c r="A100" s="105">
        <v>94872</v>
      </c>
      <c r="B100" s="104" t="s">
        <v>538</v>
      </c>
      <c r="C100" s="104" t="s">
        <v>40</v>
      </c>
      <c r="D100" s="129" t="s">
        <v>20163</v>
      </c>
    </row>
    <row r="101" spans="1:4">
      <c r="A101" s="105">
        <v>94875</v>
      </c>
      <c r="B101" s="104" t="s">
        <v>539</v>
      </c>
      <c r="C101" s="104" t="s">
        <v>40</v>
      </c>
      <c r="D101" s="129" t="s">
        <v>20568</v>
      </c>
    </row>
    <row r="102" spans="1:4">
      <c r="A102" s="105">
        <v>94876</v>
      </c>
      <c r="B102" s="104" t="s">
        <v>540</v>
      </c>
      <c r="C102" s="104" t="s">
        <v>40</v>
      </c>
      <c r="D102" s="129" t="s">
        <v>20569</v>
      </c>
    </row>
    <row r="103" spans="1:4">
      <c r="A103" s="105">
        <v>94878</v>
      </c>
      <c r="B103" s="104" t="s">
        <v>541</v>
      </c>
      <c r="C103" s="104" t="s">
        <v>40</v>
      </c>
      <c r="D103" s="129" t="s">
        <v>19482</v>
      </c>
    </row>
    <row r="104" spans="1:4">
      <c r="A104" s="105">
        <v>94879</v>
      </c>
      <c r="B104" s="104" t="s">
        <v>542</v>
      </c>
      <c r="C104" s="104" t="s">
        <v>40</v>
      </c>
      <c r="D104" s="129" t="s">
        <v>20570</v>
      </c>
    </row>
    <row r="105" spans="1:4">
      <c r="A105" s="105">
        <v>94880</v>
      </c>
      <c r="B105" s="104" t="s">
        <v>543</v>
      </c>
      <c r="C105" s="104" t="s">
        <v>40</v>
      </c>
      <c r="D105" s="129" t="s">
        <v>18862</v>
      </c>
    </row>
    <row r="106" spans="1:4">
      <c r="A106" s="105">
        <v>94881</v>
      </c>
      <c r="B106" s="104" t="s">
        <v>544</v>
      </c>
      <c r="C106" s="104" t="s">
        <v>40</v>
      </c>
      <c r="D106" s="129" t="s">
        <v>20571</v>
      </c>
    </row>
    <row r="107" spans="1:4">
      <c r="A107" s="105">
        <v>94882</v>
      </c>
      <c r="B107" s="104" t="s">
        <v>545</v>
      </c>
      <c r="C107" s="104" t="s">
        <v>40</v>
      </c>
      <c r="D107" s="129" t="s">
        <v>20572</v>
      </c>
    </row>
    <row r="108" spans="1:4">
      <c r="A108" s="105">
        <v>94884</v>
      </c>
      <c r="B108" s="104" t="s">
        <v>546</v>
      </c>
      <c r="C108" s="104" t="s">
        <v>40</v>
      </c>
      <c r="D108" s="129" t="s">
        <v>20573</v>
      </c>
    </row>
    <row r="109" spans="1:4">
      <c r="A109" s="105">
        <v>97121</v>
      </c>
      <c r="B109" s="104" t="s">
        <v>547</v>
      </c>
      <c r="C109" s="104" t="s">
        <v>40</v>
      </c>
      <c r="D109" s="129" t="s">
        <v>20574</v>
      </c>
    </row>
    <row r="110" spans="1:4">
      <c r="A110" s="105">
        <v>97122</v>
      </c>
      <c r="B110" s="104" t="s">
        <v>548</v>
      </c>
      <c r="C110" s="104" t="s">
        <v>40</v>
      </c>
      <c r="D110" s="129" t="s">
        <v>19916</v>
      </c>
    </row>
    <row r="111" spans="1:4">
      <c r="A111" s="105">
        <v>97123</v>
      </c>
      <c r="B111" s="104" t="s">
        <v>549</v>
      </c>
      <c r="C111" s="104" t="s">
        <v>40</v>
      </c>
      <c r="D111" s="129" t="s">
        <v>17097</v>
      </c>
    </row>
    <row r="112" spans="1:4">
      <c r="A112" s="105">
        <v>97124</v>
      </c>
      <c r="B112" s="104" t="s">
        <v>550</v>
      </c>
      <c r="C112" s="104" t="s">
        <v>40</v>
      </c>
      <c r="D112" s="129" t="s">
        <v>15526</v>
      </c>
    </row>
    <row r="113" spans="1:4">
      <c r="A113" s="105">
        <v>97125</v>
      </c>
      <c r="B113" s="104" t="s">
        <v>551</v>
      </c>
      <c r="C113" s="104" t="s">
        <v>40</v>
      </c>
      <c r="D113" s="129" t="s">
        <v>19491</v>
      </c>
    </row>
    <row r="114" spans="1:4">
      <c r="A114" s="105">
        <v>97126</v>
      </c>
      <c r="B114" s="104" t="s">
        <v>552</v>
      </c>
      <c r="C114" s="104" t="s">
        <v>40</v>
      </c>
      <c r="D114" s="129" t="s">
        <v>20136</v>
      </c>
    </row>
    <row r="115" spans="1:4">
      <c r="A115" s="105">
        <v>102264</v>
      </c>
      <c r="B115" s="104" t="s">
        <v>553</v>
      </c>
      <c r="C115" s="104" t="s">
        <v>40</v>
      </c>
      <c r="D115" s="129" t="s">
        <v>19626</v>
      </c>
    </row>
    <row r="116" spans="1:4">
      <c r="A116" s="105">
        <v>102265</v>
      </c>
      <c r="B116" s="104" t="s">
        <v>554</v>
      </c>
      <c r="C116" s="104" t="s">
        <v>183</v>
      </c>
      <c r="D116" s="129" t="s">
        <v>20575</v>
      </c>
    </row>
    <row r="117" spans="1:4">
      <c r="A117" s="105">
        <v>102266</v>
      </c>
      <c r="B117" s="104" t="s">
        <v>555</v>
      </c>
      <c r="C117" s="104" t="s">
        <v>183</v>
      </c>
      <c r="D117" s="129" t="s">
        <v>20576</v>
      </c>
    </row>
    <row r="118" spans="1:4">
      <c r="A118" s="105">
        <v>102267</v>
      </c>
      <c r="B118" s="104" t="s">
        <v>556</v>
      </c>
      <c r="C118" s="104" t="s">
        <v>183</v>
      </c>
      <c r="D118" s="129" t="s">
        <v>16465</v>
      </c>
    </row>
    <row r="119" spans="1:4">
      <c r="A119" s="105">
        <v>102268</v>
      </c>
      <c r="B119" s="104" t="s">
        <v>557</v>
      </c>
      <c r="C119" s="104" t="s">
        <v>183</v>
      </c>
      <c r="D119" s="129" t="s">
        <v>20577</v>
      </c>
    </row>
    <row r="120" spans="1:4">
      <c r="A120" s="105">
        <v>102269</v>
      </c>
      <c r="B120" s="104" t="s">
        <v>558</v>
      </c>
      <c r="C120" s="104" t="s">
        <v>183</v>
      </c>
      <c r="D120" s="129" t="s">
        <v>20578</v>
      </c>
    </row>
    <row r="121" spans="1:4">
      <c r="A121" s="105">
        <v>92833</v>
      </c>
      <c r="B121" s="104" t="s">
        <v>559</v>
      </c>
      <c r="C121" s="104" t="s">
        <v>40</v>
      </c>
      <c r="D121" s="129" t="s">
        <v>20579</v>
      </c>
    </row>
    <row r="122" spans="1:4">
      <c r="A122" s="105">
        <v>92834</v>
      </c>
      <c r="B122" s="104" t="s">
        <v>560</v>
      </c>
      <c r="C122" s="104" t="s">
        <v>40</v>
      </c>
      <c r="D122" s="129" t="s">
        <v>20327</v>
      </c>
    </row>
    <row r="123" spans="1:4">
      <c r="A123" s="105">
        <v>92835</v>
      </c>
      <c r="B123" s="104" t="s">
        <v>561</v>
      </c>
      <c r="C123" s="104" t="s">
        <v>40</v>
      </c>
      <c r="D123" s="129" t="s">
        <v>20580</v>
      </c>
    </row>
    <row r="124" spans="1:4">
      <c r="A124" s="105">
        <v>92836</v>
      </c>
      <c r="B124" s="104" t="s">
        <v>562</v>
      </c>
      <c r="C124" s="104" t="s">
        <v>40</v>
      </c>
      <c r="D124" s="129" t="s">
        <v>20581</v>
      </c>
    </row>
    <row r="125" spans="1:4">
      <c r="A125" s="105">
        <v>92837</v>
      </c>
      <c r="B125" s="104" t="s">
        <v>563</v>
      </c>
      <c r="C125" s="104" t="s">
        <v>40</v>
      </c>
      <c r="D125" s="129" t="s">
        <v>20582</v>
      </c>
    </row>
    <row r="126" spans="1:4">
      <c r="A126" s="105">
        <v>92838</v>
      </c>
      <c r="B126" s="104" t="s">
        <v>564</v>
      </c>
      <c r="C126" s="104" t="s">
        <v>40</v>
      </c>
      <c r="D126" s="129" t="s">
        <v>20583</v>
      </c>
    </row>
    <row r="127" spans="1:4">
      <c r="A127" s="105">
        <v>92839</v>
      </c>
      <c r="B127" s="104" t="s">
        <v>565</v>
      </c>
      <c r="C127" s="104" t="s">
        <v>40</v>
      </c>
      <c r="D127" s="129" t="s">
        <v>20584</v>
      </c>
    </row>
    <row r="128" spans="1:4">
      <c r="A128" s="105">
        <v>92840</v>
      </c>
      <c r="B128" s="104" t="s">
        <v>566</v>
      </c>
      <c r="C128" s="104" t="s">
        <v>40</v>
      </c>
      <c r="D128" s="129" t="s">
        <v>16957</v>
      </c>
    </row>
    <row r="129" spans="1:4">
      <c r="A129" s="105">
        <v>92841</v>
      </c>
      <c r="B129" s="104" t="s">
        <v>567</v>
      </c>
      <c r="C129" s="104" t="s">
        <v>40</v>
      </c>
      <c r="D129" s="129" t="s">
        <v>20585</v>
      </c>
    </row>
    <row r="130" spans="1:4">
      <c r="A130" s="105">
        <v>92842</v>
      </c>
      <c r="B130" s="104" t="s">
        <v>568</v>
      </c>
      <c r="C130" s="104" t="s">
        <v>40</v>
      </c>
      <c r="D130" s="129" t="s">
        <v>20586</v>
      </c>
    </row>
    <row r="131" spans="1:4">
      <c r="A131" s="105">
        <v>92843</v>
      </c>
      <c r="B131" s="104" t="s">
        <v>569</v>
      </c>
      <c r="C131" s="104" t="s">
        <v>40</v>
      </c>
      <c r="D131" s="129" t="s">
        <v>20587</v>
      </c>
    </row>
    <row r="132" spans="1:4">
      <c r="A132" s="105">
        <v>92844</v>
      </c>
      <c r="B132" s="104" t="s">
        <v>570</v>
      </c>
      <c r="C132" s="104" t="s">
        <v>40</v>
      </c>
      <c r="D132" s="129" t="s">
        <v>20588</v>
      </c>
    </row>
    <row r="133" spans="1:4">
      <c r="A133" s="105">
        <v>92845</v>
      </c>
      <c r="B133" s="104" t="s">
        <v>571</v>
      </c>
      <c r="C133" s="104" t="s">
        <v>40</v>
      </c>
      <c r="D133" s="129" t="s">
        <v>20589</v>
      </c>
    </row>
    <row r="134" spans="1:4">
      <c r="A134" s="105">
        <v>92846</v>
      </c>
      <c r="B134" s="104" t="s">
        <v>572</v>
      </c>
      <c r="C134" s="104" t="s">
        <v>40</v>
      </c>
      <c r="D134" s="129" t="s">
        <v>19617</v>
      </c>
    </row>
    <row r="135" spans="1:4">
      <c r="A135" s="105">
        <v>92847</v>
      </c>
      <c r="B135" s="104" t="s">
        <v>573</v>
      </c>
      <c r="C135" s="104" t="s">
        <v>40</v>
      </c>
      <c r="D135" s="129" t="s">
        <v>20590</v>
      </c>
    </row>
    <row r="136" spans="1:4">
      <c r="A136" s="105">
        <v>92848</v>
      </c>
      <c r="B136" s="104" t="s">
        <v>574</v>
      </c>
      <c r="C136" s="104" t="s">
        <v>40</v>
      </c>
      <c r="D136" s="129" t="s">
        <v>20591</v>
      </c>
    </row>
    <row r="137" spans="1:4">
      <c r="A137" s="105">
        <v>92849</v>
      </c>
      <c r="B137" s="104" t="s">
        <v>575</v>
      </c>
      <c r="C137" s="104" t="s">
        <v>40</v>
      </c>
      <c r="D137" s="129" t="s">
        <v>20592</v>
      </c>
    </row>
    <row r="138" spans="1:4">
      <c r="A138" s="105">
        <v>92850</v>
      </c>
      <c r="B138" s="104" t="s">
        <v>576</v>
      </c>
      <c r="C138" s="104" t="s">
        <v>40</v>
      </c>
      <c r="D138" s="129" t="s">
        <v>19235</v>
      </c>
    </row>
    <row r="139" spans="1:4">
      <c r="A139" s="105">
        <v>92851</v>
      </c>
      <c r="B139" s="104" t="s">
        <v>577</v>
      </c>
      <c r="C139" s="104" t="s">
        <v>40</v>
      </c>
      <c r="D139" s="129" t="s">
        <v>20593</v>
      </c>
    </row>
    <row r="140" spans="1:4">
      <c r="A140" s="105">
        <v>92852</v>
      </c>
      <c r="B140" s="104" t="s">
        <v>578</v>
      </c>
      <c r="C140" s="104" t="s">
        <v>40</v>
      </c>
      <c r="D140" s="129" t="s">
        <v>20594</v>
      </c>
    </row>
    <row r="141" spans="1:4">
      <c r="A141" s="105">
        <v>92853</v>
      </c>
      <c r="B141" s="104" t="s">
        <v>579</v>
      </c>
      <c r="C141" s="104" t="s">
        <v>40</v>
      </c>
      <c r="D141" s="129" t="s">
        <v>20595</v>
      </c>
    </row>
    <row r="142" spans="1:4">
      <c r="A142" s="105">
        <v>92854</v>
      </c>
      <c r="B142" s="104" t="s">
        <v>580</v>
      </c>
      <c r="C142" s="104" t="s">
        <v>40</v>
      </c>
      <c r="D142" s="129" t="s">
        <v>20596</v>
      </c>
    </row>
    <row r="143" spans="1:4">
      <c r="A143" s="105">
        <v>92855</v>
      </c>
      <c r="B143" s="104" t="s">
        <v>581</v>
      </c>
      <c r="C143" s="104" t="s">
        <v>40</v>
      </c>
      <c r="D143" s="129" t="s">
        <v>20597</v>
      </c>
    </row>
    <row r="144" spans="1:4">
      <c r="A144" s="105">
        <v>92856</v>
      </c>
      <c r="B144" s="104" t="s">
        <v>582</v>
      </c>
      <c r="C144" s="104" t="s">
        <v>40</v>
      </c>
      <c r="D144" s="129" t="s">
        <v>20598</v>
      </c>
    </row>
    <row r="145" spans="1:4">
      <c r="A145" s="105">
        <v>92857</v>
      </c>
      <c r="B145" s="104" t="s">
        <v>583</v>
      </c>
      <c r="C145" s="104" t="s">
        <v>40</v>
      </c>
      <c r="D145" s="129" t="s">
        <v>20599</v>
      </c>
    </row>
    <row r="146" spans="1:4">
      <c r="A146" s="105">
        <v>92858</v>
      </c>
      <c r="B146" s="104" t="s">
        <v>584</v>
      </c>
      <c r="C146" s="104" t="s">
        <v>40</v>
      </c>
      <c r="D146" s="129" t="s">
        <v>20600</v>
      </c>
    </row>
    <row r="147" spans="1:4">
      <c r="A147" s="105">
        <v>92859</v>
      </c>
      <c r="B147" s="104" t="s">
        <v>585</v>
      </c>
      <c r="C147" s="104" t="s">
        <v>40</v>
      </c>
      <c r="D147" s="129" t="s">
        <v>20601</v>
      </c>
    </row>
    <row r="148" spans="1:4">
      <c r="A148" s="105">
        <v>92860</v>
      </c>
      <c r="B148" s="104" t="s">
        <v>586</v>
      </c>
      <c r="C148" s="104" t="s">
        <v>40</v>
      </c>
      <c r="D148" s="129" t="s">
        <v>15743</v>
      </c>
    </row>
    <row r="149" spans="1:4">
      <c r="A149" s="105">
        <v>92861</v>
      </c>
      <c r="B149" s="104" t="s">
        <v>587</v>
      </c>
      <c r="C149" s="104" t="s">
        <v>40</v>
      </c>
      <c r="D149" s="129" t="s">
        <v>20602</v>
      </c>
    </row>
    <row r="150" spans="1:4">
      <c r="A150" s="105">
        <v>92862</v>
      </c>
      <c r="B150" s="104" t="s">
        <v>588</v>
      </c>
      <c r="C150" s="104" t="s">
        <v>40</v>
      </c>
      <c r="D150" s="129" t="s">
        <v>20603</v>
      </c>
    </row>
    <row r="151" spans="1:4">
      <c r="A151" s="105">
        <v>92863</v>
      </c>
      <c r="B151" s="104" t="s">
        <v>589</v>
      </c>
      <c r="C151" s="104" t="s">
        <v>40</v>
      </c>
      <c r="D151" s="129" t="s">
        <v>20604</v>
      </c>
    </row>
    <row r="152" spans="1:4">
      <c r="A152" s="105">
        <v>92864</v>
      </c>
      <c r="B152" s="104" t="s">
        <v>590</v>
      </c>
      <c r="C152" s="104" t="s">
        <v>40</v>
      </c>
      <c r="D152" s="129" t="s">
        <v>20605</v>
      </c>
    </row>
    <row r="153" spans="1:4">
      <c r="A153" s="105">
        <v>92210</v>
      </c>
      <c r="B153" s="104" t="s">
        <v>591</v>
      </c>
      <c r="C153" s="104" t="s">
        <v>40</v>
      </c>
      <c r="D153" s="129" t="s">
        <v>20606</v>
      </c>
    </row>
    <row r="154" spans="1:4">
      <c r="A154" s="105">
        <v>92211</v>
      </c>
      <c r="B154" s="104" t="s">
        <v>592</v>
      </c>
      <c r="C154" s="104" t="s">
        <v>40</v>
      </c>
      <c r="D154" s="129" t="s">
        <v>20607</v>
      </c>
    </row>
    <row r="155" spans="1:4">
      <c r="A155" s="105">
        <v>92212</v>
      </c>
      <c r="B155" s="104" t="s">
        <v>593</v>
      </c>
      <c r="C155" s="104" t="s">
        <v>40</v>
      </c>
      <c r="D155" s="129" t="s">
        <v>20608</v>
      </c>
    </row>
    <row r="156" spans="1:4">
      <c r="A156" s="105">
        <v>92213</v>
      </c>
      <c r="B156" s="104" t="s">
        <v>594</v>
      </c>
      <c r="C156" s="104" t="s">
        <v>40</v>
      </c>
      <c r="D156" s="129" t="s">
        <v>20609</v>
      </c>
    </row>
    <row r="157" spans="1:4">
      <c r="A157" s="105">
        <v>92214</v>
      </c>
      <c r="B157" s="104" t="s">
        <v>595</v>
      </c>
      <c r="C157" s="104" t="s">
        <v>40</v>
      </c>
      <c r="D157" s="129" t="s">
        <v>20610</v>
      </c>
    </row>
    <row r="158" spans="1:4">
      <c r="A158" s="105">
        <v>92215</v>
      </c>
      <c r="B158" s="104" t="s">
        <v>596</v>
      </c>
      <c r="C158" s="104" t="s">
        <v>40</v>
      </c>
      <c r="D158" s="129" t="s">
        <v>20611</v>
      </c>
    </row>
    <row r="159" spans="1:4">
      <c r="A159" s="105">
        <v>92216</v>
      </c>
      <c r="B159" s="104" t="s">
        <v>597</v>
      </c>
      <c r="C159" s="104" t="s">
        <v>40</v>
      </c>
      <c r="D159" s="129" t="s">
        <v>20612</v>
      </c>
    </row>
    <row r="160" spans="1:4">
      <c r="A160" s="105">
        <v>92219</v>
      </c>
      <c r="B160" s="104" t="s">
        <v>598</v>
      </c>
      <c r="C160" s="104" t="s">
        <v>40</v>
      </c>
      <c r="D160" s="129" t="s">
        <v>20613</v>
      </c>
    </row>
    <row r="161" spans="1:4">
      <c r="A161" s="105">
        <v>92220</v>
      </c>
      <c r="B161" s="104" t="s">
        <v>599</v>
      </c>
      <c r="C161" s="104" t="s">
        <v>40</v>
      </c>
      <c r="D161" s="129" t="s">
        <v>20614</v>
      </c>
    </row>
    <row r="162" spans="1:4">
      <c r="A162" s="105">
        <v>92221</v>
      </c>
      <c r="B162" s="104" t="s">
        <v>600</v>
      </c>
      <c r="C162" s="104" t="s">
        <v>40</v>
      </c>
      <c r="D162" s="129" t="s">
        <v>20615</v>
      </c>
    </row>
    <row r="163" spans="1:4">
      <c r="A163" s="105">
        <v>92222</v>
      </c>
      <c r="B163" s="104" t="s">
        <v>601</v>
      </c>
      <c r="C163" s="104" t="s">
        <v>40</v>
      </c>
      <c r="D163" s="129" t="s">
        <v>20616</v>
      </c>
    </row>
    <row r="164" spans="1:4">
      <c r="A164" s="105">
        <v>92223</v>
      </c>
      <c r="B164" s="104" t="s">
        <v>602</v>
      </c>
      <c r="C164" s="104" t="s">
        <v>40</v>
      </c>
      <c r="D164" s="129" t="s">
        <v>20617</v>
      </c>
    </row>
    <row r="165" spans="1:4">
      <c r="A165" s="105">
        <v>92224</v>
      </c>
      <c r="B165" s="104" t="s">
        <v>603</v>
      </c>
      <c r="C165" s="104" t="s">
        <v>40</v>
      </c>
      <c r="D165" s="129" t="s">
        <v>20618</v>
      </c>
    </row>
    <row r="166" spans="1:4">
      <c r="A166" s="105">
        <v>92226</v>
      </c>
      <c r="B166" s="104" t="s">
        <v>604</v>
      </c>
      <c r="C166" s="104" t="s">
        <v>40</v>
      </c>
      <c r="D166" s="129" t="s">
        <v>20619</v>
      </c>
    </row>
    <row r="167" spans="1:4">
      <c r="A167" s="105">
        <v>92808</v>
      </c>
      <c r="B167" s="104" t="s">
        <v>605</v>
      </c>
      <c r="C167" s="104" t="s">
        <v>40</v>
      </c>
      <c r="D167" s="129" t="s">
        <v>20620</v>
      </c>
    </row>
    <row r="168" spans="1:4">
      <c r="A168" s="105">
        <v>92809</v>
      </c>
      <c r="B168" s="104" t="s">
        <v>606</v>
      </c>
      <c r="C168" s="104" t="s">
        <v>40</v>
      </c>
      <c r="D168" s="129" t="s">
        <v>20621</v>
      </c>
    </row>
    <row r="169" spans="1:4">
      <c r="A169" s="105">
        <v>92810</v>
      </c>
      <c r="B169" s="104" t="s">
        <v>607</v>
      </c>
      <c r="C169" s="104" t="s">
        <v>40</v>
      </c>
      <c r="D169" s="129" t="s">
        <v>20622</v>
      </c>
    </row>
    <row r="170" spans="1:4">
      <c r="A170" s="105">
        <v>92811</v>
      </c>
      <c r="B170" s="104" t="s">
        <v>608</v>
      </c>
      <c r="C170" s="104" t="s">
        <v>40</v>
      </c>
      <c r="D170" s="129" t="s">
        <v>15054</v>
      </c>
    </row>
    <row r="171" spans="1:4">
      <c r="A171" s="105">
        <v>92812</v>
      </c>
      <c r="B171" s="104" t="s">
        <v>609</v>
      </c>
      <c r="C171" s="104" t="s">
        <v>40</v>
      </c>
      <c r="D171" s="129" t="s">
        <v>20623</v>
      </c>
    </row>
    <row r="172" spans="1:4">
      <c r="A172" s="105">
        <v>92813</v>
      </c>
      <c r="B172" s="104" t="s">
        <v>610</v>
      </c>
      <c r="C172" s="104" t="s">
        <v>40</v>
      </c>
      <c r="D172" s="129" t="s">
        <v>20624</v>
      </c>
    </row>
    <row r="173" spans="1:4">
      <c r="A173" s="105">
        <v>92814</v>
      </c>
      <c r="B173" s="104" t="s">
        <v>611</v>
      </c>
      <c r="C173" s="104" t="s">
        <v>40</v>
      </c>
      <c r="D173" s="129" t="s">
        <v>20625</v>
      </c>
    </row>
    <row r="174" spans="1:4">
      <c r="A174" s="105">
        <v>92815</v>
      </c>
      <c r="B174" s="104" t="s">
        <v>612</v>
      </c>
      <c r="C174" s="104" t="s">
        <v>40</v>
      </c>
      <c r="D174" s="129" t="s">
        <v>20626</v>
      </c>
    </row>
    <row r="175" spans="1:4">
      <c r="A175" s="105">
        <v>92816</v>
      </c>
      <c r="B175" s="104" t="s">
        <v>613</v>
      </c>
      <c r="C175" s="104" t="s">
        <v>40</v>
      </c>
      <c r="D175" s="129" t="s">
        <v>20627</v>
      </c>
    </row>
    <row r="176" spans="1:4">
      <c r="A176" s="105">
        <v>92817</v>
      </c>
      <c r="B176" s="104" t="s">
        <v>614</v>
      </c>
      <c r="C176" s="104" t="s">
        <v>40</v>
      </c>
      <c r="D176" s="129" t="s">
        <v>20628</v>
      </c>
    </row>
    <row r="177" spans="1:4">
      <c r="A177" s="105">
        <v>92818</v>
      </c>
      <c r="B177" s="104" t="s">
        <v>615</v>
      </c>
      <c r="C177" s="104" t="s">
        <v>40</v>
      </c>
      <c r="D177" s="129" t="s">
        <v>20629</v>
      </c>
    </row>
    <row r="178" spans="1:4">
      <c r="A178" s="105">
        <v>92819</v>
      </c>
      <c r="B178" s="104" t="s">
        <v>616</v>
      </c>
      <c r="C178" s="104" t="s">
        <v>40</v>
      </c>
      <c r="D178" s="129" t="s">
        <v>20630</v>
      </c>
    </row>
    <row r="179" spans="1:4">
      <c r="A179" s="105">
        <v>92820</v>
      </c>
      <c r="B179" s="104" t="s">
        <v>617</v>
      </c>
      <c r="C179" s="104" t="s">
        <v>40</v>
      </c>
      <c r="D179" s="129" t="s">
        <v>17442</v>
      </c>
    </row>
    <row r="180" spans="1:4">
      <c r="A180" s="105">
        <v>92821</v>
      </c>
      <c r="B180" s="104" t="s">
        <v>618</v>
      </c>
      <c r="C180" s="104" t="s">
        <v>40</v>
      </c>
      <c r="D180" s="129" t="s">
        <v>20631</v>
      </c>
    </row>
    <row r="181" spans="1:4">
      <c r="A181" s="105">
        <v>92822</v>
      </c>
      <c r="B181" s="104" t="s">
        <v>619</v>
      </c>
      <c r="C181" s="104" t="s">
        <v>40</v>
      </c>
      <c r="D181" s="129" t="s">
        <v>20632</v>
      </c>
    </row>
    <row r="182" spans="1:4">
      <c r="A182" s="105">
        <v>92824</v>
      </c>
      <c r="B182" s="104" t="s">
        <v>620</v>
      </c>
      <c r="C182" s="104" t="s">
        <v>40</v>
      </c>
      <c r="D182" s="129" t="s">
        <v>17356</v>
      </c>
    </row>
    <row r="183" spans="1:4">
      <c r="A183" s="105">
        <v>92825</v>
      </c>
      <c r="B183" s="104" t="s">
        <v>621</v>
      </c>
      <c r="C183" s="104" t="s">
        <v>40</v>
      </c>
      <c r="D183" s="129" t="s">
        <v>20633</v>
      </c>
    </row>
    <row r="184" spans="1:4">
      <c r="A184" s="105">
        <v>92826</v>
      </c>
      <c r="B184" s="104" t="s">
        <v>622</v>
      </c>
      <c r="C184" s="104" t="s">
        <v>40</v>
      </c>
      <c r="D184" s="129" t="s">
        <v>20634</v>
      </c>
    </row>
    <row r="185" spans="1:4">
      <c r="A185" s="105">
        <v>92827</v>
      </c>
      <c r="B185" s="104" t="s">
        <v>623</v>
      </c>
      <c r="C185" s="104" t="s">
        <v>40</v>
      </c>
      <c r="D185" s="129" t="s">
        <v>20635</v>
      </c>
    </row>
    <row r="186" spans="1:4">
      <c r="A186" s="105">
        <v>92828</v>
      </c>
      <c r="B186" s="104" t="s">
        <v>624</v>
      </c>
      <c r="C186" s="104" t="s">
        <v>40</v>
      </c>
      <c r="D186" s="129" t="s">
        <v>20636</v>
      </c>
    </row>
    <row r="187" spans="1:4">
      <c r="A187" s="105">
        <v>92829</v>
      </c>
      <c r="B187" s="104" t="s">
        <v>625</v>
      </c>
      <c r="C187" s="104" t="s">
        <v>40</v>
      </c>
      <c r="D187" s="129" t="s">
        <v>20637</v>
      </c>
    </row>
    <row r="188" spans="1:4">
      <c r="A188" s="105">
        <v>92830</v>
      </c>
      <c r="B188" s="104" t="s">
        <v>626</v>
      </c>
      <c r="C188" s="104" t="s">
        <v>40</v>
      </c>
      <c r="D188" s="129" t="s">
        <v>20638</v>
      </c>
    </row>
    <row r="189" spans="1:4">
      <c r="A189" s="105">
        <v>92831</v>
      </c>
      <c r="B189" s="104" t="s">
        <v>627</v>
      </c>
      <c r="C189" s="104" t="s">
        <v>40</v>
      </c>
      <c r="D189" s="129" t="s">
        <v>20639</v>
      </c>
    </row>
    <row r="190" spans="1:4">
      <c r="A190" s="105">
        <v>92832</v>
      </c>
      <c r="B190" s="104" t="s">
        <v>628</v>
      </c>
      <c r="C190" s="104" t="s">
        <v>40</v>
      </c>
      <c r="D190" s="129" t="s">
        <v>20640</v>
      </c>
    </row>
    <row r="191" spans="1:4">
      <c r="A191" s="105">
        <v>95565</v>
      </c>
      <c r="B191" s="104" t="s">
        <v>629</v>
      </c>
      <c r="C191" s="104" t="s">
        <v>40</v>
      </c>
      <c r="D191" s="129" t="s">
        <v>20641</v>
      </c>
    </row>
    <row r="192" spans="1:4">
      <c r="A192" s="105">
        <v>95566</v>
      </c>
      <c r="B192" s="104" t="s">
        <v>630</v>
      </c>
      <c r="C192" s="104" t="s">
        <v>40</v>
      </c>
      <c r="D192" s="129" t="s">
        <v>17895</v>
      </c>
    </row>
    <row r="193" spans="1:4">
      <c r="A193" s="105">
        <v>95567</v>
      </c>
      <c r="B193" s="104" t="s">
        <v>631</v>
      </c>
      <c r="C193" s="104" t="s">
        <v>40</v>
      </c>
      <c r="D193" s="129" t="s">
        <v>20642</v>
      </c>
    </row>
    <row r="194" spans="1:4">
      <c r="A194" s="105">
        <v>95568</v>
      </c>
      <c r="B194" s="104" t="s">
        <v>632</v>
      </c>
      <c r="C194" s="104" t="s">
        <v>40</v>
      </c>
      <c r="D194" s="129" t="s">
        <v>20643</v>
      </c>
    </row>
    <row r="195" spans="1:4">
      <c r="A195" s="105">
        <v>95569</v>
      </c>
      <c r="B195" s="104" t="s">
        <v>633</v>
      </c>
      <c r="C195" s="104" t="s">
        <v>40</v>
      </c>
      <c r="D195" s="129" t="s">
        <v>20644</v>
      </c>
    </row>
    <row r="196" spans="1:4">
      <c r="A196" s="105">
        <v>95570</v>
      </c>
      <c r="B196" s="104" t="s">
        <v>634</v>
      </c>
      <c r="C196" s="104" t="s">
        <v>40</v>
      </c>
      <c r="D196" s="129" t="s">
        <v>20645</v>
      </c>
    </row>
    <row r="197" spans="1:4">
      <c r="A197" s="105">
        <v>95571</v>
      </c>
      <c r="B197" s="104" t="s">
        <v>635</v>
      </c>
      <c r="C197" s="104" t="s">
        <v>40</v>
      </c>
      <c r="D197" s="129" t="s">
        <v>20646</v>
      </c>
    </row>
    <row r="198" spans="1:4">
      <c r="A198" s="105">
        <v>95572</v>
      </c>
      <c r="B198" s="104" t="s">
        <v>636</v>
      </c>
      <c r="C198" s="104" t="s">
        <v>40</v>
      </c>
      <c r="D198" s="129" t="s">
        <v>20647</v>
      </c>
    </row>
    <row r="199" spans="1:4">
      <c r="A199" s="105">
        <v>97127</v>
      </c>
      <c r="B199" s="104" t="s">
        <v>637</v>
      </c>
      <c r="C199" s="104" t="s">
        <v>40</v>
      </c>
      <c r="D199" s="129" t="s">
        <v>18055</v>
      </c>
    </row>
    <row r="200" spans="1:4">
      <c r="A200" s="105">
        <v>97128</v>
      </c>
      <c r="B200" s="104" t="s">
        <v>638</v>
      </c>
      <c r="C200" s="104" t="s">
        <v>40</v>
      </c>
      <c r="D200" s="129" t="s">
        <v>20648</v>
      </c>
    </row>
    <row r="201" spans="1:4">
      <c r="A201" s="105">
        <v>97129</v>
      </c>
      <c r="B201" s="104" t="s">
        <v>639</v>
      </c>
      <c r="C201" s="104" t="s">
        <v>40</v>
      </c>
      <c r="D201" s="129" t="s">
        <v>17727</v>
      </c>
    </row>
    <row r="202" spans="1:4">
      <c r="A202" s="105">
        <v>97130</v>
      </c>
      <c r="B202" s="104" t="s">
        <v>640</v>
      </c>
      <c r="C202" s="104" t="s">
        <v>40</v>
      </c>
      <c r="D202" s="129" t="s">
        <v>19123</v>
      </c>
    </row>
    <row r="203" spans="1:4">
      <c r="A203" s="105">
        <v>97131</v>
      </c>
      <c r="B203" s="104" t="s">
        <v>641</v>
      </c>
      <c r="C203" s="104" t="s">
        <v>40</v>
      </c>
      <c r="D203" s="129" t="s">
        <v>16937</v>
      </c>
    </row>
    <row r="204" spans="1:4">
      <c r="A204" s="105">
        <v>97132</v>
      </c>
      <c r="B204" s="104" t="s">
        <v>642</v>
      </c>
      <c r="C204" s="104" t="s">
        <v>40</v>
      </c>
      <c r="D204" s="129" t="s">
        <v>19292</v>
      </c>
    </row>
    <row r="205" spans="1:4">
      <c r="A205" s="105">
        <v>97133</v>
      </c>
      <c r="B205" s="104" t="s">
        <v>643</v>
      </c>
      <c r="C205" s="104" t="s">
        <v>40</v>
      </c>
      <c r="D205" s="129" t="s">
        <v>20649</v>
      </c>
    </row>
    <row r="206" spans="1:4">
      <c r="A206" s="105">
        <v>97134</v>
      </c>
      <c r="B206" s="104" t="s">
        <v>644</v>
      </c>
      <c r="C206" s="104" t="s">
        <v>40</v>
      </c>
      <c r="D206" s="129" t="s">
        <v>19577</v>
      </c>
    </row>
    <row r="207" spans="1:4">
      <c r="A207" s="105">
        <v>97135</v>
      </c>
      <c r="B207" s="104" t="s">
        <v>645</v>
      </c>
      <c r="C207" s="104" t="s">
        <v>40</v>
      </c>
      <c r="D207" s="129" t="s">
        <v>20650</v>
      </c>
    </row>
    <row r="208" spans="1:4">
      <c r="A208" s="105">
        <v>97136</v>
      </c>
      <c r="B208" s="104" t="s">
        <v>646</v>
      </c>
      <c r="C208" s="104" t="s">
        <v>40</v>
      </c>
      <c r="D208" s="129" t="s">
        <v>15688</v>
      </c>
    </row>
    <row r="209" spans="1:4">
      <c r="A209" s="105">
        <v>97137</v>
      </c>
      <c r="B209" s="104" t="s">
        <v>647</v>
      </c>
      <c r="C209" s="104" t="s">
        <v>40</v>
      </c>
      <c r="D209" s="129" t="s">
        <v>20651</v>
      </c>
    </row>
    <row r="210" spans="1:4">
      <c r="A210" s="105">
        <v>97138</v>
      </c>
      <c r="B210" s="104" t="s">
        <v>648</v>
      </c>
      <c r="C210" s="104" t="s">
        <v>40</v>
      </c>
      <c r="D210" s="129" t="s">
        <v>15511</v>
      </c>
    </row>
    <row r="211" spans="1:4">
      <c r="A211" s="105">
        <v>97139</v>
      </c>
      <c r="B211" s="104" t="s">
        <v>649</v>
      </c>
      <c r="C211" s="104" t="s">
        <v>40</v>
      </c>
      <c r="D211" s="129" t="s">
        <v>17174</v>
      </c>
    </row>
    <row r="212" spans="1:4">
      <c r="A212" s="105">
        <v>97140</v>
      </c>
      <c r="B212" s="104" t="s">
        <v>650</v>
      </c>
      <c r="C212" s="104" t="s">
        <v>40</v>
      </c>
      <c r="D212" s="129" t="s">
        <v>19200</v>
      </c>
    </row>
    <row r="213" spans="1:4">
      <c r="A213" s="105">
        <v>103089</v>
      </c>
      <c r="B213" s="104" t="s">
        <v>12749</v>
      </c>
      <c r="C213" s="104" t="s">
        <v>40</v>
      </c>
      <c r="D213" s="129" t="s">
        <v>20652</v>
      </c>
    </row>
    <row r="214" spans="1:4">
      <c r="A214" s="105">
        <v>103090</v>
      </c>
      <c r="B214" s="104" t="s">
        <v>12750</v>
      </c>
      <c r="C214" s="104" t="s">
        <v>40</v>
      </c>
      <c r="D214" s="129" t="s">
        <v>20653</v>
      </c>
    </row>
    <row r="215" spans="1:4">
      <c r="A215" s="105">
        <v>103091</v>
      </c>
      <c r="B215" s="104" t="s">
        <v>12751</v>
      </c>
      <c r="C215" s="104" t="s">
        <v>40</v>
      </c>
      <c r="D215" s="129" t="s">
        <v>19580</v>
      </c>
    </row>
    <row r="216" spans="1:4">
      <c r="A216" s="105">
        <v>103092</v>
      </c>
      <c r="B216" s="104" t="s">
        <v>12752</v>
      </c>
      <c r="C216" s="104" t="s">
        <v>40</v>
      </c>
      <c r="D216" s="129" t="s">
        <v>15435</v>
      </c>
    </row>
    <row r="217" spans="1:4">
      <c r="A217" s="105">
        <v>103093</v>
      </c>
      <c r="B217" s="104" t="s">
        <v>12753</v>
      </c>
      <c r="C217" s="104" t="s">
        <v>40</v>
      </c>
      <c r="D217" s="129" t="s">
        <v>18647</v>
      </c>
    </row>
    <row r="218" spans="1:4">
      <c r="A218" s="105">
        <v>103094</v>
      </c>
      <c r="B218" s="104" t="s">
        <v>12754</v>
      </c>
      <c r="C218" s="104" t="s">
        <v>40</v>
      </c>
      <c r="D218" s="129" t="s">
        <v>20654</v>
      </c>
    </row>
    <row r="219" spans="1:4">
      <c r="A219" s="105">
        <v>103095</v>
      </c>
      <c r="B219" s="104" t="s">
        <v>12755</v>
      </c>
      <c r="C219" s="104" t="s">
        <v>40</v>
      </c>
      <c r="D219" s="129" t="s">
        <v>16410</v>
      </c>
    </row>
    <row r="220" spans="1:4">
      <c r="A220" s="105">
        <v>103096</v>
      </c>
      <c r="B220" s="104" t="s">
        <v>12756</v>
      </c>
      <c r="C220" s="104" t="s">
        <v>40</v>
      </c>
      <c r="D220" s="129" t="s">
        <v>20655</v>
      </c>
    </row>
    <row r="221" spans="1:4">
      <c r="A221" s="105">
        <v>103097</v>
      </c>
      <c r="B221" s="104" t="s">
        <v>12757</v>
      </c>
      <c r="C221" s="104" t="s">
        <v>40</v>
      </c>
      <c r="D221" s="129" t="s">
        <v>20656</v>
      </c>
    </row>
    <row r="222" spans="1:4">
      <c r="A222" s="105">
        <v>103098</v>
      </c>
      <c r="B222" s="104" t="s">
        <v>12758</v>
      </c>
      <c r="C222" s="104" t="s">
        <v>40</v>
      </c>
      <c r="D222" s="129" t="s">
        <v>20657</v>
      </c>
    </row>
    <row r="223" spans="1:4">
      <c r="A223" s="105">
        <v>103099</v>
      </c>
      <c r="B223" s="104" t="s">
        <v>12759</v>
      </c>
      <c r="C223" s="104" t="s">
        <v>40</v>
      </c>
      <c r="D223" s="129" t="s">
        <v>20658</v>
      </c>
    </row>
    <row r="224" spans="1:4">
      <c r="A224" s="105">
        <v>103100</v>
      </c>
      <c r="B224" s="104" t="s">
        <v>12760</v>
      </c>
      <c r="C224" s="104" t="s">
        <v>40</v>
      </c>
      <c r="D224" s="129" t="s">
        <v>20659</v>
      </c>
    </row>
    <row r="225" spans="1:4">
      <c r="A225" s="105">
        <v>103101</v>
      </c>
      <c r="B225" s="104" t="s">
        <v>12761</v>
      </c>
      <c r="C225" s="104" t="s">
        <v>40</v>
      </c>
      <c r="D225" s="129" t="s">
        <v>20660</v>
      </c>
    </row>
    <row r="226" spans="1:4">
      <c r="A226" s="105">
        <v>103102</v>
      </c>
      <c r="B226" s="104" t="s">
        <v>12762</v>
      </c>
      <c r="C226" s="104" t="s">
        <v>40</v>
      </c>
      <c r="D226" s="129" t="s">
        <v>20661</v>
      </c>
    </row>
    <row r="227" spans="1:4">
      <c r="A227" s="105">
        <v>103103</v>
      </c>
      <c r="B227" s="104" t="s">
        <v>12763</v>
      </c>
      <c r="C227" s="104" t="s">
        <v>40</v>
      </c>
      <c r="D227" s="129" t="s">
        <v>20662</v>
      </c>
    </row>
    <row r="228" spans="1:4">
      <c r="A228" s="105">
        <v>103104</v>
      </c>
      <c r="B228" s="104" t="s">
        <v>12764</v>
      </c>
      <c r="C228" s="104" t="s">
        <v>40</v>
      </c>
      <c r="D228" s="129" t="s">
        <v>20663</v>
      </c>
    </row>
    <row r="229" spans="1:4">
      <c r="A229" s="105">
        <v>103105</v>
      </c>
      <c r="B229" s="104" t="s">
        <v>12765</v>
      </c>
      <c r="C229" s="104" t="s">
        <v>183</v>
      </c>
      <c r="D229" s="129" t="s">
        <v>19624</v>
      </c>
    </row>
    <row r="230" spans="1:4">
      <c r="A230" s="105">
        <v>103106</v>
      </c>
      <c r="B230" s="104" t="s">
        <v>12766</v>
      </c>
      <c r="C230" s="104" t="s">
        <v>183</v>
      </c>
      <c r="D230" s="129" t="s">
        <v>18695</v>
      </c>
    </row>
    <row r="231" spans="1:4">
      <c r="A231" s="105">
        <v>103107</v>
      </c>
      <c r="B231" s="104" t="s">
        <v>12767</v>
      </c>
      <c r="C231" s="104" t="s">
        <v>183</v>
      </c>
      <c r="D231" s="129" t="s">
        <v>15416</v>
      </c>
    </row>
    <row r="232" spans="1:4">
      <c r="A232" s="105">
        <v>103108</v>
      </c>
      <c r="B232" s="104" t="s">
        <v>12768</v>
      </c>
      <c r="C232" s="104" t="s">
        <v>183</v>
      </c>
      <c r="D232" s="129" t="s">
        <v>20664</v>
      </c>
    </row>
    <row r="233" spans="1:4">
      <c r="A233" s="105">
        <v>103109</v>
      </c>
      <c r="B233" s="104" t="s">
        <v>12769</v>
      </c>
      <c r="C233" s="104" t="s">
        <v>183</v>
      </c>
      <c r="D233" s="129" t="s">
        <v>20665</v>
      </c>
    </row>
    <row r="234" spans="1:4">
      <c r="A234" s="105">
        <v>103110</v>
      </c>
      <c r="B234" s="104" t="s">
        <v>12770</v>
      </c>
      <c r="C234" s="104" t="s">
        <v>183</v>
      </c>
      <c r="D234" s="129" t="s">
        <v>20666</v>
      </c>
    </row>
    <row r="235" spans="1:4">
      <c r="A235" s="105">
        <v>103111</v>
      </c>
      <c r="B235" s="104" t="s">
        <v>12771</v>
      </c>
      <c r="C235" s="104" t="s">
        <v>183</v>
      </c>
      <c r="D235" s="129" t="s">
        <v>20667</v>
      </c>
    </row>
    <row r="236" spans="1:4">
      <c r="A236" s="105">
        <v>103112</v>
      </c>
      <c r="B236" s="104" t="s">
        <v>12772</v>
      </c>
      <c r="C236" s="104" t="s">
        <v>183</v>
      </c>
      <c r="D236" s="129" t="s">
        <v>20668</v>
      </c>
    </row>
    <row r="237" spans="1:4">
      <c r="A237" s="105">
        <v>103113</v>
      </c>
      <c r="B237" s="104" t="s">
        <v>12773</v>
      </c>
      <c r="C237" s="104" t="s">
        <v>183</v>
      </c>
      <c r="D237" s="129" t="s">
        <v>20669</v>
      </c>
    </row>
    <row r="238" spans="1:4">
      <c r="A238" s="105">
        <v>103114</v>
      </c>
      <c r="B238" s="104" t="s">
        <v>12774</v>
      </c>
      <c r="C238" s="104" t="s">
        <v>183</v>
      </c>
      <c r="D238" s="129" t="s">
        <v>20670</v>
      </c>
    </row>
    <row r="239" spans="1:4">
      <c r="A239" s="105">
        <v>103115</v>
      </c>
      <c r="B239" s="104" t="s">
        <v>12775</v>
      </c>
      <c r="C239" s="104" t="s">
        <v>183</v>
      </c>
      <c r="D239" s="129" t="s">
        <v>20671</v>
      </c>
    </row>
    <row r="240" spans="1:4">
      <c r="A240" s="105">
        <v>103116</v>
      </c>
      <c r="B240" s="104" t="s">
        <v>12776</v>
      </c>
      <c r="C240" s="104" t="s">
        <v>183</v>
      </c>
      <c r="D240" s="129" t="s">
        <v>20672</v>
      </c>
    </row>
    <row r="241" spans="1:4">
      <c r="A241" s="105">
        <v>103117</v>
      </c>
      <c r="B241" s="104" t="s">
        <v>12777</v>
      </c>
      <c r="C241" s="104" t="s">
        <v>183</v>
      </c>
      <c r="D241" s="129" t="s">
        <v>20673</v>
      </c>
    </row>
    <row r="242" spans="1:4">
      <c r="A242" s="105">
        <v>103118</v>
      </c>
      <c r="B242" s="104" t="s">
        <v>12778</v>
      </c>
      <c r="C242" s="104" t="s">
        <v>183</v>
      </c>
      <c r="D242" s="129" t="s">
        <v>20674</v>
      </c>
    </row>
    <row r="243" spans="1:4">
      <c r="A243" s="105">
        <v>103119</v>
      </c>
      <c r="B243" s="104" t="s">
        <v>12779</v>
      </c>
      <c r="C243" s="104" t="s">
        <v>183</v>
      </c>
      <c r="D243" s="129" t="s">
        <v>20675</v>
      </c>
    </row>
    <row r="244" spans="1:4">
      <c r="A244" s="105">
        <v>103120</v>
      </c>
      <c r="B244" s="104" t="s">
        <v>12780</v>
      </c>
      <c r="C244" s="104" t="s">
        <v>183</v>
      </c>
      <c r="D244" s="129" t="s">
        <v>20676</v>
      </c>
    </row>
    <row r="245" spans="1:4">
      <c r="A245" s="105">
        <v>103121</v>
      </c>
      <c r="B245" s="104" t="s">
        <v>12781</v>
      </c>
      <c r="C245" s="104" t="s">
        <v>183</v>
      </c>
      <c r="D245" s="129" t="s">
        <v>15033</v>
      </c>
    </row>
    <row r="246" spans="1:4">
      <c r="A246" s="105">
        <v>103122</v>
      </c>
      <c r="B246" s="104" t="s">
        <v>12782</v>
      </c>
      <c r="C246" s="104" t="s">
        <v>183</v>
      </c>
      <c r="D246" s="129" t="s">
        <v>15595</v>
      </c>
    </row>
    <row r="247" spans="1:4">
      <c r="A247" s="105">
        <v>103123</v>
      </c>
      <c r="B247" s="104" t="s">
        <v>12783</v>
      </c>
      <c r="C247" s="104" t="s">
        <v>183</v>
      </c>
      <c r="D247" s="129" t="s">
        <v>20677</v>
      </c>
    </row>
    <row r="248" spans="1:4">
      <c r="A248" s="105">
        <v>103124</v>
      </c>
      <c r="B248" s="104" t="s">
        <v>12784</v>
      </c>
      <c r="C248" s="104" t="s">
        <v>183</v>
      </c>
      <c r="D248" s="129" t="s">
        <v>14997</v>
      </c>
    </row>
    <row r="249" spans="1:4">
      <c r="A249" s="105">
        <v>103125</v>
      </c>
      <c r="B249" s="104" t="s">
        <v>12785</v>
      </c>
      <c r="C249" s="104" t="s">
        <v>183</v>
      </c>
      <c r="D249" s="129" t="s">
        <v>20678</v>
      </c>
    </row>
    <row r="250" spans="1:4">
      <c r="A250" s="105">
        <v>103126</v>
      </c>
      <c r="B250" s="104" t="s">
        <v>12786</v>
      </c>
      <c r="C250" s="104" t="s">
        <v>183</v>
      </c>
      <c r="D250" s="129" t="s">
        <v>20593</v>
      </c>
    </row>
    <row r="251" spans="1:4">
      <c r="A251" s="105">
        <v>103127</v>
      </c>
      <c r="B251" s="104" t="s">
        <v>12787</v>
      </c>
      <c r="C251" s="104" t="s">
        <v>183</v>
      </c>
      <c r="D251" s="129" t="s">
        <v>20679</v>
      </c>
    </row>
    <row r="252" spans="1:4">
      <c r="A252" s="105">
        <v>103128</v>
      </c>
      <c r="B252" s="104" t="s">
        <v>12788</v>
      </c>
      <c r="C252" s="104" t="s">
        <v>183</v>
      </c>
      <c r="D252" s="129" t="s">
        <v>20680</v>
      </c>
    </row>
    <row r="253" spans="1:4">
      <c r="A253" s="105">
        <v>103129</v>
      </c>
      <c r="B253" s="104" t="s">
        <v>12789</v>
      </c>
      <c r="C253" s="104" t="s">
        <v>183</v>
      </c>
      <c r="D253" s="129" t="s">
        <v>20681</v>
      </c>
    </row>
    <row r="254" spans="1:4">
      <c r="A254" s="105">
        <v>103130</v>
      </c>
      <c r="B254" s="104" t="s">
        <v>12790</v>
      </c>
      <c r="C254" s="104" t="s">
        <v>183</v>
      </c>
      <c r="D254" s="129" t="s">
        <v>20682</v>
      </c>
    </row>
    <row r="255" spans="1:4">
      <c r="A255" s="105">
        <v>103131</v>
      </c>
      <c r="B255" s="104" t="s">
        <v>12791</v>
      </c>
      <c r="C255" s="104" t="s">
        <v>183</v>
      </c>
      <c r="D255" s="129" t="s">
        <v>20683</v>
      </c>
    </row>
    <row r="256" spans="1:4">
      <c r="A256" s="105">
        <v>103132</v>
      </c>
      <c r="B256" s="104" t="s">
        <v>12792</v>
      </c>
      <c r="C256" s="104" t="s">
        <v>183</v>
      </c>
      <c r="D256" s="129" t="s">
        <v>20684</v>
      </c>
    </row>
    <row r="257" spans="1:4">
      <c r="A257" s="105">
        <v>103133</v>
      </c>
      <c r="B257" s="104" t="s">
        <v>12793</v>
      </c>
      <c r="C257" s="104" t="s">
        <v>183</v>
      </c>
      <c r="D257" s="129" t="s">
        <v>20685</v>
      </c>
    </row>
    <row r="258" spans="1:4">
      <c r="A258" s="105">
        <v>103134</v>
      </c>
      <c r="B258" s="104" t="s">
        <v>12794</v>
      </c>
      <c r="C258" s="104" t="s">
        <v>183</v>
      </c>
      <c r="D258" s="129" t="s">
        <v>20686</v>
      </c>
    </row>
    <row r="259" spans="1:4">
      <c r="A259" s="105">
        <v>103135</v>
      </c>
      <c r="B259" s="104" t="s">
        <v>12795</v>
      </c>
      <c r="C259" s="104" t="s">
        <v>183</v>
      </c>
      <c r="D259" s="129" t="s">
        <v>20687</v>
      </c>
    </row>
    <row r="260" spans="1:4">
      <c r="A260" s="105">
        <v>103136</v>
      </c>
      <c r="B260" s="104" t="s">
        <v>12796</v>
      </c>
      <c r="C260" s="104" t="s">
        <v>183</v>
      </c>
      <c r="D260" s="129" t="s">
        <v>20688</v>
      </c>
    </row>
    <row r="261" spans="1:4">
      <c r="A261" s="105">
        <v>103137</v>
      </c>
      <c r="B261" s="104" t="s">
        <v>12797</v>
      </c>
      <c r="C261" s="104" t="s">
        <v>183</v>
      </c>
      <c r="D261" s="129" t="s">
        <v>18245</v>
      </c>
    </row>
    <row r="262" spans="1:4">
      <c r="A262" s="105">
        <v>103138</v>
      </c>
      <c r="B262" s="104" t="s">
        <v>12798</v>
      </c>
      <c r="C262" s="104" t="s">
        <v>183</v>
      </c>
      <c r="D262" s="129" t="s">
        <v>19484</v>
      </c>
    </row>
    <row r="263" spans="1:4">
      <c r="A263" s="105">
        <v>103139</v>
      </c>
      <c r="B263" s="104" t="s">
        <v>12799</v>
      </c>
      <c r="C263" s="104" t="s">
        <v>183</v>
      </c>
      <c r="D263" s="129" t="s">
        <v>15877</v>
      </c>
    </row>
    <row r="264" spans="1:4">
      <c r="A264" s="105">
        <v>103140</v>
      </c>
      <c r="B264" s="104" t="s">
        <v>12800</v>
      </c>
      <c r="C264" s="104" t="s">
        <v>183</v>
      </c>
      <c r="D264" s="129" t="s">
        <v>20689</v>
      </c>
    </row>
    <row r="265" spans="1:4">
      <c r="A265" s="105">
        <v>103141</v>
      </c>
      <c r="B265" s="104" t="s">
        <v>12801</v>
      </c>
      <c r="C265" s="104" t="s">
        <v>183</v>
      </c>
      <c r="D265" s="129" t="s">
        <v>20690</v>
      </c>
    </row>
    <row r="266" spans="1:4">
      <c r="A266" s="105">
        <v>103142</v>
      </c>
      <c r="B266" s="104" t="s">
        <v>12802</v>
      </c>
      <c r="C266" s="104" t="s">
        <v>183</v>
      </c>
      <c r="D266" s="129" t="s">
        <v>20691</v>
      </c>
    </row>
    <row r="267" spans="1:4">
      <c r="A267" s="105">
        <v>103143</v>
      </c>
      <c r="B267" s="104" t="s">
        <v>12803</v>
      </c>
      <c r="C267" s="104" t="s">
        <v>183</v>
      </c>
      <c r="D267" s="129" t="s">
        <v>17877</v>
      </c>
    </row>
    <row r="268" spans="1:4">
      <c r="A268" s="105">
        <v>103144</v>
      </c>
      <c r="B268" s="104" t="s">
        <v>12804</v>
      </c>
      <c r="C268" s="104" t="s">
        <v>183</v>
      </c>
      <c r="D268" s="129" t="s">
        <v>20692</v>
      </c>
    </row>
    <row r="269" spans="1:4">
      <c r="A269" s="105">
        <v>103145</v>
      </c>
      <c r="B269" s="104" t="s">
        <v>12805</v>
      </c>
      <c r="C269" s="104" t="s">
        <v>183</v>
      </c>
      <c r="D269" s="129" t="s">
        <v>20693</v>
      </c>
    </row>
    <row r="270" spans="1:4">
      <c r="A270" s="105">
        <v>103146</v>
      </c>
      <c r="B270" s="104" t="s">
        <v>12806</v>
      </c>
      <c r="C270" s="104" t="s">
        <v>183</v>
      </c>
      <c r="D270" s="129" t="s">
        <v>20694</v>
      </c>
    </row>
    <row r="271" spans="1:4">
      <c r="A271" s="105">
        <v>103147</v>
      </c>
      <c r="B271" s="104" t="s">
        <v>12807</v>
      </c>
      <c r="C271" s="104" t="s">
        <v>183</v>
      </c>
      <c r="D271" s="129" t="s">
        <v>20695</v>
      </c>
    </row>
    <row r="272" spans="1:4">
      <c r="A272" s="105">
        <v>103148</v>
      </c>
      <c r="B272" s="104" t="s">
        <v>12808</v>
      </c>
      <c r="C272" s="104" t="s">
        <v>183</v>
      </c>
      <c r="D272" s="129" t="s">
        <v>20696</v>
      </c>
    </row>
    <row r="273" spans="1:4">
      <c r="A273" s="105">
        <v>103149</v>
      </c>
      <c r="B273" s="104" t="s">
        <v>12809</v>
      </c>
      <c r="C273" s="104" t="s">
        <v>183</v>
      </c>
      <c r="D273" s="129" t="s">
        <v>20697</v>
      </c>
    </row>
    <row r="274" spans="1:4">
      <c r="A274" s="105">
        <v>103150</v>
      </c>
      <c r="B274" s="104" t="s">
        <v>12810</v>
      </c>
      <c r="C274" s="104" t="s">
        <v>183</v>
      </c>
      <c r="D274" s="129" t="s">
        <v>20698</v>
      </c>
    </row>
    <row r="275" spans="1:4">
      <c r="A275" s="105">
        <v>103151</v>
      </c>
      <c r="B275" s="104" t="s">
        <v>12811</v>
      </c>
      <c r="C275" s="104" t="s">
        <v>183</v>
      </c>
      <c r="D275" s="129" t="s">
        <v>20699</v>
      </c>
    </row>
    <row r="276" spans="1:4">
      <c r="A276" s="105">
        <v>103152</v>
      </c>
      <c r="B276" s="104" t="s">
        <v>12812</v>
      </c>
      <c r="C276" s="104" t="s">
        <v>183</v>
      </c>
      <c r="D276" s="129" t="s">
        <v>20700</v>
      </c>
    </row>
    <row r="277" spans="1:4">
      <c r="A277" s="105">
        <v>103372</v>
      </c>
      <c r="B277" s="104" t="s">
        <v>13590</v>
      </c>
      <c r="C277" s="104" t="s">
        <v>40</v>
      </c>
      <c r="D277" s="129" t="s">
        <v>20366</v>
      </c>
    </row>
    <row r="278" spans="1:4">
      <c r="A278" s="105">
        <v>103373</v>
      </c>
      <c r="B278" s="104" t="s">
        <v>13591</v>
      </c>
      <c r="C278" s="104" t="s">
        <v>40</v>
      </c>
      <c r="D278" s="129" t="s">
        <v>20701</v>
      </c>
    </row>
    <row r="279" spans="1:4">
      <c r="A279" s="105">
        <v>103376</v>
      </c>
      <c r="B279" s="104" t="s">
        <v>13592</v>
      </c>
      <c r="C279" s="104" t="s">
        <v>40</v>
      </c>
      <c r="D279" s="129" t="s">
        <v>20702</v>
      </c>
    </row>
    <row r="280" spans="1:4">
      <c r="A280" s="105">
        <v>103377</v>
      </c>
      <c r="B280" s="104" t="s">
        <v>13593</v>
      </c>
      <c r="C280" s="104" t="s">
        <v>40</v>
      </c>
      <c r="D280" s="129" t="s">
        <v>20703</v>
      </c>
    </row>
    <row r="281" spans="1:4">
      <c r="A281" s="105">
        <v>103379</v>
      </c>
      <c r="B281" s="104" t="s">
        <v>13594</v>
      </c>
      <c r="C281" s="104" t="s">
        <v>40</v>
      </c>
      <c r="D281" s="129" t="s">
        <v>20704</v>
      </c>
    </row>
    <row r="282" spans="1:4">
      <c r="A282" s="105">
        <v>103383</v>
      </c>
      <c r="B282" s="104" t="s">
        <v>13595</v>
      </c>
      <c r="C282" s="104" t="s">
        <v>40</v>
      </c>
      <c r="D282" s="129" t="s">
        <v>20705</v>
      </c>
    </row>
    <row r="283" spans="1:4">
      <c r="A283" s="105">
        <v>103385</v>
      </c>
      <c r="B283" s="104" t="s">
        <v>13596</v>
      </c>
      <c r="C283" s="104" t="s">
        <v>40</v>
      </c>
      <c r="D283" s="129" t="s">
        <v>20706</v>
      </c>
    </row>
    <row r="284" spans="1:4">
      <c r="A284" s="105">
        <v>103387</v>
      </c>
      <c r="B284" s="104" t="s">
        <v>13597</v>
      </c>
      <c r="C284" s="104" t="s">
        <v>40</v>
      </c>
      <c r="D284" s="129" t="s">
        <v>20707</v>
      </c>
    </row>
    <row r="285" spans="1:4">
      <c r="A285" s="105">
        <v>103389</v>
      </c>
      <c r="B285" s="104" t="s">
        <v>13598</v>
      </c>
      <c r="C285" s="104" t="s">
        <v>40</v>
      </c>
      <c r="D285" s="129" t="s">
        <v>20708</v>
      </c>
    </row>
    <row r="286" spans="1:4">
      <c r="A286" s="105">
        <v>103391</v>
      </c>
      <c r="B286" s="104" t="s">
        <v>13599</v>
      </c>
      <c r="C286" s="104" t="s">
        <v>40</v>
      </c>
      <c r="D286" s="129" t="s">
        <v>20709</v>
      </c>
    </row>
    <row r="287" spans="1:4">
      <c r="A287" s="105">
        <v>103392</v>
      </c>
      <c r="B287" s="104" t="s">
        <v>13600</v>
      </c>
      <c r="C287" s="104" t="s">
        <v>40</v>
      </c>
      <c r="D287" s="129" t="s">
        <v>20710</v>
      </c>
    </row>
    <row r="288" spans="1:4">
      <c r="A288" s="105">
        <v>103393</v>
      </c>
      <c r="B288" s="104" t="s">
        <v>13601</v>
      </c>
      <c r="C288" s="104" t="s">
        <v>40</v>
      </c>
      <c r="D288" s="129" t="s">
        <v>20711</v>
      </c>
    </row>
    <row r="289" spans="1:4">
      <c r="A289" s="105">
        <v>103394</v>
      </c>
      <c r="B289" s="104" t="s">
        <v>13602</v>
      </c>
      <c r="C289" s="104" t="s">
        <v>40</v>
      </c>
      <c r="D289" s="129" t="s">
        <v>20712</v>
      </c>
    </row>
    <row r="290" spans="1:4">
      <c r="A290" s="105">
        <v>103395</v>
      </c>
      <c r="B290" s="104" t="s">
        <v>13603</v>
      </c>
      <c r="C290" s="104" t="s">
        <v>40</v>
      </c>
      <c r="D290" s="129" t="s">
        <v>20713</v>
      </c>
    </row>
    <row r="291" spans="1:4">
      <c r="A291" s="105">
        <v>103396</v>
      </c>
      <c r="B291" s="104" t="s">
        <v>13604</v>
      </c>
      <c r="C291" s="104" t="s">
        <v>40</v>
      </c>
      <c r="D291" s="129" t="s">
        <v>20714</v>
      </c>
    </row>
    <row r="292" spans="1:4">
      <c r="A292" s="105">
        <v>103397</v>
      </c>
      <c r="B292" s="104" t="s">
        <v>13605</v>
      </c>
      <c r="C292" s="104" t="s">
        <v>183</v>
      </c>
      <c r="D292" s="129" t="s">
        <v>20715</v>
      </c>
    </row>
    <row r="293" spans="1:4">
      <c r="A293" s="105">
        <v>103398</v>
      </c>
      <c r="B293" s="104" t="s">
        <v>13606</v>
      </c>
      <c r="C293" s="104" t="s">
        <v>183</v>
      </c>
      <c r="D293" s="129" t="s">
        <v>15478</v>
      </c>
    </row>
    <row r="294" spans="1:4">
      <c r="A294" s="105">
        <v>103399</v>
      </c>
      <c r="B294" s="104" t="s">
        <v>13607</v>
      </c>
      <c r="C294" s="104" t="s">
        <v>183</v>
      </c>
      <c r="D294" s="129" t="s">
        <v>18036</v>
      </c>
    </row>
    <row r="295" spans="1:4">
      <c r="A295" s="105">
        <v>103400</v>
      </c>
      <c r="B295" s="104" t="s">
        <v>13608</v>
      </c>
      <c r="C295" s="104" t="s">
        <v>183</v>
      </c>
      <c r="D295" s="129" t="s">
        <v>17237</v>
      </c>
    </row>
    <row r="296" spans="1:4">
      <c r="A296" s="105">
        <v>103401</v>
      </c>
      <c r="B296" s="104" t="s">
        <v>13609</v>
      </c>
      <c r="C296" s="104" t="s">
        <v>183</v>
      </c>
      <c r="D296" s="129" t="s">
        <v>20716</v>
      </c>
    </row>
    <row r="297" spans="1:4">
      <c r="A297" s="105">
        <v>103402</v>
      </c>
      <c r="B297" s="104" t="s">
        <v>13610</v>
      </c>
      <c r="C297" s="104" t="s">
        <v>183</v>
      </c>
      <c r="D297" s="129" t="s">
        <v>18154</v>
      </c>
    </row>
    <row r="298" spans="1:4">
      <c r="A298" s="105">
        <v>103403</v>
      </c>
      <c r="B298" s="104" t="s">
        <v>13611</v>
      </c>
      <c r="C298" s="104" t="s">
        <v>183</v>
      </c>
      <c r="D298" s="129" t="s">
        <v>20717</v>
      </c>
    </row>
    <row r="299" spans="1:4">
      <c r="A299" s="105">
        <v>103404</v>
      </c>
      <c r="B299" s="104" t="s">
        <v>13612</v>
      </c>
      <c r="C299" s="104" t="s">
        <v>183</v>
      </c>
      <c r="D299" s="129" t="s">
        <v>20718</v>
      </c>
    </row>
    <row r="300" spans="1:4">
      <c r="A300" s="105">
        <v>103405</v>
      </c>
      <c r="B300" s="104" t="s">
        <v>13613</v>
      </c>
      <c r="C300" s="104" t="s">
        <v>183</v>
      </c>
      <c r="D300" s="129" t="s">
        <v>19797</v>
      </c>
    </row>
    <row r="301" spans="1:4">
      <c r="A301" s="105">
        <v>103406</v>
      </c>
      <c r="B301" s="104" t="s">
        <v>13614</v>
      </c>
      <c r="C301" s="104" t="s">
        <v>183</v>
      </c>
      <c r="D301" s="129" t="s">
        <v>20719</v>
      </c>
    </row>
    <row r="302" spans="1:4">
      <c r="A302" s="105">
        <v>103407</v>
      </c>
      <c r="B302" s="104" t="s">
        <v>13615</v>
      </c>
      <c r="C302" s="104" t="s">
        <v>183</v>
      </c>
      <c r="D302" s="129" t="s">
        <v>20720</v>
      </c>
    </row>
    <row r="303" spans="1:4">
      <c r="A303" s="105">
        <v>103408</v>
      </c>
      <c r="B303" s="104" t="s">
        <v>13616</v>
      </c>
      <c r="C303" s="104" t="s">
        <v>183</v>
      </c>
      <c r="D303" s="129" t="s">
        <v>15329</v>
      </c>
    </row>
    <row r="304" spans="1:4">
      <c r="A304" s="105">
        <v>103409</v>
      </c>
      <c r="B304" s="104" t="s">
        <v>13617</v>
      </c>
      <c r="C304" s="104" t="s">
        <v>183</v>
      </c>
      <c r="D304" s="129" t="s">
        <v>20721</v>
      </c>
    </row>
    <row r="305" spans="1:4">
      <c r="A305" s="105">
        <v>103410</v>
      </c>
      <c r="B305" s="104" t="s">
        <v>13618</v>
      </c>
      <c r="C305" s="104" t="s">
        <v>183</v>
      </c>
      <c r="D305" s="129" t="s">
        <v>20722</v>
      </c>
    </row>
    <row r="306" spans="1:4">
      <c r="A306" s="105">
        <v>103411</v>
      </c>
      <c r="B306" s="104" t="s">
        <v>13619</v>
      </c>
      <c r="C306" s="104" t="s">
        <v>183</v>
      </c>
      <c r="D306" s="129" t="s">
        <v>15690</v>
      </c>
    </row>
    <row r="307" spans="1:4">
      <c r="A307" s="105">
        <v>103412</v>
      </c>
      <c r="B307" s="104" t="s">
        <v>13620</v>
      </c>
      <c r="C307" s="104" t="s">
        <v>183</v>
      </c>
      <c r="D307" s="129" t="s">
        <v>18057</v>
      </c>
    </row>
    <row r="308" spans="1:4">
      <c r="A308" s="105">
        <v>103413</v>
      </c>
      <c r="B308" s="104" t="s">
        <v>13621</v>
      </c>
      <c r="C308" s="104" t="s">
        <v>183</v>
      </c>
      <c r="D308" s="129" t="s">
        <v>20723</v>
      </c>
    </row>
    <row r="309" spans="1:4">
      <c r="A309" s="105">
        <v>103414</v>
      </c>
      <c r="B309" s="104" t="s">
        <v>13622</v>
      </c>
      <c r="C309" s="104" t="s">
        <v>183</v>
      </c>
      <c r="D309" s="129" t="s">
        <v>20717</v>
      </c>
    </row>
    <row r="310" spans="1:4">
      <c r="A310" s="105">
        <v>103415</v>
      </c>
      <c r="B310" s="104" t="s">
        <v>13623</v>
      </c>
      <c r="C310" s="104" t="s">
        <v>183</v>
      </c>
      <c r="D310" s="129" t="s">
        <v>20724</v>
      </c>
    </row>
    <row r="311" spans="1:4">
      <c r="A311" s="105">
        <v>103416</v>
      </c>
      <c r="B311" s="104" t="s">
        <v>13624</v>
      </c>
      <c r="C311" s="104" t="s">
        <v>183</v>
      </c>
      <c r="D311" s="129" t="s">
        <v>20725</v>
      </c>
    </row>
    <row r="312" spans="1:4">
      <c r="A312" s="105">
        <v>103417</v>
      </c>
      <c r="B312" s="104" t="s">
        <v>13625</v>
      </c>
      <c r="C312" s="104" t="s">
        <v>183</v>
      </c>
      <c r="D312" s="129" t="s">
        <v>20726</v>
      </c>
    </row>
    <row r="313" spans="1:4">
      <c r="A313" s="105">
        <v>103418</v>
      </c>
      <c r="B313" s="104" t="s">
        <v>13626</v>
      </c>
      <c r="C313" s="104" t="s">
        <v>183</v>
      </c>
      <c r="D313" s="129" t="s">
        <v>20722</v>
      </c>
    </row>
    <row r="314" spans="1:4">
      <c r="A314" s="105">
        <v>103419</v>
      </c>
      <c r="B314" s="104" t="s">
        <v>13627</v>
      </c>
      <c r="C314" s="104" t="s">
        <v>183</v>
      </c>
      <c r="D314" s="129" t="s">
        <v>20727</v>
      </c>
    </row>
    <row r="315" spans="1:4">
      <c r="A315" s="105">
        <v>103420</v>
      </c>
      <c r="B315" s="104" t="s">
        <v>13628</v>
      </c>
      <c r="C315" s="104" t="s">
        <v>183</v>
      </c>
      <c r="D315" s="129" t="s">
        <v>20728</v>
      </c>
    </row>
    <row r="316" spans="1:4">
      <c r="A316" s="105">
        <v>103421</v>
      </c>
      <c r="B316" s="104" t="s">
        <v>13629</v>
      </c>
      <c r="C316" s="104" t="s">
        <v>183</v>
      </c>
      <c r="D316" s="129" t="s">
        <v>20729</v>
      </c>
    </row>
    <row r="317" spans="1:4">
      <c r="A317" s="105">
        <v>103422</v>
      </c>
      <c r="B317" s="104" t="s">
        <v>13630</v>
      </c>
      <c r="C317" s="104" t="s">
        <v>183</v>
      </c>
      <c r="D317" s="129" t="s">
        <v>20730</v>
      </c>
    </row>
    <row r="318" spans="1:4">
      <c r="A318" s="105">
        <v>103423</v>
      </c>
      <c r="B318" s="104" t="s">
        <v>13631</v>
      </c>
      <c r="C318" s="104" t="s">
        <v>183</v>
      </c>
      <c r="D318" s="129" t="s">
        <v>20731</v>
      </c>
    </row>
    <row r="319" spans="1:4">
      <c r="A319" s="105">
        <v>103424</v>
      </c>
      <c r="B319" s="104" t="s">
        <v>13632</v>
      </c>
      <c r="C319" s="104" t="s">
        <v>183</v>
      </c>
      <c r="D319" s="129" t="s">
        <v>20732</v>
      </c>
    </row>
    <row r="320" spans="1:4">
      <c r="A320" s="105">
        <v>103425</v>
      </c>
      <c r="B320" s="104" t="s">
        <v>13633</v>
      </c>
      <c r="C320" s="104" t="s">
        <v>183</v>
      </c>
      <c r="D320" s="129" t="s">
        <v>20733</v>
      </c>
    </row>
    <row r="321" spans="1:4">
      <c r="A321" s="105">
        <v>103426</v>
      </c>
      <c r="B321" s="104" t="s">
        <v>13634</v>
      </c>
      <c r="C321" s="104" t="s">
        <v>183</v>
      </c>
      <c r="D321" s="129" t="s">
        <v>20734</v>
      </c>
    </row>
    <row r="322" spans="1:4">
      <c r="A322" s="105">
        <v>103427</v>
      </c>
      <c r="B322" s="104" t="s">
        <v>13635</v>
      </c>
      <c r="C322" s="104" t="s">
        <v>183</v>
      </c>
      <c r="D322" s="129" t="s">
        <v>20735</v>
      </c>
    </row>
    <row r="323" spans="1:4">
      <c r="A323" s="105">
        <v>103428</v>
      </c>
      <c r="B323" s="104" t="s">
        <v>13636</v>
      </c>
      <c r="C323" s="104" t="s">
        <v>183</v>
      </c>
      <c r="D323" s="129" t="s">
        <v>20736</v>
      </c>
    </row>
    <row r="324" spans="1:4">
      <c r="A324" s="105">
        <v>103429</v>
      </c>
      <c r="B324" s="104" t="s">
        <v>13637</v>
      </c>
      <c r="C324" s="104" t="s">
        <v>183</v>
      </c>
      <c r="D324" s="129" t="s">
        <v>20737</v>
      </c>
    </row>
    <row r="325" spans="1:4">
      <c r="A325" s="105">
        <v>103430</v>
      </c>
      <c r="B325" s="104" t="s">
        <v>13638</v>
      </c>
      <c r="C325" s="104" t="s">
        <v>183</v>
      </c>
      <c r="D325" s="129" t="s">
        <v>20738</v>
      </c>
    </row>
    <row r="326" spans="1:4">
      <c r="A326" s="105">
        <v>103431</v>
      </c>
      <c r="B326" s="104" t="s">
        <v>13639</v>
      </c>
      <c r="C326" s="104" t="s">
        <v>183</v>
      </c>
      <c r="D326" s="129" t="s">
        <v>20739</v>
      </c>
    </row>
    <row r="327" spans="1:4">
      <c r="A327" s="105">
        <v>103432</v>
      </c>
      <c r="B327" s="104" t="s">
        <v>13640</v>
      </c>
      <c r="C327" s="104" t="s">
        <v>183</v>
      </c>
      <c r="D327" s="129" t="s">
        <v>20740</v>
      </c>
    </row>
    <row r="328" spans="1:4">
      <c r="A328" s="105">
        <v>103433</v>
      </c>
      <c r="B328" s="104" t="s">
        <v>13641</v>
      </c>
      <c r="C328" s="104" t="s">
        <v>183</v>
      </c>
      <c r="D328" s="129" t="s">
        <v>20741</v>
      </c>
    </row>
    <row r="329" spans="1:4">
      <c r="A329" s="105">
        <v>103434</v>
      </c>
      <c r="B329" s="104" t="s">
        <v>13642</v>
      </c>
      <c r="C329" s="104" t="s">
        <v>183</v>
      </c>
      <c r="D329" s="129" t="s">
        <v>20742</v>
      </c>
    </row>
    <row r="330" spans="1:4">
      <c r="A330" s="105">
        <v>103435</v>
      </c>
      <c r="B330" s="104" t="s">
        <v>13643</v>
      </c>
      <c r="C330" s="104" t="s">
        <v>183</v>
      </c>
      <c r="D330" s="129" t="s">
        <v>20743</v>
      </c>
    </row>
    <row r="331" spans="1:4">
      <c r="A331" s="105">
        <v>103436</v>
      </c>
      <c r="B331" s="104" t="s">
        <v>13644</v>
      </c>
      <c r="C331" s="104" t="s">
        <v>183</v>
      </c>
      <c r="D331" s="129" t="s">
        <v>20744</v>
      </c>
    </row>
    <row r="332" spans="1:4">
      <c r="A332" s="105">
        <v>103437</v>
      </c>
      <c r="B332" s="104" t="s">
        <v>13645</v>
      </c>
      <c r="C332" s="104" t="s">
        <v>183</v>
      </c>
      <c r="D332" s="129" t="s">
        <v>20745</v>
      </c>
    </row>
    <row r="333" spans="1:4">
      <c r="A333" s="105">
        <v>103438</v>
      </c>
      <c r="B333" s="104" t="s">
        <v>13646</v>
      </c>
      <c r="C333" s="104" t="s">
        <v>183</v>
      </c>
      <c r="D333" s="129" t="s">
        <v>20745</v>
      </c>
    </row>
    <row r="334" spans="1:4">
      <c r="A334" s="105">
        <v>103439</v>
      </c>
      <c r="B334" s="104" t="s">
        <v>13647</v>
      </c>
      <c r="C334" s="104" t="s">
        <v>183</v>
      </c>
      <c r="D334" s="129" t="s">
        <v>20746</v>
      </c>
    </row>
    <row r="335" spans="1:4">
      <c r="A335" s="105">
        <v>103440</v>
      </c>
      <c r="B335" s="104" t="s">
        <v>13648</v>
      </c>
      <c r="C335" s="104" t="s">
        <v>183</v>
      </c>
      <c r="D335" s="129" t="s">
        <v>20747</v>
      </c>
    </row>
    <row r="336" spans="1:4">
      <c r="A336" s="105">
        <v>103441</v>
      </c>
      <c r="B336" s="104" t="s">
        <v>13649</v>
      </c>
      <c r="C336" s="104" t="s">
        <v>183</v>
      </c>
      <c r="D336" s="129" t="s">
        <v>20748</v>
      </c>
    </row>
    <row r="337" spans="1:4">
      <c r="A337" s="105">
        <v>103442</v>
      </c>
      <c r="B337" s="104" t="s">
        <v>13650</v>
      </c>
      <c r="C337" s="104" t="s">
        <v>183</v>
      </c>
      <c r="D337" s="129" t="s">
        <v>20749</v>
      </c>
    </row>
    <row r="338" spans="1:4">
      <c r="A338" s="105">
        <v>93206</v>
      </c>
      <c r="B338" s="104" t="s">
        <v>651</v>
      </c>
      <c r="C338" s="104" t="s">
        <v>12</v>
      </c>
      <c r="D338" s="129" t="s">
        <v>20750</v>
      </c>
    </row>
    <row r="339" spans="1:4">
      <c r="A339" s="105">
        <v>93207</v>
      </c>
      <c r="B339" s="104" t="s">
        <v>652</v>
      </c>
      <c r="C339" s="104" t="s">
        <v>12</v>
      </c>
      <c r="D339" s="129" t="s">
        <v>20751</v>
      </c>
    </row>
    <row r="340" spans="1:4">
      <c r="A340" s="105">
        <v>93208</v>
      </c>
      <c r="B340" s="104" t="s">
        <v>345</v>
      </c>
      <c r="C340" s="104" t="s">
        <v>12</v>
      </c>
      <c r="D340" s="129" t="s">
        <v>20752</v>
      </c>
    </row>
    <row r="341" spans="1:4">
      <c r="A341" s="105">
        <v>93209</v>
      </c>
      <c r="B341" s="104" t="s">
        <v>653</v>
      </c>
      <c r="C341" s="104" t="s">
        <v>12</v>
      </c>
      <c r="D341" s="129" t="s">
        <v>20753</v>
      </c>
    </row>
    <row r="342" spans="1:4">
      <c r="A342" s="105">
        <v>93210</v>
      </c>
      <c r="B342" s="104" t="s">
        <v>654</v>
      </c>
      <c r="C342" s="104" t="s">
        <v>12</v>
      </c>
      <c r="D342" s="129" t="s">
        <v>20754</v>
      </c>
    </row>
    <row r="343" spans="1:4">
      <c r="A343" s="105">
        <v>93211</v>
      </c>
      <c r="B343" s="104" t="s">
        <v>655</v>
      </c>
      <c r="C343" s="104" t="s">
        <v>12</v>
      </c>
      <c r="D343" s="129" t="s">
        <v>20755</v>
      </c>
    </row>
    <row r="344" spans="1:4">
      <c r="A344" s="105">
        <v>93212</v>
      </c>
      <c r="B344" s="104" t="s">
        <v>656</v>
      </c>
      <c r="C344" s="104" t="s">
        <v>12</v>
      </c>
      <c r="D344" s="129" t="s">
        <v>20756</v>
      </c>
    </row>
    <row r="345" spans="1:4">
      <c r="A345" s="105">
        <v>93213</v>
      </c>
      <c r="B345" s="104" t="s">
        <v>657</v>
      </c>
      <c r="C345" s="104" t="s">
        <v>12</v>
      </c>
      <c r="D345" s="129" t="s">
        <v>20757</v>
      </c>
    </row>
    <row r="346" spans="1:4">
      <c r="A346" s="105">
        <v>93214</v>
      </c>
      <c r="B346" s="104" t="s">
        <v>658</v>
      </c>
      <c r="C346" s="104" t="s">
        <v>183</v>
      </c>
      <c r="D346" s="129" t="s">
        <v>20758</v>
      </c>
    </row>
    <row r="347" spans="1:4">
      <c r="A347" s="105">
        <v>93243</v>
      </c>
      <c r="B347" s="104" t="s">
        <v>659</v>
      </c>
      <c r="C347" s="104" t="s">
        <v>183</v>
      </c>
      <c r="D347" s="129" t="s">
        <v>20759</v>
      </c>
    </row>
    <row r="348" spans="1:4">
      <c r="A348" s="105">
        <v>93582</v>
      </c>
      <c r="B348" s="104" t="s">
        <v>660</v>
      </c>
      <c r="C348" s="104" t="s">
        <v>12</v>
      </c>
      <c r="D348" s="129" t="s">
        <v>20760</v>
      </c>
    </row>
    <row r="349" spans="1:4">
      <c r="A349" s="105">
        <v>93583</v>
      </c>
      <c r="B349" s="104" t="s">
        <v>661</v>
      </c>
      <c r="C349" s="104" t="s">
        <v>12</v>
      </c>
      <c r="D349" s="129" t="s">
        <v>20761</v>
      </c>
    </row>
    <row r="350" spans="1:4">
      <c r="A350" s="105">
        <v>93584</v>
      </c>
      <c r="B350" s="104" t="s">
        <v>662</v>
      </c>
      <c r="C350" s="104" t="s">
        <v>12</v>
      </c>
      <c r="D350" s="129" t="s">
        <v>20762</v>
      </c>
    </row>
    <row r="351" spans="1:4">
      <c r="A351" s="105">
        <v>93585</v>
      </c>
      <c r="B351" s="104" t="s">
        <v>663</v>
      </c>
      <c r="C351" s="104" t="s">
        <v>12</v>
      </c>
      <c r="D351" s="129" t="s">
        <v>20763</v>
      </c>
    </row>
    <row r="352" spans="1:4">
      <c r="A352" s="105">
        <v>98441</v>
      </c>
      <c r="B352" s="104" t="s">
        <v>664</v>
      </c>
      <c r="C352" s="104" t="s">
        <v>12</v>
      </c>
      <c r="D352" s="129" t="s">
        <v>20764</v>
      </c>
    </row>
    <row r="353" spans="1:4">
      <c r="A353" s="105">
        <v>98442</v>
      </c>
      <c r="B353" s="104" t="s">
        <v>665</v>
      </c>
      <c r="C353" s="104" t="s">
        <v>12</v>
      </c>
      <c r="D353" s="129" t="s">
        <v>20765</v>
      </c>
    </row>
    <row r="354" spans="1:4">
      <c r="A354" s="105">
        <v>98443</v>
      </c>
      <c r="B354" s="104" t="s">
        <v>666</v>
      </c>
      <c r="C354" s="104" t="s">
        <v>12</v>
      </c>
      <c r="D354" s="129" t="s">
        <v>20766</v>
      </c>
    </row>
    <row r="355" spans="1:4">
      <c r="A355" s="105">
        <v>98444</v>
      </c>
      <c r="B355" s="104" t="s">
        <v>667</v>
      </c>
      <c r="C355" s="104" t="s">
        <v>12</v>
      </c>
      <c r="D355" s="129" t="s">
        <v>19704</v>
      </c>
    </row>
    <row r="356" spans="1:4">
      <c r="A356" s="105">
        <v>98445</v>
      </c>
      <c r="B356" s="104" t="s">
        <v>668</v>
      </c>
      <c r="C356" s="104" t="s">
        <v>12</v>
      </c>
      <c r="D356" s="129" t="s">
        <v>20767</v>
      </c>
    </row>
    <row r="357" spans="1:4">
      <c r="A357" s="105">
        <v>98446</v>
      </c>
      <c r="B357" s="104" t="s">
        <v>669</v>
      </c>
      <c r="C357" s="104" t="s">
        <v>12</v>
      </c>
      <c r="D357" s="129" t="s">
        <v>20768</v>
      </c>
    </row>
    <row r="358" spans="1:4">
      <c r="A358" s="105">
        <v>98447</v>
      </c>
      <c r="B358" s="104" t="s">
        <v>670</v>
      </c>
      <c r="C358" s="104" t="s">
        <v>12</v>
      </c>
      <c r="D358" s="129" t="s">
        <v>20769</v>
      </c>
    </row>
    <row r="359" spans="1:4">
      <c r="A359" s="105">
        <v>98448</v>
      </c>
      <c r="B359" s="104" t="s">
        <v>671</v>
      </c>
      <c r="C359" s="104" t="s">
        <v>12</v>
      </c>
      <c r="D359" s="129" t="s">
        <v>20770</v>
      </c>
    </row>
    <row r="360" spans="1:4">
      <c r="A360" s="105">
        <v>98449</v>
      </c>
      <c r="B360" s="104" t="s">
        <v>672</v>
      </c>
      <c r="C360" s="104" t="s">
        <v>12</v>
      </c>
      <c r="D360" s="129" t="s">
        <v>20771</v>
      </c>
    </row>
    <row r="361" spans="1:4">
      <c r="A361" s="105">
        <v>98450</v>
      </c>
      <c r="B361" s="104" t="s">
        <v>673</v>
      </c>
      <c r="C361" s="104" t="s">
        <v>12</v>
      </c>
      <c r="D361" s="129" t="s">
        <v>20772</v>
      </c>
    </row>
    <row r="362" spans="1:4">
      <c r="A362" s="105">
        <v>98451</v>
      </c>
      <c r="B362" s="104" t="s">
        <v>674</v>
      </c>
      <c r="C362" s="104" t="s">
        <v>12</v>
      </c>
      <c r="D362" s="129" t="s">
        <v>20773</v>
      </c>
    </row>
    <row r="363" spans="1:4">
      <c r="A363" s="105">
        <v>98452</v>
      </c>
      <c r="B363" s="104" t="s">
        <v>675</v>
      </c>
      <c r="C363" s="104" t="s">
        <v>12</v>
      </c>
      <c r="D363" s="129" t="s">
        <v>20774</v>
      </c>
    </row>
    <row r="364" spans="1:4">
      <c r="A364" s="105">
        <v>98453</v>
      </c>
      <c r="B364" s="104" t="s">
        <v>676</v>
      </c>
      <c r="C364" s="104" t="s">
        <v>12</v>
      </c>
      <c r="D364" s="129" t="s">
        <v>20775</v>
      </c>
    </row>
    <row r="365" spans="1:4">
      <c r="A365" s="105">
        <v>98454</v>
      </c>
      <c r="B365" s="104" t="s">
        <v>677</v>
      </c>
      <c r="C365" s="104" t="s">
        <v>12</v>
      </c>
      <c r="D365" s="129" t="s">
        <v>20776</v>
      </c>
    </row>
    <row r="366" spans="1:4">
      <c r="A366" s="105">
        <v>98455</v>
      </c>
      <c r="B366" s="104" t="s">
        <v>678</v>
      </c>
      <c r="C366" s="104" t="s">
        <v>12</v>
      </c>
      <c r="D366" s="129" t="s">
        <v>20777</v>
      </c>
    </row>
    <row r="367" spans="1:4">
      <c r="A367" s="105">
        <v>98456</v>
      </c>
      <c r="B367" s="104" t="s">
        <v>679</v>
      </c>
      <c r="C367" s="104" t="s">
        <v>12</v>
      </c>
      <c r="D367" s="129" t="s">
        <v>20778</v>
      </c>
    </row>
    <row r="368" spans="1:4">
      <c r="A368" s="105">
        <v>98458</v>
      </c>
      <c r="B368" s="104" t="s">
        <v>680</v>
      </c>
      <c r="C368" s="104" t="s">
        <v>12</v>
      </c>
      <c r="D368" s="129" t="s">
        <v>20779</v>
      </c>
    </row>
    <row r="369" spans="1:4">
      <c r="A369" s="105">
        <v>98459</v>
      </c>
      <c r="B369" s="104" t="s">
        <v>681</v>
      </c>
      <c r="C369" s="104" t="s">
        <v>12</v>
      </c>
      <c r="D369" s="129" t="s">
        <v>20780</v>
      </c>
    </row>
    <row r="370" spans="1:4">
      <c r="A370" s="105">
        <v>98460</v>
      </c>
      <c r="B370" s="104" t="s">
        <v>682</v>
      </c>
      <c r="C370" s="104" t="s">
        <v>12</v>
      </c>
      <c r="D370" s="129" t="s">
        <v>18529</v>
      </c>
    </row>
    <row r="371" spans="1:4">
      <c r="A371" s="105">
        <v>98461</v>
      </c>
      <c r="B371" s="104" t="s">
        <v>683</v>
      </c>
      <c r="C371" s="104" t="s">
        <v>183</v>
      </c>
      <c r="D371" s="129" t="s">
        <v>20781</v>
      </c>
    </row>
    <row r="372" spans="1:4">
      <c r="A372" s="105">
        <v>98462</v>
      </c>
      <c r="B372" s="104" t="s">
        <v>684</v>
      </c>
      <c r="C372" s="104" t="s">
        <v>183</v>
      </c>
      <c r="D372" s="129" t="s">
        <v>20782</v>
      </c>
    </row>
    <row r="373" spans="1:4">
      <c r="A373" s="105">
        <v>5631</v>
      </c>
      <c r="B373" s="104" t="s">
        <v>685</v>
      </c>
      <c r="C373" s="104" t="s">
        <v>249</v>
      </c>
      <c r="D373" s="129" t="s">
        <v>20783</v>
      </c>
    </row>
    <row r="374" spans="1:4">
      <c r="A374" s="105">
        <v>5678</v>
      </c>
      <c r="B374" s="104" t="s">
        <v>686</v>
      </c>
      <c r="C374" s="104" t="s">
        <v>249</v>
      </c>
      <c r="D374" s="129" t="s">
        <v>20784</v>
      </c>
    </row>
    <row r="375" spans="1:4">
      <c r="A375" s="105">
        <v>5680</v>
      </c>
      <c r="B375" s="104" t="s">
        <v>687</v>
      </c>
      <c r="C375" s="104" t="s">
        <v>249</v>
      </c>
      <c r="D375" s="129" t="s">
        <v>20785</v>
      </c>
    </row>
    <row r="376" spans="1:4">
      <c r="A376" s="105">
        <v>5684</v>
      </c>
      <c r="B376" s="104" t="s">
        <v>688</v>
      </c>
      <c r="C376" s="104" t="s">
        <v>249</v>
      </c>
      <c r="D376" s="129" t="s">
        <v>20786</v>
      </c>
    </row>
    <row r="377" spans="1:4">
      <c r="A377" s="105">
        <v>5689</v>
      </c>
      <c r="B377" s="104" t="s">
        <v>689</v>
      </c>
      <c r="C377" s="104" t="s">
        <v>249</v>
      </c>
      <c r="D377" s="129" t="s">
        <v>15104</v>
      </c>
    </row>
    <row r="378" spans="1:4">
      <c r="A378" s="105">
        <v>5795</v>
      </c>
      <c r="B378" s="104" t="s">
        <v>690</v>
      </c>
      <c r="C378" s="104" t="s">
        <v>249</v>
      </c>
      <c r="D378" s="129" t="s">
        <v>20787</v>
      </c>
    </row>
    <row r="379" spans="1:4">
      <c r="A379" s="105">
        <v>5811</v>
      </c>
      <c r="B379" s="104" t="s">
        <v>691</v>
      </c>
      <c r="C379" s="104" t="s">
        <v>249</v>
      </c>
      <c r="D379" s="129" t="s">
        <v>20788</v>
      </c>
    </row>
    <row r="380" spans="1:4">
      <c r="A380" s="105">
        <v>5823</v>
      </c>
      <c r="B380" s="104" t="s">
        <v>692</v>
      </c>
      <c r="C380" s="104" t="s">
        <v>249</v>
      </c>
      <c r="D380" s="129" t="s">
        <v>20789</v>
      </c>
    </row>
    <row r="381" spans="1:4">
      <c r="A381" s="105">
        <v>5824</v>
      </c>
      <c r="B381" s="104" t="s">
        <v>693</v>
      </c>
      <c r="C381" s="104" t="s">
        <v>249</v>
      </c>
      <c r="D381" s="129" t="s">
        <v>20790</v>
      </c>
    </row>
    <row r="382" spans="1:4">
      <c r="A382" s="105">
        <v>5835</v>
      </c>
      <c r="B382" s="104" t="s">
        <v>694</v>
      </c>
      <c r="C382" s="104" t="s">
        <v>249</v>
      </c>
      <c r="D382" s="129" t="s">
        <v>20791</v>
      </c>
    </row>
    <row r="383" spans="1:4">
      <c r="A383" s="105">
        <v>5839</v>
      </c>
      <c r="B383" s="104" t="s">
        <v>695</v>
      </c>
      <c r="C383" s="104" t="s">
        <v>249</v>
      </c>
      <c r="D383" s="129" t="s">
        <v>15110</v>
      </c>
    </row>
    <row r="384" spans="1:4">
      <c r="A384" s="105">
        <v>5843</v>
      </c>
      <c r="B384" s="104" t="s">
        <v>696</v>
      </c>
      <c r="C384" s="104" t="s">
        <v>249</v>
      </c>
      <c r="D384" s="129" t="s">
        <v>18661</v>
      </c>
    </row>
    <row r="385" spans="1:4">
      <c r="A385" s="105">
        <v>5847</v>
      </c>
      <c r="B385" s="104" t="s">
        <v>697</v>
      </c>
      <c r="C385" s="104" t="s">
        <v>249</v>
      </c>
      <c r="D385" s="129" t="s">
        <v>20792</v>
      </c>
    </row>
    <row r="386" spans="1:4">
      <c r="A386" s="105">
        <v>5851</v>
      </c>
      <c r="B386" s="104" t="s">
        <v>698</v>
      </c>
      <c r="C386" s="104" t="s">
        <v>249</v>
      </c>
      <c r="D386" s="129" t="s">
        <v>20793</v>
      </c>
    </row>
    <row r="387" spans="1:4">
      <c r="A387" s="105">
        <v>5855</v>
      </c>
      <c r="B387" s="104" t="s">
        <v>699</v>
      </c>
      <c r="C387" s="104" t="s">
        <v>249</v>
      </c>
      <c r="D387" s="129" t="s">
        <v>20794</v>
      </c>
    </row>
    <row r="388" spans="1:4">
      <c r="A388" s="105">
        <v>5863</v>
      </c>
      <c r="B388" s="104" t="s">
        <v>700</v>
      </c>
      <c r="C388" s="104" t="s">
        <v>249</v>
      </c>
      <c r="D388" s="129" t="s">
        <v>15115</v>
      </c>
    </row>
    <row r="389" spans="1:4">
      <c r="A389" s="105">
        <v>5867</v>
      </c>
      <c r="B389" s="104" t="s">
        <v>701</v>
      </c>
      <c r="C389" s="104" t="s">
        <v>249</v>
      </c>
      <c r="D389" s="129" t="s">
        <v>20795</v>
      </c>
    </row>
    <row r="390" spans="1:4">
      <c r="A390" s="105">
        <v>5875</v>
      </c>
      <c r="B390" s="104" t="s">
        <v>702</v>
      </c>
      <c r="C390" s="104" t="s">
        <v>249</v>
      </c>
      <c r="D390" s="129" t="s">
        <v>20796</v>
      </c>
    </row>
    <row r="391" spans="1:4">
      <c r="A391" s="105">
        <v>5879</v>
      </c>
      <c r="B391" s="104" t="s">
        <v>703</v>
      </c>
      <c r="C391" s="104" t="s">
        <v>249</v>
      </c>
      <c r="D391" s="129" t="s">
        <v>20797</v>
      </c>
    </row>
    <row r="392" spans="1:4">
      <c r="A392" s="105">
        <v>5882</v>
      </c>
      <c r="B392" s="104" t="s">
        <v>704</v>
      </c>
      <c r="C392" s="104" t="s">
        <v>249</v>
      </c>
      <c r="D392" s="129" t="s">
        <v>20798</v>
      </c>
    </row>
    <row r="393" spans="1:4">
      <c r="A393" s="105">
        <v>5890</v>
      </c>
      <c r="B393" s="104" t="s">
        <v>705</v>
      </c>
      <c r="C393" s="104" t="s">
        <v>249</v>
      </c>
      <c r="D393" s="129" t="s">
        <v>20799</v>
      </c>
    </row>
    <row r="394" spans="1:4">
      <c r="A394" s="105">
        <v>5894</v>
      </c>
      <c r="B394" s="104" t="s">
        <v>706</v>
      </c>
      <c r="C394" s="104" t="s">
        <v>249</v>
      </c>
      <c r="D394" s="129" t="s">
        <v>20800</v>
      </c>
    </row>
    <row r="395" spans="1:4">
      <c r="A395" s="105">
        <v>5901</v>
      </c>
      <c r="B395" s="104" t="s">
        <v>707</v>
      </c>
      <c r="C395" s="104" t="s">
        <v>249</v>
      </c>
      <c r="D395" s="129" t="s">
        <v>20801</v>
      </c>
    </row>
    <row r="396" spans="1:4">
      <c r="A396" s="105">
        <v>5909</v>
      </c>
      <c r="B396" s="104" t="s">
        <v>708</v>
      </c>
      <c r="C396" s="104" t="s">
        <v>249</v>
      </c>
      <c r="D396" s="129" t="s">
        <v>20802</v>
      </c>
    </row>
    <row r="397" spans="1:4">
      <c r="A397" s="105">
        <v>5921</v>
      </c>
      <c r="B397" s="104" t="s">
        <v>709</v>
      </c>
      <c r="C397" s="104" t="s">
        <v>249</v>
      </c>
      <c r="D397" s="129" t="s">
        <v>15124</v>
      </c>
    </row>
    <row r="398" spans="1:4">
      <c r="A398" s="105">
        <v>5928</v>
      </c>
      <c r="B398" s="104" t="s">
        <v>251</v>
      </c>
      <c r="C398" s="104" t="s">
        <v>249</v>
      </c>
      <c r="D398" s="129" t="s">
        <v>20803</v>
      </c>
    </row>
    <row r="399" spans="1:4">
      <c r="A399" s="105">
        <v>5932</v>
      </c>
      <c r="B399" s="104" t="s">
        <v>710</v>
      </c>
      <c r="C399" s="104" t="s">
        <v>249</v>
      </c>
      <c r="D399" s="129" t="s">
        <v>20804</v>
      </c>
    </row>
    <row r="400" spans="1:4">
      <c r="A400" s="105">
        <v>5940</v>
      </c>
      <c r="B400" s="104" t="s">
        <v>711</v>
      </c>
      <c r="C400" s="104" t="s">
        <v>249</v>
      </c>
      <c r="D400" s="129" t="s">
        <v>20805</v>
      </c>
    </row>
    <row r="401" spans="1:4">
      <c r="A401" s="105">
        <v>5944</v>
      </c>
      <c r="B401" s="104" t="s">
        <v>712</v>
      </c>
      <c r="C401" s="104" t="s">
        <v>249</v>
      </c>
      <c r="D401" s="129" t="s">
        <v>20806</v>
      </c>
    </row>
    <row r="402" spans="1:4">
      <c r="A402" s="105">
        <v>5953</v>
      </c>
      <c r="B402" s="104" t="s">
        <v>713</v>
      </c>
      <c r="C402" s="104" t="s">
        <v>249</v>
      </c>
      <c r="D402" s="129" t="s">
        <v>15129</v>
      </c>
    </row>
    <row r="403" spans="1:4">
      <c r="A403" s="105">
        <v>6259</v>
      </c>
      <c r="B403" s="104" t="s">
        <v>714</v>
      </c>
      <c r="C403" s="104" t="s">
        <v>249</v>
      </c>
      <c r="D403" s="129" t="s">
        <v>20807</v>
      </c>
    </row>
    <row r="404" spans="1:4">
      <c r="A404" s="105">
        <v>6879</v>
      </c>
      <c r="B404" s="104" t="s">
        <v>715</v>
      </c>
      <c r="C404" s="104" t="s">
        <v>249</v>
      </c>
      <c r="D404" s="129" t="s">
        <v>20808</v>
      </c>
    </row>
    <row r="405" spans="1:4">
      <c r="A405" s="105">
        <v>7030</v>
      </c>
      <c r="B405" s="104" t="s">
        <v>716</v>
      </c>
      <c r="C405" s="104" t="s">
        <v>249</v>
      </c>
      <c r="D405" s="129" t="s">
        <v>15132</v>
      </c>
    </row>
    <row r="406" spans="1:4">
      <c r="A406" s="105">
        <v>7042</v>
      </c>
      <c r="B406" s="104" t="s">
        <v>717</v>
      </c>
      <c r="C406" s="104" t="s">
        <v>249</v>
      </c>
      <c r="D406" s="129" t="s">
        <v>15133</v>
      </c>
    </row>
    <row r="407" spans="1:4">
      <c r="A407" s="105">
        <v>7049</v>
      </c>
      <c r="B407" s="104" t="s">
        <v>718</v>
      </c>
      <c r="C407" s="104" t="s">
        <v>249</v>
      </c>
      <c r="D407" s="129" t="s">
        <v>20809</v>
      </c>
    </row>
    <row r="408" spans="1:4">
      <c r="A408" s="105">
        <v>67826</v>
      </c>
      <c r="B408" s="104" t="s">
        <v>719</v>
      </c>
      <c r="C408" s="104" t="s">
        <v>249</v>
      </c>
      <c r="D408" s="129" t="s">
        <v>20810</v>
      </c>
    </row>
    <row r="409" spans="1:4">
      <c r="A409" s="105">
        <v>73417</v>
      </c>
      <c r="B409" s="104" t="s">
        <v>720</v>
      </c>
      <c r="C409" s="104" t="s">
        <v>249</v>
      </c>
      <c r="D409" s="129" t="s">
        <v>15136</v>
      </c>
    </row>
    <row r="410" spans="1:4">
      <c r="A410" s="105">
        <v>73436</v>
      </c>
      <c r="B410" s="104" t="s">
        <v>721</v>
      </c>
      <c r="C410" s="104" t="s">
        <v>249</v>
      </c>
      <c r="D410" s="129" t="s">
        <v>20811</v>
      </c>
    </row>
    <row r="411" spans="1:4">
      <c r="A411" s="105">
        <v>73467</v>
      </c>
      <c r="B411" s="104" t="s">
        <v>722</v>
      </c>
      <c r="C411" s="104" t="s">
        <v>249</v>
      </c>
      <c r="D411" s="129" t="s">
        <v>20812</v>
      </c>
    </row>
    <row r="412" spans="1:4">
      <c r="A412" s="105">
        <v>73536</v>
      </c>
      <c r="B412" s="104" t="s">
        <v>723</v>
      </c>
      <c r="C412" s="104" t="s">
        <v>249</v>
      </c>
      <c r="D412" s="129" t="s">
        <v>15139</v>
      </c>
    </row>
    <row r="413" spans="1:4">
      <c r="A413" s="105">
        <v>83362</v>
      </c>
      <c r="B413" s="104" t="s">
        <v>724</v>
      </c>
      <c r="C413" s="104" t="s">
        <v>249</v>
      </c>
      <c r="D413" s="129" t="s">
        <v>20813</v>
      </c>
    </row>
    <row r="414" spans="1:4">
      <c r="A414" s="105">
        <v>83765</v>
      </c>
      <c r="B414" s="104" t="s">
        <v>725</v>
      </c>
      <c r="C414" s="104" t="s">
        <v>249</v>
      </c>
      <c r="D414" s="129" t="s">
        <v>20814</v>
      </c>
    </row>
    <row r="415" spans="1:4">
      <c r="A415" s="105">
        <v>87445</v>
      </c>
      <c r="B415" s="104" t="s">
        <v>726</v>
      </c>
      <c r="C415" s="104" t="s">
        <v>249</v>
      </c>
      <c r="D415" s="129" t="s">
        <v>15142</v>
      </c>
    </row>
    <row r="416" spans="1:4">
      <c r="A416" s="105">
        <v>88386</v>
      </c>
      <c r="B416" s="104" t="s">
        <v>727</v>
      </c>
      <c r="C416" s="104" t="s">
        <v>249</v>
      </c>
      <c r="D416" s="129" t="s">
        <v>15143</v>
      </c>
    </row>
    <row r="417" spans="1:4">
      <c r="A417" s="105">
        <v>88393</v>
      </c>
      <c r="B417" s="104" t="s">
        <v>728</v>
      </c>
      <c r="C417" s="104" t="s">
        <v>249</v>
      </c>
      <c r="D417" s="129" t="s">
        <v>15144</v>
      </c>
    </row>
    <row r="418" spans="1:4">
      <c r="A418" s="105">
        <v>88399</v>
      </c>
      <c r="B418" s="104" t="s">
        <v>729</v>
      </c>
      <c r="C418" s="104" t="s">
        <v>249</v>
      </c>
      <c r="D418" s="129" t="s">
        <v>15145</v>
      </c>
    </row>
    <row r="419" spans="1:4">
      <c r="A419" s="105">
        <v>88418</v>
      </c>
      <c r="B419" s="104" t="s">
        <v>730</v>
      </c>
      <c r="C419" s="104" t="s">
        <v>249</v>
      </c>
      <c r="D419" s="129" t="s">
        <v>15146</v>
      </c>
    </row>
    <row r="420" spans="1:4">
      <c r="A420" s="105">
        <v>88433</v>
      </c>
      <c r="B420" s="104" t="s">
        <v>731</v>
      </c>
      <c r="C420" s="104" t="s">
        <v>249</v>
      </c>
      <c r="D420" s="129" t="s">
        <v>15147</v>
      </c>
    </row>
    <row r="421" spans="1:4">
      <c r="A421" s="105">
        <v>88830</v>
      </c>
      <c r="B421" s="104" t="s">
        <v>732</v>
      </c>
      <c r="C421" s="104" t="s">
        <v>249</v>
      </c>
      <c r="D421" s="129" t="s">
        <v>15148</v>
      </c>
    </row>
    <row r="422" spans="1:4">
      <c r="A422" s="105">
        <v>88843</v>
      </c>
      <c r="B422" s="104" t="s">
        <v>733</v>
      </c>
      <c r="C422" s="104" t="s">
        <v>249</v>
      </c>
      <c r="D422" s="129" t="s">
        <v>20815</v>
      </c>
    </row>
    <row r="423" spans="1:4">
      <c r="A423" s="105">
        <v>88907</v>
      </c>
      <c r="B423" s="104" t="s">
        <v>734</v>
      </c>
      <c r="C423" s="104" t="s">
        <v>249</v>
      </c>
      <c r="D423" s="129" t="s">
        <v>20816</v>
      </c>
    </row>
    <row r="424" spans="1:4">
      <c r="A424" s="105">
        <v>89021</v>
      </c>
      <c r="B424" s="104" t="s">
        <v>735</v>
      </c>
      <c r="C424" s="104" t="s">
        <v>249</v>
      </c>
      <c r="D424" s="129" t="s">
        <v>15151</v>
      </c>
    </row>
    <row r="425" spans="1:4">
      <c r="A425" s="105">
        <v>89028</v>
      </c>
      <c r="B425" s="104" t="s">
        <v>736</v>
      </c>
      <c r="C425" s="104" t="s">
        <v>249</v>
      </c>
      <c r="D425" s="129" t="s">
        <v>15152</v>
      </c>
    </row>
    <row r="426" spans="1:4">
      <c r="A426" s="105">
        <v>89032</v>
      </c>
      <c r="B426" s="104" t="s">
        <v>737</v>
      </c>
      <c r="C426" s="104" t="s">
        <v>249</v>
      </c>
      <c r="D426" s="129" t="s">
        <v>20817</v>
      </c>
    </row>
    <row r="427" spans="1:4">
      <c r="A427" s="105">
        <v>89035</v>
      </c>
      <c r="B427" s="104" t="s">
        <v>738</v>
      </c>
      <c r="C427" s="104" t="s">
        <v>249</v>
      </c>
      <c r="D427" s="129" t="s">
        <v>20818</v>
      </c>
    </row>
    <row r="428" spans="1:4">
      <c r="A428" s="105">
        <v>89225</v>
      </c>
      <c r="B428" s="104" t="s">
        <v>739</v>
      </c>
      <c r="C428" s="104" t="s">
        <v>249</v>
      </c>
      <c r="D428" s="129" t="s">
        <v>15155</v>
      </c>
    </row>
    <row r="429" spans="1:4">
      <c r="A429" s="105">
        <v>89234</v>
      </c>
      <c r="B429" s="104" t="s">
        <v>740</v>
      </c>
      <c r="C429" s="104" t="s">
        <v>249</v>
      </c>
      <c r="D429" s="129" t="s">
        <v>20819</v>
      </c>
    </row>
    <row r="430" spans="1:4">
      <c r="A430" s="105">
        <v>89242</v>
      </c>
      <c r="B430" s="104" t="s">
        <v>741</v>
      </c>
      <c r="C430" s="104" t="s">
        <v>249</v>
      </c>
      <c r="D430" s="129" t="s">
        <v>20820</v>
      </c>
    </row>
    <row r="431" spans="1:4">
      <c r="A431" s="105">
        <v>89250</v>
      </c>
      <c r="B431" s="104" t="s">
        <v>742</v>
      </c>
      <c r="C431" s="104" t="s">
        <v>249</v>
      </c>
      <c r="D431" s="129" t="s">
        <v>20821</v>
      </c>
    </row>
    <row r="432" spans="1:4">
      <c r="A432" s="105">
        <v>89257</v>
      </c>
      <c r="B432" s="104" t="s">
        <v>743</v>
      </c>
      <c r="C432" s="104" t="s">
        <v>249</v>
      </c>
      <c r="D432" s="129" t="s">
        <v>20822</v>
      </c>
    </row>
    <row r="433" spans="1:4">
      <c r="A433" s="105">
        <v>89272</v>
      </c>
      <c r="B433" s="104" t="s">
        <v>744</v>
      </c>
      <c r="C433" s="104" t="s">
        <v>249</v>
      </c>
      <c r="D433" s="129" t="s">
        <v>20823</v>
      </c>
    </row>
    <row r="434" spans="1:4">
      <c r="A434" s="105">
        <v>89278</v>
      </c>
      <c r="B434" s="104" t="s">
        <v>745</v>
      </c>
      <c r="C434" s="104" t="s">
        <v>249</v>
      </c>
      <c r="D434" s="129" t="s">
        <v>15161</v>
      </c>
    </row>
    <row r="435" spans="1:4">
      <c r="A435" s="105">
        <v>89843</v>
      </c>
      <c r="B435" s="104" t="s">
        <v>746</v>
      </c>
      <c r="C435" s="104" t="s">
        <v>249</v>
      </c>
      <c r="D435" s="129" t="s">
        <v>20824</v>
      </c>
    </row>
    <row r="436" spans="1:4">
      <c r="A436" s="105">
        <v>89876</v>
      </c>
      <c r="B436" s="104" t="s">
        <v>747</v>
      </c>
      <c r="C436" s="104" t="s">
        <v>249</v>
      </c>
      <c r="D436" s="129" t="s">
        <v>20825</v>
      </c>
    </row>
    <row r="437" spans="1:4">
      <c r="A437" s="105">
        <v>89883</v>
      </c>
      <c r="B437" s="104" t="s">
        <v>748</v>
      </c>
      <c r="C437" s="104" t="s">
        <v>249</v>
      </c>
      <c r="D437" s="129" t="s">
        <v>20826</v>
      </c>
    </row>
    <row r="438" spans="1:4">
      <c r="A438" s="105">
        <v>90586</v>
      </c>
      <c r="B438" s="104" t="s">
        <v>749</v>
      </c>
      <c r="C438" s="104" t="s">
        <v>249</v>
      </c>
      <c r="D438" s="129" t="s">
        <v>15165</v>
      </c>
    </row>
    <row r="439" spans="1:4">
      <c r="A439" s="105">
        <v>90625</v>
      </c>
      <c r="B439" s="104" t="s">
        <v>750</v>
      </c>
      <c r="C439" s="104" t="s">
        <v>249</v>
      </c>
      <c r="D439" s="129" t="s">
        <v>15166</v>
      </c>
    </row>
    <row r="440" spans="1:4">
      <c r="A440" s="105">
        <v>90631</v>
      </c>
      <c r="B440" s="104" t="s">
        <v>751</v>
      </c>
      <c r="C440" s="104" t="s">
        <v>249</v>
      </c>
      <c r="D440" s="129" t="s">
        <v>20827</v>
      </c>
    </row>
    <row r="441" spans="1:4">
      <c r="A441" s="105">
        <v>90637</v>
      </c>
      <c r="B441" s="104" t="s">
        <v>752</v>
      </c>
      <c r="C441" s="104" t="s">
        <v>249</v>
      </c>
      <c r="D441" s="129" t="s">
        <v>15168</v>
      </c>
    </row>
    <row r="442" spans="1:4">
      <c r="A442" s="105">
        <v>90643</v>
      </c>
      <c r="B442" s="104" t="s">
        <v>753</v>
      </c>
      <c r="C442" s="104" t="s">
        <v>249</v>
      </c>
      <c r="D442" s="129" t="s">
        <v>15169</v>
      </c>
    </row>
    <row r="443" spans="1:4">
      <c r="A443" s="105">
        <v>90650</v>
      </c>
      <c r="B443" s="104" t="s">
        <v>754</v>
      </c>
      <c r="C443" s="104" t="s">
        <v>249</v>
      </c>
      <c r="D443" s="129" t="s">
        <v>15170</v>
      </c>
    </row>
    <row r="444" spans="1:4">
      <c r="A444" s="105">
        <v>90656</v>
      </c>
      <c r="B444" s="104" t="s">
        <v>755</v>
      </c>
      <c r="C444" s="104" t="s">
        <v>249</v>
      </c>
      <c r="D444" s="129" t="s">
        <v>15171</v>
      </c>
    </row>
    <row r="445" spans="1:4">
      <c r="A445" s="105">
        <v>90662</v>
      </c>
      <c r="B445" s="104" t="s">
        <v>756</v>
      </c>
      <c r="C445" s="104" t="s">
        <v>249</v>
      </c>
      <c r="D445" s="129" t="s">
        <v>15172</v>
      </c>
    </row>
    <row r="446" spans="1:4">
      <c r="A446" s="105">
        <v>90668</v>
      </c>
      <c r="B446" s="104" t="s">
        <v>757</v>
      </c>
      <c r="C446" s="104" t="s">
        <v>249</v>
      </c>
      <c r="D446" s="129" t="s">
        <v>15173</v>
      </c>
    </row>
    <row r="447" spans="1:4">
      <c r="A447" s="105">
        <v>90674</v>
      </c>
      <c r="B447" s="104" t="s">
        <v>758</v>
      </c>
      <c r="C447" s="104" t="s">
        <v>249</v>
      </c>
      <c r="D447" s="129" t="s">
        <v>20828</v>
      </c>
    </row>
    <row r="448" spans="1:4">
      <c r="A448" s="105">
        <v>90680</v>
      </c>
      <c r="B448" s="104" t="s">
        <v>759</v>
      </c>
      <c r="C448" s="104" t="s">
        <v>249</v>
      </c>
      <c r="D448" s="129" t="s">
        <v>20829</v>
      </c>
    </row>
    <row r="449" spans="1:4">
      <c r="A449" s="105">
        <v>90686</v>
      </c>
      <c r="B449" s="104" t="s">
        <v>760</v>
      </c>
      <c r="C449" s="104" t="s">
        <v>249</v>
      </c>
      <c r="D449" s="129" t="s">
        <v>20830</v>
      </c>
    </row>
    <row r="450" spans="1:4">
      <c r="A450" s="105">
        <v>90692</v>
      </c>
      <c r="B450" s="104" t="s">
        <v>761</v>
      </c>
      <c r="C450" s="104" t="s">
        <v>249</v>
      </c>
      <c r="D450" s="129" t="s">
        <v>20831</v>
      </c>
    </row>
    <row r="451" spans="1:4">
      <c r="A451" s="105">
        <v>90964</v>
      </c>
      <c r="B451" s="104" t="s">
        <v>762</v>
      </c>
      <c r="C451" s="104" t="s">
        <v>249</v>
      </c>
      <c r="D451" s="129" t="s">
        <v>15178</v>
      </c>
    </row>
    <row r="452" spans="1:4">
      <c r="A452" s="105">
        <v>90972</v>
      </c>
      <c r="B452" s="104" t="s">
        <v>763</v>
      </c>
      <c r="C452" s="104" t="s">
        <v>249</v>
      </c>
      <c r="D452" s="129" t="s">
        <v>15179</v>
      </c>
    </row>
    <row r="453" spans="1:4">
      <c r="A453" s="105">
        <v>90979</v>
      </c>
      <c r="B453" s="104" t="s">
        <v>764</v>
      </c>
      <c r="C453" s="104" t="s">
        <v>249</v>
      </c>
      <c r="D453" s="129" t="s">
        <v>15180</v>
      </c>
    </row>
    <row r="454" spans="1:4">
      <c r="A454" s="105">
        <v>90991</v>
      </c>
      <c r="B454" s="104" t="s">
        <v>765</v>
      </c>
      <c r="C454" s="104" t="s">
        <v>249</v>
      </c>
      <c r="D454" s="129" t="s">
        <v>20832</v>
      </c>
    </row>
    <row r="455" spans="1:4">
      <c r="A455" s="105">
        <v>90999</v>
      </c>
      <c r="B455" s="104" t="s">
        <v>766</v>
      </c>
      <c r="C455" s="104" t="s">
        <v>249</v>
      </c>
      <c r="D455" s="129" t="s">
        <v>15182</v>
      </c>
    </row>
    <row r="456" spans="1:4">
      <c r="A456" s="105">
        <v>91031</v>
      </c>
      <c r="B456" s="104" t="s">
        <v>767</v>
      </c>
      <c r="C456" s="104" t="s">
        <v>249</v>
      </c>
      <c r="D456" s="129" t="s">
        <v>20833</v>
      </c>
    </row>
    <row r="457" spans="1:4">
      <c r="A457" s="105">
        <v>91277</v>
      </c>
      <c r="B457" s="104" t="s">
        <v>768</v>
      </c>
      <c r="C457" s="104" t="s">
        <v>249</v>
      </c>
      <c r="D457" s="129" t="s">
        <v>15184</v>
      </c>
    </row>
    <row r="458" spans="1:4">
      <c r="A458" s="105">
        <v>91283</v>
      </c>
      <c r="B458" s="104" t="s">
        <v>769</v>
      </c>
      <c r="C458" s="104" t="s">
        <v>249</v>
      </c>
      <c r="D458" s="129" t="s">
        <v>15185</v>
      </c>
    </row>
    <row r="459" spans="1:4">
      <c r="A459" s="105">
        <v>91386</v>
      </c>
      <c r="B459" s="104" t="s">
        <v>770</v>
      </c>
      <c r="C459" s="104" t="s">
        <v>249</v>
      </c>
      <c r="D459" s="129" t="s">
        <v>20834</v>
      </c>
    </row>
    <row r="460" spans="1:4">
      <c r="A460" s="105">
        <v>91533</v>
      </c>
      <c r="B460" s="104" t="s">
        <v>771</v>
      </c>
      <c r="C460" s="104" t="s">
        <v>249</v>
      </c>
      <c r="D460" s="129" t="s">
        <v>17817</v>
      </c>
    </row>
    <row r="461" spans="1:4">
      <c r="A461" s="105">
        <v>91634</v>
      </c>
      <c r="B461" s="104" t="s">
        <v>772</v>
      </c>
      <c r="C461" s="104" t="s">
        <v>249</v>
      </c>
      <c r="D461" s="129" t="s">
        <v>20835</v>
      </c>
    </row>
    <row r="462" spans="1:4">
      <c r="A462" s="105">
        <v>91645</v>
      </c>
      <c r="B462" s="104" t="s">
        <v>773</v>
      </c>
      <c r="C462" s="104" t="s">
        <v>249</v>
      </c>
      <c r="D462" s="129" t="s">
        <v>20836</v>
      </c>
    </row>
    <row r="463" spans="1:4">
      <c r="A463" s="105">
        <v>91692</v>
      </c>
      <c r="B463" s="104" t="s">
        <v>774</v>
      </c>
      <c r="C463" s="104" t="s">
        <v>249</v>
      </c>
      <c r="D463" s="129" t="s">
        <v>20837</v>
      </c>
    </row>
    <row r="464" spans="1:4">
      <c r="A464" s="105">
        <v>92043</v>
      </c>
      <c r="B464" s="104" t="s">
        <v>775</v>
      </c>
      <c r="C464" s="104" t="s">
        <v>249</v>
      </c>
      <c r="D464" s="129" t="s">
        <v>15191</v>
      </c>
    </row>
    <row r="465" spans="1:4">
      <c r="A465" s="105">
        <v>92106</v>
      </c>
      <c r="B465" s="104" t="s">
        <v>776</v>
      </c>
      <c r="C465" s="104" t="s">
        <v>249</v>
      </c>
      <c r="D465" s="129" t="s">
        <v>20838</v>
      </c>
    </row>
    <row r="466" spans="1:4">
      <c r="A466" s="105">
        <v>92112</v>
      </c>
      <c r="B466" s="104" t="s">
        <v>777</v>
      </c>
      <c r="C466" s="104" t="s">
        <v>249</v>
      </c>
      <c r="D466" s="129" t="s">
        <v>15193</v>
      </c>
    </row>
    <row r="467" spans="1:4">
      <c r="A467" s="105">
        <v>92118</v>
      </c>
      <c r="B467" s="104" t="s">
        <v>778</v>
      </c>
      <c r="C467" s="104" t="s">
        <v>249</v>
      </c>
      <c r="D467" s="129" t="s">
        <v>15194</v>
      </c>
    </row>
    <row r="468" spans="1:4">
      <c r="A468" s="105">
        <v>92138</v>
      </c>
      <c r="B468" s="104" t="s">
        <v>779</v>
      </c>
      <c r="C468" s="104" t="s">
        <v>249</v>
      </c>
      <c r="D468" s="129" t="s">
        <v>20839</v>
      </c>
    </row>
    <row r="469" spans="1:4">
      <c r="A469" s="105">
        <v>92145</v>
      </c>
      <c r="B469" s="104" t="s">
        <v>780</v>
      </c>
      <c r="C469" s="104" t="s">
        <v>249</v>
      </c>
      <c r="D469" s="129" t="s">
        <v>16704</v>
      </c>
    </row>
    <row r="470" spans="1:4">
      <c r="A470" s="105">
        <v>92242</v>
      </c>
      <c r="B470" s="104" t="s">
        <v>781</v>
      </c>
      <c r="C470" s="104" t="s">
        <v>249</v>
      </c>
      <c r="D470" s="129" t="s">
        <v>20840</v>
      </c>
    </row>
    <row r="471" spans="1:4">
      <c r="A471" s="105">
        <v>92716</v>
      </c>
      <c r="B471" s="104" t="s">
        <v>253</v>
      </c>
      <c r="C471" s="104" t="s">
        <v>249</v>
      </c>
      <c r="D471" s="129" t="s">
        <v>15198</v>
      </c>
    </row>
    <row r="472" spans="1:4">
      <c r="A472" s="105">
        <v>92960</v>
      </c>
      <c r="B472" s="104" t="s">
        <v>782</v>
      </c>
      <c r="C472" s="104" t="s">
        <v>249</v>
      </c>
      <c r="D472" s="129" t="s">
        <v>15199</v>
      </c>
    </row>
    <row r="473" spans="1:4">
      <c r="A473" s="105">
        <v>92966</v>
      </c>
      <c r="B473" s="104" t="s">
        <v>783</v>
      </c>
      <c r="C473" s="104" t="s">
        <v>249</v>
      </c>
      <c r="D473" s="129" t="s">
        <v>16634</v>
      </c>
    </row>
    <row r="474" spans="1:4">
      <c r="A474" s="105">
        <v>93224</v>
      </c>
      <c r="B474" s="104" t="s">
        <v>784</v>
      </c>
      <c r="C474" s="104" t="s">
        <v>249</v>
      </c>
      <c r="D474" s="129" t="s">
        <v>20841</v>
      </c>
    </row>
    <row r="475" spans="1:4">
      <c r="A475" s="105">
        <v>93233</v>
      </c>
      <c r="B475" s="104" t="s">
        <v>785</v>
      </c>
      <c r="C475" s="104" t="s">
        <v>249</v>
      </c>
      <c r="D475" s="129" t="s">
        <v>15202</v>
      </c>
    </row>
    <row r="476" spans="1:4">
      <c r="A476" s="105">
        <v>93272</v>
      </c>
      <c r="B476" s="104" t="s">
        <v>786</v>
      </c>
      <c r="C476" s="104" t="s">
        <v>249</v>
      </c>
      <c r="D476" s="129" t="s">
        <v>20842</v>
      </c>
    </row>
    <row r="477" spans="1:4">
      <c r="A477" s="105">
        <v>93281</v>
      </c>
      <c r="B477" s="104" t="s">
        <v>787</v>
      </c>
      <c r="C477" s="104" t="s">
        <v>249</v>
      </c>
      <c r="D477" s="129" t="s">
        <v>20066</v>
      </c>
    </row>
    <row r="478" spans="1:4">
      <c r="A478" s="105">
        <v>93287</v>
      </c>
      <c r="B478" s="104" t="s">
        <v>788</v>
      </c>
      <c r="C478" s="104" t="s">
        <v>249</v>
      </c>
      <c r="D478" s="129" t="s">
        <v>20843</v>
      </c>
    </row>
    <row r="479" spans="1:4">
      <c r="A479" s="105">
        <v>93402</v>
      </c>
      <c r="B479" s="104" t="s">
        <v>789</v>
      </c>
      <c r="C479" s="104" t="s">
        <v>249</v>
      </c>
      <c r="D479" s="129" t="s">
        <v>20844</v>
      </c>
    </row>
    <row r="480" spans="1:4">
      <c r="A480" s="105">
        <v>93408</v>
      </c>
      <c r="B480" s="104" t="s">
        <v>790</v>
      </c>
      <c r="C480" s="104" t="s">
        <v>249</v>
      </c>
      <c r="D480" s="129" t="s">
        <v>20845</v>
      </c>
    </row>
    <row r="481" spans="1:4">
      <c r="A481" s="105">
        <v>93415</v>
      </c>
      <c r="B481" s="104" t="s">
        <v>791</v>
      </c>
      <c r="C481" s="104" t="s">
        <v>249</v>
      </c>
      <c r="D481" s="129" t="s">
        <v>15208</v>
      </c>
    </row>
    <row r="482" spans="1:4">
      <c r="A482" s="105">
        <v>93421</v>
      </c>
      <c r="B482" s="104" t="s">
        <v>792</v>
      </c>
      <c r="C482" s="104" t="s">
        <v>249</v>
      </c>
      <c r="D482" s="129" t="s">
        <v>15209</v>
      </c>
    </row>
    <row r="483" spans="1:4">
      <c r="A483" s="105">
        <v>93427</v>
      </c>
      <c r="B483" s="104" t="s">
        <v>793</v>
      </c>
      <c r="C483" s="104" t="s">
        <v>249</v>
      </c>
      <c r="D483" s="129" t="s">
        <v>15210</v>
      </c>
    </row>
    <row r="484" spans="1:4">
      <c r="A484" s="105">
        <v>93433</v>
      </c>
      <c r="B484" s="104" t="s">
        <v>794</v>
      </c>
      <c r="C484" s="104" t="s">
        <v>249</v>
      </c>
      <c r="D484" s="129" t="s">
        <v>20846</v>
      </c>
    </row>
    <row r="485" spans="1:4">
      <c r="A485" s="105">
        <v>93439</v>
      </c>
      <c r="B485" s="104" t="s">
        <v>795</v>
      </c>
      <c r="C485" s="104" t="s">
        <v>249</v>
      </c>
      <c r="D485" s="129" t="s">
        <v>20847</v>
      </c>
    </row>
    <row r="486" spans="1:4">
      <c r="A486" s="105">
        <v>95121</v>
      </c>
      <c r="B486" s="104" t="s">
        <v>796</v>
      </c>
      <c r="C486" s="104" t="s">
        <v>249</v>
      </c>
      <c r="D486" s="129" t="s">
        <v>20848</v>
      </c>
    </row>
    <row r="487" spans="1:4">
      <c r="A487" s="105">
        <v>95127</v>
      </c>
      <c r="B487" s="104" t="s">
        <v>797</v>
      </c>
      <c r="C487" s="104" t="s">
        <v>249</v>
      </c>
      <c r="D487" s="129" t="s">
        <v>20849</v>
      </c>
    </row>
    <row r="488" spans="1:4">
      <c r="A488" s="105">
        <v>95133</v>
      </c>
      <c r="B488" s="104" t="s">
        <v>798</v>
      </c>
      <c r="C488" s="104" t="s">
        <v>249</v>
      </c>
      <c r="D488" s="129" t="s">
        <v>20850</v>
      </c>
    </row>
    <row r="489" spans="1:4">
      <c r="A489" s="105">
        <v>95139</v>
      </c>
      <c r="B489" s="104" t="s">
        <v>799</v>
      </c>
      <c r="C489" s="104" t="s">
        <v>249</v>
      </c>
      <c r="D489" s="129" t="s">
        <v>15216</v>
      </c>
    </row>
    <row r="490" spans="1:4">
      <c r="A490" s="105">
        <v>95212</v>
      </c>
      <c r="B490" s="104" t="s">
        <v>800</v>
      </c>
      <c r="C490" s="104" t="s">
        <v>249</v>
      </c>
      <c r="D490" s="129" t="s">
        <v>20851</v>
      </c>
    </row>
    <row r="491" spans="1:4">
      <c r="A491" s="105">
        <v>95258</v>
      </c>
      <c r="B491" s="104" t="s">
        <v>801</v>
      </c>
      <c r="C491" s="104" t="s">
        <v>249</v>
      </c>
      <c r="D491" s="129" t="s">
        <v>18087</v>
      </c>
    </row>
    <row r="492" spans="1:4">
      <c r="A492" s="105">
        <v>95264</v>
      </c>
      <c r="B492" s="104" t="s">
        <v>802</v>
      </c>
      <c r="C492" s="104" t="s">
        <v>249</v>
      </c>
      <c r="D492" s="129" t="s">
        <v>15219</v>
      </c>
    </row>
    <row r="493" spans="1:4">
      <c r="A493" s="105">
        <v>95270</v>
      </c>
      <c r="B493" s="104" t="s">
        <v>803</v>
      </c>
      <c r="C493" s="104" t="s">
        <v>249</v>
      </c>
      <c r="D493" s="129" t="s">
        <v>15220</v>
      </c>
    </row>
    <row r="494" spans="1:4">
      <c r="A494" s="105">
        <v>95276</v>
      </c>
      <c r="B494" s="104" t="s">
        <v>804</v>
      </c>
      <c r="C494" s="104" t="s">
        <v>249</v>
      </c>
      <c r="D494" s="129" t="s">
        <v>15221</v>
      </c>
    </row>
    <row r="495" spans="1:4">
      <c r="A495" s="105">
        <v>95282</v>
      </c>
      <c r="B495" s="104" t="s">
        <v>805</v>
      </c>
      <c r="C495" s="104" t="s">
        <v>249</v>
      </c>
      <c r="D495" s="129" t="s">
        <v>15222</v>
      </c>
    </row>
    <row r="496" spans="1:4">
      <c r="A496" s="105">
        <v>95620</v>
      </c>
      <c r="B496" s="104" t="s">
        <v>806</v>
      </c>
      <c r="C496" s="104" t="s">
        <v>249</v>
      </c>
      <c r="D496" s="129" t="s">
        <v>19296</v>
      </c>
    </row>
    <row r="497" spans="1:4">
      <c r="A497" s="105">
        <v>95631</v>
      </c>
      <c r="B497" s="104" t="s">
        <v>807</v>
      </c>
      <c r="C497" s="104" t="s">
        <v>249</v>
      </c>
      <c r="D497" s="129" t="s">
        <v>20852</v>
      </c>
    </row>
    <row r="498" spans="1:4">
      <c r="A498" s="105">
        <v>95702</v>
      </c>
      <c r="B498" s="104" t="s">
        <v>808</v>
      </c>
      <c r="C498" s="104" t="s">
        <v>249</v>
      </c>
      <c r="D498" s="129" t="s">
        <v>18658</v>
      </c>
    </row>
    <row r="499" spans="1:4">
      <c r="A499" s="105">
        <v>95708</v>
      </c>
      <c r="B499" s="104" t="s">
        <v>809</v>
      </c>
      <c r="C499" s="104" t="s">
        <v>249</v>
      </c>
      <c r="D499" s="129" t="s">
        <v>20853</v>
      </c>
    </row>
    <row r="500" spans="1:4">
      <c r="A500" s="105">
        <v>95714</v>
      </c>
      <c r="B500" s="104" t="s">
        <v>810</v>
      </c>
      <c r="C500" s="104" t="s">
        <v>249</v>
      </c>
      <c r="D500" s="129" t="s">
        <v>20854</v>
      </c>
    </row>
    <row r="501" spans="1:4">
      <c r="A501" s="105">
        <v>95720</v>
      </c>
      <c r="B501" s="104" t="s">
        <v>811</v>
      </c>
      <c r="C501" s="104" t="s">
        <v>249</v>
      </c>
      <c r="D501" s="129" t="s">
        <v>20855</v>
      </c>
    </row>
    <row r="502" spans="1:4">
      <c r="A502" s="105">
        <v>95872</v>
      </c>
      <c r="B502" s="104" t="s">
        <v>812</v>
      </c>
      <c r="C502" s="104" t="s">
        <v>249</v>
      </c>
      <c r="D502" s="129" t="s">
        <v>15229</v>
      </c>
    </row>
    <row r="503" spans="1:4">
      <c r="A503" s="105">
        <v>96013</v>
      </c>
      <c r="B503" s="104" t="s">
        <v>813</v>
      </c>
      <c r="C503" s="104" t="s">
        <v>249</v>
      </c>
      <c r="D503" s="129" t="s">
        <v>20856</v>
      </c>
    </row>
    <row r="504" spans="1:4">
      <c r="A504" s="105">
        <v>96020</v>
      </c>
      <c r="B504" s="104" t="s">
        <v>814</v>
      </c>
      <c r="C504" s="104" t="s">
        <v>249</v>
      </c>
      <c r="D504" s="129" t="s">
        <v>20857</v>
      </c>
    </row>
    <row r="505" spans="1:4">
      <c r="A505" s="105">
        <v>96028</v>
      </c>
      <c r="B505" s="104" t="s">
        <v>815</v>
      </c>
      <c r="C505" s="104" t="s">
        <v>249</v>
      </c>
      <c r="D505" s="129" t="s">
        <v>20858</v>
      </c>
    </row>
    <row r="506" spans="1:4">
      <c r="A506" s="105">
        <v>96035</v>
      </c>
      <c r="B506" s="104" t="s">
        <v>816</v>
      </c>
      <c r="C506" s="104" t="s">
        <v>249</v>
      </c>
      <c r="D506" s="129" t="s">
        <v>20859</v>
      </c>
    </row>
    <row r="507" spans="1:4">
      <c r="A507" s="105">
        <v>96157</v>
      </c>
      <c r="B507" s="104" t="s">
        <v>817</v>
      </c>
      <c r="C507" s="104" t="s">
        <v>249</v>
      </c>
      <c r="D507" s="129" t="s">
        <v>20860</v>
      </c>
    </row>
    <row r="508" spans="1:4">
      <c r="A508" s="105">
        <v>96158</v>
      </c>
      <c r="B508" s="104" t="s">
        <v>818</v>
      </c>
      <c r="C508" s="104" t="s">
        <v>249</v>
      </c>
      <c r="D508" s="129" t="s">
        <v>17118</v>
      </c>
    </row>
    <row r="509" spans="1:4">
      <c r="A509" s="105">
        <v>96245</v>
      </c>
      <c r="B509" s="104" t="s">
        <v>819</v>
      </c>
      <c r="C509" s="104" t="s">
        <v>249</v>
      </c>
      <c r="D509" s="129" t="s">
        <v>20861</v>
      </c>
    </row>
    <row r="510" spans="1:4">
      <c r="A510" s="105">
        <v>96463</v>
      </c>
      <c r="B510" s="104" t="s">
        <v>820</v>
      </c>
      <c r="C510" s="104" t="s">
        <v>249</v>
      </c>
      <c r="D510" s="129" t="s">
        <v>20862</v>
      </c>
    </row>
    <row r="511" spans="1:4">
      <c r="A511" s="105">
        <v>98764</v>
      </c>
      <c r="B511" s="104" t="s">
        <v>821</v>
      </c>
      <c r="C511" s="104" t="s">
        <v>249</v>
      </c>
      <c r="D511" s="129" t="s">
        <v>15238</v>
      </c>
    </row>
    <row r="512" spans="1:4">
      <c r="A512" s="105">
        <v>99833</v>
      </c>
      <c r="B512" s="104" t="s">
        <v>822</v>
      </c>
      <c r="C512" s="104" t="s">
        <v>249</v>
      </c>
      <c r="D512" s="129" t="s">
        <v>15239</v>
      </c>
    </row>
    <row r="513" spans="1:4">
      <c r="A513" s="105">
        <v>100641</v>
      </c>
      <c r="B513" s="104" t="s">
        <v>823</v>
      </c>
      <c r="C513" s="104" t="s">
        <v>249</v>
      </c>
      <c r="D513" s="129" t="s">
        <v>20863</v>
      </c>
    </row>
    <row r="514" spans="1:4">
      <c r="A514" s="105">
        <v>100647</v>
      </c>
      <c r="B514" s="104" t="s">
        <v>824</v>
      </c>
      <c r="C514" s="104" t="s">
        <v>249</v>
      </c>
      <c r="D514" s="129" t="s">
        <v>20864</v>
      </c>
    </row>
    <row r="515" spans="1:4">
      <c r="A515" s="105">
        <v>102275</v>
      </c>
      <c r="B515" s="104" t="s">
        <v>825</v>
      </c>
      <c r="C515" s="104" t="s">
        <v>249</v>
      </c>
      <c r="D515" s="129" t="s">
        <v>17488</v>
      </c>
    </row>
    <row r="516" spans="1:4">
      <c r="A516" s="105">
        <v>5632</v>
      </c>
      <c r="B516" s="104" t="s">
        <v>826</v>
      </c>
      <c r="C516" s="104" t="s">
        <v>827</v>
      </c>
      <c r="D516" s="129" t="s">
        <v>17167</v>
      </c>
    </row>
    <row r="517" spans="1:4">
      <c r="A517" s="105">
        <v>5679</v>
      </c>
      <c r="B517" s="104" t="s">
        <v>828</v>
      </c>
      <c r="C517" s="104" t="s">
        <v>827</v>
      </c>
      <c r="D517" s="129" t="s">
        <v>20865</v>
      </c>
    </row>
    <row r="518" spans="1:4">
      <c r="A518" s="105">
        <v>5681</v>
      </c>
      <c r="B518" s="104" t="s">
        <v>829</v>
      </c>
      <c r="C518" s="104" t="s">
        <v>827</v>
      </c>
      <c r="D518" s="129" t="s">
        <v>20866</v>
      </c>
    </row>
    <row r="519" spans="1:4">
      <c r="A519" s="105">
        <v>5685</v>
      </c>
      <c r="B519" s="104" t="s">
        <v>830</v>
      </c>
      <c r="C519" s="104" t="s">
        <v>827</v>
      </c>
      <c r="D519" s="129" t="s">
        <v>20867</v>
      </c>
    </row>
    <row r="520" spans="1:4">
      <c r="A520" s="105">
        <v>5690</v>
      </c>
      <c r="B520" s="104" t="s">
        <v>831</v>
      </c>
      <c r="C520" s="104" t="s">
        <v>827</v>
      </c>
      <c r="D520" s="129" t="s">
        <v>15247</v>
      </c>
    </row>
    <row r="521" spans="1:4">
      <c r="A521" s="105">
        <v>5806</v>
      </c>
      <c r="B521" s="104" t="s">
        <v>832</v>
      </c>
      <c r="C521" s="104" t="s">
        <v>827</v>
      </c>
      <c r="D521" s="129" t="s">
        <v>15248</v>
      </c>
    </row>
    <row r="522" spans="1:4">
      <c r="A522" s="105">
        <v>5826</v>
      </c>
      <c r="B522" s="104" t="s">
        <v>833</v>
      </c>
      <c r="C522" s="104" t="s">
        <v>827</v>
      </c>
      <c r="D522" s="129" t="s">
        <v>20868</v>
      </c>
    </row>
    <row r="523" spans="1:4">
      <c r="A523" s="105">
        <v>5829</v>
      </c>
      <c r="B523" s="104" t="s">
        <v>834</v>
      </c>
      <c r="C523" s="104" t="s">
        <v>827</v>
      </c>
      <c r="D523" s="129" t="s">
        <v>20869</v>
      </c>
    </row>
    <row r="524" spans="1:4">
      <c r="A524" s="105">
        <v>5837</v>
      </c>
      <c r="B524" s="104" t="s">
        <v>835</v>
      </c>
      <c r="C524" s="104" t="s">
        <v>827</v>
      </c>
      <c r="D524" s="129" t="s">
        <v>20870</v>
      </c>
    </row>
    <row r="525" spans="1:4">
      <c r="A525" s="105">
        <v>5841</v>
      </c>
      <c r="B525" s="104" t="s">
        <v>836</v>
      </c>
      <c r="C525" s="104" t="s">
        <v>827</v>
      </c>
      <c r="D525" s="129" t="s">
        <v>15252</v>
      </c>
    </row>
    <row r="526" spans="1:4">
      <c r="A526" s="105">
        <v>5845</v>
      </c>
      <c r="B526" s="104" t="s">
        <v>837</v>
      </c>
      <c r="C526" s="104" t="s">
        <v>827</v>
      </c>
      <c r="D526" s="129" t="s">
        <v>20871</v>
      </c>
    </row>
    <row r="527" spans="1:4">
      <c r="A527" s="105">
        <v>5849</v>
      </c>
      <c r="B527" s="104" t="s">
        <v>838</v>
      </c>
      <c r="C527" s="104" t="s">
        <v>827</v>
      </c>
      <c r="D527" s="129" t="s">
        <v>17165</v>
      </c>
    </row>
    <row r="528" spans="1:4">
      <c r="A528" s="105">
        <v>5853</v>
      </c>
      <c r="B528" s="104" t="s">
        <v>839</v>
      </c>
      <c r="C528" s="104" t="s">
        <v>827</v>
      </c>
      <c r="D528" s="129" t="s">
        <v>20872</v>
      </c>
    </row>
    <row r="529" spans="1:4">
      <c r="A529" s="105">
        <v>5857</v>
      </c>
      <c r="B529" s="104" t="s">
        <v>840</v>
      </c>
      <c r="C529" s="104" t="s">
        <v>827</v>
      </c>
      <c r="D529" s="129" t="s">
        <v>20767</v>
      </c>
    </row>
    <row r="530" spans="1:4">
      <c r="A530" s="105">
        <v>5865</v>
      </c>
      <c r="B530" s="104" t="s">
        <v>841</v>
      </c>
      <c r="C530" s="104" t="s">
        <v>827</v>
      </c>
      <c r="D530" s="129" t="s">
        <v>15257</v>
      </c>
    </row>
    <row r="531" spans="1:4">
      <c r="A531" s="105">
        <v>5869</v>
      </c>
      <c r="B531" s="104" t="s">
        <v>842</v>
      </c>
      <c r="C531" s="104" t="s">
        <v>827</v>
      </c>
      <c r="D531" s="129" t="s">
        <v>20873</v>
      </c>
    </row>
    <row r="532" spans="1:4">
      <c r="A532" s="105">
        <v>5877</v>
      </c>
      <c r="B532" s="104" t="s">
        <v>843</v>
      </c>
      <c r="C532" s="104" t="s">
        <v>827</v>
      </c>
      <c r="D532" s="129" t="s">
        <v>15627</v>
      </c>
    </row>
    <row r="533" spans="1:4">
      <c r="A533" s="105">
        <v>5881</v>
      </c>
      <c r="B533" s="104" t="s">
        <v>844</v>
      </c>
      <c r="C533" s="104" t="s">
        <v>827</v>
      </c>
      <c r="D533" s="129" t="s">
        <v>20874</v>
      </c>
    </row>
    <row r="534" spans="1:4">
      <c r="A534" s="105">
        <v>5884</v>
      </c>
      <c r="B534" s="104" t="s">
        <v>845</v>
      </c>
      <c r="C534" s="104" t="s">
        <v>827</v>
      </c>
      <c r="D534" s="129" t="s">
        <v>20875</v>
      </c>
    </row>
    <row r="535" spans="1:4">
      <c r="A535" s="105">
        <v>5892</v>
      </c>
      <c r="B535" s="104" t="s">
        <v>846</v>
      </c>
      <c r="C535" s="104" t="s">
        <v>827</v>
      </c>
      <c r="D535" s="129" t="s">
        <v>15698</v>
      </c>
    </row>
    <row r="536" spans="1:4">
      <c r="A536" s="105">
        <v>5896</v>
      </c>
      <c r="B536" s="104" t="s">
        <v>847</v>
      </c>
      <c r="C536" s="104" t="s">
        <v>827</v>
      </c>
      <c r="D536" s="129" t="s">
        <v>14807</v>
      </c>
    </row>
    <row r="537" spans="1:4">
      <c r="A537" s="105">
        <v>5903</v>
      </c>
      <c r="B537" s="104" t="s">
        <v>848</v>
      </c>
      <c r="C537" s="104" t="s">
        <v>827</v>
      </c>
      <c r="D537" s="129" t="s">
        <v>20876</v>
      </c>
    </row>
    <row r="538" spans="1:4">
      <c r="A538" s="105">
        <v>5911</v>
      </c>
      <c r="B538" s="104" t="s">
        <v>849</v>
      </c>
      <c r="C538" s="104" t="s">
        <v>827</v>
      </c>
      <c r="D538" s="129" t="s">
        <v>17216</v>
      </c>
    </row>
    <row r="539" spans="1:4">
      <c r="A539" s="105">
        <v>5923</v>
      </c>
      <c r="B539" s="104" t="s">
        <v>850</v>
      </c>
      <c r="C539" s="104" t="s">
        <v>827</v>
      </c>
      <c r="D539" s="129" t="s">
        <v>15266</v>
      </c>
    </row>
    <row r="540" spans="1:4">
      <c r="A540" s="105">
        <v>5930</v>
      </c>
      <c r="B540" s="104" t="s">
        <v>851</v>
      </c>
      <c r="C540" s="104" t="s">
        <v>827</v>
      </c>
      <c r="D540" s="129" t="s">
        <v>15244</v>
      </c>
    </row>
    <row r="541" spans="1:4">
      <c r="A541" s="105">
        <v>5934</v>
      </c>
      <c r="B541" s="104" t="s">
        <v>852</v>
      </c>
      <c r="C541" s="104" t="s">
        <v>827</v>
      </c>
      <c r="D541" s="129" t="s">
        <v>17875</v>
      </c>
    </row>
    <row r="542" spans="1:4">
      <c r="A542" s="105">
        <v>5942</v>
      </c>
      <c r="B542" s="104" t="s">
        <v>853</v>
      </c>
      <c r="C542" s="104" t="s">
        <v>827</v>
      </c>
      <c r="D542" s="129" t="s">
        <v>20877</v>
      </c>
    </row>
    <row r="543" spans="1:4">
      <c r="A543" s="105">
        <v>5946</v>
      </c>
      <c r="B543" s="104" t="s">
        <v>854</v>
      </c>
      <c r="C543" s="104" t="s">
        <v>827</v>
      </c>
      <c r="D543" s="129" t="s">
        <v>20878</v>
      </c>
    </row>
    <row r="544" spans="1:4">
      <c r="A544" s="105">
        <v>5952</v>
      </c>
      <c r="B544" s="104" t="s">
        <v>855</v>
      </c>
      <c r="C544" s="104" t="s">
        <v>827</v>
      </c>
      <c r="D544" s="129" t="s">
        <v>15880</v>
      </c>
    </row>
    <row r="545" spans="1:4">
      <c r="A545" s="105">
        <v>5954</v>
      </c>
      <c r="B545" s="104" t="s">
        <v>856</v>
      </c>
      <c r="C545" s="104" t="s">
        <v>827</v>
      </c>
      <c r="D545" s="129" t="s">
        <v>15272</v>
      </c>
    </row>
    <row r="546" spans="1:4">
      <c r="A546" s="105">
        <v>5961</v>
      </c>
      <c r="B546" s="104" t="s">
        <v>857</v>
      </c>
      <c r="C546" s="104" t="s">
        <v>827</v>
      </c>
      <c r="D546" s="129" t="s">
        <v>18360</v>
      </c>
    </row>
    <row r="547" spans="1:4">
      <c r="A547" s="105">
        <v>6260</v>
      </c>
      <c r="B547" s="104" t="s">
        <v>858</v>
      </c>
      <c r="C547" s="104" t="s">
        <v>827</v>
      </c>
      <c r="D547" s="129" t="s">
        <v>20879</v>
      </c>
    </row>
    <row r="548" spans="1:4">
      <c r="A548" s="105">
        <v>6880</v>
      </c>
      <c r="B548" s="104" t="s">
        <v>859</v>
      </c>
      <c r="C548" s="104" t="s">
        <v>827</v>
      </c>
      <c r="D548" s="129" t="s">
        <v>20880</v>
      </c>
    </row>
    <row r="549" spans="1:4">
      <c r="A549" s="105">
        <v>7031</v>
      </c>
      <c r="B549" s="104" t="s">
        <v>860</v>
      </c>
      <c r="C549" s="104" t="s">
        <v>827</v>
      </c>
      <c r="D549" s="129" t="s">
        <v>15276</v>
      </c>
    </row>
    <row r="550" spans="1:4">
      <c r="A550" s="105">
        <v>7043</v>
      </c>
      <c r="B550" s="104" t="s">
        <v>861</v>
      </c>
      <c r="C550" s="104" t="s">
        <v>827</v>
      </c>
      <c r="D550" s="129" t="s">
        <v>15277</v>
      </c>
    </row>
    <row r="551" spans="1:4">
      <c r="A551" s="105">
        <v>7050</v>
      </c>
      <c r="B551" s="104" t="s">
        <v>862</v>
      </c>
      <c r="C551" s="104" t="s">
        <v>827</v>
      </c>
      <c r="D551" s="129" t="s">
        <v>20881</v>
      </c>
    </row>
    <row r="552" spans="1:4">
      <c r="A552" s="105">
        <v>67827</v>
      </c>
      <c r="B552" s="104" t="s">
        <v>863</v>
      </c>
      <c r="C552" s="104" t="s">
        <v>827</v>
      </c>
      <c r="D552" s="129" t="s">
        <v>20882</v>
      </c>
    </row>
    <row r="553" spans="1:4">
      <c r="A553" s="105">
        <v>73395</v>
      </c>
      <c r="B553" s="104" t="s">
        <v>864</v>
      </c>
      <c r="C553" s="104" t="s">
        <v>827</v>
      </c>
      <c r="D553" s="129" t="s">
        <v>15280</v>
      </c>
    </row>
    <row r="554" spans="1:4">
      <c r="A554" s="105">
        <v>83766</v>
      </c>
      <c r="B554" s="104" t="s">
        <v>865</v>
      </c>
      <c r="C554" s="104" t="s">
        <v>827</v>
      </c>
      <c r="D554" s="129" t="s">
        <v>20883</v>
      </c>
    </row>
    <row r="555" spans="1:4">
      <c r="A555" s="105">
        <v>84013</v>
      </c>
      <c r="B555" s="104" t="s">
        <v>866</v>
      </c>
      <c r="C555" s="104" t="s">
        <v>827</v>
      </c>
      <c r="D555" s="129" t="s">
        <v>20884</v>
      </c>
    </row>
    <row r="556" spans="1:4">
      <c r="A556" s="105">
        <v>87446</v>
      </c>
      <c r="B556" s="104" t="s">
        <v>867</v>
      </c>
      <c r="C556" s="104" t="s">
        <v>827</v>
      </c>
      <c r="D556" s="129" t="s">
        <v>15283</v>
      </c>
    </row>
    <row r="557" spans="1:4">
      <c r="A557" s="105">
        <v>88392</v>
      </c>
      <c r="B557" s="104" t="s">
        <v>868</v>
      </c>
      <c r="C557" s="104" t="s">
        <v>827</v>
      </c>
      <c r="D557" s="129" t="s">
        <v>15284</v>
      </c>
    </row>
    <row r="558" spans="1:4">
      <c r="A558" s="105">
        <v>88398</v>
      </c>
      <c r="B558" s="104" t="s">
        <v>869</v>
      </c>
      <c r="C558" s="104" t="s">
        <v>827</v>
      </c>
      <c r="D558" s="129" t="s">
        <v>15285</v>
      </c>
    </row>
    <row r="559" spans="1:4">
      <c r="A559" s="105">
        <v>88404</v>
      </c>
      <c r="B559" s="104" t="s">
        <v>870</v>
      </c>
      <c r="C559" s="104" t="s">
        <v>827</v>
      </c>
      <c r="D559" s="129" t="s">
        <v>15286</v>
      </c>
    </row>
    <row r="560" spans="1:4">
      <c r="A560" s="105">
        <v>88430</v>
      </c>
      <c r="B560" s="104" t="s">
        <v>871</v>
      </c>
      <c r="C560" s="104" t="s">
        <v>827</v>
      </c>
      <c r="D560" s="129" t="s">
        <v>15287</v>
      </c>
    </row>
    <row r="561" spans="1:4">
      <c r="A561" s="105">
        <v>88438</v>
      </c>
      <c r="B561" s="104" t="s">
        <v>872</v>
      </c>
      <c r="C561" s="104" t="s">
        <v>827</v>
      </c>
      <c r="D561" s="129" t="s">
        <v>15288</v>
      </c>
    </row>
    <row r="562" spans="1:4">
      <c r="A562" s="105">
        <v>88831</v>
      </c>
      <c r="B562" s="104" t="s">
        <v>873</v>
      </c>
      <c r="C562" s="104" t="s">
        <v>827</v>
      </c>
      <c r="D562" s="129" t="s">
        <v>15289</v>
      </c>
    </row>
    <row r="563" spans="1:4">
      <c r="A563" s="105">
        <v>88844</v>
      </c>
      <c r="B563" s="104" t="s">
        <v>874</v>
      </c>
      <c r="C563" s="104" t="s">
        <v>827</v>
      </c>
      <c r="D563" s="129" t="s">
        <v>20885</v>
      </c>
    </row>
    <row r="564" spans="1:4">
      <c r="A564" s="105">
        <v>88908</v>
      </c>
      <c r="B564" s="104" t="s">
        <v>875</v>
      </c>
      <c r="C564" s="104" t="s">
        <v>827</v>
      </c>
      <c r="D564" s="129" t="s">
        <v>20886</v>
      </c>
    </row>
    <row r="565" spans="1:4">
      <c r="A565" s="105">
        <v>89022</v>
      </c>
      <c r="B565" s="104" t="s">
        <v>876</v>
      </c>
      <c r="C565" s="104" t="s">
        <v>827</v>
      </c>
      <c r="D565" s="129" t="s">
        <v>15292</v>
      </c>
    </row>
    <row r="566" spans="1:4">
      <c r="A566" s="105">
        <v>89027</v>
      </c>
      <c r="B566" s="104" t="s">
        <v>877</v>
      </c>
      <c r="C566" s="104" t="s">
        <v>827</v>
      </c>
      <c r="D566" s="129" t="s">
        <v>15293</v>
      </c>
    </row>
    <row r="567" spans="1:4">
      <c r="A567" s="105">
        <v>89031</v>
      </c>
      <c r="B567" s="104" t="s">
        <v>878</v>
      </c>
      <c r="C567" s="104" t="s">
        <v>827</v>
      </c>
      <c r="D567" s="129" t="s">
        <v>16714</v>
      </c>
    </row>
    <row r="568" spans="1:4">
      <c r="A568" s="105">
        <v>89036</v>
      </c>
      <c r="B568" s="104" t="s">
        <v>879</v>
      </c>
      <c r="C568" s="104" t="s">
        <v>827</v>
      </c>
      <c r="D568" s="129" t="s">
        <v>20887</v>
      </c>
    </row>
    <row r="569" spans="1:4">
      <c r="A569" s="105">
        <v>89218</v>
      </c>
      <c r="B569" s="104" t="s">
        <v>880</v>
      </c>
      <c r="C569" s="104" t="s">
        <v>827</v>
      </c>
      <c r="D569" s="129" t="s">
        <v>20888</v>
      </c>
    </row>
    <row r="570" spans="1:4">
      <c r="A570" s="105">
        <v>89226</v>
      </c>
      <c r="B570" s="104" t="s">
        <v>881</v>
      </c>
      <c r="C570" s="104" t="s">
        <v>827</v>
      </c>
      <c r="D570" s="129" t="s">
        <v>15297</v>
      </c>
    </row>
    <row r="571" spans="1:4">
      <c r="A571" s="105">
        <v>89235</v>
      </c>
      <c r="B571" s="104" t="s">
        <v>882</v>
      </c>
      <c r="C571" s="104" t="s">
        <v>827</v>
      </c>
      <c r="D571" s="129" t="s">
        <v>20889</v>
      </c>
    </row>
    <row r="572" spans="1:4">
      <c r="A572" s="105">
        <v>89243</v>
      </c>
      <c r="B572" s="104" t="s">
        <v>883</v>
      </c>
      <c r="C572" s="104" t="s">
        <v>827</v>
      </c>
      <c r="D572" s="129" t="s">
        <v>20890</v>
      </c>
    </row>
    <row r="573" spans="1:4">
      <c r="A573" s="105">
        <v>89251</v>
      </c>
      <c r="B573" s="104" t="s">
        <v>884</v>
      </c>
      <c r="C573" s="104" t="s">
        <v>827</v>
      </c>
      <c r="D573" s="129" t="s">
        <v>20891</v>
      </c>
    </row>
    <row r="574" spans="1:4">
      <c r="A574" s="105">
        <v>89258</v>
      </c>
      <c r="B574" s="104" t="s">
        <v>885</v>
      </c>
      <c r="C574" s="104" t="s">
        <v>827</v>
      </c>
      <c r="D574" s="129" t="s">
        <v>20892</v>
      </c>
    </row>
    <row r="575" spans="1:4">
      <c r="A575" s="105">
        <v>89273</v>
      </c>
      <c r="B575" s="104" t="s">
        <v>886</v>
      </c>
      <c r="C575" s="104" t="s">
        <v>827</v>
      </c>
      <c r="D575" s="129" t="s">
        <v>20893</v>
      </c>
    </row>
    <row r="576" spans="1:4">
      <c r="A576" s="105">
        <v>89279</v>
      </c>
      <c r="B576" s="104" t="s">
        <v>887</v>
      </c>
      <c r="C576" s="104" t="s">
        <v>827</v>
      </c>
      <c r="D576" s="129" t="s">
        <v>15303</v>
      </c>
    </row>
    <row r="577" spans="1:4">
      <c r="A577" s="105">
        <v>89877</v>
      </c>
      <c r="B577" s="104" t="s">
        <v>888</v>
      </c>
      <c r="C577" s="104" t="s">
        <v>827</v>
      </c>
      <c r="D577" s="129" t="s">
        <v>20894</v>
      </c>
    </row>
    <row r="578" spans="1:4">
      <c r="A578" s="105">
        <v>89884</v>
      </c>
      <c r="B578" s="104" t="s">
        <v>889</v>
      </c>
      <c r="C578" s="104" t="s">
        <v>827</v>
      </c>
      <c r="D578" s="129" t="s">
        <v>19360</v>
      </c>
    </row>
    <row r="579" spans="1:4">
      <c r="A579" s="105">
        <v>90587</v>
      </c>
      <c r="B579" s="104" t="s">
        <v>890</v>
      </c>
      <c r="C579" s="104" t="s">
        <v>827</v>
      </c>
      <c r="D579" s="129" t="s">
        <v>15306</v>
      </c>
    </row>
    <row r="580" spans="1:4">
      <c r="A580" s="105">
        <v>90626</v>
      </c>
      <c r="B580" s="104" t="s">
        <v>891</v>
      </c>
      <c r="C580" s="104" t="s">
        <v>827</v>
      </c>
      <c r="D580" s="129" t="s">
        <v>15307</v>
      </c>
    </row>
    <row r="581" spans="1:4">
      <c r="A581" s="105">
        <v>90632</v>
      </c>
      <c r="B581" s="104" t="s">
        <v>892</v>
      </c>
      <c r="C581" s="104" t="s">
        <v>827</v>
      </c>
      <c r="D581" s="129" t="s">
        <v>20895</v>
      </c>
    </row>
    <row r="582" spans="1:4">
      <c r="A582" s="105">
        <v>90638</v>
      </c>
      <c r="B582" s="104" t="s">
        <v>893</v>
      </c>
      <c r="C582" s="104" t="s">
        <v>827</v>
      </c>
      <c r="D582" s="129" t="s">
        <v>15023</v>
      </c>
    </row>
    <row r="583" spans="1:4">
      <c r="A583" s="105">
        <v>90644</v>
      </c>
      <c r="B583" s="104" t="s">
        <v>894</v>
      </c>
      <c r="C583" s="104" t="s">
        <v>827</v>
      </c>
      <c r="D583" s="129" t="s">
        <v>15309</v>
      </c>
    </row>
    <row r="584" spans="1:4">
      <c r="A584" s="105">
        <v>90651</v>
      </c>
      <c r="B584" s="104" t="s">
        <v>895</v>
      </c>
      <c r="C584" s="104" t="s">
        <v>827</v>
      </c>
      <c r="D584" s="129" t="s">
        <v>15310</v>
      </c>
    </row>
    <row r="585" spans="1:4">
      <c r="A585" s="105">
        <v>90657</v>
      </c>
      <c r="B585" s="104" t="s">
        <v>896</v>
      </c>
      <c r="C585" s="104" t="s">
        <v>827</v>
      </c>
      <c r="D585" s="129" t="s">
        <v>15311</v>
      </c>
    </row>
    <row r="586" spans="1:4">
      <c r="A586" s="105">
        <v>90663</v>
      </c>
      <c r="B586" s="104" t="s">
        <v>897</v>
      </c>
      <c r="C586" s="104" t="s">
        <v>827</v>
      </c>
      <c r="D586" s="129" t="s">
        <v>15312</v>
      </c>
    </row>
    <row r="587" spans="1:4">
      <c r="A587" s="105">
        <v>90669</v>
      </c>
      <c r="B587" s="104" t="s">
        <v>898</v>
      </c>
      <c r="C587" s="104" t="s">
        <v>827</v>
      </c>
      <c r="D587" s="129" t="s">
        <v>15313</v>
      </c>
    </row>
    <row r="588" spans="1:4">
      <c r="A588" s="105">
        <v>90675</v>
      </c>
      <c r="B588" s="104" t="s">
        <v>899</v>
      </c>
      <c r="C588" s="104" t="s">
        <v>827</v>
      </c>
      <c r="D588" s="129" t="s">
        <v>20896</v>
      </c>
    </row>
    <row r="589" spans="1:4">
      <c r="A589" s="105">
        <v>90681</v>
      </c>
      <c r="B589" s="104" t="s">
        <v>900</v>
      </c>
      <c r="C589" s="104" t="s">
        <v>827</v>
      </c>
      <c r="D589" s="129" t="s">
        <v>20897</v>
      </c>
    </row>
    <row r="590" spans="1:4">
      <c r="A590" s="105">
        <v>90687</v>
      </c>
      <c r="B590" s="104" t="s">
        <v>901</v>
      </c>
      <c r="C590" s="104" t="s">
        <v>827</v>
      </c>
      <c r="D590" s="129" t="s">
        <v>16304</v>
      </c>
    </row>
    <row r="591" spans="1:4">
      <c r="A591" s="105">
        <v>90693</v>
      </c>
      <c r="B591" s="104" t="s">
        <v>902</v>
      </c>
      <c r="C591" s="104" t="s">
        <v>827</v>
      </c>
      <c r="D591" s="129" t="s">
        <v>20898</v>
      </c>
    </row>
    <row r="592" spans="1:4">
      <c r="A592" s="105">
        <v>90965</v>
      </c>
      <c r="B592" s="104" t="s">
        <v>903</v>
      </c>
      <c r="C592" s="104" t="s">
        <v>827</v>
      </c>
      <c r="D592" s="129" t="s">
        <v>15318</v>
      </c>
    </row>
    <row r="593" spans="1:4">
      <c r="A593" s="105">
        <v>90973</v>
      </c>
      <c r="B593" s="104" t="s">
        <v>904</v>
      </c>
      <c r="C593" s="104" t="s">
        <v>827</v>
      </c>
      <c r="D593" s="129" t="s">
        <v>15319</v>
      </c>
    </row>
    <row r="594" spans="1:4">
      <c r="A594" s="105">
        <v>90982</v>
      </c>
      <c r="B594" s="104" t="s">
        <v>905</v>
      </c>
      <c r="C594" s="104" t="s">
        <v>827</v>
      </c>
      <c r="D594" s="129" t="s">
        <v>15320</v>
      </c>
    </row>
    <row r="595" spans="1:4">
      <c r="A595" s="105">
        <v>91001</v>
      </c>
      <c r="B595" s="104" t="s">
        <v>906</v>
      </c>
      <c r="C595" s="104" t="s">
        <v>827</v>
      </c>
      <c r="D595" s="129" t="s">
        <v>15321</v>
      </c>
    </row>
    <row r="596" spans="1:4">
      <c r="A596" s="105">
        <v>91032</v>
      </c>
      <c r="B596" s="104" t="s">
        <v>907</v>
      </c>
      <c r="C596" s="104" t="s">
        <v>827</v>
      </c>
      <c r="D596" s="129" t="s">
        <v>20899</v>
      </c>
    </row>
    <row r="597" spans="1:4">
      <c r="A597" s="105">
        <v>91278</v>
      </c>
      <c r="B597" s="104" t="s">
        <v>908</v>
      </c>
      <c r="C597" s="104" t="s">
        <v>827</v>
      </c>
      <c r="D597" s="129" t="s">
        <v>15323</v>
      </c>
    </row>
    <row r="598" spans="1:4">
      <c r="A598" s="105">
        <v>91285</v>
      </c>
      <c r="B598" s="104" t="s">
        <v>909</v>
      </c>
      <c r="C598" s="104" t="s">
        <v>827</v>
      </c>
      <c r="D598" s="129" t="s">
        <v>15324</v>
      </c>
    </row>
    <row r="599" spans="1:4">
      <c r="A599" s="105">
        <v>91387</v>
      </c>
      <c r="B599" s="104" t="s">
        <v>910</v>
      </c>
      <c r="C599" s="104" t="s">
        <v>827</v>
      </c>
      <c r="D599" s="129" t="s">
        <v>20900</v>
      </c>
    </row>
    <row r="600" spans="1:4">
      <c r="A600" s="105">
        <v>91395</v>
      </c>
      <c r="B600" s="104" t="s">
        <v>911</v>
      </c>
      <c r="C600" s="104" t="s">
        <v>827</v>
      </c>
      <c r="D600" s="129" t="s">
        <v>20901</v>
      </c>
    </row>
    <row r="601" spans="1:4">
      <c r="A601" s="105">
        <v>91486</v>
      </c>
      <c r="B601" s="104" t="s">
        <v>912</v>
      </c>
      <c r="C601" s="104" t="s">
        <v>827</v>
      </c>
      <c r="D601" s="129" t="s">
        <v>20902</v>
      </c>
    </row>
    <row r="602" spans="1:4">
      <c r="A602" s="105">
        <v>91534</v>
      </c>
      <c r="B602" s="104" t="s">
        <v>913</v>
      </c>
      <c r="C602" s="104" t="s">
        <v>827</v>
      </c>
      <c r="D602" s="129" t="s">
        <v>16696</v>
      </c>
    </row>
    <row r="603" spans="1:4">
      <c r="A603" s="105">
        <v>91635</v>
      </c>
      <c r="B603" s="104" t="s">
        <v>914</v>
      </c>
      <c r="C603" s="104" t="s">
        <v>827</v>
      </c>
      <c r="D603" s="129" t="s">
        <v>20903</v>
      </c>
    </row>
    <row r="604" spans="1:4">
      <c r="A604" s="105">
        <v>91646</v>
      </c>
      <c r="B604" s="104" t="s">
        <v>915</v>
      </c>
      <c r="C604" s="104" t="s">
        <v>827</v>
      </c>
      <c r="D604" s="129" t="s">
        <v>20904</v>
      </c>
    </row>
    <row r="605" spans="1:4">
      <c r="A605" s="105">
        <v>91693</v>
      </c>
      <c r="B605" s="104" t="s">
        <v>916</v>
      </c>
      <c r="C605" s="104" t="s">
        <v>827</v>
      </c>
      <c r="D605" s="129" t="s">
        <v>16896</v>
      </c>
    </row>
    <row r="606" spans="1:4">
      <c r="A606" s="105">
        <v>92044</v>
      </c>
      <c r="B606" s="104" t="s">
        <v>917</v>
      </c>
      <c r="C606" s="104" t="s">
        <v>827</v>
      </c>
      <c r="D606" s="129" t="s">
        <v>15332</v>
      </c>
    </row>
    <row r="607" spans="1:4">
      <c r="A607" s="105">
        <v>92107</v>
      </c>
      <c r="B607" s="104" t="s">
        <v>918</v>
      </c>
      <c r="C607" s="104" t="s">
        <v>827</v>
      </c>
      <c r="D607" s="129" t="s">
        <v>17472</v>
      </c>
    </row>
    <row r="608" spans="1:4">
      <c r="A608" s="105">
        <v>92113</v>
      </c>
      <c r="B608" s="104" t="s">
        <v>919</v>
      </c>
      <c r="C608" s="104" t="s">
        <v>827</v>
      </c>
      <c r="D608" s="129" t="s">
        <v>15333</v>
      </c>
    </row>
    <row r="609" spans="1:4">
      <c r="A609" s="105">
        <v>92119</v>
      </c>
      <c r="B609" s="104" t="s">
        <v>920</v>
      </c>
      <c r="C609" s="104" t="s">
        <v>827</v>
      </c>
      <c r="D609" s="129" t="s">
        <v>15334</v>
      </c>
    </row>
    <row r="610" spans="1:4">
      <c r="A610" s="105">
        <v>92139</v>
      </c>
      <c r="B610" s="104" t="s">
        <v>921</v>
      </c>
      <c r="C610" s="104" t="s">
        <v>827</v>
      </c>
      <c r="D610" s="129" t="s">
        <v>20905</v>
      </c>
    </row>
    <row r="611" spans="1:4">
      <c r="A611" s="105">
        <v>92146</v>
      </c>
      <c r="B611" s="104" t="s">
        <v>922</v>
      </c>
      <c r="C611" s="104" t="s">
        <v>827</v>
      </c>
      <c r="D611" s="129" t="s">
        <v>20906</v>
      </c>
    </row>
    <row r="612" spans="1:4">
      <c r="A612" s="105">
        <v>92243</v>
      </c>
      <c r="B612" s="104" t="s">
        <v>923</v>
      </c>
      <c r="C612" s="104" t="s">
        <v>827</v>
      </c>
      <c r="D612" s="129" t="s">
        <v>17449</v>
      </c>
    </row>
    <row r="613" spans="1:4">
      <c r="A613" s="105">
        <v>92717</v>
      </c>
      <c r="B613" s="104" t="s">
        <v>924</v>
      </c>
      <c r="C613" s="104" t="s">
        <v>827</v>
      </c>
      <c r="D613" s="129" t="s">
        <v>15338</v>
      </c>
    </row>
    <row r="614" spans="1:4">
      <c r="A614" s="105">
        <v>92961</v>
      </c>
      <c r="B614" s="104" t="s">
        <v>925</v>
      </c>
      <c r="C614" s="104" t="s">
        <v>827</v>
      </c>
      <c r="D614" s="129" t="s">
        <v>15339</v>
      </c>
    </row>
    <row r="615" spans="1:4">
      <c r="A615" s="105">
        <v>92967</v>
      </c>
      <c r="B615" s="104" t="s">
        <v>926</v>
      </c>
      <c r="C615" s="104" t="s">
        <v>827</v>
      </c>
      <c r="D615" s="129" t="s">
        <v>20907</v>
      </c>
    </row>
    <row r="616" spans="1:4">
      <c r="A616" s="105">
        <v>93225</v>
      </c>
      <c r="B616" s="104" t="s">
        <v>927</v>
      </c>
      <c r="C616" s="104" t="s">
        <v>827</v>
      </c>
      <c r="D616" s="129" t="s">
        <v>20908</v>
      </c>
    </row>
    <row r="617" spans="1:4">
      <c r="A617" s="105">
        <v>93234</v>
      </c>
      <c r="B617" s="104" t="s">
        <v>928</v>
      </c>
      <c r="C617" s="104" t="s">
        <v>827</v>
      </c>
      <c r="D617" s="129" t="s">
        <v>15342</v>
      </c>
    </row>
    <row r="618" spans="1:4">
      <c r="A618" s="105">
        <v>93244</v>
      </c>
      <c r="B618" s="104" t="s">
        <v>929</v>
      </c>
      <c r="C618" s="104" t="s">
        <v>827</v>
      </c>
      <c r="D618" s="129" t="s">
        <v>20909</v>
      </c>
    </row>
    <row r="619" spans="1:4">
      <c r="A619" s="105">
        <v>93274</v>
      </c>
      <c r="B619" s="104" t="s">
        <v>930</v>
      </c>
      <c r="C619" s="104" t="s">
        <v>827</v>
      </c>
      <c r="D619" s="129" t="s">
        <v>20910</v>
      </c>
    </row>
    <row r="620" spans="1:4">
      <c r="A620" s="105">
        <v>93282</v>
      </c>
      <c r="B620" s="104" t="s">
        <v>931</v>
      </c>
      <c r="C620" s="104" t="s">
        <v>827</v>
      </c>
      <c r="D620" s="129" t="s">
        <v>20285</v>
      </c>
    </row>
    <row r="621" spans="1:4">
      <c r="A621" s="105">
        <v>93288</v>
      </c>
      <c r="B621" s="104" t="s">
        <v>932</v>
      </c>
      <c r="C621" s="104" t="s">
        <v>827</v>
      </c>
      <c r="D621" s="129" t="s">
        <v>20911</v>
      </c>
    </row>
    <row r="622" spans="1:4">
      <c r="A622" s="105">
        <v>93403</v>
      </c>
      <c r="B622" s="104" t="s">
        <v>933</v>
      </c>
      <c r="C622" s="104" t="s">
        <v>827</v>
      </c>
      <c r="D622" s="129" t="s">
        <v>20903</v>
      </c>
    </row>
    <row r="623" spans="1:4">
      <c r="A623" s="105">
        <v>93409</v>
      </c>
      <c r="B623" s="104" t="s">
        <v>934</v>
      </c>
      <c r="C623" s="104" t="s">
        <v>827</v>
      </c>
      <c r="D623" s="129" t="s">
        <v>20912</v>
      </c>
    </row>
    <row r="624" spans="1:4">
      <c r="A624" s="105">
        <v>93416</v>
      </c>
      <c r="B624" s="104" t="s">
        <v>935</v>
      </c>
      <c r="C624" s="104" t="s">
        <v>827</v>
      </c>
      <c r="D624" s="129" t="s">
        <v>15347</v>
      </c>
    </row>
    <row r="625" spans="1:4">
      <c r="A625" s="105">
        <v>93422</v>
      </c>
      <c r="B625" s="104" t="s">
        <v>936</v>
      </c>
      <c r="C625" s="104" t="s">
        <v>827</v>
      </c>
      <c r="D625" s="129" t="s">
        <v>15348</v>
      </c>
    </row>
    <row r="626" spans="1:4">
      <c r="A626" s="105">
        <v>93428</v>
      </c>
      <c r="B626" s="104" t="s">
        <v>937</v>
      </c>
      <c r="C626" s="104" t="s">
        <v>827</v>
      </c>
      <c r="D626" s="129" t="s">
        <v>15349</v>
      </c>
    </row>
    <row r="627" spans="1:4">
      <c r="A627" s="105">
        <v>93434</v>
      </c>
      <c r="B627" s="104" t="s">
        <v>938</v>
      </c>
      <c r="C627" s="104" t="s">
        <v>827</v>
      </c>
      <c r="D627" s="129" t="s">
        <v>20913</v>
      </c>
    </row>
    <row r="628" spans="1:4">
      <c r="A628" s="105">
        <v>93440</v>
      </c>
      <c r="B628" s="104" t="s">
        <v>939</v>
      </c>
      <c r="C628" s="104" t="s">
        <v>827</v>
      </c>
      <c r="D628" s="129" t="s">
        <v>20914</v>
      </c>
    </row>
    <row r="629" spans="1:4">
      <c r="A629" s="105">
        <v>95122</v>
      </c>
      <c r="B629" s="104" t="s">
        <v>940</v>
      </c>
      <c r="C629" s="104" t="s">
        <v>827</v>
      </c>
      <c r="D629" s="129" t="s">
        <v>20915</v>
      </c>
    </row>
    <row r="630" spans="1:4">
      <c r="A630" s="105">
        <v>95128</v>
      </c>
      <c r="B630" s="104" t="s">
        <v>941</v>
      </c>
      <c r="C630" s="104" t="s">
        <v>827</v>
      </c>
      <c r="D630" s="129" t="s">
        <v>16094</v>
      </c>
    </row>
    <row r="631" spans="1:4">
      <c r="A631" s="105">
        <v>95140</v>
      </c>
      <c r="B631" s="104" t="s">
        <v>942</v>
      </c>
      <c r="C631" s="104" t="s">
        <v>827</v>
      </c>
      <c r="D631" s="129" t="s">
        <v>15354</v>
      </c>
    </row>
    <row r="632" spans="1:4">
      <c r="A632" s="105">
        <v>95213</v>
      </c>
      <c r="B632" s="104" t="s">
        <v>943</v>
      </c>
      <c r="C632" s="104" t="s">
        <v>827</v>
      </c>
      <c r="D632" s="129" t="s">
        <v>20916</v>
      </c>
    </row>
    <row r="633" spans="1:4">
      <c r="A633" s="105">
        <v>95259</v>
      </c>
      <c r="B633" s="104" t="s">
        <v>944</v>
      </c>
      <c r="C633" s="104" t="s">
        <v>827</v>
      </c>
      <c r="D633" s="129" t="s">
        <v>20265</v>
      </c>
    </row>
    <row r="634" spans="1:4">
      <c r="A634" s="105">
        <v>95265</v>
      </c>
      <c r="B634" s="104" t="s">
        <v>945</v>
      </c>
      <c r="C634" s="104" t="s">
        <v>827</v>
      </c>
      <c r="D634" s="129" t="s">
        <v>15357</v>
      </c>
    </row>
    <row r="635" spans="1:4">
      <c r="A635" s="105">
        <v>95271</v>
      </c>
      <c r="B635" s="104" t="s">
        <v>946</v>
      </c>
      <c r="C635" s="104" t="s">
        <v>827</v>
      </c>
      <c r="D635" s="129" t="s">
        <v>15358</v>
      </c>
    </row>
    <row r="636" spans="1:4">
      <c r="A636" s="105">
        <v>95277</v>
      </c>
      <c r="B636" s="104" t="s">
        <v>947</v>
      </c>
      <c r="C636" s="104" t="s">
        <v>827</v>
      </c>
      <c r="D636" s="129" t="s">
        <v>15358</v>
      </c>
    </row>
    <row r="637" spans="1:4">
      <c r="A637" s="105">
        <v>95283</v>
      </c>
      <c r="B637" s="104" t="s">
        <v>948</v>
      </c>
      <c r="C637" s="104" t="s">
        <v>827</v>
      </c>
      <c r="D637" s="129" t="s">
        <v>15359</v>
      </c>
    </row>
    <row r="638" spans="1:4">
      <c r="A638" s="105">
        <v>95621</v>
      </c>
      <c r="B638" s="104" t="s">
        <v>949</v>
      </c>
      <c r="C638" s="104" t="s">
        <v>827</v>
      </c>
      <c r="D638" s="129" t="s">
        <v>19258</v>
      </c>
    </row>
    <row r="639" spans="1:4">
      <c r="A639" s="105">
        <v>95632</v>
      </c>
      <c r="B639" s="104" t="s">
        <v>950</v>
      </c>
      <c r="C639" s="104" t="s">
        <v>827</v>
      </c>
      <c r="D639" s="129" t="s">
        <v>20917</v>
      </c>
    </row>
    <row r="640" spans="1:4">
      <c r="A640" s="105">
        <v>95703</v>
      </c>
      <c r="B640" s="104" t="s">
        <v>951</v>
      </c>
      <c r="C640" s="104" t="s">
        <v>827</v>
      </c>
      <c r="D640" s="129" t="s">
        <v>20906</v>
      </c>
    </row>
    <row r="641" spans="1:4">
      <c r="A641" s="105">
        <v>95709</v>
      </c>
      <c r="B641" s="104" t="s">
        <v>952</v>
      </c>
      <c r="C641" s="104" t="s">
        <v>827</v>
      </c>
      <c r="D641" s="129" t="s">
        <v>20918</v>
      </c>
    </row>
    <row r="642" spans="1:4">
      <c r="A642" s="105">
        <v>95715</v>
      </c>
      <c r="B642" s="104" t="s">
        <v>953</v>
      </c>
      <c r="C642" s="104" t="s">
        <v>827</v>
      </c>
      <c r="D642" s="129" t="s">
        <v>15365</v>
      </c>
    </row>
    <row r="643" spans="1:4">
      <c r="A643" s="105">
        <v>95721</v>
      </c>
      <c r="B643" s="104" t="s">
        <v>954</v>
      </c>
      <c r="C643" s="104" t="s">
        <v>827</v>
      </c>
      <c r="D643" s="129" t="s">
        <v>20919</v>
      </c>
    </row>
    <row r="644" spans="1:4">
      <c r="A644" s="105">
        <v>95873</v>
      </c>
      <c r="B644" s="104" t="s">
        <v>955</v>
      </c>
      <c r="C644" s="104" t="s">
        <v>827</v>
      </c>
      <c r="D644" s="129" t="s">
        <v>15366</v>
      </c>
    </row>
    <row r="645" spans="1:4">
      <c r="A645" s="105">
        <v>96014</v>
      </c>
      <c r="B645" s="104" t="s">
        <v>956</v>
      </c>
      <c r="C645" s="104" t="s">
        <v>827</v>
      </c>
      <c r="D645" s="129" t="s">
        <v>18078</v>
      </c>
    </row>
    <row r="646" spans="1:4">
      <c r="A646" s="105">
        <v>96021</v>
      </c>
      <c r="B646" s="104" t="s">
        <v>957</v>
      </c>
      <c r="C646" s="104" t="s">
        <v>827</v>
      </c>
      <c r="D646" s="129" t="s">
        <v>20920</v>
      </c>
    </row>
    <row r="647" spans="1:4">
      <c r="A647" s="105">
        <v>96029</v>
      </c>
      <c r="B647" s="104" t="s">
        <v>958</v>
      </c>
      <c r="C647" s="104" t="s">
        <v>827</v>
      </c>
      <c r="D647" s="129" t="s">
        <v>15514</v>
      </c>
    </row>
    <row r="648" spans="1:4">
      <c r="A648" s="105">
        <v>96036</v>
      </c>
      <c r="B648" s="104" t="s">
        <v>959</v>
      </c>
      <c r="C648" s="104" t="s">
        <v>827</v>
      </c>
      <c r="D648" s="129" t="s">
        <v>20921</v>
      </c>
    </row>
    <row r="649" spans="1:4">
      <c r="A649" s="105">
        <v>96155</v>
      </c>
      <c r="B649" s="104" t="s">
        <v>960</v>
      </c>
      <c r="C649" s="104" t="s">
        <v>827</v>
      </c>
      <c r="D649" s="129" t="s">
        <v>20922</v>
      </c>
    </row>
    <row r="650" spans="1:4">
      <c r="A650" s="105">
        <v>96156</v>
      </c>
      <c r="B650" s="104" t="s">
        <v>961</v>
      </c>
      <c r="C650" s="104" t="s">
        <v>827</v>
      </c>
      <c r="D650" s="129" t="s">
        <v>15627</v>
      </c>
    </row>
    <row r="651" spans="1:4">
      <c r="A651" s="105">
        <v>96159</v>
      </c>
      <c r="B651" s="104" t="s">
        <v>962</v>
      </c>
      <c r="C651" s="104" t="s">
        <v>827</v>
      </c>
      <c r="D651" s="129" t="s">
        <v>20923</v>
      </c>
    </row>
    <row r="652" spans="1:4">
      <c r="A652" s="105">
        <v>96246</v>
      </c>
      <c r="B652" s="104" t="s">
        <v>963</v>
      </c>
      <c r="C652" s="104" t="s">
        <v>827</v>
      </c>
      <c r="D652" s="129" t="s">
        <v>20924</v>
      </c>
    </row>
    <row r="653" spans="1:4">
      <c r="A653" s="105">
        <v>96464</v>
      </c>
      <c r="B653" s="104" t="s">
        <v>964</v>
      </c>
      <c r="C653" s="104" t="s">
        <v>827</v>
      </c>
      <c r="D653" s="129" t="s">
        <v>20925</v>
      </c>
    </row>
    <row r="654" spans="1:4">
      <c r="A654" s="105">
        <v>98765</v>
      </c>
      <c r="B654" s="104" t="s">
        <v>965</v>
      </c>
      <c r="C654" s="104" t="s">
        <v>827</v>
      </c>
      <c r="D654" s="129" t="s">
        <v>15376</v>
      </c>
    </row>
    <row r="655" spans="1:4">
      <c r="A655" s="105">
        <v>99834</v>
      </c>
      <c r="B655" s="104" t="s">
        <v>966</v>
      </c>
      <c r="C655" s="104" t="s">
        <v>827</v>
      </c>
      <c r="D655" s="129" t="s">
        <v>15377</v>
      </c>
    </row>
    <row r="656" spans="1:4">
      <c r="A656" s="105">
        <v>100642</v>
      </c>
      <c r="B656" s="104" t="s">
        <v>967</v>
      </c>
      <c r="C656" s="104" t="s">
        <v>827</v>
      </c>
      <c r="D656" s="129" t="s">
        <v>20926</v>
      </c>
    </row>
    <row r="657" spans="1:4">
      <c r="A657" s="105">
        <v>100648</v>
      </c>
      <c r="B657" s="104" t="s">
        <v>968</v>
      </c>
      <c r="C657" s="104" t="s">
        <v>827</v>
      </c>
      <c r="D657" s="129" t="s">
        <v>20927</v>
      </c>
    </row>
    <row r="658" spans="1:4">
      <c r="A658" s="105">
        <v>102274</v>
      </c>
      <c r="B658" s="104" t="s">
        <v>969</v>
      </c>
      <c r="C658" s="104" t="s">
        <v>827</v>
      </c>
      <c r="D658" s="129" t="s">
        <v>19233</v>
      </c>
    </row>
    <row r="659" spans="1:4">
      <c r="A659" s="105">
        <v>5089</v>
      </c>
      <c r="B659" s="104" t="s">
        <v>970</v>
      </c>
      <c r="C659" s="104" t="s">
        <v>16</v>
      </c>
      <c r="D659" s="129" t="s">
        <v>15381</v>
      </c>
    </row>
    <row r="660" spans="1:4">
      <c r="A660" s="105">
        <v>5627</v>
      </c>
      <c r="B660" s="104" t="s">
        <v>971</v>
      </c>
      <c r="C660" s="104" t="s">
        <v>16</v>
      </c>
      <c r="D660" s="129" t="s">
        <v>15382</v>
      </c>
    </row>
    <row r="661" spans="1:4">
      <c r="A661" s="105">
        <v>5628</v>
      </c>
      <c r="B661" s="104" t="s">
        <v>972</v>
      </c>
      <c r="C661" s="104" t="s">
        <v>16</v>
      </c>
      <c r="D661" s="129" t="s">
        <v>15383</v>
      </c>
    </row>
    <row r="662" spans="1:4">
      <c r="A662" s="105">
        <v>5629</v>
      </c>
      <c r="B662" s="104" t="s">
        <v>973</v>
      </c>
      <c r="C662" s="104" t="s">
        <v>16</v>
      </c>
      <c r="D662" s="129" t="s">
        <v>15384</v>
      </c>
    </row>
    <row r="663" spans="1:4">
      <c r="A663" s="105">
        <v>5630</v>
      </c>
      <c r="B663" s="104" t="s">
        <v>974</v>
      </c>
      <c r="C663" s="104" t="s">
        <v>16</v>
      </c>
      <c r="D663" s="129" t="s">
        <v>15385</v>
      </c>
    </row>
    <row r="664" spans="1:4">
      <c r="A664" s="105">
        <v>5658</v>
      </c>
      <c r="B664" s="104" t="s">
        <v>975</v>
      </c>
      <c r="C664" s="104" t="s">
        <v>16</v>
      </c>
      <c r="D664" s="129" t="s">
        <v>15386</v>
      </c>
    </row>
    <row r="665" spans="1:4">
      <c r="A665" s="105">
        <v>5664</v>
      </c>
      <c r="B665" s="104" t="s">
        <v>976</v>
      </c>
      <c r="C665" s="104" t="s">
        <v>16</v>
      </c>
      <c r="D665" s="129" t="s">
        <v>15387</v>
      </c>
    </row>
    <row r="666" spans="1:4">
      <c r="A666" s="105">
        <v>5667</v>
      </c>
      <c r="B666" s="104" t="s">
        <v>977</v>
      </c>
      <c r="C666" s="104" t="s">
        <v>16</v>
      </c>
      <c r="D666" s="129" t="s">
        <v>15388</v>
      </c>
    </row>
    <row r="667" spans="1:4">
      <c r="A667" s="105">
        <v>5668</v>
      </c>
      <c r="B667" s="104" t="s">
        <v>978</v>
      </c>
      <c r="C667" s="104" t="s">
        <v>16</v>
      </c>
      <c r="D667" s="129" t="s">
        <v>14773</v>
      </c>
    </row>
    <row r="668" spans="1:4">
      <c r="A668" s="105">
        <v>5674</v>
      </c>
      <c r="B668" s="104" t="s">
        <v>979</v>
      </c>
      <c r="C668" s="104" t="s">
        <v>16</v>
      </c>
      <c r="D668" s="129" t="s">
        <v>15389</v>
      </c>
    </row>
    <row r="669" spans="1:4">
      <c r="A669" s="105">
        <v>5692</v>
      </c>
      <c r="B669" s="104" t="s">
        <v>980</v>
      </c>
      <c r="C669" s="104" t="s">
        <v>16</v>
      </c>
      <c r="D669" s="129" t="s">
        <v>15248</v>
      </c>
    </row>
    <row r="670" spans="1:4">
      <c r="A670" s="105">
        <v>5693</v>
      </c>
      <c r="B670" s="104" t="s">
        <v>981</v>
      </c>
      <c r="C670" s="104" t="s">
        <v>16</v>
      </c>
      <c r="D670" s="129" t="s">
        <v>15390</v>
      </c>
    </row>
    <row r="671" spans="1:4">
      <c r="A671" s="105">
        <v>5695</v>
      </c>
      <c r="B671" s="104" t="s">
        <v>982</v>
      </c>
      <c r="C671" s="104" t="s">
        <v>16</v>
      </c>
      <c r="D671" s="129" t="s">
        <v>15391</v>
      </c>
    </row>
    <row r="672" spans="1:4">
      <c r="A672" s="105">
        <v>5703</v>
      </c>
      <c r="B672" s="104" t="s">
        <v>983</v>
      </c>
      <c r="C672" s="104" t="s">
        <v>16</v>
      </c>
      <c r="D672" s="129" t="s">
        <v>15392</v>
      </c>
    </row>
    <row r="673" spans="1:4">
      <c r="A673" s="105">
        <v>5705</v>
      </c>
      <c r="B673" s="104" t="s">
        <v>984</v>
      </c>
      <c r="C673" s="104" t="s">
        <v>16</v>
      </c>
      <c r="D673" s="129" t="s">
        <v>15393</v>
      </c>
    </row>
    <row r="674" spans="1:4">
      <c r="A674" s="105">
        <v>5707</v>
      </c>
      <c r="B674" s="104" t="s">
        <v>985</v>
      </c>
      <c r="C674" s="104" t="s">
        <v>16</v>
      </c>
      <c r="D674" s="129" t="s">
        <v>15394</v>
      </c>
    </row>
    <row r="675" spans="1:4">
      <c r="A675" s="105">
        <v>5710</v>
      </c>
      <c r="B675" s="104" t="s">
        <v>986</v>
      </c>
      <c r="C675" s="104" t="s">
        <v>16</v>
      </c>
      <c r="D675" s="129" t="s">
        <v>15395</v>
      </c>
    </row>
    <row r="676" spans="1:4">
      <c r="A676" s="105">
        <v>5711</v>
      </c>
      <c r="B676" s="104" t="s">
        <v>987</v>
      </c>
      <c r="C676" s="104" t="s">
        <v>16</v>
      </c>
      <c r="D676" s="129" t="s">
        <v>15396</v>
      </c>
    </row>
    <row r="677" spans="1:4">
      <c r="A677" s="105">
        <v>5714</v>
      </c>
      <c r="B677" s="104" t="s">
        <v>988</v>
      </c>
      <c r="C677" s="104" t="s">
        <v>16</v>
      </c>
      <c r="D677" s="129" t="s">
        <v>15397</v>
      </c>
    </row>
    <row r="678" spans="1:4">
      <c r="A678" s="105">
        <v>5715</v>
      </c>
      <c r="B678" s="104" t="s">
        <v>989</v>
      </c>
      <c r="C678" s="104" t="s">
        <v>16</v>
      </c>
      <c r="D678" s="129" t="s">
        <v>15398</v>
      </c>
    </row>
    <row r="679" spans="1:4">
      <c r="A679" s="105">
        <v>5718</v>
      </c>
      <c r="B679" s="104" t="s">
        <v>990</v>
      </c>
      <c r="C679" s="104" t="s">
        <v>16</v>
      </c>
      <c r="D679" s="129" t="s">
        <v>15399</v>
      </c>
    </row>
    <row r="680" spans="1:4">
      <c r="A680" s="105">
        <v>5721</v>
      </c>
      <c r="B680" s="104" t="s">
        <v>991</v>
      </c>
      <c r="C680" s="104" t="s">
        <v>16</v>
      </c>
      <c r="D680" s="129" t="s">
        <v>15400</v>
      </c>
    </row>
    <row r="681" spans="1:4">
      <c r="A681" s="105">
        <v>5722</v>
      </c>
      <c r="B681" s="104" t="s">
        <v>992</v>
      </c>
      <c r="C681" s="104" t="s">
        <v>16</v>
      </c>
      <c r="D681" s="129" t="s">
        <v>15401</v>
      </c>
    </row>
    <row r="682" spans="1:4">
      <c r="A682" s="105">
        <v>5724</v>
      </c>
      <c r="B682" s="104" t="s">
        <v>993</v>
      </c>
      <c r="C682" s="104" t="s">
        <v>16</v>
      </c>
      <c r="D682" s="129" t="s">
        <v>15402</v>
      </c>
    </row>
    <row r="683" spans="1:4">
      <c r="A683" s="105">
        <v>5727</v>
      </c>
      <c r="B683" s="104" t="s">
        <v>994</v>
      </c>
      <c r="C683" s="104" t="s">
        <v>16</v>
      </c>
      <c r="D683" s="129" t="s">
        <v>15403</v>
      </c>
    </row>
    <row r="684" spans="1:4">
      <c r="A684" s="105">
        <v>5729</v>
      </c>
      <c r="B684" s="104" t="s">
        <v>995</v>
      </c>
      <c r="C684" s="104" t="s">
        <v>16</v>
      </c>
      <c r="D684" s="129" t="s">
        <v>15404</v>
      </c>
    </row>
    <row r="685" spans="1:4">
      <c r="A685" s="105">
        <v>5730</v>
      </c>
      <c r="B685" s="104" t="s">
        <v>996</v>
      </c>
      <c r="C685" s="104" t="s">
        <v>16</v>
      </c>
      <c r="D685" s="129" t="s">
        <v>15405</v>
      </c>
    </row>
    <row r="686" spans="1:4">
      <c r="A686" s="105">
        <v>5735</v>
      </c>
      <c r="B686" s="104" t="s">
        <v>997</v>
      </c>
      <c r="C686" s="104" t="s">
        <v>16</v>
      </c>
      <c r="D686" s="129" t="s">
        <v>15406</v>
      </c>
    </row>
    <row r="687" spans="1:4">
      <c r="A687" s="105">
        <v>5736</v>
      </c>
      <c r="B687" s="104" t="s">
        <v>998</v>
      </c>
      <c r="C687" s="104" t="s">
        <v>16</v>
      </c>
      <c r="D687" s="129" t="s">
        <v>15279</v>
      </c>
    </row>
    <row r="688" spans="1:4">
      <c r="A688" s="105">
        <v>5738</v>
      </c>
      <c r="B688" s="104" t="s">
        <v>999</v>
      </c>
      <c r="C688" s="104" t="s">
        <v>16</v>
      </c>
      <c r="D688" s="129" t="s">
        <v>15407</v>
      </c>
    </row>
    <row r="689" spans="1:4">
      <c r="A689" s="105">
        <v>5739</v>
      </c>
      <c r="B689" s="104" t="s">
        <v>1000</v>
      </c>
      <c r="C689" s="104" t="s">
        <v>16</v>
      </c>
      <c r="D689" s="129" t="s">
        <v>15408</v>
      </c>
    </row>
    <row r="690" spans="1:4">
      <c r="A690" s="105">
        <v>5741</v>
      </c>
      <c r="B690" s="104" t="s">
        <v>1001</v>
      </c>
      <c r="C690" s="104" t="s">
        <v>16</v>
      </c>
      <c r="D690" s="129" t="s">
        <v>15409</v>
      </c>
    </row>
    <row r="691" spans="1:4">
      <c r="A691" s="105">
        <v>5742</v>
      </c>
      <c r="B691" s="104" t="s">
        <v>1002</v>
      </c>
      <c r="C691" s="104" t="s">
        <v>16</v>
      </c>
      <c r="D691" s="129" t="s">
        <v>15410</v>
      </c>
    </row>
    <row r="692" spans="1:4">
      <c r="A692" s="105">
        <v>5747</v>
      </c>
      <c r="B692" s="104" t="s">
        <v>1003</v>
      </c>
      <c r="C692" s="104" t="s">
        <v>16</v>
      </c>
      <c r="D692" s="129" t="s">
        <v>15411</v>
      </c>
    </row>
    <row r="693" spans="1:4">
      <c r="A693" s="105">
        <v>5751</v>
      </c>
      <c r="B693" s="104" t="s">
        <v>1004</v>
      </c>
      <c r="C693" s="104" t="s">
        <v>16</v>
      </c>
      <c r="D693" s="129" t="s">
        <v>15028</v>
      </c>
    </row>
    <row r="694" spans="1:4">
      <c r="A694" s="105">
        <v>5754</v>
      </c>
      <c r="B694" s="104" t="s">
        <v>1005</v>
      </c>
      <c r="C694" s="104" t="s">
        <v>16</v>
      </c>
      <c r="D694" s="129" t="s">
        <v>15412</v>
      </c>
    </row>
    <row r="695" spans="1:4">
      <c r="A695" s="105">
        <v>5763</v>
      </c>
      <c r="B695" s="104" t="s">
        <v>1006</v>
      </c>
      <c r="C695" s="104" t="s">
        <v>16</v>
      </c>
      <c r="D695" s="129" t="s">
        <v>15413</v>
      </c>
    </row>
    <row r="696" spans="1:4">
      <c r="A696" s="105">
        <v>5765</v>
      </c>
      <c r="B696" s="104" t="s">
        <v>1007</v>
      </c>
      <c r="C696" s="104" t="s">
        <v>16</v>
      </c>
      <c r="D696" s="129" t="s">
        <v>15414</v>
      </c>
    </row>
    <row r="697" spans="1:4">
      <c r="A697" s="105">
        <v>5766</v>
      </c>
      <c r="B697" s="104" t="s">
        <v>1008</v>
      </c>
      <c r="C697" s="104" t="s">
        <v>16</v>
      </c>
      <c r="D697" s="129" t="s">
        <v>15415</v>
      </c>
    </row>
    <row r="698" spans="1:4">
      <c r="A698" s="105">
        <v>5779</v>
      </c>
      <c r="B698" s="104" t="s">
        <v>1009</v>
      </c>
      <c r="C698" s="104" t="s">
        <v>16</v>
      </c>
      <c r="D698" s="129" t="s">
        <v>15416</v>
      </c>
    </row>
    <row r="699" spans="1:4">
      <c r="A699" s="105">
        <v>5787</v>
      </c>
      <c r="B699" s="104" t="s">
        <v>1010</v>
      </c>
      <c r="C699" s="104" t="s">
        <v>16</v>
      </c>
      <c r="D699" s="129" t="s">
        <v>15417</v>
      </c>
    </row>
    <row r="700" spans="1:4">
      <c r="A700" s="105">
        <v>5797</v>
      </c>
      <c r="B700" s="104" t="s">
        <v>1011</v>
      </c>
      <c r="C700" s="104" t="s">
        <v>16</v>
      </c>
      <c r="D700" s="129" t="s">
        <v>15418</v>
      </c>
    </row>
    <row r="701" spans="1:4">
      <c r="A701" s="105">
        <v>5800</v>
      </c>
      <c r="B701" s="104" t="s">
        <v>1012</v>
      </c>
      <c r="C701" s="104" t="s">
        <v>16</v>
      </c>
      <c r="D701" s="129" t="s">
        <v>15292</v>
      </c>
    </row>
    <row r="702" spans="1:4">
      <c r="A702" s="105">
        <v>7032</v>
      </c>
      <c r="B702" s="104" t="s">
        <v>1013</v>
      </c>
      <c r="C702" s="104" t="s">
        <v>16</v>
      </c>
      <c r="D702" s="129" t="s">
        <v>15418</v>
      </c>
    </row>
    <row r="703" spans="1:4">
      <c r="A703" s="105">
        <v>7033</v>
      </c>
      <c r="B703" s="104" t="s">
        <v>1014</v>
      </c>
      <c r="C703" s="104" t="s">
        <v>16</v>
      </c>
      <c r="D703" s="129" t="s">
        <v>15419</v>
      </c>
    </row>
    <row r="704" spans="1:4">
      <c r="A704" s="105">
        <v>7034</v>
      </c>
      <c r="B704" s="104" t="s">
        <v>1015</v>
      </c>
      <c r="C704" s="104" t="s">
        <v>16</v>
      </c>
      <c r="D704" s="129" t="s">
        <v>15420</v>
      </c>
    </row>
    <row r="705" spans="1:4">
      <c r="A705" s="105">
        <v>7035</v>
      </c>
      <c r="B705" s="104" t="s">
        <v>1016</v>
      </c>
      <c r="C705" s="104" t="s">
        <v>16</v>
      </c>
      <c r="D705" s="129" t="s">
        <v>15421</v>
      </c>
    </row>
    <row r="706" spans="1:4">
      <c r="A706" s="105">
        <v>7038</v>
      </c>
      <c r="B706" s="104" t="s">
        <v>1017</v>
      </c>
      <c r="C706" s="104" t="s">
        <v>16</v>
      </c>
      <c r="D706" s="129" t="s">
        <v>15422</v>
      </c>
    </row>
    <row r="707" spans="1:4">
      <c r="A707" s="105">
        <v>7039</v>
      </c>
      <c r="B707" s="104" t="s">
        <v>1018</v>
      </c>
      <c r="C707" s="104" t="s">
        <v>16</v>
      </c>
      <c r="D707" s="129" t="s">
        <v>15423</v>
      </c>
    </row>
    <row r="708" spans="1:4">
      <c r="A708" s="105">
        <v>7040</v>
      </c>
      <c r="B708" s="104" t="s">
        <v>1019</v>
      </c>
      <c r="C708" s="104" t="s">
        <v>16</v>
      </c>
      <c r="D708" s="129" t="s">
        <v>15424</v>
      </c>
    </row>
    <row r="709" spans="1:4">
      <c r="A709" s="105">
        <v>7044</v>
      </c>
      <c r="B709" s="104" t="s">
        <v>1020</v>
      </c>
      <c r="C709" s="104" t="s">
        <v>16</v>
      </c>
      <c r="D709" s="129" t="s">
        <v>15425</v>
      </c>
    </row>
    <row r="710" spans="1:4">
      <c r="A710" s="105">
        <v>7045</v>
      </c>
      <c r="B710" s="104" t="s">
        <v>1021</v>
      </c>
      <c r="C710" s="104" t="s">
        <v>16</v>
      </c>
      <c r="D710" s="129" t="s">
        <v>15426</v>
      </c>
    </row>
    <row r="711" spans="1:4">
      <c r="A711" s="105">
        <v>7046</v>
      </c>
      <c r="B711" s="104" t="s">
        <v>1022</v>
      </c>
      <c r="C711" s="104" t="s">
        <v>16</v>
      </c>
      <c r="D711" s="129" t="s">
        <v>15277</v>
      </c>
    </row>
    <row r="712" spans="1:4">
      <c r="A712" s="105">
        <v>7047</v>
      </c>
      <c r="B712" s="104" t="s">
        <v>1023</v>
      </c>
      <c r="C712" s="104" t="s">
        <v>16</v>
      </c>
      <c r="D712" s="129" t="s">
        <v>15427</v>
      </c>
    </row>
    <row r="713" spans="1:4">
      <c r="A713" s="105">
        <v>7051</v>
      </c>
      <c r="B713" s="104" t="s">
        <v>1024</v>
      </c>
      <c r="C713" s="104" t="s">
        <v>16</v>
      </c>
      <c r="D713" s="129" t="s">
        <v>15428</v>
      </c>
    </row>
    <row r="714" spans="1:4">
      <c r="A714" s="105">
        <v>7052</v>
      </c>
      <c r="B714" s="104" t="s">
        <v>1025</v>
      </c>
      <c r="C714" s="104" t="s">
        <v>16</v>
      </c>
      <c r="D714" s="129" t="s">
        <v>15429</v>
      </c>
    </row>
    <row r="715" spans="1:4">
      <c r="A715" s="105">
        <v>7053</v>
      </c>
      <c r="B715" s="104" t="s">
        <v>1026</v>
      </c>
      <c r="C715" s="104" t="s">
        <v>16</v>
      </c>
      <c r="D715" s="129" t="s">
        <v>15430</v>
      </c>
    </row>
    <row r="716" spans="1:4">
      <c r="A716" s="105">
        <v>7054</v>
      </c>
      <c r="B716" s="104" t="s">
        <v>1027</v>
      </c>
      <c r="C716" s="104" t="s">
        <v>16</v>
      </c>
      <c r="D716" s="129" t="s">
        <v>15431</v>
      </c>
    </row>
    <row r="717" spans="1:4">
      <c r="A717" s="105">
        <v>7058</v>
      </c>
      <c r="B717" s="104" t="s">
        <v>1028</v>
      </c>
      <c r="C717" s="104" t="s">
        <v>16</v>
      </c>
      <c r="D717" s="129" t="s">
        <v>15432</v>
      </c>
    </row>
    <row r="718" spans="1:4">
      <c r="A718" s="105">
        <v>7059</v>
      </c>
      <c r="B718" s="104" t="s">
        <v>1029</v>
      </c>
      <c r="C718" s="104" t="s">
        <v>16</v>
      </c>
      <c r="D718" s="129" t="s">
        <v>15266</v>
      </c>
    </row>
    <row r="719" spans="1:4">
      <c r="A719" s="105">
        <v>7060</v>
      </c>
      <c r="B719" s="104" t="s">
        <v>1030</v>
      </c>
      <c r="C719" s="104" t="s">
        <v>16</v>
      </c>
      <c r="D719" s="129" t="s">
        <v>15433</v>
      </c>
    </row>
    <row r="720" spans="1:4">
      <c r="A720" s="105">
        <v>7061</v>
      </c>
      <c r="B720" s="104" t="s">
        <v>1031</v>
      </c>
      <c r="C720" s="104" t="s">
        <v>16</v>
      </c>
      <c r="D720" s="129" t="s">
        <v>15434</v>
      </c>
    </row>
    <row r="721" spans="1:4">
      <c r="A721" s="105">
        <v>7063</v>
      </c>
      <c r="B721" s="104" t="s">
        <v>1032</v>
      </c>
      <c r="C721" s="104" t="s">
        <v>16</v>
      </c>
      <c r="D721" s="129" t="s">
        <v>15435</v>
      </c>
    </row>
    <row r="722" spans="1:4">
      <c r="A722" s="105">
        <v>7064</v>
      </c>
      <c r="B722" s="104" t="s">
        <v>1033</v>
      </c>
      <c r="C722" s="104" t="s">
        <v>16</v>
      </c>
      <c r="D722" s="129" t="s">
        <v>14831</v>
      </c>
    </row>
    <row r="723" spans="1:4">
      <c r="A723" s="105">
        <v>7065</v>
      </c>
      <c r="B723" s="104" t="s">
        <v>1034</v>
      </c>
      <c r="C723" s="104" t="s">
        <v>16</v>
      </c>
      <c r="D723" s="129" t="s">
        <v>15436</v>
      </c>
    </row>
    <row r="724" spans="1:4">
      <c r="A724" s="105">
        <v>7066</v>
      </c>
      <c r="B724" s="104" t="s">
        <v>1035</v>
      </c>
      <c r="C724" s="104" t="s">
        <v>16</v>
      </c>
      <c r="D724" s="129" t="s">
        <v>15437</v>
      </c>
    </row>
    <row r="725" spans="1:4">
      <c r="A725" s="105">
        <v>53786</v>
      </c>
      <c r="B725" s="104" t="s">
        <v>1036</v>
      </c>
      <c r="C725" s="104" t="s">
        <v>16</v>
      </c>
      <c r="D725" s="129" t="s">
        <v>15438</v>
      </c>
    </row>
    <row r="726" spans="1:4">
      <c r="A726" s="105">
        <v>53788</v>
      </c>
      <c r="B726" s="104" t="s">
        <v>1037</v>
      </c>
      <c r="C726" s="104" t="s">
        <v>16</v>
      </c>
      <c r="D726" s="129" t="s">
        <v>15439</v>
      </c>
    </row>
    <row r="727" spans="1:4">
      <c r="A727" s="105">
        <v>53792</v>
      </c>
      <c r="B727" s="104" t="s">
        <v>1038</v>
      </c>
      <c r="C727" s="104" t="s">
        <v>16</v>
      </c>
      <c r="D727" s="129" t="s">
        <v>15440</v>
      </c>
    </row>
    <row r="728" spans="1:4">
      <c r="A728" s="105">
        <v>53794</v>
      </c>
      <c r="B728" s="104" t="s">
        <v>1039</v>
      </c>
      <c r="C728" s="104" t="s">
        <v>16</v>
      </c>
      <c r="D728" s="129" t="s">
        <v>15441</v>
      </c>
    </row>
    <row r="729" spans="1:4">
      <c r="A729" s="105">
        <v>53797</v>
      </c>
      <c r="B729" s="104" t="s">
        <v>1040</v>
      </c>
      <c r="C729" s="104" t="s">
        <v>16</v>
      </c>
      <c r="D729" s="129" t="s">
        <v>15442</v>
      </c>
    </row>
    <row r="730" spans="1:4">
      <c r="A730" s="105">
        <v>53804</v>
      </c>
      <c r="B730" s="104" t="s">
        <v>1041</v>
      </c>
      <c r="C730" s="104" t="s">
        <v>16</v>
      </c>
      <c r="D730" s="129" t="s">
        <v>15349</v>
      </c>
    </row>
    <row r="731" spans="1:4">
      <c r="A731" s="105">
        <v>53806</v>
      </c>
      <c r="B731" s="104" t="s">
        <v>1042</v>
      </c>
      <c r="C731" s="104" t="s">
        <v>16</v>
      </c>
      <c r="D731" s="129" t="s">
        <v>15443</v>
      </c>
    </row>
    <row r="732" spans="1:4">
      <c r="A732" s="105">
        <v>53810</v>
      </c>
      <c r="B732" s="104" t="s">
        <v>1043</v>
      </c>
      <c r="C732" s="104" t="s">
        <v>16</v>
      </c>
      <c r="D732" s="129" t="s">
        <v>15444</v>
      </c>
    </row>
    <row r="733" spans="1:4">
      <c r="A733" s="105">
        <v>53814</v>
      </c>
      <c r="B733" s="104" t="s">
        <v>1044</v>
      </c>
      <c r="C733" s="104" t="s">
        <v>16</v>
      </c>
      <c r="D733" s="129" t="s">
        <v>15445</v>
      </c>
    </row>
    <row r="734" spans="1:4">
      <c r="A734" s="105">
        <v>53817</v>
      </c>
      <c r="B734" s="104" t="s">
        <v>1045</v>
      </c>
      <c r="C734" s="104" t="s">
        <v>16</v>
      </c>
      <c r="D734" s="129" t="s">
        <v>15446</v>
      </c>
    </row>
    <row r="735" spans="1:4">
      <c r="A735" s="105">
        <v>53818</v>
      </c>
      <c r="B735" s="104" t="s">
        <v>1046</v>
      </c>
      <c r="C735" s="104" t="s">
        <v>16</v>
      </c>
      <c r="D735" s="129" t="s">
        <v>15447</v>
      </c>
    </row>
    <row r="736" spans="1:4">
      <c r="A736" s="105">
        <v>53827</v>
      </c>
      <c r="B736" s="104" t="s">
        <v>1047</v>
      </c>
      <c r="C736" s="104" t="s">
        <v>16</v>
      </c>
      <c r="D736" s="129" t="s">
        <v>15448</v>
      </c>
    </row>
    <row r="737" spans="1:4">
      <c r="A737" s="105">
        <v>53829</v>
      </c>
      <c r="B737" s="104" t="s">
        <v>1048</v>
      </c>
      <c r="C737" s="104" t="s">
        <v>16</v>
      </c>
      <c r="D737" s="129" t="s">
        <v>15442</v>
      </c>
    </row>
    <row r="738" spans="1:4">
      <c r="A738" s="105">
        <v>53831</v>
      </c>
      <c r="B738" s="104" t="s">
        <v>1049</v>
      </c>
      <c r="C738" s="104" t="s">
        <v>16</v>
      </c>
      <c r="D738" s="129" t="s">
        <v>15449</v>
      </c>
    </row>
    <row r="739" spans="1:4">
      <c r="A739" s="105">
        <v>53840</v>
      </c>
      <c r="B739" s="104" t="s">
        <v>1050</v>
      </c>
      <c r="C739" s="104" t="s">
        <v>16</v>
      </c>
      <c r="D739" s="129" t="s">
        <v>15450</v>
      </c>
    </row>
    <row r="740" spans="1:4">
      <c r="A740" s="105">
        <v>53841</v>
      </c>
      <c r="B740" s="104" t="s">
        <v>1051</v>
      </c>
      <c r="C740" s="104" t="s">
        <v>16</v>
      </c>
      <c r="D740" s="129" t="s">
        <v>15451</v>
      </c>
    </row>
    <row r="741" spans="1:4">
      <c r="A741" s="105">
        <v>53849</v>
      </c>
      <c r="B741" s="104" t="s">
        <v>1052</v>
      </c>
      <c r="C741" s="104" t="s">
        <v>16</v>
      </c>
      <c r="D741" s="129" t="s">
        <v>15452</v>
      </c>
    </row>
    <row r="742" spans="1:4">
      <c r="A742" s="105">
        <v>53857</v>
      </c>
      <c r="B742" s="104" t="s">
        <v>1053</v>
      </c>
      <c r="C742" s="104" t="s">
        <v>16</v>
      </c>
      <c r="D742" s="129" t="s">
        <v>15453</v>
      </c>
    </row>
    <row r="743" spans="1:4">
      <c r="A743" s="105">
        <v>53858</v>
      </c>
      <c r="B743" s="104" t="s">
        <v>1054</v>
      </c>
      <c r="C743" s="104" t="s">
        <v>16</v>
      </c>
      <c r="D743" s="129" t="s">
        <v>15454</v>
      </c>
    </row>
    <row r="744" spans="1:4">
      <c r="A744" s="105">
        <v>53861</v>
      </c>
      <c r="B744" s="104" t="s">
        <v>1055</v>
      </c>
      <c r="C744" s="104" t="s">
        <v>16</v>
      </c>
      <c r="D744" s="129" t="s">
        <v>15455</v>
      </c>
    </row>
    <row r="745" spans="1:4">
      <c r="A745" s="105">
        <v>53863</v>
      </c>
      <c r="B745" s="104" t="s">
        <v>1056</v>
      </c>
      <c r="C745" s="104" t="s">
        <v>16</v>
      </c>
      <c r="D745" s="129" t="s">
        <v>15456</v>
      </c>
    </row>
    <row r="746" spans="1:4">
      <c r="A746" s="105">
        <v>53865</v>
      </c>
      <c r="B746" s="104" t="s">
        <v>1057</v>
      </c>
      <c r="C746" s="104" t="s">
        <v>16</v>
      </c>
      <c r="D746" s="129" t="s">
        <v>15457</v>
      </c>
    </row>
    <row r="747" spans="1:4">
      <c r="A747" s="105">
        <v>53866</v>
      </c>
      <c r="B747" s="104" t="s">
        <v>1058</v>
      </c>
      <c r="C747" s="104" t="s">
        <v>16</v>
      </c>
      <c r="D747" s="129" t="s">
        <v>15458</v>
      </c>
    </row>
    <row r="748" spans="1:4">
      <c r="A748" s="105">
        <v>53882</v>
      </c>
      <c r="B748" s="104" t="s">
        <v>1059</v>
      </c>
      <c r="C748" s="104" t="s">
        <v>16</v>
      </c>
      <c r="D748" s="129" t="s">
        <v>15459</v>
      </c>
    </row>
    <row r="749" spans="1:4">
      <c r="A749" s="105">
        <v>55263</v>
      </c>
      <c r="B749" s="104" t="s">
        <v>1060</v>
      </c>
      <c r="C749" s="104" t="s">
        <v>16</v>
      </c>
      <c r="D749" s="129" t="s">
        <v>15385</v>
      </c>
    </row>
    <row r="750" spans="1:4">
      <c r="A750" s="105">
        <v>73303</v>
      </c>
      <c r="B750" s="104" t="s">
        <v>1061</v>
      </c>
      <c r="C750" s="104" t="s">
        <v>16</v>
      </c>
      <c r="D750" s="129" t="s">
        <v>15460</v>
      </c>
    </row>
    <row r="751" spans="1:4">
      <c r="A751" s="105">
        <v>73307</v>
      </c>
      <c r="B751" s="104" t="s">
        <v>1062</v>
      </c>
      <c r="C751" s="104" t="s">
        <v>16</v>
      </c>
      <c r="D751" s="129" t="s">
        <v>15312</v>
      </c>
    </row>
    <row r="752" spans="1:4">
      <c r="A752" s="105">
        <v>73309</v>
      </c>
      <c r="B752" s="104" t="s">
        <v>1063</v>
      </c>
      <c r="C752" s="104" t="s">
        <v>16</v>
      </c>
      <c r="D752" s="129" t="s">
        <v>15461</v>
      </c>
    </row>
    <row r="753" spans="1:4">
      <c r="A753" s="105">
        <v>73311</v>
      </c>
      <c r="B753" s="104" t="s">
        <v>1064</v>
      </c>
      <c r="C753" s="104" t="s">
        <v>16</v>
      </c>
      <c r="D753" s="129" t="s">
        <v>15462</v>
      </c>
    </row>
    <row r="754" spans="1:4">
      <c r="A754" s="105">
        <v>73313</v>
      </c>
      <c r="B754" s="104" t="s">
        <v>1065</v>
      </c>
      <c r="C754" s="104" t="s">
        <v>16</v>
      </c>
      <c r="D754" s="129" t="s">
        <v>15463</v>
      </c>
    </row>
    <row r="755" spans="1:4">
      <c r="A755" s="105">
        <v>73315</v>
      </c>
      <c r="B755" s="104" t="s">
        <v>1066</v>
      </c>
      <c r="C755" s="104" t="s">
        <v>16</v>
      </c>
      <c r="D755" s="129" t="s">
        <v>15439</v>
      </c>
    </row>
    <row r="756" spans="1:4">
      <c r="A756" s="105">
        <v>73335</v>
      </c>
      <c r="B756" s="104" t="s">
        <v>1067</v>
      </c>
      <c r="C756" s="104" t="s">
        <v>16</v>
      </c>
      <c r="D756" s="129" t="s">
        <v>15464</v>
      </c>
    </row>
    <row r="757" spans="1:4">
      <c r="A757" s="105">
        <v>73340</v>
      </c>
      <c r="B757" s="104" t="s">
        <v>1068</v>
      </c>
      <c r="C757" s="104" t="s">
        <v>16</v>
      </c>
      <c r="D757" s="129" t="s">
        <v>15434</v>
      </c>
    </row>
    <row r="758" spans="1:4">
      <c r="A758" s="105">
        <v>83361</v>
      </c>
      <c r="B758" s="104" t="s">
        <v>1069</v>
      </c>
      <c r="C758" s="104" t="s">
        <v>16</v>
      </c>
      <c r="D758" s="129" t="s">
        <v>15465</v>
      </c>
    </row>
    <row r="759" spans="1:4">
      <c r="A759" s="105">
        <v>83761</v>
      </c>
      <c r="B759" s="104" t="s">
        <v>1070</v>
      </c>
      <c r="C759" s="104" t="s">
        <v>16</v>
      </c>
      <c r="D759" s="129" t="s">
        <v>15104</v>
      </c>
    </row>
    <row r="760" spans="1:4">
      <c r="A760" s="105">
        <v>83762</v>
      </c>
      <c r="B760" s="104" t="s">
        <v>1071</v>
      </c>
      <c r="C760" s="104" t="s">
        <v>16</v>
      </c>
      <c r="D760" s="129" t="s">
        <v>15466</v>
      </c>
    </row>
    <row r="761" spans="1:4">
      <c r="A761" s="105">
        <v>83763</v>
      </c>
      <c r="B761" s="104" t="s">
        <v>1072</v>
      </c>
      <c r="C761" s="104" t="s">
        <v>16</v>
      </c>
      <c r="D761" s="129" t="s">
        <v>15467</v>
      </c>
    </row>
    <row r="762" spans="1:4">
      <c r="A762" s="105">
        <v>83764</v>
      </c>
      <c r="B762" s="104" t="s">
        <v>1073</v>
      </c>
      <c r="C762" s="104" t="s">
        <v>16</v>
      </c>
      <c r="D762" s="129" t="s">
        <v>15468</v>
      </c>
    </row>
    <row r="763" spans="1:4">
      <c r="A763" s="105">
        <v>87026</v>
      </c>
      <c r="B763" s="104" t="s">
        <v>1074</v>
      </c>
      <c r="C763" s="104" t="s">
        <v>16</v>
      </c>
      <c r="D763" s="129" t="s">
        <v>15306</v>
      </c>
    </row>
    <row r="764" spans="1:4">
      <c r="A764" s="105">
        <v>87441</v>
      </c>
      <c r="B764" s="104" t="s">
        <v>13651</v>
      </c>
      <c r="C764" s="104" t="s">
        <v>16</v>
      </c>
      <c r="D764" s="129" t="s">
        <v>15469</v>
      </c>
    </row>
    <row r="765" spans="1:4">
      <c r="A765" s="105">
        <v>87442</v>
      </c>
      <c r="B765" s="104" t="s">
        <v>13652</v>
      </c>
      <c r="C765" s="104" t="s">
        <v>16</v>
      </c>
      <c r="D765" s="129" t="s">
        <v>15470</v>
      </c>
    </row>
    <row r="766" spans="1:4">
      <c r="A766" s="105">
        <v>87443</v>
      </c>
      <c r="B766" s="104" t="s">
        <v>13653</v>
      </c>
      <c r="C766" s="104" t="s">
        <v>16</v>
      </c>
      <c r="D766" s="129" t="s">
        <v>15359</v>
      </c>
    </row>
    <row r="767" spans="1:4">
      <c r="A767" s="105">
        <v>87444</v>
      </c>
      <c r="B767" s="104" t="s">
        <v>13654</v>
      </c>
      <c r="C767" s="104" t="s">
        <v>16</v>
      </c>
      <c r="D767" s="129" t="s">
        <v>15471</v>
      </c>
    </row>
    <row r="768" spans="1:4">
      <c r="A768" s="105">
        <v>88387</v>
      </c>
      <c r="B768" s="104" t="s">
        <v>1075</v>
      </c>
      <c r="C768" s="104" t="s">
        <v>16</v>
      </c>
      <c r="D768" s="129" t="s">
        <v>15472</v>
      </c>
    </row>
    <row r="769" spans="1:4">
      <c r="A769" s="105">
        <v>88389</v>
      </c>
      <c r="B769" s="104" t="s">
        <v>1076</v>
      </c>
      <c r="C769" s="104" t="s">
        <v>16</v>
      </c>
      <c r="D769" s="129" t="s">
        <v>15473</v>
      </c>
    </row>
    <row r="770" spans="1:4">
      <c r="A770" s="105">
        <v>88390</v>
      </c>
      <c r="B770" s="104" t="s">
        <v>1077</v>
      </c>
      <c r="C770" s="104" t="s">
        <v>16</v>
      </c>
      <c r="D770" s="129" t="s">
        <v>15474</v>
      </c>
    </row>
    <row r="771" spans="1:4">
      <c r="A771" s="105">
        <v>88391</v>
      </c>
      <c r="B771" s="104" t="s">
        <v>1078</v>
      </c>
      <c r="C771" s="104" t="s">
        <v>16</v>
      </c>
      <c r="D771" s="129" t="s">
        <v>15475</v>
      </c>
    </row>
    <row r="772" spans="1:4">
      <c r="A772" s="105">
        <v>88394</v>
      </c>
      <c r="B772" s="104" t="s">
        <v>1079</v>
      </c>
      <c r="C772" s="104" t="s">
        <v>16</v>
      </c>
      <c r="D772" s="129" t="s">
        <v>15476</v>
      </c>
    </row>
    <row r="773" spans="1:4">
      <c r="A773" s="105">
        <v>88395</v>
      </c>
      <c r="B773" s="104" t="s">
        <v>1080</v>
      </c>
      <c r="C773" s="104" t="s">
        <v>16</v>
      </c>
      <c r="D773" s="129" t="s">
        <v>15334</v>
      </c>
    </row>
    <row r="774" spans="1:4">
      <c r="A774" s="105">
        <v>88396</v>
      </c>
      <c r="B774" s="104" t="s">
        <v>1081</v>
      </c>
      <c r="C774" s="104" t="s">
        <v>16</v>
      </c>
      <c r="D774" s="129" t="s">
        <v>15477</v>
      </c>
    </row>
    <row r="775" spans="1:4">
      <c r="A775" s="105">
        <v>88397</v>
      </c>
      <c r="B775" s="104" t="s">
        <v>1082</v>
      </c>
      <c r="C775" s="104" t="s">
        <v>16</v>
      </c>
      <c r="D775" s="129" t="s">
        <v>15478</v>
      </c>
    </row>
    <row r="776" spans="1:4">
      <c r="A776" s="105">
        <v>88400</v>
      </c>
      <c r="B776" s="104" t="s">
        <v>1083</v>
      </c>
      <c r="C776" s="104" t="s">
        <v>16</v>
      </c>
      <c r="D776" s="129" t="s">
        <v>15479</v>
      </c>
    </row>
    <row r="777" spans="1:4">
      <c r="A777" s="105">
        <v>88401</v>
      </c>
      <c r="B777" s="104" t="s">
        <v>1084</v>
      </c>
      <c r="C777" s="104" t="s">
        <v>16</v>
      </c>
      <c r="D777" s="129" t="s">
        <v>15473</v>
      </c>
    </row>
    <row r="778" spans="1:4">
      <c r="A778" s="105">
        <v>88402</v>
      </c>
      <c r="B778" s="104" t="s">
        <v>1085</v>
      </c>
      <c r="C778" s="104" t="s">
        <v>16</v>
      </c>
      <c r="D778" s="129" t="s">
        <v>15480</v>
      </c>
    </row>
    <row r="779" spans="1:4">
      <c r="A779" s="105">
        <v>88403</v>
      </c>
      <c r="B779" s="104" t="s">
        <v>1086</v>
      </c>
      <c r="C779" s="104" t="s">
        <v>16</v>
      </c>
      <c r="D779" s="129" t="s">
        <v>15481</v>
      </c>
    </row>
    <row r="780" spans="1:4">
      <c r="A780" s="105">
        <v>88419</v>
      </c>
      <c r="B780" s="104" t="s">
        <v>1087</v>
      </c>
      <c r="C780" s="104" t="s">
        <v>16</v>
      </c>
      <c r="D780" s="129" t="s">
        <v>15482</v>
      </c>
    </row>
    <row r="781" spans="1:4">
      <c r="A781" s="105">
        <v>88422</v>
      </c>
      <c r="B781" s="104" t="s">
        <v>1088</v>
      </c>
      <c r="C781" s="104" t="s">
        <v>16</v>
      </c>
      <c r="D781" s="129" t="s">
        <v>15483</v>
      </c>
    </row>
    <row r="782" spans="1:4">
      <c r="A782" s="105">
        <v>88425</v>
      </c>
      <c r="B782" s="104" t="s">
        <v>1089</v>
      </c>
      <c r="C782" s="104" t="s">
        <v>16</v>
      </c>
      <c r="D782" s="129" t="s">
        <v>15484</v>
      </c>
    </row>
    <row r="783" spans="1:4">
      <c r="A783" s="105">
        <v>88427</v>
      </c>
      <c r="B783" s="104" t="s">
        <v>1090</v>
      </c>
      <c r="C783" s="104" t="s">
        <v>16</v>
      </c>
      <c r="D783" s="129" t="s">
        <v>15485</v>
      </c>
    </row>
    <row r="784" spans="1:4">
      <c r="A784" s="105">
        <v>88434</v>
      </c>
      <c r="B784" s="104" t="s">
        <v>1091</v>
      </c>
      <c r="C784" s="104" t="s">
        <v>16</v>
      </c>
      <c r="D784" s="129" t="s">
        <v>15486</v>
      </c>
    </row>
    <row r="785" spans="1:4">
      <c r="A785" s="105">
        <v>88435</v>
      </c>
      <c r="B785" s="104" t="s">
        <v>1092</v>
      </c>
      <c r="C785" s="104" t="s">
        <v>16</v>
      </c>
      <c r="D785" s="129" t="s">
        <v>15487</v>
      </c>
    </row>
    <row r="786" spans="1:4">
      <c r="A786" s="105">
        <v>88436</v>
      </c>
      <c r="B786" s="104" t="s">
        <v>1093</v>
      </c>
      <c r="C786" s="104" t="s">
        <v>16</v>
      </c>
      <c r="D786" s="129" t="s">
        <v>15488</v>
      </c>
    </row>
    <row r="787" spans="1:4">
      <c r="A787" s="105">
        <v>88437</v>
      </c>
      <c r="B787" s="104" t="s">
        <v>1094</v>
      </c>
      <c r="C787" s="104" t="s">
        <v>16</v>
      </c>
      <c r="D787" s="129" t="s">
        <v>15485</v>
      </c>
    </row>
    <row r="788" spans="1:4">
      <c r="A788" s="105">
        <v>88569</v>
      </c>
      <c r="B788" s="104" t="s">
        <v>1095</v>
      </c>
      <c r="C788" s="104" t="s">
        <v>16</v>
      </c>
      <c r="D788" s="129" t="s">
        <v>15489</v>
      </c>
    </row>
    <row r="789" spans="1:4">
      <c r="A789" s="105">
        <v>88570</v>
      </c>
      <c r="B789" s="104" t="s">
        <v>1096</v>
      </c>
      <c r="C789" s="104" t="s">
        <v>16</v>
      </c>
      <c r="D789" s="129" t="s">
        <v>15490</v>
      </c>
    </row>
    <row r="790" spans="1:4">
      <c r="A790" s="105">
        <v>88826</v>
      </c>
      <c r="B790" s="104" t="s">
        <v>1097</v>
      </c>
      <c r="C790" s="104" t="s">
        <v>16</v>
      </c>
      <c r="D790" s="129" t="s">
        <v>15491</v>
      </c>
    </row>
    <row r="791" spans="1:4">
      <c r="A791" s="105">
        <v>88827</v>
      </c>
      <c r="B791" s="104" t="s">
        <v>1098</v>
      </c>
      <c r="C791" s="104" t="s">
        <v>16</v>
      </c>
      <c r="D791" s="129" t="s">
        <v>15492</v>
      </c>
    </row>
    <row r="792" spans="1:4">
      <c r="A792" s="105">
        <v>88828</v>
      </c>
      <c r="B792" s="104" t="s">
        <v>1099</v>
      </c>
      <c r="C792" s="104" t="s">
        <v>16</v>
      </c>
      <c r="D792" s="129" t="s">
        <v>15289</v>
      </c>
    </row>
    <row r="793" spans="1:4">
      <c r="A793" s="105">
        <v>88829</v>
      </c>
      <c r="B793" s="104" t="s">
        <v>1100</v>
      </c>
      <c r="C793" s="104" t="s">
        <v>16</v>
      </c>
      <c r="D793" s="129" t="s">
        <v>15493</v>
      </c>
    </row>
    <row r="794" spans="1:4">
      <c r="A794" s="105">
        <v>88832</v>
      </c>
      <c r="B794" s="104" t="s">
        <v>1101</v>
      </c>
      <c r="C794" s="104" t="s">
        <v>16</v>
      </c>
      <c r="D794" s="129" t="s">
        <v>15494</v>
      </c>
    </row>
    <row r="795" spans="1:4">
      <c r="A795" s="105">
        <v>88834</v>
      </c>
      <c r="B795" s="104" t="s">
        <v>1102</v>
      </c>
      <c r="C795" s="104" t="s">
        <v>16</v>
      </c>
      <c r="D795" s="129" t="s">
        <v>15495</v>
      </c>
    </row>
    <row r="796" spans="1:4">
      <c r="A796" s="105">
        <v>88835</v>
      </c>
      <c r="B796" s="104" t="s">
        <v>1103</v>
      </c>
      <c r="C796" s="104" t="s">
        <v>16</v>
      </c>
      <c r="D796" s="129" t="s">
        <v>15496</v>
      </c>
    </row>
    <row r="797" spans="1:4">
      <c r="A797" s="105">
        <v>88836</v>
      </c>
      <c r="B797" s="104" t="s">
        <v>1104</v>
      </c>
      <c r="C797" s="104" t="s">
        <v>16</v>
      </c>
      <c r="D797" s="129" t="s">
        <v>15497</v>
      </c>
    </row>
    <row r="798" spans="1:4">
      <c r="A798" s="105">
        <v>88839</v>
      </c>
      <c r="B798" s="104" t="s">
        <v>1105</v>
      </c>
      <c r="C798" s="104" t="s">
        <v>16</v>
      </c>
      <c r="D798" s="129" t="s">
        <v>15498</v>
      </c>
    </row>
    <row r="799" spans="1:4">
      <c r="A799" s="105">
        <v>88840</v>
      </c>
      <c r="B799" s="104" t="s">
        <v>1106</v>
      </c>
      <c r="C799" s="104" t="s">
        <v>16</v>
      </c>
      <c r="D799" s="129" t="s">
        <v>15499</v>
      </c>
    </row>
    <row r="800" spans="1:4">
      <c r="A800" s="105">
        <v>88841</v>
      </c>
      <c r="B800" s="104" t="s">
        <v>1107</v>
      </c>
      <c r="C800" s="104" t="s">
        <v>16</v>
      </c>
      <c r="D800" s="129" t="s">
        <v>15500</v>
      </c>
    </row>
    <row r="801" spans="1:4">
      <c r="A801" s="105">
        <v>88842</v>
      </c>
      <c r="B801" s="104" t="s">
        <v>1108</v>
      </c>
      <c r="C801" s="104" t="s">
        <v>16</v>
      </c>
      <c r="D801" s="129" t="s">
        <v>15501</v>
      </c>
    </row>
    <row r="802" spans="1:4">
      <c r="A802" s="105">
        <v>88847</v>
      </c>
      <c r="B802" s="104" t="s">
        <v>1109</v>
      </c>
      <c r="C802" s="104" t="s">
        <v>16</v>
      </c>
      <c r="D802" s="129" t="s">
        <v>15502</v>
      </c>
    </row>
    <row r="803" spans="1:4">
      <c r="A803" s="105">
        <v>88848</v>
      </c>
      <c r="B803" s="104" t="s">
        <v>1110</v>
      </c>
      <c r="C803" s="104" t="s">
        <v>16</v>
      </c>
      <c r="D803" s="129" t="s">
        <v>15503</v>
      </c>
    </row>
    <row r="804" spans="1:4">
      <c r="A804" s="105">
        <v>88853</v>
      </c>
      <c r="B804" s="104" t="s">
        <v>1111</v>
      </c>
      <c r="C804" s="104" t="s">
        <v>16</v>
      </c>
      <c r="D804" s="129" t="s">
        <v>15504</v>
      </c>
    </row>
    <row r="805" spans="1:4">
      <c r="A805" s="105">
        <v>88854</v>
      </c>
      <c r="B805" s="104" t="s">
        <v>1112</v>
      </c>
      <c r="C805" s="104" t="s">
        <v>16</v>
      </c>
      <c r="D805" s="129" t="s">
        <v>15426</v>
      </c>
    </row>
    <row r="806" spans="1:4">
      <c r="A806" s="105">
        <v>88855</v>
      </c>
      <c r="B806" s="104" t="s">
        <v>1113</v>
      </c>
      <c r="C806" s="104" t="s">
        <v>16</v>
      </c>
      <c r="D806" s="129" t="s">
        <v>15505</v>
      </c>
    </row>
    <row r="807" spans="1:4">
      <c r="A807" s="105">
        <v>88856</v>
      </c>
      <c r="B807" s="104" t="s">
        <v>1114</v>
      </c>
      <c r="C807" s="104" t="s">
        <v>16</v>
      </c>
      <c r="D807" s="129" t="s">
        <v>15323</v>
      </c>
    </row>
    <row r="808" spans="1:4">
      <c r="A808" s="105">
        <v>88857</v>
      </c>
      <c r="B808" s="104" t="s">
        <v>1115</v>
      </c>
      <c r="C808" s="104" t="s">
        <v>16</v>
      </c>
      <c r="D808" s="129" t="s">
        <v>15506</v>
      </c>
    </row>
    <row r="809" spans="1:4">
      <c r="A809" s="105">
        <v>88858</v>
      </c>
      <c r="B809" s="104" t="s">
        <v>1116</v>
      </c>
      <c r="C809" s="104" t="s">
        <v>16</v>
      </c>
      <c r="D809" s="129" t="s">
        <v>15507</v>
      </c>
    </row>
    <row r="810" spans="1:4">
      <c r="A810" s="105">
        <v>88859</v>
      </c>
      <c r="B810" s="104" t="s">
        <v>1117</v>
      </c>
      <c r="C810" s="104" t="s">
        <v>16</v>
      </c>
      <c r="D810" s="129" t="s">
        <v>15508</v>
      </c>
    </row>
    <row r="811" spans="1:4">
      <c r="A811" s="105">
        <v>88860</v>
      </c>
      <c r="B811" s="104" t="s">
        <v>1118</v>
      </c>
      <c r="C811" s="104" t="s">
        <v>16</v>
      </c>
      <c r="D811" s="129" t="s">
        <v>15509</v>
      </c>
    </row>
    <row r="812" spans="1:4">
      <c r="A812" s="105">
        <v>88900</v>
      </c>
      <c r="B812" s="104" t="s">
        <v>1119</v>
      </c>
      <c r="C812" s="104" t="s">
        <v>16</v>
      </c>
      <c r="D812" s="129" t="s">
        <v>15510</v>
      </c>
    </row>
    <row r="813" spans="1:4">
      <c r="A813" s="105">
        <v>88902</v>
      </c>
      <c r="B813" s="104" t="s">
        <v>1120</v>
      </c>
      <c r="C813" s="104" t="s">
        <v>16</v>
      </c>
      <c r="D813" s="129" t="s">
        <v>15511</v>
      </c>
    </row>
    <row r="814" spans="1:4">
      <c r="A814" s="105">
        <v>88903</v>
      </c>
      <c r="B814" s="104" t="s">
        <v>1121</v>
      </c>
      <c r="C814" s="104" t="s">
        <v>16</v>
      </c>
      <c r="D814" s="129" t="s">
        <v>15512</v>
      </c>
    </row>
    <row r="815" spans="1:4">
      <c r="A815" s="105">
        <v>88904</v>
      </c>
      <c r="B815" s="104" t="s">
        <v>1122</v>
      </c>
      <c r="C815" s="104" t="s">
        <v>16</v>
      </c>
      <c r="D815" s="129" t="s">
        <v>15513</v>
      </c>
    </row>
    <row r="816" spans="1:4">
      <c r="A816" s="105">
        <v>89009</v>
      </c>
      <c r="B816" s="104" t="s">
        <v>1123</v>
      </c>
      <c r="C816" s="104" t="s">
        <v>16</v>
      </c>
      <c r="D816" s="129" t="s">
        <v>15514</v>
      </c>
    </row>
    <row r="817" spans="1:4">
      <c r="A817" s="105">
        <v>89010</v>
      </c>
      <c r="B817" s="104" t="s">
        <v>1124</v>
      </c>
      <c r="C817" s="104" t="s">
        <v>16</v>
      </c>
      <c r="D817" s="129" t="s">
        <v>15515</v>
      </c>
    </row>
    <row r="818" spans="1:4">
      <c r="A818" s="105">
        <v>89011</v>
      </c>
      <c r="B818" s="104" t="s">
        <v>1125</v>
      </c>
      <c r="C818" s="104" t="s">
        <v>16</v>
      </c>
      <c r="D818" s="129" t="s">
        <v>15516</v>
      </c>
    </row>
    <row r="819" spans="1:4">
      <c r="A819" s="105">
        <v>89012</v>
      </c>
      <c r="B819" s="104" t="s">
        <v>1126</v>
      </c>
      <c r="C819" s="104" t="s">
        <v>16</v>
      </c>
      <c r="D819" s="129" t="s">
        <v>15517</v>
      </c>
    </row>
    <row r="820" spans="1:4">
      <c r="A820" s="105">
        <v>89013</v>
      </c>
      <c r="B820" s="104" t="s">
        <v>1127</v>
      </c>
      <c r="C820" s="104" t="s">
        <v>16</v>
      </c>
      <c r="D820" s="129" t="s">
        <v>15518</v>
      </c>
    </row>
    <row r="821" spans="1:4">
      <c r="A821" s="105">
        <v>89014</v>
      </c>
      <c r="B821" s="104" t="s">
        <v>1128</v>
      </c>
      <c r="C821" s="104" t="s">
        <v>16</v>
      </c>
      <c r="D821" s="129" t="s">
        <v>15519</v>
      </c>
    </row>
    <row r="822" spans="1:4">
      <c r="A822" s="105">
        <v>89015</v>
      </c>
      <c r="B822" s="104" t="s">
        <v>1129</v>
      </c>
      <c r="C822" s="104" t="s">
        <v>16</v>
      </c>
      <c r="D822" s="129" t="s">
        <v>15520</v>
      </c>
    </row>
    <row r="823" spans="1:4">
      <c r="A823" s="105">
        <v>89016</v>
      </c>
      <c r="B823" s="104" t="s">
        <v>1130</v>
      </c>
      <c r="C823" s="104" t="s">
        <v>16</v>
      </c>
      <c r="D823" s="129" t="s">
        <v>15521</v>
      </c>
    </row>
    <row r="824" spans="1:4">
      <c r="A824" s="105">
        <v>89017</v>
      </c>
      <c r="B824" s="104" t="s">
        <v>1131</v>
      </c>
      <c r="C824" s="104" t="s">
        <v>16</v>
      </c>
      <c r="D824" s="129" t="s">
        <v>15522</v>
      </c>
    </row>
    <row r="825" spans="1:4">
      <c r="A825" s="105">
        <v>89018</v>
      </c>
      <c r="B825" s="104" t="s">
        <v>1132</v>
      </c>
      <c r="C825" s="104" t="s">
        <v>16</v>
      </c>
      <c r="D825" s="129" t="s">
        <v>15523</v>
      </c>
    </row>
    <row r="826" spans="1:4">
      <c r="A826" s="105">
        <v>89019</v>
      </c>
      <c r="B826" s="104" t="s">
        <v>1133</v>
      </c>
      <c r="C826" s="104" t="s">
        <v>16</v>
      </c>
      <c r="D826" s="129" t="s">
        <v>15524</v>
      </c>
    </row>
    <row r="827" spans="1:4">
      <c r="A827" s="105">
        <v>89020</v>
      </c>
      <c r="B827" s="104" t="s">
        <v>1134</v>
      </c>
      <c r="C827" s="104" t="s">
        <v>16</v>
      </c>
      <c r="D827" s="129" t="s">
        <v>15354</v>
      </c>
    </row>
    <row r="828" spans="1:4">
      <c r="A828" s="105">
        <v>89023</v>
      </c>
      <c r="B828" s="104" t="s">
        <v>1135</v>
      </c>
      <c r="C828" s="104" t="s">
        <v>16</v>
      </c>
      <c r="D828" s="129" t="s">
        <v>15525</v>
      </c>
    </row>
    <row r="829" spans="1:4">
      <c r="A829" s="105">
        <v>89024</v>
      </c>
      <c r="B829" s="104" t="s">
        <v>1136</v>
      </c>
      <c r="C829" s="104" t="s">
        <v>16</v>
      </c>
      <c r="D829" s="129" t="s">
        <v>15526</v>
      </c>
    </row>
    <row r="830" spans="1:4">
      <c r="A830" s="105">
        <v>89025</v>
      </c>
      <c r="B830" s="104" t="s">
        <v>1137</v>
      </c>
      <c r="C830" s="104" t="s">
        <v>16</v>
      </c>
      <c r="D830" s="129" t="s">
        <v>15527</v>
      </c>
    </row>
    <row r="831" spans="1:4">
      <c r="A831" s="105">
        <v>89026</v>
      </c>
      <c r="B831" s="104" t="s">
        <v>1138</v>
      </c>
      <c r="C831" s="104" t="s">
        <v>16</v>
      </c>
      <c r="D831" s="129" t="s">
        <v>15528</v>
      </c>
    </row>
    <row r="832" spans="1:4">
      <c r="A832" s="105">
        <v>89029</v>
      </c>
      <c r="B832" s="104" t="s">
        <v>1139</v>
      </c>
      <c r="C832" s="104" t="s">
        <v>16</v>
      </c>
      <c r="D832" s="129" t="s">
        <v>15529</v>
      </c>
    </row>
    <row r="833" spans="1:4">
      <c r="A833" s="105">
        <v>89030</v>
      </c>
      <c r="B833" s="104" t="s">
        <v>1140</v>
      </c>
      <c r="C833" s="104" t="s">
        <v>16</v>
      </c>
      <c r="D833" s="129" t="s">
        <v>15530</v>
      </c>
    </row>
    <row r="834" spans="1:4">
      <c r="A834" s="105">
        <v>89033</v>
      </c>
      <c r="B834" s="104" t="s">
        <v>1141</v>
      </c>
      <c r="C834" s="104" t="s">
        <v>16</v>
      </c>
      <c r="D834" s="129" t="s">
        <v>15531</v>
      </c>
    </row>
    <row r="835" spans="1:4">
      <c r="A835" s="105">
        <v>89034</v>
      </c>
      <c r="B835" s="104" t="s">
        <v>1142</v>
      </c>
      <c r="C835" s="104" t="s">
        <v>16</v>
      </c>
      <c r="D835" s="129" t="s">
        <v>15532</v>
      </c>
    </row>
    <row r="836" spans="1:4">
      <c r="A836" s="105">
        <v>89128</v>
      </c>
      <c r="B836" s="104" t="s">
        <v>1143</v>
      </c>
      <c r="C836" s="104" t="s">
        <v>16</v>
      </c>
      <c r="D836" s="129" t="s">
        <v>15533</v>
      </c>
    </row>
    <row r="837" spans="1:4">
      <c r="A837" s="105">
        <v>89129</v>
      </c>
      <c r="B837" s="104" t="s">
        <v>1144</v>
      </c>
      <c r="C837" s="104" t="s">
        <v>16</v>
      </c>
      <c r="D837" s="129" t="s">
        <v>15238</v>
      </c>
    </row>
    <row r="838" spans="1:4">
      <c r="A838" s="105">
        <v>89130</v>
      </c>
      <c r="B838" s="104" t="s">
        <v>1145</v>
      </c>
      <c r="C838" s="104" t="s">
        <v>16</v>
      </c>
      <c r="D838" s="129" t="s">
        <v>15534</v>
      </c>
    </row>
    <row r="839" spans="1:4">
      <c r="A839" s="105">
        <v>89131</v>
      </c>
      <c r="B839" s="104" t="s">
        <v>1146</v>
      </c>
      <c r="C839" s="104" t="s">
        <v>16</v>
      </c>
      <c r="D839" s="129" t="s">
        <v>15535</v>
      </c>
    </row>
    <row r="840" spans="1:4">
      <c r="A840" s="105">
        <v>89210</v>
      </c>
      <c r="B840" s="104" t="s">
        <v>1147</v>
      </c>
      <c r="C840" s="104" t="s">
        <v>16</v>
      </c>
      <c r="D840" s="129" t="s">
        <v>15536</v>
      </c>
    </row>
    <row r="841" spans="1:4">
      <c r="A841" s="105">
        <v>89211</v>
      </c>
      <c r="B841" s="104" t="s">
        <v>1148</v>
      </c>
      <c r="C841" s="104" t="s">
        <v>16</v>
      </c>
      <c r="D841" s="129" t="s">
        <v>15537</v>
      </c>
    </row>
    <row r="842" spans="1:4">
      <c r="A842" s="105">
        <v>89212</v>
      </c>
      <c r="B842" s="104" t="s">
        <v>1149</v>
      </c>
      <c r="C842" s="104" t="s">
        <v>16</v>
      </c>
      <c r="D842" s="129" t="s">
        <v>15538</v>
      </c>
    </row>
    <row r="843" spans="1:4">
      <c r="A843" s="105">
        <v>89213</v>
      </c>
      <c r="B843" s="104" t="s">
        <v>1150</v>
      </c>
      <c r="C843" s="104" t="s">
        <v>16</v>
      </c>
      <c r="D843" s="129" t="s">
        <v>15539</v>
      </c>
    </row>
    <row r="844" spans="1:4">
      <c r="A844" s="105">
        <v>89214</v>
      </c>
      <c r="B844" s="104" t="s">
        <v>1151</v>
      </c>
      <c r="C844" s="104" t="s">
        <v>16</v>
      </c>
      <c r="D844" s="129" t="s">
        <v>15540</v>
      </c>
    </row>
    <row r="845" spans="1:4">
      <c r="A845" s="105">
        <v>89215</v>
      </c>
      <c r="B845" s="104" t="s">
        <v>1152</v>
      </c>
      <c r="C845" s="104" t="s">
        <v>16</v>
      </c>
      <c r="D845" s="129" t="s">
        <v>15541</v>
      </c>
    </row>
    <row r="846" spans="1:4">
      <c r="A846" s="105">
        <v>89221</v>
      </c>
      <c r="B846" s="104" t="s">
        <v>1153</v>
      </c>
      <c r="C846" s="104" t="s">
        <v>16</v>
      </c>
      <c r="D846" s="129" t="s">
        <v>15542</v>
      </c>
    </row>
    <row r="847" spans="1:4">
      <c r="A847" s="105">
        <v>89222</v>
      </c>
      <c r="B847" s="104" t="s">
        <v>1154</v>
      </c>
      <c r="C847" s="104" t="s">
        <v>16</v>
      </c>
      <c r="D847" s="129" t="s">
        <v>15543</v>
      </c>
    </row>
    <row r="848" spans="1:4">
      <c r="A848" s="105">
        <v>89223</v>
      </c>
      <c r="B848" s="104" t="s">
        <v>1155</v>
      </c>
      <c r="C848" s="104" t="s">
        <v>16</v>
      </c>
      <c r="D848" s="129" t="s">
        <v>15544</v>
      </c>
    </row>
    <row r="849" spans="1:4">
      <c r="A849" s="105">
        <v>89224</v>
      </c>
      <c r="B849" s="104" t="s">
        <v>1156</v>
      </c>
      <c r="C849" s="104" t="s">
        <v>16</v>
      </c>
      <c r="D849" s="129" t="s">
        <v>15545</v>
      </c>
    </row>
    <row r="850" spans="1:4">
      <c r="A850" s="105">
        <v>89228</v>
      </c>
      <c r="B850" s="104" t="s">
        <v>1157</v>
      </c>
      <c r="C850" s="104" t="s">
        <v>16</v>
      </c>
      <c r="D850" s="129" t="s">
        <v>15546</v>
      </c>
    </row>
    <row r="851" spans="1:4">
      <c r="A851" s="105">
        <v>89229</v>
      </c>
      <c r="B851" s="104" t="s">
        <v>1158</v>
      </c>
      <c r="C851" s="104" t="s">
        <v>16</v>
      </c>
      <c r="D851" s="129" t="s">
        <v>15547</v>
      </c>
    </row>
    <row r="852" spans="1:4">
      <c r="A852" s="105">
        <v>89230</v>
      </c>
      <c r="B852" s="104" t="s">
        <v>1159</v>
      </c>
      <c r="C852" s="104" t="s">
        <v>16</v>
      </c>
      <c r="D852" s="129" t="s">
        <v>15548</v>
      </c>
    </row>
    <row r="853" spans="1:4">
      <c r="A853" s="105">
        <v>89231</v>
      </c>
      <c r="B853" s="104" t="s">
        <v>1160</v>
      </c>
      <c r="C853" s="104" t="s">
        <v>16</v>
      </c>
      <c r="D853" s="129" t="s">
        <v>15549</v>
      </c>
    </row>
    <row r="854" spans="1:4">
      <c r="A854" s="105">
        <v>89232</v>
      </c>
      <c r="B854" s="104" t="s">
        <v>1161</v>
      </c>
      <c r="C854" s="104" t="s">
        <v>16</v>
      </c>
      <c r="D854" s="129" t="s">
        <v>15550</v>
      </c>
    </row>
    <row r="855" spans="1:4">
      <c r="A855" s="105">
        <v>89233</v>
      </c>
      <c r="B855" s="104" t="s">
        <v>1162</v>
      </c>
      <c r="C855" s="104" t="s">
        <v>16</v>
      </c>
      <c r="D855" s="129" t="s">
        <v>15551</v>
      </c>
    </row>
    <row r="856" spans="1:4">
      <c r="A856" s="105">
        <v>89236</v>
      </c>
      <c r="B856" s="104" t="s">
        <v>1163</v>
      </c>
      <c r="C856" s="104" t="s">
        <v>16</v>
      </c>
      <c r="D856" s="129" t="s">
        <v>15552</v>
      </c>
    </row>
    <row r="857" spans="1:4">
      <c r="A857" s="105">
        <v>89237</v>
      </c>
      <c r="B857" s="104" t="s">
        <v>1164</v>
      </c>
      <c r="C857" s="104" t="s">
        <v>16</v>
      </c>
      <c r="D857" s="129" t="s">
        <v>15553</v>
      </c>
    </row>
    <row r="858" spans="1:4">
      <c r="A858" s="105">
        <v>89238</v>
      </c>
      <c r="B858" s="104" t="s">
        <v>1165</v>
      </c>
      <c r="C858" s="104" t="s">
        <v>16</v>
      </c>
      <c r="D858" s="129" t="s">
        <v>15554</v>
      </c>
    </row>
    <row r="859" spans="1:4">
      <c r="A859" s="105">
        <v>89239</v>
      </c>
      <c r="B859" s="104" t="s">
        <v>1166</v>
      </c>
      <c r="C859" s="104" t="s">
        <v>16</v>
      </c>
      <c r="D859" s="129" t="s">
        <v>15555</v>
      </c>
    </row>
    <row r="860" spans="1:4">
      <c r="A860" s="105">
        <v>89240</v>
      </c>
      <c r="B860" s="104" t="s">
        <v>1167</v>
      </c>
      <c r="C860" s="104" t="s">
        <v>16</v>
      </c>
      <c r="D860" s="129" t="s">
        <v>15556</v>
      </c>
    </row>
    <row r="861" spans="1:4">
      <c r="A861" s="105">
        <v>89241</v>
      </c>
      <c r="B861" s="104" t="s">
        <v>1168</v>
      </c>
      <c r="C861" s="104" t="s">
        <v>16</v>
      </c>
      <c r="D861" s="129" t="s">
        <v>15557</v>
      </c>
    </row>
    <row r="862" spans="1:4">
      <c r="A862" s="105">
        <v>89246</v>
      </c>
      <c r="B862" s="104" t="s">
        <v>1169</v>
      </c>
      <c r="C862" s="104" t="s">
        <v>16</v>
      </c>
      <c r="D862" s="129" t="s">
        <v>15558</v>
      </c>
    </row>
    <row r="863" spans="1:4">
      <c r="A863" s="105">
        <v>89247</v>
      </c>
      <c r="B863" s="104" t="s">
        <v>1170</v>
      </c>
      <c r="C863" s="104" t="s">
        <v>16</v>
      </c>
      <c r="D863" s="129" t="s">
        <v>15559</v>
      </c>
    </row>
    <row r="864" spans="1:4">
      <c r="A864" s="105">
        <v>89248</v>
      </c>
      <c r="B864" s="104" t="s">
        <v>1171</v>
      </c>
      <c r="C864" s="104" t="s">
        <v>16</v>
      </c>
      <c r="D864" s="129" t="s">
        <v>15560</v>
      </c>
    </row>
    <row r="865" spans="1:4">
      <c r="A865" s="105">
        <v>89249</v>
      </c>
      <c r="B865" s="104" t="s">
        <v>1172</v>
      </c>
      <c r="C865" s="104" t="s">
        <v>16</v>
      </c>
      <c r="D865" s="129" t="s">
        <v>15561</v>
      </c>
    </row>
    <row r="866" spans="1:4">
      <c r="A866" s="105">
        <v>89253</v>
      </c>
      <c r="B866" s="104" t="s">
        <v>1173</v>
      </c>
      <c r="C866" s="104" t="s">
        <v>16</v>
      </c>
      <c r="D866" s="129" t="s">
        <v>15562</v>
      </c>
    </row>
    <row r="867" spans="1:4">
      <c r="A867" s="105">
        <v>89254</v>
      </c>
      <c r="B867" s="104" t="s">
        <v>1174</v>
      </c>
      <c r="C867" s="104" t="s">
        <v>16</v>
      </c>
      <c r="D867" s="129" t="s">
        <v>15563</v>
      </c>
    </row>
    <row r="868" spans="1:4">
      <c r="A868" s="105">
        <v>89255</v>
      </c>
      <c r="B868" s="104" t="s">
        <v>1175</v>
      </c>
      <c r="C868" s="104" t="s">
        <v>16</v>
      </c>
      <c r="D868" s="129" t="s">
        <v>15564</v>
      </c>
    </row>
    <row r="869" spans="1:4">
      <c r="A869" s="105">
        <v>89256</v>
      </c>
      <c r="B869" s="104" t="s">
        <v>1176</v>
      </c>
      <c r="C869" s="104" t="s">
        <v>16</v>
      </c>
      <c r="D869" s="129" t="s">
        <v>15565</v>
      </c>
    </row>
    <row r="870" spans="1:4">
      <c r="A870" s="105">
        <v>89259</v>
      </c>
      <c r="B870" s="104" t="s">
        <v>1177</v>
      </c>
      <c r="C870" s="104" t="s">
        <v>16</v>
      </c>
      <c r="D870" s="129" t="s">
        <v>15566</v>
      </c>
    </row>
    <row r="871" spans="1:4">
      <c r="A871" s="105">
        <v>89260</v>
      </c>
      <c r="B871" s="104" t="s">
        <v>1178</v>
      </c>
      <c r="C871" s="104" t="s">
        <v>16</v>
      </c>
      <c r="D871" s="129" t="s">
        <v>14820</v>
      </c>
    </row>
    <row r="872" spans="1:4">
      <c r="A872" s="105">
        <v>89262</v>
      </c>
      <c r="B872" s="104" t="s">
        <v>1179</v>
      </c>
      <c r="C872" s="104" t="s">
        <v>16</v>
      </c>
      <c r="D872" s="129" t="s">
        <v>15567</v>
      </c>
    </row>
    <row r="873" spans="1:4">
      <c r="A873" s="105">
        <v>89264</v>
      </c>
      <c r="B873" s="104" t="s">
        <v>1180</v>
      </c>
      <c r="C873" s="104" t="s">
        <v>16</v>
      </c>
      <c r="D873" s="129" t="s">
        <v>15568</v>
      </c>
    </row>
    <row r="874" spans="1:4">
      <c r="A874" s="105">
        <v>89265</v>
      </c>
      <c r="B874" s="104" t="s">
        <v>1181</v>
      </c>
      <c r="C874" s="104" t="s">
        <v>16</v>
      </c>
      <c r="D874" s="129" t="s">
        <v>15569</v>
      </c>
    </row>
    <row r="875" spans="1:4">
      <c r="A875" s="105">
        <v>89266</v>
      </c>
      <c r="B875" s="104" t="s">
        <v>1182</v>
      </c>
      <c r="C875" s="104" t="s">
        <v>16</v>
      </c>
      <c r="D875" s="129" t="s">
        <v>15570</v>
      </c>
    </row>
    <row r="876" spans="1:4">
      <c r="A876" s="105">
        <v>89267</v>
      </c>
      <c r="B876" s="104" t="s">
        <v>1183</v>
      </c>
      <c r="C876" s="104" t="s">
        <v>16</v>
      </c>
      <c r="D876" s="129" t="s">
        <v>15571</v>
      </c>
    </row>
    <row r="877" spans="1:4">
      <c r="A877" s="105">
        <v>89268</v>
      </c>
      <c r="B877" s="104" t="s">
        <v>1184</v>
      </c>
      <c r="C877" s="104" t="s">
        <v>16</v>
      </c>
      <c r="D877" s="129" t="s">
        <v>15288</v>
      </c>
    </row>
    <row r="878" spans="1:4">
      <c r="A878" s="105">
        <v>89269</v>
      </c>
      <c r="B878" s="104" t="s">
        <v>1185</v>
      </c>
      <c r="C878" s="104" t="s">
        <v>16</v>
      </c>
      <c r="D878" s="129" t="s">
        <v>15572</v>
      </c>
    </row>
    <row r="879" spans="1:4">
      <c r="A879" s="105">
        <v>89270</v>
      </c>
      <c r="B879" s="104" t="s">
        <v>1186</v>
      </c>
      <c r="C879" s="104" t="s">
        <v>16</v>
      </c>
      <c r="D879" s="129" t="s">
        <v>15573</v>
      </c>
    </row>
    <row r="880" spans="1:4">
      <c r="A880" s="105">
        <v>89271</v>
      </c>
      <c r="B880" s="104" t="s">
        <v>1187</v>
      </c>
      <c r="C880" s="104" t="s">
        <v>16</v>
      </c>
      <c r="D880" s="129" t="s">
        <v>15574</v>
      </c>
    </row>
    <row r="881" spans="1:4">
      <c r="A881" s="105">
        <v>89274</v>
      </c>
      <c r="B881" s="104" t="s">
        <v>13655</v>
      </c>
      <c r="C881" s="104" t="s">
        <v>16</v>
      </c>
      <c r="D881" s="129" t="s">
        <v>15575</v>
      </c>
    </row>
    <row r="882" spans="1:4">
      <c r="A882" s="105">
        <v>89275</v>
      </c>
      <c r="B882" s="104" t="s">
        <v>13656</v>
      </c>
      <c r="C882" s="104" t="s">
        <v>16</v>
      </c>
      <c r="D882" s="129" t="s">
        <v>15576</v>
      </c>
    </row>
    <row r="883" spans="1:4">
      <c r="A883" s="105">
        <v>89276</v>
      </c>
      <c r="B883" s="104" t="s">
        <v>13657</v>
      </c>
      <c r="C883" s="104" t="s">
        <v>16</v>
      </c>
      <c r="D883" s="129" t="s">
        <v>15577</v>
      </c>
    </row>
    <row r="884" spans="1:4">
      <c r="A884" s="105">
        <v>89277</v>
      </c>
      <c r="B884" s="104" t="s">
        <v>13658</v>
      </c>
      <c r="C884" s="104" t="s">
        <v>16</v>
      </c>
      <c r="D884" s="129" t="s">
        <v>15578</v>
      </c>
    </row>
    <row r="885" spans="1:4">
      <c r="A885" s="105">
        <v>89280</v>
      </c>
      <c r="B885" s="104" t="s">
        <v>1188</v>
      </c>
      <c r="C885" s="104" t="s">
        <v>16</v>
      </c>
      <c r="D885" s="129" t="s">
        <v>15579</v>
      </c>
    </row>
    <row r="886" spans="1:4">
      <c r="A886" s="105">
        <v>89281</v>
      </c>
      <c r="B886" s="104" t="s">
        <v>1189</v>
      </c>
      <c r="C886" s="104" t="s">
        <v>16</v>
      </c>
      <c r="D886" s="129" t="s">
        <v>15580</v>
      </c>
    </row>
    <row r="887" spans="1:4">
      <c r="A887" s="105">
        <v>89870</v>
      </c>
      <c r="B887" s="104" t="s">
        <v>1190</v>
      </c>
      <c r="C887" s="104" t="s">
        <v>16</v>
      </c>
      <c r="D887" s="129" t="s">
        <v>15581</v>
      </c>
    </row>
    <row r="888" spans="1:4">
      <c r="A888" s="105">
        <v>89871</v>
      </c>
      <c r="B888" s="104" t="s">
        <v>1191</v>
      </c>
      <c r="C888" s="104" t="s">
        <v>16</v>
      </c>
      <c r="D888" s="129" t="s">
        <v>15582</v>
      </c>
    </row>
    <row r="889" spans="1:4">
      <c r="A889" s="105">
        <v>89872</v>
      </c>
      <c r="B889" s="104" t="s">
        <v>1192</v>
      </c>
      <c r="C889" s="104" t="s">
        <v>16</v>
      </c>
      <c r="D889" s="129" t="s">
        <v>14817</v>
      </c>
    </row>
    <row r="890" spans="1:4">
      <c r="A890" s="105">
        <v>89873</v>
      </c>
      <c r="B890" s="104" t="s">
        <v>1193</v>
      </c>
      <c r="C890" s="104" t="s">
        <v>16</v>
      </c>
      <c r="D890" s="129" t="s">
        <v>15583</v>
      </c>
    </row>
    <row r="891" spans="1:4">
      <c r="A891" s="105">
        <v>89874</v>
      </c>
      <c r="B891" s="104" t="s">
        <v>1194</v>
      </c>
      <c r="C891" s="104" t="s">
        <v>16</v>
      </c>
      <c r="D891" s="129" t="s">
        <v>15584</v>
      </c>
    </row>
    <row r="892" spans="1:4">
      <c r="A892" s="105">
        <v>89878</v>
      </c>
      <c r="B892" s="104" t="s">
        <v>1195</v>
      </c>
      <c r="C892" s="104" t="s">
        <v>16</v>
      </c>
      <c r="D892" s="129" t="s">
        <v>15585</v>
      </c>
    </row>
    <row r="893" spans="1:4">
      <c r="A893" s="105">
        <v>89879</v>
      </c>
      <c r="B893" s="104" t="s">
        <v>1196</v>
      </c>
      <c r="C893" s="104" t="s">
        <v>16</v>
      </c>
      <c r="D893" s="129" t="s">
        <v>15586</v>
      </c>
    </row>
    <row r="894" spans="1:4">
      <c r="A894" s="105">
        <v>89880</v>
      </c>
      <c r="B894" s="104" t="s">
        <v>1197</v>
      </c>
      <c r="C894" s="104" t="s">
        <v>16</v>
      </c>
      <c r="D894" s="129" t="s">
        <v>15587</v>
      </c>
    </row>
    <row r="895" spans="1:4">
      <c r="A895" s="105">
        <v>89881</v>
      </c>
      <c r="B895" s="104" t="s">
        <v>1198</v>
      </c>
      <c r="C895" s="104" t="s">
        <v>16</v>
      </c>
      <c r="D895" s="129" t="s">
        <v>15588</v>
      </c>
    </row>
    <row r="896" spans="1:4">
      <c r="A896" s="105">
        <v>89882</v>
      </c>
      <c r="B896" s="104" t="s">
        <v>1199</v>
      </c>
      <c r="C896" s="104" t="s">
        <v>16</v>
      </c>
      <c r="D896" s="129" t="s">
        <v>15589</v>
      </c>
    </row>
    <row r="897" spans="1:4">
      <c r="A897" s="105">
        <v>90582</v>
      </c>
      <c r="B897" s="104" t="s">
        <v>1200</v>
      </c>
      <c r="C897" s="104" t="s">
        <v>16</v>
      </c>
      <c r="D897" s="129" t="s">
        <v>15590</v>
      </c>
    </row>
    <row r="898" spans="1:4">
      <c r="A898" s="105">
        <v>90583</v>
      </c>
      <c r="B898" s="104" t="s">
        <v>1201</v>
      </c>
      <c r="C898" s="104" t="s">
        <v>16</v>
      </c>
      <c r="D898" s="129" t="s">
        <v>15492</v>
      </c>
    </row>
    <row r="899" spans="1:4">
      <c r="A899" s="105">
        <v>90584</v>
      </c>
      <c r="B899" s="104" t="s">
        <v>1202</v>
      </c>
      <c r="C899" s="104" t="s">
        <v>16</v>
      </c>
      <c r="D899" s="129" t="s">
        <v>15292</v>
      </c>
    </row>
    <row r="900" spans="1:4">
      <c r="A900" s="105">
        <v>90585</v>
      </c>
      <c r="B900" s="104" t="s">
        <v>1203</v>
      </c>
      <c r="C900" s="104" t="s">
        <v>16</v>
      </c>
      <c r="D900" s="129" t="s">
        <v>15342</v>
      </c>
    </row>
    <row r="901" spans="1:4">
      <c r="A901" s="105">
        <v>90621</v>
      </c>
      <c r="B901" s="104" t="s">
        <v>1204</v>
      </c>
      <c r="C901" s="104" t="s">
        <v>16</v>
      </c>
      <c r="D901" s="129" t="s">
        <v>15591</v>
      </c>
    </row>
    <row r="902" spans="1:4">
      <c r="A902" s="105">
        <v>90622</v>
      </c>
      <c r="B902" s="104" t="s">
        <v>1205</v>
      </c>
      <c r="C902" s="104" t="s">
        <v>16</v>
      </c>
      <c r="D902" s="129" t="s">
        <v>15377</v>
      </c>
    </row>
    <row r="903" spans="1:4">
      <c r="A903" s="105">
        <v>90623</v>
      </c>
      <c r="B903" s="104" t="s">
        <v>1206</v>
      </c>
      <c r="C903" s="104" t="s">
        <v>16</v>
      </c>
      <c r="D903" s="129" t="s">
        <v>15592</v>
      </c>
    </row>
    <row r="904" spans="1:4">
      <c r="A904" s="105">
        <v>90624</v>
      </c>
      <c r="B904" s="104" t="s">
        <v>1207</v>
      </c>
      <c r="C904" s="104" t="s">
        <v>16</v>
      </c>
      <c r="D904" s="129" t="s">
        <v>15475</v>
      </c>
    </row>
    <row r="905" spans="1:4">
      <c r="A905" s="105">
        <v>90627</v>
      </c>
      <c r="B905" s="104" t="s">
        <v>1208</v>
      </c>
      <c r="C905" s="104" t="s">
        <v>16</v>
      </c>
      <c r="D905" s="129" t="s">
        <v>15593</v>
      </c>
    </row>
    <row r="906" spans="1:4">
      <c r="A906" s="105">
        <v>90628</v>
      </c>
      <c r="B906" s="104" t="s">
        <v>1209</v>
      </c>
      <c r="C906" s="104" t="s">
        <v>16</v>
      </c>
      <c r="D906" s="129" t="s">
        <v>15594</v>
      </c>
    </row>
    <row r="907" spans="1:4">
      <c r="A907" s="105">
        <v>90629</v>
      </c>
      <c r="B907" s="104" t="s">
        <v>1210</v>
      </c>
      <c r="C907" s="104" t="s">
        <v>16</v>
      </c>
      <c r="D907" s="129" t="s">
        <v>15595</v>
      </c>
    </row>
    <row r="908" spans="1:4">
      <c r="A908" s="105">
        <v>90630</v>
      </c>
      <c r="B908" s="104" t="s">
        <v>1211</v>
      </c>
      <c r="C908" s="104" t="s">
        <v>16</v>
      </c>
      <c r="D908" s="129" t="s">
        <v>14845</v>
      </c>
    </row>
    <row r="909" spans="1:4">
      <c r="A909" s="105">
        <v>90633</v>
      </c>
      <c r="B909" s="104" t="s">
        <v>1212</v>
      </c>
      <c r="C909" s="104" t="s">
        <v>16</v>
      </c>
      <c r="D909" s="129" t="s">
        <v>14938</v>
      </c>
    </row>
    <row r="910" spans="1:4">
      <c r="A910" s="105">
        <v>90634</v>
      </c>
      <c r="B910" s="104" t="s">
        <v>1213</v>
      </c>
      <c r="C910" s="104" t="s">
        <v>16</v>
      </c>
      <c r="D910" s="129" t="s">
        <v>15596</v>
      </c>
    </row>
    <row r="911" spans="1:4">
      <c r="A911" s="105">
        <v>90635</v>
      </c>
      <c r="B911" s="104" t="s">
        <v>1214</v>
      </c>
      <c r="C911" s="104" t="s">
        <v>16</v>
      </c>
      <c r="D911" s="129" t="s">
        <v>15520</v>
      </c>
    </row>
    <row r="912" spans="1:4">
      <c r="A912" s="105">
        <v>90636</v>
      </c>
      <c r="B912" s="104" t="s">
        <v>1215</v>
      </c>
      <c r="C912" s="104" t="s">
        <v>16</v>
      </c>
      <c r="D912" s="129" t="s">
        <v>15597</v>
      </c>
    </row>
    <row r="913" spans="1:4">
      <c r="A913" s="105">
        <v>90639</v>
      </c>
      <c r="B913" s="104" t="s">
        <v>1216</v>
      </c>
      <c r="C913" s="104" t="s">
        <v>16</v>
      </c>
      <c r="D913" s="129" t="s">
        <v>15598</v>
      </c>
    </row>
    <row r="914" spans="1:4">
      <c r="A914" s="105">
        <v>90640</v>
      </c>
      <c r="B914" s="104" t="s">
        <v>1217</v>
      </c>
      <c r="C914" s="104" t="s">
        <v>16</v>
      </c>
      <c r="D914" s="129" t="s">
        <v>15357</v>
      </c>
    </row>
    <row r="915" spans="1:4">
      <c r="A915" s="105">
        <v>90641</v>
      </c>
      <c r="B915" s="104" t="s">
        <v>1218</v>
      </c>
      <c r="C915" s="104" t="s">
        <v>16</v>
      </c>
      <c r="D915" s="129" t="s">
        <v>15599</v>
      </c>
    </row>
    <row r="916" spans="1:4">
      <c r="A916" s="105">
        <v>90642</v>
      </c>
      <c r="B916" s="104" t="s">
        <v>1219</v>
      </c>
      <c r="C916" s="104" t="s">
        <v>16</v>
      </c>
      <c r="D916" s="129" t="s">
        <v>15600</v>
      </c>
    </row>
    <row r="917" spans="1:4">
      <c r="A917" s="105">
        <v>90646</v>
      </c>
      <c r="B917" s="104" t="s">
        <v>1220</v>
      </c>
      <c r="C917" s="104" t="s">
        <v>16</v>
      </c>
      <c r="D917" s="129" t="s">
        <v>15601</v>
      </c>
    </row>
    <row r="918" spans="1:4">
      <c r="A918" s="105">
        <v>90647</v>
      </c>
      <c r="B918" s="104" t="s">
        <v>1221</v>
      </c>
      <c r="C918" s="104" t="s">
        <v>16</v>
      </c>
      <c r="D918" s="129" t="s">
        <v>15602</v>
      </c>
    </row>
    <row r="919" spans="1:4">
      <c r="A919" s="105">
        <v>90648</v>
      </c>
      <c r="B919" s="104" t="s">
        <v>1222</v>
      </c>
      <c r="C919" s="104" t="s">
        <v>16</v>
      </c>
      <c r="D919" s="129" t="s">
        <v>15603</v>
      </c>
    </row>
    <row r="920" spans="1:4">
      <c r="A920" s="105">
        <v>90649</v>
      </c>
      <c r="B920" s="104" t="s">
        <v>1223</v>
      </c>
      <c r="C920" s="104" t="s">
        <v>16</v>
      </c>
      <c r="D920" s="129" t="s">
        <v>15604</v>
      </c>
    </row>
    <row r="921" spans="1:4">
      <c r="A921" s="105">
        <v>90652</v>
      </c>
      <c r="B921" s="104" t="s">
        <v>1224</v>
      </c>
      <c r="C921" s="104" t="s">
        <v>16</v>
      </c>
      <c r="D921" s="129" t="s">
        <v>15471</v>
      </c>
    </row>
    <row r="922" spans="1:4">
      <c r="A922" s="105">
        <v>90653</v>
      </c>
      <c r="B922" s="104" t="s">
        <v>1225</v>
      </c>
      <c r="C922" s="104" t="s">
        <v>16</v>
      </c>
      <c r="D922" s="129" t="s">
        <v>15605</v>
      </c>
    </row>
    <row r="923" spans="1:4">
      <c r="A923" s="105">
        <v>90654</v>
      </c>
      <c r="B923" s="104" t="s">
        <v>1226</v>
      </c>
      <c r="C923" s="104" t="s">
        <v>16</v>
      </c>
      <c r="D923" s="129" t="s">
        <v>15606</v>
      </c>
    </row>
    <row r="924" spans="1:4">
      <c r="A924" s="105">
        <v>90655</v>
      </c>
      <c r="B924" s="104" t="s">
        <v>1227</v>
      </c>
      <c r="C924" s="104" t="s">
        <v>16</v>
      </c>
      <c r="D924" s="129" t="s">
        <v>15349</v>
      </c>
    </row>
    <row r="925" spans="1:4">
      <c r="A925" s="105">
        <v>90658</v>
      </c>
      <c r="B925" s="104" t="s">
        <v>1228</v>
      </c>
      <c r="C925" s="104" t="s">
        <v>16</v>
      </c>
      <c r="D925" s="129" t="s">
        <v>15537</v>
      </c>
    </row>
    <row r="926" spans="1:4">
      <c r="A926" s="105">
        <v>90659</v>
      </c>
      <c r="B926" s="104" t="s">
        <v>1229</v>
      </c>
      <c r="C926" s="104" t="s">
        <v>16</v>
      </c>
      <c r="D926" s="129" t="s">
        <v>15607</v>
      </c>
    </row>
    <row r="927" spans="1:4">
      <c r="A927" s="105">
        <v>90660</v>
      </c>
      <c r="B927" s="104" t="s">
        <v>1230</v>
      </c>
      <c r="C927" s="104" t="s">
        <v>16</v>
      </c>
      <c r="D927" s="129" t="s">
        <v>15608</v>
      </c>
    </row>
    <row r="928" spans="1:4">
      <c r="A928" s="105">
        <v>90661</v>
      </c>
      <c r="B928" s="104" t="s">
        <v>1231</v>
      </c>
      <c r="C928" s="104" t="s">
        <v>16</v>
      </c>
      <c r="D928" s="129" t="s">
        <v>15349</v>
      </c>
    </row>
    <row r="929" spans="1:4">
      <c r="A929" s="105">
        <v>90664</v>
      </c>
      <c r="B929" s="104" t="s">
        <v>1232</v>
      </c>
      <c r="C929" s="104" t="s">
        <v>16</v>
      </c>
      <c r="D929" s="129" t="s">
        <v>15609</v>
      </c>
    </row>
    <row r="930" spans="1:4">
      <c r="A930" s="105">
        <v>90665</v>
      </c>
      <c r="B930" s="104" t="s">
        <v>1233</v>
      </c>
      <c r="C930" s="104" t="s">
        <v>16</v>
      </c>
      <c r="D930" s="129" t="s">
        <v>15610</v>
      </c>
    </row>
    <row r="931" spans="1:4">
      <c r="A931" s="105">
        <v>90666</v>
      </c>
      <c r="B931" s="104" t="s">
        <v>1234</v>
      </c>
      <c r="C931" s="104" t="s">
        <v>16</v>
      </c>
      <c r="D931" s="129" t="s">
        <v>15611</v>
      </c>
    </row>
    <row r="932" spans="1:4">
      <c r="A932" s="105">
        <v>90667</v>
      </c>
      <c r="B932" s="104" t="s">
        <v>1235</v>
      </c>
      <c r="C932" s="104" t="s">
        <v>16</v>
      </c>
      <c r="D932" s="129" t="s">
        <v>15612</v>
      </c>
    </row>
    <row r="933" spans="1:4">
      <c r="A933" s="105">
        <v>90670</v>
      </c>
      <c r="B933" s="104" t="s">
        <v>1236</v>
      </c>
      <c r="C933" s="104" t="s">
        <v>16</v>
      </c>
      <c r="D933" s="129" t="s">
        <v>15613</v>
      </c>
    </row>
    <row r="934" spans="1:4">
      <c r="A934" s="105">
        <v>90671</v>
      </c>
      <c r="B934" s="104" t="s">
        <v>1237</v>
      </c>
      <c r="C934" s="104" t="s">
        <v>16</v>
      </c>
      <c r="D934" s="129" t="s">
        <v>15614</v>
      </c>
    </row>
    <row r="935" spans="1:4">
      <c r="A935" s="105">
        <v>90672</v>
      </c>
      <c r="B935" s="104" t="s">
        <v>1238</v>
      </c>
      <c r="C935" s="104" t="s">
        <v>16</v>
      </c>
      <c r="D935" s="129" t="s">
        <v>15615</v>
      </c>
    </row>
    <row r="936" spans="1:4">
      <c r="A936" s="105">
        <v>90673</v>
      </c>
      <c r="B936" s="104" t="s">
        <v>1239</v>
      </c>
      <c r="C936" s="104" t="s">
        <v>16</v>
      </c>
      <c r="D936" s="129" t="s">
        <v>15616</v>
      </c>
    </row>
    <row r="937" spans="1:4">
      <c r="A937" s="105">
        <v>90676</v>
      </c>
      <c r="B937" s="104" t="s">
        <v>1240</v>
      </c>
      <c r="C937" s="104" t="s">
        <v>16</v>
      </c>
      <c r="D937" s="129" t="s">
        <v>15617</v>
      </c>
    </row>
    <row r="938" spans="1:4">
      <c r="A938" s="105">
        <v>90677</v>
      </c>
      <c r="B938" s="104" t="s">
        <v>1241</v>
      </c>
      <c r="C938" s="104" t="s">
        <v>16</v>
      </c>
      <c r="D938" s="129" t="s">
        <v>15618</v>
      </c>
    </row>
    <row r="939" spans="1:4">
      <c r="A939" s="105">
        <v>90678</v>
      </c>
      <c r="B939" s="104" t="s">
        <v>1242</v>
      </c>
      <c r="C939" s="104" t="s">
        <v>16</v>
      </c>
      <c r="D939" s="129" t="s">
        <v>15619</v>
      </c>
    </row>
    <row r="940" spans="1:4">
      <c r="A940" s="105">
        <v>90679</v>
      </c>
      <c r="B940" s="104" t="s">
        <v>1243</v>
      </c>
      <c r="C940" s="104" t="s">
        <v>16</v>
      </c>
      <c r="D940" s="129" t="s">
        <v>15620</v>
      </c>
    </row>
    <row r="941" spans="1:4">
      <c r="A941" s="105">
        <v>90682</v>
      </c>
      <c r="B941" s="104" t="s">
        <v>1244</v>
      </c>
      <c r="C941" s="104" t="s">
        <v>16</v>
      </c>
      <c r="D941" s="129" t="s">
        <v>15621</v>
      </c>
    </row>
    <row r="942" spans="1:4">
      <c r="A942" s="105">
        <v>90683</v>
      </c>
      <c r="B942" s="104" t="s">
        <v>1245</v>
      </c>
      <c r="C942" s="104" t="s">
        <v>16</v>
      </c>
      <c r="D942" s="129" t="s">
        <v>15622</v>
      </c>
    </row>
    <row r="943" spans="1:4">
      <c r="A943" s="105">
        <v>90684</v>
      </c>
      <c r="B943" s="104" t="s">
        <v>1246</v>
      </c>
      <c r="C943" s="104" t="s">
        <v>16</v>
      </c>
      <c r="D943" s="129" t="s">
        <v>15623</v>
      </c>
    </row>
    <row r="944" spans="1:4">
      <c r="A944" s="105">
        <v>90685</v>
      </c>
      <c r="B944" s="104" t="s">
        <v>1247</v>
      </c>
      <c r="C944" s="104" t="s">
        <v>16</v>
      </c>
      <c r="D944" s="129" t="s">
        <v>15624</v>
      </c>
    </row>
    <row r="945" spans="1:4">
      <c r="A945" s="105">
        <v>90688</v>
      </c>
      <c r="B945" s="104" t="s">
        <v>1248</v>
      </c>
      <c r="C945" s="104" t="s">
        <v>16</v>
      </c>
      <c r="D945" s="129" t="s">
        <v>15625</v>
      </c>
    </row>
    <row r="946" spans="1:4">
      <c r="A946" s="105">
        <v>90689</v>
      </c>
      <c r="B946" s="104" t="s">
        <v>1249</v>
      </c>
      <c r="C946" s="104" t="s">
        <v>16</v>
      </c>
      <c r="D946" s="129" t="s">
        <v>15297</v>
      </c>
    </row>
    <row r="947" spans="1:4">
      <c r="A947" s="105">
        <v>90690</v>
      </c>
      <c r="B947" s="104" t="s">
        <v>1250</v>
      </c>
      <c r="C947" s="104" t="s">
        <v>16</v>
      </c>
      <c r="D947" s="129" t="s">
        <v>15626</v>
      </c>
    </row>
    <row r="948" spans="1:4">
      <c r="A948" s="105">
        <v>90691</v>
      </c>
      <c r="B948" s="104" t="s">
        <v>1251</v>
      </c>
      <c r="C948" s="104" t="s">
        <v>16</v>
      </c>
      <c r="D948" s="129" t="s">
        <v>15627</v>
      </c>
    </row>
    <row r="949" spans="1:4">
      <c r="A949" s="105">
        <v>90957</v>
      </c>
      <c r="B949" s="104" t="s">
        <v>1252</v>
      </c>
      <c r="C949" s="104" t="s">
        <v>16</v>
      </c>
      <c r="D949" s="129" t="s">
        <v>15628</v>
      </c>
    </row>
    <row r="950" spans="1:4">
      <c r="A950" s="105">
        <v>90958</v>
      </c>
      <c r="B950" s="104" t="s">
        <v>1253</v>
      </c>
      <c r="C950" s="104" t="s">
        <v>16</v>
      </c>
      <c r="D950" s="129" t="s">
        <v>15359</v>
      </c>
    </row>
    <row r="951" spans="1:4">
      <c r="A951" s="105">
        <v>90960</v>
      </c>
      <c r="B951" s="104" t="s">
        <v>1254</v>
      </c>
      <c r="C951" s="104" t="s">
        <v>16</v>
      </c>
      <c r="D951" s="129" t="s">
        <v>15629</v>
      </c>
    </row>
    <row r="952" spans="1:4">
      <c r="A952" s="105">
        <v>90961</v>
      </c>
      <c r="B952" s="104" t="s">
        <v>1255</v>
      </c>
      <c r="C952" s="104" t="s">
        <v>16</v>
      </c>
      <c r="D952" s="129" t="s">
        <v>15610</v>
      </c>
    </row>
    <row r="953" spans="1:4">
      <c r="A953" s="105">
        <v>90962</v>
      </c>
      <c r="B953" s="104" t="s">
        <v>1256</v>
      </c>
      <c r="C953" s="104" t="s">
        <v>16</v>
      </c>
      <c r="D953" s="129" t="s">
        <v>15599</v>
      </c>
    </row>
    <row r="954" spans="1:4">
      <c r="A954" s="105">
        <v>90963</v>
      </c>
      <c r="B954" s="104" t="s">
        <v>1257</v>
      </c>
      <c r="C954" s="104" t="s">
        <v>16</v>
      </c>
      <c r="D954" s="129" t="s">
        <v>15612</v>
      </c>
    </row>
    <row r="955" spans="1:4">
      <c r="A955" s="105">
        <v>90968</v>
      </c>
      <c r="B955" s="104" t="s">
        <v>1258</v>
      </c>
      <c r="C955" s="104" t="s">
        <v>16</v>
      </c>
      <c r="D955" s="129" t="s">
        <v>15630</v>
      </c>
    </row>
    <row r="956" spans="1:4">
      <c r="A956" s="105">
        <v>90969</v>
      </c>
      <c r="B956" s="104" t="s">
        <v>1259</v>
      </c>
      <c r="C956" s="104" t="s">
        <v>16</v>
      </c>
      <c r="D956" s="129" t="s">
        <v>15610</v>
      </c>
    </row>
    <row r="957" spans="1:4">
      <c r="A957" s="105">
        <v>90970</v>
      </c>
      <c r="B957" s="104" t="s">
        <v>1260</v>
      </c>
      <c r="C957" s="104" t="s">
        <v>16</v>
      </c>
      <c r="D957" s="129" t="s">
        <v>15631</v>
      </c>
    </row>
    <row r="958" spans="1:4">
      <c r="A958" s="105">
        <v>90971</v>
      </c>
      <c r="B958" s="104" t="s">
        <v>1261</v>
      </c>
      <c r="C958" s="104" t="s">
        <v>16</v>
      </c>
      <c r="D958" s="129" t="s">
        <v>15632</v>
      </c>
    </row>
    <row r="959" spans="1:4">
      <c r="A959" s="105">
        <v>90975</v>
      </c>
      <c r="B959" s="104" t="s">
        <v>1262</v>
      </c>
      <c r="C959" s="104" t="s">
        <v>16</v>
      </c>
      <c r="D959" s="129" t="s">
        <v>15633</v>
      </c>
    </row>
    <row r="960" spans="1:4">
      <c r="A960" s="105">
        <v>90976</v>
      </c>
      <c r="B960" s="104" t="s">
        <v>1263</v>
      </c>
      <c r="C960" s="104" t="s">
        <v>16</v>
      </c>
      <c r="D960" s="129" t="s">
        <v>14937</v>
      </c>
    </row>
    <row r="961" spans="1:4">
      <c r="A961" s="105">
        <v>90977</v>
      </c>
      <c r="B961" s="104" t="s">
        <v>1264</v>
      </c>
      <c r="C961" s="104" t="s">
        <v>16</v>
      </c>
      <c r="D961" s="129" t="s">
        <v>15634</v>
      </c>
    </row>
    <row r="962" spans="1:4">
      <c r="A962" s="105">
        <v>90978</v>
      </c>
      <c r="B962" s="104" t="s">
        <v>1265</v>
      </c>
      <c r="C962" s="104" t="s">
        <v>16</v>
      </c>
      <c r="D962" s="129" t="s">
        <v>15635</v>
      </c>
    </row>
    <row r="963" spans="1:4">
      <c r="A963" s="105">
        <v>90992</v>
      </c>
      <c r="B963" s="104" t="s">
        <v>1266</v>
      </c>
      <c r="C963" s="104" t="s">
        <v>16</v>
      </c>
      <c r="D963" s="129" t="s">
        <v>15636</v>
      </c>
    </row>
    <row r="964" spans="1:4">
      <c r="A964" s="105">
        <v>90993</v>
      </c>
      <c r="B964" s="104" t="s">
        <v>1267</v>
      </c>
      <c r="C964" s="104" t="s">
        <v>16</v>
      </c>
      <c r="D964" s="129" t="s">
        <v>15637</v>
      </c>
    </row>
    <row r="965" spans="1:4">
      <c r="A965" s="105">
        <v>90994</v>
      </c>
      <c r="B965" s="104" t="s">
        <v>1268</v>
      </c>
      <c r="C965" s="104" t="s">
        <v>16</v>
      </c>
      <c r="D965" s="129" t="s">
        <v>15638</v>
      </c>
    </row>
    <row r="966" spans="1:4">
      <c r="A966" s="105">
        <v>90995</v>
      </c>
      <c r="B966" s="104" t="s">
        <v>1269</v>
      </c>
      <c r="C966" s="104" t="s">
        <v>16</v>
      </c>
      <c r="D966" s="129" t="s">
        <v>15639</v>
      </c>
    </row>
    <row r="967" spans="1:4">
      <c r="A967" s="105">
        <v>91021</v>
      </c>
      <c r="B967" s="104" t="s">
        <v>1270</v>
      </c>
      <c r="C967" s="104" t="s">
        <v>16</v>
      </c>
      <c r="D967" s="129" t="s">
        <v>15640</v>
      </c>
    </row>
    <row r="968" spans="1:4">
      <c r="A968" s="105">
        <v>91026</v>
      </c>
      <c r="B968" s="104" t="s">
        <v>1271</v>
      </c>
      <c r="C968" s="104" t="s">
        <v>16</v>
      </c>
      <c r="D968" s="129" t="s">
        <v>15641</v>
      </c>
    </row>
    <row r="969" spans="1:4">
      <c r="A969" s="105">
        <v>91027</v>
      </c>
      <c r="B969" s="104" t="s">
        <v>1272</v>
      </c>
      <c r="C969" s="104" t="s">
        <v>16</v>
      </c>
      <c r="D969" s="129" t="s">
        <v>15642</v>
      </c>
    </row>
    <row r="970" spans="1:4">
      <c r="A970" s="105">
        <v>91028</v>
      </c>
      <c r="B970" s="104" t="s">
        <v>1273</v>
      </c>
      <c r="C970" s="104" t="s">
        <v>16</v>
      </c>
      <c r="D970" s="129" t="s">
        <v>15643</v>
      </c>
    </row>
    <row r="971" spans="1:4">
      <c r="A971" s="105">
        <v>91029</v>
      </c>
      <c r="B971" s="104" t="s">
        <v>1274</v>
      </c>
      <c r="C971" s="104" t="s">
        <v>16</v>
      </c>
      <c r="D971" s="129" t="s">
        <v>15644</v>
      </c>
    </row>
    <row r="972" spans="1:4">
      <c r="A972" s="105">
        <v>91030</v>
      </c>
      <c r="B972" s="104" t="s">
        <v>1275</v>
      </c>
      <c r="C972" s="104" t="s">
        <v>16</v>
      </c>
      <c r="D972" s="129" t="s">
        <v>15645</v>
      </c>
    </row>
    <row r="973" spans="1:4">
      <c r="A973" s="105">
        <v>91273</v>
      </c>
      <c r="B973" s="104" t="s">
        <v>1276</v>
      </c>
      <c r="C973" s="104" t="s">
        <v>16</v>
      </c>
      <c r="D973" s="129" t="s">
        <v>15596</v>
      </c>
    </row>
    <row r="974" spans="1:4">
      <c r="A974" s="105">
        <v>91274</v>
      </c>
      <c r="B974" s="104" t="s">
        <v>1277</v>
      </c>
      <c r="C974" s="104" t="s">
        <v>16</v>
      </c>
      <c r="D974" s="129" t="s">
        <v>15216</v>
      </c>
    </row>
    <row r="975" spans="1:4">
      <c r="A975" s="105">
        <v>91275</v>
      </c>
      <c r="B975" s="104" t="s">
        <v>1278</v>
      </c>
      <c r="C975" s="104" t="s">
        <v>16</v>
      </c>
      <c r="D975" s="129" t="s">
        <v>15646</v>
      </c>
    </row>
    <row r="976" spans="1:4">
      <c r="A976" s="105">
        <v>91276</v>
      </c>
      <c r="B976" s="104" t="s">
        <v>1279</v>
      </c>
      <c r="C976" s="104" t="s">
        <v>16</v>
      </c>
      <c r="D976" s="129" t="s">
        <v>15647</v>
      </c>
    </row>
    <row r="977" spans="1:4">
      <c r="A977" s="105">
        <v>91279</v>
      </c>
      <c r="B977" s="104" t="s">
        <v>1280</v>
      </c>
      <c r="C977" s="104" t="s">
        <v>16</v>
      </c>
      <c r="D977" s="129" t="s">
        <v>15648</v>
      </c>
    </row>
    <row r="978" spans="1:4">
      <c r="A978" s="105">
        <v>91280</v>
      </c>
      <c r="B978" s="104" t="s">
        <v>1281</v>
      </c>
      <c r="C978" s="104" t="s">
        <v>16</v>
      </c>
      <c r="D978" s="129" t="s">
        <v>15334</v>
      </c>
    </row>
    <row r="979" spans="1:4">
      <c r="A979" s="105">
        <v>91281</v>
      </c>
      <c r="B979" s="104" t="s">
        <v>1282</v>
      </c>
      <c r="C979" s="104" t="s">
        <v>16</v>
      </c>
      <c r="D979" s="129" t="s">
        <v>15649</v>
      </c>
    </row>
    <row r="980" spans="1:4">
      <c r="A980" s="105">
        <v>91282</v>
      </c>
      <c r="B980" s="104" t="s">
        <v>1283</v>
      </c>
      <c r="C980" s="104" t="s">
        <v>16</v>
      </c>
      <c r="D980" s="129" t="s">
        <v>15650</v>
      </c>
    </row>
    <row r="981" spans="1:4">
      <c r="A981" s="105">
        <v>91354</v>
      </c>
      <c r="B981" s="104" t="s">
        <v>1284</v>
      </c>
      <c r="C981" s="104" t="s">
        <v>16</v>
      </c>
      <c r="D981" s="129" t="s">
        <v>15651</v>
      </c>
    </row>
    <row r="982" spans="1:4">
      <c r="A982" s="105">
        <v>91355</v>
      </c>
      <c r="B982" s="104" t="s">
        <v>1285</v>
      </c>
      <c r="C982" s="104" t="s">
        <v>16</v>
      </c>
      <c r="D982" s="129" t="s">
        <v>15652</v>
      </c>
    </row>
    <row r="983" spans="1:4">
      <c r="A983" s="105">
        <v>91356</v>
      </c>
      <c r="B983" s="104" t="s">
        <v>1286</v>
      </c>
      <c r="C983" s="104" t="s">
        <v>16</v>
      </c>
      <c r="D983" s="129" t="s">
        <v>15653</v>
      </c>
    </row>
    <row r="984" spans="1:4">
      <c r="A984" s="105">
        <v>91359</v>
      </c>
      <c r="B984" s="104" t="s">
        <v>1287</v>
      </c>
      <c r="C984" s="104" t="s">
        <v>16</v>
      </c>
      <c r="D984" s="129" t="s">
        <v>15654</v>
      </c>
    </row>
    <row r="985" spans="1:4">
      <c r="A985" s="105">
        <v>91360</v>
      </c>
      <c r="B985" s="104" t="s">
        <v>1288</v>
      </c>
      <c r="C985" s="104" t="s">
        <v>16</v>
      </c>
      <c r="D985" s="129" t="s">
        <v>15655</v>
      </c>
    </row>
    <row r="986" spans="1:4">
      <c r="A986" s="105">
        <v>91361</v>
      </c>
      <c r="B986" s="104" t="s">
        <v>1289</v>
      </c>
      <c r="C986" s="104" t="s">
        <v>16</v>
      </c>
      <c r="D986" s="129" t="s">
        <v>15656</v>
      </c>
    </row>
    <row r="987" spans="1:4">
      <c r="A987" s="105">
        <v>91367</v>
      </c>
      <c r="B987" s="104" t="s">
        <v>1290</v>
      </c>
      <c r="C987" s="104" t="s">
        <v>16</v>
      </c>
      <c r="D987" s="129" t="s">
        <v>15657</v>
      </c>
    </row>
    <row r="988" spans="1:4">
      <c r="A988" s="105">
        <v>91368</v>
      </c>
      <c r="B988" s="104" t="s">
        <v>1291</v>
      </c>
      <c r="C988" s="104" t="s">
        <v>16</v>
      </c>
      <c r="D988" s="129" t="s">
        <v>15658</v>
      </c>
    </row>
    <row r="989" spans="1:4">
      <c r="A989" s="105">
        <v>91369</v>
      </c>
      <c r="B989" s="104" t="s">
        <v>1292</v>
      </c>
      <c r="C989" s="104" t="s">
        <v>16</v>
      </c>
      <c r="D989" s="129" t="s">
        <v>15659</v>
      </c>
    </row>
    <row r="990" spans="1:4">
      <c r="A990" s="105">
        <v>91375</v>
      </c>
      <c r="B990" s="104" t="s">
        <v>1293</v>
      </c>
      <c r="C990" s="104" t="s">
        <v>16</v>
      </c>
      <c r="D990" s="129" t="s">
        <v>15660</v>
      </c>
    </row>
    <row r="991" spans="1:4">
      <c r="A991" s="105">
        <v>91376</v>
      </c>
      <c r="B991" s="104" t="s">
        <v>1294</v>
      </c>
      <c r="C991" s="104" t="s">
        <v>16</v>
      </c>
      <c r="D991" s="129" t="s">
        <v>14831</v>
      </c>
    </row>
    <row r="992" spans="1:4">
      <c r="A992" s="105">
        <v>91377</v>
      </c>
      <c r="B992" s="104" t="s">
        <v>1295</v>
      </c>
      <c r="C992" s="104" t="s">
        <v>16</v>
      </c>
      <c r="D992" s="129" t="s">
        <v>15661</v>
      </c>
    </row>
    <row r="993" spans="1:4">
      <c r="A993" s="105">
        <v>91380</v>
      </c>
      <c r="B993" s="104" t="s">
        <v>1296</v>
      </c>
      <c r="C993" s="104" t="s">
        <v>16</v>
      </c>
      <c r="D993" s="129" t="s">
        <v>15662</v>
      </c>
    </row>
    <row r="994" spans="1:4">
      <c r="A994" s="105">
        <v>91381</v>
      </c>
      <c r="B994" s="104" t="s">
        <v>1297</v>
      </c>
      <c r="C994" s="104" t="s">
        <v>16</v>
      </c>
      <c r="D994" s="129" t="s">
        <v>15663</v>
      </c>
    </row>
    <row r="995" spans="1:4">
      <c r="A995" s="105">
        <v>91382</v>
      </c>
      <c r="B995" s="104" t="s">
        <v>1298</v>
      </c>
      <c r="C995" s="104" t="s">
        <v>16</v>
      </c>
      <c r="D995" s="129" t="s">
        <v>15664</v>
      </c>
    </row>
    <row r="996" spans="1:4">
      <c r="A996" s="105">
        <v>91383</v>
      </c>
      <c r="B996" s="104" t="s">
        <v>1299</v>
      </c>
      <c r="C996" s="104" t="s">
        <v>16</v>
      </c>
      <c r="D996" s="129" t="s">
        <v>15665</v>
      </c>
    </row>
    <row r="997" spans="1:4">
      <c r="A997" s="105">
        <v>91384</v>
      </c>
      <c r="B997" s="104" t="s">
        <v>1300</v>
      </c>
      <c r="C997" s="104" t="s">
        <v>16</v>
      </c>
      <c r="D997" s="129" t="s">
        <v>15440</v>
      </c>
    </row>
    <row r="998" spans="1:4">
      <c r="A998" s="105">
        <v>91390</v>
      </c>
      <c r="B998" s="104" t="s">
        <v>1301</v>
      </c>
      <c r="C998" s="104" t="s">
        <v>16</v>
      </c>
      <c r="D998" s="129" t="s">
        <v>15666</v>
      </c>
    </row>
    <row r="999" spans="1:4">
      <c r="A999" s="105">
        <v>91391</v>
      </c>
      <c r="B999" s="104" t="s">
        <v>1302</v>
      </c>
      <c r="C999" s="104" t="s">
        <v>16</v>
      </c>
      <c r="D999" s="129" t="s">
        <v>15667</v>
      </c>
    </row>
    <row r="1000" spans="1:4">
      <c r="A1000" s="105">
        <v>91392</v>
      </c>
      <c r="B1000" s="104" t="s">
        <v>1303</v>
      </c>
      <c r="C1000" s="104" t="s">
        <v>16</v>
      </c>
      <c r="D1000" s="129" t="s">
        <v>14831</v>
      </c>
    </row>
    <row r="1001" spans="1:4">
      <c r="A1001" s="105">
        <v>91396</v>
      </c>
      <c r="B1001" s="104" t="s">
        <v>1304</v>
      </c>
      <c r="C1001" s="104" t="s">
        <v>16</v>
      </c>
      <c r="D1001" s="129" t="s">
        <v>15668</v>
      </c>
    </row>
    <row r="1002" spans="1:4">
      <c r="A1002" s="105">
        <v>91397</v>
      </c>
      <c r="B1002" s="104" t="s">
        <v>1305</v>
      </c>
      <c r="C1002" s="104" t="s">
        <v>16</v>
      </c>
      <c r="D1002" s="129" t="s">
        <v>15669</v>
      </c>
    </row>
    <row r="1003" spans="1:4">
      <c r="A1003" s="105">
        <v>91398</v>
      </c>
      <c r="B1003" s="104" t="s">
        <v>1306</v>
      </c>
      <c r="C1003" s="104" t="s">
        <v>16</v>
      </c>
      <c r="D1003" s="129" t="s">
        <v>15670</v>
      </c>
    </row>
    <row r="1004" spans="1:4">
      <c r="A1004" s="105">
        <v>91402</v>
      </c>
      <c r="B1004" s="104" t="s">
        <v>1307</v>
      </c>
      <c r="C1004" s="104" t="s">
        <v>16</v>
      </c>
      <c r="D1004" s="129" t="s">
        <v>14842</v>
      </c>
    </row>
    <row r="1005" spans="1:4">
      <c r="A1005" s="105">
        <v>91466</v>
      </c>
      <c r="B1005" s="104" t="s">
        <v>1308</v>
      </c>
      <c r="C1005" s="104" t="s">
        <v>16</v>
      </c>
      <c r="D1005" s="129" t="s">
        <v>15671</v>
      </c>
    </row>
    <row r="1006" spans="1:4">
      <c r="A1006" s="105">
        <v>91467</v>
      </c>
      <c r="B1006" s="104" t="s">
        <v>1309</v>
      </c>
      <c r="C1006" s="104" t="s">
        <v>16</v>
      </c>
      <c r="D1006" s="129" t="s">
        <v>15411</v>
      </c>
    </row>
    <row r="1007" spans="1:4">
      <c r="A1007" s="105">
        <v>91468</v>
      </c>
      <c r="B1007" s="104" t="s">
        <v>1310</v>
      </c>
      <c r="C1007" s="104" t="s">
        <v>16</v>
      </c>
      <c r="D1007" s="129" t="s">
        <v>15362</v>
      </c>
    </row>
    <row r="1008" spans="1:4">
      <c r="A1008" s="105">
        <v>91469</v>
      </c>
      <c r="B1008" s="104" t="s">
        <v>1311</v>
      </c>
      <c r="C1008" s="104" t="s">
        <v>16</v>
      </c>
      <c r="D1008" s="129" t="s">
        <v>15672</v>
      </c>
    </row>
    <row r="1009" spans="1:4">
      <c r="A1009" s="105">
        <v>91484</v>
      </c>
      <c r="B1009" s="104" t="s">
        <v>1312</v>
      </c>
      <c r="C1009" s="104" t="s">
        <v>16</v>
      </c>
      <c r="D1009" s="129" t="s">
        <v>15664</v>
      </c>
    </row>
    <row r="1010" spans="1:4">
      <c r="A1010" s="105">
        <v>91485</v>
      </c>
      <c r="B1010" s="104" t="s">
        <v>1313</v>
      </c>
      <c r="C1010" s="104" t="s">
        <v>16</v>
      </c>
      <c r="D1010" s="129" t="s">
        <v>15673</v>
      </c>
    </row>
    <row r="1011" spans="1:4">
      <c r="A1011" s="105">
        <v>91529</v>
      </c>
      <c r="B1011" s="104" t="s">
        <v>1314</v>
      </c>
      <c r="C1011" s="104" t="s">
        <v>16</v>
      </c>
      <c r="D1011" s="129" t="s">
        <v>15674</v>
      </c>
    </row>
    <row r="1012" spans="1:4">
      <c r="A1012" s="105">
        <v>91530</v>
      </c>
      <c r="B1012" s="104" t="s">
        <v>1315</v>
      </c>
      <c r="C1012" s="104" t="s">
        <v>16</v>
      </c>
      <c r="D1012" s="129" t="s">
        <v>15473</v>
      </c>
    </row>
    <row r="1013" spans="1:4">
      <c r="A1013" s="105">
        <v>91531</v>
      </c>
      <c r="B1013" s="104" t="s">
        <v>1316</v>
      </c>
      <c r="C1013" s="104" t="s">
        <v>16</v>
      </c>
      <c r="D1013" s="129" t="s">
        <v>15480</v>
      </c>
    </row>
    <row r="1014" spans="1:4">
      <c r="A1014" s="105">
        <v>91532</v>
      </c>
      <c r="B1014" s="104" t="s">
        <v>1317</v>
      </c>
      <c r="C1014" s="104" t="s">
        <v>16</v>
      </c>
      <c r="D1014" s="129" t="s">
        <v>15144</v>
      </c>
    </row>
    <row r="1015" spans="1:4">
      <c r="A1015" s="105">
        <v>91629</v>
      </c>
      <c r="B1015" s="104" t="s">
        <v>1318</v>
      </c>
      <c r="C1015" s="104" t="s">
        <v>16</v>
      </c>
      <c r="D1015" s="129" t="s">
        <v>15675</v>
      </c>
    </row>
    <row r="1016" spans="1:4">
      <c r="A1016" s="105">
        <v>91630</v>
      </c>
      <c r="B1016" s="104" t="s">
        <v>1319</v>
      </c>
      <c r="C1016" s="104" t="s">
        <v>16</v>
      </c>
      <c r="D1016" s="129" t="s">
        <v>15676</v>
      </c>
    </row>
    <row r="1017" spans="1:4">
      <c r="A1017" s="105">
        <v>91631</v>
      </c>
      <c r="B1017" s="104" t="s">
        <v>1320</v>
      </c>
      <c r="C1017" s="104" t="s">
        <v>16</v>
      </c>
      <c r="D1017" s="129" t="s">
        <v>15677</v>
      </c>
    </row>
    <row r="1018" spans="1:4">
      <c r="A1018" s="105">
        <v>91632</v>
      </c>
      <c r="B1018" s="104" t="s">
        <v>1321</v>
      </c>
      <c r="C1018" s="104" t="s">
        <v>16</v>
      </c>
      <c r="D1018" s="129" t="s">
        <v>15678</v>
      </c>
    </row>
    <row r="1019" spans="1:4">
      <c r="A1019" s="105">
        <v>91633</v>
      </c>
      <c r="B1019" s="104" t="s">
        <v>1322</v>
      </c>
      <c r="C1019" s="104" t="s">
        <v>16</v>
      </c>
      <c r="D1019" s="129" t="s">
        <v>15679</v>
      </c>
    </row>
    <row r="1020" spans="1:4">
      <c r="A1020" s="105">
        <v>91640</v>
      </c>
      <c r="B1020" s="104" t="s">
        <v>1323</v>
      </c>
      <c r="C1020" s="104" t="s">
        <v>16</v>
      </c>
      <c r="D1020" s="129" t="s">
        <v>15680</v>
      </c>
    </row>
    <row r="1021" spans="1:4">
      <c r="A1021" s="105">
        <v>91641</v>
      </c>
      <c r="B1021" s="104" t="s">
        <v>1324</v>
      </c>
      <c r="C1021" s="104" t="s">
        <v>16</v>
      </c>
      <c r="D1021" s="129" t="s">
        <v>15636</v>
      </c>
    </row>
    <row r="1022" spans="1:4">
      <c r="A1022" s="105">
        <v>91642</v>
      </c>
      <c r="B1022" s="104" t="s">
        <v>1325</v>
      </c>
      <c r="C1022" s="104" t="s">
        <v>16</v>
      </c>
      <c r="D1022" s="129" t="s">
        <v>15681</v>
      </c>
    </row>
    <row r="1023" spans="1:4">
      <c r="A1023" s="105">
        <v>91643</v>
      </c>
      <c r="B1023" s="104" t="s">
        <v>1326</v>
      </c>
      <c r="C1023" s="104" t="s">
        <v>16</v>
      </c>
      <c r="D1023" s="129" t="s">
        <v>15682</v>
      </c>
    </row>
    <row r="1024" spans="1:4">
      <c r="A1024" s="105">
        <v>91644</v>
      </c>
      <c r="B1024" s="104" t="s">
        <v>1327</v>
      </c>
      <c r="C1024" s="104" t="s">
        <v>16</v>
      </c>
      <c r="D1024" s="129" t="s">
        <v>15683</v>
      </c>
    </row>
    <row r="1025" spans="1:4">
      <c r="A1025" s="105">
        <v>91688</v>
      </c>
      <c r="B1025" s="104" t="s">
        <v>1328</v>
      </c>
      <c r="C1025" s="104" t="s">
        <v>16</v>
      </c>
      <c r="D1025" s="129" t="s">
        <v>15334</v>
      </c>
    </row>
    <row r="1026" spans="1:4">
      <c r="A1026" s="105">
        <v>91689</v>
      </c>
      <c r="B1026" s="104" t="s">
        <v>1329</v>
      </c>
      <c r="C1026" s="104" t="s">
        <v>16</v>
      </c>
      <c r="D1026" s="129" t="s">
        <v>15684</v>
      </c>
    </row>
    <row r="1027" spans="1:4">
      <c r="A1027" s="105">
        <v>91690</v>
      </c>
      <c r="B1027" s="104" t="s">
        <v>1330</v>
      </c>
      <c r="C1027" s="104" t="s">
        <v>16</v>
      </c>
      <c r="D1027" s="129" t="s">
        <v>15685</v>
      </c>
    </row>
    <row r="1028" spans="1:4">
      <c r="A1028" s="105">
        <v>91691</v>
      </c>
      <c r="B1028" s="104" t="s">
        <v>1331</v>
      </c>
      <c r="C1028" s="104" t="s">
        <v>16</v>
      </c>
      <c r="D1028" s="129" t="s">
        <v>15686</v>
      </c>
    </row>
    <row r="1029" spans="1:4">
      <c r="A1029" s="105">
        <v>92040</v>
      </c>
      <c r="B1029" s="104" t="s">
        <v>1332</v>
      </c>
      <c r="C1029" s="104" t="s">
        <v>16</v>
      </c>
      <c r="D1029" s="129" t="s">
        <v>15687</v>
      </c>
    </row>
    <row r="1030" spans="1:4">
      <c r="A1030" s="105">
        <v>92041</v>
      </c>
      <c r="B1030" s="104" t="s">
        <v>1333</v>
      </c>
      <c r="C1030" s="104" t="s">
        <v>16</v>
      </c>
      <c r="D1030" s="129" t="s">
        <v>15646</v>
      </c>
    </row>
    <row r="1031" spans="1:4">
      <c r="A1031" s="105">
        <v>92042</v>
      </c>
      <c r="B1031" s="104" t="s">
        <v>1334</v>
      </c>
      <c r="C1031" s="104" t="s">
        <v>16</v>
      </c>
      <c r="D1031" s="129" t="s">
        <v>15688</v>
      </c>
    </row>
    <row r="1032" spans="1:4">
      <c r="A1032" s="105">
        <v>92101</v>
      </c>
      <c r="B1032" s="104" t="s">
        <v>1335</v>
      </c>
      <c r="C1032" s="104" t="s">
        <v>16</v>
      </c>
      <c r="D1032" s="129" t="s">
        <v>15689</v>
      </c>
    </row>
    <row r="1033" spans="1:4">
      <c r="A1033" s="105">
        <v>92102</v>
      </c>
      <c r="B1033" s="104" t="s">
        <v>1336</v>
      </c>
      <c r="C1033" s="104" t="s">
        <v>16</v>
      </c>
      <c r="D1033" s="129" t="s">
        <v>15690</v>
      </c>
    </row>
    <row r="1034" spans="1:4">
      <c r="A1034" s="105">
        <v>92103</v>
      </c>
      <c r="B1034" s="104" t="s">
        <v>1337</v>
      </c>
      <c r="C1034" s="104" t="s">
        <v>16</v>
      </c>
      <c r="D1034" s="129" t="s">
        <v>15691</v>
      </c>
    </row>
    <row r="1035" spans="1:4">
      <c r="A1035" s="105">
        <v>92104</v>
      </c>
      <c r="B1035" s="104" t="s">
        <v>1338</v>
      </c>
      <c r="C1035" s="104" t="s">
        <v>16</v>
      </c>
      <c r="D1035" s="129" t="s">
        <v>15692</v>
      </c>
    </row>
    <row r="1036" spans="1:4">
      <c r="A1036" s="105">
        <v>92105</v>
      </c>
      <c r="B1036" s="104" t="s">
        <v>1339</v>
      </c>
      <c r="C1036" s="104" t="s">
        <v>16</v>
      </c>
      <c r="D1036" s="129" t="s">
        <v>15449</v>
      </c>
    </row>
    <row r="1037" spans="1:4">
      <c r="A1037" s="105">
        <v>92108</v>
      </c>
      <c r="B1037" s="104" t="s">
        <v>1340</v>
      </c>
      <c r="C1037" s="104" t="s">
        <v>16</v>
      </c>
      <c r="D1037" s="129" t="s">
        <v>15284</v>
      </c>
    </row>
    <row r="1038" spans="1:4">
      <c r="A1038" s="105">
        <v>92109</v>
      </c>
      <c r="B1038" s="104" t="s">
        <v>1341</v>
      </c>
      <c r="C1038" s="104" t="s">
        <v>16</v>
      </c>
      <c r="D1038" s="129" t="s">
        <v>15376</v>
      </c>
    </row>
    <row r="1039" spans="1:4">
      <c r="A1039" s="105">
        <v>92110</v>
      </c>
      <c r="B1039" s="104" t="s">
        <v>1342</v>
      </c>
      <c r="C1039" s="104" t="s">
        <v>16</v>
      </c>
      <c r="D1039" s="129" t="s">
        <v>15610</v>
      </c>
    </row>
    <row r="1040" spans="1:4">
      <c r="A1040" s="105">
        <v>92111</v>
      </c>
      <c r="B1040" s="104" t="s">
        <v>1343</v>
      </c>
      <c r="C1040" s="104" t="s">
        <v>16</v>
      </c>
      <c r="D1040" s="129" t="s">
        <v>15493</v>
      </c>
    </row>
    <row r="1041" spans="1:4">
      <c r="A1041" s="105">
        <v>92114</v>
      </c>
      <c r="B1041" s="104" t="s">
        <v>1344</v>
      </c>
      <c r="C1041" s="104" t="s">
        <v>16</v>
      </c>
      <c r="D1041" s="129" t="s">
        <v>15376</v>
      </c>
    </row>
    <row r="1042" spans="1:4">
      <c r="A1042" s="105">
        <v>92115</v>
      </c>
      <c r="B1042" s="104" t="s">
        <v>1345</v>
      </c>
      <c r="C1042" s="104" t="s">
        <v>16</v>
      </c>
      <c r="D1042" s="129" t="s">
        <v>15684</v>
      </c>
    </row>
    <row r="1043" spans="1:4">
      <c r="A1043" s="105">
        <v>92116</v>
      </c>
      <c r="B1043" s="104" t="s">
        <v>1346</v>
      </c>
      <c r="C1043" s="104" t="s">
        <v>16</v>
      </c>
      <c r="D1043" s="129" t="s">
        <v>15693</v>
      </c>
    </row>
    <row r="1044" spans="1:4">
      <c r="A1044" s="105">
        <v>92133</v>
      </c>
      <c r="B1044" s="104" t="s">
        <v>1347</v>
      </c>
      <c r="C1044" s="104" t="s">
        <v>16</v>
      </c>
      <c r="D1044" s="129" t="s">
        <v>15694</v>
      </c>
    </row>
    <row r="1045" spans="1:4">
      <c r="A1045" s="105">
        <v>92134</v>
      </c>
      <c r="B1045" s="104" t="s">
        <v>1348</v>
      </c>
      <c r="C1045" s="104" t="s">
        <v>16</v>
      </c>
      <c r="D1045" s="129" t="s">
        <v>15695</v>
      </c>
    </row>
    <row r="1046" spans="1:4">
      <c r="A1046" s="105">
        <v>92135</v>
      </c>
      <c r="B1046" s="104" t="s">
        <v>1349</v>
      </c>
      <c r="C1046" s="104" t="s">
        <v>16</v>
      </c>
      <c r="D1046" s="129" t="s">
        <v>15696</v>
      </c>
    </row>
    <row r="1047" spans="1:4">
      <c r="A1047" s="105">
        <v>92136</v>
      </c>
      <c r="B1047" s="104" t="s">
        <v>1350</v>
      </c>
      <c r="C1047" s="104" t="s">
        <v>16</v>
      </c>
      <c r="D1047" s="129" t="s">
        <v>15697</v>
      </c>
    </row>
    <row r="1048" spans="1:4">
      <c r="A1048" s="105">
        <v>92137</v>
      </c>
      <c r="B1048" s="104" t="s">
        <v>1351</v>
      </c>
      <c r="C1048" s="104" t="s">
        <v>16</v>
      </c>
      <c r="D1048" s="129" t="s">
        <v>15698</v>
      </c>
    </row>
    <row r="1049" spans="1:4">
      <c r="A1049" s="105">
        <v>92140</v>
      </c>
      <c r="B1049" s="104" t="s">
        <v>1352</v>
      </c>
      <c r="C1049" s="104" t="s">
        <v>16</v>
      </c>
      <c r="D1049" s="129" t="s">
        <v>15699</v>
      </c>
    </row>
    <row r="1050" spans="1:4">
      <c r="A1050" s="105">
        <v>92141</v>
      </c>
      <c r="B1050" s="104" t="s">
        <v>1353</v>
      </c>
      <c r="C1050" s="104" t="s">
        <v>16</v>
      </c>
      <c r="D1050" s="129" t="s">
        <v>15526</v>
      </c>
    </row>
    <row r="1051" spans="1:4">
      <c r="A1051" s="105">
        <v>92142</v>
      </c>
      <c r="B1051" s="104" t="s">
        <v>1354</v>
      </c>
      <c r="C1051" s="104" t="s">
        <v>16</v>
      </c>
      <c r="D1051" s="129" t="s">
        <v>15607</v>
      </c>
    </row>
    <row r="1052" spans="1:4">
      <c r="A1052" s="105">
        <v>92143</v>
      </c>
      <c r="B1052" s="104" t="s">
        <v>1355</v>
      </c>
      <c r="C1052" s="104" t="s">
        <v>16</v>
      </c>
      <c r="D1052" s="129" t="s">
        <v>14939</v>
      </c>
    </row>
    <row r="1053" spans="1:4">
      <c r="A1053" s="105">
        <v>92144</v>
      </c>
      <c r="B1053" s="104" t="s">
        <v>1356</v>
      </c>
      <c r="C1053" s="104" t="s">
        <v>16</v>
      </c>
      <c r="D1053" s="129" t="s">
        <v>15700</v>
      </c>
    </row>
    <row r="1054" spans="1:4">
      <c r="A1054" s="105">
        <v>92237</v>
      </c>
      <c r="B1054" s="104" t="s">
        <v>1357</v>
      </c>
      <c r="C1054" s="104" t="s">
        <v>16</v>
      </c>
      <c r="D1054" s="129" t="s">
        <v>15701</v>
      </c>
    </row>
    <row r="1055" spans="1:4">
      <c r="A1055" s="105">
        <v>92238</v>
      </c>
      <c r="B1055" s="104" t="s">
        <v>1358</v>
      </c>
      <c r="C1055" s="104" t="s">
        <v>16</v>
      </c>
      <c r="D1055" s="129" t="s">
        <v>15143</v>
      </c>
    </row>
    <row r="1056" spans="1:4">
      <c r="A1056" s="105">
        <v>92239</v>
      </c>
      <c r="B1056" s="104" t="s">
        <v>1359</v>
      </c>
      <c r="C1056" s="104" t="s">
        <v>16</v>
      </c>
      <c r="D1056" s="129" t="s">
        <v>15702</v>
      </c>
    </row>
    <row r="1057" spans="1:4">
      <c r="A1057" s="105">
        <v>92240</v>
      </c>
      <c r="B1057" s="104" t="s">
        <v>1360</v>
      </c>
      <c r="C1057" s="104" t="s">
        <v>16</v>
      </c>
      <c r="D1057" s="129" t="s">
        <v>15703</v>
      </c>
    </row>
    <row r="1058" spans="1:4">
      <c r="A1058" s="105">
        <v>92241</v>
      </c>
      <c r="B1058" s="104" t="s">
        <v>1361</v>
      </c>
      <c r="C1058" s="104" t="s">
        <v>16</v>
      </c>
      <c r="D1058" s="129" t="s">
        <v>15704</v>
      </c>
    </row>
    <row r="1059" spans="1:4">
      <c r="A1059" s="105">
        <v>92712</v>
      </c>
      <c r="B1059" s="104" t="s">
        <v>1362</v>
      </c>
      <c r="C1059" s="104" t="s">
        <v>16</v>
      </c>
      <c r="D1059" s="129" t="s">
        <v>15194</v>
      </c>
    </row>
    <row r="1060" spans="1:4">
      <c r="A1060" s="105">
        <v>92713</v>
      </c>
      <c r="B1060" s="104" t="s">
        <v>1363</v>
      </c>
      <c r="C1060" s="104" t="s">
        <v>16</v>
      </c>
      <c r="D1060" s="129" t="s">
        <v>15354</v>
      </c>
    </row>
    <row r="1061" spans="1:4">
      <c r="A1061" s="105">
        <v>92714</v>
      </c>
      <c r="B1061" s="104" t="s">
        <v>1364</v>
      </c>
      <c r="C1061" s="104" t="s">
        <v>16</v>
      </c>
      <c r="D1061" s="129" t="s">
        <v>15491</v>
      </c>
    </row>
    <row r="1062" spans="1:4">
      <c r="A1062" s="105">
        <v>92715</v>
      </c>
      <c r="B1062" s="104" t="s">
        <v>1365</v>
      </c>
      <c r="C1062" s="104" t="s">
        <v>16</v>
      </c>
      <c r="D1062" s="129" t="s">
        <v>15459</v>
      </c>
    </row>
    <row r="1063" spans="1:4">
      <c r="A1063" s="105">
        <v>92956</v>
      </c>
      <c r="B1063" s="104" t="s">
        <v>1366</v>
      </c>
      <c r="C1063" s="104" t="s">
        <v>16</v>
      </c>
      <c r="D1063" s="129" t="s">
        <v>15705</v>
      </c>
    </row>
    <row r="1064" spans="1:4">
      <c r="A1064" s="105">
        <v>92957</v>
      </c>
      <c r="B1064" s="104" t="s">
        <v>1367</v>
      </c>
      <c r="C1064" s="104" t="s">
        <v>16</v>
      </c>
      <c r="D1064" s="129" t="s">
        <v>15706</v>
      </c>
    </row>
    <row r="1065" spans="1:4">
      <c r="A1065" s="105">
        <v>92958</v>
      </c>
      <c r="B1065" s="104" t="s">
        <v>1368</v>
      </c>
      <c r="C1065" s="104" t="s">
        <v>16</v>
      </c>
      <c r="D1065" s="129" t="s">
        <v>15707</v>
      </c>
    </row>
    <row r="1066" spans="1:4">
      <c r="A1066" s="105">
        <v>92959</v>
      </c>
      <c r="B1066" s="104" t="s">
        <v>1369</v>
      </c>
      <c r="C1066" s="104" t="s">
        <v>16</v>
      </c>
      <c r="D1066" s="129" t="s">
        <v>15488</v>
      </c>
    </row>
    <row r="1067" spans="1:4">
      <c r="A1067" s="105">
        <v>92963</v>
      </c>
      <c r="B1067" s="104" t="s">
        <v>1370</v>
      </c>
      <c r="C1067" s="104" t="s">
        <v>16</v>
      </c>
      <c r="D1067" s="129" t="s">
        <v>15708</v>
      </c>
    </row>
    <row r="1068" spans="1:4">
      <c r="A1068" s="105">
        <v>92964</v>
      </c>
      <c r="B1068" s="104" t="s">
        <v>1371</v>
      </c>
      <c r="C1068" s="104" t="s">
        <v>16</v>
      </c>
      <c r="D1068" s="129" t="s">
        <v>15576</v>
      </c>
    </row>
    <row r="1069" spans="1:4">
      <c r="A1069" s="105">
        <v>92965</v>
      </c>
      <c r="B1069" s="104" t="s">
        <v>1372</v>
      </c>
      <c r="C1069" s="104" t="s">
        <v>16</v>
      </c>
      <c r="D1069" s="129" t="s">
        <v>15709</v>
      </c>
    </row>
    <row r="1070" spans="1:4">
      <c r="A1070" s="105">
        <v>93220</v>
      </c>
      <c r="B1070" s="104" t="s">
        <v>1373</v>
      </c>
      <c r="C1070" s="104" t="s">
        <v>16</v>
      </c>
      <c r="D1070" s="129" t="s">
        <v>15710</v>
      </c>
    </row>
    <row r="1071" spans="1:4">
      <c r="A1071" s="105">
        <v>93221</v>
      </c>
      <c r="B1071" s="104" t="s">
        <v>1374</v>
      </c>
      <c r="C1071" s="104" t="s">
        <v>16</v>
      </c>
      <c r="D1071" s="129" t="s">
        <v>15711</v>
      </c>
    </row>
    <row r="1072" spans="1:4">
      <c r="A1072" s="105">
        <v>93222</v>
      </c>
      <c r="B1072" s="104" t="s">
        <v>1375</v>
      </c>
      <c r="C1072" s="104" t="s">
        <v>16</v>
      </c>
      <c r="D1072" s="129" t="s">
        <v>15712</v>
      </c>
    </row>
    <row r="1073" spans="1:4">
      <c r="A1073" s="105">
        <v>93223</v>
      </c>
      <c r="B1073" s="104" t="s">
        <v>1376</v>
      </c>
      <c r="C1073" s="104" t="s">
        <v>16</v>
      </c>
      <c r="D1073" s="129" t="s">
        <v>15713</v>
      </c>
    </row>
    <row r="1074" spans="1:4">
      <c r="A1074" s="105">
        <v>93229</v>
      </c>
      <c r="B1074" s="104" t="s">
        <v>13659</v>
      </c>
      <c r="C1074" s="104" t="s">
        <v>16</v>
      </c>
      <c r="D1074" s="129" t="s">
        <v>15714</v>
      </c>
    </row>
    <row r="1075" spans="1:4">
      <c r="A1075" s="105">
        <v>93230</v>
      </c>
      <c r="B1075" s="104" t="s">
        <v>13660</v>
      </c>
      <c r="C1075" s="104" t="s">
        <v>16</v>
      </c>
      <c r="D1075" s="129" t="s">
        <v>15470</v>
      </c>
    </row>
    <row r="1076" spans="1:4">
      <c r="A1076" s="105">
        <v>93231</v>
      </c>
      <c r="B1076" s="104" t="s">
        <v>13661</v>
      </c>
      <c r="C1076" s="104" t="s">
        <v>16</v>
      </c>
      <c r="D1076" s="129" t="s">
        <v>15715</v>
      </c>
    </row>
    <row r="1077" spans="1:4">
      <c r="A1077" s="105">
        <v>93232</v>
      </c>
      <c r="B1077" s="104" t="s">
        <v>13662</v>
      </c>
      <c r="C1077" s="104" t="s">
        <v>16</v>
      </c>
      <c r="D1077" s="129" t="s">
        <v>15647</v>
      </c>
    </row>
    <row r="1078" spans="1:4">
      <c r="A1078" s="105">
        <v>93235</v>
      </c>
      <c r="B1078" s="104" t="s">
        <v>1377</v>
      </c>
      <c r="C1078" s="104" t="s">
        <v>16</v>
      </c>
      <c r="D1078" s="129" t="s">
        <v>15284</v>
      </c>
    </row>
    <row r="1079" spans="1:4">
      <c r="A1079" s="105">
        <v>93238</v>
      </c>
      <c r="B1079" s="104" t="s">
        <v>1378</v>
      </c>
      <c r="C1079" s="104" t="s">
        <v>16</v>
      </c>
      <c r="D1079" s="129" t="s">
        <v>15468</v>
      </c>
    </row>
    <row r="1080" spans="1:4">
      <c r="A1080" s="105">
        <v>93239</v>
      </c>
      <c r="B1080" s="104" t="s">
        <v>1379</v>
      </c>
      <c r="C1080" s="104" t="s">
        <v>16</v>
      </c>
      <c r="D1080" s="129" t="s">
        <v>15716</v>
      </c>
    </row>
    <row r="1081" spans="1:4">
      <c r="A1081" s="105">
        <v>93240</v>
      </c>
      <c r="B1081" s="104" t="s">
        <v>1380</v>
      </c>
      <c r="C1081" s="104" t="s">
        <v>16</v>
      </c>
      <c r="D1081" s="129" t="s">
        <v>15717</v>
      </c>
    </row>
    <row r="1082" spans="1:4">
      <c r="A1082" s="105">
        <v>93267</v>
      </c>
      <c r="B1082" s="104" t="s">
        <v>1381</v>
      </c>
      <c r="C1082" s="104" t="s">
        <v>16</v>
      </c>
      <c r="D1082" s="129" t="s">
        <v>15718</v>
      </c>
    </row>
    <row r="1083" spans="1:4">
      <c r="A1083" s="105">
        <v>93269</v>
      </c>
      <c r="B1083" s="104" t="s">
        <v>1382</v>
      </c>
      <c r="C1083" s="104" t="s">
        <v>16</v>
      </c>
      <c r="D1083" s="129" t="s">
        <v>15312</v>
      </c>
    </row>
    <row r="1084" spans="1:4">
      <c r="A1084" s="105">
        <v>93270</v>
      </c>
      <c r="B1084" s="104" t="s">
        <v>1383</v>
      </c>
      <c r="C1084" s="104" t="s">
        <v>16</v>
      </c>
      <c r="D1084" s="129" t="s">
        <v>15719</v>
      </c>
    </row>
    <row r="1085" spans="1:4">
      <c r="A1085" s="105">
        <v>93271</v>
      </c>
      <c r="B1085" s="104" t="s">
        <v>1384</v>
      </c>
      <c r="C1085" s="104" t="s">
        <v>16</v>
      </c>
      <c r="D1085" s="129" t="s">
        <v>15720</v>
      </c>
    </row>
    <row r="1086" spans="1:4">
      <c r="A1086" s="105">
        <v>93277</v>
      </c>
      <c r="B1086" s="104" t="s">
        <v>1385</v>
      </c>
      <c r="C1086" s="104" t="s">
        <v>16</v>
      </c>
      <c r="D1086" s="129" t="s">
        <v>15491</v>
      </c>
    </row>
    <row r="1087" spans="1:4">
      <c r="A1087" s="105">
        <v>93278</v>
      </c>
      <c r="B1087" s="104" t="s">
        <v>1386</v>
      </c>
      <c r="C1087" s="104" t="s">
        <v>16</v>
      </c>
      <c r="D1087" s="129" t="s">
        <v>15354</v>
      </c>
    </row>
    <row r="1088" spans="1:4">
      <c r="A1088" s="105">
        <v>93279</v>
      </c>
      <c r="B1088" s="104" t="s">
        <v>1387</v>
      </c>
      <c r="C1088" s="104" t="s">
        <v>16</v>
      </c>
      <c r="D1088" s="129" t="s">
        <v>15292</v>
      </c>
    </row>
    <row r="1089" spans="1:4">
      <c r="A1089" s="105">
        <v>93280</v>
      </c>
      <c r="B1089" s="104" t="s">
        <v>1388</v>
      </c>
      <c r="C1089" s="104" t="s">
        <v>16</v>
      </c>
      <c r="D1089" s="129" t="s">
        <v>15603</v>
      </c>
    </row>
    <row r="1090" spans="1:4">
      <c r="A1090" s="105">
        <v>93283</v>
      </c>
      <c r="B1090" s="104" t="s">
        <v>1389</v>
      </c>
      <c r="C1090" s="104" t="s">
        <v>16</v>
      </c>
      <c r="D1090" s="129" t="s">
        <v>15721</v>
      </c>
    </row>
    <row r="1091" spans="1:4">
      <c r="A1091" s="105">
        <v>93284</v>
      </c>
      <c r="B1091" s="104" t="s">
        <v>1390</v>
      </c>
      <c r="C1091" s="104" t="s">
        <v>16</v>
      </c>
      <c r="D1091" s="129" t="s">
        <v>15666</v>
      </c>
    </row>
    <row r="1092" spans="1:4">
      <c r="A1092" s="105">
        <v>93285</v>
      </c>
      <c r="B1092" s="104" t="s">
        <v>1391</v>
      </c>
      <c r="C1092" s="104" t="s">
        <v>16</v>
      </c>
      <c r="D1092" s="129" t="s">
        <v>15722</v>
      </c>
    </row>
    <row r="1093" spans="1:4">
      <c r="A1093" s="105">
        <v>93286</v>
      </c>
      <c r="B1093" s="104" t="s">
        <v>1392</v>
      </c>
      <c r="C1093" s="104" t="s">
        <v>16</v>
      </c>
      <c r="D1093" s="129" t="s">
        <v>15185</v>
      </c>
    </row>
    <row r="1094" spans="1:4">
      <c r="A1094" s="105">
        <v>93296</v>
      </c>
      <c r="B1094" s="104" t="s">
        <v>1393</v>
      </c>
      <c r="C1094" s="104" t="s">
        <v>16</v>
      </c>
      <c r="D1094" s="129" t="s">
        <v>15723</v>
      </c>
    </row>
    <row r="1095" spans="1:4">
      <c r="A1095" s="105">
        <v>93397</v>
      </c>
      <c r="B1095" s="104" t="s">
        <v>1394</v>
      </c>
      <c r="C1095" s="104" t="s">
        <v>16</v>
      </c>
      <c r="D1095" s="129" t="s">
        <v>15675</v>
      </c>
    </row>
    <row r="1096" spans="1:4">
      <c r="A1096" s="105">
        <v>93398</v>
      </c>
      <c r="B1096" s="104" t="s">
        <v>1395</v>
      </c>
      <c r="C1096" s="104" t="s">
        <v>16</v>
      </c>
      <c r="D1096" s="129" t="s">
        <v>15676</v>
      </c>
    </row>
    <row r="1097" spans="1:4">
      <c r="A1097" s="105">
        <v>93399</v>
      </c>
      <c r="B1097" s="104" t="s">
        <v>1396</v>
      </c>
      <c r="C1097" s="104" t="s">
        <v>16</v>
      </c>
      <c r="D1097" s="129" t="s">
        <v>15677</v>
      </c>
    </row>
    <row r="1098" spans="1:4">
      <c r="A1098" s="105">
        <v>93400</v>
      </c>
      <c r="B1098" s="104" t="s">
        <v>1397</v>
      </c>
      <c r="C1098" s="104" t="s">
        <v>16</v>
      </c>
      <c r="D1098" s="129" t="s">
        <v>15678</v>
      </c>
    </row>
    <row r="1099" spans="1:4">
      <c r="A1099" s="105">
        <v>93401</v>
      </c>
      <c r="B1099" s="104" t="s">
        <v>1398</v>
      </c>
      <c r="C1099" s="104" t="s">
        <v>16</v>
      </c>
      <c r="D1099" s="129" t="s">
        <v>15411</v>
      </c>
    </row>
    <row r="1100" spans="1:4">
      <c r="A1100" s="105">
        <v>93404</v>
      </c>
      <c r="B1100" s="104" t="s">
        <v>1399</v>
      </c>
      <c r="C1100" s="104" t="s">
        <v>16</v>
      </c>
      <c r="D1100" s="129" t="s">
        <v>15124</v>
      </c>
    </row>
    <row r="1101" spans="1:4">
      <c r="A1101" s="105">
        <v>93405</v>
      </c>
      <c r="B1101" s="104" t="s">
        <v>1400</v>
      </c>
      <c r="C1101" s="104" t="s">
        <v>16</v>
      </c>
      <c r="D1101" s="129" t="s">
        <v>15724</v>
      </c>
    </row>
    <row r="1102" spans="1:4">
      <c r="A1102" s="105">
        <v>93406</v>
      </c>
      <c r="B1102" s="104" t="s">
        <v>1401</v>
      </c>
      <c r="C1102" s="104" t="s">
        <v>16</v>
      </c>
      <c r="D1102" s="129" t="s">
        <v>15219</v>
      </c>
    </row>
    <row r="1103" spans="1:4">
      <c r="A1103" s="105">
        <v>93407</v>
      </c>
      <c r="B1103" s="104" t="s">
        <v>1402</v>
      </c>
      <c r="C1103" s="104" t="s">
        <v>16</v>
      </c>
      <c r="D1103" s="129" t="s">
        <v>15457</v>
      </c>
    </row>
    <row r="1104" spans="1:4">
      <c r="A1104" s="105">
        <v>93411</v>
      </c>
      <c r="B1104" s="104" t="s">
        <v>1403</v>
      </c>
      <c r="C1104" s="104" t="s">
        <v>16</v>
      </c>
      <c r="D1104" s="129" t="s">
        <v>15194</v>
      </c>
    </row>
    <row r="1105" spans="1:4">
      <c r="A1105" s="105">
        <v>93412</v>
      </c>
      <c r="B1105" s="104" t="s">
        <v>1404</v>
      </c>
      <c r="C1105" s="104" t="s">
        <v>16</v>
      </c>
      <c r="D1105" s="129" t="s">
        <v>15492</v>
      </c>
    </row>
    <row r="1106" spans="1:4">
      <c r="A1106" s="105">
        <v>93413</v>
      </c>
      <c r="B1106" s="104" t="s">
        <v>1405</v>
      </c>
      <c r="C1106" s="104" t="s">
        <v>16</v>
      </c>
      <c r="D1106" s="129" t="s">
        <v>15725</v>
      </c>
    </row>
    <row r="1107" spans="1:4">
      <c r="A1107" s="105">
        <v>93414</v>
      </c>
      <c r="B1107" s="104" t="s">
        <v>1406</v>
      </c>
      <c r="C1107" s="104" t="s">
        <v>16</v>
      </c>
      <c r="D1107" s="129" t="s">
        <v>15726</v>
      </c>
    </row>
    <row r="1108" spans="1:4">
      <c r="A1108" s="105">
        <v>93417</v>
      </c>
      <c r="B1108" s="104" t="s">
        <v>1407</v>
      </c>
      <c r="C1108" s="104" t="s">
        <v>16</v>
      </c>
      <c r="D1108" s="129" t="s">
        <v>15727</v>
      </c>
    </row>
    <row r="1109" spans="1:4">
      <c r="A1109" s="105">
        <v>93418</v>
      </c>
      <c r="B1109" s="104" t="s">
        <v>1408</v>
      </c>
      <c r="C1109" s="104" t="s">
        <v>16</v>
      </c>
      <c r="D1109" s="129" t="s">
        <v>15646</v>
      </c>
    </row>
    <row r="1110" spans="1:4">
      <c r="A1110" s="105">
        <v>93419</v>
      </c>
      <c r="B1110" s="104" t="s">
        <v>1409</v>
      </c>
      <c r="C1110" s="104" t="s">
        <v>16</v>
      </c>
      <c r="D1110" s="129" t="s">
        <v>15728</v>
      </c>
    </row>
    <row r="1111" spans="1:4">
      <c r="A1111" s="105">
        <v>93420</v>
      </c>
      <c r="B1111" s="104" t="s">
        <v>1410</v>
      </c>
      <c r="C1111" s="104" t="s">
        <v>16</v>
      </c>
      <c r="D1111" s="129" t="s">
        <v>15729</v>
      </c>
    </row>
    <row r="1112" spans="1:4">
      <c r="A1112" s="105">
        <v>93423</v>
      </c>
      <c r="B1112" s="104" t="s">
        <v>1411</v>
      </c>
      <c r="C1112" s="104" t="s">
        <v>16</v>
      </c>
      <c r="D1112" s="129" t="s">
        <v>15730</v>
      </c>
    </row>
    <row r="1113" spans="1:4">
      <c r="A1113" s="105">
        <v>93424</v>
      </c>
      <c r="B1113" s="104" t="s">
        <v>1412</v>
      </c>
      <c r="C1113" s="104" t="s">
        <v>16</v>
      </c>
      <c r="D1113" s="129" t="s">
        <v>15731</v>
      </c>
    </row>
    <row r="1114" spans="1:4">
      <c r="A1114" s="105">
        <v>93425</v>
      </c>
      <c r="B1114" s="104" t="s">
        <v>1413</v>
      </c>
      <c r="C1114" s="104" t="s">
        <v>16</v>
      </c>
      <c r="D1114" s="129" t="s">
        <v>15732</v>
      </c>
    </row>
    <row r="1115" spans="1:4">
      <c r="A1115" s="105">
        <v>93426</v>
      </c>
      <c r="B1115" s="104" t="s">
        <v>1414</v>
      </c>
      <c r="C1115" s="104" t="s">
        <v>16</v>
      </c>
      <c r="D1115" s="129" t="s">
        <v>15733</v>
      </c>
    </row>
    <row r="1116" spans="1:4">
      <c r="A1116" s="105">
        <v>93429</v>
      </c>
      <c r="B1116" s="104" t="s">
        <v>1415</v>
      </c>
      <c r="C1116" s="104" t="s">
        <v>16</v>
      </c>
      <c r="D1116" s="129" t="s">
        <v>15734</v>
      </c>
    </row>
    <row r="1117" spans="1:4">
      <c r="A1117" s="105">
        <v>93430</v>
      </c>
      <c r="B1117" s="104" t="s">
        <v>1416</v>
      </c>
      <c r="C1117" s="104" t="s">
        <v>16</v>
      </c>
      <c r="D1117" s="129" t="s">
        <v>15735</v>
      </c>
    </row>
    <row r="1118" spans="1:4">
      <c r="A1118" s="105">
        <v>93431</v>
      </c>
      <c r="B1118" s="104" t="s">
        <v>1417</v>
      </c>
      <c r="C1118" s="104" t="s">
        <v>16</v>
      </c>
      <c r="D1118" s="129" t="s">
        <v>15736</v>
      </c>
    </row>
    <row r="1119" spans="1:4">
      <c r="A1119" s="105">
        <v>93432</v>
      </c>
      <c r="B1119" s="104" t="s">
        <v>1418</v>
      </c>
      <c r="C1119" s="104" t="s">
        <v>16</v>
      </c>
      <c r="D1119" s="129" t="s">
        <v>15737</v>
      </c>
    </row>
    <row r="1120" spans="1:4">
      <c r="A1120" s="105">
        <v>93435</v>
      </c>
      <c r="B1120" s="104" t="s">
        <v>1419</v>
      </c>
      <c r="C1120" s="104" t="s">
        <v>16</v>
      </c>
      <c r="D1120" s="129" t="s">
        <v>15738</v>
      </c>
    </row>
    <row r="1121" spans="1:4">
      <c r="A1121" s="105">
        <v>93436</v>
      </c>
      <c r="B1121" s="104" t="s">
        <v>1420</v>
      </c>
      <c r="C1121" s="104" t="s">
        <v>16</v>
      </c>
      <c r="D1121" s="129" t="s">
        <v>15739</v>
      </c>
    </row>
    <row r="1122" spans="1:4">
      <c r="A1122" s="105">
        <v>93437</v>
      </c>
      <c r="B1122" s="104" t="s">
        <v>1421</v>
      </c>
      <c r="C1122" s="104" t="s">
        <v>16</v>
      </c>
      <c r="D1122" s="129" t="s">
        <v>15740</v>
      </c>
    </row>
    <row r="1123" spans="1:4">
      <c r="A1123" s="105">
        <v>93438</v>
      </c>
      <c r="B1123" s="104" t="s">
        <v>1422</v>
      </c>
      <c r="C1123" s="104" t="s">
        <v>16</v>
      </c>
      <c r="D1123" s="129" t="s">
        <v>15741</v>
      </c>
    </row>
    <row r="1124" spans="1:4">
      <c r="A1124" s="105">
        <v>95114</v>
      </c>
      <c r="B1124" s="104" t="s">
        <v>1423</v>
      </c>
      <c r="C1124" s="104" t="s">
        <v>16</v>
      </c>
      <c r="D1124" s="129" t="s">
        <v>15742</v>
      </c>
    </row>
    <row r="1125" spans="1:4">
      <c r="A1125" s="105">
        <v>95115</v>
      </c>
      <c r="B1125" s="104" t="s">
        <v>1424</v>
      </c>
      <c r="C1125" s="104" t="s">
        <v>16</v>
      </c>
      <c r="D1125" s="129" t="s">
        <v>15576</v>
      </c>
    </row>
    <row r="1126" spans="1:4">
      <c r="A1126" s="105">
        <v>95116</v>
      </c>
      <c r="B1126" s="104" t="s">
        <v>1425</v>
      </c>
      <c r="C1126" s="104" t="s">
        <v>16</v>
      </c>
      <c r="D1126" s="129" t="s">
        <v>15743</v>
      </c>
    </row>
    <row r="1127" spans="1:4">
      <c r="A1127" s="105">
        <v>95117</v>
      </c>
      <c r="B1127" s="104" t="s">
        <v>1426</v>
      </c>
      <c r="C1127" s="104" t="s">
        <v>16</v>
      </c>
      <c r="D1127" s="129" t="s">
        <v>15339</v>
      </c>
    </row>
    <row r="1128" spans="1:4">
      <c r="A1128" s="105">
        <v>95118</v>
      </c>
      <c r="B1128" s="104" t="s">
        <v>1427</v>
      </c>
      <c r="C1128" s="104" t="s">
        <v>16</v>
      </c>
      <c r="D1128" s="129" t="s">
        <v>15744</v>
      </c>
    </row>
    <row r="1129" spans="1:4">
      <c r="A1129" s="105">
        <v>95119</v>
      </c>
      <c r="B1129" s="104" t="s">
        <v>1428</v>
      </c>
      <c r="C1129" s="104" t="s">
        <v>16</v>
      </c>
      <c r="D1129" s="129" t="s">
        <v>15745</v>
      </c>
    </row>
    <row r="1130" spans="1:4">
      <c r="A1130" s="105">
        <v>95120</v>
      </c>
      <c r="B1130" s="104" t="s">
        <v>1429</v>
      </c>
      <c r="C1130" s="104" t="s">
        <v>16</v>
      </c>
      <c r="D1130" s="129" t="s">
        <v>15746</v>
      </c>
    </row>
    <row r="1131" spans="1:4">
      <c r="A1131" s="105">
        <v>95123</v>
      </c>
      <c r="B1131" s="104" t="s">
        <v>1430</v>
      </c>
      <c r="C1131" s="104" t="s">
        <v>16</v>
      </c>
      <c r="D1131" s="129" t="s">
        <v>15747</v>
      </c>
    </row>
    <row r="1132" spans="1:4">
      <c r="A1132" s="105">
        <v>95124</v>
      </c>
      <c r="B1132" s="104" t="s">
        <v>1431</v>
      </c>
      <c r="C1132" s="104" t="s">
        <v>16</v>
      </c>
      <c r="D1132" s="129" t="s">
        <v>15748</v>
      </c>
    </row>
    <row r="1133" spans="1:4">
      <c r="A1133" s="105">
        <v>95125</v>
      </c>
      <c r="B1133" s="104" t="s">
        <v>1432</v>
      </c>
      <c r="C1133" s="104" t="s">
        <v>16</v>
      </c>
      <c r="D1133" s="129" t="s">
        <v>15749</v>
      </c>
    </row>
    <row r="1134" spans="1:4">
      <c r="A1134" s="105">
        <v>95126</v>
      </c>
      <c r="B1134" s="104" t="s">
        <v>1433</v>
      </c>
      <c r="C1134" s="104" t="s">
        <v>16</v>
      </c>
      <c r="D1134" s="129" t="s">
        <v>15750</v>
      </c>
    </row>
    <row r="1135" spans="1:4">
      <c r="A1135" s="105">
        <v>95129</v>
      </c>
      <c r="B1135" s="104" t="s">
        <v>1434</v>
      </c>
      <c r="C1135" s="104" t="s">
        <v>16</v>
      </c>
      <c r="D1135" s="129" t="s">
        <v>15387</v>
      </c>
    </row>
    <row r="1136" spans="1:4">
      <c r="A1136" s="105">
        <v>95130</v>
      </c>
      <c r="B1136" s="104" t="s">
        <v>1435</v>
      </c>
      <c r="C1136" s="104" t="s">
        <v>16</v>
      </c>
      <c r="D1136" s="129" t="s">
        <v>15751</v>
      </c>
    </row>
    <row r="1137" spans="1:4">
      <c r="A1137" s="105">
        <v>95131</v>
      </c>
      <c r="B1137" s="104" t="s">
        <v>1436</v>
      </c>
      <c r="C1137" s="104" t="s">
        <v>16</v>
      </c>
      <c r="D1137" s="129" t="s">
        <v>15752</v>
      </c>
    </row>
    <row r="1138" spans="1:4">
      <c r="A1138" s="105">
        <v>95132</v>
      </c>
      <c r="B1138" s="104" t="s">
        <v>1437</v>
      </c>
      <c r="C1138" s="104" t="s">
        <v>16</v>
      </c>
      <c r="D1138" s="129" t="s">
        <v>15753</v>
      </c>
    </row>
    <row r="1139" spans="1:4">
      <c r="A1139" s="105">
        <v>95136</v>
      </c>
      <c r="B1139" s="104" t="s">
        <v>1438</v>
      </c>
      <c r="C1139" s="104" t="s">
        <v>16</v>
      </c>
      <c r="D1139" s="129" t="s">
        <v>15354</v>
      </c>
    </row>
    <row r="1140" spans="1:4">
      <c r="A1140" s="105">
        <v>95137</v>
      </c>
      <c r="B1140" s="104" t="s">
        <v>1439</v>
      </c>
      <c r="C1140" s="104" t="s">
        <v>16</v>
      </c>
      <c r="D1140" s="129" t="s">
        <v>15754</v>
      </c>
    </row>
    <row r="1141" spans="1:4">
      <c r="A1141" s="105">
        <v>95138</v>
      </c>
      <c r="B1141" s="104" t="s">
        <v>1440</v>
      </c>
      <c r="C1141" s="104" t="s">
        <v>16</v>
      </c>
      <c r="D1141" s="129" t="s">
        <v>15354</v>
      </c>
    </row>
    <row r="1142" spans="1:4">
      <c r="A1142" s="105">
        <v>95208</v>
      </c>
      <c r="B1142" s="104" t="s">
        <v>1441</v>
      </c>
      <c r="C1142" s="104" t="s">
        <v>16</v>
      </c>
      <c r="D1142" s="129" t="s">
        <v>15755</v>
      </c>
    </row>
    <row r="1143" spans="1:4">
      <c r="A1143" s="105">
        <v>95209</v>
      </c>
      <c r="B1143" s="104" t="s">
        <v>1442</v>
      </c>
      <c r="C1143" s="104" t="s">
        <v>16</v>
      </c>
      <c r="D1143" s="129" t="s">
        <v>15756</v>
      </c>
    </row>
    <row r="1144" spans="1:4">
      <c r="A1144" s="105">
        <v>95210</v>
      </c>
      <c r="B1144" s="104" t="s">
        <v>1443</v>
      </c>
      <c r="C1144" s="104" t="s">
        <v>16</v>
      </c>
      <c r="D1144" s="129" t="s">
        <v>15757</v>
      </c>
    </row>
    <row r="1145" spans="1:4">
      <c r="A1145" s="105">
        <v>95211</v>
      </c>
      <c r="B1145" s="104" t="s">
        <v>1444</v>
      </c>
      <c r="C1145" s="104" t="s">
        <v>16</v>
      </c>
      <c r="D1145" s="129" t="s">
        <v>15720</v>
      </c>
    </row>
    <row r="1146" spans="1:4">
      <c r="A1146" s="105">
        <v>95217</v>
      </c>
      <c r="B1146" s="104" t="s">
        <v>1445</v>
      </c>
      <c r="C1146" s="104" t="s">
        <v>16</v>
      </c>
      <c r="D1146" s="129" t="s">
        <v>15359</v>
      </c>
    </row>
    <row r="1147" spans="1:4">
      <c r="A1147" s="105">
        <v>95255</v>
      </c>
      <c r="B1147" s="104" t="s">
        <v>1446</v>
      </c>
      <c r="C1147" s="104" t="s">
        <v>16</v>
      </c>
      <c r="D1147" s="129" t="s">
        <v>15696</v>
      </c>
    </row>
    <row r="1148" spans="1:4">
      <c r="A1148" s="105">
        <v>95256</v>
      </c>
      <c r="B1148" s="104" t="s">
        <v>1447</v>
      </c>
      <c r="C1148" s="104" t="s">
        <v>16</v>
      </c>
      <c r="D1148" s="129" t="s">
        <v>15758</v>
      </c>
    </row>
    <row r="1149" spans="1:4">
      <c r="A1149" s="105">
        <v>95257</v>
      </c>
      <c r="B1149" s="104" t="s">
        <v>1448</v>
      </c>
      <c r="C1149" s="104" t="s">
        <v>16</v>
      </c>
      <c r="D1149" s="129" t="s">
        <v>15759</v>
      </c>
    </row>
    <row r="1150" spans="1:4">
      <c r="A1150" s="105">
        <v>95260</v>
      </c>
      <c r="B1150" s="104" t="s">
        <v>1449</v>
      </c>
      <c r="C1150" s="104" t="s">
        <v>16</v>
      </c>
      <c r="D1150" s="129" t="s">
        <v>15760</v>
      </c>
    </row>
    <row r="1151" spans="1:4">
      <c r="A1151" s="105">
        <v>95261</v>
      </c>
      <c r="B1151" s="104" t="s">
        <v>1450</v>
      </c>
      <c r="C1151" s="104" t="s">
        <v>16</v>
      </c>
      <c r="D1151" s="129" t="s">
        <v>15543</v>
      </c>
    </row>
    <row r="1152" spans="1:4">
      <c r="A1152" s="105">
        <v>95262</v>
      </c>
      <c r="B1152" s="104" t="s">
        <v>1451</v>
      </c>
      <c r="C1152" s="104" t="s">
        <v>16</v>
      </c>
      <c r="D1152" s="129" t="s">
        <v>15761</v>
      </c>
    </row>
    <row r="1153" spans="1:4">
      <c r="A1153" s="105">
        <v>95263</v>
      </c>
      <c r="B1153" s="104" t="s">
        <v>1452</v>
      </c>
      <c r="C1153" s="104" t="s">
        <v>16</v>
      </c>
      <c r="D1153" s="129" t="s">
        <v>15762</v>
      </c>
    </row>
    <row r="1154" spans="1:4">
      <c r="A1154" s="105">
        <v>95266</v>
      </c>
      <c r="B1154" s="104" t="s">
        <v>1453</v>
      </c>
      <c r="C1154" s="104" t="s">
        <v>16</v>
      </c>
      <c r="D1154" s="129" t="s">
        <v>15306</v>
      </c>
    </row>
    <row r="1155" spans="1:4">
      <c r="A1155" s="105">
        <v>95267</v>
      </c>
      <c r="B1155" s="104" t="s">
        <v>1454</v>
      </c>
      <c r="C1155" s="104" t="s">
        <v>16</v>
      </c>
      <c r="D1155" s="129" t="s">
        <v>15492</v>
      </c>
    </row>
    <row r="1156" spans="1:4">
      <c r="A1156" s="105">
        <v>95268</v>
      </c>
      <c r="B1156" s="104" t="s">
        <v>1455</v>
      </c>
      <c r="C1156" s="104" t="s">
        <v>16</v>
      </c>
      <c r="D1156" s="129" t="s">
        <v>15714</v>
      </c>
    </row>
    <row r="1157" spans="1:4">
      <c r="A1157" s="105">
        <v>95269</v>
      </c>
      <c r="B1157" s="104" t="s">
        <v>1456</v>
      </c>
      <c r="C1157" s="104" t="s">
        <v>16</v>
      </c>
      <c r="D1157" s="129" t="s">
        <v>15647</v>
      </c>
    </row>
    <row r="1158" spans="1:4">
      <c r="A1158" s="105">
        <v>95272</v>
      </c>
      <c r="B1158" s="104" t="s">
        <v>1457</v>
      </c>
      <c r="C1158" s="104" t="s">
        <v>16</v>
      </c>
      <c r="D1158" s="129" t="s">
        <v>15763</v>
      </c>
    </row>
    <row r="1159" spans="1:4">
      <c r="A1159" s="105">
        <v>95273</v>
      </c>
      <c r="B1159" s="104" t="s">
        <v>1458</v>
      </c>
      <c r="C1159" s="104" t="s">
        <v>16</v>
      </c>
      <c r="D1159" s="129" t="s">
        <v>15470</v>
      </c>
    </row>
    <row r="1160" spans="1:4">
      <c r="A1160" s="105">
        <v>95274</v>
      </c>
      <c r="B1160" s="104" t="s">
        <v>1459</v>
      </c>
      <c r="C1160" s="104" t="s">
        <v>16</v>
      </c>
      <c r="D1160" s="129" t="s">
        <v>15491</v>
      </c>
    </row>
    <row r="1161" spans="1:4">
      <c r="A1161" s="105">
        <v>95275</v>
      </c>
      <c r="B1161" s="104" t="s">
        <v>1460</v>
      </c>
      <c r="C1161" s="104" t="s">
        <v>16</v>
      </c>
      <c r="D1161" s="129" t="s">
        <v>15764</v>
      </c>
    </row>
    <row r="1162" spans="1:4">
      <c r="A1162" s="105">
        <v>95278</v>
      </c>
      <c r="B1162" s="104" t="s">
        <v>1461</v>
      </c>
      <c r="C1162" s="104" t="s">
        <v>16</v>
      </c>
      <c r="D1162" s="129" t="s">
        <v>15607</v>
      </c>
    </row>
    <row r="1163" spans="1:4">
      <c r="A1163" s="105">
        <v>95279</v>
      </c>
      <c r="B1163" s="104" t="s">
        <v>1462</v>
      </c>
      <c r="C1163" s="104" t="s">
        <v>16</v>
      </c>
      <c r="D1163" s="129" t="s">
        <v>15470</v>
      </c>
    </row>
    <row r="1164" spans="1:4">
      <c r="A1164" s="105">
        <v>95280</v>
      </c>
      <c r="B1164" s="104" t="s">
        <v>1463</v>
      </c>
      <c r="C1164" s="104" t="s">
        <v>16</v>
      </c>
      <c r="D1164" s="129" t="s">
        <v>15283</v>
      </c>
    </row>
    <row r="1165" spans="1:4">
      <c r="A1165" s="105">
        <v>95281</v>
      </c>
      <c r="B1165" s="104" t="s">
        <v>1464</v>
      </c>
      <c r="C1165" s="104" t="s">
        <v>16</v>
      </c>
      <c r="D1165" s="129" t="s">
        <v>15647</v>
      </c>
    </row>
    <row r="1166" spans="1:4">
      <c r="A1166" s="105">
        <v>95617</v>
      </c>
      <c r="B1166" s="104" t="s">
        <v>1465</v>
      </c>
      <c r="C1166" s="104" t="s">
        <v>16</v>
      </c>
      <c r="D1166" s="129" t="s">
        <v>15477</v>
      </c>
    </row>
    <row r="1167" spans="1:4">
      <c r="A1167" s="105">
        <v>95618</v>
      </c>
      <c r="B1167" s="104" t="s">
        <v>1466</v>
      </c>
      <c r="C1167" s="104" t="s">
        <v>16</v>
      </c>
      <c r="D1167" s="129" t="s">
        <v>15765</v>
      </c>
    </row>
    <row r="1168" spans="1:4">
      <c r="A1168" s="105">
        <v>95619</v>
      </c>
      <c r="B1168" s="104" t="s">
        <v>1467</v>
      </c>
      <c r="C1168" s="104" t="s">
        <v>16</v>
      </c>
      <c r="D1168" s="129" t="s">
        <v>15766</v>
      </c>
    </row>
    <row r="1169" spans="1:4">
      <c r="A1169" s="105">
        <v>95627</v>
      </c>
      <c r="B1169" s="104" t="s">
        <v>1468</v>
      </c>
      <c r="C1169" s="104" t="s">
        <v>16</v>
      </c>
      <c r="D1169" s="129" t="s">
        <v>15767</v>
      </c>
    </row>
    <row r="1170" spans="1:4">
      <c r="A1170" s="105">
        <v>95628</v>
      </c>
      <c r="B1170" s="104" t="s">
        <v>1469</v>
      </c>
      <c r="C1170" s="104" t="s">
        <v>16</v>
      </c>
      <c r="D1170" s="129" t="s">
        <v>15768</v>
      </c>
    </row>
    <row r="1171" spans="1:4">
      <c r="A1171" s="105">
        <v>95629</v>
      </c>
      <c r="B1171" s="104" t="s">
        <v>1470</v>
      </c>
      <c r="C1171" s="104" t="s">
        <v>16</v>
      </c>
      <c r="D1171" s="129" t="s">
        <v>15769</v>
      </c>
    </row>
    <row r="1172" spans="1:4">
      <c r="A1172" s="105">
        <v>95630</v>
      </c>
      <c r="B1172" s="104" t="s">
        <v>1471</v>
      </c>
      <c r="C1172" s="104" t="s">
        <v>16</v>
      </c>
      <c r="D1172" s="129" t="s">
        <v>15431</v>
      </c>
    </row>
    <row r="1173" spans="1:4">
      <c r="A1173" s="105">
        <v>95698</v>
      </c>
      <c r="B1173" s="104" t="s">
        <v>1472</v>
      </c>
      <c r="C1173" s="104" t="s">
        <v>16</v>
      </c>
      <c r="D1173" s="129" t="s">
        <v>15770</v>
      </c>
    </row>
    <row r="1174" spans="1:4">
      <c r="A1174" s="105">
        <v>95699</v>
      </c>
      <c r="B1174" s="104" t="s">
        <v>1473</v>
      </c>
      <c r="C1174" s="104" t="s">
        <v>16</v>
      </c>
      <c r="D1174" s="129" t="s">
        <v>15323</v>
      </c>
    </row>
    <row r="1175" spans="1:4">
      <c r="A1175" s="105">
        <v>95700</v>
      </c>
      <c r="B1175" s="104" t="s">
        <v>1474</v>
      </c>
      <c r="C1175" s="104" t="s">
        <v>16</v>
      </c>
      <c r="D1175" s="129" t="s">
        <v>15530</v>
      </c>
    </row>
    <row r="1176" spans="1:4">
      <c r="A1176" s="105">
        <v>95701</v>
      </c>
      <c r="B1176" s="104" t="s">
        <v>1475</v>
      </c>
      <c r="C1176" s="104" t="s">
        <v>16</v>
      </c>
      <c r="D1176" s="129" t="s">
        <v>15475</v>
      </c>
    </row>
    <row r="1177" spans="1:4">
      <c r="A1177" s="105">
        <v>95704</v>
      </c>
      <c r="B1177" s="104" t="s">
        <v>1476</v>
      </c>
      <c r="C1177" s="104" t="s">
        <v>16</v>
      </c>
      <c r="D1177" s="129" t="s">
        <v>15771</v>
      </c>
    </row>
    <row r="1178" spans="1:4">
      <c r="A1178" s="105">
        <v>95705</v>
      </c>
      <c r="B1178" s="104" t="s">
        <v>1477</v>
      </c>
      <c r="C1178" s="104" t="s">
        <v>16</v>
      </c>
      <c r="D1178" s="129" t="s">
        <v>15772</v>
      </c>
    </row>
    <row r="1179" spans="1:4">
      <c r="A1179" s="105">
        <v>95706</v>
      </c>
      <c r="B1179" s="104" t="s">
        <v>1478</v>
      </c>
      <c r="C1179" s="104" t="s">
        <v>16</v>
      </c>
      <c r="D1179" s="129" t="s">
        <v>15773</v>
      </c>
    </row>
    <row r="1180" spans="1:4">
      <c r="A1180" s="105">
        <v>95707</v>
      </c>
      <c r="B1180" s="104" t="s">
        <v>1479</v>
      </c>
      <c r="C1180" s="104" t="s">
        <v>16</v>
      </c>
      <c r="D1180" s="129" t="s">
        <v>15774</v>
      </c>
    </row>
    <row r="1181" spans="1:4">
      <c r="A1181" s="105">
        <v>95710</v>
      </c>
      <c r="B1181" s="104" t="s">
        <v>1480</v>
      </c>
      <c r="C1181" s="104" t="s">
        <v>16</v>
      </c>
      <c r="D1181" s="129" t="s">
        <v>15775</v>
      </c>
    </row>
    <row r="1182" spans="1:4">
      <c r="A1182" s="105">
        <v>95711</v>
      </c>
      <c r="B1182" s="104" t="s">
        <v>1481</v>
      </c>
      <c r="C1182" s="104" t="s">
        <v>16</v>
      </c>
      <c r="D1182" s="129" t="s">
        <v>15776</v>
      </c>
    </row>
    <row r="1183" spans="1:4">
      <c r="A1183" s="105">
        <v>95712</v>
      </c>
      <c r="B1183" s="104" t="s">
        <v>1482</v>
      </c>
      <c r="C1183" s="104" t="s">
        <v>16</v>
      </c>
      <c r="D1183" s="129" t="s">
        <v>15777</v>
      </c>
    </row>
    <row r="1184" spans="1:4">
      <c r="A1184" s="105">
        <v>95713</v>
      </c>
      <c r="B1184" s="104" t="s">
        <v>1483</v>
      </c>
      <c r="C1184" s="104" t="s">
        <v>16</v>
      </c>
      <c r="D1184" s="129" t="s">
        <v>15513</v>
      </c>
    </row>
    <row r="1185" spans="1:4">
      <c r="A1185" s="105">
        <v>95716</v>
      </c>
      <c r="B1185" s="104" t="s">
        <v>1484</v>
      </c>
      <c r="C1185" s="104" t="s">
        <v>16</v>
      </c>
      <c r="D1185" s="129" t="s">
        <v>15778</v>
      </c>
    </row>
    <row r="1186" spans="1:4">
      <c r="A1186" s="105">
        <v>95717</v>
      </c>
      <c r="B1186" s="104" t="s">
        <v>1485</v>
      </c>
      <c r="C1186" s="104" t="s">
        <v>16</v>
      </c>
      <c r="D1186" s="129" t="s">
        <v>15779</v>
      </c>
    </row>
    <row r="1187" spans="1:4">
      <c r="A1187" s="105">
        <v>95718</v>
      </c>
      <c r="B1187" s="104" t="s">
        <v>1486</v>
      </c>
      <c r="C1187" s="104" t="s">
        <v>16</v>
      </c>
      <c r="D1187" s="129" t="s">
        <v>15780</v>
      </c>
    </row>
    <row r="1188" spans="1:4">
      <c r="A1188" s="105">
        <v>95719</v>
      </c>
      <c r="B1188" s="104" t="s">
        <v>1487</v>
      </c>
      <c r="C1188" s="104" t="s">
        <v>16</v>
      </c>
      <c r="D1188" s="129" t="s">
        <v>15513</v>
      </c>
    </row>
    <row r="1189" spans="1:4">
      <c r="A1189" s="105">
        <v>95869</v>
      </c>
      <c r="B1189" s="104" t="s">
        <v>1488</v>
      </c>
      <c r="C1189" s="104" t="s">
        <v>16</v>
      </c>
      <c r="D1189" s="129" t="s">
        <v>15781</v>
      </c>
    </row>
    <row r="1190" spans="1:4">
      <c r="A1190" s="105">
        <v>95870</v>
      </c>
      <c r="B1190" s="104" t="s">
        <v>1489</v>
      </c>
      <c r="C1190" s="104" t="s">
        <v>16</v>
      </c>
      <c r="D1190" s="129" t="s">
        <v>15782</v>
      </c>
    </row>
    <row r="1191" spans="1:4">
      <c r="A1191" s="105">
        <v>95871</v>
      </c>
      <c r="B1191" s="104" t="s">
        <v>1490</v>
      </c>
      <c r="C1191" s="104" t="s">
        <v>16</v>
      </c>
      <c r="D1191" s="129" t="s">
        <v>15783</v>
      </c>
    </row>
    <row r="1192" spans="1:4">
      <c r="A1192" s="105">
        <v>95874</v>
      </c>
      <c r="B1192" s="104" t="s">
        <v>1491</v>
      </c>
      <c r="C1192" s="104" t="s">
        <v>16</v>
      </c>
      <c r="D1192" s="129" t="s">
        <v>15784</v>
      </c>
    </row>
    <row r="1193" spans="1:4">
      <c r="A1193" s="105">
        <v>96008</v>
      </c>
      <c r="B1193" s="104" t="s">
        <v>1492</v>
      </c>
      <c r="C1193" s="104" t="s">
        <v>16</v>
      </c>
      <c r="D1193" s="129" t="s">
        <v>15785</v>
      </c>
    </row>
    <row r="1194" spans="1:4">
      <c r="A1194" s="105">
        <v>96009</v>
      </c>
      <c r="B1194" s="104" t="s">
        <v>1493</v>
      </c>
      <c r="C1194" s="104" t="s">
        <v>16</v>
      </c>
      <c r="D1194" s="129" t="s">
        <v>15786</v>
      </c>
    </row>
    <row r="1195" spans="1:4">
      <c r="A1195" s="105">
        <v>96011</v>
      </c>
      <c r="B1195" s="104" t="s">
        <v>1494</v>
      </c>
      <c r="C1195" s="104" t="s">
        <v>16</v>
      </c>
      <c r="D1195" s="129" t="s">
        <v>15787</v>
      </c>
    </row>
    <row r="1196" spans="1:4">
      <c r="A1196" s="105">
        <v>96012</v>
      </c>
      <c r="B1196" s="104" t="s">
        <v>1495</v>
      </c>
      <c r="C1196" s="104" t="s">
        <v>16</v>
      </c>
      <c r="D1196" s="129" t="s">
        <v>15437</v>
      </c>
    </row>
    <row r="1197" spans="1:4">
      <c r="A1197" s="105">
        <v>96015</v>
      </c>
      <c r="B1197" s="104" t="s">
        <v>1496</v>
      </c>
      <c r="C1197" s="104" t="s">
        <v>16</v>
      </c>
      <c r="D1197" s="129" t="s">
        <v>15788</v>
      </c>
    </row>
    <row r="1198" spans="1:4">
      <c r="A1198" s="105">
        <v>96016</v>
      </c>
      <c r="B1198" s="104" t="s">
        <v>1497</v>
      </c>
      <c r="C1198" s="104" t="s">
        <v>16</v>
      </c>
      <c r="D1198" s="129" t="s">
        <v>15789</v>
      </c>
    </row>
    <row r="1199" spans="1:4">
      <c r="A1199" s="105">
        <v>96018</v>
      </c>
      <c r="B1199" s="104" t="s">
        <v>1498</v>
      </c>
      <c r="C1199" s="104" t="s">
        <v>16</v>
      </c>
      <c r="D1199" s="129" t="s">
        <v>15187</v>
      </c>
    </row>
    <row r="1200" spans="1:4">
      <c r="A1200" s="105">
        <v>96019</v>
      </c>
      <c r="B1200" s="104" t="s">
        <v>1499</v>
      </c>
      <c r="C1200" s="104" t="s">
        <v>16</v>
      </c>
      <c r="D1200" s="129" t="s">
        <v>15790</v>
      </c>
    </row>
    <row r="1201" spans="1:4">
      <c r="A1201" s="105">
        <v>96023</v>
      </c>
      <c r="B1201" s="104" t="s">
        <v>1500</v>
      </c>
      <c r="C1201" s="104" t="s">
        <v>16</v>
      </c>
      <c r="D1201" s="129" t="s">
        <v>15791</v>
      </c>
    </row>
    <row r="1202" spans="1:4">
      <c r="A1202" s="105">
        <v>96024</v>
      </c>
      <c r="B1202" s="104" t="s">
        <v>1501</v>
      </c>
      <c r="C1202" s="104" t="s">
        <v>16</v>
      </c>
      <c r="D1202" s="129" t="s">
        <v>15792</v>
      </c>
    </row>
    <row r="1203" spans="1:4">
      <c r="A1203" s="105">
        <v>96026</v>
      </c>
      <c r="B1203" s="104" t="s">
        <v>1502</v>
      </c>
      <c r="C1203" s="104" t="s">
        <v>16</v>
      </c>
      <c r="D1203" s="129" t="s">
        <v>15793</v>
      </c>
    </row>
    <row r="1204" spans="1:4">
      <c r="A1204" s="105">
        <v>96027</v>
      </c>
      <c r="B1204" s="104" t="s">
        <v>1503</v>
      </c>
      <c r="C1204" s="104" t="s">
        <v>16</v>
      </c>
      <c r="D1204" s="129" t="s">
        <v>15794</v>
      </c>
    </row>
    <row r="1205" spans="1:4">
      <c r="A1205" s="105">
        <v>96030</v>
      </c>
      <c r="B1205" s="104" t="s">
        <v>1504</v>
      </c>
      <c r="C1205" s="104" t="s">
        <v>16</v>
      </c>
      <c r="D1205" s="129" t="s">
        <v>15795</v>
      </c>
    </row>
    <row r="1206" spans="1:4">
      <c r="A1206" s="105">
        <v>96031</v>
      </c>
      <c r="B1206" s="104" t="s">
        <v>1505</v>
      </c>
      <c r="C1206" s="104" t="s">
        <v>16</v>
      </c>
      <c r="D1206" s="129" t="s">
        <v>15796</v>
      </c>
    </row>
    <row r="1207" spans="1:4">
      <c r="A1207" s="105">
        <v>96032</v>
      </c>
      <c r="B1207" s="104" t="s">
        <v>1506</v>
      </c>
      <c r="C1207" s="104" t="s">
        <v>16</v>
      </c>
      <c r="D1207" s="129" t="s">
        <v>15797</v>
      </c>
    </row>
    <row r="1208" spans="1:4">
      <c r="A1208" s="105">
        <v>96033</v>
      </c>
      <c r="B1208" s="104" t="s">
        <v>1507</v>
      </c>
      <c r="C1208" s="104" t="s">
        <v>16</v>
      </c>
      <c r="D1208" s="129" t="s">
        <v>15798</v>
      </c>
    </row>
    <row r="1209" spans="1:4">
      <c r="A1209" s="105">
        <v>96034</v>
      </c>
      <c r="B1209" s="104" t="s">
        <v>1508</v>
      </c>
      <c r="C1209" s="104" t="s">
        <v>16</v>
      </c>
      <c r="D1209" s="129" t="s">
        <v>15799</v>
      </c>
    </row>
    <row r="1210" spans="1:4">
      <c r="A1210" s="105">
        <v>96053</v>
      </c>
      <c r="B1210" s="104" t="s">
        <v>1509</v>
      </c>
      <c r="C1210" s="104" t="s">
        <v>16</v>
      </c>
      <c r="D1210" s="129" t="s">
        <v>15800</v>
      </c>
    </row>
    <row r="1211" spans="1:4">
      <c r="A1211" s="105">
        <v>96054</v>
      </c>
      <c r="B1211" s="104" t="s">
        <v>1510</v>
      </c>
      <c r="C1211" s="104" t="s">
        <v>16</v>
      </c>
      <c r="D1211" s="129" t="s">
        <v>15801</v>
      </c>
    </row>
    <row r="1212" spans="1:4">
      <c r="A1212" s="105">
        <v>96055</v>
      </c>
      <c r="B1212" s="104" t="s">
        <v>1511</v>
      </c>
      <c r="C1212" s="104" t="s">
        <v>16</v>
      </c>
      <c r="D1212" s="129" t="s">
        <v>15802</v>
      </c>
    </row>
    <row r="1213" spans="1:4">
      <c r="A1213" s="105">
        <v>96056</v>
      </c>
      <c r="B1213" s="104" t="s">
        <v>1512</v>
      </c>
      <c r="C1213" s="104" t="s">
        <v>16</v>
      </c>
      <c r="D1213" s="129" t="s">
        <v>15803</v>
      </c>
    </row>
    <row r="1214" spans="1:4">
      <c r="A1214" s="105">
        <v>96057</v>
      </c>
      <c r="B1214" s="104" t="s">
        <v>1513</v>
      </c>
      <c r="C1214" s="104" t="s">
        <v>16</v>
      </c>
      <c r="D1214" s="129" t="s">
        <v>15398</v>
      </c>
    </row>
    <row r="1215" spans="1:4">
      <c r="A1215" s="105">
        <v>96060</v>
      </c>
      <c r="B1215" s="104" t="s">
        <v>1514</v>
      </c>
      <c r="C1215" s="104" t="s">
        <v>16</v>
      </c>
      <c r="D1215" s="129" t="s">
        <v>15804</v>
      </c>
    </row>
    <row r="1216" spans="1:4">
      <c r="A1216" s="105">
        <v>96061</v>
      </c>
      <c r="B1216" s="104" t="s">
        <v>1515</v>
      </c>
      <c r="C1216" s="104" t="s">
        <v>16</v>
      </c>
      <c r="D1216" s="129" t="s">
        <v>15805</v>
      </c>
    </row>
    <row r="1217" spans="1:4">
      <c r="A1217" s="105">
        <v>96062</v>
      </c>
      <c r="B1217" s="104" t="s">
        <v>1516</v>
      </c>
      <c r="C1217" s="104" t="s">
        <v>16</v>
      </c>
      <c r="D1217" s="129" t="s">
        <v>15627</v>
      </c>
    </row>
    <row r="1218" spans="1:4">
      <c r="A1218" s="105">
        <v>96241</v>
      </c>
      <c r="B1218" s="104" t="s">
        <v>1517</v>
      </c>
      <c r="C1218" s="104" t="s">
        <v>16</v>
      </c>
      <c r="D1218" s="129" t="s">
        <v>15806</v>
      </c>
    </row>
    <row r="1219" spans="1:4">
      <c r="A1219" s="105">
        <v>96242</v>
      </c>
      <c r="B1219" s="104" t="s">
        <v>1518</v>
      </c>
      <c r="C1219" s="104" t="s">
        <v>16</v>
      </c>
      <c r="D1219" s="129" t="s">
        <v>15807</v>
      </c>
    </row>
    <row r="1220" spans="1:4">
      <c r="A1220" s="105">
        <v>96243</v>
      </c>
      <c r="B1220" s="104" t="s">
        <v>1519</v>
      </c>
      <c r="C1220" s="104" t="s">
        <v>16</v>
      </c>
      <c r="D1220" s="129" t="s">
        <v>15808</v>
      </c>
    </row>
    <row r="1221" spans="1:4">
      <c r="A1221" s="105">
        <v>96244</v>
      </c>
      <c r="B1221" s="104" t="s">
        <v>1520</v>
      </c>
      <c r="C1221" s="104" t="s">
        <v>16</v>
      </c>
      <c r="D1221" s="129" t="s">
        <v>15809</v>
      </c>
    </row>
    <row r="1222" spans="1:4">
      <c r="A1222" s="105">
        <v>96301</v>
      </c>
      <c r="B1222" s="104" t="s">
        <v>1521</v>
      </c>
      <c r="C1222" s="104" t="s">
        <v>16</v>
      </c>
      <c r="D1222" s="129" t="s">
        <v>15692</v>
      </c>
    </row>
    <row r="1223" spans="1:4">
      <c r="A1223" s="105">
        <v>96457</v>
      </c>
      <c r="B1223" s="104" t="s">
        <v>1522</v>
      </c>
      <c r="C1223" s="104" t="s">
        <v>16</v>
      </c>
      <c r="D1223" s="129" t="s">
        <v>15497</v>
      </c>
    </row>
    <row r="1224" spans="1:4">
      <c r="A1224" s="105">
        <v>96458</v>
      </c>
      <c r="B1224" s="104" t="s">
        <v>1523</v>
      </c>
      <c r="C1224" s="104" t="s">
        <v>16</v>
      </c>
      <c r="D1224" s="129" t="s">
        <v>15729</v>
      </c>
    </row>
    <row r="1225" spans="1:4">
      <c r="A1225" s="105">
        <v>96459</v>
      </c>
      <c r="B1225" s="104" t="s">
        <v>1524</v>
      </c>
      <c r="C1225" s="104" t="s">
        <v>16</v>
      </c>
      <c r="D1225" s="129" t="s">
        <v>15810</v>
      </c>
    </row>
    <row r="1226" spans="1:4">
      <c r="A1226" s="105">
        <v>96460</v>
      </c>
      <c r="B1226" s="104" t="s">
        <v>1525</v>
      </c>
      <c r="C1226" s="104" t="s">
        <v>16</v>
      </c>
      <c r="D1226" s="129" t="s">
        <v>15811</v>
      </c>
    </row>
    <row r="1227" spans="1:4">
      <c r="A1227" s="105">
        <v>98760</v>
      </c>
      <c r="B1227" s="104" t="s">
        <v>1526</v>
      </c>
      <c r="C1227" s="104" t="s">
        <v>16</v>
      </c>
      <c r="D1227" s="129" t="s">
        <v>15473</v>
      </c>
    </row>
    <row r="1228" spans="1:4">
      <c r="A1228" s="105">
        <v>98761</v>
      </c>
      <c r="B1228" s="104" t="s">
        <v>1527</v>
      </c>
      <c r="C1228" s="104" t="s">
        <v>16</v>
      </c>
      <c r="D1228" s="129" t="s">
        <v>15684</v>
      </c>
    </row>
    <row r="1229" spans="1:4">
      <c r="A1229" s="105">
        <v>98762</v>
      </c>
      <c r="B1229" s="104" t="s">
        <v>1528</v>
      </c>
      <c r="C1229" s="104" t="s">
        <v>16</v>
      </c>
      <c r="D1229" s="129" t="s">
        <v>15334</v>
      </c>
    </row>
    <row r="1230" spans="1:4">
      <c r="A1230" s="105">
        <v>98763</v>
      </c>
      <c r="B1230" s="104" t="s">
        <v>1529</v>
      </c>
      <c r="C1230" s="104" t="s">
        <v>16</v>
      </c>
      <c r="D1230" s="129" t="s">
        <v>15812</v>
      </c>
    </row>
    <row r="1231" spans="1:4">
      <c r="A1231" s="105">
        <v>99829</v>
      </c>
      <c r="B1231" s="104" t="s">
        <v>1530</v>
      </c>
      <c r="C1231" s="104" t="s">
        <v>16</v>
      </c>
      <c r="D1231" s="129" t="s">
        <v>15725</v>
      </c>
    </row>
    <row r="1232" spans="1:4">
      <c r="A1232" s="105">
        <v>99830</v>
      </c>
      <c r="B1232" s="104" t="s">
        <v>1531</v>
      </c>
      <c r="C1232" s="104" t="s">
        <v>16</v>
      </c>
      <c r="D1232" s="129" t="s">
        <v>15426</v>
      </c>
    </row>
    <row r="1233" spans="1:4">
      <c r="A1233" s="105">
        <v>99831</v>
      </c>
      <c r="B1233" s="104" t="s">
        <v>1532</v>
      </c>
      <c r="C1233" s="104" t="s">
        <v>16</v>
      </c>
      <c r="D1233" s="129" t="s">
        <v>15338</v>
      </c>
    </row>
    <row r="1234" spans="1:4">
      <c r="A1234" s="105">
        <v>99832</v>
      </c>
      <c r="B1234" s="104" t="s">
        <v>1533</v>
      </c>
      <c r="C1234" s="104" t="s">
        <v>16</v>
      </c>
      <c r="D1234" s="129" t="s">
        <v>15813</v>
      </c>
    </row>
    <row r="1235" spans="1:4">
      <c r="A1235" s="105">
        <v>100637</v>
      </c>
      <c r="B1235" s="104" t="s">
        <v>1534</v>
      </c>
      <c r="C1235" s="104" t="s">
        <v>16</v>
      </c>
      <c r="D1235" s="129" t="s">
        <v>15814</v>
      </c>
    </row>
    <row r="1236" spans="1:4">
      <c r="A1236" s="105">
        <v>100638</v>
      </c>
      <c r="B1236" s="104" t="s">
        <v>1535</v>
      </c>
      <c r="C1236" s="104" t="s">
        <v>16</v>
      </c>
      <c r="D1236" s="129" t="s">
        <v>15815</v>
      </c>
    </row>
    <row r="1237" spans="1:4">
      <c r="A1237" s="105">
        <v>100639</v>
      </c>
      <c r="B1237" s="104" t="s">
        <v>1536</v>
      </c>
      <c r="C1237" s="104" t="s">
        <v>16</v>
      </c>
      <c r="D1237" s="129" t="s">
        <v>15816</v>
      </c>
    </row>
    <row r="1238" spans="1:4">
      <c r="A1238" s="105">
        <v>100640</v>
      </c>
      <c r="B1238" s="104" t="s">
        <v>1537</v>
      </c>
      <c r="C1238" s="104" t="s">
        <v>16</v>
      </c>
      <c r="D1238" s="129" t="s">
        <v>15817</v>
      </c>
    </row>
    <row r="1239" spans="1:4">
      <c r="A1239" s="105">
        <v>100643</v>
      </c>
      <c r="B1239" s="104" t="s">
        <v>1538</v>
      </c>
      <c r="C1239" s="104" t="s">
        <v>16</v>
      </c>
      <c r="D1239" s="129" t="s">
        <v>15818</v>
      </c>
    </row>
    <row r="1240" spans="1:4">
      <c r="A1240" s="105">
        <v>100644</v>
      </c>
      <c r="B1240" s="104" t="s">
        <v>1539</v>
      </c>
      <c r="C1240" s="104" t="s">
        <v>16</v>
      </c>
      <c r="D1240" s="129" t="s">
        <v>15819</v>
      </c>
    </row>
    <row r="1241" spans="1:4">
      <c r="A1241" s="105">
        <v>100645</v>
      </c>
      <c r="B1241" s="104" t="s">
        <v>1540</v>
      </c>
      <c r="C1241" s="104" t="s">
        <v>16</v>
      </c>
      <c r="D1241" s="129" t="s">
        <v>15820</v>
      </c>
    </row>
    <row r="1242" spans="1:4">
      <c r="A1242" s="105">
        <v>100646</v>
      </c>
      <c r="B1242" s="104" t="s">
        <v>1541</v>
      </c>
      <c r="C1242" s="104" t="s">
        <v>16</v>
      </c>
      <c r="D1242" s="129" t="s">
        <v>15821</v>
      </c>
    </row>
    <row r="1243" spans="1:4">
      <c r="A1243" s="105">
        <v>102270</v>
      </c>
      <c r="B1243" s="104" t="s">
        <v>1542</v>
      </c>
      <c r="C1243" s="104" t="s">
        <v>16</v>
      </c>
      <c r="D1243" s="129" t="s">
        <v>15603</v>
      </c>
    </row>
    <row r="1244" spans="1:4">
      <c r="A1244" s="105">
        <v>102271</v>
      </c>
      <c r="B1244" s="104" t="s">
        <v>1543</v>
      </c>
      <c r="C1244" s="104" t="s">
        <v>16</v>
      </c>
      <c r="D1244" s="129" t="s">
        <v>15685</v>
      </c>
    </row>
    <row r="1245" spans="1:4">
      <c r="A1245" s="105">
        <v>102272</v>
      </c>
      <c r="B1245" s="104" t="s">
        <v>1544</v>
      </c>
      <c r="C1245" s="104" t="s">
        <v>16</v>
      </c>
      <c r="D1245" s="129" t="s">
        <v>15731</v>
      </c>
    </row>
    <row r="1246" spans="1:4">
      <c r="A1246" s="105">
        <v>102273</v>
      </c>
      <c r="B1246" s="104" t="s">
        <v>1545</v>
      </c>
      <c r="C1246" s="104" t="s">
        <v>16</v>
      </c>
      <c r="D1246" s="129" t="s">
        <v>15822</v>
      </c>
    </row>
    <row r="1247" spans="1:4">
      <c r="A1247" s="105">
        <v>102809</v>
      </c>
      <c r="B1247" s="104" t="s">
        <v>13663</v>
      </c>
      <c r="C1247" s="104" t="s">
        <v>16</v>
      </c>
      <c r="D1247" s="129" t="s">
        <v>15823</v>
      </c>
    </row>
    <row r="1248" spans="1:4">
      <c r="A1248" s="105">
        <v>102815</v>
      </c>
      <c r="B1248" s="104" t="s">
        <v>13664</v>
      </c>
      <c r="C1248" s="104" t="s">
        <v>16</v>
      </c>
      <c r="D1248" s="129" t="s">
        <v>14814</v>
      </c>
    </row>
    <row r="1249" spans="1:4">
      <c r="A1249" s="105">
        <v>102826</v>
      </c>
      <c r="B1249" s="104" t="s">
        <v>13665</v>
      </c>
      <c r="C1249" s="104" t="s">
        <v>16</v>
      </c>
      <c r="D1249" s="129" t="s">
        <v>15495</v>
      </c>
    </row>
    <row r="1250" spans="1:4">
      <c r="A1250" s="105">
        <v>102832</v>
      </c>
      <c r="B1250" s="104" t="s">
        <v>13666</v>
      </c>
      <c r="C1250" s="104" t="s">
        <v>16</v>
      </c>
      <c r="D1250" s="129" t="s">
        <v>15824</v>
      </c>
    </row>
    <row r="1251" spans="1:4">
      <c r="A1251" s="105">
        <v>102843</v>
      </c>
      <c r="B1251" s="104" t="s">
        <v>13667</v>
      </c>
      <c r="C1251" s="104" t="s">
        <v>16</v>
      </c>
      <c r="D1251" s="129" t="s">
        <v>15825</v>
      </c>
    </row>
    <row r="1252" spans="1:4">
      <c r="A1252" s="105">
        <v>102849</v>
      </c>
      <c r="B1252" s="104" t="s">
        <v>13668</v>
      </c>
      <c r="C1252" s="104" t="s">
        <v>16</v>
      </c>
      <c r="D1252" s="129" t="s">
        <v>15826</v>
      </c>
    </row>
    <row r="1253" spans="1:4">
      <c r="A1253" s="105">
        <v>102855</v>
      </c>
      <c r="B1253" s="104" t="s">
        <v>13669</v>
      </c>
      <c r="C1253" s="104" t="s">
        <v>16</v>
      </c>
      <c r="D1253" s="129" t="s">
        <v>15826</v>
      </c>
    </row>
    <row r="1254" spans="1:4">
      <c r="A1254" s="105">
        <v>102861</v>
      </c>
      <c r="B1254" s="104" t="s">
        <v>13670</v>
      </c>
      <c r="C1254" s="104" t="s">
        <v>16</v>
      </c>
      <c r="D1254" s="129" t="s">
        <v>15493</v>
      </c>
    </row>
    <row r="1255" spans="1:4">
      <c r="A1255" s="105">
        <v>102867</v>
      </c>
      <c r="B1255" s="104" t="s">
        <v>13671</v>
      </c>
      <c r="C1255" s="104" t="s">
        <v>16</v>
      </c>
      <c r="D1255" s="129" t="s">
        <v>15827</v>
      </c>
    </row>
    <row r="1256" spans="1:4">
      <c r="A1256" s="105">
        <v>102873</v>
      </c>
      <c r="B1256" s="104" t="s">
        <v>13672</v>
      </c>
      <c r="C1256" s="104" t="s">
        <v>16</v>
      </c>
      <c r="D1256" s="129" t="s">
        <v>15616</v>
      </c>
    </row>
    <row r="1257" spans="1:4">
      <c r="A1257" s="105">
        <v>102879</v>
      </c>
      <c r="B1257" s="104" t="s">
        <v>13673</v>
      </c>
      <c r="C1257" s="104" t="s">
        <v>16</v>
      </c>
      <c r="D1257" s="129" t="s">
        <v>15828</v>
      </c>
    </row>
    <row r="1258" spans="1:4">
      <c r="A1258" s="105">
        <v>102885</v>
      </c>
      <c r="B1258" s="104" t="s">
        <v>13674</v>
      </c>
      <c r="C1258" s="104" t="s">
        <v>16</v>
      </c>
      <c r="D1258" s="129" t="s">
        <v>15829</v>
      </c>
    </row>
    <row r="1259" spans="1:4">
      <c r="A1259" s="105">
        <v>102891</v>
      </c>
      <c r="B1259" s="104" t="s">
        <v>13675</v>
      </c>
      <c r="C1259" s="104" t="s">
        <v>16</v>
      </c>
      <c r="D1259" s="129" t="s">
        <v>15829</v>
      </c>
    </row>
    <row r="1260" spans="1:4">
      <c r="A1260" s="105">
        <v>102897</v>
      </c>
      <c r="B1260" s="104" t="s">
        <v>13676</v>
      </c>
      <c r="C1260" s="104" t="s">
        <v>16</v>
      </c>
      <c r="D1260" s="129" t="s">
        <v>15513</v>
      </c>
    </row>
    <row r="1261" spans="1:4">
      <c r="A1261" s="105">
        <v>102903</v>
      </c>
      <c r="B1261" s="104" t="s">
        <v>13677</v>
      </c>
      <c r="C1261" s="104" t="s">
        <v>16</v>
      </c>
      <c r="D1261" s="129" t="s">
        <v>15830</v>
      </c>
    </row>
    <row r="1262" spans="1:4">
      <c r="A1262" s="105">
        <v>102909</v>
      </c>
      <c r="B1262" s="104" t="s">
        <v>13678</v>
      </c>
      <c r="C1262" s="104" t="s">
        <v>16</v>
      </c>
      <c r="D1262" s="129" t="s">
        <v>15831</v>
      </c>
    </row>
    <row r="1263" spans="1:4">
      <c r="A1263" s="105">
        <v>102915</v>
      </c>
      <c r="B1263" s="104" t="s">
        <v>13679</v>
      </c>
      <c r="C1263" s="104" t="s">
        <v>16</v>
      </c>
      <c r="D1263" s="129" t="s">
        <v>15359</v>
      </c>
    </row>
    <row r="1264" spans="1:4">
      <c r="A1264" s="105">
        <v>102927</v>
      </c>
      <c r="B1264" s="104" t="s">
        <v>13680</v>
      </c>
      <c r="C1264" s="104" t="s">
        <v>16</v>
      </c>
      <c r="D1264" s="129" t="s">
        <v>15479</v>
      </c>
    </row>
    <row r="1265" spans="1:4">
      <c r="A1265" s="105">
        <v>102933</v>
      </c>
      <c r="B1265" s="104" t="s">
        <v>13681</v>
      </c>
      <c r="C1265" s="104" t="s">
        <v>16</v>
      </c>
      <c r="D1265" s="129" t="s">
        <v>15479</v>
      </c>
    </row>
    <row r="1266" spans="1:4">
      <c r="A1266" s="105">
        <v>102939</v>
      </c>
      <c r="B1266" s="104" t="s">
        <v>13682</v>
      </c>
      <c r="C1266" s="104" t="s">
        <v>16</v>
      </c>
      <c r="D1266" s="129" t="s">
        <v>15720</v>
      </c>
    </row>
    <row r="1267" spans="1:4">
      <c r="A1267" s="105">
        <v>102945</v>
      </c>
      <c r="B1267" s="104" t="s">
        <v>13683</v>
      </c>
      <c r="C1267" s="104" t="s">
        <v>16</v>
      </c>
      <c r="D1267" s="129" t="s">
        <v>15684</v>
      </c>
    </row>
    <row r="1268" spans="1:4">
      <c r="A1268" s="105">
        <v>102951</v>
      </c>
      <c r="B1268" s="104" t="s">
        <v>13684</v>
      </c>
      <c r="C1268" s="104" t="s">
        <v>16</v>
      </c>
      <c r="D1268" s="129" t="s">
        <v>15359</v>
      </c>
    </row>
    <row r="1269" spans="1:4">
      <c r="A1269" s="105">
        <v>102957</v>
      </c>
      <c r="B1269" s="104" t="s">
        <v>13685</v>
      </c>
      <c r="C1269" s="104" t="s">
        <v>16</v>
      </c>
      <c r="D1269" s="129" t="s">
        <v>15438</v>
      </c>
    </row>
    <row r="1270" spans="1:4">
      <c r="A1270" s="105">
        <v>102963</v>
      </c>
      <c r="B1270" s="104" t="s">
        <v>13686</v>
      </c>
      <c r="C1270" s="104" t="s">
        <v>16</v>
      </c>
      <c r="D1270" s="129" t="s">
        <v>15565</v>
      </c>
    </row>
    <row r="1271" spans="1:4">
      <c r="A1271" s="105">
        <v>102969</v>
      </c>
      <c r="B1271" s="104" t="s">
        <v>13687</v>
      </c>
      <c r="C1271" s="104" t="s">
        <v>16</v>
      </c>
      <c r="D1271" s="129" t="s">
        <v>15832</v>
      </c>
    </row>
    <row r="1272" spans="1:4">
      <c r="A1272" s="105">
        <v>102985</v>
      </c>
      <c r="B1272" s="104" t="s">
        <v>13688</v>
      </c>
      <c r="C1272" s="104" t="s">
        <v>16</v>
      </c>
      <c r="D1272" s="129" t="s">
        <v>15833</v>
      </c>
    </row>
    <row r="1273" spans="1:4">
      <c r="A1273" s="105">
        <v>103156</v>
      </c>
      <c r="B1273" s="104" t="s">
        <v>13689</v>
      </c>
      <c r="C1273" s="104" t="s">
        <v>16</v>
      </c>
      <c r="D1273" s="129" t="s">
        <v>15570</v>
      </c>
    </row>
    <row r="1274" spans="1:4">
      <c r="A1274" s="105">
        <v>103162</v>
      </c>
      <c r="B1274" s="104" t="s">
        <v>13690</v>
      </c>
      <c r="C1274" s="104" t="s">
        <v>16</v>
      </c>
      <c r="D1274" s="129" t="s">
        <v>15834</v>
      </c>
    </row>
    <row r="1275" spans="1:4">
      <c r="A1275" s="105">
        <v>103168</v>
      </c>
      <c r="B1275" s="104" t="s">
        <v>13691</v>
      </c>
      <c r="C1275" s="104" t="s">
        <v>16</v>
      </c>
      <c r="D1275" s="129" t="s">
        <v>14814</v>
      </c>
    </row>
    <row r="1276" spans="1:4">
      <c r="A1276" s="105">
        <v>103174</v>
      </c>
      <c r="B1276" s="104" t="s">
        <v>13692</v>
      </c>
      <c r="C1276" s="104" t="s">
        <v>16</v>
      </c>
      <c r="D1276" s="129" t="s">
        <v>15824</v>
      </c>
    </row>
    <row r="1277" spans="1:4">
      <c r="A1277" s="105">
        <v>103180</v>
      </c>
      <c r="B1277" s="104" t="s">
        <v>13693</v>
      </c>
      <c r="C1277" s="104" t="s">
        <v>16</v>
      </c>
      <c r="D1277" s="129" t="s">
        <v>15835</v>
      </c>
    </row>
    <row r="1278" spans="1:4">
      <c r="A1278" s="105">
        <v>103223</v>
      </c>
      <c r="B1278" s="104" t="s">
        <v>13694</v>
      </c>
      <c r="C1278" s="104" t="s">
        <v>16</v>
      </c>
      <c r="D1278" s="129" t="s">
        <v>15836</v>
      </c>
    </row>
    <row r="1279" spans="1:4">
      <c r="A1279" s="105">
        <v>103229</v>
      </c>
      <c r="B1279" s="104" t="s">
        <v>13695</v>
      </c>
      <c r="C1279" s="104" t="s">
        <v>16</v>
      </c>
      <c r="D1279" s="129" t="s">
        <v>15837</v>
      </c>
    </row>
    <row r="1280" spans="1:4">
      <c r="A1280" s="105">
        <v>103235</v>
      </c>
      <c r="B1280" s="104" t="s">
        <v>13696</v>
      </c>
      <c r="C1280" s="104" t="s">
        <v>16</v>
      </c>
      <c r="D1280" s="129" t="s">
        <v>15838</v>
      </c>
    </row>
    <row r="1281" spans="1:4">
      <c r="A1281" s="105">
        <v>103241</v>
      </c>
      <c r="B1281" s="104" t="s">
        <v>13697</v>
      </c>
      <c r="C1281" s="104" t="s">
        <v>16</v>
      </c>
      <c r="D1281" s="129" t="s">
        <v>15839</v>
      </c>
    </row>
    <row r="1282" spans="1:4">
      <c r="A1282" s="105">
        <v>103660</v>
      </c>
      <c r="B1282" s="104" t="s">
        <v>15840</v>
      </c>
      <c r="C1282" s="104" t="s">
        <v>16</v>
      </c>
      <c r="D1282" s="129" t="s">
        <v>15447</v>
      </c>
    </row>
    <row r="1283" spans="1:4">
      <c r="A1283" s="105">
        <v>103666</v>
      </c>
      <c r="B1283" s="104" t="s">
        <v>15841</v>
      </c>
      <c r="C1283" s="104" t="s">
        <v>16</v>
      </c>
      <c r="D1283" s="129" t="s">
        <v>15541</v>
      </c>
    </row>
    <row r="1284" spans="1:4">
      <c r="A1284" s="105">
        <v>92259</v>
      </c>
      <c r="B1284" s="104" t="s">
        <v>1546</v>
      </c>
      <c r="C1284" s="104" t="s">
        <v>183</v>
      </c>
      <c r="D1284" s="129" t="s">
        <v>20928</v>
      </c>
    </row>
    <row r="1285" spans="1:4">
      <c r="A1285" s="105">
        <v>92260</v>
      </c>
      <c r="B1285" s="104" t="s">
        <v>1547</v>
      </c>
      <c r="C1285" s="104" t="s">
        <v>183</v>
      </c>
      <c r="D1285" s="129" t="s">
        <v>20929</v>
      </c>
    </row>
    <row r="1286" spans="1:4">
      <c r="A1286" s="105">
        <v>92261</v>
      </c>
      <c r="B1286" s="104" t="s">
        <v>1548</v>
      </c>
      <c r="C1286" s="104" t="s">
        <v>183</v>
      </c>
      <c r="D1286" s="129" t="s">
        <v>20930</v>
      </c>
    </row>
    <row r="1287" spans="1:4">
      <c r="A1287" s="105">
        <v>92262</v>
      </c>
      <c r="B1287" s="104" t="s">
        <v>1549</v>
      </c>
      <c r="C1287" s="104" t="s">
        <v>183</v>
      </c>
      <c r="D1287" s="129" t="s">
        <v>20931</v>
      </c>
    </row>
    <row r="1288" spans="1:4">
      <c r="A1288" s="105">
        <v>92539</v>
      </c>
      <c r="B1288" s="104" t="s">
        <v>1550</v>
      </c>
      <c r="C1288" s="104" t="s">
        <v>12</v>
      </c>
      <c r="D1288" s="129" t="s">
        <v>20209</v>
      </c>
    </row>
    <row r="1289" spans="1:4">
      <c r="A1289" s="105">
        <v>92540</v>
      </c>
      <c r="B1289" s="104" t="s">
        <v>1551</v>
      </c>
      <c r="C1289" s="104" t="s">
        <v>12</v>
      </c>
      <c r="D1289" s="129" t="s">
        <v>20932</v>
      </c>
    </row>
    <row r="1290" spans="1:4">
      <c r="A1290" s="105">
        <v>92541</v>
      </c>
      <c r="B1290" s="104" t="s">
        <v>1552</v>
      </c>
      <c r="C1290" s="104" t="s">
        <v>12</v>
      </c>
      <c r="D1290" s="129" t="s">
        <v>20933</v>
      </c>
    </row>
    <row r="1291" spans="1:4">
      <c r="A1291" s="105">
        <v>92542</v>
      </c>
      <c r="B1291" s="104" t="s">
        <v>1553</v>
      </c>
      <c r="C1291" s="104" t="s">
        <v>12</v>
      </c>
      <c r="D1291" s="129" t="s">
        <v>20934</v>
      </c>
    </row>
    <row r="1292" spans="1:4">
      <c r="A1292" s="105">
        <v>92543</v>
      </c>
      <c r="B1292" s="104" t="s">
        <v>1554</v>
      </c>
      <c r="C1292" s="104" t="s">
        <v>12</v>
      </c>
      <c r="D1292" s="129" t="s">
        <v>16891</v>
      </c>
    </row>
    <row r="1293" spans="1:4">
      <c r="A1293" s="105">
        <v>92544</v>
      </c>
      <c r="B1293" s="104" t="s">
        <v>1555</v>
      </c>
      <c r="C1293" s="104" t="s">
        <v>12</v>
      </c>
      <c r="D1293" s="129" t="s">
        <v>17823</v>
      </c>
    </row>
    <row r="1294" spans="1:4">
      <c r="A1294" s="105">
        <v>92545</v>
      </c>
      <c r="B1294" s="104" t="s">
        <v>1556</v>
      </c>
      <c r="C1294" s="104" t="s">
        <v>183</v>
      </c>
      <c r="D1294" s="129" t="s">
        <v>20935</v>
      </c>
    </row>
    <row r="1295" spans="1:4">
      <c r="A1295" s="105">
        <v>92546</v>
      </c>
      <c r="B1295" s="104" t="s">
        <v>1557</v>
      </c>
      <c r="C1295" s="104" t="s">
        <v>183</v>
      </c>
      <c r="D1295" s="129" t="s">
        <v>20936</v>
      </c>
    </row>
    <row r="1296" spans="1:4">
      <c r="A1296" s="105">
        <v>92547</v>
      </c>
      <c r="B1296" s="104" t="s">
        <v>1558</v>
      </c>
      <c r="C1296" s="104" t="s">
        <v>183</v>
      </c>
      <c r="D1296" s="129" t="s">
        <v>20937</v>
      </c>
    </row>
    <row r="1297" spans="1:4">
      <c r="A1297" s="105">
        <v>92548</v>
      </c>
      <c r="B1297" s="104" t="s">
        <v>1559</v>
      </c>
      <c r="C1297" s="104" t="s">
        <v>183</v>
      </c>
      <c r="D1297" s="129" t="s">
        <v>20938</v>
      </c>
    </row>
    <row r="1298" spans="1:4">
      <c r="A1298" s="105">
        <v>92549</v>
      </c>
      <c r="B1298" s="104" t="s">
        <v>1560</v>
      </c>
      <c r="C1298" s="104" t="s">
        <v>183</v>
      </c>
      <c r="D1298" s="129" t="s">
        <v>20939</v>
      </c>
    </row>
    <row r="1299" spans="1:4">
      <c r="A1299" s="105">
        <v>92550</v>
      </c>
      <c r="B1299" s="104" t="s">
        <v>1561</v>
      </c>
      <c r="C1299" s="104" t="s">
        <v>183</v>
      </c>
      <c r="D1299" s="129" t="s">
        <v>20940</v>
      </c>
    </row>
    <row r="1300" spans="1:4">
      <c r="A1300" s="105">
        <v>92551</v>
      </c>
      <c r="B1300" s="104" t="s">
        <v>1562</v>
      </c>
      <c r="C1300" s="104" t="s">
        <v>183</v>
      </c>
      <c r="D1300" s="129" t="s">
        <v>20941</v>
      </c>
    </row>
    <row r="1301" spans="1:4">
      <c r="A1301" s="105">
        <v>92552</v>
      </c>
      <c r="B1301" s="104" t="s">
        <v>1563</v>
      </c>
      <c r="C1301" s="104" t="s">
        <v>183</v>
      </c>
      <c r="D1301" s="129" t="s">
        <v>20942</v>
      </c>
    </row>
    <row r="1302" spans="1:4">
      <c r="A1302" s="105">
        <v>92553</v>
      </c>
      <c r="B1302" s="104" t="s">
        <v>1564</v>
      </c>
      <c r="C1302" s="104" t="s">
        <v>183</v>
      </c>
      <c r="D1302" s="129" t="s">
        <v>20943</v>
      </c>
    </row>
    <row r="1303" spans="1:4">
      <c r="A1303" s="105">
        <v>92554</v>
      </c>
      <c r="B1303" s="104" t="s">
        <v>1565</v>
      </c>
      <c r="C1303" s="104" t="s">
        <v>183</v>
      </c>
      <c r="D1303" s="129" t="s">
        <v>20944</v>
      </c>
    </row>
    <row r="1304" spans="1:4">
      <c r="A1304" s="105">
        <v>92555</v>
      </c>
      <c r="B1304" s="104" t="s">
        <v>1566</v>
      </c>
      <c r="C1304" s="104" t="s">
        <v>183</v>
      </c>
      <c r="D1304" s="129" t="s">
        <v>20945</v>
      </c>
    </row>
    <row r="1305" spans="1:4">
      <c r="A1305" s="105">
        <v>92556</v>
      </c>
      <c r="B1305" s="104" t="s">
        <v>1567</v>
      </c>
      <c r="C1305" s="104" t="s">
        <v>183</v>
      </c>
      <c r="D1305" s="129" t="s">
        <v>20946</v>
      </c>
    </row>
    <row r="1306" spans="1:4">
      <c r="A1306" s="105">
        <v>92557</v>
      </c>
      <c r="B1306" s="104" t="s">
        <v>1568</v>
      </c>
      <c r="C1306" s="104" t="s">
        <v>183</v>
      </c>
      <c r="D1306" s="129" t="s">
        <v>20947</v>
      </c>
    </row>
    <row r="1307" spans="1:4">
      <c r="A1307" s="105">
        <v>92558</v>
      </c>
      <c r="B1307" s="104" t="s">
        <v>1569</v>
      </c>
      <c r="C1307" s="104" t="s">
        <v>183</v>
      </c>
      <c r="D1307" s="129" t="s">
        <v>20948</v>
      </c>
    </row>
    <row r="1308" spans="1:4">
      <c r="A1308" s="105">
        <v>92559</v>
      </c>
      <c r="B1308" s="104" t="s">
        <v>1570</v>
      </c>
      <c r="C1308" s="104" t="s">
        <v>183</v>
      </c>
      <c r="D1308" s="129" t="s">
        <v>20949</v>
      </c>
    </row>
    <row r="1309" spans="1:4">
      <c r="A1309" s="105">
        <v>92560</v>
      </c>
      <c r="B1309" s="104" t="s">
        <v>1571</v>
      </c>
      <c r="C1309" s="104" t="s">
        <v>183</v>
      </c>
      <c r="D1309" s="129" t="s">
        <v>20950</v>
      </c>
    </row>
    <row r="1310" spans="1:4">
      <c r="A1310" s="105">
        <v>92561</v>
      </c>
      <c r="B1310" s="104" t="s">
        <v>1572</v>
      </c>
      <c r="C1310" s="104" t="s">
        <v>183</v>
      </c>
      <c r="D1310" s="129" t="s">
        <v>20951</v>
      </c>
    </row>
    <row r="1311" spans="1:4">
      <c r="A1311" s="105">
        <v>92562</v>
      </c>
      <c r="B1311" s="104" t="s">
        <v>1573</v>
      </c>
      <c r="C1311" s="104" t="s">
        <v>183</v>
      </c>
      <c r="D1311" s="129" t="s">
        <v>20952</v>
      </c>
    </row>
    <row r="1312" spans="1:4">
      <c r="A1312" s="105">
        <v>92563</v>
      </c>
      <c r="B1312" s="104" t="s">
        <v>1574</v>
      </c>
      <c r="C1312" s="104" t="s">
        <v>183</v>
      </c>
      <c r="D1312" s="129" t="s">
        <v>20953</v>
      </c>
    </row>
    <row r="1313" spans="1:4">
      <c r="A1313" s="105">
        <v>92564</v>
      </c>
      <c r="B1313" s="104" t="s">
        <v>1575</v>
      </c>
      <c r="C1313" s="104" t="s">
        <v>183</v>
      </c>
      <c r="D1313" s="129" t="s">
        <v>20954</v>
      </c>
    </row>
    <row r="1314" spans="1:4">
      <c r="A1314" s="105">
        <v>92565</v>
      </c>
      <c r="B1314" s="104" t="s">
        <v>1576</v>
      </c>
      <c r="C1314" s="104" t="s">
        <v>12</v>
      </c>
      <c r="D1314" s="129" t="s">
        <v>20955</v>
      </c>
    </row>
    <row r="1315" spans="1:4">
      <c r="A1315" s="105">
        <v>92566</v>
      </c>
      <c r="B1315" s="104" t="s">
        <v>1577</v>
      </c>
      <c r="C1315" s="104" t="s">
        <v>12</v>
      </c>
      <c r="D1315" s="129" t="s">
        <v>20956</v>
      </c>
    </row>
    <row r="1316" spans="1:4">
      <c r="A1316" s="105">
        <v>92567</v>
      </c>
      <c r="B1316" s="104" t="s">
        <v>1578</v>
      </c>
      <c r="C1316" s="104" t="s">
        <v>12</v>
      </c>
      <c r="D1316" s="129" t="s">
        <v>15178</v>
      </c>
    </row>
    <row r="1317" spans="1:4">
      <c r="A1317" s="105">
        <v>100379</v>
      </c>
      <c r="B1317" s="104" t="s">
        <v>1579</v>
      </c>
      <c r="C1317" s="104" t="s">
        <v>12</v>
      </c>
      <c r="D1317" s="129" t="s">
        <v>20955</v>
      </c>
    </row>
    <row r="1318" spans="1:4">
      <c r="A1318" s="105">
        <v>100380</v>
      </c>
      <c r="B1318" s="104" t="s">
        <v>1580</v>
      </c>
      <c r="C1318" s="104" t="s">
        <v>12</v>
      </c>
      <c r="D1318" s="129" t="s">
        <v>20957</v>
      </c>
    </row>
    <row r="1319" spans="1:4">
      <c r="A1319" s="105">
        <v>100381</v>
      </c>
      <c r="B1319" s="104" t="s">
        <v>1581</v>
      </c>
      <c r="C1319" s="104" t="s">
        <v>12</v>
      </c>
      <c r="D1319" s="129" t="s">
        <v>20958</v>
      </c>
    </row>
    <row r="1320" spans="1:4">
      <c r="A1320" s="105">
        <v>100383</v>
      </c>
      <c r="B1320" s="104" t="s">
        <v>1582</v>
      </c>
      <c r="C1320" s="104" t="s">
        <v>12</v>
      </c>
      <c r="D1320" s="129" t="s">
        <v>18076</v>
      </c>
    </row>
    <row r="1321" spans="1:4">
      <c r="A1321" s="105">
        <v>100384</v>
      </c>
      <c r="B1321" s="104" t="s">
        <v>1583</v>
      </c>
      <c r="C1321" s="104" t="s">
        <v>12</v>
      </c>
      <c r="D1321" s="129" t="s">
        <v>20299</v>
      </c>
    </row>
    <row r="1322" spans="1:4">
      <c r="A1322" s="105">
        <v>100385</v>
      </c>
      <c r="B1322" s="104" t="s">
        <v>1584</v>
      </c>
      <c r="C1322" s="104" t="s">
        <v>12</v>
      </c>
      <c r="D1322" s="129" t="s">
        <v>15178</v>
      </c>
    </row>
    <row r="1323" spans="1:4">
      <c r="A1323" s="105">
        <v>100386</v>
      </c>
      <c r="B1323" s="104" t="s">
        <v>1585</v>
      </c>
      <c r="C1323" s="104" t="s">
        <v>12</v>
      </c>
      <c r="D1323" s="129" t="s">
        <v>20959</v>
      </c>
    </row>
    <row r="1324" spans="1:4">
      <c r="A1324" s="105">
        <v>100387</v>
      </c>
      <c r="B1324" s="104" t="s">
        <v>1586</v>
      </c>
      <c r="C1324" s="104" t="s">
        <v>12</v>
      </c>
      <c r="D1324" s="129" t="s">
        <v>20960</v>
      </c>
    </row>
    <row r="1325" spans="1:4">
      <c r="A1325" s="105">
        <v>100388</v>
      </c>
      <c r="B1325" s="104" t="s">
        <v>1587</v>
      </c>
      <c r="C1325" s="104" t="s">
        <v>12</v>
      </c>
      <c r="D1325" s="129" t="s">
        <v>18591</v>
      </c>
    </row>
    <row r="1326" spans="1:4">
      <c r="A1326" s="105">
        <v>100389</v>
      </c>
      <c r="B1326" s="104" t="s">
        <v>1588</v>
      </c>
      <c r="C1326" s="104" t="s">
        <v>12</v>
      </c>
      <c r="D1326" s="129" t="s">
        <v>19599</v>
      </c>
    </row>
    <row r="1327" spans="1:4">
      <c r="A1327" s="105">
        <v>100390</v>
      </c>
      <c r="B1327" s="104" t="s">
        <v>1589</v>
      </c>
      <c r="C1327" s="104" t="s">
        <v>12</v>
      </c>
      <c r="D1327" s="129" t="s">
        <v>20293</v>
      </c>
    </row>
    <row r="1328" spans="1:4">
      <c r="A1328" s="105">
        <v>100391</v>
      </c>
      <c r="B1328" s="104" t="s">
        <v>1590</v>
      </c>
      <c r="C1328" s="104" t="s">
        <v>12</v>
      </c>
      <c r="D1328" s="129" t="s">
        <v>16906</v>
      </c>
    </row>
    <row r="1329" spans="1:4">
      <c r="A1329" s="105">
        <v>100392</v>
      </c>
      <c r="B1329" s="104" t="s">
        <v>1591</v>
      </c>
      <c r="C1329" s="104" t="s">
        <v>12</v>
      </c>
      <c r="D1329" s="129" t="s">
        <v>15830</v>
      </c>
    </row>
    <row r="1330" spans="1:4">
      <c r="A1330" s="105">
        <v>100393</v>
      </c>
      <c r="B1330" s="104" t="s">
        <v>1592</v>
      </c>
      <c r="C1330" s="104" t="s">
        <v>12</v>
      </c>
      <c r="D1330" s="129" t="s">
        <v>20961</v>
      </c>
    </row>
    <row r="1331" spans="1:4">
      <c r="A1331" s="105">
        <v>100394</v>
      </c>
      <c r="B1331" s="104" t="s">
        <v>1593</v>
      </c>
      <c r="C1331" s="104" t="s">
        <v>12</v>
      </c>
      <c r="D1331" s="129" t="s">
        <v>19235</v>
      </c>
    </row>
    <row r="1332" spans="1:4">
      <c r="A1332" s="105">
        <v>100395</v>
      </c>
      <c r="B1332" s="104" t="s">
        <v>1594</v>
      </c>
      <c r="C1332" s="104" t="s">
        <v>12</v>
      </c>
      <c r="D1332" s="129" t="s">
        <v>17489</v>
      </c>
    </row>
    <row r="1333" spans="1:4">
      <c r="A1333" s="105">
        <v>94189</v>
      </c>
      <c r="B1333" s="104" t="s">
        <v>1595</v>
      </c>
      <c r="C1333" s="104" t="s">
        <v>12</v>
      </c>
      <c r="D1333" s="129" t="s">
        <v>20962</v>
      </c>
    </row>
    <row r="1334" spans="1:4">
      <c r="A1334" s="105">
        <v>94192</v>
      </c>
      <c r="B1334" s="104" t="s">
        <v>1596</v>
      </c>
      <c r="C1334" s="104" t="s">
        <v>12</v>
      </c>
      <c r="D1334" s="129" t="s">
        <v>18181</v>
      </c>
    </row>
    <row r="1335" spans="1:4">
      <c r="A1335" s="105">
        <v>94195</v>
      </c>
      <c r="B1335" s="104" t="s">
        <v>1597</v>
      </c>
      <c r="C1335" s="104" t="s">
        <v>12</v>
      </c>
      <c r="D1335" s="129" t="s">
        <v>15329</v>
      </c>
    </row>
    <row r="1336" spans="1:4">
      <c r="A1336" s="105">
        <v>94198</v>
      </c>
      <c r="B1336" s="104" t="s">
        <v>1598</v>
      </c>
      <c r="C1336" s="104" t="s">
        <v>12</v>
      </c>
      <c r="D1336" s="129" t="s">
        <v>20963</v>
      </c>
    </row>
    <row r="1337" spans="1:4">
      <c r="A1337" s="105">
        <v>94201</v>
      </c>
      <c r="B1337" s="104" t="s">
        <v>1599</v>
      </c>
      <c r="C1337" s="104" t="s">
        <v>12</v>
      </c>
      <c r="D1337" s="129" t="s">
        <v>20964</v>
      </c>
    </row>
    <row r="1338" spans="1:4">
      <c r="A1338" s="105">
        <v>94204</v>
      </c>
      <c r="B1338" s="104" t="s">
        <v>1600</v>
      </c>
      <c r="C1338" s="104" t="s">
        <v>12</v>
      </c>
      <c r="D1338" s="129" t="s">
        <v>20141</v>
      </c>
    </row>
    <row r="1339" spans="1:4">
      <c r="A1339" s="105">
        <v>94224</v>
      </c>
      <c r="B1339" s="104" t="s">
        <v>1601</v>
      </c>
      <c r="C1339" s="104" t="s">
        <v>40</v>
      </c>
      <c r="D1339" s="129" t="s">
        <v>17435</v>
      </c>
    </row>
    <row r="1340" spans="1:4">
      <c r="A1340" s="105">
        <v>94226</v>
      </c>
      <c r="B1340" s="104" t="s">
        <v>1602</v>
      </c>
      <c r="C1340" s="104" t="s">
        <v>12</v>
      </c>
      <c r="D1340" s="129" t="s">
        <v>14863</v>
      </c>
    </row>
    <row r="1341" spans="1:4">
      <c r="A1341" s="105">
        <v>94232</v>
      </c>
      <c r="B1341" s="104" t="s">
        <v>1603</v>
      </c>
      <c r="C1341" s="104" t="s">
        <v>183</v>
      </c>
      <c r="D1341" s="129" t="s">
        <v>19300</v>
      </c>
    </row>
    <row r="1342" spans="1:4">
      <c r="A1342" s="105">
        <v>94440</v>
      </c>
      <c r="B1342" s="104" t="s">
        <v>1604</v>
      </c>
      <c r="C1342" s="104" t="s">
        <v>12</v>
      </c>
      <c r="D1342" s="129" t="s">
        <v>15329</v>
      </c>
    </row>
    <row r="1343" spans="1:4">
      <c r="A1343" s="105">
        <v>94441</v>
      </c>
      <c r="B1343" s="104" t="s">
        <v>1605</v>
      </c>
      <c r="C1343" s="104" t="s">
        <v>12</v>
      </c>
      <c r="D1343" s="129" t="s">
        <v>20963</v>
      </c>
    </row>
    <row r="1344" spans="1:4">
      <c r="A1344" s="105">
        <v>94442</v>
      </c>
      <c r="B1344" s="104" t="s">
        <v>1606</v>
      </c>
      <c r="C1344" s="104" t="s">
        <v>12</v>
      </c>
      <c r="D1344" s="129" t="s">
        <v>15329</v>
      </c>
    </row>
    <row r="1345" spans="1:4">
      <c r="A1345" s="105">
        <v>94443</v>
      </c>
      <c r="B1345" s="104" t="s">
        <v>1607</v>
      </c>
      <c r="C1345" s="104" t="s">
        <v>12</v>
      </c>
      <c r="D1345" s="129" t="s">
        <v>20963</v>
      </c>
    </row>
    <row r="1346" spans="1:4">
      <c r="A1346" s="105">
        <v>94445</v>
      </c>
      <c r="B1346" s="104" t="s">
        <v>1608</v>
      </c>
      <c r="C1346" s="104" t="s">
        <v>12</v>
      </c>
      <c r="D1346" s="129" t="s">
        <v>20964</v>
      </c>
    </row>
    <row r="1347" spans="1:4">
      <c r="A1347" s="105">
        <v>94446</v>
      </c>
      <c r="B1347" s="104" t="s">
        <v>1609</v>
      </c>
      <c r="C1347" s="104" t="s">
        <v>12</v>
      </c>
      <c r="D1347" s="129" t="s">
        <v>20141</v>
      </c>
    </row>
    <row r="1348" spans="1:4">
      <c r="A1348" s="105">
        <v>94447</v>
      </c>
      <c r="B1348" s="104" t="s">
        <v>1610</v>
      </c>
      <c r="C1348" s="104" t="s">
        <v>12</v>
      </c>
      <c r="D1348" s="129" t="s">
        <v>20964</v>
      </c>
    </row>
    <row r="1349" spans="1:4">
      <c r="A1349" s="105">
        <v>94448</v>
      </c>
      <c r="B1349" s="104" t="s">
        <v>1611</v>
      </c>
      <c r="C1349" s="104" t="s">
        <v>12</v>
      </c>
      <c r="D1349" s="129" t="s">
        <v>20141</v>
      </c>
    </row>
    <row r="1350" spans="1:4">
      <c r="A1350" s="105">
        <v>94207</v>
      </c>
      <c r="B1350" s="104" t="s">
        <v>1612</v>
      </c>
      <c r="C1350" s="104" t="s">
        <v>12</v>
      </c>
      <c r="D1350" s="129" t="s">
        <v>20965</v>
      </c>
    </row>
    <row r="1351" spans="1:4">
      <c r="A1351" s="105">
        <v>94210</v>
      </c>
      <c r="B1351" s="104" t="s">
        <v>1613</v>
      </c>
      <c r="C1351" s="104" t="s">
        <v>12</v>
      </c>
      <c r="D1351" s="129" t="s">
        <v>20966</v>
      </c>
    </row>
    <row r="1352" spans="1:4">
      <c r="A1352" s="105">
        <v>94218</v>
      </c>
      <c r="B1352" s="104" t="s">
        <v>1614</v>
      </c>
      <c r="C1352" s="104" t="s">
        <v>12</v>
      </c>
      <c r="D1352" s="129" t="s">
        <v>20967</v>
      </c>
    </row>
    <row r="1353" spans="1:4">
      <c r="A1353" s="105">
        <v>94213</v>
      </c>
      <c r="B1353" s="104" t="s">
        <v>1615</v>
      </c>
      <c r="C1353" s="104" t="s">
        <v>12</v>
      </c>
      <c r="D1353" s="129" t="s">
        <v>20968</v>
      </c>
    </row>
    <row r="1354" spans="1:4">
      <c r="A1354" s="105">
        <v>94216</v>
      </c>
      <c r="B1354" s="104" t="s">
        <v>1616</v>
      </c>
      <c r="C1354" s="104" t="s">
        <v>12</v>
      </c>
      <c r="D1354" s="129" t="s">
        <v>20969</v>
      </c>
    </row>
    <row r="1355" spans="1:4">
      <c r="A1355" s="105">
        <v>94219</v>
      </c>
      <c r="B1355" s="104" t="s">
        <v>1617</v>
      </c>
      <c r="C1355" s="104" t="s">
        <v>40</v>
      </c>
      <c r="D1355" s="129" t="s">
        <v>19874</v>
      </c>
    </row>
    <row r="1356" spans="1:4">
      <c r="A1356" s="105">
        <v>94220</v>
      </c>
      <c r="B1356" s="104" t="s">
        <v>1618</v>
      </c>
      <c r="C1356" s="104" t="s">
        <v>40</v>
      </c>
      <c r="D1356" s="129" t="s">
        <v>19030</v>
      </c>
    </row>
    <row r="1357" spans="1:4">
      <c r="A1357" s="105">
        <v>94221</v>
      </c>
      <c r="B1357" s="104" t="s">
        <v>1619</v>
      </c>
      <c r="C1357" s="104" t="s">
        <v>40</v>
      </c>
      <c r="D1357" s="129" t="s">
        <v>20970</v>
      </c>
    </row>
    <row r="1358" spans="1:4">
      <c r="A1358" s="105">
        <v>94222</v>
      </c>
      <c r="B1358" s="104" t="s">
        <v>1620</v>
      </c>
      <c r="C1358" s="104" t="s">
        <v>40</v>
      </c>
      <c r="D1358" s="129" t="s">
        <v>15718</v>
      </c>
    </row>
    <row r="1359" spans="1:4">
      <c r="A1359" s="105">
        <v>94223</v>
      </c>
      <c r="B1359" s="104" t="s">
        <v>1621</v>
      </c>
      <c r="C1359" s="104" t="s">
        <v>40</v>
      </c>
      <c r="D1359" s="129" t="s">
        <v>20971</v>
      </c>
    </row>
    <row r="1360" spans="1:4">
      <c r="A1360" s="105">
        <v>94451</v>
      </c>
      <c r="B1360" s="104" t="s">
        <v>1622</v>
      </c>
      <c r="C1360" s="104" t="s">
        <v>40</v>
      </c>
      <c r="D1360" s="129" t="s">
        <v>16786</v>
      </c>
    </row>
    <row r="1361" spans="1:4">
      <c r="A1361" s="105">
        <v>100325</v>
      </c>
      <c r="B1361" s="104" t="s">
        <v>1623</v>
      </c>
      <c r="C1361" s="104" t="s">
        <v>40</v>
      </c>
      <c r="D1361" s="129" t="s">
        <v>17965</v>
      </c>
    </row>
    <row r="1362" spans="1:4">
      <c r="A1362" s="105">
        <v>100327</v>
      </c>
      <c r="B1362" s="104" t="s">
        <v>1624</v>
      </c>
      <c r="C1362" s="104" t="s">
        <v>40</v>
      </c>
      <c r="D1362" s="129" t="s">
        <v>20972</v>
      </c>
    </row>
    <row r="1363" spans="1:4">
      <c r="A1363" s="105">
        <v>100328</v>
      </c>
      <c r="B1363" s="104" t="s">
        <v>1625</v>
      </c>
      <c r="C1363" s="104" t="s">
        <v>12</v>
      </c>
      <c r="D1363" s="129" t="s">
        <v>17267</v>
      </c>
    </row>
    <row r="1364" spans="1:4">
      <c r="A1364" s="105">
        <v>100329</v>
      </c>
      <c r="B1364" s="104" t="s">
        <v>1626</v>
      </c>
      <c r="C1364" s="104" t="s">
        <v>12</v>
      </c>
      <c r="D1364" s="129" t="s">
        <v>17243</v>
      </c>
    </row>
    <row r="1365" spans="1:4">
      <c r="A1365" s="105">
        <v>100330</v>
      </c>
      <c r="B1365" s="104" t="s">
        <v>1627</v>
      </c>
      <c r="C1365" s="104" t="s">
        <v>12</v>
      </c>
      <c r="D1365" s="129" t="s">
        <v>18605</v>
      </c>
    </row>
    <row r="1366" spans="1:4">
      <c r="A1366" s="105">
        <v>100331</v>
      </c>
      <c r="B1366" s="104" t="s">
        <v>1628</v>
      </c>
      <c r="C1366" s="104" t="s">
        <v>12</v>
      </c>
      <c r="D1366" s="129" t="s">
        <v>20973</v>
      </c>
    </row>
    <row r="1367" spans="1:4">
      <c r="A1367" s="105">
        <v>100434</v>
      </c>
      <c r="B1367" s="104" t="s">
        <v>1629</v>
      </c>
      <c r="C1367" s="104" t="s">
        <v>40</v>
      </c>
      <c r="D1367" s="129" t="s">
        <v>20974</v>
      </c>
    </row>
    <row r="1368" spans="1:4">
      <c r="A1368" s="105">
        <v>100435</v>
      </c>
      <c r="B1368" s="104" t="s">
        <v>1630</v>
      </c>
      <c r="C1368" s="104" t="s">
        <v>40</v>
      </c>
      <c r="D1368" s="129" t="s">
        <v>20975</v>
      </c>
    </row>
    <row r="1369" spans="1:4">
      <c r="A1369" s="105">
        <v>94227</v>
      </c>
      <c r="B1369" s="104" t="s">
        <v>1631</v>
      </c>
      <c r="C1369" s="104" t="s">
        <v>40</v>
      </c>
      <c r="D1369" s="129" t="s">
        <v>20976</v>
      </c>
    </row>
    <row r="1370" spans="1:4">
      <c r="A1370" s="105">
        <v>94228</v>
      </c>
      <c r="B1370" s="104" t="s">
        <v>1632</v>
      </c>
      <c r="C1370" s="104" t="s">
        <v>40</v>
      </c>
      <c r="D1370" s="129" t="s">
        <v>15431</v>
      </c>
    </row>
    <row r="1371" spans="1:4">
      <c r="A1371" s="105">
        <v>94229</v>
      </c>
      <c r="B1371" s="104" t="s">
        <v>1633</v>
      </c>
      <c r="C1371" s="104" t="s">
        <v>40</v>
      </c>
      <c r="D1371" s="129" t="s">
        <v>20977</v>
      </c>
    </row>
    <row r="1372" spans="1:4">
      <c r="A1372" s="105">
        <v>94231</v>
      </c>
      <c r="B1372" s="104" t="s">
        <v>1634</v>
      </c>
      <c r="C1372" s="104" t="s">
        <v>40</v>
      </c>
      <c r="D1372" s="129" t="s">
        <v>20978</v>
      </c>
    </row>
    <row r="1373" spans="1:4">
      <c r="A1373" s="105">
        <v>94449</v>
      </c>
      <c r="B1373" s="104" t="s">
        <v>1635</v>
      </c>
      <c r="C1373" s="104" t="s">
        <v>12</v>
      </c>
      <c r="D1373" s="129" t="s">
        <v>20979</v>
      </c>
    </row>
    <row r="1374" spans="1:4">
      <c r="A1374" s="105">
        <v>92255</v>
      </c>
      <c r="B1374" s="104" t="s">
        <v>1636</v>
      </c>
      <c r="C1374" s="104" t="s">
        <v>183</v>
      </c>
      <c r="D1374" s="129" t="s">
        <v>20980</v>
      </c>
    </row>
    <row r="1375" spans="1:4">
      <c r="A1375" s="105">
        <v>92256</v>
      </c>
      <c r="B1375" s="104" t="s">
        <v>1637</v>
      </c>
      <c r="C1375" s="104" t="s">
        <v>183</v>
      </c>
      <c r="D1375" s="129" t="s">
        <v>20981</v>
      </c>
    </row>
    <row r="1376" spans="1:4">
      <c r="A1376" s="105">
        <v>92257</v>
      </c>
      <c r="B1376" s="104" t="s">
        <v>1638</v>
      </c>
      <c r="C1376" s="104" t="s">
        <v>183</v>
      </c>
      <c r="D1376" s="129" t="s">
        <v>20982</v>
      </c>
    </row>
    <row r="1377" spans="1:4">
      <c r="A1377" s="105">
        <v>92258</v>
      </c>
      <c r="B1377" s="104" t="s">
        <v>1639</v>
      </c>
      <c r="C1377" s="104" t="s">
        <v>183</v>
      </c>
      <c r="D1377" s="129" t="s">
        <v>20983</v>
      </c>
    </row>
    <row r="1378" spans="1:4">
      <c r="A1378" s="105">
        <v>92568</v>
      </c>
      <c r="B1378" s="104" t="s">
        <v>1640</v>
      </c>
      <c r="C1378" s="104" t="s">
        <v>12</v>
      </c>
      <c r="D1378" s="129" t="s">
        <v>20984</v>
      </c>
    </row>
    <row r="1379" spans="1:4">
      <c r="A1379" s="105">
        <v>92569</v>
      </c>
      <c r="B1379" s="104" t="s">
        <v>1641</v>
      </c>
      <c r="C1379" s="104" t="s">
        <v>12</v>
      </c>
      <c r="D1379" s="129" t="s">
        <v>20985</v>
      </c>
    </row>
    <row r="1380" spans="1:4">
      <c r="A1380" s="105">
        <v>92570</v>
      </c>
      <c r="B1380" s="104" t="s">
        <v>1642</v>
      </c>
      <c r="C1380" s="104" t="s">
        <v>12</v>
      </c>
      <c r="D1380" s="129" t="s">
        <v>20986</v>
      </c>
    </row>
    <row r="1381" spans="1:4">
      <c r="A1381" s="105">
        <v>92571</v>
      </c>
      <c r="B1381" s="104" t="s">
        <v>1643</v>
      </c>
      <c r="C1381" s="104" t="s">
        <v>12</v>
      </c>
      <c r="D1381" s="129" t="s">
        <v>20987</v>
      </c>
    </row>
    <row r="1382" spans="1:4">
      <c r="A1382" s="105">
        <v>92572</v>
      </c>
      <c r="B1382" s="104" t="s">
        <v>1644</v>
      </c>
      <c r="C1382" s="104" t="s">
        <v>12</v>
      </c>
      <c r="D1382" s="129" t="s">
        <v>20988</v>
      </c>
    </row>
    <row r="1383" spans="1:4">
      <c r="A1383" s="105">
        <v>92573</v>
      </c>
      <c r="B1383" s="104" t="s">
        <v>1645</v>
      </c>
      <c r="C1383" s="104" t="s">
        <v>12</v>
      </c>
      <c r="D1383" s="129" t="s">
        <v>20989</v>
      </c>
    </row>
    <row r="1384" spans="1:4">
      <c r="A1384" s="105">
        <v>92574</v>
      </c>
      <c r="B1384" s="104" t="s">
        <v>1646</v>
      </c>
      <c r="C1384" s="104" t="s">
        <v>12</v>
      </c>
      <c r="D1384" s="129" t="s">
        <v>20990</v>
      </c>
    </row>
    <row r="1385" spans="1:4">
      <c r="A1385" s="105">
        <v>92575</v>
      </c>
      <c r="B1385" s="104" t="s">
        <v>1647</v>
      </c>
      <c r="C1385" s="104" t="s">
        <v>12</v>
      </c>
      <c r="D1385" s="129" t="s">
        <v>19320</v>
      </c>
    </row>
    <row r="1386" spans="1:4">
      <c r="A1386" s="105">
        <v>92576</v>
      </c>
      <c r="B1386" s="104" t="s">
        <v>1648</v>
      </c>
      <c r="C1386" s="104" t="s">
        <v>12</v>
      </c>
      <c r="D1386" s="129" t="s">
        <v>20991</v>
      </c>
    </row>
    <row r="1387" spans="1:4">
      <c r="A1387" s="105">
        <v>92577</v>
      </c>
      <c r="B1387" s="104" t="s">
        <v>1649</v>
      </c>
      <c r="C1387" s="104" t="s">
        <v>12</v>
      </c>
      <c r="D1387" s="129" t="s">
        <v>20992</v>
      </c>
    </row>
    <row r="1388" spans="1:4">
      <c r="A1388" s="105">
        <v>92578</v>
      </c>
      <c r="B1388" s="104" t="s">
        <v>1650</v>
      </c>
      <c r="C1388" s="104" t="s">
        <v>12</v>
      </c>
      <c r="D1388" s="129" t="s">
        <v>20993</v>
      </c>
    </row>
    <row r="1389" spans="1:4">
      <c r="A1389" s="105">
        <v>92579</v>
      </c>
      <c r="B1389" s="104" t="s">
        <v>1651</v>
      </c>
      <c r="C1389" s="104" t="s">
        <v>12</v>
      </c>
      <c r="D1389" s="129" t="s">
        <v>20994</v>
      </c>
    </row>
    <row r="1390" spans="1:4">
      <c r="A1390" s="105">
        <v>92580</v>
      </c>
      <c r="B1390" s="104" t="s">
        <v>1652</v>
      </c>
      <c r="C1390" s="104" t="s">
        <v>12</v>
      </c>
      <c r="D1390" s="129" t="s">
        <v>20995</v>
      </c>
    </row>
    <row r="1391" spans="1:4">
      <c r="A1391" s="105">
        <v>92581</v>
      </c>
      <c r="B1391" s="104" t="s">
        <v>1653</v>
      </c>
      <c r="C1391" s="104" t="s">
        <v>12</v>
      </c>
      <c r="D1391" s="129" t="s">
        <v>18544</v>
      </c>
    </row>
    <row r="1392" spans="1:4">
      <c r="A1392" s="105">
        <v>92582</v>
      </c>
      <c r="B1392" s="104" t="s">
        <v>1654</v>
      </c>
      <c r="C1392" s="104" t="s">
        <v>183</v>
      </c>
      <c r="D1392" s="129" t="s">
        <v>20996</v>
      </c>
    </row>
    <row r="1393" spans="1:4">
      <c r="A1393" s="105">
        <v>92584</v>
      </c>
      <c r="B1393" s="104" t="s">
        <v>1655</v>
      </c>
      <c r="C1393" s="104" t="s">
        <v>183</v>
      </c>
      <c r="D1393" s="129" t="s">
        <v>20997</v>
      </c>
    </row>
    <row r="1394" spans="1:4">
      <c r="A1394" s="105">
        <v>92586</v>
      </c>
      <c r="B1394" s="104" t="s">
        <v>1656</v>
      </c>
      <c r="C1394" s="104" t="s">
        <v>183</v>
      </c>
      <c r="D1394" s="129" t="s">
        <v>20998</v>
      </c>
    </row>
    <row r="1395" spans="1:4">
      <c r="A1395" s="105">
        <v>92588</v>
      </c>
      <c r="B1395" s="104" t="s">
        <v>1657</v>
      </c>
      <c r="C1395" s="104" t="s">
        <v>183</v>
      </c>
      <c r="D1395" s="129" t="s">
        <v>20999</v>
      </c>
    </row>
    <row r="1396" spans="1:4">
      <c r="A1396" s="105">
        <v>92590</v>
      </c>
      <c r="B1396" s="104" t="s">
        <v>1658</v>
      </c>
      <c r="C1396" s="104" t="s">
        <v>183</v>
      </c>
      <c r="D1396" s="129" t="s">
        <v>21000</v>
      </c>
    </row>
    <row r="1397" spans="1:4">
      <c r="A1397" s="105">
        <v>92592</v>
      </c>
      <c r="B1397" s="104" t="s">
        <v>1659</v>
      </c>
      <c r="C1397" s="104" t="s">
        <v>183</v>
      </c>
      <c r="D1397" s="129" t="s">
        <v>21001</v>
      </c>
    </row>
    <row r="1398" spans="1:4">
      <c r="A1398" s="105">
        <v>92593</v>
      </c>
      <c r="B1398" s="104" t="s">
        <v>1660</v>
      </c>
      <c r="C1398" s="104" t="s">
        <v>41</v>
      </c>
      <c r="D1398" s="129" t="s">
        <v>15600</v>
      </c>
    </row>
    <row r="1399" spans="1:4">
      <c r="A1399" s="105">
        <v>92594</v>
      </c>
      <c r="B1399" s="104" t="s">
        <v>1661</v>
      </c>
      <c r="C1399" s="104" t="s">
        <v>183</v>
      </c>
      <c r="D1399" s="129" t="s">
        <v>21002</v>
      </c>
    </row>
    <row r="1400" spans="1:4">
      <c r="A1400" s="105">
        <v>92596</v>
      </c>
      <c r="B1400" s="104" t="s">
        <v>1662</v>
      </c>
      <c r="C1400" s="104" t="s">
        <v>183</v>
      </c>
      <c r="D1400" s="129" t="s">
        <v>21003</v>
      </c>
    </row>
    <row r="1401" spans="1:4">
      <c r="A1401" s="105">
        <v>92598</v>
      </c>
      <c r="B1401" s="104" t="s">
        <v>1663</v>
      </c>
      <c r="C1401" s="104" t="s">
        <v>183</v>
      </c>
      <c r="D1401" s="129" t="s">
        <v>21004</v>
      </c>
    </row>
    <row r="1402" spans="1:4">
      <c r="A1402" s="105">
        <v>92600</v>
      </c>
      <c r="B1402" s="104" t="s">
        <v>1664</v>
      </c>
      <c r="C1402" s="104" t="s">
        <v>183</v>
      </c>
      <c r="D1402" s="129" t="s">
        <v>21005</v>
      </c>
    </row>
    <row r="1403" spans="1:4">
      <c r="A1403" s="105">
        <v>92602</v>
      </c>
      <c r="B1403" s="104" t="s">
        <v>1665</v>
      </c>
      <c r="C1403" s="104" t="s">
        <v>183</v>
      </c>
      <c r="D1403" s="129" t="s">
        <v>20996</v>
      </c>
    </row>
    <row r="1404" spans="1:4">
      <c r="A1404" s="105">
        <v>92604</v>
      </c>
      <c r="B1404" s="104" t="s">
        <v>1666</v>
      </c>
      <c r="C1404" s="104" t="s">
        <v>183</v>
      </c>
      <c r="D1404" s="129" t="s">
        <v>21006</v>
      </c>
    </row>
    <row r="1405" spans="1:4">
      <c r="A1405" s="105">
        <v>92606</v>
      </c>
      <c r="B1405" s="104" t="s">
        <v>1667</v>
      </c>
      <c r="C1405" s="104" t="s">
        <v>183</v>
      </c>
      <c r="D1405" s="129" t="s">
        <v>21007</v>
      </c>
    </row>
    <row r="1406" spans="1:4">
      <c r="A1406" s="105">
        <v>92608</v>
      </c>
      <c r="B1406" s="104" t="s">
        <v>1668</v>
      </c>
      <c r="C1406" s="104" t="s">
        <v>183</v>
      </c>
      <c r="D1406" s="129" t="s">
        <v>21008</v>
      </c>
    </row>
    <row r="1407" spans="1:4">
      <c r="A1407" s="105">
        <v>92610</v>
      </c>
      <c r="B1407" s="104" t="s">
        <v>1669</v>
      </c>
      <c r="C1407" s="104" t="s">
        <v>183</v>
      </c>
      <c r="D1407" s="129" t="s">
        <v>21009</v>
      </c>
    </row>
    <row r="1408" spans="1:4">
      <c r="A1408" s="105">
        <v>92612</v>
      </c>
      <c r="B1408" s="104" t="s">
        <v>1670</v>
      </c>
      <c r="C1408" s="104" t="s">
        <v>183</v>
      </c>
      <c r="D1408" s="129" t="s">
        <v>21010</v>
      </c>
    </row>
    <row r="1409" spans="1:4">
      <c r="A1409" s="105">
        <v>92614</v>
      </c>
      <c r="B1409" s="104" t="s">
        <v>1671</v>
      </c>
      <c r="C1409" s="104" t="s">
        <v>183</v>
      </c>
      <c r="D1409" s="129" t="s">
        <v>21011</v>
      </c>
    </row>
    <row r="1410" spans="1:4">
      <c r="A1410" s="105">
        <v>92616</v>
      </c>
      <c r="B1410" s="104" t="s">
        <v>1672</v>
      </c>
      <c r="C1410" s="104" t="s">
        <v>183</v>
      </c>
      <c r="D1410" s="129" t="s">
        <v>21012</v>
      </c>
    </row>
    <row r="1411" spans="1:4">
      <c r="A1411" s="105">
        <v>92618</v>
      </c>
      <c r="B1411" s="104" t="s">
        <v>1673</v>
      </c>
      <c r="C1411" s="104" t="s">
        <v>183</v>
      </c>
      <c r="D1411" s="129" t="s">
        <v>21013</v>
      </c>
    </row>
    <row r="1412" spans="1:4">
      <c r="A1412" s="105">
        <v>92620</v>
      </c>
      <c r="B1412" s="104" t="s">
        <v>1674</v>
      </c>
      <c r="C1412" s="104" t="s">
        <v>183</v>
      </c>
      <c r="D1412" s="129" t="s">
        <v>21014</v>
      </c>
    </row>
    <row r="1413" spans="1:4">
      <c r="A1413" s="105">
        <v>100357</v>
      </c>
      <c r="B1413" s="104" t="s">
        <v>1675</v>
      </c>
      <c r="C1413" s="104" t="s">
        <v>183</v>
      </c>
      <c r="D1413" s="129" t="s">
        <v>21015</v>
      </c>
    </row>
    <row r="1414" spans="1:4">
      <c r="A1414" s="105">
        <v>100358</v>
      </c>
      <c r="B1414" s="104" t="s">
        <v>1676</v>
      </c>
      <c r="C1414" s="104" t="s">
        <v>183</v>
      </c>
      <c r="D1414" s="129" t="s">
        <v>21016</v>
      </c>
    </row>
    <row r="1415" spans="1:4">
      <c r="A1415" s="105">
        <v>100359</v>
      </c>
      <c r="B1415" s="104" t="s">
        <v>1677</v>
      </c>
      <c r="C1415" s="104" t="s">
        <v>183</v>
      </c>
      <c r="D1415" s="129" t="s">
        <v>21017</v>
      </c>
    </row>
    <row r="1416" spans="1:4">
      <c r="A1416" s="105">
        <v>100360</v>
      </c>
      <c r="B1416" s="104" t="s">
        <v>1678</v>
      </c>
      <c r="C1416" s="104" t="s">
        <v>183</v>
      </c>
      <c r="D1416" s="129" t="s">
        <v>21018</v>
      </c>
    </row>
    <row r="1417" spans="1:4">
      <c r="A1417" s="105">
        <v>100361</v>
      </c>
      <c r="B1417" s="104" t="s">
        <v>1679</v>
      </c>
      <c r="C1417" s="104" t="s">
        <v>183</v>
      </c>
      <c r="D1417" s="129" t="s">
        <v>21019</v>
      </c>
    </row>
    <row r="1418" spans="1:4">
      <c r="A1418" s="105">
        <v>100362</v>
      </c>
      <c r="B1418" s="104" t="s">
        <v>1680</v>
      </c>
      <c r="C1418" s="104" t="s">
        <v>183</v>
      </c>
      <c r="D1418" s="129" t="s">
        <v>21020</v>
      </c>
    </row>
    <row r="1419" spans="1:4">
      <c r="A1419" s="105">
        <v>100363</v>
      </c>
      <c r="B1419" s="104" t="s">
        <v>1681</v>
      </c>
      <c r="C1419" s="104" t="s">
        <v>183</v>
      </c>
      <c r="D1419" s="129" t="s">
        <v>21021</v>
      </c>
    </row>
    <row r="1420" spans="1:4">
      <c r="A1420" s="105">
        <v>100364</v>
      </c>
      <c r="B1420" s="104" t="s">
        <v>1682</v>
      </c>
      <c r="C1420" s="104" t="s">
        <v>183</v>
      </c>
      <c r="D1420" s="129" t="s">
        <v>21022</v>
      </c>
    </row>
    <row r="1421" spans="1:4">
      <c r="A1421" s="105">
        <v>100365</v>
      </c>
      <c r="B1421" s="104" t="s">
        <v>1683</v>
      </c>
      <c r="C1421" s="104" t="s">
        <v>183</v>
      </c>
      <c r="D1421" s="129" t="s">
        <v>21023</v>
      </c>
    </row>
    <row r="1422" spans="1:4">
      <c r="A1422" s="105">
        <v>100366</v>
      </c>
      <c r="B1422" s="104" t="s">
        <v>1684</v>
      </c>
      <c r="C1422" s="104" t="s">
        <v>183</v>
      </c>
      <c r="D1422" s="129" t="s">
        <v>21024</v>
      </c>
    </row>
    <row r="1423" spans="1:4">
      <c r="A1423" s="105">
        <v>100367</v>
      </c>
      <c r="B1423" s="104" t="s">
        <v>1685</v>
      </c>
      <c r="C1423" s="104" t="s">
        <v>183</v>
      </c>
      <c r="D1423" s="129" t="s">
        <v>21025</v>
      </c>
    </row>
    <row r="1424" spans="1:4">
      <c r="A1424" s="105">
        <v>100368</v>
      </c>
      <c r="B1424" s="104" t="s">
        <v>1686</v>
      </c>
      <c r="C1424" s="104" t="s">
        <v>183</v>
      </c>
      <c r="D1424" s="129" t="s">
        <v>21026</v>
      </c>
    </row>
    <row r="1425" spans="1:4">
      <c r="A1425" s="105">
        <v>100369</v>
      </c>
      <c r="B1425" s="104" t="s">
        <v>1687</v>
      </c>
      <c r="C1425" s="104" t="s">
        <v>183</v>
      </c>
      <c r="D1425" s="129" t="s">
        <v>21027</v>
      </c>
    </row>
    <row r="1426" spans="1:4">
      <c r="A1426" s="105">
        <v>100370</v>
      </c>
      <c r="B1426" s="104" t="s">
        <v>1688</v>
      </c>
      <c r="C1426" s="104" t="s">
        <v>183</v>
      </c>
      <c r="D1426" s="129" t="s">
        <v>21028</v>
      </c>
    </row>
    <row r="1427" spans="1:4">
      <c r="A1427" s="105">
        <v>100371</v>
      </c>
      <c r="B1427" s="104" t="s">
        <v>1689</v>
      </c>
      <c r="C1427" s="104" t="s">
        <v>183</v>
      </c>
      <c r="D1427" s="129" t="s">
        <v>21029</v>
      </c>
    </row>
    <row r="1428" spans="1:4">
      <c r="A1428" s="105">
        <v>100372</v>
      </c>
      <c r="B1428" s="104" t="s">
        <v>1690</v>
      </c>
      <c r="C1428" s="104" t="s">
        <v>183</v>
      </c>
      <c r="D1428" s="129" t="s">
        <v>21030</v>
      </c>
    </row>
    <row r="1429" spans="1:4">
      <c r="A1429" s="105">
        <v>100373</v>
      </c>
      <c r="B1429" s="104" t="s">
        <v>1691</v>
      </c>
      <c r="C1429" s="104" t="s">
        <v>183</v>
      </c>
      <c r="D1429" s="129" t="s">
        <v>21031</v>
      </c>
    </row>
    <row r="1430" spans="1:4">
      <c r="A1430" s="105">
        <v>100374</v>
      </c>
      <c r="B1430" s="104" t="s">
        <v>1692</v>
      </c>
      <c r="C1430" s="104" t="s">
        <v>183</v>
      </c>
      <c r="D1430" s="129" t="s">
        <v>21032</v>
      </c>
    </row>
    <row r="1431" spans="1:4">
      <c r="A1431" s="105">
        <v>100375</v>
      </c>
      <c r="B1431" s="104" t="s">
        <v>1693</v>
      </c>
      <c r="C1431" s="104" t="s">
        <v>183</v>
      </c>
      <c r="D1431" s="129" t="s">
        <v>21033</v>
      </c>
    </row>
    <row r="1432" spans="1:4">
      <c r="A1432" s="105">
        <v>100376</v>
      </c>
      <c r="B1432" s="104" t="s">
        <v>1694</v>
      </c>
      <c r="C1432" s="104" t="s">
        <v>183</v>
      </c>
      <c r="D1432" s="129" t="s">
        <v>21034</v>
      </c>
    </row>
    <row r="1433" spans="1:4">
      <c r="A1433" s="105">
        <v>100377</v>
      </c>
      <c r="B1433" s="104" t="s">
        <v>1695</v>
      </c>
      <c r="C1433" s="104" t="s">
        <v>41</v>
      </c>
      <c r="D1433" s="129" t="s">
        <v>21035</v>
      </c>
    </row>
    <row r="1434" spans="1:4">
      <c r="A1434" s="105">
        <v>100378</v>
      </c>
      <c r="B1434" s="104" t="s">
        <v>1696</v>
      </c>
      <c r="C1434" s="104" t="s">
        <v>41</v>
      </c>
      <c r="D1434" s="129" t="s">
        <v>19249</v>
      </c>
    </row>
    <row r="1435" spans="1:4">
      <c r="A1435" s="105">
        <v>100382</v>
      </c>
      <c r="B1435" s="104" t="s">
        <v>1697</v>
      </c>
      <c r="C1435" s="104" t="s">
        <v>12</v>
      </c>
      <c r="D1435" s="129" t="s">
        <v>20956</v>
      </c>
    </row>
    <row r="1436" spans="1:4">
      <c r="A1436" s="105">
        <v>94444</v>
      </c>
      <c r="B1436" s="104" t="s">
        <v>1698</v>
      </c>
      <c r="C1436" s="104" t="s">
        <v>12</v>
      </c>
      <c r="D1436" s="129" t="s">
        <v>21036</v>
      </c>
    </row>
    <row r="1437" spans="1:4">
      <c r="A1437" s="105">
        <v>102661</v>
      </c>
      <c r="B1437" s="104" t="s">
        <v>1699</v>
      </c>
      <c r="C1437" s="104" t="s">
        <v>40</v>
      </c>
      <c r="D1437" s="129" t="s">
        <v>21037</v>
      </c>
    </row>
    <row r="1438" spans="1:4">
      <c r="A1438" s="105">
        <v>102663</v>
      </c>
      <c r="B1438" s="104" t="s">
        <v>1700</v>
      </c>
      <c r="C1438" s="104" t="s">
        <v>40</v>
      </c>
      <c r="D1438" s="129" t="s">
        <v>18342</v>
      </c>
    </row>
    <row r="1439" spans="1:4">
      <c r="A1439" s="105">
        <v>102664</v>
      </c>
      <c r="B1439" s="104" t="s">
        <v>1701</v>
      </c>
      <c r="C1439" s="104" t="s">
        <v>40</v>
      </c>
      <c r="D1439" s="129" t="s">
        <v>18639</v>
      </c>
    </row>
    <row r="1440" spans="1:4">
      <c r="A1440" s="105">
        <v>102665</v>
      </c>
      <c r="B1440" s="104" t="s">
        <v>1702</v>
      </c>
      <c r="C1440" s="104" t="s">
        <v>40</v>
      </c>
      <c r="D1440" s="129" t="s">
        <v>21038</v>
      </c>
    </row>
    <row r="1441" spans="1:4">
      <c r="A1441" s="105">
        <v>102666</v>
      </c>
      <c r="B1441" s="104" t="s">
        <v>1703</v>
      </c>
      <c r="C1441" s="104" t="s">
        <v>40</v>
      </c>
      <c r="D1441" s="129" t="s">
        <v>20966</v>
      </c>
    </row>
    <row r="1442" spans="1:4">
      <c r="A1442" s="105">
        <v>102669</v>
      </c>
      <c r="B1442" s="104" t="s">
        <v>1704</v>
      </c>
      <c r="C1442" s="104" t="s">
        <v>40</v>
      </c>
      <c r="D1442" s="129" t="s">
        <v>21039</v>
      </c>
    </row>
    <row r="1443" spans="1:4">
      <c r="A1443" s="105">
        <v>102670</v>
      </c>
      <c r="B1443" s="104" t="s">
        <v>1705</v>
      </c>
      <c r="C1443" s="104" t="s">
        <v>40</v>
      </c>
      <c r="D1443" s="129" t="s">
        <v>21040</v>
      </c>
    </row>
    <row r="1444" spans="1:4">
      <c r="A1444" s="105">
        <v>102673</v>
      </c>
      <c r="B1444" s="104" t="s">
        <v>1706</v>
      </c>
      <c r="C1444" s="104" t="s">
        <v>40</v>
      </c>
      <c r="D1444" s="129" t="s">
        <v>20154</v>
      </c>
    </row>
    <row r="1445" spans="1:4">
      <c r="A1445" s="105">
        <v>102674</v>
      </c>
      <c r="B1445" s="104" t="s">
        <v>1707</v>
      </c>
      <c r="C1445" s="104" t="s">
        <v>40</v>
      </c>
      <c r="D1445" s="129" t="s">
        <v>21041</v>
      </c>
    </row>
    <row r="1446" spans="1:4">
      <c r="A1446" s="105">
        <v>102677</v>
      </c>
      <c r="B1446" s="104" t="s">
        <v>1708</v>
      </c>
      <c r="C1446" s="104" t="s">
        <v>40</v>
      </c>
      <c r="D1446" s="129" t="s">
        <v>21042</v>
      </c>
    </row>
    <row r="1447" spans="1:4">
      <c r="A1447" s="105">
        <v>102678</v>
      </c>
      <c r="B1447" s="104" t="s">
        <v>1709</v>
      </c>
      <c r="C1447" s="104" t="s">
        <v>40</v>
      </c>
      <c r="D1447" s="129" t="s">
        <v>21043</v>
      </c>
    </row>
    <row r="1448" spans="1:4">
      <c r="A1448" s="105">
        <v>102679</v>
      </c>
      <c r="B1448" s="104" t="s">
        <v>1710</v>
      </c>
      <c r="C1448" s="104" t="s">
        <v>40</v>
      </c>
      <c r="D1448" s="129" t="s">
        <v>20578</v>
      </c>
    </row>
    <row r="1449" spans="1:4">
      <c r="A1449" s="105">
        <v>102680</v>
      </c>
      <c r="B1449" s="104" t="s">
        <v>1711</v>
      </c>
      <c r="C1449" s="104" t="s">
        <v>40</v>
      </c>
      <c r="D1449" s="129" t="s">
        <v>21044</v>
      </c>
    </row>
    <row r="1450" spans="1:4">
      <c r="A1450" s="105">
        <v>102683</v>
      </c>
      <c r="B1450" s="104" t="s">
        <v>1712</v>
      </c>
      <c r="C1450" s="104" t="s">
        <v>40</v>
      </c>
      <c r="D1450" s="129" t="s">
        <v>21045</v>
      </c>
    </row>
    <row r="1451" spans="1:4">
      <c r="A1451" s="105">
        <v>102684</v>
      </c>
      <c r="B1451" s="104" t="s">
        <v>1713</v>
      </c>
      <c r="C1451" s="104" t="s">
        <v>40</v>
      </c>
      <c r="D1451" s="129" t="s">
        <v>21046</v>
      </c>
    </row>
    <row r="1452" spans="1:4">
      <c r="A1452" s="105">
        <v>102687</v>
      </c>
      <c r="B1452" s="104" t="s">
        <v>1714</v>
      </c>
      <c r="C1452" s="104" t="s">
        <v>40</v>
      </c>
      <c r="D1452" s="129" t="s">
        <v>21047</v>
      </c>
    </row>
    <row r="1453" spans="1:4">
      <c r="A1453" s="105">
        <v>102688</v>
      </c>
      <c r="B1453" s="104" t="s">
        <v>1715</v>
      </c>
      <c r="C1453" s="104" t="s">
        <v>40</v>
      </c>
      <c r="D1453" s="129" t="s">
        <v>19017</v>
      </c>
    </row>
    <row r="1454" spans="1:4">
      <c r="A1454" s="105">
        <v>102690</v>
      </c>
      <c r="B1454" s="104" t="s">
        <v>1716</v>
      </c>
      <c r="C1454" s="104" t="s">
        <v>40</v>
      </c>
      <c r="D1454" s="129" t="s">
        <v>21048</v>
      </c>
    </row>
    <row r="1455" spans="1:4">
      <c r="A1455" s="105">
        <v>102694</v>
      </c>
      <c r="B1455" s="104" t="s">
        <v>1717</v>
      </c>
      <c r="C1455" s="104" t="s">
        <v>40</v>
      </c>
      <c r="D1455" s="129" t="s">
        <v>19285</v>
      </c>
    </row>
    <row r="1456" spans="1:4">
      <c r="A1456" s="105">
        <v>102697</v>
      </c>
      <c r="B1456" s="104" t="s">
        <v>1718</v>
      </c>
      <c r="C1456" s="104" t="s">
        <v>40</v>
      </c>
      <c r="D1456" s="129" t="s">
        <v>21049</v>
      </c>
    </row>
    <row r="1457" spans="1:4">
      <c r="A1457" s="105">
        <v>102704</v>
      </c>
      <c r="B1457" s="104" t="s">
        <v>1719</v>
      </c>
      <c r="C1457" s="104" t="s">
        <v>40</v>
      </c>
      <c r="D1457" s="129" t="s">
        <v>19610</v>
      </c>
    </row>
    <row r="1458" spans="1:4">
      <c r="A1458" s="105">
        <v>102706</v>
      </c>
      <c r="B1458" s="104" t="s">
        <v>1720</v>
      </c>
      <c r="C1458" s="104" t="s">
        <v>40</v>
      </c>
      <c r="D1458" s="129" t="s">
        <v>21050</v>
      </c>
    </row>
    <row r="1459" spans="1:4">
      <c r="A1459" s="105">
        <v>102707</v>
      </c>
      <c r="B1459" s="104" t="s">
        <v>1721</v>
      </c>
      <c r="C1459" s="104" t="s">
        <v>40</v>
      </c>
      <c r="D1459" s="129" t="s">
        <v>21051</v>
      </c>
    </row>
    <row r="1460" spans="1:4">
      <c r="A1460" s="105">
        <v>102708</v>
      </c>
      <c r="B1460" s="104" t="s">
        <v>1722</v>
      </c>
      <c r="C1460" s="104" t="s">
        <v>183</v>
      </c>
      <c r="D1460" s="129" t="s">
        <v>15808</v>
      </c>
    </row>
    <row r="1461" spans="1:4">
      <c r="A1461" s="105">
        <v>102710</v>
      </c>
      <c r="B1461" s="104" t="s">
        <v>1723</v>
      </c>
      <c r="C1461" s="104" t="s">
        <v>183</v>
      </c>
      <c r="D1461" s="129" t="s">
        <v>21052</v>
      </c>
    </row>
    <row r="1462" spans="1:4">
      <c r="A1462" s="105">
        <v>102711</v>
      </c>
      <c r="B1462" s="104" t="s">
        <v>1724</v>
      </c>
      <c r="C1462" s="104" t="s">
        <v>183</v>
      </c>
      <c r="D1462" s="129" t="s">
        <v>21053</v>
      </c>
    </row>
    <row r="1463" spans="1:4">
      <c r="A1463" s="105">
        <v>102712</v>
      </c>
      <c r="B1463" s="104" t="s">
        <v>1725</v>
      </c>
      <c r="C1463" s="104" t="s">
        <v>12</v>
      </c>
      <c r="D1463" s="129" t="s">
        <v>21054</v>
      </c>
    </row>
    <row r="1464" spans="1:4">
      <c r="A1464" s="105">
        <v>102713</v>
      </c>
      <c r="B1464" s="104" t="s">
        <v>1726</v>
      </c>
      <c r="C1464" s="104" t="s">
        <v>12</v>
      </c>
      <c r="D1464" s="129" t="s">
        <v>16909</v>
      </c>
    </row>
    <row r="1465" spans="1:4">
      <c r="A1465" s="105">
        <v>102715</v>
      </c>
      <c r="B1465" s="104" t="s">
        <v>1727</v>
      </c>
      <c r="C1465" s="104" t="s">
        <v>12</v>
      </c>
      <c r="D1465" s="129" t="s">
        <v>19231</v>
      </c>
    </row>
    <row r="1466" spans="1:4">
      <c r="A1466" s="105">
        <v>102716</v>
      </c>
      <c r="B1466" s="104" t="s">
        <v>1728</v>
      </c>
      <c r="C1466" s="104" t="s">
        <v>28</v>
      </c>
      <c r="D1466" s="129" t="s">
        <v>21055</v>
      </c>
    </row>
    <row r="1467" spans="1:4">
      <c r="A1467" s="105">
        <v>102717</v>
      </c>
      <c r="B1467" s="104" t="s">
        <v>1729</v>
      </c>
      <c r="C1467" s="104" t="s">
        <v>28</v>
      </c>
      <c r="D1467" s="129" t="s">
        <v>21056</v>
      </c>
    </row>
    <row r="1468" spans="1:4">
      <c r="A1468" s="105">
        <v>102718</v>
      </c>
      <c r="B1468" s="104" t="s">
        <v>1730</v>
      </c>
      <c r="C1468" s="104" t="s">
        <v>28</v>
      </c>
      <c r="D1468" s="129" t="s">
        <v>21057</v>
      </c>
    </row>
    <row r="1469" spans="1:4">
      <c r="A1469" s="105">
        <v>102719</v>
      </c>
      <c r="B1469" s="104" t="s">
        <v>1731</v>
      </c>
      <c r="C1469" s="104" t="s">
        <v>28</v>
      </c>
      <c r="D1469" s="129" t="s">
        <v>21058</v>
      </c>
    </row>
    <row r="1470" spans="1:4">
      <c r="A1470" s="105">
        <v>102722</v>
      </c>
      <c r="B1470" s="104" t="s">
        <v>1732</v>
      </c>
      <c r="C1470" s="104" t="s">
        <v>40</v>
      </c>
      <c r="D1470" s="129" t="s">
        <v>19656</v>
      </c>
    </row>
    <row r="1471" spans="1:4">
      <c r="A1471" s="105">
        <v>102723</v>
      </c>
      <c r="B1471" s="104" t="s">
        <v>1733</v>
      </c>
      <c r="C1471" s="104" t="s">
        <v>40</v>
      </c>
      <c r="D1471" s="129" t="s">
        <v>21059</v>
      </c>
    </row>
    <row r="1472" spans="1:4">
      <c r="A1472" s="105">
        <v>102724</v>
      </c>
      <c r="B1472" s="104" t="s">
        <v>1734</v>
      </c>
      <c r="C1472" s="104" t="s">
        <v>183</v>
      </c>
      <c r="D1472" s="129" t="s">
        <v>20718</v>
      </c>
    </row>
    <row r="1473" spans="1:4">
      <c r="A1473" s="105">
        <v>102725</v>
      </c>
      <c r="B1473" s="104" t="s">
        <v>1735</v>
      </c>
      <c r="C1473" s="104" t="s">
        <v>183</v>
      </c>
      <c r="D1473" s="129" t="s">
        <v>20120</v>
      </c>
    </row>
    <row r="1474" spans="1:4">
      <c r="A1474" s="105">
        <v>102726</v>
      </c>
      <c r="B1474" s="104" t="s">
        <v>1736</v>
      </c>
      <c r="C1474" s="104" t="s">
        <v>183</v>
      </c>
      <c r="D1474" s="129" t="s">
        <v>19084</v>
      </c>
    </row>
    <row r="1475" spans="1:4">
      <c r="A1475" s="105">
        <v>103653</v>
      </c>
      <c r="B1475" s="104" t="s">
        <v>13698</v>
      </c>
      <c r="C1475" s="104" t="s">
        <v>12</v>
      </c>
      <c r="D1475" s="129" t="s">
        <v>19575</v>
      </c>
    </row>
    <row r="1476" spans="1:4">
      <c r="A1476" s="105">
        <v>92743</v>
      </c>
      <c r="B1476" s="104" t="s">
        <v>1737</v>
      </c>
      <c r="C1476" s="104" t="s">
        <v>28</v>
      </c>
      <c r="D1476" s="129" t="s">
        <v>21060</v>
      </c>
    </row>
    <row r="1477" spans="1:4">
      <c r="A1477" s="105">
        <v>92744</v>
      </c>
      <c r="B1477" s="104" t="s">
        <v>1738</v>
      </c>
      <c r="C1477" s="104" t="s">
        <v>28</v>
      </c>
      <c r="D1477" s="129" t="s">
        <v>21061</v>
      </c>
    </row>
    <row r="1478" spans="1:4">
      <c r="A1478" s="105">
        <v>92745</v>
      </c>
      <c r="B1478" s="104" t="s">
        <v>1739</v>
      </c>
      <c r="C1478" s="104" t="s">
        <v>28</v>
      </c>
      <c r="D1478" s="129" t="s">
        <v>21062</v>
      </c>
    </row>
    <row r="1479" spans="1:4">
      <c r="A1479" s="105">
        <v>92746</v>
      </c>
      <c r="B1479" s="104" t="s">
        <v>1740</v>
      </c>
      <c r="C1479" s="104" t="s">
        <v>28</v>
      </c>
      <c r="D1479" s="129" t="s">
        <v>21063</v>
      </c>
    </row>
    <row r="1480" spans="1:4">
      <c r="A1480" s="105">
        <v>92747</v>
      </c>
      <c r="B1480" s="104" t="s">
        <v>1741</v>
      </c>
      <c r="C1480" s="104" t="s">
        <v>28</v>
      </c>
      <c r="D1480" s="129" t="s">
        <v>21064</v>
      </c>
    </row>
    <row r="1481" spans="1:4">
      <c r="A1481" s="105">
        <v>92748</v>
      </c>
      <c r="B1481" s="104" t="s">
        <v>1742</v>
      </c>
      <c r="C1481" s="104" t="s">
        <v>28</v>
      </c>
      <c r="D1481" s="129" t="s">
        <v>21065</v>
      </c>
    </row>
    <row r="1482" spans="1:4">
      <c r="A1482" s="105">
        <v>92749</v>
      </c>
      <c r="B1482" s="104" t="s">
        <v>1743</v>
      </c>
      <c r="C1482" s="104" t="s">
        <v>28</v>
      </c>
      <c r="D1482" s="129" t="s">
        <v>21066</v>
      </c>
    </row>
    <row r="1483" spans="1:4">
      <c r="A1483" s="105">
        <v>92750</v>
      </c>
      <c r="B1483" s="104" t="s">
        <v>1744</v>
      </c>
      <c r="C1483" s="104" t="s">
        <v>28</v>
      </c>
      <c r="D1483" s="129" t="s">
        <v>21067</v>
      </c>
    </row>
    <row r="1484" spans="1:4">
      <c r="A1484" s="105">
        <v>92751</v>
      </c>
      <c r="B1484" s="104" t="s">
        <v>1745</v>
      </c>
      <c r="C1484" s="104" t="s">
        <v>28</v>
      </c>
      <c r="D1484" s="129" t="s">
        <v>21068</v>
      </c>
    </row>
    <row r="1485" spans="1:4">
      <c r="A1485" s="105">
        <v>92752</v>
      </c>
      <c r="B1485" s="104" t="s">
        <v>1746</v>
      </c>
      <c r="C1485" s="104" t="s">
        <v>28</v>
      </c>
      <c r="D1485" s="129" t="s">
        <v>21069</v>
      </c>
    </row>
    <row r="1486" spans="1:4">
      <c r="A1486" s="105">
        <v>92753</v>
      </c>
      <c r="B1486" s="104" t="s">
        <v>1747</v>
      </c>
      <c r="C1486" s="104" t="s">
        <v>28</v>
      </c>
      <c r="D1486" s="129" t="s">
        <v>21070</v>
      </c>
    </row>
    <row r="1487" spans="1:4">
      <c r="A1487" s="105">
        <v>92754</v>
      </c>
      <c r="B1487" s="104" t="s">
        <v>1748</v>
      </c>
      <c r="C1487" s="104" t="s">
        <v>28</v>
      </c>
      <c r="D1487" s="129" t="s">
        <v>21071</v>
      </c>
    </row>
    <row r="1488" spans="1:4">
      <c r="A1488" s="105">
        <v>92755</v>
      </c>
      <c r="B1488" s="104" t="s">
        <v>1749</v>
      </c>
      <c r="C1488" s="104" t="s">
        <v>12</v>
      </c>
      <c r="D1488" s="129" t="s">
        <v>21072</v>
      </c>
    </row>
    <row r="1489" spans="1:4">
      <c r="A1489" s="105">
        <v>92756</v>
      </c>
      <c r="B1489" s="104" t="s">
        <v>1750</v>
      </c>
      <c r="C1489" s="104" t="s">
        <v>12</v>
      </c>
      <c r="D1489" s="129" t="s">
        <v>21073</v>
      </c>
    </row>
    <row r="1490" spans="1:4">
      <c r="A1490" s="105">
        <v>92757</v>
      </c>
      <c r="B1490" s="104" t="s">
        <v>1751</v>
      </c>
      <c r="C1490" s="104" t="s">
        <v>12</v>
      </c>
      <c r="D1490" s="129" t="s">
        <v>21074</v>
      </c>
    </row>
    <row r="1491" spans="1:4">
      <c r="A1491" s="105">
        <v>92758</v>
      </c>
      <c r="B1491" s="104" t="s">
        <v>1752</v>
      </c>
      <c r="C1491" s="104" t="s">
        <v>28</v>
      </c>
      <c r="D1491" s="129" t="s">
        <v>21075</v>
      </c>
    </row>
    <row r="1492" spans="1:4">
      <c r="A1492" s="105">
        <v>91069</v>
      </c>
      <c r="B1492" s="104" t="s">
        <v>1753</v>
      </c>
      <c r="C1492" s="104" t="s">
        <v>12</v>
      </c>
      <c r="D1492" s="129" t="s">
        <v>21076</v>
      </c>
    </row>
    <row r="1493" spans="1:4">
      <c r="A1493" s="105">
        <v>91070</v>
      </c>
      <c r="B1493" s="104" t="s">
        <v>1754</v>
      </c>
      <c r="C1493" s="104" t="s">
        <v>12</v>
      </c>
      <c r="D1493" s="129" t="s">
        <v>14963</v>
      </c>
    </row>
    <row r="1494" spans="1:4">
      <c r="A1494" s="105">
        <v>91071</v>
      </c>
      <c r="B1494" s="104" t="s">
        <v>1755</v>
      </c>
      <c r="C1494" s="104" t="s">
        <v>12</v>
      </c>
      <c r="D1494" s="129" t="s">
        <v>21077</v>
      </c>
    </row>
    <row r="1495" spans="1:4">
      <c r="A1495" s="105">
        <v>91072</v>
      </c>
      <c r="B1495" s="104" t="s">
        <v>1756</v>
      </c>
      <c r="C1495" s="104" t="s">
        <v>12</v>
      </c>
      <c r="D1495" s="129" t="s">
        <v>21078</v>
      </c>
    </row>
    <row r="1496" spans="1:4">
      <c r="A1496" s="105">
        <v>91073</v>
      </c>
      <c r="B1496" s="104" t="s">
        <v>1757</v>
      </c>
      <c r="C1496" s="104" t="s">
        <v>12</v>
      </c>
      <c r="D1496" s="129" t="s">
        <v>21079</v>
      </c>
    </row>
    <row r="1497" spans="1:4">
      <c r="A1497" s="105">
        <v>91074</v>
      </c>
      <c r="B1497" s="104" t="s">
        <v>1758</v>
      </c>
      <c r="C1497" s="104" t="s">
        <v>12</v>
      </c>
      <c r="D1497" s="129" t="s">
        <v>21080</v>
      </c>
    </row>
    <row r="1498" spans="1:4">
      <c r="A1498" s="105">
        <v>91075</v>
      </c>
      <c r="B1498" s="104" t="s">
        <v>1759</v>
      </c>
      <c r="C1498" s="104" t="s">
        <v>12</v>
      </c>
      <c r="D1498" s="129" t="s">
        <v>21081</v>
      </c>
    </row>
    <row r="1499" spans="1:4">
      <c r="A1499" s="105">
        <v>91076</v>
      </c>
      <c r="B1499" s="104" t="s">
        <v>1760</v>
      </c>
      <c r="C1499" s="104" t="s">
        <v>12</v>
      </c>
      <c r="D1499" s="129" t="s">
        <v>21082</v>
      </c>
    </row>
    <row r="1500" spans="1:4">
      <c r="A1500" s="105">
        <v>91077</v>
      </c>
      <c r="B1500" s="104" t="s">
        <v>1761</v>
      </c>
      <c r="C1500" s="104" t="s">
        <v>12</v>
      </c>
      <c r="D1500" s="129" t="s">
        <v>21083</v>
      </c>
    </row>
    <row r="1501" spans="1:4">
      <c r="A1501" s="105">
        <v>91078</v>
      </c>
      <c r="B1501" s="104" t="s">
        <v>1762</v>
      </c>
      <c r="C1501" s="104" t="s">
        <v>12</v>
      </c>
      <c r="D1501" s="129" t="s">
        <v>21084</v>
      </c>
    </row>
    <row r="1502" spans="1:4">
      <c r="A1502" s="105">
        <v>91079</v>
      </c>
      <c r="B1502" s="104" t="s">
        <v>1763</v>
      </c>
      <c r="C1502" s="104" t="s">
        <v>12</v>
      </c>
      <c r="D1502" s="129" t="s">
        <v>21085</v>
      </c>
    </row>
    <row r="1503" spans="1:4">
      <c r="A1503" s="105">
        <v>91080</v>
      </c>
      <c r="B1503" s="104" t="s">
        <v>1764</v>
      </c>
      <c r="C1503" s="104" t="s">
        <v>12</v>
      </c>
      <c r="D1503" s="129" t="s">
        <v>21086</v>
      </c>
    </row>
    <row r="1504" spans="1:4">
      <c r="A1504" s="105">
        <v>91081</v>
      </c>
      <c r="B1504" s="104" t="s">
        <v>1765</v>
      </c>
      <c r="C1504" s="104" t="s">
        <v>12</v>
      </c>
      <c r="D1504" s="129" t="s">
        <v>21087</v>
      </c>
    </row>
    <row r="1505" spans="1:4">
      <c r="A1505" s="105">
        <v>91082</v>
      </c>
      <c r="B1505" s="104" t="s">
        <v>1766</v>
      </c>
      <c r="C1505" s="104" t="s">
        <v>12</v>
      </c>
      <c r="D1505" s="129" t="s">
        <v>21088</v>
      </c>
    </row>
    <row r="1506" spans="1:4">
      <c r="A1506" s="105">
        <v>91083</v>
      </c>
      <c r="B1506" s="104" t="s">
        <v>1767</v>
      </c>
      <c r="C1506" s="104" t="s">
        <v>12</v>
      </c>
      <c r="D1506" s="129" t="s">
        <v>15722</v>
      </c>
    </row>
    <row r="1507" spans="1:4">
      <c r="A1507" s="105">
        <v>91084</v>
      </c>
      <c r="B1507" s="104" t="s">
        <v>1768</v>
      </c>
      <c r="C1507" s="104" t="s">
        <v>12</v>
      </c>
      <c r="D1507" s="129" t="s">
        <v>21089</v>
      </c>
    </row>
    <row r="1508" spans="1:4">
      <c r="A1508" s="105">
        <v>91086</v>
      </c>
      <c r="B1508" s="104" t="s">
        <v>1769</v>
      </c>
      <c r="C1508" s="104" t="s">
        <v>12</v>
      </c>
      <c r="D1508" s="129" t="s">
        <v>21090</v>
      </c>
    </row>
    <row r="1509" spans="1:4">
      <c r="A1509" s="105">
        <v>91087</v>
      </c>
      <c r="B1509" s="104" t="s">
        <v>1770</v>
      </c>
      <c r="C1509" s="104" t="s">
        <v>12</v>
      </c>
      <c r="D1509" s="129" t="s">
        <v>21091</v>
      </c>
    </row>
    <row r="1510" spans="1:4">
      <c r="A1510" s="105">
        <v>91088</v>
      </c>
      <c r="B1510" s="104" t="s">
        <v>1771</v>
      </c>
      <c r="C1510" s="104" t="s">
        <v>12</v>
      </c>
      <c r="D1510" s="129" t="s">
        <v>21092</v>
      </c>
    </row>
    <row r="1511" spans="1:4">
      <c r="A1511" s="105">
        <v>91089</v>
      </c>
      <c r="B1511" s="104" t="s">
        <v>1772</v>
      </c>
      <c r="C1511" s="104" t="s">
        <v>12</v>
      </c>
      <c r="D1511" s="129" t="s">
        <v>21093</v>
      </c>
    </row>
    <row r="1512" spans="1:4">
      <c r="A1512" s="105">
        <v>91090</v>
      </c>
      <c r="B1512" s="104" t="s">
        <v>1773</v>
      </c>
      <c r="C1512" s="104" t="s">
        <v>12</v>
      </c>
      <c r="D1512" s="129" t="s">
        <v>21094</v>
      </c>
    </row>
    <row r="1513" spans="1:4">
      <c r="A1513" s="105">
        <v>91091</v>
      </c>
      <c r="B1513" s="104" t="s">
        <v>1774</v>
      </c>
      <c r="C1513" s="104" t="s">
        <v>12</v>
      </c>
      <c r="D1513" s="129" t="s">
        <v>21095</v>
      </c>
    </row>
    <row r="1514" spans="1:4">
      <c r="A1514" s="105">
        <v>91092</v>
      </c>
      <c r="B1514" s="104" t="s">
        <v>1775</v>
      </c>
      <c r="C1514" s="104" t="s">
        <v>12</v>
      </c>
      <c r="D1514" s="129" t="s">
        <v>21096</v>
      </c>
    </row>
    <row r="1515" spans="1:4">
      <c r="A1515" s="105">
        <v>91093</v>
      </c>
      <c r="B1515" s="104" t="s">
        <v>1776</v>
      </c>
      <c r="C1515" s="104" t="s">
        <v>12</v>
      </c>
      <c r="D1515" s="129" t="s">
        <v>21097</v>
      </c>
    </row>
    <row r="1516" spans="1:4">
      <c r="A1516" s="105">
        <v>91094</v>
      </c>
      <c r="B1516" s="104" t="s">
        <v>1777</v>
      </c>
      <c r="C1516" s="104" t="s">
        <v>12</v>
      </c>
      <c r="D1516" s="129" t="s">
        <v>19399</v>
      </c>
    </row>
    <row r="1517" spans="1:4">
      <c r="A1517" s="105">
        <v>91095</v>
      </c>
      <c r="B1517" s="104" t="s">
        <v>1778</v>
      </c>
      <c r="C1517" s="104" t="s">
        <v>12</v>
      </c>
      <c r="D1517" s="129" t="s">
        <v>21098</v>
      </c>
    </row>
    <row r="1518" spans="1:4">
      <c r="A1518" s="105">
        <v>91096</v>
      </c>
      <c r="B1518" s="104" t="s">
        <v>1779</v>
      </c>
      <c r="C1518" s="104" t="s">
        <v>12</v>
      </c>
      <c r="D1518" s="129" t="s">
        <v>21099</v>
      </c>
    </row>
    <row r="1519" spans="1:4">
      <c r="A1519" s="105">
        <v>91097</v>
      </c>
      <c r="B1519" s="104" t="s">
        <v>1780</v>
      </c>
      <c r="C1519" s="104" t="s">
        <v>12</v>
      </c>
      <c r="D1519" s="129" t="s">
        <v>21100</v>
      </c>
    </row>
    <row r="1520" spans="1:4">
      <c r="A1520" s="105">
        <v>91098</v>
      </c>
      <c r="B1520" s="104" t="s">
        <v>1781</v>
      </c>
      <c r="C1520" s="104" t="s">
        <v>12</v>
      </c>
      <c r="D1520" s="129" t="s">
        <v>19852</v>
      </c>
    </row>
    <row r="1521" spans="1:4">
      <c r="A1521" s="105">
        <v>91099</v>
      </c>
      <c r="B1521" s="104" t="s">
        <v>1782</v>
      </c>
      <c r="C1521" s="104" t="s">
        <v>12</v>
      </c>
      <c r="D1521" s="129" t="s">
        <v>21101</v>
      </c>
    </row>
    <row r="1522" spans="1:4">
      <c r="A1522" s="105">
        <v>91100</v>
      </c>
      <c r="B1522" s="104" t="s">
        <v>1783</v>
      </c>
      <c r="C1522" s="104" t="s">
        <v>12</v>
      </c>
      <c r="D1522" s="129" t="s">
        <v>21102</v>
      </c>
    </row>
    <row r="1523" spans="1:4">
      <c r="A1523" s="105">
        <v>91101</v>
      </c>
      <c r="B1523" s="104" t="s">
        <v>1784</v>
      </c>
      <c r="C1523" s="104" t="s">
        <v>12</v>
      </c>
      <c r="D1523" s="129" t="s">
        <v>21103</v>
      </c>
    </row>
    <row r="1524" spans="1:4">
      <c r="A1524" s="105">
        <v>93952</v>
      </c>
      <c r="B1524" s="104" t="s">
        <v>1785</v>
      </c>
      <c r="C1524" s="104" t="s">
        <v>40</v>
      </c>
      <c r="D1524" s="129" t="s">
        <v>21104</v>
      </c>
    </row>
    <row r="1525" spans="1:4">
      <c r="A1525" s="105">
        <v>93953</v>
      </c>
      <c r="B1525" s="104" t="s">
        <v>1786</v>
      </c>
      <c r="C1525" s="104" t="s">
        <v>40</v>
      </c>
      <c r="D1525" s="129" t="s">
        <v>21105</v>
      </c>
    </row>
    <row r="1526" spans="1:4">
      <c r="A1526" s="105">
        <v>93954</v>
      </c>
      <c r="B1526" s="104" t="s">
        <v>1787</v>
      </c>
      <c r="C1526" s="104" t="s">
        <v>40</v>
      </c>
      <c r="D1526" s="129" t="s">
        <v>21106</v>
      </c>
    </row>
    <row r="1527" spans="1:4">
      <c r="A1527" s="105">
        <v>93955</v>
      </c>
      <c r="B1527" s="104" t="s">
        <v>1788</v>
      </c>
      <c r="C1527" s="104" t="s">
        <v>40</v>
      </c>
      <c r="D1527" s="129" t="s">
        <v>21107</v>
      </c>
    </row>
    <row r="1528" spans="1:4">
      <c r="A1528" s="105">
        <v>93956</v>
      </c>
      <c r="B1528" s="104" t="s">
        <v>1789</v>
      </c>
      <c r="C1528" s="104" t="s">
        <v>40</v>
      </c>
      <c r="D1528" s="129" t="s">
        <v>21108</v>
      </c>
    </row>
    <row r="1529" spans="1:4">
      <c r="A1529" s="105">
        <v>93957</v>
      </c>
      <c r="B1529" s="104" t="s">
        <v>1790</v>
      </c>
      <c r="C1529" s="104" t="s">
        <v>40</v>
      </c>
      <c r="D1529" s="129" t="s">
        <v>21109</v>
      </c>
    </row>
    <row r="1530" spans="1:4">
      <c r="A1530" s="105">
        <v>93958</v>
      </c>
      <c r="B1530" s="104" t="s">
        <v>1791</v>
      </c>
      <c r="C1530" s="104" t="s">
        <v>40</v>
      </c>
      <c r="D1530" s="129" t="s">
        <v>21110</v>
      </c>
    </row>
    <row r="1531" spans="1:4">
      <c r="A1531" s="105">
        <v>93959</v>
      </c>
      <c r="B1531" s="104" t="s">
        <v>1792</v>
      </c>
      <c r="C1531" s="104" t="s">
        <v>40</v>
      </c>
      <c r="D1531" s="129" t="s">
        <v>21111</v>
      </c>
    </row>
    <row r="1532" spans="1:4">
      <c r="A1532" s="105">
        <v>93960</v>
      </c>
      <c r="B1532" s="104" t="s">
        <v>1793</v>
      </c>
      <c r="C1532" s="104" t="s">
        <v>40</v>
      </c>
      <c r="D1532" s="129" t="s">
        <v>21112</v>
      </c>
    </row>
    <row r="1533" spans="1:4">
      <c r="A1533" s="105">
        <v>93961</v>
      </c>
      <c r="B1533" s="104" t="s">
        <v>1794</v>
      </c>
      <c r="C1533" s="104" t="s">
        <v>40</v>
      </c>
      <c r="D1533" s="129" t="s">
        <v>21113</v>
      </c>
    </row>
    <row r="1534" spans="1:4">
      <c r="A1534" s="105">
        <v>93962</v>
      </c>
      <c r="B1534" s="104" t="s">
        <v>1795</v>
      </c>
      <c r="C1534" s="104" t="s">
        <v>40</v>
      </c>
      <c r="D1534" s="129" t="s">
        <v>21114</v>
      </c>
    </row>
    <row r="1535" spans="1:4">
      <c r="A1535" s="105">
        <v>93963</v>
      </c>
      <c r="B1535" s="104" t="s">
        <v>1796</v>
      </c>
      <c r="C1535" s="104" t="s">
        <v>40</v>
      </c>
      <c r="D1535" s="129" t="s">
        <v>21115</v>
      </c>
    </row>
    <row r="1536" spans="1:4">
      <c r="A1536" s="105">
        <v>93964</v>
      </c>
      <c r="B1536" s="104" t="s">
        <v>1797</v>
      </c>
      <c r="C1536" s="104" t="s">
        <v>40</v>
      </c>
      <c r="D1536" s="129" t="s">
        <v>21116</v>
      </c>
    </row>
    <row r="1537" spans="1:4">
      <c r="A1537" s="105">
        <v>93965</v>
      </c>
      <c r="B1537" s="104" t="s">
        <v>1798</v>
      </c>
      <c r="C1537" s="104" t="s">
        <v>40</v>
      </c>
      <c r="D1537" s="129" t="s">
        <v>21117</v>
      </c>
    </row>
    <row r="1538" spans="1:4">
      <c r="A1538" s="105">
        <v>93966</v>
      </c>
      <c r="B1538" s="104" t="s">
        <v>1799</v>
      </c>
      <c r="C1538" s="104" t="s">
        <v>40</v>
      </c>
      <c r="D1538" s="129" t="s">
        <v>21118</v>
      </c>
    </row>
    <row r="1539" spans="1:4">
      <c r="A1539" s="105">
        <v>93967</v>
      </c>
      <c r="B1539" s="104" t="s">
        <v>1800</v>
      </c>
      <c r="C1539" s="104" t="s">
        <v>40</v>
      </c>
      <c r="D1539" s="129" t="s">
        <v>21119</v>
      </c>
    </row>
    <row r="1540" spans="1:4">
      <c r="A1540" s="105">
        <v>93968</v>
      </c>
      <c r="B1540" s="104" t="s">
        <v>1801</v>
      </c>
      <c r="C1540" s="104" t="s">
        <v>40</v>
      </c>
      <c r="D1540" s="129" t="s">
        <v>19460</v>
      </c>
    </row>
    <row r="1541" spans="1:4">
      <c r="A1541" s="105">
        <v>93969</v>
      </c>
      <c r="B1541" s="104" t="s">
        <v>1802</v>
      </c>
      <c r="C1541" s="104" t="s">
        <v>40</v>
      </c>
      <c r="D1541" s="129" t="s">
        <v>21120</v>
      </c>
    </row>
    <row r="1542" spans="1:4">
      <c r="A1542" s="105">
        <v>93970</v>
      </c>
      <c r="B1542" s="104" t="s">
        <v>1803</v>
      </c>
      <c r="C1542" s="104" t="s">
        <v>40</v>
      </c>
      <c r="D1542" s="129" t="s">
        <v>21121</v>
      </c>
    </row>
    <row r="1543" spans="1:4">
      <c r="A1543" s="105">
        <v>93971</v>
      </c>
      <c r="B1543" s="104" t="s">
        <v>1804</v>
      </c>
      <c r="C1543" s="104" t="s">
        <v>40</v>
      </c>
      <c r="D1543" s="129" t="s">
        <v>21122</v>
      </c>
    </row>
    <row r="1544" spans="1:4">
      <c r="A1544" s="105">
        <v>95108</v>
      </c>
      <c r="B1544" s="104" t="s">
        <v>1805</v>
      </c>
      <c r="C1544" s="104" t="s">
        <v>183</v>
      </c>
      <c r="D1544" s="129" t="s">
        <v>21123</v>
      </c>
    </row>
    <row r="1545" spans="1:4">
      <c r="A1545" s="105">
        <v>100332</v>
      </c>
      <c r="B1545" s="104" t="s">
        <v>1806</v>
      </c>
      <c r="C1545" s="104" t="s">
        <v>12</v>
      </c>
      <c r="D1545" s="129" t="s">
        <v>21124</v>
      </c>
    </row>
    <row r="1546" spans="1:4">
      <c r="A1546" s="105">
        <v>100333</v>
      </c>
      <c r="B1546" s="104" t="s">
        <v>1807</v>
      </c>
      <c r="C1546" s="104" t="s">
        <v>12</v>
      </c>
      <c r="D1546" s="129" t="s">
        <v>21125</v>
      </c>
    </row>
    <row r="1547" spans="1:4">
      <c r="A1547" s="105">
        <v>100334</v>
      </c>
      <c r="B1547" s="104" t="s">
        <v>1808</v>
      </c>
      <c r="C1547" s="104" t="s">
        <v>12</v>
      </c>
      <c r="D1547" s="129" t="s">
        <v>21126</v>
      </c>
    </row>
    <row r="1548" spans="1:4">
      <c r="A1548" s="105">
        <v>100335</v>
      </c>
      <c r="B1548" s="104" t="s">
        <v>1809</v>
      </c>
      <c r="C1548" s="104" t="s">
        <v>12</v>
      </c>
      <c r="D1548" s="129" t="s">
        <v>21127</v>
      </c>
    </row>
    <row r="1549" spans="1:4">
      <c r="A1549" s="105">
        <v>100341</v>
      </c>
      <c r="B1549" s="104" t="s">
        <v>1810</v>
      </c>
      <c r="C1549" s="104" t="s">
        <v>12</v>
      </c>
      <c r="D1549" s="129" t="s">
        <v>18320</v>
      </c>
    </row>
    <row r="1550" spans="1:4">
      <c r="A1550" s="105">
        <v>100342</v>
      </c>
      <c r="B1550" s="104" t="s">
        <v>1811</v>
      </c>
      <c r="C1550" s="104" t="s">
        <v>41</v>
      </c>
      <c r="D1550" s="129" t="s">
        <v>21128</v>
      </c>
    </row>
    <row r="1551" spans="1:4">
      <c r="A1551" s="105">
        <v>100343</v>
      </c>
      <c r="B1551" s="104" t="s">
        <v>1812</v>
      </c>
      <c r="C1551" s="104" t="s">
        <v>41</v>
      </c>
      <c r="D1551" s="129" t="s">
        <v>20117</v>
      </c>
    </row>
    <row r="1552" spans="1:4">
      <c r="A1552" s="105">
        <v>100344</v>
      </c>
      <c r="B1552" s="104" t="s">
        <v>1813</v>
      </c>
      <c r="C1552" s="104" t="s">
        <v>41</v>
      </c>
      <c r="D1552" s="129" t="s">
        <v>21129</v>
      </c>
    </row>
    <row r="1553" spans="1:4">
      <c r="A1553" s="105">
        <v>100345</v>
      </c>
      <c r="B1553" s="104" t="s">
        <v>1814</v>
      </c>
      <c r="C1553" s="104" t="s">
        <v>41</v>
      </c>
      <c r="D1553" s="129" t="s">
        <v>19108</v>
      </c>
    </row>
    <row r="1554" spans="1:4">
      <c r="A1554" s="105">
        <v>100346</v>
      </c>
      <c r="B1554" s="104" t="s">
        <v>1815</v>
      </c>
      <c r="C1554" s="104" t="s">
        <v>41</v>
      </c>
      <c r="D1554" s="129" t="s">
        <v>16903</v>
      </c>
    </row>
    <row r="1555" spans="1:4">
      <c r="A1555" s="105">
        <v>100347</v>
      </c>
      <c r="B1555" s="104" t="s">
        <v>1816</v>
      </c>
      <c r="C1555" s="104" t="s">
        <v>41</v>
      </c>
      <c r="D1555" s="129" t="s">
        <v>16904</v>
      </c>
    </row>
    <row r="1556" spans="1:4">
      <c r="A1556" s="105">
        <v>100348</v>
      </c>
      <c r="B1556" s="104" t="s">
        <v>1817</v>
      </c>
      <c r="C1556" s="104" t="s">
        <v>41</v>
      </c>
      <c r="D1556" s="129" t="s">
        <v>16933</v>
      </c>
    </row>
    <row r="1557" spans="1:4">
      <c r="A1557" s="105">
        <v>100349</v>
      </c>
      <c r="B1557" s="104" t="s">
        <v>1818</v>
      </c>
      <c r="C1557" s="104" t="s">
        <v>28</v>
      </c>
      <c r="D1557" s="129" t="s">
        <v>21130</v>
      </c>
    </row>
    <row r="1558" spans="1:4">
      <c r="A1558" s="105">
        <v>102989</v>
      </c>
      <c r="B1558" s="104" t="s">
        <v>1819</v>
      </c>
      <c r="C1558" s="104" t="s">
        <v>40</v>
      </c>
      <c r="D1558" s="129" t="s">
        <v>18068</v>
      </c>
    </row>
    <row r="1559" spans="1:4">
      <c r="A1559" s="105">
        <v>102990</v>
      </c>
      <c r="B1559" s="104" t="s">
        <v>1820</v>
      </c>
      <c r="C1559" s="104" t="s">
        <v>40</v>
      </c>
      <c r="D1559" s="129" t="s">
        <v>21131</v>
      </c>
    </row>
    <row r="1560" spans="1:4">
      <c r="A1560" s="105">
        <v>102991</v>
      </c>
      <c r="B1560" s="104" t="s">
        <v>1821</v>
      </c>
      <c r="C1560" s="104" t="s">
        <v>40</v>
      </c>
      <c r="D1560" s="129" t="s">
        <v>17094</v>
      </c>
    </row>
    <row r="1561" spans="1:4">
      <c r="A1561" s="105">
        <v>102992</v>
      </c>
      <c r="B1561" s="104" t="s">
        <v>1822</v>
      </c>
      <c r="C1561" s="104" t="s">
        <v>40</v>
      </c>
      <c r="D1561" s="129" t="s">
        <v>17558</v>
      </c>
    </row>
    <row r="1562" spans="1:4">
      <c r="A1562" s="105">
        <v>102993</v>
      </c>
      <c r="B1562" s="104" t="s">
        <v>1823</v>
      </c>
      <c r="C1562" s="104" t="s">
        <v>40</v>
      </c>
      <c r="D1562" s="129" t="s">
        <v>21132</v>
      </c>
    </row>
    <row r="1563" spans="1:4">
      <c r="A1563" s="105">
        <v>102994</v>
      </c>
      <c r="B1563" s="104" t="s">
        <v>1824</v>
      </c>
      <c r="C1563" s="104" t="s">
        <v>40</v>
      </c>
      <c r="D1563" s="129" t="s">
        <v>21133</v>
      </c>
    </row>
    <row r="1564" spans="1:4">
      <c r="A1564" s="105">
        <v>102995</v>
      </c>
      <c r="B1564" s="104" t="s">
        <v>1825</v>
      </c>
      <c r="C1564" s="104" t="s">
        <v>40</v>
      </c>
      <c r="D1564" s="129" t="s">
        <v>21134</v>
      </c>
    </row>
    <row r="1565" spans="1:4">
      <c r="A1565" s="105">
        <v>102996</v>
      </c>
      <c r="B1565" s="104" t="s">
        <v>1826</v>
      </c>
      <c r="C1565" s="104" t="s">
        <v>40</v>
      </c>
      <c r="D1565" s="129" t="s">
        <v>21135</v>
      </c>
    </row>
    <row r="1566" spans="1:4">
      <c r="A1566" s="105">
        <v>102997</v>
      </c>
      <c r="B1566" s="104" t="s">
        <v>1827</v>
      </c>
      <c r="C1566" s="104" t="s">
        <v>40</v>
      </c>
      <c r="D1566" s="129" t="s">
        <v>21136</v>
      </c>
    </row>
    <row r="1567" spans="1:4">
      <c r="A1567" s="105">
        <v>102998</v>
      </c>
      <c r="B1567" s="104" t="s">
        <v>1828</v>
      </c>
      <c r="C1567" s="104" t="s">
        <v>40</v>
      </c>
      <c r="D1567" s="129" t="s">
        <v>20691</v>
      </c>
    </row>
    <row r="1568" spans="1:4">
      <c r="A1568" s="105">
        <v>102999</v>
      </c>
      <c r="B1568" s="104" t="s">
        <v>1829</v>
      </c>
      <c r="C1568" s="104" t="s">
        <v>40</v>
      </c>
      <c r="D1568" s="129" t="s">
        <v>21137</v>
      </c>
    </row>
    <row r="1569" spans="1:4">
      <c r="A1569" s="105">
        <v>103000</v>
      </c>
      <c r="B1569" s="104" t="s">
        <v>1830</v>
      </c>
      <c r="C1569" s="104" t="s">
        <v>40</v>
      </c>
      <c r="D1569" s="129" t="s">
        <v>21138</v>
      </c>
    </row>
    <row r="1570" spans="1:4">
      <c r="A1570" s="105">
        <v>103001</v>
      </c>
      <c r="B1570" s="104" t="s">
        <v>1831</v>
      </c>
      <c r="C1570" s="104" t="s">
        <v>183</v>
      </c>
      <c r="D1570" s="129" t="s">
        <v>21139</v>
      </c>
    </row>
    <row r="1571" spans="1:4">
      <c r="A1571" s="105">
        <v>103002</v>
      </c>
      <c r="B1571" s="104" t="s">
        <v>1832</v>
      </c>
      <c r="C1571" s="104" t="s">
        <v>183</v>
      </c>
      <c r="D1571" s="129" t="s">
        <v>21140</v>
      </c>
    </row>
    <row r="1572" spans="1:4">
      <c r="A1572" s="105">
        <v>103003</v>
      </c>
      <c r="B1572" s="104" t="s">
        <v>1833</v>
      </c>
      <c r="C1572" s="104" t="s">
        <v>183</v>
      </c>
      <c r="D1572" s="129" t="s">
        <v>21141</v>
      </c>
    </row>
    <row r="1573" spans="1:4">
      <c r="A1573" s="105">
        <v>103005</v>
      </c>
      <c r="B1573" s="104" t="s">
        <v>1834</v>
      </c>
      <c r="C1573" s="104" t="s">
        <v>183</v>
      </c>
      <c r="D1573" s="129" t="s">
        <v>21142</v>
      </c>
    </row>
    <row r="1574" spans="1:4">
      <c r="A1574" s="105">
        <v>103006</v>
      </c>
      <c r="B1574" s="104" t="s">
        <v>1835</v>
      </c>
      <c r="C1574" s="104" t="s">
        <v>183</v>
      </c>
      <c r="D1574" s="129" t="s">
        <v>21143</v>
      </c>
    </row>
    <row r="1575" spans="1:4">
      <c r="A1575" s="105">
        <v>103007</v>
      </c>
      <c r="B1575" s="104" t="s">
        <v>1836</v>
      </c>
      <c r="C1575" s="104" t="s">
        <v>183</v>
      </c>
      <c r="D1575" s="129" t="s">
        <v>21144</v>
      </c>
    </row>
    <row r="1576" spans="1:4">
      <c r="A1576" s="105">
        <v>97933</v>
      </c>
      <c r="B1576" s="104" t="s">
        <v>1837</v>
      </c>
      <c r="C1576" s="104" t="s">
        <v>183</v>
      </c>
      <c r="D1576" s="129" t="s">
        <v>21145</v>
      </c>
    </row>
    <row r="1577" spans="1:4">
      <c r="A1577" s="105">
        <v>97934</v>
      </c>
      <c r="B1577" s="104" t="s">
        <v>1838</v>
      </c>
      <c r="C1577" s="104" t="s">
        <v>183</v>
      </c>
      <c r="D1577" s="129" t="s">
        <v>21146</v>
      </c>
    </row>
    <row r="1578" spans="1:4">
      <c r="A1578" s="105">
        <v>97935</v>
      </c>
      <c r="B1578" s="104" t="s">
        <v>1839</v>
      </c>
      <c r="C1578" s="104" t="s">
        <v>183</v>
      </c>
      <c r="D1578" s="129" t="s">
        <v>21147</v>
      </c>
    </row>
    <row r="1579" spans="1:4">
      <c r="A1579" s="105">
        <v>97936</v>
      </c>
      <c r="B1579" s="104" t="s">
        <v>1840</v>
      </c>
      <c r="C1579" s="104" t="s">
        <v>183</v>
      </c>
      <c r="D1579" s="129" t="s">
        <v>21148</v>
      </c>
    </row>
    <row r="1580" spans="1:4">
      <c r="A1580" s="105">
        <v>97947</v>
      </c>
      <c r="B1580" s="104" t="s">
        <v>1841</v>
      </c>
      <c r="C1580" s="104" t="s">
        <v>183</v>
      </c>
      <c r="D1580" s="129" t="s">
        <v>21149</v>
      </c>
    </row>
    <row r="1581" spans="1:4">
      <c r="A1581" s="105">
        <v>97948</v>
      </c>
      <c r="B1581" s="104" t="s">
        <v>1842</v>
      </c>
      <c r="C1581" s="104" t="s">
        <v>183</v>
      </c>
      <c r="D1581" s="129" t="s">
        <v>21150</v>
      </c>
    </row>
    <row r="1582" spans="1:4">
      <c r="A1582" s="105">
        <v>97949</v>
      </c>
      <c r="B1582" s="104" t="s">
        <v>1843</v>
      </c>
      <c r="C1582" s="104" t="s">
        <v>183</v>
      </c>
      <c r="D1582" s="129" t="s">
        <v>21151</v>
      </c>
    </row>
    <row r="1583" spans="1:4">
      <c r="A1583" s="105">
        <v>97950</v>
      </c>
      <c r="B1583" s="104" t="s">
        <v>1844</v>
      </c>
      <c r="C1583" s="104" t="s">
        <v>183</v>
      </c>
      <c r="D1583" s="129" t="s">
        <v>21152</v>
      </c>
    </row>
    <row r="1584" spans="1:4">
      <c r="A1584" s="105">
        <v>97951</v>
      </c>
      <c r="B1584" s="104" t="s">
        <v>1845</v>
      </c>
      <c r="C1584" s="104" t="s">
        <v>183</v>
      </c>
      <c r="D1584" s="129" t="s">
        <v>21153</v>
      </c>
    </row>
    <row r="1585" spans="1:4">
      <c r="A1585" s="105">
        <v>97952</v>
      </c>
      <c r="B1585" s="104" t="s">
        <v>1846</v>
      </c>
      <c r="C1585" s="104" t="s">
        <v>183</v>
      </c>
      <c r="D1585" s="129" t="s">
        <v>21154</v>
      </c>
    </row>
    <row r="1586" spans="1:4">
      <c r="A1586" s="105">
        <v>97953</v>
      </c>
      <c r="B1586" s="104" t="s">
        <v>1847</v>
      </c>
      <c r="C1586" s="104" t="s">
        <v>183</v>
      </c>
      <c r="D1586" s="129" t="s">
        <v>21155</v>
      </c>
    </row>
    <row r="1587" spans="1:4">
      <c r="A1587" s="105">
        <v>97955</v>
      </c>
      <c r="B1587" s="104" t="s">
        <v>1848</v>
      </c>
      <c r="C1587" s="104" t="s">
        <v>183</v>
      </c>
      <c r="D1587" s="129" t="s">
        <v>21156</v>
      </c>
    </row>
    <row r="1588" spans="1:4">
      <c r="A1588" s="105">
        <v>97956</v>
      </c>
      <c r="B1588" s="104" t="s">
        <v>1849</v>
      </c>
      <c r="C1588" s="104" t="s">
        <v>183</v>
      </c>
      <c r="D1588" s="129" t="s">
        <v>21157</v>
      </c>
    </row>
    <row r="1589" spans="1:4">
      <c r="A1589" s="105">
        <v>97957</v>
      </c>
      <c r="B1589" s="104" t="s">
        <v>1850</v>
      </c>
      <c r="C1589" s="104" t="s">
        <v>183</v>
      </c>
      <c r="D1589" s="129" t="s">
        <v>21158</v>
      </c>
    </row>
    <row r="1590" spans="1:4">
      <c r="A1590" s="105">
        <v>97961</v>
      </c>
      <c r="B1590" s="104" t="s">
        <v>1851</v>
      </c>
      <c r="C1590" s="104" t="s">
        <v>183</v>
      </c>
      <c r="D1590" s="129" t="s">
        <v>21159</v>
      </c>
    </row>
    <row r="1591" spans="1:4">
      <c r="A1591" s="105">
        <v>97973</v>
      </c>
      <c r="B1591" s="104" t="s">
        <v>1852</v>
      </c>
      <c r="C1591" s="104" t="s">
        <v>183</v>
      </c>
      <c r="D1591" s="129" t="s">
        <v>21160</v>
      </c>
    </row>
    <row r="1592" spans="1:4">
      <c r="A1592" s="105">
        <v>97974</v>
      </c>
      <c r="B1592" s="104" t="s">
        <v>1853</v>
      </c>
      <c r="C1592" s="104" t="s">
        <v>183</v>
      </c>
      <c r="D1592" s="129" t="s">
        <v>21161</v>
      </c>
    </row>
    <row r="1593" spans="1:4">
      <c r="A1593" s="105">
        <v>97975</v>
      </c>
      <c r="B1593" s="104" t="s">
        <v>1854</v>
      </c>
      <c r="C1593" s="104" t="s">
        <v>183</v>
      </c>
      <c r="D1593" s="129" t="s">
        <v>21162</v>
      </c>
    </row>
    <row r="1594" spans="1:4">
      <c r="A1594" s="105">
        <v>97976</v>
      </c>
      <c r="B1594" s="104" t="s">
        <v>1855</v>
      </c>
      <c r="C1594" s="104" t="s">
        <v>183</v>
      </c>
      <c r="D1594" s="129" t="s">
        <v>21163</v>
      </c>
    </row>
    <row r="1595" spans="1:4">
      <c r="A1595" s="105">
        <v>97977</v>
      </c>
      <c r="B1595" s="104" t="s">
        <v>1856</v>
      </c>
      <c r="C1595" s="104" t="s">
        <v>183</v>
      </c>
      <c r="D1595" s="129" t="s">
        <v>21164</v>
      </c>
    </row>
    <row r="1596" spans="1:4">
      <c r="A1596" s="105">
        <v>97978</v>
      </c>
      <c r="B1596" s="104" t="s">
        <v>1857</v>
      </c>
      <c r="C1596" s="104" t="s">
        <v>183</v>
      </c>
      <c r="D1596" s="129" t="s">
        <v>21165</v>
      </c>
    </row>
    <row r="1597" spans="1:4">
      <c r="A1597" s="105">
        <v>97980</v>
      </c>
      <c r="B1597" s="104" t="s">
        <v>1858</v>
      </c>
      <c r="C1597" s="104" t="s">
        <v>183</v>
      </c>
      <c r="D1597" s="129" t="s">
        <v>21166</v>
      </c>
    </row>
    <row r="1598" spans="1:4">
      <c r="A1598" s="105">
        <v>97981</v>
      </c>
      <c r="B1598" s="104" t="s">
        <v>1859</v>
      </c>
      <c r="C1598" s="104" t="s">
        <v>40</v>
      </c>
      <c r="D1598" s="129" t="s">
        <v>21167</v>
      </c>
    </row>
    <row r="1599" spans="1:4">
      <c r="A1599" s="105">
        <v>97983</v>
      </c>
      <c r="B1599" s="104" t="s">
        <v>1860</v>
      </c>
      <c r="C1599" s="104" t="s">
        <v>40</v>
      </c>
      <c r="D1599" s="129" t="s">
        <v>21168</v>
      </c>
    </row>
    <row r="1600" spans="1:4">
      <c r="A1600" s="105">
        <v>97985</v>
      </c>
      <c r="B1600" s="104" t="s">
        <v>1861</v>
      </c>
      <c r="C1600" s="104" t="s">
        <v>40</v>
      </c>
      <c r="D1600" s="129" t="s">
        <v>21169</v>
      </c>
    </row>
    <row r="1601" spans="1:4">
      <c r="A1601" s="105">
        <v>97987</v>
      </c>
      <c r="B1601" s="104" t="s">
        <v>1862</v>
      </c>
      <c r="C1601" s="104" t="s">
        <v>40</v>
      </c>
      <c r="D1601" s="129" t="s">
        <v>21170</v>
      </c>
    </row>
    <row r="1602" spans="1:4">
      <c r="A1602" s="105">
        <v>97988</v>
      </c>
      <c r="B1602" s="104" t="s">
        <v>1863</v>
      </c>
      <c r="C1602" s="104" t="s">
        <v>183</v>
      </c>
      <c r="D1602" s="129" t="s">
        <v>21171</v>
      </c>
    </row>
    <row r="1603" spans="1:4">
      <c r="A1603" s="105">
        <v>97989</v>
      </c>
      <c r="B1603" s="104" t="s">
        <v>1864</v>
      </c>
      <c r="C1603" s="104" t="s">
        <v>40</v>
      </c>
      <c r="D1603" s="129" t="s">
        <v>21172</v>
      </c>
    </row>
    <row r="1604" spans="1:4">
      <c r="A1604" s="105">
        <v>97991</v>
      </c>
      <c r="B1604" s="104" t="s">
        <v>1865</v>
      </c>
      <c r="C1604" s="104" t="s">
        <v>40</v>
      </c>
      <c r="D1604" s="129" t="s">
        <v>21173</v>
      </c>
    </row>
    <row r="1605" spans="1:4">
      <c r="A1605" s="105">
        <v>97992</v>
      </c>
      <c r="B1605" s="104" t="s">
        <v>1866</v>
      </c>
      <c r="C1605" s="104" t="s">
        <v>183</v>
      </c>
      <c r="D1605" s="129" t="s">
        <v>21174</v>
      </c>
    </row>
    <row r="1606" spans="1:4">
      <c r="A1606" s="105">
        <v>97993</v>
      </c>
      <c r="B1606" s="104" t="s">
        <v>1867</v>
      </c>
      <c r="C1606" s="104" t="s">
        <v>40</v>
      </c>
      <c r="D1606" s="129" t="s">
        <v>21175</v>
      </c>
    </row>
    <row r="1607" spans="1:4">
      <c r="A1607" s="105">
        <v>97994</v>
      </c>
      <c r="B1607" s="104" t="s">
        <v>1868</v>
      </c>
      <c r="C1607" s="104" t="s">
        <v>183</v>
      </c>
      <c r="D1607" s="129" t="s">
        <v>21176</v>
      </c>
    </row>
    <row r="1608" spans="1:4">
      <c r="A1608" s="105">
        <v>97995</v>
      </c>
      <c r="B1608" s="104" t="s">
        <v>1869</v>
      </c>
      <c r="C1608" s="104" t="s">
        <v>40</v>
      </c>
      <c r="D1608" s="129" t="s">
        <v>21177</v>
      </c>
    </row>
    <row r="1609" spans="1:4">
      <c r="A1609" s="105">
        <v>97996</v>
      </c>
      <c r="B1609" s="104" t="s">
        <v>1870</v>
      </c>
      <c r="C1609" s="104" t="s">
        <v>183</v>
      </c>
      <c r="D1609" s="129" t="s">
        <v>21178</v>
      </c>
    </row>
    <row r="1610" spans="1:4">
      <c r="A1610" s="105">
        <v>97997</v>
      </c>
      <c r="B1610" s="104" t="s">
        <v>1871</v>
      </c>
      <c r="C1610" s="104" t="s">
        <v>40</v>
      </c>
      <c r="D1610" s="129" t="s">
        <v>21179</v>
      </c>
    </row>
    <row r="1611" spans="1:4">
      <c r="A1611" s="105">
        <v>97999</v>
      </c>
      <c r="B1611" s="104" t="s">
        <v>1872</v>
      </c>
      <c r="C1611" s="104" t="s">
        <v>40</v>
      </c>
      <c r="D1611" s="129" t="s">
        <v>21180</v>
      </c>
    </row>
    <row r="1612" spans="1:4">
      <c r="A1612" s="105">
        <v>98001</v>
      </c>
      <c r="B1612" s="104" t="s">
        <v>1873</v>
      </c>
      <c r="C1612" s="104" t="s">
        <v>40</v>
      </c>
      <c r="D1612" s="129" t="s">
        <v>21181</v>
      </c>
    </row>
    <row r="1613" spans="1:4">
      <c r="A1613" s="105">
        <v>98002</v>
      </c>
      <c r="B1613" s="104" t="s">
        <v>1874</v>
      </c>
      <c r="C1613" s="104" t="s">
        <v>183</v>
      </c>
      <c r="D1613" s="129" t="s">
        <v>21182</v>
      </c>
    </row>
    <row r="1614" spans="1:4">
      <c r="A1614" s="105">
        <v>98003</v>
      </c>
      <c r="B1614" s="104" t="s">
        <v>1875</v>
      </c>
      <c r="C1614" s="104" t="s">
        <v>40</v>
      </c>
      <c r="D1614" s="129" t="s">
        <v>21183</v>
      </c>
    </row>
    <row r="1615" spans="1:4">
      <c r="A1615" s="105">
        <v>98005</v>
      </c>
      <c r="B1615" s="104" t="s">
        <v>1876</v>
      </c>
      <c r="C1615" s="104" t="s">
        <v>40</v>
      </c>
      <c r="D1615" s="129" t="s">
        <v>21184</v>
      </c>
    </row>
    <row r="1616" spans="1:4">
      <c r="A1616" s="105">
        <v>98006</v>
      </c>
      <c r="B1616" s="104" t="s">
        <v>1877</v>
      </c>
      <c r="C1616" s="104" t="s">
        <v>183</v>
      </c>
      <c r="D1616" s="129" t="s">
        <v>21185</v>
      </c>
    </row>
    <row r="1617" spans="1:4">
      <c r="A1617" s="105">
        <v>98007</v>
      </c>
      <c r="B1617" s="104" t="s">
        <v>1878</v>
      </c>
      <c r="C1617" s="104" t="s">
        <v>40</v>
      </c>
      <c r="D1617" s="129" t="s">
        <v>21186</v>
      </c>
    </row>
    <row r="1618" spans="1:4">
      <c r="A1618" s="105">
        <v>98008</v>
      </c>
      <c r="B1618" s="104" t="s">
        <v>1879</v>
      </c>
      <c r="C1618" s="104" t="s">
        <v>183</v>
      </c>
      <c r="D1618" s="129" t="s">
        <v>21187</v>
      </c>
    </row>
    <row r="1619" spans="1:4">
      <c r="A1619" s="105">
        <v>98009</v>
      </c>
      <c r="B1619" s="104" t="s">
        <v>1880</v>
      </c>
      <c r="C1619" s="104" t="s">
        <v>40</v>
      </c>
      <c r="D1619" s="129" t="s">
        <v>21180</v>
      </c>
    </row>
    <row r="1620" spans="1:4">
      <c r="A1620" s="105">
        <v>98010</v>
      </c>
      <c r="B1620" s="104" t="s">
        <v>1881</v>
      </c>
      <c r="C1620" s="104" t="s">
        <v>183</v>
      </c>
      <c r="D1620" s="129" t="s">
        <v>21188</v>
      </c>
    </row>
    <row r="1621" spans="1:4">
      <c r="A1621" s="105">
        <v>98011</v>
      </c>
      <c r="B1621" s="104" t="s">
        <v>1882</v>
      </c>
      <c r="C1621" s="104" t="s">
        <v>40</v>
      </c>
      <c r="D1621" s="129" t="s">
        <v>21181</v>
      </c>
    </row>
    <row r="1622" spans="1:4">
      <c r="A1622" s="105">
        <v>98012</v>
      </c>
      <c r="B1622" s="104" t="s">
        <v>1883</v>
      </c>
      <c r="C1622" s="104" t="s">
        <v>183</v>
      </c>
      <c r="D1622" s="129" t="s">
        <v>21189</v>
      </c>
    </row>
    <row r="1623" spans="1:4">
      <c r="A1623" s="105">
        <v>98013</v>
      </c>
      <c r="B1623" s="104" t="s">
        <v>1884</v>
      </c>
      <c r="C1623" s="104" t="s">
        <v>40</v>
      </c>
      <c r="D1623" s="129" t="s">
        <v>21183</v>
      </c>
    </row>
    <row r="1624" spans="1:4">
      <c r="A1624" s="105">
        <v>98014</v>
      </c>
      <c r="B1624" s="104" t="s">
        <v>1885</v>
      </c>
      <c r="C1624" s="104" t="s">
        <v>183</v>
      </c>
      <c r="D1624" s="129" t="s">
        <v>21190</v>
      </c>
    </row>
    <row r="1625" spans="1:4">
      <c r="A1625" s="105">
        <v>98015</v>
      </c>
      <c r="B1625" s="104" t="s">
        <v>1886</v>
      </c>
      <c r="C1625" s="104" t="s">
        <v>40</v>
      </c>
      <c r="D1625" s="129" t="s">
        <v>21184</v>
      </c>
    </row>
    <row r="1626" spans="1:4">
      <c r="A1626" s="105">
        <v>98016</v>
      </c>
      <c r="B1626" s="104" t="s">
        <v>1887</v>
      </c>
      <c r="C1626" s="104" t="s">
        <v>183</v>
      </c>
      <c r="D1626" s="129" t="s">
        <v>21191</v>
      </c>
    </row>
    <row r="1627" spans="1:4">
      <c r="A1627" s="105">
        <v>98017</v>
      </c>
      <c r="B1627" s="104" t="s">
        <v>1888</v>
      </c>
      <c r="C1627" s="104" t="s">
        <v>40</v>
      </c>
      <c r="D1627" s="129" t="s">
        <v>21186</v>
      </c>
    </row>
    <row r="1628" spans="1:4">
      <c r="A1628" s="105">
        <v>98018</v>
      </c>
      <c r="B1628" s="104" t="s">
        <v>1889</v>
      </c>
      <c r="C1628" s="104" t="s">
        <v>183</v>
      </c>
      <c r="D1628" s="129" t="s">
        <v>21192</v>
      </c>
    </row>
    <row r="1629" spans="1:4">
      <c r="A1629" s="105">
        <v>98019</v>
      </c>
      <c r="B1629" s="104" t="s">
        <v>1890</v>
      </c>
      <c r="C1629" s="104" t="s">
        <v>40</v>
      </c>
      <c r="D1629" s="129" t="s">
        <v>21193</v>
      </c>
    </row>
    <row r="1630" spans="1:4">
      <c r="A1630" s="105">
        <v>98020</v>
      </c>
      <c r="B1630" s="104" t="s">
        <v>1891</v>
      </c>
      <c r="C1630" s="104" t="s">
        <v>183</v>
      </c>
      <c r="D1630" s="129" t="s">
        <v>21194</v>
      </c>
    </row>
    <row r="1631" spans="1:4">
      <c r="A1631" s="105">
        <v>98021</v>
      </c>
      <c r="B1631" s="104" t="s">
        <v>1892</v>
      </c>
      <c r="C1631" s="104" t="s">
        <v>40</v>
      </c>
      <c r="D1631" s="129" t="s">
        <v>21195</v>
      </c>
    </row>
    <row r="1632" spans="1:4">
      <c r="A1632" s="105">
        <v>98022</v>
      </c>
      <c r="B1632" s="104" t="s">
        <v>1893</v>
      </c>
      <c r="C1632" s="104" t="s">
        <v>183</v>
      </c>
      <c r="D1632" s="129" t="s">
        <v>21196</v>
      </c>
    </row>
    <row r="1633" spans="1:4">
      <c r="A1633" s="105">
        <v>98023</v>
      </c>
      <c r="B1633" s="104" t="s">
        <v>1894</v>
      </c>
      <c r="C1633" s="104" t="s">
        <v>40</v>
      </c>
      <c r="D1633" s="129" t="s">
        <v>21197</v>
      </c>
    </row>
    <row r="1634" spans="1:4">
      <c r="A1634" s="105">
        <v>98024</v>
      </c>
      <c r="B1634" s="104" t="s">
        <v>1895</v>
      </c>
      <c r="C1634" s="104" t="s">
        <v>183</v>
      </c>
      <c r="D1634" s="129" t="s">
        <v>21198</v>
      </c>
    </row>
    <row r="1635" spans="1:4">
      <c r="A1635" s="105">
        <v>98025</v>
      </c>
      <c r="B1635" s="104" t="s">
        <v>1896</v>
      </c>
      <c r="C1635" s="104" t="s">
        <v>40</v>
      </c>
      <c r="D1635" s="129" t="s">
        <v>21199</v>
      </c>
    </row>
    <row r="1636" spans="1:4">
      <c r="A1636" s="105">
        <v>98026</v>
      </c>
      <c r="B1636" s="104" t="s">
        <v>1897</v>
      </c>
      <c r="C1636" s="104" t="s">
        <v>183</v>
      </c>
      <c r="D1636" s="129" t="s">
        <v>21200</v>
      </c>
    </row>
    <row r="1637" spans="1:4">
      <c r="A1637" s="105">
        <v>98027</v>
      </c>
      <c r="B1637" s="104" t="s">
        <v>1898</v>
      </c>
      <c r="C1637" s="104" t="s">
        <v>40</v>
      </c>
      <c r="D1637" s="129" t="s">
        <v>21193</v>
      </c>
    </row>
    <row r="1638" spans="1:4">
      <c r="A1638" s="105">
        <v>98028</v>
      </c>
      <c r="B1638" s="104" t="s">
        <v>1899</v>
      </c>
      <c r="C1638" s="104" t="s">
        <v>183</v>
      </c>
      <c r="D1638" s="129" t="s">
        <v>21201</v>
      </c>
    </row>
    <row r="1639" spans="1:4">
      <c r="A1639" s="105">
        <v>98029</v>
      </c>
      <c r="B1639" s="104" t="s">
        <v>1900</v>
      </c>
      <c r="C1639" s="104" t="s">
        <v>40</v>
      </c>
      <c r="D1639" s="129" t="s">
        <v>21202</v>
      </c>
    </row>
    <row r="1640" spans="1:4">
      <c r="A1640" s="105">
        <v>98030</v>
      </c>
      <c r="B1640" s="104" t="s">
        <v>1901</v>
      </c>
      <c r="C1640" s="104" t="s">
        <v>183</v>
      </c>
      <c r="D1640" s="129" t="s">
        <v>21203</v>
      </c>
    </row>
    <row r="1641" spans="1:4">
      <c r="A1641" s="105">
        <v>98031</v>
      </c>
      <c r="B1641" s="104" t="s">
        <v>1902</v>
      </c>
      <c r="C1641" s="104" t="s">
        <v>40</v>
      </c>
      <c r="D1641" s="129" t="s">
        <v>21204</v>
      </c>
    </row>
    <row r="1642" spans="1:4">
      <c r="A1642" s="105">
        <v>98032</v>
      </c>
      <c r="B1642" s="104" t="s">
        <v>1903</v>
      </c>
      <c r="C1642" s="104" t="s">
        <v>183</v>
      </c>
      <c r="D1642" s="129" t="s">
        <v>21205</v>
      </c>
    </row>
    <row r="1643" spans="1:4">
      <c r="A1643" s="105">
        <v>98033</v>
      </c>
      <c r="B1643" s="104" t="s">
        <v>1904</v>
      </c>
      <c r="C1643" s="104" t="s">
        <v>40</v>
      </c>
      <c r="D1643" s="129" t="s">
        <v>21206</v>
      </c>
    </row>
    <row r="1644" spans="1:4">
      <c r="A1644" s="105">
        <v>98034</v>
      </c>
      <c r="B1644" s="104" t="s">
        <v>1905</v>
      </c>
      <c r="C1644" s="104" t="s">
        <v>183</v>
      </c>
      <c r="D1644" s="129" t="s">
        <v>21207</v>
      </c>
    </row>
    <row r="1645" spans="1:4">
      <c r="A1645" s="105">
        <v>98035</v>
      </c>
      <c r="B1645" s="104" t="s">
        <v>1906</v>
      </c>
      <c r="C1645" s="104" t="s">
        <v>40</v>
      </c>
      <c r="D1645" s="129" t="s">
        <v>21202</v>
      </c>
    </row>
    <row r="1646" spans="1:4">
      <c r="A1646" s="105">
        <v>98036</v>
      </c>
      <c r="B1646" s="104" t="s">
        <v>1907</v>
      </c>
      <c r="C1646" s="104" t="s">
        <v>183</v>
      </c>
      <c r="D1646" s="129" t="s">
        <v>21208</v>
      </c>
    </row>
    <row r="1647" spans="1:4">
      <c r="A1647" s="105">
        <v>98037</v>
      </c>
      <c r="B1647" s="104" t="s">
        <v>1908</v>
      </c>
      <c r="C1647" s="104" t="s">
        <v>40</v>
      </c>
      <c r="D1647" s="129" t="s">
        <v>21209</v>
      </c>
    </row>
    <row r="1648" spans="1:4">
      <c r="A1648" s="105">
        <v>98038</v>
      </c>
      <c r="B1648" s="104" t="s">
        <v>1909</v>
      </c>
      <c r="C1648" s="104" t="s">
        <v>183</v>
      </c>
      <c r="D1648" s="129" t="s">
        <v>21210</v>
      </c>
    </row>
    <row r="1649" spans="1:4">
      <c r="A1649" s="105">
        <v>98039</v>
      </c>
      <c r="B1649" s="104" t="s">
        <v>1910</v>
      </c>
      <c r="C1649" s="104" t="s">
        <v>40</v>
      </c>
      <c r="D1649" s="129" t="s">
        <v>21211</v>
      </c>
    </row>
    <row r="1650" spans="1:4">
      <c r="A1650" s="105">
        <v>98040</v>
      </c>
      <c r="B1650" s="104" t="s">
        <v>1911</v>
      </c>
      <c r="C1650" s="104" t="s">
        <v>183</v>
      </c>
      <c r="D1650" s="129" t="s">
        <v>21212</v>
      </c>
    </row>
    <row r="1651" spans="1:4">
      <c r="A1651" s="105">
        <v>98041</v>
      </c>
      <c r="B1651" s="104" t="s">
        <v>1912</v>
      </c>
      <c r="C1651" s="104" t="s">
        <v>40</v>
      </c>
      <c r="D1651" s="129" t="s">
        <v>21209</v>
      </c>
    </row>
    <row r="1652" spans="1:4">
      <c r="A1652" s="105">
        <v>98042</v>
      </c>
      <c r="B1652" s="104" t="s">
        <v>1913</v>
      </c>
      <c r="C1652" s="104" t="s">
        <v>183</v>
      </c>
      <c r="D1652" s="129" t="s">
        <v>21213</v>
      </c>
    </row>
    <row r="1653" spans="1:4">
      <c r="A1653" s="105">
        <v>98043</v>
      </c>
      <c r="B1653" s="104" t="s">
        <v>1914</v>
      </c>
      <c r="C1653" s="104" t="s">
        <v>40</v>
      </c>
      <c r="D1653" s="129" t="s">
        <v>21214</v>
      </c>
    </row>
    <row r="1654" spans="1:4">
      <c r="A1654" s="105">
        <v>98044</v>
      </c>
      <c r="B1654" s="104" t="s">
        <v>1915</v>
      </c>
      <c r="C1654" s="104" t="s">
        <v>183</v>
      </c>
      <c r="D1654" s="129" t="s">
        <v>21215</v>
      </c>
    </row>
    <row r="1655" spans="1:4">
      <c r="A1655" s="105">
        <v>98045</v>
      </c>
      <c r="B1655" s="104" t="s">
        <v>1916</v>
      </c>
      <c r="C1655" s="104" t="s">
        <v>40</v>
      </c>
      <c r="D1655" s="129" t="s">
        <v>21214</v>
      </c>
    </row>
    <row r="1656" spans="1:4">
      <c r="A1656" s="105">
        <v>98046</v>
      </c>
      <c r="B1656" s="104" t="s">
        <v>1917</v>
      </c>
      <c r="C1656" s="104" t="s">
        <v>183</v>
      </c>
      <c r="D1656" s="129" t="s">
        <v>21216</v>
      </c>
    </row>
    <row r="1657" spans="1:4">
      <c r="A1657" s="105">
        <v>98047</v>
      </c>
      <c r="B1657" s="104" t="s">
        <v>1918</v>
      </c>
      <c r="C1657" s="104" t="s">
        <v>40</v>
      </c>
      <c r="D1657" s="129" t="s">
        <v>21217</v>
      </c>
    </row>
    <row r="1658" spans="1:4">
      <c r="A1658" s="105">
        <v>98048</v>
      </c>
      <c r="B1658" s="104" t="s">
        <v>1919</v>
      </c>
      <c r="C1658" s="104" t="s">
        <v>183</v>
      </c>
      <c r="D1658" s="129" t="s">
        <v>21218</v>
      </c>
    </row>
    <row r="1659" spans="1:4">
      <c r="A1659" s="105">
        <v>98049</v>
      </c>
      <c r="B1659" s="104" t="s">
        <v>1920</v>
      </c>
      <c r="C1659" s="104" t="s">
        <v>40</v>
      </c>
      <c r="D1659" s="129" t="s">
        <v>21219</v>
      </c>
    </row>
    <row r="1660" spans="1:4">
      <c r="A1660" s="105">
        <v>98050</v>
      </c>
      <c r="B1660" s="104" t="s">
        <v>1921</v>
      </c>
      <c r="C1660" s="104" t="s">
        <v>40</v>
      </c>
      <c r="D1660" s="129" t="s">
        <v>21220</v>
      </c>
    </row>
    <row r="1661" spans="1:4">
      <c r="A1661" s="105">
        <v>98051</v>
      </c>
      <c r="B1661" s="104" t="s">
        <v>1922</v>
      </c>
      <c r="C1661" s="104" t="s">
        <v>40</v>
      </c>
      <c r="D1661" s="129" t="s">
        <v>21221</v>
      </c>
    </row>
    <row r="1662" spans="1:4">
      <c r="A1662" s="105">
        <v>98405</v>
      </c>
      <c r="B1662" s="104" t="s">
        <v>1923</v>
      </c>
      <c r="C1662" s="104" t="s">
        <v>183</v>
      </c>
      <c r="D1662" s="129" t="s">
        <v>21222</v>
      </c>
    </row>
    <row r="1663" spans="1:4">
      <c r="A1663" s="105">
        <v>98406</v>
      </c>
      <c r="B1663" s="104" t="s">
        <v>1924</v>
      </c>
      <c r="C1663" s="104" t="s">
        <v>183</v>
      </c>
      <c r="D1663" s="129" t="s">
        <v>21223</v>
      </c>
    </row>
    <row r="1664" spans="1:4">
      <c r="A1664" s="105">
        <v>98407</v>
      </c>
      <c r="B1664" s="104" t="s">
        <v>1925</v>
      </c>
      <c r="C1664" s="104" t="s">
        <v>183</v>
      </c>
      <c r="D1664" s="129" t="s">
        <v>21224</v>
      </c>
    </row>
    <row r="1665" spans="1:4">
      <c r="A1665" s="105">
        <v>98408</v>
      </c>
      <c r="B1665" s="104" t="s">
        <v>1926</v>
      </c>
      <c r="C1665" s="104" t="s">
        <v>183</v>
      </c>
      <c r="D1665" s="129" t="s">
        <v>21225</v>
      </c>
    </row>
    <row r="1666" spans="1:4">
      <c r="A1666" s="105">
        <v>98409</v>
      </c>
      <c r="B1666" s="104" t="s">
        <v>1927</v>
      </c>
      <c r="C1666" s="104" t="s">
        <v>40</v>
      </c>
      <c r="D1666" s="129" t="s">
        <v>21226</v>
      </c>
    </row>
    <row r="1667" spans="1:4">
      <c r="A1667" s="105">
        <v>98410</v>
      </c>
      <c r="B1667" s="104" t="s">
        <v>1928</v>
      </c>
      <c r="C1667" s="104" t="s">
        <v>183</v>
      </c>
      <c r="D1667" s="129" t="s">
        <v>21227</v>
      </c>
    </row>
    <row r="1668" spans="1:4">
      <c r="A1668" s="105">
        <v>98414</v>
      </c>
      <c r="B1668" s="104" t="s">
        <v>1929</v>
      </c>
      <c r="C1668" s="104" t="s">
        <v>183</v>
      </c>
      <c r="D1668" s="129" t="s">
        <v>21228</v>
      </c>
    </row>
    <row r="1669" spans="1:4">
      <c r="A1669" s="105">
        <v>98415</v>
      </c>
      <c r="B1669" s="104" t="s">
        <v>1930</v>
      </c>
      <c r="C1669" s="104" t="s">
        <v>183</v>
      </c>
      <c r="D1669" s="129" t="s">
        <v>21229</v>
      </c>
    </row>
    <row r="1670" spans="1:4">
      <c r="A1670" s="105">
        <v>98416</v>
      </c>
      <c r="B1670" s="104" t="s">
        <v>1931</v>
      </c>
      <c r="C1670" s="104" t="s">
        <v>183</v>
      </c>
      <c r="D1670" s="129" t="s">
        <v>21230</v>
      </c>
    </row>
    <row r="1671" spans="1:4">
      <c r="A1671" s="105">
        <v>98417</v>
      </c>
      <c r="B1671" s="104" t="s">
        <v>1932</v>
      </c>
      <c r="C1671" s="104" t="s">
        <v>183</v>
      </c>
      <c r="D1671" s="129" t="s">
        <v>21231</v>
      </c>
    </row>
    <row r="1672" spans="1:4">
      <c r="A1672" s="105">
        <v>98418</v>
      </c>
      <c r="B1672" s="104" t="s">
        <v>1933</v>
      </c>
      <c r="C1672" s="104" t="s">
        <v>183</v>
      </c>
      <c r="D1672" s="129" t="s">
        <v>21232</v>
      </c>
    </row>
    <row r="1673" spans="1:4">
      <c r="A1673" s="105">
        <v>98419</v>
      </c>
      <c r="B1673" s="104" t="s">
        <v>1934</v>
      </c>
      <c r="C1673" s="104" t="s">
        <v>183</v>
      </c>
      <c r="D1673" s="129" t="s">
        <v>21233</v>
      </c>
    </row>
    <row r="1674" spans="1:4">
      <c r="A1674" s="105">
        <v>98420</v>
      </c>
      <c r="B1674" s="104" t="s">
        <v>1935</v>
      </c>
      <c r="C1674" s="104" t="s">
        <v>183</v>
      </c>
      <c r="D1674" s="129" t="s">
        <v>21234</v>
      </c>
    </row>
    <row r="1675" spans="1:4">
      <c r="A1675" s="105">
        <v>98421</v>
      </c>
      <c r="B1675" s="104" t="s">
        <v>1936</v>
      </c>
      <c r="C1675" s="104" t="s">
        <v>183</v>
      </c>
      <c r="D1675" s="129" t="s">
        <v>21235</v>
      </c>
    </row>
    <row r="1676" spans="1:4">
      <c r="A1676" s="105">
        <v>98422</v>
      </c>
      <c r="B1676" s="104" t="s">
        <v>1937</v>
      </c>
      <c r="C1676" s="104" t="s">
        <v>183</v>
      </c>
      <c r="D1676" s="129" t="s">
        <v>21236</v>
      </c>
    </row>
    <row r="1677" spans="1:4">
      <c r="A1677" s="105">
        <v>98423</v>
      </c>
      <c r="B1677" s="104" t="s">
        <v>1938</v>
      </c>
      <c r="C1677" s="104" t="s">
        <v>183</v>
      </c>
      <c r="D1677" s="129" t="s">
        <v>21237</v>
      </c>
    </row>
    <row r="1678" spans="1:4">
      <c r="A1678" s="105">
        <v>98424</v>
      </c>
      <c r="B1678" s="104" t="s">
        <v>1939</v>
      </c>
      <c r="C1678" s="104" t="s">
        <v>183</v>
      </c>
      <c r="D1678" s="129" t="s">
        <v>21238</v>
      </c>
    </row>
    <row r="1679" spans="1:4">
      <c r="A1679" s="105">
        <v>98425</v>
      </c>
      <c r="B1679" s="104" t="s">
        <v>1940</v>
      </c>
      <c r="C1679" s="104" t="s">
        <v>183</v>
      </c>
      <c r="D1679" s="129" t="s">
        <v>21171</v>
      </c>
    </row>
    <row r="1680" spans="1:4">
      <c r="A1680" s="105">
        <v>98426</v>
      </c>
      <c r="B1680" s="104" t="s">
        <v>1941</v>
      </c>
      <c r="C1680" s="104" t="s">
        <v>183</v>
      </c>
      <c r="D1680" s="129" t="s">
        <v>21239</v>
      </c>
    </row>
    <row r="1681" spans="1:4">
      <c r="A1681" s="105">
        <v>98427</v>
      </c>
      <c r="B1681" s="104" t="s">
        <v>1942</v>
      </c>
      <c r="C1681" s="104" t="s">
        <v>183</v>
      </c>
      <c r="D1681" s="129" t="s">
        <v>21240</v>
      </c>
    </row>
    <row r="1682" spans="1:4">
      <c r="A1682" s="105">
        <v>98428</v>
      </c>
      <c r="B1682" s="104" t="s">
        <v>1943</v>
      </c>
      <c r="C1682" s="104" t="s">
        <v>183</v>
      </c>
      <c r="D1682" s="129" t="s">
        <v>21241</v>
      </c>
    </row>
    <row r="1683" spans="1:4">
      <c r="A1683" s="105">
        <v>98429</v>
      </c>
      <c r="B1683" s="104" t="s">
        <v>1944</v>
      </c>
      <c r="C1683" s="104" t="s">
        <v>183</v>
      </c>
      <c r="D1683" s="129" t="s">
        <v>21242</v>
      </c>
    </row>
    <row r="1684" spans="1:4">
      <c r="A1684" s="105">
        <v>98430</v>
      </c>
      <c r="B1684" s="104" t="s">
        <v>1945</v>
      </c>
      <c r="C1684" s="104" t="s">
        <v>183</v>
      </c>
      <c r="D1684" s="129" t="s">
        <v>21243</v>
      </c>
    </row>
    <row r="1685" spans="1:4">
      <c r="A1685" s="105">
        <v>98431</v>
      </c>
      <c r="B1685" s="104" t="s">
        <v>1946</v>
      </c>
      <c r="C1685" s="104" t="s">
        <v>183</v>
      </c>
      <c r="D1685" s="129" t="s">
        <v>21244</v>
      </c>
    </row>
    <row r="1686" spans="1:4">
      <c r="A1686" s="105">
        <v>98432</v>
      </c>
      <c r="B1686" s="104" t="s">
        <v>1947</v>
      </c>
      <c r="C1686" s="104" t="s">
        <v>183</v>
      </c>
      <c r="D1686" s="129" t="s">
        <v>21245</v>
      </c>
    </row>
    <row r="1687" spans="1:4">
      <c r="A1687" s="105">
        <v>98433</v>
      </c>
      <c r="B1687" s="104" t="s">
        <v>1948</v>
      </c>
      <c r="C1687" s="104" t="s">
        <v>183</v>
      </c>
      <c r="D1687" s="129" t="s">
        <v>21246</v>
      </c>
    </row>
    <row r="1688" spans="1:4">
      <c r="A1688" s="105">
        <v>98434</v>
      </c>
      <c r="B1688" s="104" t="s">
        <v>1949</v>
      </c>
      <c r="C1688" s="104" t="s">
        <v>183</v>
      </c>
      <c r="D1688" s="129" t="s">
        <v>21247</v>
      </c>
    </row>
    <row r="1689" spans="1:4">
      <c r="A1689" s="105">
        <v>99240</v>
      </c>
      <c r="B1689" s="104" t="s">
        <v>1950</v>
      </c>
      <c r="C1689" s="104" t="s">
        <v>40</v>
      </c>
      <c r="D1689" s="129" t="s">
        <v>21248</v>
      </c>
    </row>
    <row r="1690" spans="1:4">
      <c r="A1690" s="105">
        <v>99241</v>
      </c>
      <c r="B1690" s="104" t="s">
        <v>1951</v>
      </c>
      <c r="C1690" s="104" t="s">
        <v>40</v>
      </c>
      <c r="D1690" s="129" t="s">
        <v>21249</v>
      </c>
    </row>
    <row r="1691" spans="1:4">
      <c r="A1691" s="105">
        <v>99242</v>
      </c>
      <c r="B1691" s="104" t="s">
        <v>1952</v>
      </c>
      <c r="C1691" s="104" t="s">
        <v>183</v>
      </c>
      <c r="D1691" s="129" t="s">
        <v>21250</v>
      </c>
    </row>
    <row r="1692" spans="1:4">
      <c r="A1692" s="105">
        <v>99243</v>
      </c>
      <c r="B1692" s="104" t="s">
        <v>1953</v>
      </c>
      <c r="C1692" s="104" t="s">
        <v>40</v>
      </c>
      <c r="D1692" s="129" t="s">
        <v>21251</v>
      </c>
    </row>
    <row r="1693" spans="1:4">
      <c r="A1693" s="105">
        <v>99244</v>
      </c>
      <c r="B1693" s="104" t="s">
        <v>1954</v>
      </c>
      <c r="C1693" s="104" t="s">
        <v>183</v>
      </c>
      <c r="D1693" s="129" t="s">
        <v>21252</v>
      </c>
    </row>
    <row r="1694" spans="1:4">
      <c r="A1694" s="105">
        <v>99246</v>
      </c>
      <c r="B1694" s="104" t="s">
        <v>1955</v>
      </c>
      <c r="C1694" s="104" t="s">
        <v>40</v>
      </c>
      <c r="D1694" s="129" t="s">
        <v>21253</v>
      </c>
    </row>
    <row r="1695" spans="1:4">
      <c r="A1695" s="105">
        <v>99247</v>
      </c>
      <c r="B1695" s="104" t="s">
        <v>1956</v>
      </c>
      <c r="C1695" s="104" t="s">
        <v>40</v>
      </c>
      <c r="D1695" s="129" t="s">
        <v>21254</v>
      </c>
    </row>
    <row r="1696" spans="1:4">
      <c r="A1696" s="105">
        <v>99248</v>
      </c>
      <c r="B1696" s="104" t="s">
        <v>1957</v>
      </c>
      <c r="C1696" s="104" t="s">
        <v>183</v>
      </c>
      <c r="D1696" s="129" t="s">
        <v>21255</v>
      </c>
    </row>
    <row r="1697" spans="1:4">
      <c r="A1697" s="105">
        <v>99249</v>
      </c>
      <c r="B1697" s="104" t="s">
        <v>1958</v>
      </c>
      <c r="C1697" s="104" t="s">
        <v>40</v>
      </c>
      <c r="D1697" s="129" t="s">
        <v>21256</v>
      </c>
    </row>
    <row r="1698" spans="1:4">
      <c r="A1698" s="105">
        <v>99252</v>
      </c>
      <c r="B1698" s="104" t="s">
        <v>1959</v>
      </c>
      <c r="C1698" s="104" t="s">
        <v>183</v>
      </c>
      <c r="D1698" s="129" t="s">
        <v>21257</v>
      </c>
    </row>
    <row r="1699" spans="1:4">
      <c r="A1699" s="105">
        <v>99254</v>
      </c>
      <c r="B1699" s="104" t="s">
        <v>1960</v>
      </c>
      <c r="C1699" s="104" t="s">
        <v>40</v>
      </c>
      <c r="D1699" s="129" t="s">
        <v>21258</v>
      </c>
    </row>
    <row r="1700" spans="1:4">
      <c r="A1700" s="105">
        <v>99256</v>
      </c>
      <c r="B1700" s="104" t="s">
        <v>1961</v>
      </c>
      <c r="C1700" s="104" t="s">
        <v>183</v>
      </c>
      <c r="D1700" s="129" t="s">
        <v>21259</v>
      </c>
    </row>
    <row r="1701" spans="1:4">
      <c r="A1701" s="105">
        <v>99259</v>
      </c>
      <c r="B1701" s="104" t="s">
        <v>1962</v>
      </c>
      <c r="C1701" s="104" t="s">
        <v>183</v>
      </c>
      <c r="D1701" s="129" t="s">
        <v>21260</v>
      </c>
    </row>
    <row r="1702" spans="1:4">
      <c r="A1702" s="105">
        <v>99261</v>
      </c>
      <c r="B1702" s="104" t="s">
        <v>1963</v>
      </c>
      <c r="C1702" s="104" t="s">
        <v>40</v>
      </c>
      <c r="D1702" s="129" t="s">
        <v>21261</v>
      </c>
    </row>
    <row r="1703" spans="1:4">
      <c r="A1703" s="105">
        <v>99263</v>
      </c>
      <c r="B1703" s="104" t="s">
        <v>1964</v>
      </c>
      <c r="C1703" s="104" t="s">
        <v>40</v>
      </c>
      <c r="D1703" s="129" t="s">
        <v>21262</v>
      </c>
    </row>
    <row r="1704" spans="1:4">
      <c r="A1704" s="105">
        <v>99265</v>
      </c>
      <c r="B1704" s="104" t="s">
        <v>1965</v>
      </c>
      <c r="C1704" s="104" t="s">
        <v>183</v>
      </c>
      <c r="D1704" s="129" t="s">
        <v>21263</v>
      </c>
    </row>
    <row r="1705" spans="1:4">
      <c r="A1705" s="105">
        <v>99266</v>
      </c>
      <c r="B1705" s="104" t="s">
        <v>1966</v>
      </c>
      <c r="C1705" s="104" t="s">
        <v>40</v>
      </c>
      <c r="D1705" s="129" t="s">
        <v>21249</v>
      </c>
    </row>
    <row r="1706" spans="1:4">
      <c r="A1706" s="105">
        <v>99267</v>
      </c>
      <c r="B1706" s="104" t="s">
        <v>1967</v>
      </c>
      <c r="C1706" s="104" t="s">
        <v>183</v>
      </c>
      <c r="D1706" s="129" t="s">
        <v>21264</v>
      </c>
    </row>
    <row r="1707" spans="1:4">
      <c r="A1707" s="105">
        <v>99268</v>
      </c>
      <c r="B1707" s="104" t="s">
        <v>1968</v>
      </c>
      <c r="C1707" s="104" t="s">
        <v>183</v>
      </c>
      <c r="D1707" s="129" t="s">
        <v>21265</v>
      </c>
    </row>
    <row r="1708" spans="1:4">
      <c r="A1708" s="105">
        <v>99269</v>
      </c>
      <c r="B1708" s="104" t="s">
        <v>1969</v>
      </c>
      <c r="C1708" s="104" t="s">
        <v>40</v>
      </c>
      <c r="D1708" s="129" t="s">
        <v>21254</v>
      </c>
    </row>
    <row r="1709" spans="1:4">
      <c r="A1709" s="105">
        <v>99270</v>
      </c>
      <c r="B1709" s="104" t="s">
        <v>1970</v>
      </c>
      <c r="C1709" s="104" t="s">
        <v>183</v>
      </c>
      <c r="D1709" s="129" t="s">
        <v>21266</v>
      </c>
    </row>
    <row r="1710" spans="1:4">
      <c r="A1710" s="105">
        <v>99271</v>
      </c>
      <c r="B1710" s="104" t="s">
        <v>1971</v>
      </c>
      <c r="C1710" s="104" t="s">
        <v>183</v>
      </c>
      <c r="D1710" s="129" t="s">
        <v>21267</v>
      </c>
    </row>
    <row r="1711" spans="1:4">
      <c r="A1711" s="105">
        <v>99272</v>
      </c>
      <c r="B1711" s="104" t="s">
        <v>1972</v>
      </c>
      <c r="C1711" s="104" t="s">
        <v>183</v>
      </c>
      <c r="D1711" s="129" t="s">
        <v>21268</v>
      </c>
    </row>
    <row r="1712" spans="1:4">
      <c r="A1712" s="105">
        <v>99273</v>
      </c>
      <c r="B1712" s="104" t="s">
        <v>1973</v>
      </c>
      <c r="C1712" s="104" t="s">
        <v>183</v>
      </c>
      <c r="D1712" s="129" t="s">
        <v>21269</v>
      </c>
    </row>
    <row r="1713" spans="1:4">
      <c r="A1713" s="105">
        <v>99274</v>
      </c>
      <c r="B1713" s="104" t="s">
        <v>1974</v>
      </c>
      <c r="C1713" s="104" t="s">
        <v>183</v>
      </c>
      <c r="D1713" s="129" t="s">
        <v>21270</v>
      </c>
    </row>
    <row r="1714" spans="1:4">
      <c r="A1714" s="105">
        <v>99275</v>
      </c>
      <c r="B1714" s="104" t="s">
        <v>1975</v>
      </c>
      <c r="C1714" s="104" t="s">
        <v>183</v>
      </c>
      <c r="D1714" s="129" t="s">
        <v>21271</v>
      </c>
    </row>
    <row r="1715" spans="1:4">
      <c r="A1715" s="105">
        <v>99276</v>
      </c>
      <c r="B1715" s="104" t="s">
        <v>1976</v>
      </c>
      <c r="C1715" s="104" t="s">
        <v>40</v>
      </c>
      <c r="D1715" s="129" t="s">
        <v>21272</v>
      </c>
    </row>
    <row r="1716" spans="1:4">
      <c r="A1716" s="105">
        <v>99277</v>
      </c>
      <c r="B1716" s="104" t="s">
        <v>1977</v>
      </c>
      <c r="C1716" s="104" t="s">
        <v>40</v>
      </c>
      <c r="D1716" s="129" t="s">
        <v>21262</v>
      </c>
    </row>
    <row r="1717" spans="1:4">
      <c r="A1717" s="105">
        <v>99278</v>
      </c>
      <c r="B1717" s="104" t="s">
        <v>1978</v>
      </c>
      <c r="C1717" s="104" t="s">
        <v>40</v>
      </c>
      <c r="D1717" s="129" t="s">
        <v>21273</v>
      </c>
    </row>
    <row r="1718" spans="1:4">
      <c r="A1718" s="105">
        <v>99279</v>
      </c>
      <c r="B1718" s="104" t="s">
        <v>1979</v>
      </c>
      <c r="C1718" s="104" t="s">
        <v>183</v>
      </c>
      <c r="D1718" s="129" t="s">
        <v>21274</v>
      </c>
    </row>
    <row r="1719" spans="1:4">
      <c r="A1719" s="105">
        <v>99280</v>
      </c>
      <c r="B1719" s="104" t="s">
        <v>1980</v>
      </c>
      <c r="C1719" s="104" t="s">
        <v>183</v>
      </c>
      <c r="D1719" s="129" t="s">
        <v>21275</v>
      </c>
    </row>
    <row r="1720" spans="1:4">
      <c r="A1720" s="105">
        <v>99281</v>
      </c>
      <c r="B1720" s="104" t="s">
        <v>1981</v>
      </c>
      <c r="C1720" s="104" t="s">
        <v>40</v>
      </c>
      <c r="D1720" s="129" t="s">
        <v>21272</v>
      </c>
    </row>
    <row r="1721" spans="1:4">
      <c r="A1721" s="105">
        <v>99282</v>
      </c>
      <c r="B1721" s="104" t="s">
        <v>1982</v>
      </c>
      <c r="C1721" s="104" t="s">
        <v>40</v>
      </c>
      <c r="D1721" s="129" t="s">
        <v>21276</v>
      </c>
    </row>
    <row r="1722" spans="1:4">
      <c r="A1722" s="105">
        <v>99283</v>
      </c>
      <c r="B1722" s="104" t="s">
        <v>1983</v>
      </c>
      <c r="C1722" s="104" t="s">
        <v>40</v>
      </c>
      <c r="D1722" s="129" t="s">
        <v>21277</v>
      </c>
    </row>
    <row r="1723" spans="1:4">
      <c r="A1723" s="105">
        <v>99284</v>
      </c>
      <c r="B1723" s="104" t="s">
        <v>1984</v>
      </c>
      <c r="C1723" s="104" t="s">
        <v>183</v>
      </c>
      <c r="D1723" s="129" t="s">
        <v>21278</v>
      </c>
    </row>
    <row r="1724" spans="1:4">
      <c r="A1724" s="105">
        <v>99285</v>
      </c>
      <c r="B1724" s="104" t="s">
        <v>1985</v>
      </c>
      <c r="C1724" s="104" t="s">
        <v>183</v>
      </c>
      <c r="D1724" s="129" t="s">
        <v>21279</v>
      </c>
    </row>
    <row r="1725" spans="1:4">
      <c r="A1725" s="105">
        <v>99286</v>
      </c>
      <c r="B1725" s="104" t="s">
        <v>1986</v>
      </c>
      <c r="C1725" s="104" t="s">
        <v>183</v>
      </c>
      <c r="D1725" s="129" t="s">
        <v>21280</v>
      </c>
    </row>
    <row r="1726" spans="1:4">
      <c r="A1726" s="105">
        <v>99287</v>
      </c>
      <c r="B1726" s="104" t="s">
        <v>1987</v>
      </c>
      <c r="C1726" s="104" t="s">
        <v>183</v>
      </c>
      <c r="D1726" s="129" t="s">
        <v>21281</v>
      </c>
    </row>
    <row r="1727" spans="1:4">
      <c r="A1727" s="105">
        <v>99288</v>
      </c>
      <c r="B1727" s="104" t="s">
        <v>1988</v>
      </c>
      <c r="C1727" s="104" t="s">
        <v>40</v>
      </c>
      <c r="D1727" s="129" t="s">
        <v>21282</v>
      </c>
    </row>
    <row r="1728" spans="1:4">
      <c r="A1728" s="105">
        <v>99289</v>
      </c>
      <c r="B1728" s="104" t="s">
        <v>1989</v>
      </c>
      <c r="C1728" s="104" t="s">
        <v>40</v>
      </c>
      <c r="D1728" s="129" t="s">
        <v>21283</v>
      </c>
    </row>
    <row r="1729" spans="1:4">
      <c r="A1729" s="105">
        <v>99290</v>
      </c>
      <c r="B1729" s="104" t="s">
        <v>1990</v>
      </c>
      <c r="C1729" s="104" t="s">
        <v>183</v>
      </c>
      <c r="D1729" s="129" t="s">
        <v>21284</v>
      </c>
    </row>
    <row r="1730" spans="1:4">
      <c r="A1730" s="105">
        <v>99291</v>
      </c>
      <c r="B1730" s="104" t="s">
        <v>1991</v>
      </c>
      <c r="C1730" s="104" t="s">
        <v>40</v>
      </c>
      <c r="D1730" s="129" t="s">
        <v>21285</v>
      </c>
    </row>
    <row r="1731" spans="1:4">
      <c r="A1731" s="105">
        <v>99292</v>
      </c>
      <c r="B1731" s="104" t="s">
        <v>1992</v>
      </c>
      <c r="C1731" s="104" t="s">
        <v>183</v>
      </c>
      <c r="D1731" s="129" t="s">
        <v>21286</v>
      </c>
    </row>
    <row r="1732" spans="1:4">
      <c r="A1732" s="105">
        <v>99293</v>
      </c>
      <c r="B1732" s="104" t="s">
        <v>1993</v>
      </c>
      <c r="C1732" s="104" t="s">
        <v>40</v>
      </c>
      <c r="D1732" s="129" t="s">
        <v>21287</v>
      </c>
    </row>
    <row r="1733" spans="1:4">
      <c r="A1733" s="105">
        <v>99294</v>
      </c>
      <c r="B1733" s="104" t="s">
        <v>1994</v>
      </c>
      <c r="C1733" s="104" t="s">
        <v>183</v>
      </c>
      <c r="D1733" s="129" t="s">
        <v>21288</v>
      </c>
    </row>
    <row r="1734" spans="1:4">
      <c r="A1734" s="105">
        <v>99296</v>
      </c>
      <c r="B1734" s="104" t="s">
        <v>1995</v>
      </c>
      <c r="C1734" s="104" t="s">
        <v>40</v>
      </c>
      <c r="D1734" s="129" t="s">
        <v>21289</v>
      </c>
    </row>
    <row r="1735" spans="1:4">
      <c r="A1735" s="105">
        <v>99297</v>
      </c>
      <c r="B1735" s="104" t="s">
        <v>1996</v>
      </c>
      <c r="C1735" s="104" t="s">
        <v>40</v>
      </c>
      <c r="D1735" s="129" t="s">
        <v>21290</v>
      </c>
    </row>
    <row r="1736" spans="1:4">
      <c r="A1736" s="105">
        <v>99298</v>
      </c>
      <c r="B1736" s="104" t="s">
        <v>1997</v>
      </c>
      <c r="C1736" s="104" t="s">
        <v>183</v>
      </c>
      <c r="D1736" s="129" t="s">
        <v>21291</v>
      </c>
    </row>
    <row r="1737" spans="1:4">
      <c r="A1737" s="105">
        <v>99299</v>
      </c>
      <c r="B1737" s="104" t="s">
        <v>1998</v>
      </c>
      <c r="C1737" s="104" t="s">
        <v>40</v>
      </c>
      <c r="D1737" s="129" t="s">
        <v>21292</v>
      </c>
    </row>
    <row r="1738" spans="1:4">
      <c r="A1738" s="105">
        <v>99300</v>
      </c>
      <c r="B1738" s="104" t="s">
        <v>1999</v>
      </c>
      <c r="C1738" s="104" t="s">
        <v>183</v>
      </c>
      <c r="D1738" s="129" t="s">
        <v>21293</v>
      </c>
    </row>
    <row r="1739" spans="1:4">
      <c r="A1739" s="105">
        <v>99301</v>
      </c>
      <c r="B1739" s="104" t="s">
        <v>2000</v>
      </c>
      <c r="C1739" s="104" t="s">
        <v>183</v>
      </c>
      <c r="D1739" s="129" t="s">
        <v>21294</v>
      </c>
    </row>
    <row r="1740" spans="1:4">
      <c r="A1740" s="105">
        <v>99302</v>
      </c>
      <c r="B1740" s="104" t="s">
        <v>2001</v>
      </c>
      <c r="C1740" s="104" t="s">
        <v>40</v>
      </c>
      <c r="D1740" s="129" t="s">
        <v>21295</v>
      </c>
    </row>
    <row r="1741" spans="1:4">
      <c r="A1741" s="105">
        <v>99303</v>
      </c>
      <c r="B1741" s="104" t="s">
        <v>2002</v>
      </c>
      <c r="C1741" s="104" t="s">
        <v>183</v>
      </c>
      <c r="D1741" s="129" t="s">
        <v>21296</v>
      </c>
    </row>
    <row r="1742" spans="1:4">
      <c r="A1742" s="105">
        <v>99304</v>
      </c>
      <c r="B1742" s="104" t="s">
        <v>2003</v>
      </c>
      <c r="C1742" s="104" t="s">
        <v>40</v>
      </c>
      <c r="D1742" s="129" t="s">
        <v>21297</v>
      </c>
    </row>
    <row r="1743" spans="1:4">
      <c r="A1743" s="105">
        <v>99305</v>
      </c>
      <c r="B1743" s="104" t="s">
        <v>2004</v>
      </c>
      <c r="C1743" s="104" t="s">
        <v>183</v>
      </c>
      <c r="D1743" s="129" t="s">
        <v>21298</v>
      </c>
    </row>
    <row r="1744" spans="1:4">
      <c r="A1744" s="105">
        <v>99306</v>
      </c>
      <c r="B1744" s="104" t="s">
        <v>2005</v>
      </c>
      <c r="C1744" s="104" t="s">
        <v>40</v>
      </c>
      <c r="D1744" s="129" t="s">
        <v>21295</v>
      </c>
    </row>
    <row r="1745" spans="1:4">
      <c r="A1745" s="105">
        <v>99307</v>
      </c>
      <c r="B1745" s="104" t="s">
        <v>2006</v>
      </c>
      <c r="C1745" s="104" t="s">
        <v>40</v>
      </c>
      <c r="D1745" s="129" t="s">
        <v>21299</v>
      </c>
    </row>
    <row r="1746" spans="1:4">
      <c r="A1746" s="105">
        <v>99308</v>
      </c>
      <c r="B1746" s="104" t="s">
        <v>2007</v>
      </c>
      <c r="C1746" s="104" t="s">
        <v>183</v>
      </c>
      <c r="D1746" s="129" t="s">
        <v>21300</v>
      </c>
    </row>
    <row r="1747" spans="1:4">
      <c r="A1747" s="105">
        <v>99309</v>
      </c>
      <c r="B1747" s="104" t="s">
        <v>2008</v>
      </c>
      <c r="C1747" s="104" t="s">
        <v>40</v>
      </c>
      <c r="D1747" s="129" t="s">
        <v>21301</v>
      </c>
    </row>
    <row r="1748" spans="1:4">
      <c r="A1748" s="105">
        <v>99310</v>
      </c>
      <c r="B1748" s="104" t="s">
        <v>2009</v>
      </c>
      <c r="C1748" s="104" t="s">
        <v>183</v>
      </c>
      <c r="D1748" s="129" t="s">
        <v>21302</v>
      </c>
    </row>
    <row r="1749" spans="1:4">
      <c r="A1749" s="105">
        <v>99311</v>
      </c>
      <c r="B1749" s="104" t="s">
        <v>2010</v>
      </c>
      <c r="C1749" s="104" t="s">
        <v>40</v>
      </c>
      <c r="D1749" s="129" t="s">
        <v>21301</v>
      </c>
    </row>
    <row r="1750" spans="1:4">
      <c r="A1750" s="105">
        <v>99312</v>
      </c>
      <c r="B1750" s="104" t="s">
        <v>2011</v>
      </c>
      <c r="C1750" s="104" t="s">
        <v>183</v>
      </c>
      <c r="D1750" s="129" t="s">
        <v>21303</v>
      </c>
    </row>
    <row r="1751" spans="1:4">
      <c r="A1751" s="105">
        <v>99313</v>
      </c>
      <c r="B1751" s="104" t="s">
        <v>2012</v>
      </c>
      <c r="C1751" s="104" t="s">
        <v>183</v>
      </c>
      <c r="D1751" s="129" t="s">
        <v>21304</v>
      </c>
    </row>
    <row r="1752" spans="1:4">
      <c r="A1752" s="105">
        <v>99314</v>
      </c>
      <c r="B1752" s="104" t="s">
        <v>2013</v>
      </c>
      <c r="C1752" s="104" t="s">
        <v>40</v>
      </c>
      <c r="D1752" s="129" t="s">
        <v>21305</v>
      </c>
    </row>
    <row r="1753" spans="1:4">
      <c r="A1753" s="105">
        <v>99315</v>
      </c>
      <c r="B1753" s="104" t="s">
        <v>2014</v>
      </c>
      <c r="C1753" s="104" t="s">
        <v>183</v>
      </c>
      <c r="D1753" s="129" t="s">
        <v>21306</v>
      </c>
    </row>
    <row r="1754" spans="1:4">
      <c r="A1754" s="105">
        <v>99317</v>
      </c>
      <c r="B1754" s="104" t="s">
        <v>2015</v>
      </c>
      <c r="C1754" s="104" t="s">
        <v>40</v>
      </c>
      <c r="D1754" s="129" t="s">
        <v>21307</v>
      </c>
    </row>
    <row r="1755" spans="1:4">
      <c r="A1755" s="105">
        <v>99318</v>
      </c>
      <c r="B1755" s="104" t="s">
        <v>2016</v>
      </c>
      <c r="C1755" s="104" t="s">
        <v>40</v>
      </c>
      <c r="D1755" s="129" t="s">
        <v>21308</v>
      </c>
    </row>
    <row r="1756" spans="1:4">
      <c r="A1756" s="105">
        <v>99319</v>
      </c>
      <c r="B1756" s="104" t="s">
        <v>2017</v>
      </c>
      <c r="C1756" s="104" t="s">
        <v>40</v>
      </c>
      <c r="D1756" s="129" t="s">
        <v>21309</v>
      </c>
    </row>
    <row r="1757" spans="1:4">
      <c r="A1757" s="105">
        <v>99320</v>
      </c>
      <c r="B1757" s="104" t="s">
        <v>2018</v>
      </c>
      <c r="C1757" s="104" t="s">
        <v>183</v>
      </c>
      <c r="D1757" s="129" t="s">
        <v>21310</v>
      </c>
    </row>
    <row r="1758" spans="1:4">
      <c r="A1758" s="105">
        <v>99321</v>
      </c>
      <c r="B1758" s="104" t="s">
        <v>2019</v>
      </c>
      <c r="C1758" s="104" t="s">
        <v>40</v>
      </c>
      <c r="D1758" s="129" t="s">
        <v>21311</v>
      </c>
    </row>
    <row r="1759" spans="1:4">
      <c r="A1759" s="105">
        <v>99322</v>
      </c>
      <c r="B1759" s="104" t="s">
        <v>2020</v>
      </c>
      <c r="C1759" s="104" t="s">
        <v>183</v>
      </c>
      <c r="D1759" s="129" t="s">
        <v>21312</v>
      </c>
    </row>
    <row r="1760" spans="1:4">
      <c r="A1760" s="105">
        <v>99323</v>
      </c>
      <c r="B1760" s="104" t="s">
        <v>2021</v>
      </c>
      <c r="C1760" s="104" t="s">
        <v>40</v>
      </c>
      <c r="D1760" s="129" t="s">
        <v>21290</v>
      </c>
    </row>
    <row r="1761" spans="1:4">
      <c r="A1761" s="105">
        <v>99324</v>
      </c>
      <c r="B1761" s="104" t="s">
        <v>2022</v>
      </c>
      <c r="C1761" s="104" t="s">
        <v>183</v>
      </c>
      <c r="D1761" s="129" t="s">
        <v>21313</v>
      </c>
    </row>
    <row r="1762" spans="1:4">
      <c r="A1762" s="105">
        <v>99325</v>
      </c>
      <c r="B1762" s="104" t="s">
        <v>2023</v>
      </c>
      <c r="C1762" s="104" t="s">
        <v>40</v>
      </c>
      <c r="D1762" s="129" t="s">
        <v>21292</v>
      </c>
    </row>
    <row r="1763" spans="1:4">
      <c r="A1763" s="105">
        <v>99326</v>
      </c>
      <c r="B1763" s="104" t="s">
        <v>2024</v>
      </c>
      <c r="C1763" s="104" t="s">
        <v>183</v>
      </c>
      <c r="D1763" s="129" t="s">
        <v>21314</v>
      </c>
    </row>
    <row r="1764" spans="1:4">
      <c r="A1764" s="105">
        <v>99327</v>
      </c>
      <c r="B1764" s="104" t="s">
        <v>2025</v>
      </c>
      <c r="C1764" s="104" t="s">
        <v>40</v>
      </c>
      <c r="D1764" s="129" t="s">
        <v>21315</v>
      </c>
    </row>
    <row r="1765" spans="1:4">
      <c r="A1765" s="105">
        <v>101800</v>
      </c>
      <c r="B1765" s="104" t="s">
        <v>2026</v>
      </c>
      <c r="C1765" s="104" t="s">
        <v>183</v>
      </c>
      <c r="D1765" s="129" t="s">
        <v>21316</v>
      </c>
    </row>
    <row r="1766" spans="1:4">
      <c r="A1766" s="105">
        <v>101801</v>
      </c>
      <c r="B1766" s="104" t="s">
        <v>2027</v>
      </c>
      <c r="C1766" s="104" t="s">
        <v>183</v>
      </c>
      <c r="D1766" s="129" t="s">
        <v>21317</v>
      </c>
    </row>
    <row r="1767" spans="1:4">
      <c r="A1767" s="105">
        <v>101806</v>
      </c>
      <c r="B1767" s="104" t="s">
        <v>2028</v>
      </c>
      <c r="C1767" s="104" t="s">
        <v>183</v>
      </c>
      <c r="D1767" s="129" t="s">
        <v>21318</v>
      </c>
    </row>
    <row r="1768" spans="1:4">
      <c r="A1768" s="105">
        <v>101807</v>
      </c>
      <c r="B1768" s="104" t="s">
        <v>2029</v>
      </c>
      <c r="C1768" s="104" t="s">
        <v>183</v>
      </c>
      <c r="D1768" s="129" t="s">
        <v>21319</v>
      </c>
    </row>
    <row r="1769" spans="1:4">
      <c r="A1769" s="105">
        <v>101808</v>
      </c>
      <c r="B1769" s="104" t="s">
        <v>2030</v>
      </c>
      <c r="C1769" s="104" t="s">
        <v>183</v>
      </c>
      <c r="D1769" s="129" t="s">
        <v>21320</v>
      </c>
    </row>
    <row r="1770" spans="1:4">
      <c r="A1770" s="105">
        <v>101809</v>
      </c>
      <c r="B1770" s="104" t="s">
        <v>2031</v>
      </c>
      <c r="C1770" s="104" t="s">
        <v>183</v>
      </c>
      <c r="D1770" s="129" t="s">
        <v>21321</v>
      </c>
    </row>
    <row r="1771" spans="1:4">
      <c r="A1771" s="105">
        <v>102139</v>
      </c>
      <c r="B1771" s="104" t="s">
        <v>2032</v>
      </c>
      <c r="C1771" s="104" t="s">
        <v>183</v>
      </c>
      <c r="D1771" s="129" t="s">
        <v>21322</v>
      </c>
    </row>
    <row r="1772" spans="1:4">
      <c r="A1772" s="105">
        <v>102141</v>
      </c>
      <c r="B1772" s="104" t="s">
        <v>2033</v>
      </c>
      <c r="C1772" s="104" t="s">
        <v>183</v>
      </c>
      <c r="D1772" s="129" t="s">
        <v>21323</v>
      </c>
    </row>
    <row r="1773" spans="1:4">
      <c r="A1773" s="105">
        <v>102142</v>
      </c>
      <c r="B1773" s="104" t="s">
        <v>2034</v>
      </c>
      <c r="C1773" s="104" t="s">
        <v>183</v>
      </c>
      <c r="D1773" s="129" t="s">
        <v>21324</v>
      </c>
    </row>
    <row r="1774" spans="1:4">
      <c r="A1774" s="105">
        <v>102457</v>
      </c>
      <c r="B1774" s="104" t="s">
        <v>2035</v>
      </c>
      <c r="C1774" s="104" t="s">
        <v>183</v>
      </c>
      <c r="D1774" s="129" t="s">
        <v>21325</v>
      </c>
    </row>
    <row r="1775" spans="1:4">
      <c r="A1775" s="105">
        <v>94263</v>
      </c>
      <c r="B1775" s="104" t="s">
        <v>2036</v>
      </c>
      <c r="C1775" s="104" t="s">
        <v>40</v>
      </c>
      <c r="D1775" s="129" t="s">
        <v>17807</v>
      </c>
    </row>
    <row r="1776" spans="1:4">
      <c r="A1776" s="105">
        <v>94264</v>
      </c>
      <c r="B1776" s="104" t="s">
        <v>2037</v>
      </c>
      <c r="C1776" s="104" t="s">
        <v>40</v>
      </c>
      <c r="D1776" s="129" t="s">
        <v>18628</v>
      </c>
    </row>
    <row r="1777" spans="1:4">
      <c r="A1777" s="105">
        <v>94265</v>
      </c>
      <c r="B1777" s="104" t="s">
        <v>2038</v>
      </c>
      <c r="C1777" s="104" t="s">
        <v>40</v>
      </c>
      <c r="D1777" s="129" t="s">
        <v>21326</v>
      </c>
    </row>
    <row r="1778" spans="1:4">
      <c r="A1778" s="105">
        <v>94266</v>
      </c>
      <c r="B1778" s="104" t="s">
        <v>2039</v>
      </c>
      <c r="C1778" s="104" t="s">
        <v>40</v>
      </c>
      <c r="D1778" s="129" t="s">
        <v>19807</v>
      </c>
    </row>
    <row r="1779" spans="1:4">
      <c r="A1779" s="105">
        <v>94267</v>
      </c>
      <c r="B1779" s="104" t="s">
        <v>2040</v>
      </c>
      <c r="C1779" s="104" t="s">
        <v>40</v>
      </c>
      <c r="D1779" s="129" t="s">
        <v>21327</v>
      </c>
    </row>
    <row r="1780" spans="1:4">
      <c r="A1780" s="105">
        <v>94268</v>
      </c>
      <c r="B1780" s="104" t="s">
        <v>2041</v>
      </c>
      <c r="C1780" s="104" t="s">
        <v>40</v>
      </c>
      <c r="D1780" s="129" t="s">
        <v>21328</v>
      </c>
    </row>
    <row r="1781" spans="1:4">
      <c r="A1781" s="105">
        <v>94269</v>
      </c>
      <c r="B1781" s="104" t="s">
        <v>2042</v>
      </c>
      <c r="C1781" s="104" t="s">
        <v>40</v>
      </c>
      <c r="D1781" s="129" t="s">
        <v>21329</v>
      </c>
    </row>
    <row r="1782" spans="1:4">
      <c r="A1782" s="105">
        <v>94270</v>
      </c>
      <c r="B1782" s="104" t="s">
        <v>2043</v>
      </c>
      <c r="C1782" s="104" t="s">
        <v>40</v>
      </c>
      <c r="D1782" s="129" t="s">
        <v>21330</v>
      </c>
    </row>
    <row r="1783" spans="1:4">
      <c r="A1783" s="105">
        <v>94271</v>
      </c>
      <c r="B1783" s="104" t="s">
        <v>2044</v>
      </c>
      <c r="C1783" s="104" t="s">
        <v>40</v>
      </c>
      <c r="D1783" s="129" t="s">
        <v>21331</v>
      </c>
    </row>
    <row r="1784" spans="1:4">
      <c r="A1784" s="105">
        <v>94272</v>
      </c>
      <c r="B1784" s="104" t="s">
        <v>2045</v>
      </c>
      <c r="C1784" s="104" t="s">
        <v>40</v>
      </c>
      <c r="D1784" s="129" t="s">
        <v>21332</v>
      </c>
    </row>
    <row r="1785" spans="1:4">
      <c r="A1785" s="105">
        <v>94273</v>
      </c>
      <c r="B1785" s="104" t="s">
        <v>2046</v>
      </c>
      <c r="C1785" s="104" t="s">
        <v>40</v>
      </c>
      <c r="D1785" s="129" t="s">
        <v>15294</v>
      </c>
    </row>
    <row r="1786" spans="1:4">
      <c r="A1786" s="105">
        <v>94274</v>
      </c>
      <c r="B1786" s="104" t="s">
        <v>2047</v>
      </c>
      <c r="C1786" s="104" t="s">
        <v>40</v>
      </c>
      <c r="D1786" s="129" t="s">
        <v>15757</v>
      </c>
    </row>
    <row r="1787" spans="1:4">
      <c r="A1787" s="105">
        <v>94275</v>
      </c>
      <c r="B1787" s="104" t="s">
        <v>2048</v>
      </c>
      <c r="C1787" s="104" t="s">
        <v>40</v>
      </c>
      <c r="D1787" s="129" t="s">
        <v>18251</v>
      </c>
    </row>
    <row r="1788" spans="1:4">
      <c r="A1788" s="105">
        <v>94276</v>
      </c>
      <c r="B1788" s="104" t="s">
        <v>2049</v>
      </c>
      <c r="C1788" s="104" t="s">
        <v>40</v>
      </c>
      <c r="D1788" s="129" t="s">
        <v>21333</v>
      </c>
    </row>
    <row r="1789" spans="1:4">
      <c r="A1789" s="105">
        <v>94277</v>
      </c>
      <c r="B1789" s="104" t="s">
        <v>2050</v>
      </c>
      <c r="C1789" s="104" t="s">
        <v>40</v>
      </c>
      <c r="D1789" s="129" t="s">
        <v>21334</v>
      </c>
    </row>
    <row r="1790" spans="1:4">
      <c r="A1790" s="105">
        <v>94278</v>
      </c>
      <c r="B1790" s="104" t="s">
        <v>2051</v>
      </c>
      <c r="C1790" s="104" t="s">
        <v>40</v>
      </c>
      <c r="D1790" s="129" t="s">
        <v>21335</v>
      </c>
    </row>
    <row r="1791" spans="1:4">
      <c r="A1791" s="105">
        <v>94279</v>
      </c>
      <c r="B1791" s="104" t="s">
        <v>2052</v>
      </c>
      <c r="C1791" s="104" t="s">
        <v>40</v>
      </c>
      <c r="D1791" s="129" t="s">
        <v>15593</v>
      </c>
    </row>
    <row r="1792" spans="1:4">
      <c r="A1792" s="105">
        <v>94280</v>
      </c>
      <c r="B1792" s="104" t="s">
        <v>2053</v>
      </c>
      <c r="C1792" s="104" t="s">
        <v>40</v>
      </c>
      <c r="D1792" s="129" t="s">
        <v>21336</v>
      </c>
    </row>
    <row r="1793" spans="1:4">
      <c r="A1793" s="105">
        <v>94281</v>
      </c>
      <c r="B1793" s="104" t="s">
        <v>2054</v>
      </c>
      <c r="C1793" s="104" t="s">
        <v>40</v>
      </c>
      <c r="D1793" s="129" t="s">
        <v>21337</v>
      </c>
    </row>
    <row r="1794" spans="1:4">
      <c r="A1794" s="105">
        <v>94282</v>
      </c>
      <c r="B1794" s="104" t="s">
        <v>2055</v>
      </c>
      <c r="C1794" s="104" t="s">
        <v>40</v>
      </c>
      <c r="D1794" s="129" t="s">
        <v>21338</v>
      </c>
    </row>
    <row r="1795" spans="1:4">
      <c r="A1795" s="105">
        <v>94283</v>
      </c>
      <c r="B1795" s="104" t="s">
        <v>2056</v>
      </c>
      <c r="C1795" s="104" t="s">
        <v>40</v>
      </c>
      <c r="D1795" s="129" t="s">
        <v>21339</v>
      </c>
    </row>
    <row r="1796" spans="1:4">
      <c r="A1796" s="105">
        <v>94284</v>
      </c>
      <c r="B1796" s="104" t="s">
        <v>2057</v>
      </c>
      <c r="C1796" s="104" t="s">
        <v>40</v>
      </c>
      <c r="D1796" s="129" t="s">
        <v>21340</v>
      </c>
    </row>
    <row r="1797" spans="1:4">
      <c r="A1797" s="105">
        <v>94285</v>
      </c>
      <c r="B1797" s="104" t="s">
        <v>2058</v>
      </c>
      <c r="C1797" s="104" t="s">
        <v>40</v>
      </c>
      <c r="D1797" s="129" t="s">
        <v>20914</v>
      </c>
    </row>
    <row r="1798" spans="1:4">
      <c r="A1798" s="105">
        <v>94286</v>
      </c>
      <c r="B1798" s="104" t="s">
        <v>2059</v>
      </c>
      <c r="C1798" s="104" t="s">
        <v>40</v>
      </c>
      <c r="D1798" s="129" t="s">
        <v>21341</v>
      </c>
    </row>
    <row r="1799" spans="1:4">
      <c r="A1799" s="105">
        <v>94287</v>
      </c>
      <c r="B1799" s="104" t="s">
        <v>2060</v>
      </c>
      <c r="C1799" s="104" t="s">
        <v>40</v>
      </c>
      <c r="D1799" s="129" t="s">
        <v>17421</v>
      </c>
    </row>
    <row r="1800" spans="1:4">
      <c r="A1800" s="105">
        <v>94288</v>
      </c>
      <c r="B1800" s="104" t="s">
        <v>2061</v>
      </c>
      <c r="C1800" s="104" t="s">
        <v>40</v>
      </c>
      <c r="D1800" s="129" t="s">
        <v>21342</v>
      </c>
    </row>
    <row r="1801" spans="1:4">
      <c r="A1801" s="105">
        <v>94289</v>
      </c>
      <c r="B1801" s="104" t="s">
        <v>2062</v>
      </c>
      <c r="C1801" s="104" t="s">
        <v>40</v>
      </c>
      <c r="D1801" s="129" t="s">
        <v>21343</v>
      </c>
    </row>
    <row r="1802" spans="1:4">
      <c r="A1802" s="105">
        <v>94290</v>
      </c>
      <c r="B1802" s="104" t="s">
        <v>2063</v>
      </c>
      <c r="C1802" s="104" t="s">
        <v>40</v>
      </c>
      <c r="D1802" s="129" t="s">
        <v>21344</v>
      </c>
    </row>
    <row r="1803" spans="1:4">
      <c r="A1803" s="105">
        <v>94291</v>
      </c>
      <c r="B1803" s="104" t="s">
        <v>2064</v>
      </c>
      <c r="C1803" s="104" t="s">
        <v>40</v>
      </c>
      <c r="D1803" s="129" t="s">
        <v>21345</v>
      </c>
    </row>
    <row r="1804" spans="1:4">
      <c r="A1804" s="105">
        <v>94292</v>
      </c>
      <c r="B1804" s="104" t="s">
        <v>2065</v>
      </c>
      <c r="C1804" s="104" t="s">
        <v>40</v>
      </c>
      <c r="D1804" s="129" t="s">
        <v>21346</v>
      </c>
    </row>
    <row r="1805" spans="1:4">
      <c r="A1805" s="105">
        <v>94293</v>
      </c>
      <c r="B1805" s="104" t="s">
        <v>2066</v>
      </c>
      <c r="C1805" s="104" t="s">
        <v>40</v>
      </c>
      <c r="D1805" s="129" t="s">
        <v>20800</v>
      </c>
    </row>
    <row r="1806" spans="1:4">
      <c r="A1806" s="105">
        <v>94294</v>
      </c>
      <c r="B1806" s="104" t="s">
        <v>2067</v>
      </c>
      <c r="C1806" s="104" t="s">
        <v>40</v>
      </c>
      <c r="D1806" s="129" t="s">
        <v>21347</v>
      </c>
    </row>
    <row r="1807" spans="1:4">
      <c r="A1807" s="105">
        <v>102727</v>
      </c>
      <c r="B1807" s="104" t="s">
        <v>2068</v>
      </c>
      <c r="C1807" s="104" t="s">
        <v>12</v>
      </c>
      <c r="D1807" s="129" t="s">
        <v>21348</v>
      </c>
    </row>
    <row r="1808" spans="1:4">
      <c r="A1808" s="105">
        <v>102728</v>
      </c>
      <c r="B1808" s="104" t="s">
        <v>2069</v>
      </c>
      <c r="C1808" s="104" t="s">
        <v>41</v>
      </c>
      <c r="D1808" s="129" t="s">
        <v>18178</v>
      </c>
    </row>
    <row r="1809" spans="1:4">
      <c r="A1809" s="105">
        <v>102729</v>
      </c>
      <c r="B1809" s="104" t="s">
        <v>2070</v>
      </c>
      <c r="C1809" s="104" t="s">
        <v>41</v>
      </c>
      <c r="D1809" s="129" t="s">
        <v>20390</v>
      </c>
    </row>
    <row r="1810" spans="1:4">
      <c r="A1810" s="105">
        <v>102730</v>
      </c>
      <c r="B1810" s="104" t="s">
        <v>2071</v>
      </c>
      <c r="C1810" s="104" t="s">
        <v>41</v>
      </c>
      <c r="D1810" s="129" t="s">
        <v>21349</v>
      </c>
    </row>
    <row r="1811" spans="1:4">
      <c r="A1811" s="105">
        <v>102731</v>
      </c>
      <c r="B1811" s="104" t="s">
        <v>2072</v>
      </c>
      <c r="C1811" s="104" t="s">
        <v>41</v>
      </c>
      <c r="D1811" s="129" t="s">
        <v>15717</v>
      </c>
    </row>
    <row r="1812" spans="1:4">
      <c r="A1812" s="105">
        <v>102732</v>
      </c>
      <c r="B1812" s="104" t="s">
        <v>2073</v>
      </c>
      <c r="C1812" s="104" t="s">
        <v>41</v>
      </c>
      <c r="D1812" s="129" t="s">
        <v>19772</v>
      </c>
    </row>
    <row r="1813" spans="1:4">
      <c r="A1813" s="105">
        <v>102733</v>
      </c>
      <c r="B1813" s="104" t="s">
        <v>2074</v>
      </c>
      <c r="C1813" s="104" t="s">
        <v>41</v>
      </c>
      <c r="D1813" s="129" t="s">
        <v>18169</v>
      </c>
    </row>
    <row r="1814" spans="1:4">
      <c r="A1814" s="105">
        <v>102734</v>
      </c>
      <c r="B1814" s="104" t="s">
        <v>2075</v>
      </c>
      <c r="C1814" s="104" t="s">
        <v>41</v>
      </c>
      <c r="D1814" s="129" t="s">
        <v>21350</v>
      </c>
    </row>
    <row r="1815" spans="1:4">
      <c r="A1815" s="105">
        <v>102735</v>
      </c>
      <c r="B1815" s="104" t="s">
        <v>2076</v>
      </c>
      <c r="C1815" s="104" t="s">
        <v>41</v>
      </c>
      <c r="D1815" s="129" t="s">
        <v>21351</v>
      </c>
    </row>
    <row r="1816" spans="1:4">
      <c r="A1816" s="105">
        <v>102736</v>
      </c>
      <c r="B1816" s="104" t="s">
        <v>2077</v>
      </c>
      <c r="C1816" s="104" t="s">
        <v>28</v>
      </c>
      <c r="D1816" s="129" t="s">
        <v>21352</v>
      </c>
    </row>
    <row r="1817" spans="1:4">
      <c r="A1817" s="105">
        <v>102737</v>
      </c>
      <c r="B1817" s="104" t="s">
        <v>2078</v>
      </c>
      <c r="C1817" s="104" t="s">
        <v>183</v>
      </c>
      <c r="D1817" s="129" t="s">
        <v>21353</v>
      </c>
    </row>
    <row r="1818" spans="1:4">
      <c r="A1818" s="105">
        <v>102738</v>
      </c>
      <c r="B1818" s="104" t="s">
        <v>2079</v>
      </c>
      <c r="C1818" s="104" t="s">
        <v>183</v>
      </c>
      <c r="D1818" s="129" t="s">
        <v>21354</v>
      </c>
    </row>
    <row r="1819" spans="1:4">
      <c r="A1819" s="105">
        <v>102739</v>
      </c>
      <c r="B1819" s="104" t="s">
        <v>2080</v>
      </c>
      <c r="C1819" s="104" t="s">
        <v>183</v>
      </c>
      <c r="D1819" s="129" t="s">
        <v>21355</v>
      </c>
    </row>
    <row r="1820" spans="1:4">
      <c r="A1820" s="105">
        <v>102740</v>
      </c>
      <c r="B1820" s="104" t="s">
        <v>2081</v>
      </c>
      <c r="C1820" s="104" t="s">
        <v>183</v>
      </c>
      <c r="D1820" s="129" t="s">
        <v>21356</v>
      </c>
    </row>
    <row r="1821" spans="1:4">
      <c r="A1821" s="105">
        <v>102741</v>
      </c>
      <c r="B1821" s="104" t="s">
        <v>2082</v>
      </c>
      <c r="C1821" s="104" t="s">
        <v>183</v>
      </c>
      <c r="D1821" s="129" t="s">
        <v>21357</v>
      </c>
    </row>
    <row r="1822" spans="1:4">
      <c r="A1822" s="105">
        <v>102742</v>
      </c>
      <c r="B1822" s="104" t="s">
        <v>2083</v>
      </c>
      <c r="C1822" s="104" t="s">
        <v>183</v>
      </c>
      <c r="D1822" s="129" t="s">
        <v>21358</v>
      </c>
    </row>
    <row r="1823" spans="1:4">
      <c r="A1823" s="105">
        <v>102743</v>
      </c>
      <c r="B1823" s="104" t="s">
        <v>2084</v>
      </c>
      <c r="C1823" s="104" t="s">
        <v>183</v>
      </c>
      <c r="D1823" s="129" t="s">
        <v>21359</v>
      </c>
    </row>
    <row r="1824" spans="1:4">
      <c r="A1824" s="105">
        <v>102744</v>
      </c>
      <c r="B1824" s="104" t="s">
        <v>2085</v>
      </c>
      <c r="C1824" s="104" t="s">
        <v>183</v>
      </c>
      <c r="D1824" s="129" t="s">
        <v>21360</v>
      </c>
    </row>
    <row r="1825" spans="1:4">
      <c r="A1825" s="105">
        <v>102745</v>
      </c>
      <c r="B1825" s="104" t="s">
        <v>2086</v>
      </c>
      <c r="C1825" s="104" t="s">
        <v>183</v>
      </c>
      <c r="D1825" s="129" t="s">
        <v>21361</v>
      </c>
    </row>
    <row r="1826" spans="1:4">
      <c r="A1826" s="105">
        <v>102746</v>
      </c>
      <c r="B1826" s="104" t="s">
        <v>2087</v>
      </c>
      <c r="C1826" s="104" t="s">
        <v>183</v>
      </c>
      <c r="D1826" s="129" t="s">
        <v>21362</v>
      </c>
    </row>
    <row r="1827" spans="1:4">
      <c r="A1827" s="105">
        <v>102747</v>
      </c>
      <c r="B1827" s="104" t="s">
        <v>2088</v>
      </c>
      <c r="C1827" s="104" t="s">
        <v>183</v>
      </c>
      <c r="D1827" s="129" t="s">
        <v>21363</v>
      </c>
    </row>
    <row r="1828" spans="1:4">
      <c r="A1828" s="105">
        <v>102748</v>
      </c>
      <c r="B1828" s="104" t="s">
        <v>2089</v>
      </c>
      <c r="C1828" s="104" t="s">
        <v>183</v>
      </c>
      <c r="D1828" s="129" t="s">
        <v>21364</v>
      </c>
    </row>
    <row r="1829" spans="1:4">
      <c r="A1829" s="105">
        <v>102749</v>
      </c>
      <c r="B1829" s="104" t="s">
        <v>2090</v>
      </c>
      <c r="C1829" s="104" t="s">
        <v>183</v>
      </c>
      <c r="D1829" s="129" t="s">
        <v>21365</v>
      </c>
    </row>
    <row r="1830" spans="1:4">
      <c r="A1830" s="105">
        <v>102750</v>
      </c>
      <c r="B1830" s="104" t="s">
        <v>2091</v>
      </c>
      <c r="C1830" s="104" t="s">
        <v>183</v>
      </c>
      <c r="D1830" s="129" t="s">
        <v>21366</v>
      </c>
    </row>
    <row r="1831" spans="1:4">
      <c r="A1831" s="105">
        <v>102751</v>
      </c>
      <c r="B1831" s="104" t="s">
        <v>2092</v>
      </c>
      <c r="C1831" s="104" t="s">
        <v>183</v>
      </c>
      <c r="D1831" s="129" t="s">
        <v>21367</v>
      </c>
    </row>
    <row r="1832" spans="1:4">
      <c r="A1832" s="105">
        <v>102752</v>
      </c>
      <c r="B1832" s="104" t="s">
        <v>2093</v>
      </c>
      <c r="C1832" s="104" t="s">
        <v>183</v>
      </c>
      <c r="D1832" s="129" t="s">
        <v>21368</v>
      </c>
    </row>
    <row r="1833" spans="1:4">
      <c r="A1833" s="105">
        <v>102753</v>
      </c>
      <c r="B1833" s="104" t="s">
        <v>2094</v>
      </c>
      <c r="C1833" s="104" t="s">
        <v>183</v>
      </c>
      <c r="D1833" s="129" t="s">
        <v>21369</v>
      </c>
    </row>
    <row r="1834" spans="1:4">
      <c r="A1834" s="105">
        <v>102754</v>
      </c>
      <c r="B1834" s="104" t="s">
        <v>2095</v>
      </c>
      <c r="C1834" s="104" t="s">
        <v>183</v>
      </c>
      <c r="D1834" s="129" t="s">
        <v>21370</v>
      </c>
    </row>
    <row r="1835" spans="1:4">
      <c r="A1835" s="105">
        <v>102755</v>
      </c>
      <c r="B1835" s="104" t="s">
        <v>2096</v>
      </c>
      <c r="C1835" s="104" t="s">
        <v>183</v>
      </c>
      <c r="D1835" s="129" t="s">
        <v>21371</v>
      </c>
    </row>
    <row r="1836" spans="1:4">
      <c r="A1836" s="105">
        <v>102756</v>
      </c>
      <c r="B1836" s="104" t="s">
        <v>2097</v>
      </c>
      <c r="C1836" s="104" t="s">
        <v>183</v>
      </c>
      <c r="D1836" s="129" t="s">
        <v>21372</v>
      </c>
    </row>
    <row r="1837" spans="1:4">
      <c r="A1837" s="105">
        <v>102757</v>
      </c>
      <c r="B1837" s="104" t="s">
        <v>2098</v>
      </c>
      <c r="C1837" s="104" t="s">
        <v>183</v>
      </c>
      <c r="D1837" s="129" t="s">
        <v>21373</v>
      </c>
    </row>
    <row r="1838" spans="1:4">
      <c r="A1838" s="105">
        <v>102758</v>
      </c>
      <c r="B1838" s="104" t="s">
        <v>2099</v>
      </c>
      <c r="C1838" s="104" t="s">
        <v>183</v>
      </c>
      <c r="D1838" s="129" t="s">
        <v>21374</v>
      </c>
    </row>
    <row r="1839" spans="1:4">
      <c r="A1839" s="105">
        <v>102759</v>
      </c>
      <c r="B1839" s="104" t="s">
        <v>2100</v>
      </c>
      <c r="C1839" s="104" t="s">
        <v>183</v>
      </c>
      <c r="D1839" s="129" t="s">
        <v>21375</v>
      </c>
    </row>
    <row r="1840" spans="1:4">
      <c r="A1840" s="105">
        <v>102760</v>
      </c>
      <c r="B1840" s="104" t="s">
        <v>2101</v>
      </c>
      <c r="C1840" s="104" t="s">
        <v>183</v>
      </c>
      <c r="D1840" s="129" t="s">
        <v>21376</v>
      </c>
    </row>
    <row r="1841" spans="1:4">
      <c r="A1841" s="105">
        <v>102761</v>
      </c>
      <c r="B1841" s="104" t="s">
        <v>2102</v>
      </c>
      <c r="C1841" s="104" t="s">
        <v>183</v>
      </c>
      <c r="D1841" s="129" t="s">
        <v>21377</v>
      </c>
    </row>
    <row r="1842" spans="1:4">
      <c r="A1842" s="105">
        <v>102762</v>
      </c>
      <c r="B1842" s="104" t="s">
        <v>2103</v>
      </c>
      <c r="C1842" s="104" t="s">
        <v>183</v>
      </c>
      <c r="D1842" s="129" t="s">
        <v>21378</v>
      </c>
    </row>
    <row r="1843" spans="1:4">
      <c r="A1843" s="105">
        <v>102763</v>
      </c>
      <c r="B1843" s="104" t="s">
        <v>2104</v>
      </c>
      <c r="C1843" s="104" t="s">
        <v>183</v>
      </c>
      <c r="D1843" s="129" t="s">
        <v>21379</v>
      </c>
    </row>
    <row r="1844" spans="1:4">
      <c r="A1844" s="105">
        <v>102764</v>
      </c>
      <c r="B1844" s="104" t="s">
        <v>2105</v>
      </c>
      <c r="C1844" s="104" t="s">
        <v>183</v>
      </c>
      <c r="D1844" s="129" t="s">
        <v>21380</v>
      </c>
    </row>
    <row r="1845" spans="1:4">
      <c r="A1845" s="105">
        <v>102765</v>
      </c>
      <c r="B1845" s="104" t="s">
        <v>2106</v>
      </c>
      <c r="C1845" s="104" t="s">
        <v>183</v>
      </c>
      <c r="D1845" s="129" t="s">
        <v>21381</v>
      </c>
    </row>
    <row r="1846" spans="1:4">
      <c r="A1846" s="105">
        <v>102766</v>
      </c>
      <c r="B1846" s="104" t="s">
        <v>2107</v>
      </c>
      <c r="C1846" s="104" t="s">
        <v>183</v>
      </c>
      <c r="D1846" s="129" t="s">
        <v>21382</v>
      </c>
    </row>
    <row r="1847" spans="1:4">
      <c r="A1847" s="105">
        <v>102767</v>
      </c>
      <c r="B1847" s="104" t="s">
        <v>2108</v>
      </c>
      <c r="C1847" s="104" t="s">
        <v>183</v>
      </c>
      <c r="D1847" s="129" t="s">
        <v>21383</v>
      </c>
    </row>
    <row r="1848" spans="1:4">
      <c r="A1848" s="105">
        <v>102768</v>
      </c>
      <c r="B1848" s="104" t="s">
        <v>2109</v>
      </c>
      <c r="C1848" s="104" t="s">
        <v>183</v>
      </c>
      <c r="D1848" s="129" t="s">
        <v>21384</v>
      </c>
    </row>
    <row r="1849" spans="1:4">
      <c r="A1849" s="105">
        <v>102769</v>
      </c>
      <c r="B1849" s="104" t="s">
        <v>2110</v>
      </c>
      <c r="C1849" s="104" t="s">
        <v>183</v>
      </c>
      <c r="D1849" s="129" t="s">
        <v>21385</v>
      </c>
    </row>
    <row r="1850" spans="1:4">
      <c r="A1850" s="105">
        <v>102770</v>
      </c>
      <c r="B1850" s="104" t="s">
        <v>2111</v>
      </c>
      <c r="C1850" s="104" t="s">
        <v>183</v>
      </c>
      <c r="D1850" s="129" t="s">
        <v>21386</v>
      </c>
    </row>
    <row r="1851" spans="1:4">
      <c r="A1851" s="105">
        <v>102771</v>
      </c>
      <c r="B1851" s="104" t="s">
        <v>2112</v>
      </c>
      <c r="C1851" s="104" t="s">
        <v>183</v>
      </c>
      <c r="D1851" s="129" t="s">
        <v>21387</v>
      </c>
    </row>
    <row r="1852" spans="1:4">
      <c r="A1852" s="105">
        <v>102772</v>
      </c>
      <c r="B1852" s="104" t="s">
        <v>2113</v>
      </c>
      <c r="C1852" s="104" t="s">
        <v>183</v>
      </c>
      <c r="D1852" s="129" t="s">
        <v>21388</v>
      </c>
    </row>
    <row r="1853" spans="1:4">
      <c r="A1853" s="105">
        <v>102773</v>
      </c>
      <c r="B1853" s="104" t="s">
        <v>2114</v>
      </c>
      <c r="C1853" s="104" t="s">
        <v>183</v>
      </c>
      <c r="D1853" s="129" t="s">
        <v>21389</v>
      </c>
    </row>
    <row r="1854" spans="1:4">
      <c r="A1854" s="105">
        <v>102774</v>
      </c>
      <c r="B1854" s="104" t="s">
        <v>2115</v>
      </c>
      <c r="C1854" s="104" t="s">
        <v>183</v>
      </c>
      <c r="D1854" s="129" t="s">
        <v>21389</v>
      </c>
    </row>
    <row r="1855" spans="1:4">
      <c r="A1855" s="105">
        <v>102775</v>
      </c>
      <c r="B1855" s="104" t="s">
        <v>2116</v>
      </c>
      <c r="C1855" s="104" t="s">
        <v>183</v>
      </c>
      <c r="D1855" s="129" t="s">
        <v>21390</v>
      </c>
    </row>
    <row r="1856" spans="1:4">
      <c r="A1856" s="105">
        <v>102776</v>
      </c>
      <c r="B1856" s="104" t="s">
        <v>2117</v>
      </c>
      <c r="C1856" s="104" t="s">
        <v>183</v>
      </c>
      <c r="D1856" s="129" t="s">
        <v>21390</v>
      </c>
    </row>
    <row r="1857" spans="1:4">
      <c r="A1857" s="105">
        <v>102777</v>
      </c>
      <c r="B1857" s="104" t="s">
        <v>2118</v>
      </c>
      <c r="C1857" s="104" t="s">
        <v>183</v>
      </c>
      <c r="D1857" s="129" t="s">
        <v>21391</v>
      </c>
    </row>
    <row r="1858" spans="1:4">
      <c r="A1858" s="105">
        <v>102778</v>
      </c>
      <c r="B1858" s="104" t="s">
        <v>2119</v>
      </c>
      <c r="C1858" s="104" t="s">
        <v>183</v>
      </c>
      <c r="D1858" s="129" t="s">
        <v>21392</v>
      </c>
    </row>
    <row r="1859" spans="1:4">
      <c r="A1859" s="105">
        <v>102779</v>
      </c>
      <c r="B1859" s="104" t="s">
        <v>2120</v>
      </c>
      <c r="C1859" s="104" t="s">
        <v>183</v>
      </c>
      <c r="D1859" s="129" t="s">
        <v>21389</v>
      </c>
    </row>
    <row r="1860" spans="1:4">
      <c r="A1860" s="105">
        <v>102780</v>
      </c>
      <c r="B1860" s="104" t="s">
        <v>2121</v>
      </c>
      <c r="C1860" s="104" t="s">
        <v>183</v>
      </c>
      <c r="D1860" s="129" t="s">
        <v>21393</v>
      </c>
    </row>
    <row r="1861" spans="1:4">
      <c r="A1861" s="105">
        <v>102781</v>
      </c>
      <c r="B1861" s="104" t="s">
        <v>2122</v>
      </c>
      <c r="C1861" s="104" t="s">
        <v>183</v>
      </c>
      <c r="D1861" s="129" t="s">
        <v>21394</v>
      </c>
    </row>
    <row r="1862" spans="1:4">
      <c r="A1862" s="105">
        <v>102782</v>
      </c>
      <c r="B1862" s="104" t="s">
        <v>2123</v>
      </c>
      <c r="C1862" s="104" t="s">
        <v>183</v>
      </c>
      <c r="D1862" s="129" t="s">
        <v>21395</v>
      </c>
    </row>
    <row r="1863" spans="1:4">
      <c r="A1863" s="105">
        <v>102783</v>
      </c>
      <c r="B1863" s="104" t="s">
        <v>2124</v>
      </c>
      <c r="C1863" s="104" t="s">
        <v>183</v>
      </c>
      <c r="D1863" s="129" t="s">
        <v>21396</v>
      </c>
    </row>
    <row r="1864" spans="1:4">
      <c r="A1864" s="105">
        <v>102784</v>
      </c>
      <c r="B1864" s="104" t="s">
        <v>2125</v>
      </c>
      <c r="C1864" s="104" t="s">
        <v>183</v>
      </c>
      <c r="D1864" s="129" t="s">
        <v>21397</v>
      </c>
    </row>
    <row r="1865" spans="1:4">
      <c r="A1865" s="105">
        <v>102785</v>
      </c>
      <c r="B1865" s="104" t="s">
        <v>2126</v>
      </c>
      <c r="C1865" s="104" t="s">
        <v>183</v>
      </c>
      <c r="D1865" s="129" t="s">
        <v>21393</v>
      </c>
    </row>
    <row r="1866" spans="1:4">
      <c r="A1866" s="105">
        <v>102786</v>
      </c>
      <c r="B1866" s="104" t="s">
        <v>2127</v>
      </c>
      <c r="C1866" s="104" t="s">
        <v>183</v>
      </c>
      <c r="D1866" s="129" t="s">
        <v>21398</v>
      </c>
    </row>
    <row r="1867" spans="1:4">
      <c r="A1867" s="105">
        <v>102787</v>
      </c>
      <c r="B1867" s="104" t="s">
        <v>2128</v>
      </c>
      <c r="C1867" s="104" t="s">
        <v>183</v>
      </c>
      <c r="D1867" s="129" t="s">
        <v>21395</v>
      </c>
    </row>
    <row r="1868" spans="1:4">
      <c r="A1868" s="105">
        <v>102788</v>
      </c>
      <c r="B1868" s="104" t="s">
        <v>2129</v>
      </c>
      <c r="C1868" s="104" t="s">
        <v>183</v>
      </c>
      <c r="D1868" s="129" t="s">
        <v>21399</v>
      </c>
    </row>
    <row r="1869" spans="1:4">
      <c r="A1869" s="105">
        <v>102789</v>
      </c>
      <c r="B1869" s="104" t="s">
        <v>2130</v>
      </c>
      <c r="C1869" s="104" t="s">
        <v>183</v>
      </c>
      <c r="D1869" s="129" t="s">
        <v>21400</v>
      </c>
    </row>
    <row r="1870" spans="1:4">
      <c r="A1870" s="105">
        <v>102790</v>
      </c>
      <c r="B1870" s="104" t="s">
        <v>2131</v>
      </c>
      <c r="C1870" s="104" t="s">
        <v>183</v>
      </c>
      <c r="D1870" s="129" t="s">
        <v>21401</v>
      </c>
    </row>
    <row r="1871" spans="1:4">
      <c r="A1871" s="105">
        <v>102791</v>
      </c>
      <c r="B1871" s="104" t="s">
        <v>2132</v>
      </c>
      <c r="C1871" s="104" t="s">
        <v>183</v>
      </c>
      <c r="D1871" s="129" t="s">
        <v>21402</v>
      </c>
    </row>
    <row r="1872" spans="1:4">
      <c r="A1872" s="105">
        <v>102792</v>
      </c>
      <c r="B1872" s="104" t="s">
        <v>2133</v>
      </c>
      <c r="C1872" s="104" t="s">
        <v>183</v>
      </c>
      <c r="D1872" s="129" t="s">
        <v>21403</v>
      </c>
    </row>
    <row r="1873" spans="1:4">
      <c r="A1873" s="105">
        <v>102793</v>
      </c>
      <c r="B1873" s="104" t="s">
        <v>2134</v>
      </c>
      <c r="C1873" s="104" t="s">
        <v>183</v>
      </c>
      <c r="D1873" s="129" t="s">
        <v>21404</v>
      </c>
    </row>
    <row r="1874" spans="1:4">
      <c r="A1874" s="105">
        <v>102794</v>
      </c>
      <c r="B1874" s="104" t="s">
        <v>2135</v>
      </c>
      <c r="C1874" s="104" t="s">
        <v>183</v>
      </c>
      <c r="D1874" s="129" t="s">
        <v>21405</v>
      </c>
    </row>
    <row r="1875" spans="1:4">
      <c r="A1875" s="105">
        <v>102795</v>
      </c>
      <c r="B1875" s="104" t="s">
        <v>2136</v>
      </c>
      <c r="C1875" s="104" t="s">
        <v>183</v>
      </c>
      <c r="D1875" s="129" t="s">
        <v>21406</v>
      </c>
    </row>
    <row r="1876" spans="1:4">
      <c r="A1876" s="105">
        <v>102796</v>
      </c>
      <c r="B1876" s="104" t="s">
        <v>2137</v>
      </c>
      <c r="C1876" s="104" t="s">
        <v>183</v>
      </c>
      <c r="D1876" s="129" t="s">
        <v>21407</v>
      </c>
    </row>
    <row r="1877" spans="1:4">
      <c r="A1877" s="105">
        <v>102797</v>
      </c>
      <c r="B1877" s="104" t="s">
        <v>2138</v>
      </c>
      <c r="C1877" s="104" t="s">
        <v>183</v>
      </c>
      <c r="D1877" s="129" t="s">
        <v>21408</v>
      </c>
    </row>
    <row r="1878" spans="1:4">
      <c r="A1878" s="105">
        <v>102798</v>
      </c>
      <c r="B1878" s="104" t="s">
        <v>2139</v>
      </c>
      <c r="C1878" s="104" t="s">
        <v>183</v>
      </c>
      <c r="D1878" s="129" t="s">
        <v>21409</v>
      </c>
    </row>
    <row r="1879" spans="1:4">
      <c r="A1879" s="105">
        <v>102799</v>
      </c>
      <c r="B1879" s="104" t="s">
        <v>2140</v>
      </c>
      <c r="C1879" s="104" t="s">
        <v>183</v>
      </c>
      <c r="D1879" s="129" t="s">
        <v>21410</v>
      </c>
    </row>
    <row r="1880" spans="1:4">
      <c r="A1880" s="105">
        <v>102800</v>
      </c>
      <c r="B1880" s="104" t="s">
        <v>2141</v>
      </c>
      <c r="C1880" s="104" t="s">
        <v>183</v>
      </c>
      <c r="D1880" s="129" t="s">
        <v>21411</v>
      </c>
    </row>
    <row r="1881" spans="1:4">
      <c r="A1881" s="105">
        <v>102801</v>
      </c>
      <c r="B1881" s="104" t="s">
        <v>2142</v>
      </c>
      <c r="C1881" s="104" t="s">
        <v>183</v>
      </c>
      <c r="D1881" s="129" t="s">
        <v>21412</v>
      </c>
    </row>
    <row r="1882" spans="1:4">
      <c r="A1882" s="105">
        <v>102802</v>
      </c>
      <c r="B1882" s="104" t="s">
        <v>2143</v>
      </c>
      <c r="C1882" s="104" t="s">
        <v>183</v>
      </c>
      <c r="D1882" s="129" t="s">
        <v>21413</v>
      </c>
    </row>
    <row r="1883" spans="1:4">
      <c r="A1883" s="105">
        <v>101570</v>
      </c>
      <c r="B1883" s="104" t="s">
        <v>2144</v>
      </c>
      <c r="C1883" s="104" t="s">
        <v>12</v>
      </c>
      <c r="D1883" s="129" t="s">
        <v>21414</v>
      </c>
    </row>
    <row r="1884" spans="1:4">
      <c r="A1884" s="105">
        <v>101571</v>
      </c>
      <c r="B1884" s="104" t="s">
        <v>2145</v>
      </c>
      <c r="C1884" s="104" t="s">
        <v>12</v>
      </c>
      <c r="D1884" s="129" t="s">
        <v>21415</v>
      </c>
    </row>
    <row r="1885" spans="1:4">
      <c r="A1885" s="105">
        <v>101572</v>
      </c>
      <c r="B1885" s="104" t="s">
        <v>2146</v>
      </c>
      <c r="C1885" s="104" t="s">
        <v>12</v>
      </c>
      <c r="D1885" s="129" t="s">
        <v>20121</v>
      </c>
    </row>
    <row r="1886" spans="1:4">
      <c r="A1886" s="105">
        <v>101573</v>
      </c>
      <c r="B1886" s="104" t="s">
        <v>2147</v>
      </c>
      <c r="C1886" s="104" t="s">
        <v>12</v>
      </c>
      <c r="D1886" s="129" t="s">
        <v>21416</v>
      </c>
    </row>
    <row r="1887" spans="1:4">
      <c r="A1887" s="105">
        <v>101574</v>
      </c>
      <c r="B1887" s="104" t="s">
        <v>2148</v>
      </c>
      <c r="C1887" s="104" t="s">
        <v>12</v>
      </c>
      <c r="D1887" s="129" t="s">
        <v>21417</v>
      </c>
    </row>
    <row r="1888" spans="1:4">
      <c r="A1888" s="105">
        <v>101575</v>
      </c>
      <c r="B1888" s="104" t="s">
        <v>2149</v>
      </c>
      <c r="C1888" s="104" t="s">
        <v>12</v>
      </c>
      <c r="D1888" s="129" t="s">
        <v>21418</v>
      </c>
    </row>
    <row r="1889" spans="1:4">
      <c r="A1889" s="105">
        <v>101576</v>
      </c>
      <c r="B1889" s="104" t="s">
        <v>2150</v>
      </c>
      <c r="C1889" s="104" t="s">
        <v>12</v>
      </c>
      <c r="D1889" s="129" t="s">
        <v>19872</v>
      </c>
    </row>
    <row r="1890" spans="1:4">
      <c r="A1890" s="105">
        <v>101577</v>
      </c>
      <c r="B1890" s="104" t="s">
        <v>2151</v>
      </c>
      <c r="C1890" s="104" t="s">
        <v>12</v>
      </c>
      <c r="D1890" s="129" t="s">
        <v>21419</v>
      </c>
    </row>
    <row r="1891" spans="1:4">
      <c r="A1891" s="105">
        <v>101578</v>
      </c>
      <c r="B1891" s="104" t="s">
        <v>2152</v>
      </c>
      <c r="C1891" s="104" t="s">
        <v>12</v>
      </c>
      <c r="D1891" s="129" t="s">
        <v>21420</v>
      </c>
    </row>
    <row r="1892" spans="1:4">
      <c r="A1892" s="105">
        <v>101579</v>
      </c>
      <c r="B1892" s="104" t="s">
        <v>2153</v>
      </c>
      <c r="C1892" s="104" t="s">
        <v>12</v>
      </c>
      <c r="D1892" s="129" t="s">
        <v>21421</v>
      </c>
    </row>
    <row r="1893" spans="1:4">
      <c r="A1893" s="105">
        <v>101580</v>
      </c>
      <c r="B1893" s="104" t="s">
        <v>2154</v>
      </c>
      <c r="C1893" s="104" t="s">
        <v>12</v>
      </c>
      <c r="D1893" s="129" t="s">
        <v>21422</v>
      </c>
    </row>
    <row r="1894" spans="1:4">
      <c r="A1894" s="105">
        <v>101581</v>
      </c>
      <c r="B1894" s="104" t="s">
        <v>2155</v>
      </c>
      <c r="C1894" s="104" t="s">
        <v>12</v>
      </c>
      <c r="D1894" s="129" t="s">
        <v>17461</v>
      </c>
    </row>
    <row r="1895" spans="1:4">
      <c r="A1895" s="105">
        <v>101582</v>
      </c>
      <c r="B1895" s="104" t="s">
        <v>2156</v>
      </c>
      <c r="C1895" s="104" t="s">
        <v>12</v>
      </c>
      <c r="D1895" s="129" t="s">
        <v>21423</v>
      </c>
    </row>
    <row r="1896" spans="1:4">
      <c r="A1896" s="105">
        <v>101583</v>
      </c>
      <c r="B1896" s="104" t="s">
        <v>2157</v>
      </c>
      <c r="C1896" s="104" t="s">
        <v>12</v>
      </c>
      <c r="D1896" s="129" t="s">
        <v>21424</v>
      </c>
    </row>
    <row r="1897" spans="1:4">
      <c r="A1897" s="105">
        <v>101584</v>
      </c>
      <c r="B1897" s="104" t="s">
        <v>2158</v>
      </c>
      <c r="C1897" s="104" t="s">
        <v>12</v>
      </c>
      <c r="D1897" s="129" t="s">
        <v>21425</v>
      </c>
    </row>
    <row r="1898" spans="1:4">
      <c r="A1898" s="105">
        <v>101585</v>
      </c>
      <c r="B1898" s="104" t="s">
        <v>2159</v>
      </c>
      <c r="C1898" s="104" t="s">
        <v>12</v>
      </c>
      <c r="D1898" s="129" t="s">
        <v>21426</v>
      </c>
    </row>
    <row r="1899" spans="1:4">
      <c r="A1899" s="105">
        <v>101586</v>
      </c>
      <c r="B1899" s="104" t="s">
        <v>2160</v>
      </c>
      <c r="C1899" s="104" t="s">
        <v>12</v>
      </c>
      <c r="D1899" s="129" t="s">
        <v>21427</v>
      </c>
    </row>
    <row r="1900" spans="1:4">
      <c r="A1900" s="105">
        <v>101587</v>
      </c>
      <c r="B1900" s="104" t="s">
        <v>2161</v>
      </c>
      <c r="C1900" s="104" t="s">
        <v>12</v>
      </c>
      <c r="D1900" s="129" t="s">
        <v>21428</v>
      </c>
    </row>
    <row r="1901" spans="1:4">
      <c r="A1901" s="105">
        <v>101588</v>
      </c>
      <c r="B1901" s="104" t="s">
        <v>2162</v>
      </c>
      <c r="C1901" s="104" t="s">
        <v>12</v>
      </c>
      <c r="D1901" s="129" t="s">
        <v>21429</v>
      </c>
    </row>
    <row r="1902" spans="1:4">
      <c r="A1902" s="105">
        <v>101589</v>
      </c>
      <c r="B1902" s="104" t="s">
        <v>2163</v>
      </c>
      <c r="C1902" s="104" t="s">
        <v>12</v>
      </c>
      <c r="D1902" s="129" t="s">
        <v>21430</v>
      </c>
    </row>
    <row r="1903" spans="1:4">
      <c r="A1903" s="105">
        <v>101590</v>
      </c>
      <c r="B1903" s="104" t="s">
        <v>2164</v>
      </c>
      <c r="C1903" s="104" t="s">
        <v>12</v>
      </c>
      <c r="D1903" s="129" t="s">
        <v>21431</v>
      </c>
    </row>
    <row r="1904" spans="1:4">
      <c r="A1904" s="105">
        <v>101591</v>
      </c>
      <c r="B1904" s="104" t="s">
        <v>2165</v>
      </c>
      <c r="C1904" s="104" t="s">
        <v>12</v>
      </c>
      <c r="D1904" s="129" t="s">
        <v>21432</v>
      </c>
    </row>
    <row r="1905" spans="1:4">
      <c r="A1905" s="105">
        <v>101592</v>
      </c>
      <c r="B1905" s="104" t="s">
        <v>2166</v>
      </c>
      <c r="C1905" s="104" t="s">
        <v>12</v>
      </c>
      <c r="D1905" s="129" t="s">
        <v>21433</v>
      </c>
    </row>
    <row r="1906" spans="1:4">
      <c r="A1906" s="105">
        <v>101593</v>
      </c>
      <c r="B1906" s="104" t="s">
        <v>2167</v>
      </c>
      <c r="C1906" s="104" t="s">
        <v>12</v>
      </c>
      <c r="D1906" s="129" t="s">
        <v>21434</v>
      </c>
    </row>
    <row r="1907" spans="1:4">
      <c r="A1907" s="105">
        <v>101600</v>
      </c>
      <c r="B1907" s="104" t="s">
        <v>2168</v>
      </c>
      <c r="C1907" s="104" t="s">
        <v>12</v>
      </c>
      <c r="D1907" s="129" t="s">
        <v>18339</v>
      </c>
    </row>
    <row r="1908" spans="1:4">
      <c r="A1908" s="105">
        <v>101601</v>
      </c>
      <c r="B1908" s="104" t="s">
        <v>2169</v>
      </c>
      <c r="C1908" s="104" t="s">
        <v>12</v>
      </c>
      <c r="D1908" s="129" t="s">
        <v>21435</v>
      </c>
    </row>
    <row r="1909" spans="1:4">
      <c r="A1909" s="105">
        <v>101602</v>
      </c>
      <c r="B1909" s="104" t="s">
        <v>2170</v>
      </c>
      <c r="C1909" s="104" t="s">
        <v>12</v>
      </c>
      <c r="D1909" s="129" t="s">
        <v>16887</v>
      </c>
    </row>
    <row r="1910" spans="1:4">
      <c r="A1910" s="105">
        <v>101603</v>
      </c>
      <c r="B1910" s="104" t="s">
        <v>2171</v>
      </c>
      <c r="C1910" s="104" t="s">
        <v>12</v>
      </c>
      <c r="D1910" s="129" t="s">
        <v>19220</v>
      </c>
    </row>
    <row r="1911" spans="1:4">
      <c r="A1911" s="105">
        <v>101604</v>
      </c>
      <c r="B1911" s="104" t="s">
        <v>2172</v>
      </c>
      <c r="C1911" s="104" t="s">
        <v>12</v>
      </c>
      <c r="D1911" s="129" t="s">
        <v>15511</v>
      </c>
    </row>
    <row r="1912" spans="1:4">
      <c r="A1912" s="105">
        <v>101605</v>
      </c>
      <c r="B1912" s="104" t="s">
        <v>2173</v>
      </c>
      <c r="C1912" s="104" t="s">
        <v>12</v>
      </c>
      <c r="D1912" s="129" t="s">
        <v>17327</v>
      </c>
    </row>
    <row r="1913" spans="1:4">
      <c r="A1913" s="105">
        <v>90788</v>
      </c>
      <c r="B1913" s="104" t="s">
        <v>2174</v>
      </c>
      <c r="C1913" s="104" t="s">
        <v>183</v>
      </c>
      <c r="D1913" s="129" t="s">
        <v>21436</v>
      </c>
    </row>
    <row r="1914" spans="1:4">
      <c r="A1914" s="105">
        <v>90789</v>
      </c>
      <c r="B1914" s="104" t="s">
        <v>2175</v>
      </c>
      <c r="C1914" s="104" t="s">
        <v>183</v>
      </c>
      <c r="D1914" s="129" t="s">
        <v>21437</v>
      </c>
    </row>
    <row r="1915" spans="1:4">
      <c r="A1915" s="105">
        <v>90790</v>
      </c>
      <c r="B1915" s="104" t="s">
        <v>2176</v>
      </c>
      <c r="C1915" s="104" t="s">
        <v>183</v>
      </c>
      <c r="D1915" s="129" t="s">
        <v>21438</v>
      </c>
    </row>
    <row r="1916" spans="1:4">
      <c r="A1916" s="105">
        <v>90791</v>
      </c>
      <c r="B1916" s="104" t="s">
        <v>2177</v>
      </c>
      <c r="C1916" s="104" t="s">
        <v>183</v>
      </c>
      <c r="D1916" s="129" t="s">
        <v>21439</v>
      </c>
    </row>
    <row r="1917" spans="1:4">
      <c r="A1917" s="105">
        <v>90793</v>
      </c>
      <c r="B1917" s="104" t="s">
        <v>2178</v>
      </c>
      <c r="C1917" s="104" t="s">
        <v>183</v>
      </c>
      <c r="D1917" s="129" t="s">
        <v>21440</v>
      </c>
    </row>
    <row r="1918" spans="1:4">
      <c r="A1918" s="105">
        <v>90794</v>
      </c>
      <c r="B1918" s="104" t="s">
        <v>2179</v>
      </c>
      <c r="C1918" s="104" t="s">
        <v>183</v>
      </c>
      <c r="D1918" s="129" t="s">
        <v>21441</v>
      </c>
    </row>
    <row r="1919" spans="1:4">
      <c r="A1919" s="105">
        <v>90795</v>
      </c>
      <c r="B1919" s="104" t="s">
        <v>2180</v>
      </c>
      <c r="C1919" s="104" t="s">
        <v>183</v>
      </c>
      <c r="D1919" s="129" t="s">
        <v>21442</v>
      </c>
    </row>
    <row r="1920" spans="1:4">
      <c r="A1920" s="105">
        <v>90796</v>
      </c>
      <c r="B1920" s="104" t="s">
        <v>2181</v>
      </c>
      <c r="C1920" s="104" t="s">
        <v>183</v>
      </c>
      <c r="D1920" s="129" t="s">
        <v>21443</v>
      </c>
    </row>
    <row r="1921" spans="1:4">
      <c r="A1921" s="105">
        <v>90797</v>
      </c>
      <c r="B1921" s="104" t="s">
        <v>2182</v>
      </c>
      <c r="C1921" s="104" t="s">
        <v>183</v>
      </c>
      <c r="D1921" s="129" t="s">
        <v>21444</v>
      </c>
    </row>
    <row r="1922" spans="1:4">
      <c r="A1922" s="105">
        <v>90798</v>
      </c>
      <c r="B1922" s="104" t="s">
        <v>2183</v>
      </c>
      <c r="C1922" s="104" t="s">
        <v>183</v>
      </c>
      <c r="D1922" s="129" t="s">
        <v>21445</v>
      </c>
    </row>
    <row r="1923" spans="1:4">
      <c r="A1923" s="105">
        <v>90799</v>
      </c>
      <c r="B1923" s="104" t="s">
        <v>2184</v>
      </c>
      <c r="C1923" s="104" t="s">
        <v>183</v>
      </c>
      <c r="D1923" s="129" t="s">
        <v>21446</v>
      </c>
    </row>
    <row r="1924" spans="1:4">
      <c r="A1924" s="105">
        <v>90801</v>
      </c>
      <c r="B1924" s="104" t="s">
        <v>2185</v>
      </c>
      <c r="C1924" s="104" t="s">
        <v>183</v>
      </c>
      <c r="D1924" s="129" t="s">
        <v>21447</v>
      </c>
    </row>
    <row r="1925" spans="1:4">
      <c r="A1925" s="105">
        <v>90806</v>
      </c>
      <c r="B1925" s="104" t="s">
        <v>2186</v>
      </c>
      <c r="C1925" s="104" t="s">
        <v>183</v>
      </c>
      <c r="D1925" s="129" t="s">
        <v>21448</v>
      </c>
    </row>
    <row r="1926" spans="1:4">
      <c r="A1926" s="105">
        <v>90820</v>
      </c>
      <c r="B1926" s="104" t="s">
        <v>2187</v>
      </c>
      <c r="C1926" s="104" t="s">
        <v>183</v>
      </c>
      <c r="D1926" s="129" t="s">
        <v>21449</v>
      </c>
    </row>
    <row r="1927" spans="1:4">
      <c r="A1927" s="105">
        <v>90821</v>
      </c>
      <c r="B1927" s="104" t="s">
        <v>2188</v>
      </c>
      <c r="C1927" s="104" t="s">
        <v>183</v>
      </c>
      <c r="D1927" s="129" t="s">
        <v>21450</v>
      </c>
    </row>
    <row r="1928" spans="1:4">
      <c r="A1928" s="105">
        <v>90822</v>
      </c>
      <c r="B1928" s="104" t="s">
        <v>2189</v>
      </c>
      <c r="C1928" s="104" t="s">
        <v>183</v>
      </c>
      <c r="D1928" s="129" t="s">
        <v>21451</v>
      </c>
    </row>
    <row r="1929" spans="1:4">
      <c r="A1929" s="105">
        <v>90823</v>
      </c>
      <c r="B1929" s="104" t="s">
        <v>2190</v>
      </c>
      <c r="C1929" s="104" t="s">
        <v>183</v>
      </c>
      <c r="D1929" s="129" t="s">
        <v>21452</v>
      </c>
    </row>
    <row r="1930" spans="1:4">
      <c r="A1930" s="105">
        <v>90824</v>
      </c>
      <c r="B1930" s="104" t="s">
        <v>2191</v>
      </c>
      <c r="C1930" s="104" t="s">
        <v>183</v>
      </c>
      <c r="D1930" s="129" t="s">
        <v>21453</v>
      </c>
    </row>
    <row r="1931" spans="1:4">
      <c r="A1931" s="105">
        <v>90825</v>
      </c>
      <c r="B1931" s="104" t="s">
        <v>2192</v>
      </c>
      <c r="C1931" s="104" t="s">
        <v>183</v>
      </c>
      <c r="D1931" s="129" t="s">
        <v>21454</v>
      </c>
    </row>
    <row r="1932" spans="1:4">
      <c r="A1932" s="105">
        <v>90830</v>
      </c>
      <c r="B1932" s="104" t="s">
        <v>2193</v>
      </c>
      <c r="C1932" s="104" t="s">
        <v>183</v>
      </c>
      <c r="D1932" s="129" t="s">
        <v>21455</v>
      </c>
    </row>
    <row r="1933" spans="1:4">
      <c r="A1933" s="105">
        <v>90831</v>
      </c>
      <c r="B1933" s="104" t="s">
        <v>2194</v>
      </c>
      <c r="C1933" s="104" t="s">
        <v>183</v>
      </c>
      <c r="D1933" s="129" t="s">
        <v>21456</v>
      </c>
    </row>
    <row r="1934" spans="1:4">
      <c r="A1934" s="105">
        <v>90841</v>
      </c>
      <c r="B1934" s="104" t="s">
        <v>2195</v>
      </c>
      <c r="C1934" s="104" t="s">
        <v>183</v>
      </c>
      <c r="D1934" s="129" t="s">
        <v>21457</v>
      </c>
    </row>
    <row r="1935" spans="1:4">
      <c r="A1935" s="105">
        <v>90842</v>
      </c>
      <c r="B1935" s="104" t="s">
        <v>2196</v>
      </c>
      <c r="C1935" s="104" t="s">
        <v>183</v>
      </c>
      <c r="D1935" s="129" t="s">
        <v>21458</v>
      </c>
    </row>
    <row r="1936" spans="1:4">
      <c r="A1936" s="105">
        <v>90843</v>
      </c>
      <c r="B1936" s="104" t="s">
        <v>2197</v>
      </c>
      <c r="C1936" s="104" t="s">
        <v>183</v>
      </c>
      <c r="D1936" s="129" t="s">
        <v>21459</v>
      </c>
    </row>
    <row r="1937" spans="1:4">
      <c r="A1937" s="105">
        <v>90844</v>
      </c>
      <c r="B1937" s="104" t="s">
        <v>2198</v>
      </c>
      <c r="C1937" s="104" t="s">
        <v>183</v>
      </c>
      <c r="D1937" s="129" t="s">
        <v>21460</v>
      </c>
    </row>
    <row r="1938" spans="1:4">
      <c r="A1938" s="105">
        <v>90845</v>
      </c>
      <c r="B1938" s="104" t="s">
        <v>2199</v>
      </c>
      <c r="C1938" s="104" t="s">
        <v>183</v>
      </c>
      <c r="D1938" s="129" t="s">
        <v>21461</v>
      </c>
    </row>
    <row r="1939" spans="1:4">
      <c r="A1939" s="105">
        <v>90846</v>
      </c>
      <c r="B1939" s="104" t="s">
        <v>2200</v>
      </c>
      <c r="C1939" s="104" t="s">
        <v>183</v>
      </c>
      <c r="D1939" s="129" t="s">
        <v>21462</v>
      </c>
    </row>
    <row r="1940" spans="1:4">
      <c r="A1940" s="105">
        <v>90847</v>
      </c>
      <c r="B1940" s="104" t="s">
        <v>2201</v>
      </c>
      <c r="C1940" s="104" t="s">
        <v>183</v>
      </c>
      <c r="D1940" s="129" t="s">
        <v>21463</v>
      </c>
    </row>
    <row r="1941" spans="1:4">
      <c r="A1941" s="105">
        <v>90848</v>
      </c>
      <c r="B1941" s="104" t="s">
        <v>2202</v>
      </c>
      <c r="C1941" s="104" t="s">
        <v>183</v>
      </c>
      <c r="D1941" s="129" t="s">
        <v>21464</v>
      </c>
    </row>
    <row r="1942" spans="1:4">
      <c r="A1942" s="105">
        <v>90849</v>
      </c>
      <c r="B1942" s="104" t="s">
        <v>2203</v>
      </c>
      <c r="C1942" s="104" t="s">
        <v>183</v>
      </c>
      <c r="D1942" s="129" t="s">
        <v>21465</v>
      </c>
    </row>
    <row r="1943" spans="1:4">
      <c r="A1943" s="105">
        <v>90850</v>
      </c>
      <c r="B1943" s="104" t="s">
        <v>2204</v>
      </c>
      <c r="C1943" s="104" t="s">
        <v>183</v>
      </c>
      <c r="D1943" s="129" t="s">
        <v>21466</v>
      </c>
    </row>
    <row r="1944" spans="1:4">
      <c r="A1944" s="105">
        <v>90851</v>
      </c>
      <c r="B1944" s="104" t="s">
        <v>2205</v>
      </c>
      <c r="C1944" s="104" t="s">
        <v>183</v>
      </c>
      <c r="D1944" s="129" t="s">
        <v>21467</v>
      </c>
    </row>
    <row r="1945" spans="1:4">
      <c r="A1945" s="105">
        <v>90852</v>
      </c>
      <c r="B1945" s="104" t="s">
        <v>2206</v>
      </c>
      <c r="C1945" s="104" t="s">
        <v>183</v>
      </c>
      <c r="D1945" s="129" t="s">
        <v>21468</v>
      </c>
    </row>
    <row r="1946" spans="1:4">
      <c r="A1946" s="105">
        <v>91009</v>
      </c>
      <c r="B1946" s="104" t="s">
        <v>2207</v>
      </c>
      <c r="C1946" s="104" t="s">
        <v>183</v>
      </c>
      <c r="D1946" s="129" t="s">
        <v>21469</v>
      </c>
    </row>
    <row r="1947" spans="1:4">
      <c r="A1947" s="105">
        <v>91010</v>
      </c>
      <c r="B1947" s="104" t="s">
        <v>2208</v>
      </c>
      <c r="C1947" s="104" t="s">
        <v>183</v>
      </c>
      <c r="D1947" s="129" t="s">
        <v>21470</v>
      </c>
    </row>
    <row r="1948" spans="1:4">
      <c r="A1948" s="105">
        <v>91011</v>
      </c>
      <c r="B1948" s="104" t="s">
        <v>2209</v>
      </c>
      <c r="C1948" s="104" t="s">
        <v>183</v>
      </c>
      <c r="D1948" s="129" t="s">
        <v>21471</v>
      </c>
    </row>
    <row r="1949" spans="1:4">
      <c r="A1949" s="105">
        <v>91012</v>
      </c>
      <c r="B1949" s="104" t="s">
        <v>2210</v>
      </c>
      <c r="C1949" s="104" t="s">
        <v>183</v>
      </c>
      <c r="D1949" s="129" t="s">
        <v>21472</v>
      </c>
    </row>
    <row r="1950" spans="1:4">
      <c r="A1950" s="105">
        <v>91013</v>
      </c>
      <c r="B1950" s="104" t="s">
        <v>2211</v>
      </c>
      <c r="C1950" s="104" t="s">
        <v>183</v>
      </c>
      <c r="D1950" s="129" t="s">
        <v>21473</v>
      </c>
    </row>
    <row r="1951" spans="1:4">
      <c r="A1951" s="105">
        <v>91014</v>
      </c>
      <c r="B1951" s="104" t="s">
        <v>2212</v>
      </c>
      <c r="C1951" s="104" t="s">
        <v>183</v>
      </c>
      <c r="D1951" s="129" t="s">
        <v>21474</v>
      </c>
    </row>
    <row r="1952" spans="1:4">
      <c r="A1952" s="105">
        <v>91015</v>
      </c>
      <c r="B1952" s="104" t="s">
        <v>2213</v>
      </c>
      <c r="C1952" s="104" t="s">
        <v>183</v>
      </c>
      <c r="D1952" s="129" t="s">
        <v>21475</v>
      </c>
    </row>
    <row r="1953" spans="1:4">
      <c r="A1953" s="105">
        <v>91016</v>
      </c>
      <c r="B1953" s="104" t="s">
        <v>2214</v>
      </c>
      <c r="C1953" s="104" t="s">
        <v>183</v>
      </c>
      <c r="D1953" s="129" t="s">
        <v>21476</v>
      </c>
    </row>
    <row r="1954" spans="1:4">
      <c r="A1954" s="105">
        <v>91287</v>
      </c>
      <c r="B1954" s="104" t="s">
        <v>2215</v>
      </c>
      <c r="C1954" s="104" t="s">
        <v>183</v>
      </c>
      <c r="D1954" s="129" t="s">
        <v>21477</v>
      </c>
    </row>
    <row r="1955" spans="1:4">
      <c r="A1955" s="105">
        <v>91292</v>
      </c>
      <c r="B1955" s="104" t="s">
        <v>2216</v>
      </c>
      <c r="C1955" s="104" t="s">
        <v>183</v>
      </c>
      <c r="D1955" s="129" t="s">
        <v>21478</v>
      </c>
    </row>
    <row r="1956" spans="1:4">
      <c r="A1956" s="105">
        <v>91295</v>
      </c>
      <c r="B1956" s="104" t="s">
        <v>2217</v>
      </c>
      <c r="C1956" s="104" t="s">
        <v>183</v>
      </c>
      <c r="D1956" s="129" t="s">
        <v>21479</v>
      </c>
    </row>
    <row r="1957" spans="1:4">
      <c r="A1957" s="105">
        <v>91296</v>
      </c>
      <c r="B1957" s="104" t="s">
        <v>2218</v>
      </c>
      <c r="C1957" s="104" t="s">
        <v>183</v>
      </c>
      <c r="D1957" s="129" t="s">
        <v>21480</v>
      </c>
    </row>
    <row r="1958" spans="1:4">
      <c r="A1958" s="105">
        <v>91297</v>
      </c>
      <c r="B1958" s="104" t="s">
        <v>2219</v>
      </c>
      <c r="C1958" s="104" t="s">
        <v>183</v>
      </c>
      <c r="D1958" s="129" t="s">
        <v>21481</v>
      </c>
    </row>
    <row r="1959" spans="1:4">
      <c r="A1959" s="105">
        <v>91298</v>
      </c>
      <c r="B1959" s="104" t="s">
        <v>2220</v>
      </c>
      <c r="C1959" s="104" t="s">
        <v>183</v>
      </c>
      <c r="D1959" s="129" t="s">
        <v>21482</v>
      </c>
    </row>
    <row r="1960" spans="1:4">
      <c r="A1960" s="105">
        <v>91299</v>
      </c>
      <c r="B1960" s="104" t="s">
        <v>2221</v>
      </c>
      <c r="C1960" s="104" t="s">
        <v>183</v>
      </c>
      <c r="D1960" s="129" t="s">
        <v>21483</v>
      </c>
    </row>
    <row r="1961" spans="1:4">
      <c r="A1961" s="105">
        <v>91304</v>
      </c>
      <c r="B1961" s="104" t="s">
        <v>2222</v>
      </c>
      <c r="C1961" s="104" t="s">
        <v>183</v>
      </c>
      <c r="D1961" s="129" t="s">
        <v>21484</v>
      </c>
    </row>
    <row r="1962" spans="1:4">
      <c r="A1962" s="105">
        <v>91305</v>
      </c>
      <c r="B1962" s="104" t="s">
        <v>2223</v>
      </c>
      <c r="C1962" s="104" t="s">
        <v>183</v>
      </c>
      <c r="D1962" s="129" t="s">
        <v>21485</v>
      </c>
    </row>
    <row r="1963" spans="1:4">
      <c r="A1963" s="105">
        <v>91306</v>
      </c>
      <c r="B1963" s="104" t="s">
        <v>2224</v>
      </c>
      <c r="C1963" s="104" t="s">
        <v>183</v>
      </c>
      <c r="D1963" s="129" t="s">
        <v>21456</v>
      </c>
    </row>
    <row r="1964" spans="1:4">
      <c r="A1964" s="105">
        <v>91307</v>
      </c>
      <c r="B1964" s="104" t="s">
        <v>2225</v>
      </c>
      <c r="C1964" s="104" t="s">
        <v>183</v>
      </c>
      <c r="D1964" s="129" t="s">
        <v>21486</v>
      </c>
    </row>
    <row r="1965" spans="1:4">
      <c r="A1965" s="105">
        <v>91312</v>
      </c>
      <c r="B1965" s="104" t="s">
        <v>2226</v>
      </c>
      <c r="C1965" s="104" t="s">
        <v>183</v>
      </c>
      <c r="D1965" s="129" t="s">
        <v>21487</v>
      </c>
    </row>
    <row r="1966" spans="1:4">
      <c r="A1966" s="105">
        <v>91313</v>
      </c>
      <c r="B1966" s="104" t="s">
        <v>2227</v>
      </c>
      <c r="C1966" s="104" t="s">
        <v>183</v>
      </c>
      <c r="D1966" s="129" t="s">
        <v>21488</v>
      </c>
    </row>
    <row r="1967" spans="1:4">
      <c r="A1967" s="105">
        <v>91314</v>
      </c>
      <c r="B1967" s="104" t="s">
        <v>2228</v>
      </c>
      <c r="C1967" s="104" t="s">
        <v>183</v>
      </c>
      <c r="D1967" s="129" t="s">
        <v>21489</v>
      </c>
    </row>
    <row r="1968" spans="1:4">
      <c r="A1968" s="105">
        <v>91315</v>
      </c>
      <c r="B1968" s="104" t="s">
        <v>2229</v>
      </c>
      <c r="C1968" s="104" t="s">
        <v>183</v>
      </c>
      <c r="D1968" s="129" t="s">
        <v>21490</v>
      </c>
    </row>
    <row r="1969" spans="1:4">
      <c r="A1969" s="105">
        <v>91316</v>
      </c>
      <c r="B1969" s="104" t="s">
        <v>2230</v>
      </c>
      <c r="C1969" s="104" t="s">
        <v>183</v>
      </c>
      <c r="D1969" s="129" t="s">
        <v>21491</v>
      </c>
    </row>
    <row r="1970" spans="1:4">
      <c r="A1970" s="105">
        <v>91317</v>
      </c>
      <c r="B1970" s="104" t="s">
        <v>2231</v>
      </c>
      <c r="C1970" s="104" t="s">
        <v>183</v>
      </c>
      <c r="D1970" s="129" t="s">
        <v>21492</v>
      </c>
    </row>
    <row r="1971" spans="1:4">
      <c r="A1971" s="105">
        <v>91318</v>
      </c>
      <c r="B1971" s="104" t="s">
        <v>2232</v>
      </c>
      <c r="C1971" s="104" t="s">
        <v>183</v>
      </c>
      <c r="D1971" s="129" t="s">
        <v>21493</v>
      </c>
    </row>
    <row r="1972" spans="1:4">
      <c r="A1972" s="105">
        <v>91319</v>
      </c>
      <c r="B1972" s="104" t="s">
        <v>2233</v>
      </c>
      <c r="C1972" s="104" t="s">
        <v>183</v>
      </c>
      <c r="D1972" s="129" t="s">
        <v>21494</v>
      </c>
    </row>
    <row r="1973" spans="1:4">
      <c r="A1973" s="105">
        <v>91320</v>
      </c>
      <c r="B1973" s="104" t="s">
        <v>2234</v>
      </c>
      <c r="C1973" s="104" t="s">
        <v>183</v>
      </c>
      <c r="D1973" s="129" t="s">
        <v>21495</v>
      </c>
    </row>
    <row r="1974" spans="1:4">
      <c r="A1974" s="105">
        <v>91321</v>
      </c>
      <c r="B1974" s="104" t="s">
        <v>2235</v>
      </c>
      <c r="C1974" s="104" t="s">
        <v>183</v>
      </c>
      <c r="D1974" s="129" t="s">
        <v>21496</v>
      </c>
    </row>
    <row r="1975" spans="1:4">
      <c r="A1975" s="105">
        <v>91322</v>
      </c>
      <c r="B1975" s="104" t="s">
        <v>2236</v>
      </c>
      <c r="C1975" s="104" t="s">
        <v>183</v>
      </c>
      <c r="D1975" s="129" t="s">
        <v>21497</v>
      </c>
    </row>
    <row r="1976" spans="1:4">
      <c r="A1976" s="105">
        <v>91323</v>
      </c>
      <c r="B1976" s="104" t="s">
        <v>2237</v>
      </c>
      <c r="C1976" s="104" t="s">
        <v>183</v>
      </c>
      <c r="D1976" s="129" t="s">
        <v>21498</v>
      </c>
    </row>
    <row r="1977" spans="1:4">
      <c r="A1977" s="105">
        <v>91324</v>
      </c>
      <c r="B1977" s="104" t="s">
        <v>2238</v>
      </c>
      <c r="C1977" s="104" t="s">
        <v>183</v>
      </c>
      <c r="D1977" s="129" t="s">
        <v>21499</v>
      </c>
    </row>
    <row r="1978" spans="1:4">
      <c r="A1978" s="105">
        <v>91325</v>
      </c>
      <c r="B1978" s="104" t="s">
        <v>2239</v>
      </c>
      <c r="C1978" s="104" t="s">
        <v>183</v>
      </c>
      <c r="D1978" s="129" t="s">
        <v>21500</v>
      </c>
    </row>
    <row r="1979" spans="1:4">
      <c r="A1979" s="105">
        <v>91326</v>
      </c>
      <c r="B1979" s="104" t="s">
        <v>2240</v>
      </c>
      <c r="C1979" s="104" t="s">
        <v>183</v>
      </c>
      <c r="D1979" s="129" t="s">
        <v>21501</v>
      </c>
    </row>
    <row r="1980" spans="1:4">
      <c r="A1980" s="105">
        <v>91327</v>
      </c>
      <c r="B1980" s="104" t="s">
        <v>2241</v>
      </c>
      <c r="C1980" s="104" t="s">
        <v>183</v>
      </c>
      <c r="D1980" s="129" t="s">
        <v>21502</v>
      </c>
    </row>
    <row r="1981" spans="1:4">
      <c r="A1981" s="105">
        <v>91328</v>
      </c>
      <c r="B1981" s="104" t="s">
        <v>2242</v>
      </c>
      <c r="C1981" s="104" t="s">
        <v>183</v>
      </c>
      <c r="D1981" s="129" t="s">
        <v>21503</v>
      </c>
    </row>
    <row r="1982" spans="1:4">
      <c r="A1982" s="105">
        <v>91329</v>
      </c>
      <c r="B1982" s="104" t="s">
        <v>2243</v>
      </c>
      <c r="C1982" s="104" t="s">
        <v>183</v>
      </c>
      <c r="D1982" s="129" t="s">
        <v>21504</v>
      </c>
    </row>
    <row r="1983" spans="1:4">
      <c r="A1983" s="105">
        <v>91330</v>
      </c>
      <c r="B1983" s="104" t="s">
        <v>2244</v>
      </c>
      <c r="C1983" s="104" t="s">
        <v>183</v>
      </c>
      <c r="D1983" s="129" t="s">
        <v>21505</v>
      </c>
    </row>
    <row r="1984" spans="1:4">
      <c r="A1984" s="105">
        <v>91331</v>
      </c>
      <c r="B1984" s="104" t="s">
        <v>2245</v>
      </c>
      <c r="C1984" s="104" t="s">
        <v>183</v>
      </c>
      <c r="D1984" s="129" t="s">
        <v>21506</v>
      </c>
    </row>
    <row r="1985" spans="1:4">
      <c r="A1985" s="105">
        <v>91332</v>
      </c>
      <c r="B1985" s="104" t="s">
        <v>2246</v>
      </c>
      <c r="C1985" s="104" t="s">
        <v>183</v>
      </c>
      <c r="D1985" s="129" t="s">
        <v>21507</v>
      </c>
    </row>
    <row r="1986" spans="1:4">
      <c r="A1986" s="105">
        <v>91333</v>
      </c>
      <c r="B1986" s="104" t="s">
        <v>2247</v>
      </c>
      <c r="C1986" s="104" t="s">
        <v>183</v>
      </c>
      <c r="D1986" s="129" t="s">
        <v>21508</v>
      </c>
    </row>
    <row r="1987" spans="1:4">
      <c r="A1987" s="105">
        <v>91334</v>
      </c>
      <c r="B1987" s="104" t="s">
        <v>2248</v>
      </c>
      <c r="C1987" s="104" t="s">
        <v>183</v>
      </c>
      <c r="D1987" s="129" t="s">
        <v>21509</v>
      </c>
    </row>
    <row r="1988" spans="1:4">
      <c r="A1988" s="105">
        <v>91335</v>
      </c>
      <c r="B1988" s="104" t="s">
        <v>2249</v>
      </c>
      <c r="C1988" s="104" t="s">
        <v>183</v>
      </c>
      <c r="D1988" s="129" t="s">
        <v>21510</v>
      </c>
    </row>
    <row r="1989" spans="1:4">
      <c r="A1989" s="105">
        <v>91336</v>
      </c>
      <c r="B1989" s="104" t="s">
        <v>2250</v>
      </c>
      <c r="C1989" s="104" t="s">
        <v>183</v>
      </c>
      <c r="D1989" s="129" t="s">
        <v>21511</v>
      </c>
    </row>
    <row r="1990" spans="1:4">
      <c r="A1990" s="105">
        <v>91337</v>
      </c>
      <c r="B1990" s="104" t="s">
        <v>2251</v>
      </c>
      <c r="C1990" s="104" t="s">
        <v>183</v>
      </c>
      <c r="D1990" s="129" t="s">
        <v>21512</v>
      </c>
    </row>
    <row r="1991" spans="1:4">
      <c r="A1991" s="105">
        <v>100659</v>
      </c>
      <c r="B1991" s="104" t="s">
        <v>2252</v>
      </c>
      <c r="C1991" s="104" t="s">
        <v>40</v>
      </c>
      <c r="D1991" s="129" t="s">
        <v>21513</v>
      </c>
    </row>
    <row r="1992" spans="1:4">
      <c r="A1992" s="105">
        <v>100660</v>
      </c>
      <c r="B1992" s="104" t="s">
        <v>2253</v>
      </c>
      <c r="C1992" s="104" t="s">
        <v>40</v>
      </c>
      <c r="D1992" s="129" t="s">
        <v>21514</v>
      </c>
    </row>
    <row r="1993" spans="1:4">
      <c r="A1993" s="105">
        <v>100675</v>
      </c>
      <c r="B1993" s="104" t="s">
        <v>2254</v>
      </c>
      <c r="C1993" s="104" t="s">
        <v>183</v>
      </c>
      <c r="D1993" s="129" t="s">
        <v>21515</v>
      </c>
    </row>
    <row r="1994" spans="1:4">
      <c r="A1994" s="105">
        <v>100676</v>
      </c>
      <c r="B1994" s="104" t="s">
        <v>2255</v>
      </c>
      <c r="C1994" s="104" t="s">
        <v>183</v>
      </c>
      <c r="D1994" s="129" t="s">
        <v>21516</v>
      </c>
    </row>
    <row r="1995" spans="1:4">
      <c r="A1995" s="105">
        <v>100678</v>
      </c>
      <c r="B1995" s="104" t="s">
        <v>2256</v>
      </c>
      <c r="C1995" s="104" t="s">
        <v>183</v>
      </c>
      <c r="D1995" s="129" t="s">
        <v>21517</v>
      </c>
    </row>
    <row r="1996" spans="1:4">
      <c r="A1996" s="105">
        <v>100679</v>
      </c>
      <c r="B1996" s="104" t="s">
        <v>2257</v>
      </c>
      <c r="C1996" s="104" t="s">
        <v>183</v>
      </c>
      <c r="D1996" s="129" t="s">
        <v>21518</v>
      </c>
    </row>
    <row r="1997" spans="1:4">
      <c r="A1997" s="105">
        <v>100680</v>
      </c>
      <c r="B1997" s="104" t="s">
        <v>2258</v>
      </c>
      <c r="C1997" s="104" t="s">
        <v>183</v>
      </c>
      <c r="D1997" s="129" t="s">
        <v>21519</v>
      </c>
    </row>
    <row r="1998" spans="1:4">
      <c r="A1998" s="105">
        <v>100681</v>
      </c>
      <c r="B1998" s="104" t="s">
        <v>2259</v>
      </c>
      <c r="C1998" s="104" t="s">
        <v>183</v>
      </c>
      <c r="D1998" s="129" t="s">
        <v>21520</v>
      </c>
    </row>
    <row r="1999" spans="1:4">
      <c r="A1999" s="105">
        <v>100682</v>
      </c>
      <c r="B1999" s="104" t="s">
        <v>2260</v>
      </c>
      <c r="C1999" s="104" t="s">
        <v>183</v>
      </c>
      <c r="D1999" s="129" t="s">
        <v>21521</v>
      </c>
    </row>
    <row r="2000" spans="1:4">
      <c r="A2000" s="105">
        <v>100683</v>
      </c>
      <c r="B2000" s="104" t="s">
        <v>2261</v>
      </c>
      <c r="C2000" s="104" t="s">
        <v>183</v>
      </c>
      <c r="D2000" s="129" t="s">
        <v>21522</v>
      </c>
    </row>
    <row r="2001" spans="1:4">
      <c r="A2001" s="105">
        <v>100684</v>
      </c>
      <c r="B2001" s="104" t="s">
        <v>2262</v>
      </c>
      <c r="C2001" s="104" t="s">
        <v>183</v>
      </c>
      <c r="D2001" s="129" t="s">
        <v>21523</v>
      </c>
    </row>
    <row r="2002" spans="1:4">
      <c r="A2002" s="105">
        <v>100685</v>
      </c>
      <c r="B2002" s="104" t="s">
        <v>2263</v>
      </c>
      <c r="C2002" s="104" t="s">
        <v>183</v>
      </c>
      <c r="D2002" s="129" t="s">
        <v>21524</v>
      </c>
    </row>
    <row r="2003" spans="1:4">
      <c r="A2003" s="105">
        <v>100686</v>
      </c>
      <c r="B2003" s="104" t="s">
        <v>2264</v>
      </c>
      <c r="C2003" s="104" t="s">
        <v>183</v>
      </c>
      <c r="D2003" s="129" t="s">
        <v>21525</v>
      </c>
    </row>
    <row r="2004" spans="1:4">
      <c r="A2004" s="105">
        <v>100687</v>
      </c>
      <c r="B2004" s="104" t="s">
        <v>2265</v>
      </c>
      <c r="C2004" s="104" t="s">
        <v>183</v>
      </c>
      <c r="D2004" s="129" t="s">
        <v>21526</v>
      </c>
    </row>
    <row r="2005" spans="1:4">
      <c r="A2005" s="105">
        <v>100688</v>
      </c>
      <c r="B2005" s="104" t="s">
        <v>2266</v>
      </c>
      <c r="C2005" s="104" t="s">
        <v>183</v>
      </c>
      <c r="D2005" s="129" t="s">
        <v>21527</v>
      </c>
    </row>
    <row r="2006" spans="1:4">
      <c r="A2006" s="105">
        <v>100689</v>
      </c>
      <c r="B2006" s="104" t="s">
        <v>2267</v>
      </c>
      <c r="C2006" s="104" t="s">
        <v>183</v>
      </c>
      <c r="D2006" s="129" t="s">
        <v>21528</v>
      </c>
    </row>
    <row r="2007" spans="1:4">
      <c r="A2007" s="105">
        <v>100690</v>
      </c>
      <c r="B2007" s="104" t="s">
        <v>2268</v>
      </c>
      <c r="C2007" s="104" t="s">
        <v>183</v>
      </c>
      <c r="D2007" s="129" t="s">
        <v>21529</v>
      </c>
    </row>
    <row r="2008" spans="1:4">
      <c r="A2008" s="105">
        <v>100691</v>
      </c>
      <c r="B2008" s="104" t="s">
        <v>2269</v>
      </c>
      <c r="C2008" s="104" t="s">
        <v>183</v>
      </c>
      <c r="D2008" s="129" t="s">
        <v>21530</v>
      </c>
    </row>
    <row r="2009" spans="1:4">
      <c r="A2009" s="105">
        <v>100692</v>
      </c>
      <c r="B2009" s="104" t="s">
        <v>2270</v>
      </c>
      <c r="C2009" s="104" t="s">
        <v>183</v>
      </c>
      <c r="D2009" s="129" t="s">
        <v>21531</v>
      </c>
    </row>
    <row r="2010" spans="1:4">
      <c r="A2010" s="105">
        <v>100693</v>
      </c>
      <c r="B2010" s="104" t="s">
        <v>2271</v>
      </c>
      <c r="C2010" s="104" t="s">
        <v>183</v>
      </c>
      <c r="D2010" s="129" t="s">
        <v>21532</v>
      </c>
    </row>
    <row r="2011" spans="1:4">
      <c r="A2011" s="105">
        <v>100694</v>
      </c>
      <c r="B2011" s="104" t="s">
        <v>2272</v>
      </c>
      <c r="C2011" s="104" t="s">
        <v>183</v>
      </c>
      <c r="D2011" s="129" t="s">
        <v>21533</v>
      </c>
    </row>
    <row r="2012" spans="1:4">
      <c r="A2012" s="105">
        <v>100695</v>
      </c>
      <c r="B2012" s="104" t="s">
        <v>2273</v>
      </c>
      <c r="C2012" s="104" t="s">
        <v>183</v>
      </c>
      <c r="D2012" s="129" t="s">
        <v>15329</v>
      </c>
    </row>
    <row r="2013" spans="1:4">
      <c r="A2013" s="105">
        <v>100696</v>
      </c>
      <c r="B2013" s="104" t="s">
        <v>2274</v>
      </c>
      <c r="C2013" s="104" t="s">
        <v>183</v>
      </c>
      <c r="D2013" s="129" t="s">
        <v>16513</v>
      </c>
    </row>
    <row r="2014" spans="1:4">
      <c r="A2014" s="105">
        <v>100697</v>
      </c>
      <c r="B2014" s="104" t="s">
        <v>2275</v>
      </c>
      <c r="C2014" s="104" t="s">
        <v>183</v>
      </c>
      <c r="D2014" s="129" t="s">
        <v>21534</v>
      </c>
    </row>
    <row r="2015" spans="1:4">
      <c r="A2015" s="105">
        <v>100698</v>
      </c>
      <c r="B2015" s="104" t="s">
        <v>2276</v>
      </c>
      <c r="C2015" s="104" t="s">
        <v>183</v>
      </c>
      <c r="D2015" s="129" t="s">
        <v>21535</v>
      </c>
    </row>
    <row r="2016" spans="1:4">
      <c r="A2016" s="105">
        <v>100699</v>
      </c>
      <c r="B2016" s="104" t="s">
        <v>2277</v>
      </c>
      <c r="C2016" s="104" t="s">
        <v>183</v>
      </c>
      <c r="D2016" s="129" t="s">
        <v>21536</v>
      </c>
    </row>
    <row r="2017" spans="1:4">
      <c r="A2017" s="105">
        <v>100700</v>
      </c>
      <c r="B2017" s="104" t="s">
        <v>2278</v>
      </c>
      <c r="C2017" s="104" t="s">
        <v>183</v>
      </c>
      <c r="D2017" s="129" t="s">
        <v>21537</v>
      </c>
    </row>
    <row r="2018" spans="1:4">
      <c r="A2018" s="105">
        <v>100712</v>
      </c>
      <c r="B2018" s="104" t="s">
        <v>2279</v>
      </c>
      <c r="C2018" s="104" t="s">
        <v>183</v>
      </c>
      <c r="D2018" s="129" t="s">
        <v>21538</v>
      </c>
    </row>
    <row r="2019" spans="1:4">
      <c r="A2019" s="105">
        <v>100665</v>
      </c>
      <c r="B2019" s="104" t="s">
        <v>2280</v>
      </c>
      <c r="C2019" s="104" t="s">
        <v>12</v>
      </c>
      <c r="D2019" s="129" t="s">
        <v>21539</v>
      </c>
    </row>
    <row r="2020" spans="1:4">
      <c r="A2020" s="105">
        <v>100666</v>
      </c>
      <c r="B2020" s="104" t="s">
        <v>2281</v>
      </c>
      <c r="C2020" s="104" t="s">
        <v>12</v>
      </c>
      <c r="D2020" s="129" t="s">
        <v>21540</v>
      </c>
    </row>
    <row r="2021" spans="1:4">
      <c r="A2021" s="105">
        <v>100667</v>
      </c>
      <c r="B2021" s="104" t="s">
        <v>2282</v>
      </c>
      <c r="C2021" s="104" t="s">
        <v>12</v>
      </c>
      <c r="D2021" s="129" t="s">
        <v>21541</v>
      </c>
    </row>
    <row r="2022" spans="1:4">
      <c r="A2022" s="105">
        <v>100668</v>
      </c>
      <c r="B2022" s="104" t="s">
        <v>2283</v>
      </c>
      <c r="C2022" s="104" t="s">
        <v>12</v>
      </c>
      <c r="D2022" s="129" t="s">
        <v>21542</v>
      </c>
    </row>
    <row r="2023" spans="1:4">
      <c r="A2023" s="105">
        <v>100669</v>
      </c>
      <c r="B2023" s="104" t="s">
        <v>2284</v>
      </c>
      <c r="C2023" s="104" t="s">
        <v>12</v>
      </c>
      <c r="D2023" s="129" t="s">
        <v>21543</v>
      </c>
    </row>
    <row r="2024" spans="1:4">
      <c r="A2024" s="105">
        <v>100670</v>
      </c>
      <c r="B2024" s="104" t="s">
        <v>2285</v>
      </c>
      <c r="C2024" s="104" t="s">
        <v>12</v>
      </c>
      <c r="D2024" s="129" t="s">
        <v>21544</v>
      </c>
    </row>
    <row r="2025" spans="1:4">
      <c r="A2025" s="105">
        <v>100671</v>
      </c>
      <c r="B2025" s="104" t="s">
        <v>2286</v>
      </c>
      <c r="C2025" s="104" t="s">
        <v>12</v>
      </c>
      <c r="D2025" s="129" t="s">
        <v>21545</v>
      </c>
    </row>
    <row r="2026" spans="1:4">
      <c r="A2026" s="105">
        <v>100672</v>
      </c>
      <c r="B2026" s="104" t="s">
        <v>2287</v>
      </c>
      <c r="C2026" s="104" t="s">
        <v>12</v>
      </c>
      <c r="D2026" s="129" t="s">
        <v>21546</v>
      </c>
    </row>
    <row r="2027" spans="1:4">
      <c r="A2027" s="105">
        <v>100701</v>
      </c>
      <c r="B2027" s="104" t="s">
        <v>2288</v>
      </c>
      <c r="C2027" s="104" t="s">
        <v>12</v>
      </c>
      <c r="D2027" s="129" t="s">
        <v>21547</v>
      </c>
    </row>
    <row r="2028" spans="1:4">
      <c r="A2028" s="105">
        <v>94559</v>
      </c>
      <c r="B2028" s="104" t="s">
        <v>2289</v>
      </c>
      <c r="C2028" s="104" t="s">
        <v>12</v>
      </c>
      <c r="D2028" s="129" t="s">
        <v>21548</v>
      </c>
    </row>
    <row r="2029" spans="1:4">
      <c r="A2029" s="105">
        <v>94562</v>
      </c>
      <c r="B2029" s="104" t="s">
        <v>2290</v>
      </c>
      <c r="C2029" s="104" t="s">
        <v>12</v>
      </c>
      <c r="D2029" s="129" t="s">
        <v>21549</v>
      </c>
    </row>
    <row r="2030" spans="1:4">
      <c r="A2030" s="105">
        <v>94587</v>
      </c>
      <c r="B2030" s="104" t="s">
        <v>2291</v>
      </c>
      <c r="C2030" s="104" t="s">
        <v>40</v>
      </c>
      <c r="D2030" s="129" t="s">
        <v>21550</v>
      </c>
    </row>
    <row r="2031" spans="1:4">
      <c r="A2031" s="105">
        <v>94588</v>
      </c>
      <c r="B2031" s="104" t="s">
        <v>2292</v>
      </c>
      <c r="C2031" s="104" t="s">
        <v>40</v>
      </c>
      <c r="D2031" s="129" t="s">
        <v>21551</v>
      </c>
    </row>
    <row r="2032" spans="1:4">
      <c r="A2032" s="105">
        <v>99837</v>
      </c>
      <c r="B2032" s="104" t="s">
        <v>2293</v>
      </c>
      <c r="C2032" s="104" t="s">
        <v>40</v>
      </c>
      <c r="D2032" s="129" t="s">
        <v>21552</v>
      </c>
    </row>
    <row r="2033" spans="1:4">
      <c r="A2033" s="105">
        <v>99839</v>
      </c>
      <c r="B2033" s="104" t="s">
        <v>2294</v>
      </c>
      <c r="C2033" s="104" t="s">
        <v>40</v>
      </c>
      <c r="D2033" s="129" t="s">
        <v>21553</v>
      </c>
    </row>
    <row r="2034" spans="1:4">
      <c r="A2034" s="105">
        <v>99841</v>
      </c>
      <c r="B2034" s="104" t="s">
        <v>2295</v>
      </c>
      <c r="C2034" s="104" t="s">
        <v>40</v>
      </c>
      <c r="D2034" s="129" t="s">
        <v>21554</v>
      </c>
    </row>
    <row r="2035" spans="1:4">
      <c r="A2035" s="105">
        <v>99855</v>
      </c>
      <c r="B2035" s="104" t="s">
        <v>2296</v>
      </c>
      <c r="C2035" s="104" t="s">
        <v>40</v>
      </c>
      <c r="D2035" s="129" t="s">
        <v>21555</v>
      </c>
    </row>
    <row r="2036" spans="1:4">
      <c r="A2036" s="105">
        <v>99857</v>
      </c>
      <c r="B2036" s="104" t="s">
        <v>2297</v>
      </c>
      <c r="C2036" s="104" t="s">
        <v>40</v>
      </c>
      <c r="D2036" s="129" t="s">
        <v>16516</v>
      </c>
    </row>
    <row r="2037" spans="1:4">
      <c r="A2037" s="105">
        <v>99861</v>
      </c>
      <c r="B2037" s="104" t="s">
        <v>2298</v>
      </c>
      <c r="C2037" s="104" t="s">
        <v>12</v>
      </c>
      <c r="D2037" s="129" t="s">
        <v>21556</v>
      </c>
    </row>
    <row r="2038" spans="1:4">
      <c r="A2038" s="105">
        <v>99862</v>
      </c>
      <c r="B2038" s="104" t="s">
        <v>2299</v>
      </c>
      <c r="C2038" s="104" t="s">
        <v>12</v>
      </c>
      <c r="D2038" s="129" t="s">
        <v>21557</v>
      </c>
    </row>
    <row r="2039" spans="1:4">
      <c r="A2039" s="105">
        <v>90838</v>
      </c>
      <c r="B2039" s="104" t="s">
        <v>2300</v>
      </c>
      <c r="C2039" s="104" t="s">
        <v>183</v>
      </c>
      <c r="D2039" s="129" t="s">
        <v>21558</v>
      </c>
    </row>
    <row r="2040" spans="1:4">
      <c r="A2040" s="105">
        <v>91338</v>
      </c>
      <c r="B2040" s="104" t="s">
        <v>2301</v>
      </c>
      <c r="C2040" s="104" t="s">
        <v>12</v>
      </c>
      <c r="D2040" s="129" t="s">
        <v>21559</v>
      </c>
    </row>
    <row r="2041" spans="1:4">
      <c r="A2041" s="105">
        <v>91341</v>
      </c>
      <c r="B2041" s="104" t="s">
        <v>237</v>
      </c>
      <c r="C2041" s="104" t="s">
        <v>12</v>
      </c>
      <c r="D2041" s="129" t="s">
        <v>21560</v>
      </c>
    </row>
    <row r="2042" spans="1:4">
      <c r="A2042" s="105">
        <v>94805</v>
      </c>
      <c r="B2042" s="104" t="s">
        <v>2302</v>
      </c>
      <c r="C2042" s="104" t="s">
        <v>183</v>
      </c>
      <c r="D2042" s="129" t="s">
        <v>21561</v>
      </c>
    </row>
    <row r="2043" spans="1:4">
      <c r="A2043" s="105">
        <v>94806</v>
      </c>
      <c r="B2043" s="104" t="s">
        <v>2303</v>
      </c>
      <c r="C2043" s="104" t="s">
        <v>183</v>
      </c>
      <c r="D2043" s="129" t="s">
        <v>21562</v>
      </c>
    </row>
    <row r="2044" spans="1:4">
      <c r="A2044" s="105">
        <v>94807</v>
      </c>
      <c r="B2044" s="104" t="s">
        <v>2304</v>
      </c>
      <c r="C2044" s="104" t="s">
        <v>183</v>
      </c>
      <c r="D2044" s="129" t="s">
        <v>21563</v>
      </c>
    </row>
    <row r="2045" spans="1:4">
      <c r="A2045" s="105">
        <v>100702</v>
      </c>
      <c r="B2045" s="104" t="s">
        <v>2305</v>
      </c>
      <c r="C2045" s="104" t="s">
        <v>12</v>
      </c>
      <c r="D2045" s="129" t="s">
        <v>21564</v>
      </c>
    </row>
    <row r="2046" spans="1:4">
      <c r="A2046" s="105">
        <v>102188</v>
      </c>
      <c r="B2046" s="104" t="s">
        <v>2306</v>
      </c>
      <c r="C2046" s="104" t="s">
        <v>183</v>
      </c>
      <c r="D2046" s="129" t="s">
        <v>21565</v>
      </c>
    </row>
    <row r="2047" spans="1:4">
      <c r="A2047" s="105">
        <v>102189</v>
      </c>
      <c r="B2047" s="104" t="s">
        <v>2307</v>
      </c>
      <c r="C2047" s="104" t="s">
        <v>183</v>
      </c>
      <c r="D2047" s="129" t="s">
        <v>21566</v>
      </c>
    </row>
    <row r="2048" spans="1:4">
      <c r="A2048" s="105">
        <v>100703</v>
      </c>
      <c r="B2048" s="104" t="s">
        <v>2308</v>
      </c>
      <c r="C2048" s="104" t="s">
        <v>183</v>
      </c>
      <c r="D2048" s="129" t="s">
        <v>15225</v>
      </c>
    </row>
    <row r="2049" spans="1:4">
      <c r="A2049" s="105">
        <v>100704</v>
      </c>
      <c r="B2049" s="104" t="s">
        <v>2309</v>
      </c>
      <c r="C2049" s="104" t="s">
        <v>183</v>
      </c>
      <c r="D2049" s="129" t="s">
        <v>21567</v>
      </c>
    </row>
    <row r="2050" spans="1:4">
      <c r="A2050" s="105">
        <v>100705</v>
      </c>
      <c r="B2050" s="104" t="s">
        <v>2310</v>
      </c>
      <c r="C2050" s="104" t="s">
        <v>183</v>
      </c>
      <c r="D2050" s="129" t="s">
        <v>21568</v>
      </c>
    </row>
    <row r="2051" spans="1:4">
      <c r="A2051" s="105">
        <v>100706</v>
      </c>
      <c r="B2051" s="104" t="s">
        <v>2311</v>
      </c>
      <c r="C2051" s="104" t="s">
        <v>183</v>
      </c>
      <c r="D2051" s="129" t="s">
        <v>21569</v>
      </c>
    </row>
    <row r="2052" spans="1:4">
      <c r="A2052" s="105">
        <v>100707</v>
      </c>
      <c r="B2052" s="104" t="s">
        <v>2312</v>
      </c>
      <c r="C2052" s="104" t="s">
        <v>183</v>
      </c>
      <c r="D2052" s="129" t="s">
        <v>21570</v>
      </c>
    </row>
    <row r="2053" spans="1:4">
      <c r="A2053" s="105">
        <v>100708</v>
      </c>
      <c r="B2053" s="104" t="s">
        <v>2313</v>
      </c>
      <c r="C2053" s="104" t="s">
        <v>183</v>
      </c>
      <c r="D2053" s="129" t="s">
        <v>21571</v>
      </c>
    </row>
    <row r="2054" spans="1:4">
      <c r="A2054" s="105">
        <v>100709</v>
      </c>
      <c r="B2054" s="104" t="s">
        <v>2314</v>
      </c>
      <c r="C2054" s="104" t="s">
        <v>183</v>
      </c>
      <c r="D2054" s="129" t="s">
        <v>21572</v>
      </c>
    </row>
    <row r="2055" spans="1:4">
      <c r="A2055" s="105">
        <v>100710</v>
      </c>
      <c r="B2055" s="104" t="s">
        <v>2315</v>
      </c>
      <c r="C2055" s="104" t="s">
        <v>183</v>
      </c>
      <c r="D2055" s="129" t="s">
        <v>21573</v>
      </c>
    </row>
    <row r="2056" spans="1:4">
      <c r="A2056" s="105">
        <v>102151</v>
      </c>
      <c r="B2056" s="104" t="s">
        <v>2316</v>
      </c>
      <c r="C2056" s="104" t="s">
        <v>12</v>
      </c>
      <c r="D2056" s="129" t="s">
        <v>21574</v>
      </c>
    </row>
    <row r="2057" spans="1:4">
      <c r="A2057" s="105">
        <v>102152</v>
      </c>
      <c r="B2057" s="104" t="s">
        <v>2317</v>
      </c>
      <c r="C2057" s="104" t="s">
        <v>12</v>
      </c>
      <c r="D2057" s="129" t="s">
        <v>21575</v>
      </c>
    </row>
    <row r="2058" spans="1:4">
      <c r="A2058" s="105">
        <v>102153</v>
      </c>
      <c r="B2058" s="104" t="s">
        <v>2318</v>
      </c>
      <c r="C2058" s="104" t="s">
        <v>12</v>
      </c>
      <c r="D2058" s="129" t="s">
        <v>21576</v>
      </c>
    </row>
    <row r="2059" spans="1:4">
      <c r="A2059" s="105">
        <v>102154</v>
      </c>
      <c r="B2059" s="104" t="s">
        <v>2319</v>
      </c>
      <c r="C2059" s="104" t="s">
        <v>12</v>
      </c>
      <c r="D2059" s="129" t="s">
        <v>21577</v>
      </c>
    </row>
    <row r="2060" spans="1:4">
      <c r="A2060" s="105">
        <v>102155</v>
      </c>
      <c r="B2060" s="104" t="s">
        <v>2320</v>
      </c>
      <c r="C2060" s="104" t="s">
        <v>12</v>
      </c>
      <c r="D2060" s="129" t="s">
        <v>21578</v>
      </c>
    </row>
    <row r="2061" spans="1:4">
      <c r="A2061" s="105">
        <v>102156</v>
      </c>
      <c r="B2061" s="104" t="s">
        <v>2321</v>
      </c>
      <c r="C2061" s="104" t="s">
        <v>12</v>
      </c>
      <c r="D2061" s="129" t="s">
        <v>21579</v>
      </c>
    </row>
    <row r="2062" spans="1:4">
      <c r="A2062" s="105">
        <v>102157</v>
      </c>
      <c r="B2062" s="104" t="s">
        <v>2322</v>
      </c>
      <c r="C2062" s="104" t="s">
        <v>12</v>
      </c>
      <c r="D2062" s="129" t="s">
        <v>21580</v>
      </c>
    </row>
    <row r="2063" spans="1:4">
      <c r="A2063" s="105">
        <v>102158</v>
      </c>
      <c r="B2063" s="104" t="s">
        <v>2323</v>
      </c>
      <c r="C2063" s="104" t="s">
        <v>12</v>
      </c>
      <c r="D2063" s="129" t="s">
        <v>21581</v>
      </c>
    </row>
    <row r="2064" spans="1:4">
      <c r="A2064" s="105">
        <v>102159</v>
      </c>
      <c r="B2064" s="104" t="s">
        <v>2324</v>
      </c>
      <c r="C2064" s="104" t="s">
        <v>12</v>
      </c>
      <c r="D2064" s="129" t="s">
        <v>21582</v>
      </c>
    </row>
    <row r="2065" spans="1:4">
      <c r="A2065" s="105">
        <v>102160</v>
      </c>
      <c r="B2065" s="104" t="s">
        <v>2325</v>
      </c>
      <c r="C2065" s="104" t="s">
        <v>12</v>
      </c>
      <c r="D2065" s="129" t="s">
        <v>21583</v>
      </c>
    </row>
    <row r="2066" spans="1:4">
      <c r="A2066" s="105">
        <v>102161</v>
      </c>
      <c r="B2066" s="104" t="s">
        <v>2326</v>
      </c>
      <c r="C2066" s="104" t="s">
        <v>12</v>
      </c>
      <c r="D2066" s="129" t="s">
        <v>21584</v>
      </c>
    </row>
    <row r="2067" spans="1:4">
      <c r="A2067" s="105">
        <v>102162</v>
      </c>
      <c r="B2067" s="104" t="s">
        <v>2327</v>
      </c>
      <c r="C2067" s="104" t="s">
        <v>12</v>
      </c>
      <c r="D2067" s="129" t="s">
        <v>21585</v>
      </c>
    </row>
    <row r="2068" spans="1:4">
      <c r="A2068" s="105">
        <v>102163</v>
      </c>
      <c r="B2068" s="104" t="s">
        <v>2328</v>
      </c>
      <c r="C2068" s="104" t="s">
        <v>12</v>
      </c>
      <c r="D2068" s="129" t="s">
        <v>21586</v>
      </c>
    </row>
    <row r="2069" spans="1:4">
      <c r="A2069" s="105">
        <v>102164</v>
      </c>
      <c r="B2069" s="104" t="s">
        <v>2329</v>
      </c>
      <c r="C2069" s="104" t="s">
        <v>12</v>
      </c>
      <c r="D2069" s="129" t="s">
        <v>21587</v>
      </c>
    </row>
    <row r="2070" spans="1:4">
      <c r="A2070" s="105">
        <v>102165</v>
      </c>
      <c r="B2070" s="104" t="s">
        <v>2330</v>
      </c>
      <c r="C2070" s="104" t="s">
        <v>12</v>
      </c>
      <c r="D2070" s="129" t="s">
        <v>21588</v>
      </c>
    </row>
    <row r="2071" spans="1:4">
      <c r="A2071" s="105">
        <v>102166</v>
      </c>
      <c r="B2071" s="104" t="s">
        <v>2331</v>
      </c>
      <c r="C2071" s="104" t="s">
        <v>12</v>
      </c>
      <c r="D2071" s="129" t="s">
        <v>21589</v>
      </c>
    </row>
    <row r="2072" spans="1:4">
      <c r="A2072" s="105">
        <v>102167</v>
      </c>
      <c r="B2072" s="104" t="s">
        <v>2332</v>
      </c>
      <c r="C2072" s="104" t="s">
        <v>12</v>
      </c>
      <c r="D2072" s="129" t="s">
        <v>21590</v>
      </c>
    </row>
    <row r="2073" spans="1:4">
      <c r="A2073" s="105">
        <v>102168</v>
      </c>
      <c r="B2073" s="104" t="s">
        <v>2333</v>
      </c>
      <c r="C2073" s="104" t="s">
        <v>12</v>
      </c>
      <c r="D2073" s="129" t="s">
        <v>21591</v>
      </c>
    </row>
    <row r="2074" spans="1:4">
      <c r="A2074" s="105">
        <v>102169</v>
      </c>
      <c r="B2074" s="104" t="s">
        <v>2334</v>
      </c>
      <c r="C2074" s="104" t="s">
        <v>12</v>
      </c>
      <c r="D2074" s="129" t="s">
        <v>21592</v>
      </c>
    </row>
    <row r="2075" spans="1:4">
      <c r="A2075" s="105">
        <v>102170</v>
      </c>
      <c r="B2075" s="104" t="s">
        <v>2335</v>
      </c>
      <c r="C2075" s="104" t="s">
        <v>12</v>
      </c>
      <c r="D2075" s="129" t="s">
        <v>21593</v>
      </c>
    </row>
    <row r="2076" spans="1:4">
      <c r="A2076" s="105">
        <v>102171</v>
      </c>
      <c r="B2076" s="104" t="s">
        <v>2336</v>
      </c>
      <c r="C2076" s="104" t="s">
        <v>12</v>
      </c>
      <c r="D2076" s="129" t="s">
        <v>21594</v>
      </c>
    </row>
    <row r="2077" spans="1:4">
      <c r="A2077" s="105">
        <v>102172</v>
      </c>
      <c r="B2077" s="104" t="s">
        <v>2337</v>
      </c>
      <c r="C2077" s="104" t="s">
        <v>12</v>
      </c>
      <c r="D2077" s="129" t="s">
        <v>21595</v>
      </c>
    </row>
    <row r="2078" spans="1:4">
      <c r="A2078" s="105">
        <v>102176</v>
      </c>
      <c r="B2078" s="104" t="s">
        <v>2338</v>
      </c>
      <c r="C2078" s="104" t="s">
        <v>12</v>
      </c>
      <c r="D2078" s="129" t="s">
        <v>21596</v>
      </c>
    </row>
    <row r="2079" spans="1:4">
      <c r="A2079" s="105">
        <v>102177</v>
      </c>
      <c r="B2079" s="104" t="s">
        <v>2339</v>
      </c>
      <c r="C2079" s="104" t="s">
        <v>12</v>
      </c>
      <c r="D2079" s="129" t="s">
        <v>21597</v>
      </c>
    </row>
    <row r="2080" spans="1:4">
      <c r="A2080" s="105">
        <v>102178</v>
      </c>
      <c r="B2080" s="104" t="s">
        <v>2340</v>
      </c>
      <c r="C2080" s="104" t="s">
        <v>12</v>
      </c>
      <c r="D2080" s="129" t="s">
        <v>21598</v>
      </c>
    </row>
    <row r="2081" spans="1:4">
      <c r="A2081" s="105">
        <v>102179</v>
      </c>
      <c r="B2081" s="104" t="s">
        <v>2341</v>
      </c>
      <c r="C2081" s="104" t="s">
        <v>12</v>
      </c>
      <c r="D2081" s="129" t="s">
        <v>21599</v>
      </c>
    </row>
    <row r="2082" spans="1:4">
      <c r="A2082" s="105">
        <v>102180</v>
      </c>
      <c r="B2082" s="104" t="s">
        <v>2342</v>
      </c>
      <c r="C2082" s="104" t="s">
        <v>12</v>
      </c>
      <c r="D2082" s="129" t="s">
        <v>21600</v>
      </c>
    </row>
    <row r="2083" spans="1:4">
      <c r="A2083" s="105">
        <v>102181</v>
      </c>
      <c r="B2083" s="104" t="s">
        <v>2343</v>
      </c>
      <c r="C2083" s="104" t="s">
        <v>12</v>
      </c>
      <c r="D2083" s="129" t="s">
        <v>21601</v>
      </c>
    </row>
    <row r="2084" spans="1:4">
      <c r="A2084" s="105">
        <v>102182</v>
      </c>
      <c r="B2084" s="104" t="s">
        <v>2344</v>
      </c>
      <c r="C2084" s="104" t="s">
        <v>183</v>
      </c>
      <c r="D2084" s="129" t="s">
        <v>21602</v>
      </c>
    </row>
    <row r="2085" spans="1:4">
      <c r="A2085" s="105">
        <v>102183</v>
      </c>
      <c r="B2085" s="104" t="s">
        <v>241</v>
      </c>
      <c r="C2085" s="104" t="s">
        <v>183</v>
      </c>
      <c r="D2085" s="129" t="s">
        <v>21603</v>
      </c>
    </row>
    <row r="2086" spans="1:4">
      <c r="A2086" s="105">
        <v>102184</v>
      </c>
      <c r="B2086" s="104" t="s">
        <v>2345</v>
      </c>
      <c r="C2086" s="104" t="s">
        <v>183</v>
      </c>
      <c r="D2086" s="129" t="s">
        <v>21604</v>
      </c>
    </row>
    <row r="2087" spans="1:4">
      <c r="A2087" s="105">
        <v>102185</v>
      </c>
      <c r="B2087" s="104" t="s">
        <v>2346</v>
      </c>
      <c r="C2087" s="104" t="s">
        <v>183</v>
      </c>
      <c r="D2087" s="129" t="s">
        <v>21605</v>
      </c>
    </row>
    <row r="2088" spans="1:4">
      <c r="A2088" s="105">
        <v>102190</v>
      </c>
      <c r="B2088" s="104" t="s">
        <v>2347</v>
      </c>
      <c r="C2088" s="104" t="s">
        <v>12</v>
      </c>
      <c r="D2088" s="129" t="s">
        <v>16905</v>
      </c>
    </row>
    <row r="2089" spans="1:4">
      <c r="A2089" s="105">
        <v>102191</v>
      </c>
      <c r="B2089" s="104" t="s">
        <v>2348</v>
      </c>
      <c r="C2089" s="104" t="s">
        <v>12</v>
      </c>
      <c r="D2089" s="129" t="s">
        <v>16089</v>
      </c>
    </row>
    <row r="2090" spans="1:4">
      <c r="A2090" s="105">
        <v>102192</v>
      </c>
      <c r="B2090" s="104" t="s">
        <v>30</v>
      </c>
      <c r="C2090" s="104" t="s">
        <v>12</v>
      </c>
      <c r="D2090" s="129" t="s">
        <v>16910</v>
      </c>
    </row>
    <row r="2091" spans="1:4">
      <c r="A2091" s="105">
        <v>94569</v>
      </c>
      <c r="B2091" s="104" t="s">
        <v>2349</v>
      </c>
      <c r="C2091" s="104" t="s">
        <v>12</v>
      </c>
      <c r="D2091" s="129" t="s">
        <v>21606</v>
      </c>
    </row>
    <row r="2092" spans="1:4">
      <c r="A2092" s="105">
        <v>94570</v>
      </c>
      <c r="B2092" s="104" t="s">
        <v>2350</v>
      </c>
      <c r="C2092" s="104" t="s">
        <v>12</v>
      </c>
      <c r="D2092" s="129" t="s">
        <v>21607</v>
      </c>
    </row>
    <row r="2093" spans="1:4">
      <c r="A2093" s="105">
        <v>94572</v>
      </c>
      <c r="B2093" s="104" t="s">
        <v>2351</v>
      </c>
      <c r="C2093" s="104" t="s">
        <v>12</v>
      </c>
      <c r="D2093" s="129" t="s">
        <v>21608</v>
      </c>
    </row>
    <row r="2094" spans="1:4">
      <c r="A2094" s="105">
        <v>94573</v>
      </c>
      <c r="B2094" s="104" t="s">
        <v>2352</v>
      </c>
      <c r="C2094" s="104" t="s">
        <v>12</v>
      </c>
      <c r="D2094" s="129" t="s">
        <v>21609</v>
      </c>
    </row>
    <row r="2095" spans="1:4">
      <c r="A2095" s="105">
        <v>94580</v>
      </c>
      <c r="B2095" s="104" t="s">
        <v>2353</v>
      </c>
      <c r="C2095" s="104" t="s">
        <v>12</v>
      </c>
      <c r="D2095" s="129" t="s">
        <v>21610</v>
      </c>
    </row>
    <row r="2096" spans="1:4">
      <c r="A2096" s="105">
        <v>94589</v>
      </c>
      <c r="B2096" s="104" t="s">
        <v>12813</v>
      </c>
      <c r="C2096" s="104" t="s">
        <v>40</v>
      </c>
      <c r="D2096" s="129" t="s">
        <v>21611</v>
      </c>
    </row>
    <row r="2097" spans="1:4">
      <c r="A2097" s="105">
        <v>94590</v>
      </c>
      <c r="B2097" s="104" t="s">
        <v>12814</v>
      </c>
      <c r="C2097" s="104" t="s">
        <v>40</v>
      </c>
      <c r="D2097" s="129" t="s">
        <v>21612</v>
      </c>
    </row>
    <row r="2098" spans="1:4">
      <c r="A2098" s="105">
        <v>100674</v>
      </c>
      <c r="B2098" s="104" t="s">
        <v>2354</v>
      </c>
      <c r="C2098" s="104" t="s">
        <v>12</v>
      </c>
      <c r="D2098" s="129" t="s">
        <v>21613</v>
      </c>
    </row>
    <row r="2099" spans="1:4">
      <c r="A2099" s="105">
        <v>101096</v>
      </c>
      <c r="B2099" s="104" t="s">
        <v>2355</v>
      </c>
      <c r="C2099" s="104" t="s">
        <v>28</v>
      </c>
      <c r="D2099" s="129" t="s">
        <v>21614</v>
      </c>
    </row>
    <row r="2100" spans="1:4">
      <c r="A2100" s="105">
        <v>101097</v>
      </c>
      <c r="B2100" s="104" t="s">
        <v>2356</v>
      </c>
      <c r="C2100" s="104" t="s">
        <v>28</v>
      </c>
      <c r="D2100" s="129" t="s">
        <v>21615</v>
      </c>
    </row>
    <row r="2101" spans="1:4">
      <c r="A2101" s="105">
        <v>101098</v>
      </c>
      <c r="B2101" s="104" t="s">
        <v>2357</v>
      </c>
      <c r="C2101" s="104" t="s">
        <v>28</v>
      </c>
      <c r="D2101" s="129" t="s">
        <v>21616</v>
      </c>
    </row>
    <row r="2102" spans="1:4">
      <c r="A2102" s="105">
        <v>101099</v>
      </c>
      <c r="B2102" s="104" t="s">
        <v>2358</v>
      </c>
      <c r="C2102" s="104" t="s">
        <v>28</v>
      </c>
      <c r="D2102" s="129" t="s">
        <v>21617</v>
      </c>
    </row>
    <row r="2103" spans="1:4">
      <c r="A2103" s="105">
        <v>101100</v>
      </c>
      <c r="B2103" s="104" t="s">
        <v>2359</v>
      </c>
      <c r="C2103" s="104" t="s">
        <v>28</v>
      </c>
      <c r="D2103" s="129" t="s">
        <v>21618</v>
      </c>
    </row>
    <row r="2104" spans="1:4">
      <c r="A2104" s="105">
        <v>101101</v>
      </c>
      <c r="B2104" s="104" t="s">
        <v>2360</v>
      </c>
      <c r="C2104" s="104" t="s">
        <v>28</v>
      </c>
      <c r="D2104" s="129" t="s">
        <v>21619</v>
      </c>
    </row>
    <row r="2105" spans="1:4">
      <c r="A2105" s="105">
        <v>101102</v>
      </c>
      <c r="B2105" s="104" t="s">
        <v>2361</v>
      </c>
      <c r="C2105" s="104" t="s">
        <v>28</v>
      </c>
      <c r="D2105" s="129" t="s">
        <v>21620</v>
      </c>
    </row>
    <row r="2106" spans="1:4">
      <c r="A2106" s="105">
        <v>101103</v>
      </c>
      <c r="B2106" s="104" t="s">
        <v>2362</v>
      </c>
      <c r="C2106" s="104" t="s">
        <v>28</v>
      </c>
      <c r="D2106" s="129" t="s">
        <v>21621</v>
      </c>
    </row>
    <row r="2107" spans="1:4">
      <c r="A2107" s="105">
        <v>101104</v>
      </c>
      <c r="B2107" s="104" t="s">
        <v>2363</v>
      </c>
      <c r="C2107" s="104" t="s">
        <v>28</v>
      </c>
      <c r="D2107" s="129" t="s">
        <v>21622</v>
      </c>
    </row>
    <row r="2108" spans="1:4">
      <c r="A2108" s="105">
        <v>101105</v>
      </c>
      <c r="B2108" s="104" t="s">
        <v>2364</v>
      </c>
      <c r="C2108" s="104" t="s">
        <v>28</v>
      </c>
      <c r="D2108" s="129" t="s">
        <v>21623</v>
      </c>
    </row>
    <row r="2109" spans="1:4">
      <c r="A2109" s="105">
        <v>101106</v>
      </c>
      <c r="B2109" s="104" t="s">
        <v>2365</v>
      </c>
      <c r="C2109" s="104" t="s">
        <v>28</v>
      </c>
      <c r="D2109" s="129" t="s">
        <v>21624</v>
      </c>
    </row>
    <row r="2110" spans="1:4">
      <c r="A2110" s="105">
        <v>101107</v>
      </c>
      <c r="B2110" s="104" t="s">
        <v>2366</v>
      </c>
      <c r="C2110" s="104" t="s">
        <v>28</v>
      </c>
      <c r="D2110" s="129" t="s">
        <v>21625</v>
      </c>
    </row>
    <row r="2111" spans="1:4">
      <c r="A2111" s="105">
        <v>101108</v>
      </c>
      <c r="B2111" s="104" t="s">
        <v>2367</v>
      </c>
      <c r="C2111" s="104" t="s">
        <v>28</v>
      </c>
      <c r="D2111" s="129" t="s">
        <v>21626</v>
      </c>
    </row>
    <row r="2112" spans="1:4">
      <c r="A2112" s="105">
        <v>101109</v>
      </c>
      <c r="B2112" s="104" t="s">
        <v>2368</v>
      </c>
      <c r="C2112" s="104" t="s">
        <v>28</v>
      </c>
      <c r="D2112" s="129" t="s">
        <v>21627</v>
      </c>
    </row>
    <row r="2113" spans="1:4">
      <c r="A2113" s="105">
        <v>101110</v>
      </c>
      <c r="B2113" s="104" t="s">
        <v>2369</v>
      </c>
      <c r="C2113" s="104" t="s">
        <v>28</v>
      </c>
      <c r="D2113" s="129" t="s">
        <v>21628</v>
      </c>
    </row>
    <row r="2114" spans="1:4">
      <c r="A2114" s="105">
        <v>101111</v>
      </c>
      <c r="B2114" s="104" t="s">
        <v>2370</v>
      </c>
      <c r="C2114" s="104" t="s">
        <v>28</v>
      </c>
      <c r="D2114" s="129" t="s">
        <v>21629</v>
      </c>
    </row>
    <row r="2115" spans="1:4">
      <c r="A2115" s="105">
        <v>101112</v>
      </c>
      <c r="B2115" s="104" t="s">
        <v>2371</v>
      </c>
      <c r="C2115" s="104" t="s">
        <v>28</v>
      </c>
      <c r="D2115" s="129" t="s">
        <v>21630</v>
      </c>
    </row>
    <row r="2116" spans="1:4">
      <c r="A2116" s="105">
        <v>101113</v>
      </c>
      <c r="B2116" s="104" t="s">
        <v>2372</v>
      </c>
      <c r="C2116" s="104" t="s">
        <v>28</v>
      </c>
      <c r="D2116" s="129" t="s">
        <v>21631</v>
      </c>
    </row>
    <row r="2117" spans="1:4">
      <c r="A2117" s="105">
        <v>95601</v>
      </c>
      <c r="B2117" s="104" t="s">
        <v>2373</v>
      </c>
      <c r="C2117" s="104" t="s">
        <v>183</v>
      </c>
      <c r="D2117" s="129" t="s">
        <v>21632</v>
      </c>
    </row>
    <row r="2118" spans="1:4">
      <c r="A2118" s="105">
        <v>95602</v>
      </c>
      <c r="B2118" s="104" t="s">
        <v>2374</v>
      </c>
      <c r="C2118" s="104" t="s">
        <v>183</v>
      </c>
      <c r="D2118" s="129" t="s">
        <v>15328</v>
      </c>
    </row>
    <row r="2119" spans="1:4">
      <c r="A2119" s="105">
        <v>95603</v>
      </c>
      <c r="B2119" s="104" t="s">
        <v>2375</v>
      </c>
      <c r="C2119" s="104" t="s">
        <v>183</v>
      </c>
      <c r="D2119" s="129" t="s">
        <v>21633</v>
      </c>
    </row>
    <row r="2120" spans="1:4">
      <c r="A2120" s="105">
        <v>95604</v>
      </c>
      <c r="B2120" s="104" t="s">
        <v>2376</v>
      </c>
      <c r="C2120" s="104" t="s">
        <v>183</v>
      </c>
      <c r="D2120" s="129" t="s">
        <v>21634</v>
      </c>
    </row>
    <row r="2121" spans="1:4">
      <c r="A2121" s="105">
        <v>95605</v>
      </c>
      <c r="B2121" s="104" t="s">
        <v>2377</v>
      </c>
      <c r="C2121" s="104" t="s">
        <v>183</v>
      </c>
      <c r="D2121" s="129" t="s">
        <v>21635</v>
      </c>
    </row>
    <row r="2122" spans="1:4">
      <c r="A2122" s="105">
        <v>95607</v>
      </c>
      <c r="B2122" s="104" t="s">
        <v>2378</v>
      </c>
      <c r="C2122" s="104" t="s">
        <v>183</v>
      </c>
      <c r="D2122" s="129" t="s">
        <v>21636</v>
      </c>
    </row>
    <row r="2123" spans="1:4">
      <c r="A2123" s="105">
        <v>95608</v>
      </c>
      <c r="B2123" s="104" t="s">
        <v>2379</v>
      </c>
      <c r="C2123" s="104" t="s">
        <v>183</v>
      </c>
      <c r="D2123" s="129" t="s">
        <v>17995</v>
      </c>
    </row>
    <row r="2124" spans="1:4">
      <c r="A2124" s="105">
        <v>95609</v>
      </c>
      <c r="B2124" s="104" t="s">
        <v>2380</v>
      </c>
      <c r="C2124" s="104" t="s">
        <v>183</v>
      </c>
      <c r="D2124" s="129" t="s">
        <v>21637</v>
      </c>
    </row>
    <row r="2125" spans="1:4">
      <c r="A2125" s="105">
        <v>100651</v>
      </c>
      <c r="B2125" s="104" t="s">
        <v>2381</v>
      </c>
      <c r="C2125" s="104" t="s">
        <v>40</v>
      </c>
      <c r="D2125" s="129" t="s">
        <v>21638</v>
      </c>
    </row>
    <row r="2126" spans="1:4">
      <c r="A2126" s="105">
        <v>100652</v>
      </c>
      <c r="B2126" s="104" t="s">
        <v>2382</v>
      </c>
      <c r="C2126" s="104" t="s">
        <v>40</v>
      </c>
      <c r="D2126" s="129" t="s">
        <v>21639</v>
      </c>
    </row>
    <row r="2127" spans="1:4">
      <c r="A2127" s="105">
        <v>100653</v>
      </c>
      <c r="B2127" s="104" t="s">
        <v>2383</v>
      </c>
      <c r="C2127" s="104" t="s">
        <v>40</v>
      </c>
      <c r="D2127" s="129" t="s">
        <v>21640</v>
      </c>
    </row>
    <row r="2128" spans="1:4">
      <c r="A2128" s="105">
        <v>100654</v>
      </c>
      <c r="B2128" s="104" t="s">
        <v>2384</v>
      </c>
      <c r="C2128" s="104" t="s">
        <v>40</v>
      </c>
      <c r="D2128" s="129" t="s">
        <v>21641</v>
      </c>
    </row>
    <row r="2129" spans="1:4">
      <c r="A2129" s="105">
        <v>100655</v>
      </c>
      <c r="B2129" s="104" t="s">
        <v>2385</v>
      </c>
      <c r="C2129" s="104" t="s">
        <v>40</v>
      </c>
      <c r="D2129" s="129" t="s">
        <v>21642</v>
      </c>
    </row>
    <row r="2130" spans="1:4">
      <c r="A2130" s="105">
        <v>100656</v>
      </c>
      <c r="B2130" s="104" t="s">
        <v>2386</v>
      </c>
      <c r="C2130" s="104" t="s">
        <v>40</v>
      </c>
      <c r="D2130" s="129" t="s">
        <v>21643</v>
      </c>
    </row>
    <row r="2131" spans="1:4">
      <c r="A2131" s="105">
        <v>100657</v>
      </c>
      <c r="B2131" s="104" t="s">
        <v>2387</v>
      </c>
      <c r="C2131" s="104" t="s">
        <v>40</v>
      </c>
      <c r="D2131" s="129" t="s">
        <v>21644</v>
      </c>
    </row>
    <row r="2132" spans="1:4">
      <c r="A2132" s="105">
        <v>100658</v>
      </c>
      <c r="B2132" s="104" t="s">
        <v>2388</v>
      </c>
      <c r="C2132" s="104" t="s">
        <v>40</v>
      </c>
      <c r="D2132" s="129" t="s">
        <v>21645</v>
      </c>
    </row>
    <row r="2133" spans="1:4">
      <c r="A2133" s="105">
        <v>100889</v>
      </c>
      <c r="B2133" s="104" t="s">
        <v>2389</v>
      </c>
      <c r="C2133" s="104" t="s">
        <v>41</v>
      </c>
      <c r="D2133" s="129" t="s">
        <v>18264</v>
      </c>
    </row>
    <row r="2134" spans="1:4">
      <c r="A2134" s="105">
        <v>100890</v>
      </c>
      <c r="B2134" s="104" t="s">
        <v>2390</v>
      </c>
      <c r="C2134" s="104" t="s">
        <v>41</v>
      </c>
      <c r="D2134" s="129" t="s">
        <v>17376</v>
      </c>
    </row>
    <row r="2135" spans="1:4">
      <c r="A2135" s="105">
        <v>100892</v>
      </c>
      <c r="B2135" s="104" t="s">
        <v>2391</v>
      </c>
      <c r="C2135" s="104" t="s">
        <v>41</v>
      </c>
      <c r="D2135" s="129" t="s">
        <v>16900</v>
      </c>
    </row>
    <row r="2136" spans="1:4">
      <c r="A2136" s="105">
        <v>100893</v>
      </c>
      <c r="B2136" s="104" t="s">
        <v>2392</v>
      </c>
      <c r="C2136" s="104" t="s">
        <v>41</v>
      </c>
      <c r="D2136" s="129" t="s">
        <v>21646</v>
      </c>
    </row>
    <row r="2137" spans="1:4">
      <c r="A2137" s="105">
        <v>100894</v>
      </c>
      <c r="B2137" s="104" t="s">
        <v>2393</v>
      </c>
      <c r="C2137" s="104" t="s">
        <v>41</v>
      </c>
      <c r="D2137" s="129" t="s">
        <v>16799</v>
      </c>
    </row>
    <row r="2138" spans="1:4">
      <c r="A2138" s="105">
        <v>100896</v>
      </c>
      <c r="B2138" s="104" t="s">
        <v>2394</v>
      </c>
      <c r="C2138" s="104" t="s">
        <v>40</v>
      </c>
      <c r="D2138" s="129" t="s">
        <v>21647</v>
      </c>
    </row>
    <row r="2139" spans="1:4">
      <c r="A2139" s="105">
        <v>100897</v>
      </c>
      <c r="B2139" s="104" t="s">
        <v>2395</v>
      </c>
      <c r="C2139" s="104" t="s">
        <v>40</v>
      </c>
      <c r="D2139" s="129" t="s">
        <v>21648</v>
      </c>
    </row>
    <row r="2140" spans="1:4">
      <c r="A2140" s="105">
        <v>100898</v>
      </c>
      <c r="B2140" s="104" t="s">
        <v>2396</v>
      </c>
      <c r="C2140" s="104" t="s">
        <v>40</v>
      </c>
      <c r="D2140" s="129" t="s">
        <v>21649</v>
      </c>
    </row>
    <row r="2141" spans="1:4">
      <c r="A2141" s="105">
        <v>100899</v>
      </c>
      <c r="B2141" s="104" t="s">
        <v>2397</v>
      </c>
      <c r="C2141" s="104" t="s">
        <v>40</v>
      </c>
      <c r="D2141" s="129" t="s">
        <v>14924</v>
      </c>
    </row>
    <row r="2142" spans="1:4">
      <c r="A2142" s="105">
        <v>100900</v>
      </c>
      <c r="B2142" s="104" t="s">
        <v>2398</v>
      </c>
      <c r="C2142" s="104" t="s">
        <v>40</v>
      </c>
      <c r="D2142" s="129" t="s">
        <v>21650</v>
      </c>
    </row>
    <row r="2143" spans="1:4">
      <c r="A2143" s="105">
        <v>101173</v>
      </c>
      <c r="B2143" s="104" t="s">
        <v>2399</v>
      </c>
      <c r="C2143" s="104" t="s">
        <v>40</v>
      </c>
      <c r="D2143" s="129" t="s">
        <v>20104</v>
      </c>
    </row>
    <row r="2144" spans="1:4">
      <c r="A2144" s="105">
        <v>101174</v>
      </c>
      <c r="B2144" s="104" t="s">
        <v>2400</v>
      </c>
      <c r="C2144" s="104" t="s">
        <v>40</v>
      </c>
      <c r="D2144" s="129" t="s">
        <v>21651</v>
      </c>
    </row>
    <row r="2145" spans="1:4">
      <c r="A2145" s="105">
        <v>101175</v>
      </c>
      <c r="B2145" s="104" t="s">
        <v>2401</v>
      </c>
      <c r="C2145" s="104" t="s">
        <v>40</v>
      </c>
      <c r="D2145" s="129" t="s">
        <v>21652</v>
      </c>
    </row>
    <row r="2146" spans="1:4">
      <c r="A2146" s="105">
        <v>101176</v>
      </c>
      <c r="B2146" s="104" t="s">
        <v>2402</v>
      </c>
      <c r="C2146" s="104" t="s">
        <v>40</v>
      </c>
      <c r="D2146" s="129" t="s">
        <v>21653</v>
      </c>
    </row>
    <row r="2147" spans="1:4">
      <c r="A2147" s="105">
        <v>102521</v>
      </c>
      <c r="B2147" s="104" t="s">
        <v>2403</v>
      </c>
      <c r="C2147" s="104" t="s">
        <v>183</v>
      </c>
      <c r="D2147" s="129" t="s">
        <v>21654</v>
      </c>
    </row>
    <row r="2148" spans="1:4">
      <c r="A2148" s="105">
        <v>102522</v>
      </c>
      <c r="B2148" s="104" t="s">
        <v>2404</v>
      </c>
      <c r="C2148" s="104" t="s">
        <v>183</v>
      </c>
      <c r="D2148" s="129" t="s">
        <v>21138</v>
      </c>
    </row>
    <row r="2149" spans="1:4">
      <c r="A2149" s="105">
        <v>102523</v>
      </c>
      <c r="B2149" s="104" t="s">
        <v>2405</v>
      </c>
      <c r="C2149" s="104" t="s">
        <v>183</v>
      </c>
      <c r="D2149" s="129" t="s">
        <v>21655</v>
      </c>
    </row>
    <row r="2150" spans="1:4">
      <c r="A2150" s="105">
        <v>95240</v>
      </c>
      <c r="B2150" s="104" t="s">
        <v>2406</v>
      </c>
      <c r="C2150" s="104" t="s">
        <v>12</v>
      </c>
      <c r="D2150" s="129" t="s">
        <v>21656</v>
      </c>
    </row>
    <row r="2151" spans="1:4">
      <c r="A2151" s="105">
        <v>95241</v>
      </c>
      <c r="B2151" s="104" t="s">
        <v>2407</v>
      </c>
      <c r="C2151" s="104" t="s">
        <v>12</v>
      </c>
      <c r="D2151" s="129" t="s">
        <v>15787</v>
      </c>
    </row>
    <row r="2152" spans="1:4">
      <c r="A2152" s="105">
        <v>96616</v>
      </c>
      <c r="B2152" s="104" t="s">
        <v>2408</v>
      </c>
      <c r="C2152" s="104" t="s">
        <v>28</v>
      </c>
      <c r="D2152" s="129" t="s">
        <v>17613</v>
      </c>
    </row>
    <row r="2153" spans="1:4">
      <c r="A2153" s="105">
        <v>96617</v>
      </c>
      <c r="B2153" s="104" t="s">
        <v>2409</v>
      </c>
      <c r="C2153" s="104" t="s">
        <v>12</v>
      </c>
      <c r="D2153" s="129" t="s">
        <v>21657</v>
      </c>
    </row>
    <row r="2154" spans="1:4">
      <c r="A2154" s="105">
        <v>96619</v>
      </c>
      <c r="B2154" s="104" t="s">
        <v>2410</v>
      </c>
      <c r="C2154" s="104" t="s">
        <v>12</v>
      </c>
      <c r="D2154" s="129" t="s">
        <v>20368</v>
      </c>
    </row>
    <row r="2155" spans="1:4">
      <c r="A2155" s="105">
        <v>96620</v>
      </c>
      <c r="B2155" s="104" t="s">
        <v>2411</v>
      </c>
      <c r="C2155" s="104" t="s">
        <v>28</v>
      </c>
      <c r="D2155" s="129" t="s">
        <v>21658</v>
      </c>
    </row>
    <row r="2156" spans="1:4">
      <c r="A2156" s="105">
        <v>96621</v>
      </c>
      <c r="B2156" s="104" t="s">
        <v>2412</v>
      </c>
      <c r="C2156" s="104" t="s">
        <v>28</v>
      </c>
      <c r="D2156" s="129" t="s">
        <v>21659</v>
      </c>
    </row>
    <row r="2157" spans="1:4">
      <c r="A2157" s="105">
        <v>96622</v>
      </c>
      <c r="B2157" s="104" t="s">
        <v>2413</v>
      </c>
      <c r="C2157" s="104" t="s">
        <v>28</v>
      </c>
      <c r="D2157" s="129" t="s">
        <v>21660</v>
      </c>
    </row>
    <row r="2158" spans="1:4">
      <c r="A2158" s="105">
        <v>96623</v>
      </c>
      <c r="B2158" s="104" t="s">
        <v>2414</v>
      </c>
      <c r="C2158" s="104" t="s">
        <v>28</v>
      </c>
      <c r="D2158" s="129" t="s">
        <v>21661</v>
      </c>
    </row>
    <row r="2159" spans="1:4">
      <c r="A2159" s="105">
        <v>96624</v>
      </c>
      <c r="B2159" s="104" t="s">
        <v>2415</v>
      </c>
      <c r="C2159" s="104" t="s">
        <v>28</v>
      </c>
      <c r="D2159" s="129" t="s">
        <v>21662</v>
      </c>
    </row>
    <row r="2160" spans="1:4">
      <c r="A2160" s="105">
        <v>97082</v>
      </c>
      <c r="B2160" s="104" t="s">
        <v>12815</v>
      </c>
      <c r="C2160" s="104" t="s">
        <v>28</v>
      </c>
      <c r="D2160" s="129" t="s">
        <v>14899</v>
      </c>
    </row>
    <row r="2161" spans="1:4">
      <c r="A2161" s="105">
        <v>97083</v>
      </c>
      <c r="B2161" s="104" t="s">
        <v>12816</v>
      </c>
      <c r="C2161" s="104" t="s">
        <v>12</v>
      </c>
      <c r="D2161" s="129" t="s">
        <v>20163</v>
      </c>
    </row>
    <row r="2162" spans="1:4">
      <c r="A2162" s="105">
        <v>97084</v>
      </c>
      <c r="B2162" s="104" t="s">
        <v>12817</v>
      </c>
      <c r="C2162" s="104" t="s">
        <v>12</v>
      </c>
      <c r="D2162" s="129" t="s">
        <v>15605</v>
      </c>
    </row>
    <row r="2163" spans="1:4">
      <c r="A2163" s="105">
        <v>97086</v>
      </c>
      <c r="B2163" s="104" t="s">
        <v>12818</v>
      </c>
      <c r="C2163" s="104" t="s">
        <v>12</v>
      </c>
      <c r="D2163" s="129" t="s">
        <v>21663</v>
      </c>
    </row>
    <row r="2164" spans="1:4">
      <c r="A2164" s="105">
        <v>97087</v>
      </c>
      <c r="B2164" s="104" t="s">
        <v>12819</v>
      </c>
      <c r="C2164" s="104" t="s">
        <v>12</v>
      </c>
      <c r="D2164" s="129" t="s">
        <v>21664</v>
      </c>
    </row>
    <row r="2165" spans="1:4">
      <c r="A2165" s="105">
        <v>97088</v>
      </c>
      <c r="B2165" s="104" t="s">
        <v>12820</v>
      </c>
      <c r="C2165" s="104" t="s">
        <v>41</v>
      </c>
      <c r="D2165" s="129" t="s">
        <v>17801</v>
      </c>
    </row>
    <row r="2166" spans="1:4">
      <c r="A2166" s="105">
        <v>97089</v>
      </c>
      <c r="B2166" s="104" t="s">
        <v>12821</v>
      </c>
      <c r="C2166" s="104" t="s">
        <v>41</v>
      </c>
      <c r="D2166" s="129" t="s">
        <v>18300</v>
      </c>
    </row>
    <row r="2167" spans="1:4">
      <c r="A2167" s="105">
        <v>97090</v>
      </c>
      <c r="B2167" s="104" t="s">
        <v>12822</v>
      </c>
      <c r="C2167" s="104" t="s">
        <v>41</v>
      </c>
      <c r="D2167" s="129" t="s">
        <v>21665</v>
      </c>
    </row>
    <row r="2168" spans="1:4">
      <c r="A2168" s="105">
        <v>97091</v>
      </c>
      <c r="B2168" s="104" t="s">
        <v>12823</v>
      </c>
      <c r="C2168" s="104" t="s">
        <v>41</v>
      </c>
      <c r="D2168" s="129" t="s">
        <v>18245</v>
      </c>
    </row>
    <row r="2169" spans="1:4">
      <c r="A2169" s="105">
        <v>97092</v>
      </c>
      <c r="B2169" s="104" t="s">
        <v>12824</v>
      </c>
      <c r="C2169" s="104" t="s">
        <v>41</v>
      </c>
      <c r="D2169" s="129" t="s">
        <v>21666</v>
      </c>
    </row>
    <row r="2170" spans="1:4">
      <c r="A2170" s="105">
        <v>97093</v>
      </c>
      <c r="B2170" s="104" t="s">
        <v>12825</v>
      </c>
      <c r="C2170" s="104" t="s">
        <v>41</v>
      </c>
      <c r="D2170" s="129" t="s">
        <v>21667</v>
      </c>
    </row>
    <row r="2171" spans="1:4">
      <c r="A2171" s="105">
        <v>97096</v>
      </c>
      <c r="B2171" s="104" t="s">
        <v>12826</v>
      </c>
      <c r="C2171" s="104" t="s">
        <v>28</v>
      </c>
      <c r="D2171" s="129" t="s">
        <v>21668</v>
      </c>
    </row>
    <row r="2172" spans="1:4">
      <c r="A2172" s="105">
        <v>97097</v>
      </c>
      <c r="B2172" s="104" t="s">
        <v>12827</v>
      </c>
      <c r="C2172" s="104" t="s">
        <v>12</v>
      </c>
      <c r="D2172" s="129" t="s">
        <v>21669</v>
      </c>
    </row>
    <row r="2173" spans="1:4">
      <c r="A2173" s="105">
        <v>97101</v>
      </c>
      <c r="B2173" s="104" t="s">
        <v>12828</v>
      </c>
      <c r="C2173" s="104" t="s">
        <v>12</v>
      </c>
      <c r="D2173" s="129" t="s">
        <v>21670</v>
      </c>
    </row>
    <row r="2174" spans="1:4">
      <c r="A2174" s="105">
        <v>97102</v>
      </c>
      <c r="B2174" s="104" t="s">
        <v>12829</v>
      </c>
      <c r="C2174" s="104" t="s">
        <v>12</v>
      </c>
      <c r="D2174" s="129" t="s">
        <v>21671</v>
      </c>
    </row>
    <row r="2175" spans="1:4">
      <c r="A2175" s="105">
        <v>97103</v>
      </c>
      <c r="B2175" s="104" t="s">
        <v>12830</v>
      </c>
      <c r="C2175" s="104" t="s">
        <v>12</v>
      </c>
      <c r="D2175" s="129" t="s">
        <v>21672</v>
      </c>
    </row>
    <row r="2176" spans="1:4">
      <c r="A2176" s="105">
        <v>100322</v>
      </c>
      <c r="B2176" s="104" t="s">
        <v>2416</v>
      </c>
      <c r="C2176" s="104" t="s">
        <v>28</v>
      </c>
      <c r="D2176" s="129" t="s">
        <v>21673</v>
      </c>
    </row>
    <row r="2177" spans="1:4">
      <c r="A2177" s="105">
        <v>100323</v>
      </c>
      <c r="B2177" s="104" t="s">
        <v>2417</v>
      </c>
      <c r="C2177" s="104" t="s">
        <v>28</v>
      </c>
      <c r="D2177" s="129" t="s">
        <v>18800</v>
      </c>
    </row>
    <row r="2178" spans="1:4">
      <c r="A2178" s="105">
        <v>100324</v>
      </c>
      <c r="B2178" s="104" t="s">
        <v>2418</v>
      </c>
      <c r="C2178" s="104" t="s">
        <v>28</v>
      </c>
      <c r="D2178" s="129" t="s">
        <v>21674</v>
      </c>
    </row>
    <row r="2179" spans="1:4">
      <c r="A2179" s="105">
        <v>103072</v>
      </c>
      <c r="B2179" s="104" t="s">
        <v>12831</v>
      </c>
      <c r="C2179" s="104" t="s">
        <v>12</v>
      </c>
      <c r="D2179" s="129" t="s">
        <v>21675</v>
      </c>
    </row>
    <row r="2180" spans="1:4">
      <c r="A2180" s="105">
        <v>103073</v>
      </c>
      <c r="B2180" s="104" t="s">
        <v>12832</v>
      </c>
      <c r="C2180" s="104" t="s">
        <v>12</v>
      </c>
      <c r="D2180" s="129" t="s">
        <v>21676</v>
      </c>
    </row>
    <row r="2181" spans="1:4">
      <c r="A2181" s="105">
        <v>103074</v>
      </c>
      <c r="B2181" s="104" t="s">
        <v>12833</v>
      </c>
      <c r="C2181" s="104" t="s">
        <v>12</v>
      </c>
      <c r="D2181" s="129" t="s">
        <v>21677</v>
      </c>
    </row>
    <row r="2182" spans="1:4">
      <c r="A2182" s="105">
        <v>103075</v>
      </c>
      <c r="B2182" s="104" t="s">
        <v>12834</v>
      </c>
      <c r="C2182" s="104" t="s">
        <v>12</v>
      </c>
      <c r="D2182" s="129" t="s">
        <v>21678</v>
      </c>
    </row>
    <row r="2183" spans="1:4">
      <c r="A2183" s="105">
        <v>103076</v>
      </c>
      <c r="B2183" s="104" t="s">
        <v>12835</v>
      </c>
      <c r="C2183" s="104" t="s">
        <v>12</v>
      </c>
      <c r="D2183" s="129" t="s">
        <v>16066</v>
      </c>
    </row>
    <row r="2184" spans="1:4">
      <c r="A2184" s="105">
        <v>103077</v>
      </c>
      <c r="B2184" s="104" t="s">
        <v>12836</v>
      </c>
      <c r="C2184" s="104" t="s">
        <v>12</v>
      </c>
      <c r="D2184" s="129" t="s">
        <v>21679</v>
      </c>
    </row>
    <row r="2185" spans="1:4">
      <c r="A2185" s="105">
        <v>103078</v>
      </c>
      <c r="B2185" s="104" t="s">
        <v>12837</v>
      </c>
      <c r="C2185" s="104" t="s">
        <v>12</v>
      </c>
      <c r="D2185" s="129" t="s">
        <v>21680</v>
      </c>
    </row>
    <row r="2186" spans="1:4">
      <c r="A2186" s="105">
        <v>103079</v>
      </c>
      <c r="B2186" s="104" t="s">
        <v>12838</v>
      </c>
      <c r="C2186" s="104" t="s">
        <v>12</v>
      </c>
      <c r="D2186" s="129" t="s">
        <v>21681</v>
      </c>
    </row>
    <row r="2187" spans="1:4">
      <c r="A2187" s="105">
        <v>103080</v>
      </c>
      <c r="B2187" s="104" t="s">
        <v>12839</v>
      </c>
      <c r="C2187" s="104" t="s">
        <v>12</v>
      </c>
      <c r="D2187" s="129" t="s">
        <v>21682</v>
      </c>
    </row>
    <row r="2188" spans="1:4">
      <c r="A2188" s="105">
        <v>92263</v>
      </c>
      <c r="B2188" s="104" t="s">
        <v>2419</v>
      </c>
      <c r="C2188" s="104" t="s">
        <v>12</v>
      </c>
      <c r="D2188" s="129" t="s">
        <v>21683</v>
      </c>
    </row>
    <row r="2189" spans="1:4">
      <c r="A2189" s="105">
        <v>92264</v>
      </c>
      <c r="B2189" s="104" t="s">
        <v>2420</v>
      </c>
      <c r="C2189" s="104" t="s">
        <v>12</v>
      </c>
      <c r="D2189" s="129" t="s">
        <v>21684</v>
      </c>
    </row>
    <row r="2190" spans="1:4">
      <c r="A2190" s="105">
        <v>92265</v>
      </c>
      <c r="B2190" s="104" t="s">
        <v>305</v>
      </c>
      <c r="C2190" s="104" t="s">
        <v>12</v>
      </c>
      <c r="D2190" s="129" t="s">
        <v>21685</v>
      </c>
    </row>
    <row r="2191" spans="1:4">
      <c r="A2191" s="105">
        <v>92266</v>
      </c>
      <c r="B2191" s="104" t="s">
        <v>2421</v>
      </c>
      <c r="C2191" s="104" t="s">
        <v>12</v>
      </c>
      <c r="D2191" s="129" t="s">
        <v>17126</v>
      </c>
    </row>
    <row r="2192" spans="1:4">
      <c r="A2192" s="105">
        <v>92267</v>
      </c>
      <c r="B2192" s="104" t="s">
        <v>2422</v>
      </c>
      <c r="C2192" s="104" t="s">
        <v>12</v>
      </c>
      <c r="D2192" s="129" t="s">
        <v>21686</v>
      </c>
    </row>
    <row r="2193" spans="1:4">
      <c r="A2193" s="105">
        <v>92268</v>
      </c>
      <c r="B2193" s="104" t="s">
        <v>2423</v>
      </c>
      <c r="C2193" s="104" t="s">
        <v>12</v>
      </c>
      <c r="D2193" s="129" t="s">
        <v>21687</v>
      </c>
    </row>
    <row r="2194" spans="1:4">
      <c r="A2194" s="105">
        <v>92269</v>
      </c>
      <c r="B2194" s="104" t="s">
        <v>2424</v>
      </c>
      <c r="C2194" s="104" t="s">
        <v>12</v>
      </c>
      <c r="D2194" s="129" t="s">
        <v>21688</v>
      </c>
    </row>
    <row r="2195" spans="1:4">
      <c r="A2195" s="105">
        <v>92270</v>
      </c>
      <c r="B2195" s="104" t="s">
        <v>2425</v>
      </c>
      <c r="C2195" s="104" t="s">
        <v>12</v>
      </c>
      <c r="D2195" s="129" t="s">
        <v>21689</v>
      </c>
    </row>
    <row r="2196" spans="1:4">
      <c r="A2196" s="105">
        <v>92271</v>
      </c>
      <c r="B2196" s="104" t="s">
        <v>2426</v>
      </c>
      <c r="C2196" s="104" t="s">
        <v>12</v>
      </c>
      <c r="D2196" s="129" t="s">
        <v>21690</v>
      </c>
    </row>
    <row r="2197" spans="1:4">
      <c r="A2197" s="105">
        <v>92272</v>
      </c>
      <c r="B2197" s="104" t="s">
        <v>2427</v>
      </c>
      <c r="C2197" s="104" t="s">
        <v>40</v>
      </c>
      <c r="D2197" s="129" t="s">
        <v>21691</v>
      </c>
    </row>
    <row r="2198" spans="1:4">
      <c r="A2198" s="105">
        <v>92273</v>
      </c>
      <c r="B2198" s="104" t="s">
        <v>2428</v>
      </c>
      <c r="C2198" s="104" t="s">
        <v>40</v>
      </c>
      <c r="D2198" s="129" t="s">
        <v>21692</v>
      </c>
    </row>
    <row r="2199" spans="1:4">
      <c r="A2199" s="105">
        <v>92409</v>
      </c>
      <c r="B2199" s="104" t="s">
        <v>2429</v>
      </c>
      <c r="C2199" s="104" t="s">
        <v>12</v>
      </c>
      <c r="D2199" s="129" t="s">
        <v>21693</v>
      </c>
    </row>
    <row r="2200" spans="1:4">
      <c r="A2200" s="105">
        <v>92411</v>
      </c>
      <c r="B2200" s="104" t="s">
        <v>2430</v>
      </c>
      <c r="C2200" s="104" t="s">
        <v>12</v>
      </c>
      <c r="D2200" s="129" t="s">
        <v>21694</v>
      </c>
    </row>
    <row r="2201" spans="1:4">
      <c r="A2201" s="105">
        <v>92413</v>
      </c>
      <c r="B2201" s="104" t="s">
        <v>2431</v>
      </c>
      <c r="C2201" s="104" t="s">
        <v>12</v>
      </c>
      <c r="D2201" s="129" t="s">
        <v>21695</v>
      </c>
    </row>
    <row r="2202" spans="1:4">
      <c r="A2202" s="105">
        <v>92415</v>
      </c>
      <c r="B2202" s="104" t="s">
        <v>2432</v>
      </c>
      <c r="C2202" s="104" t="s">
        <v>12</v>
      </c>
      <c r="D2202" s="129" t="s">
        <v>21696</v>
      </c>
    </row>
    <row r="2203" spans="1:4">
      <c r="A2203" s="105">
        <v>92417</v>
      </c>
      <c r="B2203" s="104" t="s">
        <v>2433</v>
      </c>
      <c r="C2203" s="104" t="s">
        <v>12</v>
      </c>
      <c r="D2203" s="129" t="s">
        <v>21697</v>
      </c>
    </row>
    <row r="2204" spans="1:4">
      <c r="A2204" s="105">
        <v>92419</v>
      </c>
      <c r="B2204" s="104" t="s">
        <v>2434</v>
      </c>
      <c r="C2204" s="104" t="s">
        <v>12</v>
      </c>
      <c r="D2204" s="129" t="s">
        <v>21698</v>
      </c>
    </row>
    <row r="2205" spans="1:4">
      <c r="A2205" s="105">
        <v>92421</v>
      </c>
      <c r="B2205" s="104" t="s">
        <v>2435</v>
      </c>
      <c r="C2205" s="104" t="s">
        <v>12</v>
      </c>
      <c r="D2205" s="129" t="s">
        <v>21049</v>
      </c>
    </row>
    <row r="2206" spans="1:4">
      <c r="A2206" s="105">
        <v>92423</v>
      </c>
      <c r="B2206" s="104" t="s">
        <v>2436</v>
      </c>
      <c r="C2206" s="104" t="s">
        <v>12</v>
      </c>
      <c r="D2206" s="129" t="s">
        <v>21699</v>
      </c>
    </row>
    <row r="2207" spans="1:4">
      <c r="A2207" s="105">
        <v>92425</v>
      </c>
      <c r="B2207" s="104" t="s">
        <v>2437</v>
      </c>
      <c r="C2207" s="104" t="s">
        <v>12</v>
      </c>
      <c r="D2207" s="129" t="s">
        <v>20539</v>
      </c>
    </row>
    <row r="2208" spans="1:4">
      <c r="A2208" s="105">
        <v>92427</v>
      </c>
      <c r="B2208" s="104" t="s">
        <v>2438</v>
      </c>
      <c r="C2208" s="104" t="s">
        <v>12</v>
      </c>
      <c r="D2208" s="129" t="s">
        <v>21700</v>
      </c>
    </row>
    <row r="2209" spans="1:4">
      <c r="A2209" s="105">
        <v>92429</v>
      </c>
      <c r="B2209" s="104" t="s">
        <v>2439</v>
      </c>
      <c r="C2209" s="104" t="s">
        <v>12</v>
      </c>
      <c r="D2209" s="129" t="s">
        <v>20373</v>
      </c>
    </row>
    <row r="2210" spans="1:4">
      <c r="A2210" s="105">
        <v>92431</v>
      </c>
      <c r="B2210" s="104" t="s">
        <v>2440</v>
      </c>
      <c r="C2210" s="104" t="s">
        <v>12</v>
      </c>
      <c r="D2210" s="129" t="s">
        <v>16297</v>
      </c>
    </row>
    <row r="2211" spans="1:4">
      <c r="A2211" s="105">
        <v>92433</v>
      </c>
      <c r="B2211" s="104" t="s">
        <v>2441</v>
      </c>
      <c r="C2211" s="104" t="s">
        <v>12</v>
      </c>
      <c r="D2211" s="129" t="s">
        <v>17855</v>
      </c>
    </row>
    <row r="2212" spans="1:4">
      <c r="A2212" s="105">
        <v>92435</v>
      </c>
      <c r="B2212" s="104" t="s">
        <v>2442</v>
      </c>
      <c r="C2212" s="104" t="s">
        <v>12</v>
      </c>
      <c r="D2212" s="129" t="s">
        <v>21701</v>
      </c>
    </row>
    <row r="2213" spans="1:4">
      <c r="A2213" s="105">
        <v>92437</v>
      </c>
      <c r="B2213" s="104" t="s">
        <v>2443</v>
      </c>
      <c r="C2213" s="104" t="s">
        <v>12</v>
      </c>
      <c r="D2213" s="129" t="s">
        <v>21702</v>
      </c>
    </row>
    <row r="2214" spans="1:4">
      <c r="A2214" s="105">
        <v>92439</v>
      </c>
      <c r="B2214" s="104" t="s">
        <v>2444</v>
      </c>
      <c r="C2214" s="104" t="s">
        <v>12</v>
      </c>
      <c r="D2214" s="129" t="s">
        <v>21703</v>
      </c>
    </row>
    <row r="2215" spans="1:4">
      <c r="A2215" s="105">
        <v>92441</v>
      </c>
      <c r="B2215" s="104" t="s">
        <v>2445</v>
      </c>
      <c r="C2215" s="104" t="s">
        <v>12</v>
      </c>
      <c r="D2215" s="129" t="s">
        <v>17892</v>
      </c>
    </row>
    <row r="2216" spans="1:4">
      <c r="A2216" s="105">
        <v>92443</v>
      </c>
      <c r="B2216" s="104" t="s">
        <v>2446</v>
      </c>
      <c r="C2216" s="104" t="s">
        <v>12</v>
      </c>
      <c r="D2216" s="129" t="s">
        <v>15711</v>
      </c>
    </row>
    <row r="2217" spans="1:4">
      <c r="A2217" s="105">
        <v>92445</v>
      </c>
      <c r="B2217" s="104" t="s">
        <v>2447</v>
      </c>
      <c r="C2217" s="104" t="s">
        <v>12</v>
      </c>
      <c r="D2217" s="129" t="s">
        <v>21704</v>
      </c>
    </row>
    <row r="2218" spans="1:4">
      <c r="A2218" s="105">
        <v>92446</v>
      </c>
      <c r="B2218" s="104" t="s">
        <v>2448</v>
      </c>
      <c r="C2218" s="104" t="s">
        <v>12</v>
      </c>
      <c r="D2218" s="129" t="s">
        <v>21705</v>
      </c>
    </row>
    <row r="2219" spans="1:4">
      <c r="A2219" s="105">
        <v>92447</v>
      </c>
      <c r="B2219" s="104" t="s">
        <v>2449</v>
      </c>
      <c r="C2219" s="104" t="s">
        <v>12</v>
      </c>
      <c r="D2219" s="129" t="s">
        <v>21706</v>
      </c>
    </row>
    <row r="2220" spans="1:4">
      <c r="A2220" s="105">
        <v>92448</v>
      </c>
      <c r="B2220" s="104" t="s">
        <v>2450</v>
      </c>
      <c r="C2220" s="104" t="s">
        <v>12</v>
      </c>
      <c r="D2220" s="129" t="s">
        <v>21707</v>
      </c>
    </row>
    <row r="2221" spans="1:4">
      <c r="A2221" s="105">
        <v>92449</v>
      </c>
      <c r="B2221" s="104" t="s">
        <v>2451</v>
      </c>
      <c r="C2221" s="104" t="s">
        <v>12</v>
      </c>
      <c r="D2221" s="129" t="s">
        <v>21708</v>
      </c>
    </row>
    <row r="2222" spans="1:4">
      <c r="A2222" s="105">
        <v>92450</v>
      </c>
      <c r="B2222" s="104" t="s">
        <v>2452</v>
      </c>
      <c r="C2222" s="104" t="s">
        <v>12</v>
      </c>
      <c r="D2222" s="129" t="s">
        <v>21709</v>
      </c>
    </row>
    <row r="2223" spans="1:4">
      <c r="A2223" s="105">
        <v>92451</v>
      </c>
      <c r="B2223" s="104" t="s">
        <v>2453</v>
      </c>
      <c r="C2223" s="104" t="s">
        <v>12</v>
      </c>
      <c r="D2223" s="129" t="s">
        <v>21710</v>
      </c>
    </row>
    <row r="2224" spans="1:4">
      <c r="A2224" s="105">
        <v>92452</v>
      </c>
      <c r="B2224" s="104" t="s">
        <v>2454</v>
      </c>
      <c r="C2224" s="104" t="s">
        <v>12</v>
      </c>
      <c r="D2224" s="129" t="s">
        <v>21711</v>
      </c>
    </row>
    <row r="2225" spans="1:4">
      <c r="A2225" s="105">
        <v>92453</v>
      </c>
      <c r="B2225" s="104" t="s">
        <v>2455</v>
      </c>
      <c r="C2225" s="104" t="s">
        <v>12</v>
      </c>
      <c r="D2225" s="129" t="s">
        <v>21712</v>
      </c>
    </row>
    <row r="2226" spans="1:4">
      <c r="A2226" s="105">
        <v>92454</v>
      </c>
      <c r="B2226" s="104" t="s">
        <v>2456</v>
      </c>
      <c r="C2226" s="104" t="s">
        <v>12</v>
      </c>
      <c r="D2226" s="129" t="s">
        <v>21713</v>
      </c>
    </row>
    <row r="2227" spans="1:4">
      <c r="A2227" s="105">
        <v>92455</v>
      </c>
      <c r="B2227" s="104" t="s">
        <v>2457</v>
      </c>
      <c r="C2227" s="104" t="s">
        <v>12</v>
      </c>
      <c r="D2227" s="129" t="s">
        <v>21714</v>
      </c>
    </row>
    <row r="2228" spans="1:4">
      <c r="A2228" s="105">
        <v>92456</v>
      </c>
      <c r="B2228" s="104" t="s">
        <v>2458</v>
      </c>
      <c r="C2228" s="104" t="s">
        <v>12</v>
      </c>
      <c r="D2228" s="129" t="s">
        <v>21715</v>
      </c>
    </row>
    <row r="2229" spans="1:4">
      <c r="A2229" s="105">
        <v>92457</v>
      </c>
      <c r="B2229" s="104" t="s">
        <v>2459</v>
      </c>
      <c r="C2229" s="104" t="s">
        <v>12</v>
      </c>
      <c r="D2229" s="129" t="s">
        <v>21716</v>
      </c>
    </row>
    <row r="2230" spans="1:4">
      <c r="A2230" s="105">
        <v>92458</v>
      </c>
      <c r="B2230" s="104" t="s">
        <v>2460</v>
      </c>
      <c r="C2230" s="104" t="s">
        <v>12</v>
      </c>
      <c r="D2230" s="129" t="s">
        <v>21717</v>
      </c>
    </row>
    <row r="2231" spans="1:4">
      <c r="A2231" s="105">
        <v>92459</v>
      </c>
      <c r="B2231" s="104" t="s">
        <v>2461</v>
      </c>
      <c r="C2231" s="104" t="s">
        <v>12</v>
      </c>
      <c r="D2231" s="129" t="s">
        <v>21718</v>
      </c>
    </row>
    <row r="2232" spans="1:4">
      <c r="A2232" s="105">
        <v>92460</v>
      </c>
      <c r="B2232" s="104" t="s">
        <v>2462</v>
      </c>
      <c r="C2232" s="104" t="s">
        <v>12</v>
      </c>
      <c r="D2232" s="129" t="s">
        <v>21719</v>
      </c>
    </row>
    <row r="2233" spans="1:4">
      <c r="A2233" s="105">
        <v>92461</v>
      </c>
      <c r="B2233" s="104" t="s">
        <v>2463</v>
      </c>
      <c r="C2233" s="104" t="s">
        <v>12</v>
      </c>
      <c r="D2233" s="129" t="s">
        <v>21720</v>
      </c>
    </row>
    <row r="2234" spans="1:4">
      <c r="A2234" s="105">
        <v>92462</v>
      </c>
      <c r="B2234" s="104" t="s">
        <v>2464</v>
      </c>
      <c r="C2234" s="104" t="s">
        <v>12</v>
      </c>
      <c r="D2234" s="129" t="s">
        <v>21721</v>
      </c>
    </row>
    <row r="2235" spans="1:4">
      <c r="A2235" s="105">
        <v>92463</v>
      </c>
      <c r="B2235" s="104" t="s">
        <v>2465</v>
      </c>
      <c r="C2235" s="104" t="s">
        <v>12</v>
      </c>
      <c r="D2235" s="129" t="s">
        <v>21722</v>
      </c>
    </row>
    <row r="2236" spans="1:4">
      <c r="A2236" s="105">
        <v>92464</v>
      </c>
      <c r="B2236" s="104" t="s">
        <v>2466</v>
      </c>
      <c r="C2236" s="104" t="s">
        <v>12</v>
      </c>
      <c r="D2236" s="129" t="s">
        <v>21723</v>
      </c>
    </row>
    <row r="2237" spans="1:4">
      <c r="A2237" s="105">
        <v>92465</v>
      </c>
      <c r="B2237" s="104" t="s">
        <v>2467</v>
      </c>
      <c r="C2237" s="104" t="s">
        <v>12</v>
      </c>
      <c r="D2237" s="129" t="s">
        <v>21724</v>
      </c>
    </row>
    <row r="2238" spans="1:4">
      <c r="A2238" s="105">
        <v>92466</v>
      </c>
      <c r="B2238" s="104" t="s">
        <v>2468</v>
      </c>
      <c r="C2238" s="104" t="s">
        <v>12</v>
      </c>
      <c r="D2238" s="129" t="s">
        <v>21725</v>
      </c>
    </row>
    <row r="2239" spans="1:4">
      <c r="A2239" s="105">
        <v>92467</v>
      </c>
      <c r="B2239" s="104" t="s">
        <v>2469</v>
      </c>
      <c r="C2239" s="104" t="s">
        <v>12</v>
      </c>
      <c r="D2239" s="129" t="s">
        <v>21726</v>
      </c>
    </row>
    <row r="2240" spans="1:4">
      <c r="A2240" s="105">
        <v>92468</v>
      </c>
      <c r="B2240" s="104" t="s">
        <v>2470</v>
      </c>
      <c r="C2240" s="104" t="s">
        <v>12</v>
      </c>
      <c r="D2240" s="129" t="s">
        <v>21727</v>
      </c>
    </row>
    <row r="2241" spans="1:4">
      <c r="A2241" s="105">
        <v>92469</v>
      </c>
      <c r="B2241" s="104" t="s">
        <v>2471</v>
      </c>
      <c r="C2241" s="104" t="s">
        <v>12</v>
      </c>
      <c r="D2241" s="129" t="s">
        <v>21728</v>
      </c>
    </row>
    <row r="2242" spans="1:4">
      <c r="A2242" s="105">
        <v>92470</v>
      </c>
      <c r="B2242" s="104" t="s">
        <v>2472</v>
      </c>
      <c r="C2242" s="104" t="s">
        <v>12</v>
      </c>
      <c r="D2242" s="129" t="s">
        <v>21729</v>
      </c>
    </row>
    <row r="2243" spans="1:4">
      <c r="A2243" s="105">
        <v>92471</v>
      </c>
      <c r="B2243" s="104" t="s">
        <v>2473</v>
      </c>
      <c r="C2243" s="104" t="s">
        <v>12</v>
      </c>
      <c r="D2243" s="129" t="s">
        <v>21730</v>
      </c>
    </row>
    <row r="2244" spans="1:4">
      <c r="A2244" s="105">
        <v>92472</v>
      </c>
      <c r="B2244" s="104" t="s">
        <v>2474</v>
      </c>
      <c r="C2244" s="104" t="s">
        <v>12</v>
      </c>
      <c r="D2244" s="129" t="s">
        <v>21731</v>
      </c>
    </row>
    <row r="2245" spans="1:4">
      <c r="A2245" s="105">
        <v>92473</v>
      </c>
      <c r="B2245" s="104" t="s">
        <v>2475</v>
      </c>
      <c r="C2245" s="104" t="s">
        <v>12</v>
      </c>
      <c r="D2245" s="129" t="s">
        <v>21732</v>
      </c>
    </row>
    <row r="2246" spans="1:4">
      <c r="A2246" s="105">
        <v>92474</v>
      </c>
      <c r="B2246" s="104" t="s">
        <v>2476</v>
      </c>
      <c r="C2246" s="104" t="s">
        <v>12</v>
      </c>
      <c r="D2246" s="129" t="s">
        <v>21733</v>
      </c>
    </row>
    <row r="2247" spans="1:4">
      <c r="A2247" s="105">
        <v>92475</v>
      </c>
      <c r="B2247" s="104" t="s">
        <v>2477</v>
      </c>
      <c r="C2247" s="104" t="s">
        <v>12</v>
      </c>
      <c r="D2247" s="129" t="s">
        <v>21132</v>
      </c>
    </row>
    <row r="2248" spans="1:4">
      <c r="A2248" s="105">
        <v>92476</v>
      </c>
      <c r="B2248" s="104" t="s">
        <v>2478</v>
      </c>
      <c r="C2248" s="104" t="s">
        <v>12</v>
      </c>
      <c r="D2248" s="129" t="s">
        <v>21734</v>
      </c>
    </row>
    <row r="2249" spans="1:4">
      <c r="A2249" s="105">
        <v>92477</v>
      </c>
      <c r="B2249" s="104" t="s">
        <v>2479</v>
      </c>
      <c r="C2249" s="104" t="s">
        <v>12</v>
      </c>
      <c r="D2249" s="129" t="s">
        <v>21735</v>
      </c>
    </row>
    <row r="2250" spans="1:4">
      <c r="A2250" s="105">
        <v>92478</v>
      </c>
      <c r="B2250" s="104" t="s">
        <v>2480</v>
      </c>
      <c r="C2250" s="104" t="s">
        <v>12</v>
      </c>
      <c r="D2250" s="129" t="s">
        <v>21736</v>
      </c>
    </row>
    <row r="2251" spans="1:4">
      <c r="A2251" s="105">
        <v>92479</v>
      </c>
      <c r="B2251" s="104" t="s">
        <v>2481</v>
      </c>
      <c r="C2251" s="104" t="s">
        <v>12</v>
      </c>
      <c r="D2251" s="129" t="s">
        <v>19817</v>
      </c>
    </row>
    <row r="2252" spans="1:4">
      <c r="A2252" s="105">
        <v>92480</v>
      </c>
      <c r="B2252" s="104" t="s">
        <v>2482</v>
      </c>
      <c r="C2252" s="104" t="s">
        <v>12</v>
      </c>
      <c r="D2252" s="129" t="s">
        <v>21737</v>
      </c>
    </row>
    <row r="2253" spans="1:4">
      <c r="A2253" s="105">
        <v>92482</v>
      </c>
      <c r="B2253" s="104" t="s">
        <v>2483</v>
      </c>
      <c r="C2253" s="104" t="s">
        <v>12</v>
      </c>
      <c r="D2253" s="129" t="s">
        <v>21738</v>
      </c>
    </row>
    <row r="2254" spans="1:4">
      <c r="A2254" s="105">
        <v>92484</v>
      </c>
      <c r="B2254" s="104" t="s">
        <v>2484</v>
      </c>
      <c r="C2254" s="104" t="s">
        <v>12</v>
      </c>
      <c r="D2254" s="129" t="s">
        <v>21739</v>
      </c>
    </row>
    <row r="2255" spans="1:4">
      <c r="A2255" s="105">
        <v>92486</v>
      </c>
      <c r="B2255" s="104" t="s">
        <v>2485</v>
      </c>
      <c r="C2255" s="104" t="s">
        <v>12</v>
      </c>
      <c r="D2255" s="129" t="s">
        <v>21740</v>
      </c>
    </row>
    <row r="2256" spans="1:4">
      <c r="A2256" s="105">
        <v>92488</v>
      </c>
      <c r="B2256" s="104" t="s">
        <v>2486</v>
      </c>
      <c r="C2256" s="104" t="s">
        <v>12</v>
      </c>
      <c r="D2256" s="129" t="s">
        <v>21741</v>
      </c>
    </row>
    <row r="2257" spans="1:4">
      <c r="A2257" s="105">
        <v>92490</v>
      </c>
      <c r="B2257" s="104" t="s">
        <v>2487</v>
      </c>
      <c r="C2257" s="104" t="s">
        <v>12</v>
      </c>
      <c r="D2257" s="129" t="s">
        <v>21742</v>
      </c>
    </row>
    <row r="2258" spans="1:4">
      <c r="A2258" s="105">
        <v>92492</v>
      </c>
      <c r="B2258" s="104" t="s">
        <v>2488</v>
      </c>
      <c r="C2258" s="104" t="s">
        <v>12</v>
      </c>
      <c r="D2258" s="129" t="s">
        <v>21743</v>
      </c>
    </row>
    <row r="2259" spans="1:4">
      <c r="A2259" s="105">
        <v>92494</v>
      </c>
      <c r="B2259" s="104" t="s">
        <v>2489</v>
      </c>
      <c r="C2259" s="104" t="s">
        <v>12</v>
      </c>
      <c r="D2259" s="129" t="s">
        <v>21744</v>
      </c>
    </row>
    <row r="2260" spans="1:4">
      <c r="A2260" s="105">
        <v>92496</v>
      </c>
      <c r="B2260" s="104" t="s">
        <v>2490</v>
      </c>
      <c r="C2260" s="104" t="s">
        <v>12</v>
      </c>
      <c r="D2260" s="129" t="s">
        <v>21745</v>
      </c>
    </row>
    <row r="2261" spans="1:4">
      <c r="A2261" s="105">
        <v>92498</v>
      </c>
      <c r="B2261" s="104" t="s">
        <v>2491</v>
      </c>
      <c r="C2261" s="104" t="s">
        <v>12</v>
      </c>
      <c r="D2261" s="129" t="s">
        <v>21746</v>
      </c>
    </row>
    <row r="2262" spans="1:4">
      <c r="A2262" s="105">
        <v>92500</v>
      </c>
      <c r="B2262" s="104" t="s">
        <v>2492</v>
      </c>
      <c r="C2262" s="104" t="s">
        <v>12</v>
      </c>
      <c r="D2262" s="129" t="s">
        <v>21747</v>
      </c>
    </row>
    <row r="2263" spans="1:4">
      <c r="A2263" s="105">
        <v>92502</v>
      </c>
      <c r="B2263" s="104" t="s">
        <v>2493</v>
      </c>
      <c r="C2263" s="104" t="s">
        <v>12</v>
      </c>
      <c r="D2263" s="129" t="s">
        <v>21748</v>
      </c>
    </row>
    <row r="2264" spans="1:4">
      <c r="A2264" s="105">
        <v>92504</v>
      </c>
      <c r="B2264" s="104" t="s">
        <v>2494</v>
      </c>
      <c r="C2264" s="104" t="s">
        <v>12</v>
      </c>
      <c r="D2264" s="129" t="s">
        <v>21749</v>
      </c>
    </row>
    <row r="2265" spans="1:4">
      <c r="A2265" s="105">
        <v>92506</v>
      </c>
      <c r="B2265" s="104" t="s">
        <v>2495</v>
      </c>
      <c r="C2265" s="104" t="s">
        <v>12</v>
      </c>
      <c r="D2265" s="129" t="s">
        <v>21750</v>
      </c>
    </row>
    <row r="2266" spans="1:4">
      <c r="A2266" s="105">
        <v>92508</v>
      </c>
      <c r="B2266" s="104" t="s">
        <v>2496</v>
      </c>
      <c r="C2266" s="104" t="s">
        <v>12</v>
      </c>
      <c r="D2266" s="129" t="s">
        <v>21751</v>
      </c>
    </row>
    <row r="2267" spans="1:4">
      <c r="A2267" s="105">
        <v>92510</v>
      </c>
      <c r="B2267" s="104" t="s">
        <v>2497</v>
      </c>
      <c r="C2267" s="104" t="s">
        <v>12</v>
      </c>
      <c r="D2267" s="129" t="s">
        <v>14812</v>
      </c>
    </row>
    <row r="2268" spans="1:4">
      <c r="A2268" s="105">
        <v>92512</v>
      </c>
      <c r="B2268" s="104" t="s">
        <v>2498</v>
      </c>
      <c r="C2268" s="104" t="s">
        <v>12</v>
      </c>
      <c r="D2268" s="129" t="s">
        <v>21752</v>
      </c>
    </row>
    <row r="2269" spans="1:4">
      <c r="A2269" s="105">
        <v>92514</v>
      </c>
      <c r="B2269" s="104" t="s">
        <v>2499</v>
      </c>
      <c r="C2269" s="104" t="s">
        <v>12</v>
      </c>
      <c r="D2269" s="129" t="s">
        <v>21753</v>
      </c>
    </row>
    <row r="2270" spans="1:4">
      <c r="A2270" s="105">
        <v>92515</v>
      </c>
      <c r="B2270" s="104" t="s">
        <v>2500</v>
      </c>
      <c r="C2270" s="104" t="s">
        <v>12</v>
      </c>
      <c r="D2270" s="129" t="s">
        <v>20845</v>
      </c>
    </row>
    <row r="2271" spans="1:4">
      <c r="A2271" s="105">
        <v>92518</v>
      </c>
      <c r="B2271" s="104" t="s">
        <v>2501</v>
      </c>
      <c r="C2271" s="104" t="s">
        <v>12</v>
      </c>
      <c r="D2271" s="129" t="s">
        <v>18707</v>
      </c>
    </row>
    <row r="2272" spans="1:4">
      <c r="A2272" s="105">
        <v>92520</v>
      </c>
      <c r="B2272" s="104" t="s">
        <v>2502</v>
      </c>
      <c r="C2272" s="104" t="s">
        <v>12</v>
      </c>
      <c r="D2272" s="129" t="s">
        <v>21754</v>
      </c>
    </row>
    <row r="2273" spans="1:4">
      <c r="A2273" s="105">
        <v>92522</v>
      </c>
      <c r="B2273" s="104" t="s">
        <v>2503</v>
      </c>
      <c r="C2273" s="104" t="s">
        <v>12</v>
      </c>
      <c r="D2273" s="129" t="s">
        <v>18804</v>
      </c>
    </row>
    <row r="2274" spans="1:4">
      <c r="A2274" s="105">
        <v>92524</v>
      </c>
      <c r="B2274" s="104" t="s">
        <v>13699</v>
      </c>
      <c r="C2274" s="104" t="s">
        <v>12</v>
      </c>
      <c r="D2274" s="129" t="s">
        <v>16749</v>
      </c>
    </row>
    <row r="2275" spans="1:4">
      <c r="A2275" s="105">
        <v>92526</v>
      </c>
      <c r="B2275" s="104" t="s">
        <v>2504</v>
      </c>
      <c r="C2275" s="104" t="s">
        <v>12</v>
      </c>
      <c r="D2275" s="129" t="s">
        <v>15872</v>
      </c>
    </row>
    <row r="2276" spans="1:4">
      <c r="A2276" s="105">
        <v>92528</v>
      </c>
      <c r="B2276" s="104" t="s">
        <v>2505</v>
      </c>
      <c r="C2276" s="104" t="s">
        <v>12</v>
      </c>
      <c r="D2276" s="129" t="s">
        <v>19024</v>
      </c>
    </row>
    <row r="2277" spans="1:4">
      <c r="A2277" s="105">
        <v>92530</v>
      </c>
      <c r="B2277" s="104" t="s">
        <v>2506</v>
      </c>
      <c r="C2277" s="104" t="s">
        <v>12</v>
      </c>
      <c r="D2277" s="129" t="s">
        <v>19794</v>
      </c>
    </row>
    <row r="2278" spans="1:4">
      <c r="A2278" s="105">
        <v>92532</v>
      </c>
      <c r="B2278" s="104" t="s">
        <v>2507</v>
      </c>
      <c r="C2278" s="104" t="s">
        <v>12</v>
      </c>
      <c r="D2278" s="129" t="s">
        <v>21755</v>
      </c>
    </row>
    <row r="2279" spans="1:4">
      <c r="A2279" s="105">
        <v>92534</v>
      </c>
      <c r="B2279" s="104" t="s">
        <v>2508</v>
      </c>
      <c r="C2279" s="104" t="s">
        <v>12</v>
      </c>
      <c r="D2279" s="129" t="s">
        <v>18658</v>
      </c>
    </row>
    <row r="2280" spans="1:4">
      <c r="A2280" s="105">
        <v>92536</v>
      </c>
      <c r="B2280" s="104" t="s">
        <v>2509</v>
      </c>
      <c r="C2280" s="104" t="s">
        <v>12</v>
      </c>
      <c r="D2280" s="129" t="s">
        <v>21756</v>
      </c>
    </row>
    <row r="2281" spans="1:4">
      <c r="A2281" s="105">
        <v>92538</v>
      </c>
      <c r="B2281" s="104" t="s">
        <v>2510</v>
      </c>
      <c r="C2281" s="104" t="s">
        <v>12</v>
      </c>
      <c r="D2281" s="129" t="s">
        <v>20120</v>
      </c>
    </row>
    <row r="2282" spans="1:4">
      <c r="A2282" s="105">
        <v>96252</v>
      </c>
      <c r="B2282" s="104" t="s">
        <v>2511</v>
      </c>
      <c r="C2282" s="104" t="s">
        <v>12</v>
      </c>
      <c r="D2282" s="129" t="s">
        <v>21757</v>
      </c>
    </row>
    <row r="2283" spans="1:4">
      <c r="A2283" s="105">
        <v>96257</v>
      </c>
      <c r="B2283" s="104" t="s">
        <v>2512</v>
      </c>
      <c r="C2283" s="104" t="s">
        <v>12</v>
      </c>
      <c r="D2283" s="129" t="s">
        <v>21758</v>
      </c>
    </row>
    <row r="2284" spans="1:4">
      <c r="A2284" s="105">
        <v>96258</v>
      </c>
      <c r="B2284" s="104" t="s">
        <v>2513</v>
      </c>
      <c r="C2284" s="104" t="s">
        <v>12</v>
      </c>
      <c r="D2284" s="129" t="s">
        <v>21759</v>
      </c>
    </row>
    <row r="2285" spans="1:4">
      <c r="A2285" s="105">
        <v>96259</v>
      </c>
      <c r="B2285" s="104" t="s">
        <v>2514</v>
      </c>
      <c r="C2285" s="104" t="s">
        <v>12</v>
      </c>
      <c r="D2285" s="129" t="s">
        <v>21760</v>
      </c>
    </row>
    <row r="2286" spans="1:4">
      <c r="A2286" s="105">
        <v>96529</v>
      </c>
      <c r="B2286" s="104" t="s">
        <v>2515</v>
      </c>
      <c r="C2286" s="104" t="s">
        <v>12</v>
      </c>
      <c r="D2286" s="129" t="s">
        <v>21761</v>
      </c>
    </row>
    <row r="2287" spans="1:4">
      <c r="A2287" s="105">
        <v>96530</v>
      </c>
      <c r="B2287" s="104" t="s">
        <v>2516</v>
      </c>
      <c r="C2287" s="104" t="s">
        <v>12</v>
      </c>
      <c r="D2287" s="129" t="s">
        <v>21762</v>
      </c>
    </row>
    <row r="2288" spans="1:4">
      <c r="A2288" s="105">
        <v>96531</v>
      </c>
      <c r="B2288" s="104" t="s">
        <v>2517</v>
      </c>
      <c r="C2288" s="104" t="s">
        <v>12</v>
      </c>
      <c r="D2288" s="129" t="s">
        <v>14915</v>
      </c>
    </row>
    <row r="2289" spans="1:4">
      <c r="A2289" s="105">
        <v>96532</v>
      </c>
      <c r="B2289" s="104" t="s">
        <v>2518</v>
      </c>
      <c r="C2289" s="104" t="s">
        <v>12</v>
      </c>
      <c r="D2289" s="129" t="s">
        <v>21763</v>
      </c>
    </row>
    <row r="2290" spans="1:4">
      <c r="A2290" s="105">
        <v>96533</v>
      </c>
      <c r="B2290" s="104" t="s">
        <v>2519</v>
      </c>
      <c r="C2290" s="104" t="s">
        <v>12</v>
      </c>
      <c r="D2290" s="129" t="s">
        <v>21764</v>
      </c>
    </row>
    <row r="2291" spans="1:4">
      <c r="A2291" s="105">
        <v>96534</v>
      </c>
      <c r="B2291" s="104" t="s">
        <v>2520</v>
      </c>
      <c r="C2291" s="104" t="s">
        <v>12</v>
      </c>
      <c r="D2291" s="129" t="s">
        <v>21765</v>
      </c>
    </row>
    <row r="2292" spans="1:4">
      <c r="A2292" s="105">
        <v>96535</v>
      </c>
      <c r="B2292" s="104" t="s">
        <v>2521</v>
      </c>
      <c r="C2292" s="104" t="s">
        <v>12</v>
      </c>
      <c r="D2292" s="129" t="s">
        <v>21766</v>
      </c>
    </row>
    <row r="2293" spans="1:4">
      <c r="A2293" s="105">
        <v>96536</v>
      </c>
      <c r="B2293" s="104" t="s">
        <v>304</v>
      </c>
      <c r="C2293" s="104" t="s">
        <v>12</v>
      </c>
      <c r="D2293" s="129" t="s">
        <v>14976</v>
      </c>
    </row>
    <row r="2294" spans="1:4">
      <c r="A2294" s="105">
        <v>96537</v>
      </c>
      <c r="B2294" s="104" t="s">
        <v>2522</v>
      </c>
      <c r="C2294" s="104" t="s">
        <v>12</v>
      </c>
      <c r="D2294" s="129" t="s">
        <v>21767</v>
      </c>
    </row>
    <row r="2295" spans="1:4">
      <c r="A2295" s="105">
        <v>96538</v>
      </c>
      <c r="B2295" s="104" t="s">
        <v>2523</v>
      </c>
      <c r="C2295" s="104" t="s">
        <v>12</v>
      </c>
      <c r="D2295" s="129" t="s">
        <v>21768</v>
      </c>
    </row>
    <row r="2296" spans="1:4">
      <c r="A2296" s="105">
        <v>96539</v>
      </c>
      <c r="B2296" s="104" t="s">
        <v>2524</v>
      </c>
      <c r="C2296" s="104" t="s">
        <v>12</v>
      </c>
      <c r="D2296" s="129" t="s">
        <v>21769</v>
      </c>
    </row>
    <row r="2297" spans="1:4">
      <c r="A2297" s="105">
        <v>96540</v>
      </c>
      <c r="B2297" s="104" t="s">
        <v>2525</v>
      </c>
      <c r="C2297" s="104" t="s">
        <v>12</v>
      </c>
      <c r="D2297" s="129" t="s">
        <v>21770</v>
      </c>
    </row>
    <row r="2298" spans="1:4">
      <c r="A2298" s="105">
        <v>96541</v>
      </c>
      <c r="B2298" s="104" t="s">
        <v>2526</v>
      </c>
      <c r="C2298" s="104" t="s">
        <v>12</v>
      </c>
      <c r="D2298" s="129" t="s">
        <v>21771</v>
      </c>
    </row>
    <row r="2299" spans="1:4">
      <c r="A2299" s="105">
        <v>96542</v>
      </c>
      <c r="B2299" s="104" t="s">
        <v>2527</v>
      </c>
      <c r="C2299" s="104" t="s">
        <v>12</v>
      </c>
      <c r="D2299" s="129" t="s">
        <v>20223</v>
      </c>
    </row>
    <row r="2300" spans="1:4">
      <c r="A2300" s="105">
        <v>96543</v>
      </c>
      <c r="B2300" s="104" t="s">
        <v>303</v>
      </c>
      <c r="C2300" s="104" t="s">
        <v>41</v>
      </c>
      <c r="D2300" s="129" t="s">
        <v>21772</v>
      </c>
    </row>
    <row r="2301" spans="1:4">
      <c r="A2301" s="105">
        <v>97747</v>
      </c>
      <c r="B2301" s="104" t="s">
        <v>2528</v>
      </c>
      <c r="C2301" s="104" t="s">
        <v>12</v>
      </c>
      <c r="D2301" s="129" t="s">
        <v>21773</v>
      </c>
    </row>
    <row r="2302" spans="1:4">
      <c r="A2302" s="105">
        <v>101791</v>
      </c>
      <c r="B2302" s="104" t="s">
        <v>2529</v>
      </c>
      <c r="C2302" s="104" t="s">
        <v>40</v>
      </c>
      <c r="D2302" s="129" t="s">
        <v>21774</v>
      </c>
    </row>
    <row r="2303" spans="1:4">
      <c r="A2303" s="105">
        <v>101792</v>
      </c>
      <c r="B2303" s="104" t="s">
        <v>2530</v>
      </c>
      <c r="C2303" s="104" t="s">
        <v>28</v>
      </c>
      <c r="D2303" s="129" t="s">
        <v>19292</v>
      </c>
    </row>
    <row r="2304" spans="1:4">
      <c r="A2304" s="105">
        <v>101793</v>
      </c>
      <c r="B2304" s="104" t="s">
        <v>2531</v>
      </c>
      <c r="C2304" s="104" t="s">
        <v>28</v>
      </c>
      <c r="D2304" s="129" t="s">
        <v>21775</v>
      </c>
    </row>
    <row r="2305" spans="1:4">
      <c r="A2305" s="105">
        <v>101969</v>
      </c>
      <c r="B2305" s="104" t="s">
        <v>2532</v>
      </c>
      <c r="C2305" s="104" t="s">
        <v>12</v>
      </c>
      <c r="D2305" s="129" t="s">
        <v>21776</v>
      </c>
    </row>
    <row r="2306" spans="1:4">
      <c r="A2306" s="105">
        <v>101971</v>
      </c>
      <c r="B2306" s="104" t="s">
        <v>2533</v>
      </c>
      <c r="C2306" s="104" t="s">
        <v>12</v>
      </c>
      <c r="D2306" s="129" t="s">
        <v>21777</v>
      </c>
    </row>
    <row r="2307" spans="1:4">
      <c r="A2307" s="105">
        <v>101973</v>
      </c>
      <c r="B2307" s="104" t="s">
        <v>2534</v>
      </c>
      <c r="C2307" s="104" t="s">
        <v>12</v>
      </c>
      <c r="D2307" s="129" t="s">
        <v>15551</v>
      </c>
    </row>
    <row r="2308" spans="1:4">
      <c r="A2308" s="105">
        <v>101974</v>
      </c>
      <c r="B2308" s="104" t="s">
        <v>2535</v>
      </c>
      <c r="C2308" s="104" t="s">
        <v>12</v>
      </c>
      <c r="D2308" s="129" t="s">
        <v>21778</v>
      </c>
    </row>
    <row r="2309" spans="1:4">
      <c r="A2309" s="105">
        <v>101975</v>
      </c>
      <c r="B2309" s="104" t="s">
        <v>2536</v>
      </c>
      <c r="C2309" s="104" t="s">
        <v>12</v>
      </c>
      <c r="D2309" s="129" t="s">
        <v>21779</v>
      </c>
    </row>
    <row r="2310" spans="1:4">
      <c r="A2310" s="105">
        <v>101977</v>
      </c>
      <c r="B2310" s="104" t="s">
        <v>2537</v>
      </c>
      <c r="C2310" s="104" t="s">
        <v>12</v>
      </c>
      <c r="D2310" s="129" t="s">
        <v>21780</v>
      </c>
    </row>
    <row r="2311" spans="1:4">
      <c r="A2311" s="105">
        <v>101980</v>
      </c>
      <c r="B2311" s="104" t="s">
        <v>2538</v>
      </c>
      <c r="C2311" s="104" t="s">
        <v>12</v>
      </c>
      <c r="D2311" s="129" t="s">
        <v>21781</v>
      </c>
    </row>
    <row r="2312" spans="1:4">
      <c r="A2312" s="105">
        <v>101981</v>
      </c>
      <c r="B2312" s="104" t="s">
        <v>2539</v>
      </c>
      <c r="C2312" s="104" t="s">
        <v>12</v>
      </c>
      <c r="D2312" s="129" t="s">
        <v>21782</v>
      </c>
    </row>
    <row r="2313" spans="1:4">
      <c r="A2313" s="105">
        <v>101982</v>
      </c>
      <c r="B2313" s="104" t="s">
        <v>2540</v>
      </c>
      <c r="C2313" s="104" t="s">
        <v>12</v>
      </c>
      <c r="D2313" s="129" t="s">
        <v>21783</v>
      </c>
    </row>
    <row r="2314" spans="1:4">
      <c r="A2314" s="105">
        <v>101983</v>
      </c>
      <c r="B2314" s="104" t="s">
        <v>2541</v>
      </c>
      <c r="C2314" s="104" t="s">
        <v>12</v>
      </c>
      <c r="D2314" s="129" t="s">
        <v>21784</v>
      </c>
    </row>
    <row r="2315" spans="1:4">
      <c r="A2315" s="105">
        <v>101985</v>
      </c>
      <c r="B2315" s="104" t="s">
        <v>2542</v>
      </c>
      <c r="C2315" s="104" t="s">
        <v>12</v>
      </c>
      <c r="D2315" s="129" t="s">
        <v>21785</v>
      </c>
    </row>
    <row r="2316" spans="1:4">
      <c r="A2316" s="105">
        <v>101986</v>
      </c>
      <c r="B2316" s="104" t="s">
        <v>2543</v>
      </c>
      <c r="C2316" s="104" t="s">
        <v>12</v>
      </c>
      <c r="D2316" s="129" t="s">
        <v>21786</v>
      </c>
    </row>
    <row r="2317" spans="1:4">
      <c r="A2317" s="105">
        <v>101987</v>
      </c>
      <c r="B2317" s="104" t="s">
        <v>2544</v>
      </c>
      <c r="C2317" s="104" t="s">
        <v>12</v>
      </c>
      <c r="D2317" s="129" t="s">
        <v>21787</v>
      </c>
    </row>
    <row r="2318" spans="1:4">
      <c r="A2318" s="105">
        <v>101988</v>
      </c>
      <c r="B2318" s="104" t="s">
        <v>2545</v>
      </c>
      <c r="C2318" s="104" t="s">
        <v>12</v>
      </c>
      <c r="D2318" s="129" t="s">
        <v>21788</v>
      </c>
    </row>
    <row r="2319" spans="1:4">
      <c r="A2319" s="105">
        <v>101989</v>
      </c>
      <c r="B2319" s="104" t="s">
        <v>2546</v>
      </c>
      <c r="C2319" s="104" t="s">
        <v>12</v>
      </c>
      <c r="D2319" s="129" t="s">
        <v>21789</v>
      </c>
    </row>
    <row r="2320" spans="1:4">
      <c r="A2320" s="105">
        <v>101990</v>
      </c>
      <c r="B2320" s="104" t="s">
        <v>2547</v>
      </c>
      <c r="C2320" s="104" t="s">
        <v>12</v>
      </c>
      <c r="D2320" s="129" t="s">
        <v>21790</v>
      </c>
    </row>
    <row r="2321" spans="1:4">
      <c r="A2321" s="105">
        <v>101991</v>
      </c>
      <c r="B2321" s="104" t="s">
        <v>2548</v>
      </c>
      <c r="C2321" s="104" t="s">
        <v>12</v>
      </c>
      <c r="D2321" s="129" t="s">
        <v>21791</v>
      </c>
    </row>
    <row r="2322" spans="1:4">
      <c r="A2322" s="105">
        <v>101992</v>
      </c>
      <c r="B2322" s="104" t="s">
        <v>2549</v>
      </c>
      <c r="C2322" s="104" t="s">
        <v>12</v>
      </c>
      <c r="D2322" s="129" t="s">
        <v>21792</v>
      </c>
    </row>
    <row r="2323" spans="1:4">
      <c r="A2323" s="105">
        <v>101993</v>
      </c>
      <c r="B2323" s="104" t="s">
        <v>2550</v>
      </c>
      <c r="C2323" s="104" t="s">
        <v>12</v>
      </c>
      <c r="D2323" s="129" t="s">
        <v>21793</v>
      </c>
    </row>
    <row r="2324" spans="1:4">
      <c r="A2324" s="105">
        <v>101994</v>
      </c>
      <c r="B2324" s="104" t="s">
        <v>2551</v>
      </c>
      <c r="C2324" s="104" t="s">
        <v>12</v>
      </c>
      <c r="D2324" s="129" t="s">
        <v>21794</v>
      </c>
    </row>
    <row r="2325" spans="1:4">
      <c r="A2325" s="105">
        <v>101995</v>
      </c>
      <c r="B2325" s="104" t="s">
        <v>2552</v>
      </c>
      <c r="C2325" s="104" t="s">
        <v>12</v>
      </c>
      <c r="D2325" s="129" t="s">
        <v>21758</v>
      </c>
    </row>
    <row r="2326" spans="1:4">
      <c r="A2326" s="105">
        <v>101996</v>
      </c>
      <c r="B2326" s="104" t="s">
        <v>2553</v>
      </c>
      <c r="C2326" s="104" t="s">
        <v>12</v>
      </c>
      <c r="D2326" s="129" t="s">
        <v>21795</v>
      </c>
    </row>
    <row r="2327" spans="1:4">
      <c r="A2327" s="105">
        <v>101997</v>
      </c>
      <c r="B2327" s="104" t="s">
        <v>2554</v>
      </c>
      <c r="C2327" s="104" t="s">
        <v>12</v>
      </c>
      <c r="D2327" s="129" t="s">
        <v>21796</v>
      </c>
    </row>
    <row r="2328" spans="1:4">
      <c r="A2328" s="105">
        <v>101998</v>
      </c>
      <c r="B2328" s="104" t="s">
        <v>2555</v>
      </c>
      <c r="C2328" s="104" t="s">
        <v>12</v>
      </c>
      <c r="D2328" s="129" t="s">
        <v>21797</v>
      </c>
    </row>
    <row r="2329" spans="1:4">
      <c r="A2329" s="105">
        <v>101999</v>
      </c>
      <c r="B2329" s="104" t="s">
        <v>2556</v>
      </c>
      <c r="C2329" s="104" t="s">
        <v>12</v>
      </c>
      <c r="D2329" s="129" t="s">
        <v>17685</v>
      </c>
    </row>
    <row r="2330" spans="1:4">
      <c r="A2330" s="105">
        <v>102000</v>
      </c>
      <c r="B2330" s="104" t="s">
        <v>2557</v>
      </c>
      <c r="C2330" s="104" t="s">
        <v>12</v>
      </c>
      <c r="D2330" s="129" t="s">
        <v>21798</v>
      </c>
    </row>
    <row r="2331" spans="1:4">
      <c r="A2331" s="105">
        <v>102001</v>
      </c>
      <c r="B2331" s="104" t="s">
        <v>2558</v>
      </c>
      <c r="C2331" s="104" t="s">
        <v>12</v>
      </c>
      <c r="D2331" s="129" t="s">
        <v>21799</v>
      </c>
    </row>
    <row r="2332" spans="1:4">
      <c r="A2332" s="105">
        <v>102002</v>
      </c>
      <c r="B2332" s="104" t="s">
        <v>2559</v>
      </c>
      <c r="C2332" s="104" t="s">
        <v>12</v>
      </c>
      <c r="D2332" s="129" t="s">
        <v>21800</v>
      </c>
    </row>
    <row r="2333" spans="1:4">
      <c r="A2333" s="105">
        <v>102003</v>
      </c>
      <c r="B2333" s="104" t="s">
        <v>2560</v>
      </c>
      <c r="C2333" s="104" t="s">
        <v>12</v>
      </c>
      <c r="D2333" s="129" t="s">
        <v>21801</v>
      </c>
    </row>
    <row r="2334" spans="1:4">
      <c r="A2334" s="105">
        <v>102004</v>
      </c>
      <c r="B2334" s="104" t="s">
        <v>2561</v>
      </c>
      <c r="C2334" s="104" t="s">
        <v>12</v>
      </c>
      <c r="D2334" s="129" t="s">
        <v>21802</v>
      </c>
    </row>
    <row r="2335" spans="1:4">
      <c r="A2335" s="105">
        <v>102005</v>
      </c>
      <c r="B2335" s="104" t="s">
        <v>2562</v>
      </c>
      <c r="C2335" s="104" t="s">
        <v>12</v>
      </c>
      <c r="D2335" s="129" t="s">
        <v>21803</v>
      </c>
    </row>
    <row r="2336" spans="1:4">
      <c r="A2336" s="105">
        <v>102006</v>
      </c>
      <c r="B2336" s="104" t="s">
        <v>2563</v>
      </c>
      <c r="C2336" s="104" t="s">
        <v>12</v>
      </c>
      <c r="D2336" s="129" t="s">
        <v>21804</v>
      </c>
    </row>
    <row r="2337" spans="1:4">
      <c r="A2337" s="105">
        <v>102007</v>
      </c>
      <c r="B2337" s="104" t="s">
        <v>2564</v>
      </c>
      <c r="C2337" s="104" t="s">
        <v>12</v>
      </c>
      <c r="D2337" s="129" t="s">
        <v>21805</v>
      </c>
    </row>
    <row r="2338" spans="1:4">
      <c r="A2338" s="105">
        <v>102008</v>
      </c>
      <c r="B2338" s="104" t="s">
        <v>2565</v>
      </c>
      <c r="C2338" s="104" t="s">
        <v>12</v>
      </c>
      <c r="D2338" s="129" t="s">
        <v>21806</v>
      </c>
    </row>
    <row r="2339" spans="1:4">
      <c r="A2339" s="105">
        <v>102009</v>
      </c>
      <c r="B2339" s="104" t="s">
        <v>2566</v>
      </c>
      <c r="C2339" s="104" t="s">
        <v>12</v>
      </c>
      <c r="D2339" s="129" t="s">
        <v>21807</v>
      </c>
    </row>
    <row r="2340" spans="1:4">
      <c r="A2340" s="105">
        <v>102010</v>
      </c>
      <c r="B2340" s="104" t="s">
        <v>2567</v>
      </c>
      <c r="C2340" s="104" t="s">
        <v>12</v>
      </c>
      <c r="D2340" s="129" t="s">
        <v>21808</v>
      </c>
    </row>
    <row r="2341" spans="1:4">
      <c r="A2341" s="105">
        <v>102011</v>
      </c>
      <c r="B2341" s="104" t="s">
        <v>2568</v>
      </c>
      <c r="C2341" s="104" t="s">
        <v>12</v>
      </c>
      <c r="D2341" s="129" t="s">
        <v>21809</v>
      </c>
    </row>
    <row r="2342" spans="1:4">
      <c r="A2342" s="105">
        <v>102012</v>
      </c>
      <c r="B2342" s="104" t="s">
        <v>2569</v>
      </c>
      <c r="C2342" s="104" t="s">
        <v>12</v>
      </c>
      <c r="D2342" s="129" t="s">
        <v>21810</v>
      </c>
    </row>
    <row r="2343" spans="1:4">
      <c r="A2343" s="105">
        <v>102013</v>
      </c>
      <c r="B2343" s="104" t="s">
        <v>2570</v>
      </c>
      <c r="C2343" s="104" t="s">
        <v>12</v>
      </c>
      <c r="D2343" s="129" t="s">
        <v>21811</v>
      </c>
    </row>
    <row r="2344" spans="1:4">
      <c r="A2344" s="105">
        <v>102014</v>
      </c>
      <c r="B2344" s="104" t="s">
        <v>2571</v>
      </c>
      <c r="C2344" s="104" t="s">
        <v>12</v>
      </c>
      <c r="D2344" s="129" t="s">
        <v>21812</v>
      </c>
    </row>
    <row r="2345" spans="1:4">
      <c r="A2345" s="105">
        <v>102015</v>
      </c>
      <c r="B2345" s="104" t="s">
        <v>2572</v>
      </c>
      <c r="C2345" s="104" t="s">
        <v>12</v>
      </c>
      <c r="D2345" s="129" t="s">
        <v>21813</v>
      </c>
    </row>
    <row r="2346" spans="1:4">
      <c r="A2346" s="105">
        <v>102016</v>
      </c>
      <c r="B2346" s="104" t="s">
        <v>2573</v>
      </c>
      <c r="C2346" s="104" t="s">
        <v>12</v>
      </c>
      <c r="D2346" s="129" t="s">
        <v>18828</v>
      </c>
    </row>
    <row r="2347" spans="1:4">
      <c r="A2347" s="105">
        <v>102017</v>
      </c>
      <c r="B2347" s="104" t="s">
        <v>2574</v>
      </c>
      <c r="C2347" s="104" t="s">
        <v>12</v>
      </c>
      <c r="D2347" s="129" t="s">
        <v>21814</v>
      </c>
    </row>
    <row r="2348" spans="1:4">
      <c r="A2348" s="105">
        <v>102036</v>
      </c>
      <c r="B2348" s="104" t="s">
        <v>2575</v>
      </c>
      <c r="C2348" s="104" t="s">
        <v>12</v>
      </c>
      <c r="D2348" s="129" t="s">
        <v>21109</v>
      </c>
    </row>
    <row r="2349" spans="1:4">
      <c r="A2349" s="105">
        <v>102037</v>
      </c>
      <c r="B2349" s="104" t="s">
        <v>2576</v>
      </c>
      <c r="C2349" s="104" t="s">
        <v>12</v>
      </c>
      <c r="D2349" s="129" t="s">
        <v>21815</v>
      </c>
    </row>
    <row r="2350" spans="1:4">
      <c r="A2350" s="105">
        <v>102038</v>
      </c>
      <c r="B2350" s="104" t="s">
        <v>2577</v>
      </c>
      <c r="C2350" s="104" t="s">
        <v>12</v>
      </c>
      <c r="D2350" s="129" t="s">
        <v>21816</v>
      </c>
    </row>
    <row r="2351" spans="1:4">
      <c r="A2351" s="105">
        <v>102039</v>
      </c>
      <c r="B2351" s="104" t="s">
        <v>2578</v>
      </c>
      <c r="C2351" s="104" t="s">
        <v>12</v>
      </c>
      <c r="D2351" s="129" t="s">
        <v>21817</v>
      </c>
    </row>
    <row r="2352" spans="1:4">
      <c r="A2352" s="105">
        <v>102040</v>
      </c>
      <c r="B2352" s="104" t="s">
        <v>2579</v>
      </c>
      <c r="C2352" s="104" t="s">
        <v>12</v>
      </c>
      <c r="D2352" s="129" t="s">
        <v>21818</v>
      </c>
    </row>
    <row r="2353" spans="1:4">
      <c r="A2353" s="105">
        <v>102041</v>
      </c>
      <c r="B2353" s="104" t="s">
        <v>2580</v>
      </c>
      <c r="C2353" s="104" t="s">
        <v>12</v>
      </c>
      <c r="D2353" s="129" t="s">
        <v>21819</v>
      </c>
    </row>
    <row r="2354" spans="1:4">
      <c r="A2354" s="105">
        <v>102042</v>
      </c>
      <c r="B2354" s="104" t="s">
        <v>2581</v>
      </c>
      <c r="C2354" s="104" t="s">
        <v>12</v>
      </c>
      <c r="D2354" s="129" t="s">
        <v>21820</v>
      </c>
    </row>
    <row r="2355" spans="1:4">
      <c r="A2355" s="105">
        <v>102043</v>
      </c>
      <c r="B2355" s="104" t="s">
        <v>2582</v>
      </c>
      <c r="C2355" s="104" t="s">
        <v>12</v>
      </c>
      <c r="D2355" s="129" t="s">
        <v>21821</v>
      </c>
    </row>
    <row r="2356" spans="1:4">
      <c r="A2356" s="105">
        <v>102044</v>
      </c>
      <c r="B2356" s="104" t="s">
        <v>2583</v>
      </c>
      <c r="C2356" s="104" t="s">
        <v>12</v>
      </c>
      <c r="D2356" s="129" t="s">
        <v>21822</v>
      </c>
    </row>
    <row r="2357" spans="1:4">
      <c r="A2357" s="105">
        <v>102045</v>
      </c>
      <c r="B2357" s="104" t="s">
        <v>2584</v>
      </c>
      <c r="C2357" s="104" t="s">
        <v>12</v>
      </c>
      <c r="D2357" s="129" t="s">
        <v>21823</v>
      </c>
    </row>
    <row r="2358" spans="1:4">
      <c r="A2358" s="105">
        <v>102046</v>
      </c>
      <c r="B2358" s="104" t="s">
        <v>2585</v>
      </c>
      <c r="C2358" s="104" t="s">
        <v>12</v>
      </c>
      <c r="D2358" s="129" t="s">
        <v>21824</v>
      </c>
    </row>
    <row r="2359" spans="1:4">
      <c r="A2359" s="105">
        <v>102047</v>
      </c>
      <c r="B2359" s="104" t="s">
        <v>2586</v>
      </c>
      <c r="C2359" s="104" t="s">
        <v>12</v>
      </c>
      <c r="D2359" s="129" t="s">
        <v>21825</v>
      </c>
    </row>
    <row r="2360" spans="1:4">
      <c r="A2360" s="105">
        <v>102048</v>
      </c>
      <c r="B2360" s="104" t="s">
        <v>2587</v>
      </c>
      <c r="C2360" s="104" t="s">
        <v>12</v>
      </c>
      <c r="D2360" s="129" t="s">
        <v>21826</v>
      </c>
    </row>
    <row r="2361" spans="1:4">
      <c r="A2361" s="105">
        <v>102049</v>
      </c>
      <c r="B2361" s="104" t="s">
        <v>2588</v>
      </c>
      <c r="C2361" s="104" t="s">
        <v>12</v>
      </c>
      <c r="D2361" s="129" t="s">
        <v>21827</v>
      </c>
    </row>
    <row r="2362" spans="1:4">
      <c r="A2362" s="105">
        <v>102050</v>
      </c>
      <c r="B2362" s="104" t="s">
        <v>2589</v>
      </c>
      <c r="C2362" s="104" t="s">
        <v>12</v>
      </c>
      <c r="D2362" s="129" t="s">
        <v>21828</v>
      </c>
    </row>
    <row r="2363" spans="1:4">
      <c r="A2363" s="105">
        <v>102051</v>
      </c>
      <c r="B2363" s="104" t="s">
        <v>2590</v>
      </c>
      <c r="C2363" s="104" t="s">
        <v>12</v>
      </c>
      <c r="D2363" s="129" t="s">
        <v>21829</v>
      </c>
    </row>
    <row r="2364" spans="1:4">
      <c r="A2364" s="105">
        <v>102052</v>
      </c>
      <c r="B2364" s="104" t="s">
        <v>2591</v>
      </c>
      <c r="C2364" s="104" t="s">
        <v>12</v>
      </c>
      <c r="D2364" s="129" t="s">
        <v>21830</v>
      </c>
    </row>
    <row r="2365" spans="1:4">
      <c r="A2365" s="105">
        <v>102059</v>
      </c>
      <c r="B2365" s="104" t="s">
        <v>2592</v>
      </c>
      <c r="C2365" s="104" t="s">
        <v>12</v>
      </c>
      <c r="D2365" s="129" t="s">
        <v>21831</v>
      </c>
    </row>
    <row r="2366" spans="1:4">
      <c r="A2366" s="105">
        <v>102060</v>
      </c>
      <c r="B2366" s="104" t="s">
        <v>2593</v>
      </c>
      <c r="C2366" s="104" t="s">
        <v>12</v>
      </c>
      <c r="D2366" s="129" t="s">
        <v>21832</v>
      </c>
    </row>
    <row r="2367" spans="1:4">
      <c r="A2367" s="105">
        <v>102061</v>
      </c>
      <c r="B2367" s="104" t="s">
        <v>2594</v>
      </c>
      <c r="C2367" s="104" t="s">
        <v>12</v>
      </c>
      <c r="D2367" s="129" t="s">
        <v>21833</v>
      </c>
    </row>
    <row r="2368" spans="1:4">
      <c r="A2368" s="105">
        <v>102062</v>
      </c>
      <c r="B2368" s="104" t="s">
        <v>2595</v>
      </c>
      <c r="C2368" s="104" t="s">
        <v>12</v>
      </c>
      <c r="D2368" s="129" t="s">
        <v>21834</v>
      </c>
    </row>
    <row r="2369" spans="1:4">
      <c r="A2369" s="105">
        <v>102063</v>
      </c>
      <c r="B2369" s="104" t="s">
        <v>2596</v>
      </c>
      <c r="C2369" s="104" t="s">
        <v>12</v>
      </c>
      <c r="D2369" s="129" t="s">
        <v>21835</v>
      </c>
    </row>
    <row r="2370" spans="1:4">
      <c r="A2370" s="105">
        <v>102064</v>
      </c>
      <c r="B2370" s="104" t="s">
        <v>2597</v>
      </c>
      <c r="C2370" s="104" t="s">
        <v>12</v>
      </c>
      <c r="D2370" s="129" t="s">
        <v>21836</v>
      </c>
    </row>
    <row r="2371" spans="1:4">
      <c r="A2371" s="105">
        <v>102065</v>
      </c>
      <c r="B2371" s="104" t="s">
        <v>2598</v>
      </c>
      <c r="C2371" s="104" t="s">
        <v>12</v>
      </c>
      <c r="D2371" s="129" t="s">
        <v>21837</v>
      </c>
    </row>
    <row r="2372" spans="1:4">
      <c r="A2372" s="105">
        <v>102066</v>
      </c>
      <c r="B2372" s="104" t="s">
        <v>2599</v>
      </c>
      <c r="C2372" s="104" t="s">
        <v>12</v>
      </c>
      <c r="D2372" s="129" t="s">
        <v>21838</v>
      </c>
    </row>
    <row r="2373" spans="1:4">
      <c r="A2373" s="105">
        <v>102067</v>
      </c>
      <c r="B2373" s="104" t="s">
        <v>2600</v>
      </c>
      <c r="C2373" s="104" t="s">
        <v>12</v>
      </c>
      <c r="D2373" s="129" t="s">
        <v>21839</v>
      </c>
    </row>
    <row r="2374" spans="1:4">
      <c r="A2374" s="105">
        <v>102068</v>
      </c>
      <c r="B2374" s="104" t="s">
        <v>2601</v>
      </c>
      <c r="C2374" s="104" t="s">
        <v>12</v>
      </c>
      <c r="D2374" s="129" t="s">
        <v>21840</v>
      </c>
    </row>
    <row r="2375" spans="1:4">
      <c r="A2375" s="105">
        <v>102069</v>
      </c>
      <c r="B2375" s="104" t="s">
        <v>2602</v>
      </c>
      <c r="C2375" s="104" t="s">
        <v>12</v>
      </c>
      <c r="D2375" s="129" t="s">
        <v>21841</v>
      </c>
    </row>
    <row r="2376" spans="1:4">
      <c r="A2376" s="105">
        <v>102070</v>
      </c>
      <c r="B2376" s="104" t="s">
        <v>2603</v>
      </c>
      <c r="C2376" s="104" t="s">
        <v>12</v>
      </c>
      <c r="D2376" s="129" t="s">
        <v>21842</v>
      </c>
    </row>
    <row r="2377" spans="1:4">
      <c r="A2377" s="105">
        <v>102071</v>
      </c>
      <c r="B2377" s="104" t="s">
        <v>2604</v>
      </c>
      <c r="C2377" s="104" t="s">
        <v>12</v>
      </c>
      <c r="D2377" s="129" t="s">
        <v>21843</v>
      </c>
    </row>
    <row r="2378" spans="1:4">
      <c r="A2378" s="105">
        <v>102072</v>
      </c>
      <c r="B2378" s="104" t="s">
        <v>2605</v>
      </c>
      <c r="C2378" s="104" t="s">
        <v>12</v>
      </c>
      <c r="D2378" s="129" t="s">
        <v>21844</v>
      </c>
    </row>
    <row r="2379" spans="1:4">
      <c r="A2379" s="105">
        <v>102073</v>
      </c>
      <c r="B2379" s="104" t="s">
        <v>2606</v>
      </c>
      <c r="C2379" s="104" t="s">
        <v>28</v>
      </c>
      <c r="D2379" s="129" t="s">
        <v>21845</v>
      </c>
    </row>
    <row r="2380" spans="1:4">
      <c r="A2380" s="105">
        <v>102074</v>
      </c>
      <c r="B2380" s="104" t="s">
        <v>2607</v>
      </c>
      <c r="C2380" s="104" t="s">
        <v>28</v>
      </c>
      <c r="D2380" s="129" t="s">
        <v>21846</v>
      </c>
    </row>
    <row r="2381" spans="1:4">
      <c r="A2381" s="105">
        <v>102075</v>
      </c>
      <c r="B2381" s="104" t="s">
        <v>2608</v>
      </c>
      <c r="C2381" s="104" t="s">
        <v>28</v>
      </c>
      <c r="D2381" s="129" t="s">
        <v>21847</v>
      </c>
    </row>
    <row r="2382" spans="1:4">
      <c r="A2382" s="105">
        <v>102076</v>
      </c>
      <c r="B2382" s="104" t="s">
        <v>2609</v>
      </c>
      <c r="C2382" s="104" t="s">
        <v>28</v>
      </c>
      <c r="D2382" s="129" t="s">
        <v>21848</v>
      </c>
    </row>
    <row r="2383" spans="1:4">
      <c r="A2383" s="105">
        <v>102077</v>
      </c>
      <c r="B2383" s="104" t="s">
        <v>2610</v>
      </c>
      <c r="C2383" s="104" t="s">
        <v>28</v>
      </c>
      <c r="D2383" s="129" t="s">
        <v>21849</v>
      </c>
    </row>
    <row r="2384" spans="1:4">
      <c r="A2384" s="105">
        <v>102078</v>
      </c>
      <c r="B2384" s="104" t="s">
        <v>2611</v>
      </c>
      <c r="C2384" s="104" t="s">
        <v>28</v>
      </c>
      <c r="D2384" s="129" t="s">
        <v>21850</v>
      </c>
    </row>
    <row r="2385" spans="1:4">
      <c r="A2385" s="105">
        <v>102079</v>
      </c>
      <c r="B2385" s="104" t="s">
        <v>2612</v>
      </c>
      <c r="C2385" s="104" t="s">
        <v>28</v>
      </c>
      <c r="D2385" s="129" t="s">
        <v>21851</v>
      </c>
    </row>
    <row r="2386" spans="1:4">
      <c r="A2386" s="105">
        <v>102080</v>
      </c>
      <c r="B2386" s="104" t="s">
        <v>2613</v>
      </c>
      <c r="C2386" s="104" t="s">
        <v>28</v>
      </c>
      <c r="D2386" s="129" t="s">
        <v>21852</v>
      </c>
    </row>
    <row r="2387" spans="1:4">
      <c r="A2387" s="105">
        <v>102086</v>
      </c>
      <c r="B2387" s="104" t="s">
        <v>2614</v>
      </c>
      <c r="C2387" s="104" t="s">
        <v>12</v>
      </c>
      <c r="D2387" s="129" t="s">
        <v>21853</v>
      </c>
    </row>
    <row r="2388" spans="1:4">
      <c r="A2388" s="105">
        <v>102087</v>
      </c>
      <c r="B2388" s="104" t="s">
        <v>2615</v>
      </c>
      <c r="C2388" s="104" t="s">
        <v>12</v>
      </c>
      <c r="D2388" s="129" t="s">
        <v>21854</v>
      </c>
    </row>
    <row r="2389" spans="1:4">
      <c r="A2389" s="105">
        <v>102088</v>
      </c>
      <c r="B2389" s="104" t="s">
        <v>2616</v>
      </c>
      <c r="C2389" s="104" t="s">
        <v>12</v>
      </c>
      <c r="D2389" s="129" t="s">
        <v>21855</v>
      </c>
    </row>
    <row r="2390" spans="1:4">
      <c r="A2390" s="105">
        <v>102089</v>
      </c>
      <c r="B2390" s="104" t="s">
        <v>2617</v>
      </c>
      <c r="C2390" s="104" t="s">
        <v>12</v>
      </c>
      <c r="D2390" s="129" t="s">
        <v>21856</v>
      </c>
    </row>
    <row r="2391" spans="1:4">
      <c r="A2391" s="105">
        <v>102090</v>
      </c>
      <c r="B2391" s="104" t="s">
        <v>2618</v>
      </c>
      <c r="C2391" s="104" t="s">
        <v>12</v>
      </c>
      <c r="D2391" s="129" t="s">
        <v>16059</v>
      </c>
    </row>
    <row r="2392" spans="1:4">
      <c r="A2392" s="105">
        <v>102091</v>
      </c>
      <c r="B2392" s="104" t="s">
        <v>2619</v>
      </c>
      <c r="C2392" s="104" t="s">
        <v>12</v>
      </c>
      <c r="D2392" s="129" t="s">
        <v>21857</v>
      </c>
    </row>
    <row r="2393" spans="1:4">
      <c r="A2393" s="105">
        <v>89996</v>
      </c>
      <c r="B2393" s="104" t="s">
        <v>12840</v>
      </c>
      <c r="C2393" s="104" t="s">
        <v>41</v>
      </c>
      <c r="D2393" s="129" t="s">
        <v>17241</v>
      </c>
    </row>
    <row r="2394" spans="1:4">
      <c r="A2394" s="105">
        <v>89997</v>
      </c>
      <c r="B2394" s="104" t="s">
        <v>12841</v>
      </c>
      <c r="C2394" s="104" t="s">
        <v>41</v>
      </c>
      <c r="D2394" s="129" t="s">
        <v>18174</v>
      </c>
    </row>
    <row r="2395" spans="1:4">
      <c r="A2395" s="105">
        <v>89998</v>
      </c>
      <c r="B2395" s="104" t="s">
        <v>12842</v>
      </c>
      <c r="C2395" s="104" t="s">
        <v>41</v>
      </c>
      <c r="D2395" s="129" t="s">
        <v>21858</v>
      </c>
    </row>
    <row r="2396" spans="1:4">
      <c r="A2396" s="105">
        <v>89999</v>
      </c>
      <c r="B2396" s="104" t="s">
        <v>12843</v>
      </c>
      <c r="C2396" s="104" t="s">
        <v>41</v>
      </c>
      <c r="D2396" s="129" t="s">
        <v>17145</v>
      </c>
    </row>
    <row r="2397" spans="1:4">
      <c r="A2397" s="105">
        <v>90000</v>
      </c>
      <c r="B2397" s="104" t="s">
        <v>12844</v>
      </c>
      <c r="C2397" s="104" t="s">
        <v>41</v>
      </c>
      <c r="D2397" s="129" t="s">
        <v>16944</v>
      </c>
    </row>
    <row r="2398" spans="1:4">
      <c r="A2398" s="105">
        <v>91593</v>
      </c>
      <c r="B2398" s="104" t="s">
        <v>2620</v>
      </c>
      <c r="C2398" s="104" t="s">
        <v>41</v>
      </c>
      <c r="D2398" s="129" t="s">
        <v>17489</v>
      </c>
    </row>
    <row r="2399" spans="1:4">
      <c r="A2399" s="105">
        <v>91594</v>
      </c>
      <c r="B2399" s="104" t="s">
        <v>2621</v>
      </c>
      <c r="C2399" s="104" t="s">
        <v>41</v>
      </c>
      <c r="D2399" s="129" t="s">
        <v>16893</v>
      </c>
    </row>
    <row r="2400" spans="1:4">
      <c r="A2400" s="105">
        <v>91595</v>
      </c>
      <c r="B2400" s="104" t="s">
        <v>2622</v>
      </c>
      <c r="C2400" s="104" t="s">
        <v>41</v>
      </c>
      <c r="D2400" s="129" t="s">
        <v>16390</v>
      </c>
    </row>
    <row r="2401" spans="1:4">
      <c r="A2401" s="105">
        <v>91596</v>
      </c>
      <c r="B2401" s="104" t="s">
        <v>2623</v>
      </c>
      <c r="C2401" s="104" t="s">
        <v>41</v>
      </c>
      <c r="D2401" s="129" t="s">
        <v>15749</v>
      </c>
    </row>
    <row r="2402" spans="1:4">
      <c r="A2402" s="105">
        <v>91597</v>
      </c>
      <c r="B2402" s="104" t="s">
        <v>2624</v>
      </c>
      <c r="C2402" s="104" t="s">
        <v>41</v>
      </c>
      <c r="D2402" s="129" t="s">
        <v>21859</v>
      </c>
    </row>
    <row r="2403" spans="1:4">
      <c r="A2403" s="105">
        <v>91598</v>
      </c>
      <c r="B2403" s="104" t="s">
        <v>2625</v>
      </c>
      <c r="C2403" s="104" t="s">
        <v>41</v>
      </c>
      <c r="D2403" s="129" t="s">
        <v>18162</v>
      </c>
    </row>
    <row r="2404" spans="1:4">
      <c r="A2404" s="105">
        <v>91599</v>
      </c>
      <c r="B2404" s="104" t="s">
        <v>2626</v>
      </c>
      <c r="C2404" s="104" t="s">
        <v>41</v>
      </c>
      <c r="D2404" s="129" t="s">
        <v>16905</v>
      </c>
    </row>
    <row r="2405" spans="1:4">
      <c r="A2405" s="105">
        <v>91600</v>
      </c>
      <c r="B2405" s="104" t="s">
        <v>2627</v>
      </c>
      <c r="C2405" s="104" t="s">
        <v>41</v>
      </c>
      <c r="D2405" s="129" t="s">
        <v>20365</v>
      </c>
    </row>
    <row r="2406" spans="1:4">
      <c r="A2406" s="105">
        <v>91601</v>
      </c>
      <c r="B2406" s="104" t="s">
        <v>2628</v>
      </c>
      <c r="C2406" s="104" t="s">
        <v>41</v>
      </c>
      <c r="D2406" s="129" t="s">
        <v>17203</v>
      </c>
    </row>
    <row r="2407" spans="1:4">
      <c r="A2407" s="105">
        <v>91602</v>
      </c>
      <c r="B2407" s="104" t="s">
        <v>2629</v>
      </c>
      <c r="C2407" s="104" t="s">
        <v>41</v>
      </c>
      <c r="D2407" s="129" t="s">
        <v>15568</v>
      </c>
    </row>
    <row r="2408" spans="1:4">
      <c r="A2408" s="105">
        <v>91603</v>
      </c>
      <c r="B2408" s="104" t="s">
        <v>2630</v>
      </c>
      <c r="C2408" s="104" t="s">
        <v>41</v>
      </c>
      <c r="D2408" s="129" t="s">
        <v>16918</v>
      </c>
    </row>
    <row r="2409" spans="1:4">
      <c r="A2409" s="105">
        <v>92759</v>
      </c>
      <c r="B2409" s="104" t="s">
        <v>298</v>
      </c>
      <c r="C2409" s="104" t="s">
        <v>41</v>
      </c>
      <c r="D2409" s="129" t="s">
        <v>18412</v>
      </c>
    </row>
    <row r="2410" spans="1:4">
      <c r="A2410" s="105">
        <v>92760</v>
      </c>
      <c r="B2410" s="104" t="s">
        <v>2631</v>
      </c>
      <c r="C2410" s="104" t="s">
        <v>41</v>
      </c>
      <c r="D2410" s="129" t="s">
        <v>16089</v>
      </c>
    </row>
    <row r="2411" spans="1:4">
      <c r="A2411" s="105">
        <v>92761</v>
      </c>
      <c r="B2411" s="104" t="s">
        <v>2632</v>
      </c>
      <c r="C2411" s="104" t="s">
        <v>41</v>
      </c>
      <c r="D2411" s="129" t="s">
        <v>16799</v>
      </c>
    </row>
    <row r="2412" spans="1:4">
      <c r="A2412" s="105">
        <v>92762</v>
      </c>
      <c r="B2412" s="104" t="s">
        <v>299</v>
      </c>
      <c r="C2412" s="104" t="s">
        <v>41</v>
      </c>
      <c r="D2412" s="129" t="s">
        <v>19235</v>
      </c>
    </row>
    <row r="2413" spans="1:4">
      <c r="A2413" s="105">
        <v>92763</v>
      </c>
      <c r="B2413" s="104" t="s">
        <v>300</v>
      </c>
      <c r="C2413" s="104" t="s">
        <v>41</v>
      </c>
      <c r="D2413" s="129" t="s">
        <v>21860</v>
      </c>
    </row>
    <row r="2414" spans="1:4">
      <c r="A2414" s="105">
        <v>92764</v>
      </c>
      <c r="B2414" s="104" t="s">
        <v>2633</v>
      </c>
      <c r="C2414" s="104" t="s">
        <v>41</v>
      </c>
      <c r="D2414" s="129" t="s">
        <v>17149</v>
      </c>
    </row>
    <row r="2415" spans="1:4">
      <c r="A2415" s="105">
        <v>92765</v>
      </c>
      <c r="B2415" s="104" t="s">
        <v>2634</v>
      </c>
      <c r="C2415" s="104" t="s">
        <v>41</v>
      </c>
      <c r="D2415" s="129" t="s">
        <v>16924</v>
      </c>
    </row>
    <row r="2416" spans="1:4">
      <c r="A2416" s="105">
        <v>92766</v>
      </c>
      <c r="B2416" s="104" t="s">
        <v>2635</v>
      </c>
      <c r="C2416" s="104" t="s">
        <v>41</v>
      </c>
      <c r="D2416" s="129" t="s">
        <v>21861</v>
      </c>
    </row>
    <row r="2417" spans="1:4">
      <c r="A2417" s="105">
        <v>92767</v>
      </c>
      <c r="B2417" s="104" t="s">
        <v>2636</v>
      </c>
      <c r="C2417" s="104" t="s">
        <v>41</v>
      </c>
      <c r="D2417" s="129" t="s">
        <v>16948</v>
      </c>
    </row>
    <row r="2418" spans="1:4">
      <c r="A2418" s="105">
        <v>92768</v>
      </c>
      <c r="B2418" s="104" t="s">
        <v>2637</v>
      </c>
      <c r="C2418" s="104" t="s">
        <v>41</v>
      </c>
      <c r="D2418" s="129" t="s">
        <v>15397</v>
      </c>
    </row>
    <row r="2419" spans="1:4">
      <c r="A2419" s="105">
        <v>92769</v>
      </c>
      <c r="B2419" s="104" t="s">
        <v>2638</v>
      </c>
      <c r="C2419" s="104" t="s">
        <v>41</v>
      </c>
      <c r="D2419" s="129" t="s">
        <v>19082</v>
      </c>
    </row>
    <row r="2420" spans="1:4">
      <c r="A2420" s="105">
        <v>92770</v>
      </c>
      <c r="B2420" s="104" t="s">
        <v>2639</v>
      </c>
      <c r="C2420" s="104" t="s">
        <v>41</v>
      </c>
      <c r="D2420" s="129" t="s">
        <v>15697</v>
      </c>
    </row>
    <row r="2421" spans="1:4">
      <c r="A2421" s="105">
        <v>92771</v>
      </c>
      <c r="B2421" s="104" t="s">
        <v>2640</v>
      </c>
      <c r="C2421" s="104" t="s">
        <v>41</v>
      </c>
      <c r="D2421" s="129" t="s">
        <v>21862</v>
      </c>
    </row>
    <row r="2422" spans="1:4">
      <c r="A2422" s="105">
        <v>92772</v>
      </c>
      <c r="B2422" s="104" t="s">
        <v>2641</v>
      </c>
      <c r="C2422" s="104" t="s">
        <v>41</v>
      </c>
      <c r="D2422" s="129" t="s">
        <v>21863</v>
      </c>
    </row>
    <row r="2423" spans="1:4">
      <c r="A2423" s="105">
        <v>92773</v>
      </c>
      <c r="B2423" s="104" t="s">
        <v>2642</v>
      </c>
      <c r="C2423" s="104" t="s">
        <v>41</v>
      </c>
      <c r="D2423" s="129" t="s">
        <v>21864</v>
      </c>
    </row>
    <row r="2424" spans="1:4">
      <c r="A2424" s="105">
        <v>92774</v>
      </c>
      <c r="B2424" s="104" t="s">
        <v>2643</v>
      </c>
      <c r="C2424" s="104" t="s">
        <v>41</v>
      </c>
      <c r="D2424" s="129" t="s">
        <v>16937</v>
      </c>
    </row>
    <row r="2425" spans="1:4">
      <c r="A2425" s="105">
        <v>92775</v>
      </c>
      <c r="B2425" s="104" t="s">
        <v>2644</v>
      </c>
      <c r="C2425" s="104" t="s">
        <v>41</v>
      </c>
      <c r="D2425" s="129" t="s">
        <v>19210</v>
      </c>
    </row>
    <row r="2426" spans="1:4">
      <c r="A2426" s="105">
        <v>92776</v>
      </c>
      <c r="B2426" s="104" t="s">
        <v>2645</v>
      </c>
      <c r="C2426" s="104" t="s">
        <v>41</v>
      </c>
      <c r="D2426" s="129" t="s">
        <v>19625</v>
      </c>
    </row>
    <row r="2427" spans="1:4">
      <c r="A2427" s="105">
        <v>92777</v>
      </c>
      <c r="B2427" s="104" t="s">
        <v>2646</v>
      </c>
      <c r="C2427" s="104" t="s">
        <v>41</v>
      </c>
      <c r="D2427" s="129" t="s">
        <v>18264</v>
      </c>
    </row>
    <row r="2428" spans="1:4">
      <c r="A2428" s="105">
        <v>92778</v>
      </c>
      <c r="B2428" s="104" t="s">
        <v>2647</v>
      </c>
      <c r="C2428" s="104" t="s">
        <v>41</v>
      </c>
      <c r="D2428" s="129" t="s">
        <v>20297</v>
      </c>
    </row>
    <row r="2429" spans="1:4">
      <c r="A2429" s="105">
        <v>92779</v>
      </c>
      <c r="B2429" s="104" t="s">
        <v>2648</v>
      </c>
      <c r="C2429" s="104" t="s">
        <v>41</v>
      </c>
      <c r="D2429" s="129" t="s">
        <v>18626</v>
      </c>
    </row>
    <row r="2430" spans="1:4">
      <c r="A2430" s="105">
        <v>92780</v>
      </c>
      <c r="B2430" s="104" t="s">
        <v>2649</v>
      </c>
      <c r="C2430" s="104" t="s">
        <v>41</v>
      </c>
      <c r="D2430" s="129" t="s">
        <v>21865</v>
      </c>
    </row>
    <row r="2431" spans="1:4">
      <c r="A2431" s="105">
        <v>92781</v>
      </c>
      <c r="B2431" s="104" t="s">
        <v>2650</v>
      </c>
      <c r="C2431" s="104" t="s">
        <v>41</v>
      </c>
      <c r="D2431" s="129" t="s">
        <v>21866</v>
      </c>
    </row>
    <row r="2432" spans="1:4">
      <c r="A2432" s="105">
        <v>92782</v>
      </c>
      <c r="B2432" s="104" t="s">
        <v>2651</v>
      </c>
      <c r="C2432" s="104" t="s">
        <v>41</v>
      </c>
      <c r="D2432" s="129" t="s">
        <v>19191</v>
      </c>
    </row>
    <row r="2433" spans="1:4">
      <c r="A2433" s="105">
        <v>92783</v>
      </c>
      <c r="B2433" s="104" t="s">
        <v>2652</v>
      </c>
      <c r="C2433" s="104" t="s">
        <v>41</v>
      </c>
      <c r="D2433" s="129" t="s">
        <v>21867</v>
      </c>
    </row>
    <row r="2434" spans="1:4">
      <c r="A2434" s="105">
        <v>92784</v>
      </c>
      <c r="B2434" s="104" t="s">
        <v>2653</v>
      </c>
      <c r="C2434" s="104" t="s">
        <v>41</v>
      </c>
      <c r="D2434" s="129" t="s">
        <v>16088</v>
      </c>
    </row>
    <row r="2435" spans="1:4">
      <c r="A2435" s="105">
        <v>92785</v>
      </c>
      <c r="B2435" s="104" t="s">
        <v>2654</v>
      </c>
      <c r="C2435" s="104" t="s">
        <v>41</v>
      </c>
      <c r="D2435" s="129" t="s">
        <v>21868</v>
      </c>
    </row>
    <row r="2436" spans="1:4">
      <c r="A2436" s="105">
        <v>92786</v>
      </c>
      <c r="B2436" s="104" t="s">
        <v>2655</v>
      </c>
      <c r="C2436" s="104" t="s">
        <v>41</v>
      </c>
      <c r="D2436" s="129" t="s">
        <v>20117</v>
      </c>
    </row>
    <row r="2437" spans="1:4">
      <c r="A2437" s="105">
        <v>92787</v>
      </c>
      <c r="B2437" s="104" t="s">
        <v>2656</v>
      </c>
      <c r="C2437" s="104" t="s">
        <v>41</v>
      </c>
      <c r="D2437" s="129" t="s">
        <v>16961</v>
      </c>
    </row>
    <row r="2438" spans="1:4">
      <c r="A2438" s="105">
        <v>92788</v>
      </c>
      <c r="B2438" s="104" t="s">
        <v>2657</v>
      </c>
      <c r="C2438" s="104" t="s">
        <v>41</v>
      </c>
      <c r="D2438" s="129" t="s">
        <v>21869</v>
      </c>
    </row>
    <row r="2439" spans="1:4">
      <c r="A2439" s="105">
        <v>92789</v>
      </c>
      <c r="B2439" s="104" t="s">
        <v>2658</v>
      </c>
      <c r="C2439" s="104" t="s">
        <v>41</v>
      </c>
      <c r="D2439" s="129" t="s">
        <v>17149</v>
      </c>
    </row>
    <row r="2440" spans="1:4">
      <c r="A2440" s="105">
        <v>92790</v>
      </c>
      <c r="B2440" s="104" t="s">
        <v>2659</v>
      </c>
      <c r="C2440" s="104" t="s">
        <v>41</v>
      </c>
      <c r="D2440" s="129" t="s">
        <v>21870</v>
      </c>
    </row>
    <row r="2441" spans="1:4">
      <c r="A2441" s="105">
        <v>92791</v>
      </c>
      <c r="B2441" s="104" t="s">
        <v>2660</v>
      </c>
      <c r="C2441" s="104" t="s">
        <v>41</v>
      </c>
      <c r="D2441" s="129" t="s">
        <v>17282</v>
      </c>
    </row>
    <row r="2442" spans="1:4">
      <c r="A2442" s="105">
        <v>92792</v>
      </c>
      <c r="B2442" s="104" t="s">
        <v>2661</v>
      </c>
      <c r="C2442" s="104" t="s">
        <v>41</v>
      </c>
      <c r="D2442" s="129" t="s">
        <v>14742</v>
      </c>
    </row>
    <row r="2443" spans="1:4">
      <c r="A2443" s="105">
        <v>92793</v>
      </c>
      <c r="B2443" s="104" t="s">
        <v>2662</v>
      </c>
      <c r="C2443" s="104" t="s">
        <v>41</v>
      </c>
      <c r="D2443" s="129" t="s">
        <v>16926</v>
      </c>
    </row>
    <row r="2444" spans="1:4">
      <c r="A2444" s="105">
        <v>92794</v>
      </c>
      <c r="B2444" s="104" t="s">
        <v>2663</v>
      </c>
      <c r="C2444" s="104" t="s">
        <v>41</v>
      </c>
      <c r="D2444" s="129" t="s">
        <v>21858</v>
      </c>
    </row>
    <row r="2445" spans="1:4">
      <c r="A2445" s="105">
        <v>92795</v>
      </c>
      <c r="B2445" s="104" t="s">
        <v>2664</v>
      </c>
      <c r="C2445" s="104" t="s">
        <v>41</v>
      </c>
      <c r="D2445" s="129" t="s">
        <v>18100</v>
      </c>
    </row>
    <row r="2446" spans="1:4">
      <c r="A2446" s="105">
        <v>92796</v>
      </c>
      <c r="B2446" s="104" t="s">
        <v>2665</v>
      </c>
      <c r="C2446" s="104" t="s">
        <v>41</v>
      </c>
      <c r="D2446" s="129" t="s">
        <v>21871</v>
      </c>
    </row>
    <row r="2447" spans="1:4">
      <c r="A2447" s="105">
        <v>92797</v>
      </c>
      <c r="B2447" s="104" t="s">
        <v>2666</v>
      </c>
      <c r="C2447" s="104" t="s">
        <v>41</v>
      </c>
      <c r="D2447" s="129" t="s">
        <v>16323</v>
      </c>
    </row>
    <row r="2448" spans="1:4">
      <c r="A2448" s="105">
        <v>92798</v>
      </c>
      <c r="B2448" s="104" t="s">
        <v>2667</v>
      </c>
      <c r="C2448" s="104" t="s">
        <v>41</v>
      </c>
      <c r="D2448" s="129" t="s">
        <v>16931</v>
      </c>
    </row>
    <row r="2449" spans="1:4">
      <c r="A2449" s="105">
        <v>92799</v>
      </c>
      <c r="B2449" s="104" t="s">
        <v>2668</v>
      </c>
      <c r="C2449" s="104" t="s">
        <v>41</v>
      </c>
      <c r="D2449" s="129" t="s">
        <v>19546</v>
      </c>
    </row>
    <row r="2450" spans="1:4">
      <c r="A2450" s="105">
        <v>92800</v>
      </c>
      <c r="B2450" s="104" t="s">
        <v>2669</v>
      </c>
      <c r="C2450" s="104" t="s">
        <v>41</v>
      </c>
      <c r="D2450" s="129" t="s">
        <v>21872</v>
      </c>
    </row>
    <row r="2451" spans="1:4">
      <c r="A2451" s="105">
        <v>92801</v>
      </c>
      <c r="B2451" s="104" t="s">
        <v>2670</v>
      </c>
      <c r="C2451" s="104" t="s">
        <v>41</v>
      </c>
      <c r="D2451" s="129" t="s">
        <v>21873</v>
      </c>
    </row>
    <row r="2452" spans="1:4">
      <c r="A2452" s="105">
        <v>92802</v>
      </c>
      <c r="B2452" s="104" t="s">
        <v>2671</v>
      </c>
      <c r="C2452" s="104" t="s">
        <v>41</v>
      </c>
      <c r="D2452" s="129" t="s">
        <v>21874</v>
      </c>
    </row>
    <row r="2453" spans="1:4">
      <c r="A2453" s="105">
        <v>92803</v>
      </c>
      <c r="B2453" s="104" t="s">
        <v>2672</v>
      </c>
      <c r="C2453" s="104" t="s">
        <v>41</v>
      </c>
      <c r="D2453" s="129" t="s">
        <v>14933</v>
      </c>
    </row>
    <row r="2454" spans="1:4">
      <c r="A2454" s="105">
        <v>92804</v>
      </c>
      <c r="B2454" s="104" t="s">
        <v>2673</v>
      </c>
      <c r="C2454" s="104" t="s">
        <v>41</v>
      </c>
      <c r="D2454" s="129" t="s">
        <v>21875</v>
      </c>
    </row>
    <row r="2455" spans="1:4">
      <c r="A2455" s="105">
        <v>92805</v>
      </c>
      <c r="B2455" s="104" t="s">
        <v>2674</v>
      </c>
      <c r="C2455" s="104" t="s">
        <v>41</v>
      </c>
      <c r="D2455" s="129" t="s">
        <v>15202</v>
      </c>
    </row>
    <row r="2456" spans="1:4">
      <c r="A2456" s="105">
        <v>92806</v>
      </c>
      <c r="B2456" s="104" t="s">
        <v>2675</v>
      </c>
      <c r="C2456" s="104" t="s">
        <v>41</v>
      </c>
      <c r="D2456" s="129" t="s">
        <v>16931</v>
      </c>
    </row>
    <row r="2457" spans="1:4">
      <c r="A2457" s="105">
        <v>92875</v>
      </c>
      <c r="B2457" s="104" t="s">
        <v>2676</v>
      </c>
      <c r="C2457" s="104" t="s">
        <v>41</v>
      </c>
      <c r="D2457" s="129" t="s">
        <v>17270</v>
      </c>
    </row>
    <row r="2458" spans="1:4">
      <c r="A2458" s="105">
        <v>92876</v>
      </c>
      <c r="B2458" s="104" t="s">
        <v>2677</v>
      </c>
      <c r="C2458" s="104" t="s">
        <v>41</v>
      </c>
      <c r="D2458" s="129" t="s">
        <v>17270</v>
      </c>
    </row>
    <row r="2459" spans="1:4">
      <c r="A2459" s="105">
        <v>92877</v>
      </c>
      <c r="B2459" s="104" t="s">
        <v>2678</v>
      </c>
      <c r="C2459" s="104" t="s">
        <v>41</v>
      </c>
      <c r="D2459" s="129" t="s">
        <v>18630</v>
      </c>
    </row>
    <row r="2460" spans="1:4">
      <c r="A2460" s="105">
        <v>92878</v>
      </c>
      <c r="B2460" s="104" t="s">
        <v>2679</v>
      </c>
      <c r="C2460" s="104" t="s">
        <v>41</v>
      </c>
      <c r="D2460" s="129" t="s">
        <v>19582</v>
      </c>
    </row>
    <row r="2461" spans="1:4">
      <c r="A2461" s="105">
        <v>92879</v>
      </c>
      <c r="B2461" s="104" t="s">
        <v>2680</v>
      </c>
      <c r="C2461" s="104" t="s">
        <v>41</v>
      </c>
      <c r="D2461" s="129" t="s">
        <v>15943</v>
      </c>
    </row>
    <row r="2462" spans="1:4">
      <c r="A2462" s="105">
        <v>92880</v>
      </c>
      <c r="B2462" s="104" t="s">
        <v>2681</v>
      </c>
      <c r="C2462" s="104" t="s">
        <v>41</v>
      </c>
      <c r="D2462" s="129" t="s">
        <v>21876</v>
      </c>
    </row>
    <row r="2463" spans="1:4">
      <c r="A2463" s="105">
        <v>92881</v>
      </c>
      <c r="B2463" s="104" t="s">
        <v>2682</v>
      </c>
      <c r="C2463" s="104" t="s">
        <v>41</v>
      </c>
      <c r="D2463" s="129" t="s">
        <v>16927</v>
      </c>
    </row>
    <row r="2464" spans="1:4">
      <c r="A2464" s="105">
        <v>92882</v>
      </c>
      <c r="B2464" s="104" t="s">
        <v>2683</v>
      </c>
      <c r="C2464" s="104" t="s">
        <v>41</v>
      </c>
      <c r="D2464" s="129" t="s">
        <v>15697</v>
      </c>
    </row>
    <row r="2465" spans="1:4">
      <c r="A2465" s="105">
        <v>92883</v>
      </c>
      <c r="B2465" s="104" t="s">
        <v>2684</v>
      </c>
      <c r="C2465" s="104" t="s">
        <v>41</v>
      </c>
      <c r="D2465" s="129" t="s">
        <v>16901</v>
      </c>
    </row>
    <row r="2466" spans="1:4">
      <c r="A2466" s="105">
        <v>92884</v>
      </c>
      <c r="B2466" s="104" t="s">
        <v>2685</v>
      </c>
      <c r="C2466" s="104" t="s">
        <v>41</v>
      </c>
      <c r="D2466" s="129" t="s">
        <v>18149</v>
      </c>
    </row>
    <row r="2467" spans="1:4">
      <c r="A2467" s="105">
        <v>92885</v>
      </c>
      <c r="B2467" s="104" t="s">
        <v>2686</v>
      </c>
      <c r="C2467" s="104" t="s">
        <v>41</v>
      </c>
      <c r="D2467" s="129" t="s">
        <v>17781</v>
      </c>
    </row>
    <row r="2468" spans="1:4">
      <c r="A2468" s="105">
        <v>92886</v>
      </c>
      <c r="B2468" s="104" t="s">
        <v>2687</v>
      </c>
      <c r="C2468" s="104" t="s">
        <v>41</v>
      </c>
      <c r="D2468" s="129" t="s">
        <v>21877</v>
      </c>
    </row>
    <row r="2469" spans="1:4">
      <c r="A2469" s="105">
        <v>92887</v>
      </c>
      <c r="B2469" s="104" t="s">
        <v>2688</v>
      </c>
      <c r="C2469" s="104" t="s">
        <v>41</v>
      </c>
      <c r="D2469" s="129" t="s">
        <v>20265</v>
      </c>
    </row>
    <row r="2470" spans="1:4">
      <c r="A2470" s="105">
        <v>92888</v>
      </c>
      <c r="B2470" s="104" t="s">
        <v>2689</v>
      </c>
      <c r="C2470" s="104" t="s">
        <v>41</v>
      </c>
      <c r="D2470" s="129" t="s">
        <v>19586</v>
      </c>
    </row>
    <row r="2471" spans="1:4">
      <c r="A2471" s="105">
        <v>92915</v>
      </c>
      <c r="B2471" s="104" t="s">
        <v>2690</v>
      </c>
      <c r="C2471" s="104" t="s">
        <v>41</v>
      </c>
      <c r="D2471" s="129" t="s">
        <v>17139</v>
      </c>
    </row>
    <row r="2472" spans="1:4">
      <c r="A2472" s="105">
        <v>92916</v>
      </c>
      <c r="B2472" s="104" t="s">
        <v>2691</v>
      </c>
      <c r="C2472" s="104" t="s">
        <v>41</v>
      </c>
      <c r="D2472" s="129" t="s">
        <v>15331</v>
      </c>
    </row>
    <row r="2473" spans="1:4">
      <c r="A2473" s="105">
        <v>92917</v>
      </c>
      <c r="B2473" s="104" t="s">
        <v>2692</v>
      </c>
      <c r="C2473" s="104" t="s">
        <v>41</v>
      </c>
      <c r="D2473" s="129" t="s">
        <v>21878</v>
      </c>
    </row>
    <row r="2474" spans="1:4">
      <c r="A2474" s="105">
        <v>92919</v>
      </c>
      <c r="B2474" s="104" t="s">
        <v>2693</v>
      </c>
      <c r="C2474" s="104" t="s">
        <v>41</v>
      </c>
      <c r="D2474" s="129" t="s">
        <v>15146</v>
      </c>
    </row>
    <row r="2475" spans="1:4">
      <c r="A2475" s="105">
        <v>92921</v>
      </c>
      <c r="B2475" s="104" t="s">
        <v>2694</v>
      </c>
      <c r="C2475" s="104" t="s">
        <v>41</v>
      </c>
      <c r="D2475" s="129" t="s">
        <v>17395</v>
      </c>
    </row>
    <row r="2476" spans="1:4">
      <c r="A2476" s="105">
        <v>92922</v>
      </c>
      <c r="B2476" s="104" t="s">
        <v>2695</v>
      </c>
      <c r="C2476" s="104" t="s">
        <v>41</v>
      </c>
      <c r="D2476" s="129" t="s">
        <v>16980</v>
      </c>
    </row>
    <row r="2477" spans="1:4">
      <c r="A2477" s="105">
        <v>92923</v>
      </c>
      <c r="B2477" s="104" t="s">
        <v>2696</v>
      </c>
      <c r="C2477" s="104" t="s">
        <v>41</v>
      </c>
      <c r="D2477" s="129" t="s">
        <v>15563</v>
      </c>
    </row>
    <row r="2478" spans="1:4">
      <c r="A2478" s="105">
        <v>92924</v>
      </c>
      <c r="B2478" s="104" t="s">
        <v>2697</v>
      </c>
      <c r="C2478" s="104" t="s">
        <v>41</v>
      </c>
      <c r="D2478" s="129" t="s">
        <v>18630</v>
      </c>
    </row>
    <row r="2479" spans="1:4">
      <c r="A2479" s="105">
        <v>95445</v>
      </c>
      <c r="B2479" s="104" t="s">
        <v>12845</v>
      </c>
      <c r="C2479" s="104" t="s">
        <v>41</v>
      </c>
      <c r="D2479" s="129" t="s">
        <v>21879</v>
      </c>
    </row>
    <row r="2480" spans="1:4">
      <c r="A2480" s="105">
        <v>95446</v>
      </c>
      <c r="B2480" s="104" t="s">
        <v>12846</v>
      </c>
      <c r="C2480" s="104" t="s">
        <v>41</v>
      </c>
      <c r="D2480" s="129" t="s">
        <v>21880</v>
      </c>
    </row>
    <row r="2481" spans="1:4">
      <c r="A2481" s="105">
        <v>95448</v>
      </c>
      <c r="B2481" s="104" t="s">
        <v>2698</v>
      </c>
      <c r="C2481" s="104" t="s">
        <v>41</v>
      </c>
      <c r="D2481" s="129" t="s">
        <v>16955</v>
      </c>
    </row>
    <row r="2482" spans="1:4">
      <c r="A2482" s="105">
        <v>95576</v>
      </c>
      <c r="B2482" s="104" t="s">
        <v>12847</v>
      </c>
      <c r="C2482" s="104" t="s">
        <v>41</v>
      </c>
      <c r="D2482" s="129" t="s">
        <v>21881</v>
      </c>
    </row>
    <row r="2483" spans="1:4">
      <c r="A2483" s="105">
        <v>95577</v>
      </c>
      <c r="B2483" s="104" t="s">
        <v>12848</v>
      </c>
      <c r="C2483" s="104" t="s">
        <v>41</v>
      </c>
      <c r="D2483" s="129" t="s">
        <v>18169</v>
      </c>
    </row>
    <row r="2484" spans="1:4">
      <c r="A2484" s="105">
        <v>95578</v>
      </c>
      <c r="B2484" s="104" t="s">
        <v>12849</v>
      </c>
      <c r="C2484" s="104" t="s">
        <v>41</v>
      </c>
      <c r="D2484" s="129" t="s">
        <v>15257</v>
      </c>
    </row>
    <row r="2485" spans="1:4">
      <c r="A2485" s="105">
        <v>95579</v>
      </c>
      <c r="B2485" s="104" t="s">
        <v>12850</v>
      </c>
      <c r="C2485" s="104" t="s">
        <v>41</v>
      </c>
      <c r="D2485" s="129" t="s">
        <v>21882</v>
      </c>
    </row>
    <row r="2486" spans="1:4">
      <c r="A2486" s="105">
        <v>95580</v>
      </c>
      <c r="B2486" s="104" t="s">
        <v>12851</v>
      </c>
      <c r="C2486" s="104" t="s">
        <v>41</v>
      </c>
      <c r="D2486" s="129" t="s">
        <v>16960</v>
      </c>
    </row>
    <row r="2487" spans="1:4">
      <c r="A2487" s="105">
        <v>95581</v>
      </c>
      <c r="B2487" s="104" t="s">
        <v>12852</v>
      </c>
      <c r="C2487" s="104" t="s">
        <v>41</v>
      </c>
      <c r="D2487" s="129" t="s">
        <v>21883</v>
      </c>
    </row>
    <row r="2488" spans="1:4">
      <c r="A2488" s="105">
        <v>95582</v>
      </c>
      <c r="B2488" s="104" t="s">
        <v>12853</v>
      </c>
      <c r="C2488" s="104" t="s">
        <v>41</v>
      </c>
      <c r="D2488" s="129" t="s">
        <v>21884</v>
      </c>
    </row>
    <row r="2489" spans="1:4">
      <c r="A2489" s="105">
        <v>95583</v>
      </c>
      <c r="B2489" s="104" t="s">
        <v>12854</v>
      </c>
      <c r="C2489" s="104" t="s">
        <v>41</v>
      </c>
      <c r="D2489" s="129" t="s">
        <v>15356</v>
      </c>
    </row>
    <row r="2490" spans="1:4">
      <c r="A2490" s="105">
        <v>95584</v>
      </c>
      <c r="B2490" s="104" t="s">
        <v>12855</v>
      </c>
      <c r="C2490" s="104" t="s">
        <v>41</v>
      </c>
      <c r="D2490" s="129" t="s">
        <v>18069</v>
      </c>
    </row>
    <row r="2491" spans="1:4">
      <c r="A2491" s="105">
        <v>95592</v>
      </c>
      <c r="B2491" s="104" t="s">
        <v>12856</v>
      </c>
      <c r="C2491" s="104" t="s">
        <v>41</v>
      </c>
      <c r="D2491" s="129" t="s">
        <v>17268</v>
      </c>
    </row>
    <row r="2492" spans="1:4">
      <c r="A2492" s="105">
        <v>95593</v>
      </c>
      <c r="B2492" s="104" t="s">
        <v>12857</v>
      </c>
      <c r="C2492" s="104" t="s">
        <v>41</v>
      </c>
      <c r="D2492" s="129" t="s">
        <v>19224</v>
      </c>
    </row>
    <row r="2493" spans="1:4">
      <c r="A2493" s="105">
        <v>95943</v>
      </c>
      <c r="B2493" s="104" t="s">
        <v>2699</v>
      </c>
      <c r="C2493" s="104" t="s">
        <v>41</v>
      </c>
      <c r="D2493" s="129" t="s">
        <v>20269</v>
      </c>
    </row>
    <row r="2494" spans="1:4">
      <c r="A2494" s="105">
        <v>95944</v>
      </c>
      <c r="B2494" s="104" t="s">
        <v>2700</v>
      </c>
      <c r="C2494" s="104" t="s">
        <v>41</v>
      </c>
      <c r="D2494" s="129" t="s">
        <v>15803</v>
      </c>
    </row>
    <row r="2495" spans="1:4">
      <c r="A2495" s="105">
        <v>95945</v>
      </c>
      <c r="B2495" s="104" t="s">
        <v>2701</v>
      </c>
      <c r="C2495" s="104" t="s">
        <v>41</v>
      </c>
      <c r="D2495" s="129" t="s">
        <v>20273</v>
      </c>
    </row>
    <row r="2496" spans="1:4">
      <c r="A2496" s="105">
        <v>95946</v>
      </c>
      <c r="B2496" s="104" t="s">
        <v>2702</v>
      </c>
      <c r="C2496" s="104" t="s">
        <v>41</v>
      </c>
      <c r="D2496" s="129" t="s">
        <v>17717</v>
      </c>
    </row>
    <row r="2497" spans="1:4">
      <c r="A2497" s="105">
        <v>95947</v>
      </c>
      <c r="B2497" s="104" t="s">
        <v>2703</v>
      </c>
      <c r="C2497" s="104" t="s">
        <v>41</v>
      </c>
      <c r="D2497" s="129" t="s">
        <v>18409</v>
      </c>
    </row>
    <row r="2498" spans="1:4">
      <c r="A2498" s="105">
        <v>95948</v>
      </c>
      <c r="B2498" s="104" t="s">
        <v>2704</v>
      </c>
      <c r="C2498" s="104" t="s">
        <v>41</v>
      </c>
      <c r="D2498" s="129" t="s">
        <v>19199</v>
      </c>
    </row>
    <row r="2499" spans="1:4">
      <c r="A2499" s="105">
        <v>96544</v>
      </c>
      <c r="B2499" s="104" t="s">
        <v>2705</v>
      </c>
      <c r="C2499" s="104" t="s">
        <v>41</v>
      </c>
      <c r="D2499" s="129" t="s">
        <v>17800</v>
      </c>
    </row>
    <row r="2500" spans="1:4">
      <c r="A2500" s="105">
        <v>96545</v>
      </c>
      <c r="B2500" s="104" t="s">
        <v>2706</v>
      </c>
      <c r="C2500" s="104" t="s">
        <v>41</v>
      </c>
      <c r="D2500" s="129" t="s">
        <v>18024</v>
      </c>
    </row>
    <row r="2501" spans="1:4">
      <c r="A2501" s="105">
        <v>96546</v>
      </c>
      <c r="B2501" s="104" t="s">
        <v>301</v>
      </c>
      <c r="C2501" s="104" t="s">
        <v>41</v>
      </c>
      <c r="D2501" s="129" t="s">
        <v>15397</v>
      </c>
    </row>
    <row r="2502" spans="1:4">
      <c r="A2502" s="105">
        <v>96547</v>
      </c>
      <c r="B2502" s="104" t="s">
        <v>302</v>
      </c>
      <c r="C2502" s="104" t="s">
        <v>41</v>
      </c>
      <c r="D2502" s="129" t="s">
        <v>18097</v>
      </c>
    </row>
    <row r="2503" spans="1:4">
      <c r="A2503" s="105">
        <v>96548</v>
      </c>
      <c r="B2503" s="104" t="s">
        <v>2707</v>
      </c>
      <c r="C2503" s="104" t="s">
        <v>41</v>
      </c>
      <c r="D2503" s="129" t="s">
        <v>15717</v>
      </c>
    </row>
    <row r="2504" spans="1:4">
      <c r="A2504" s="105">
        <v>96549</v>
      </c>
      <c r="B2504" s="104" t="s">
        <v>2708</v>
      </c>
      <c r="C2504" s="104" t="s">
        <v>41</v>
      </c>
      <c r="D2504" s="129" t="s">
        <v>17200</v>
      </c>
    </row>
    <row r="2505" spans="1:4">
      <c r="A2505" s="105">
        <v>96550</v>
      </c>
      <c r="B2505" s="104" t="s">
        <v>2709</v>
      </c>
      <c r="C2505" s="104" t="s">
        <v>41</v>
      </c>
      <c r="D2505" s="129" t="s">
        <v>21885</v>
      </c>
    </row>
    <row r="2506" spans="1:4">
      <c r="A2506" s="105">
        <v>100064</v>
      </c>
      <c r="B2506" s="104" t="s">
        <v>2710</v>
      </c>
      <c r="C2506" s="104" t="s">
        <v>41</v>
      </c>
      <c r="D2506" s="129" t="s">
        <v>15749</v>
      </c>
    </row>
    <row r="2507" spans="1:4">
      <c r="A2507" s="105">
        <v>100066</v>
      </c>
      <c r="B2507" s="104" t="s">
        <v>2711</v>
      </c>
      <c r="C2507" s="104" t="s">
        <v>41</v>
      </c>
      <c r="D2507" s="129" t="s">
        <v>21886</v>
      </c>
    </row>
    <row r="2508" spans="1:4">
      <c r="A2508" s="105">
        <v>100067</v>
      </c>
      <c r="B2508" s="104" t="s">
        <v>2712</v>
      </c>
      <c r="C2508" s="104" t="s">
        <v>41</v>
      </c>
      <c r="D2508" s="129" t="s">
        <v>21887</v>
      </c>
    </row>
    <row r="2509" spans="1:4">
      <c r="A2509" s="105">
        <v>100068</v>
      </c>
      <c r="B2509" s="104" t="s">
        <v>2713</v>
      </c>
      <c r="C2509" s="104" t="s">
        <v>41</v>
      </c>
      <c r="D2509" s="129" t="s">
        <v>21888</v>
      </c>
    </row>
    <row r="2510" spans="1:4">
      <c r="A2510" s="105">
        <v>102920</v>
      </c>
      <c r="B2510" s="104" t="s">
        <v>12858</v>
      </c>
      <c r="C2510" s="104" t="s">
        <v>41</v>
      </c>
      <c r="D2510" s="129" t="s">
        <v>21889</v>
      </c>
    </row>
    <row r="2511" spans="1:4">
      <c r="A2511" s="105">
        <v>102921</v>
      </c>
      <c r="B2511" s="104" t="s">
        <v>12859</v>
      </c>
      <c r="C2511" s="104" t="s">
        <v>41</v>
      </c>
      <c r="D2511" s="129" t="s">
        <v>21890</v>
      </c>
    </row>
    <row r="2512" spans="1:4">
      <c r="A2512" s="105">
        <v>102922</v>
      </c>
      <c r="B2512" s="104" t="s">
        <v>12860</v>
      </c>
      <c r="C2512" s="104" t="s">
        <v>41</v>
      </c>
      <c r="D2512" s="129" t="s">
        <v>17196</v>
      </c>
    </row>
    <row r="2513" spans="1:4">
      <c r="A2513" s="105">
        <v>102923</v>
      </c>
      <c r="B2513" s="104" t="s">
        <v>12861</v>
      </c>
      <c r="C2513" s="104" t="s">
        <v>41</v>
      </c>
      <c r="D2513" s="129" t="s">
        <v>21891</v>
      </c>
    </row>
    <row r="2514" spans="1:4">
      <c r="A2514" s="105">
        <v>103088</v>
      </c>
      <c r="B2514" s="104" t="s">
        <v>12862</v>
      </c>
      <c r="C2514" s="104" t="s">
        <v>41</v>
      </c>
      <c r="D2514" s="129" t="s">
        <v>17306</v>
      </c>
    </row>
    <row r="2515" spans="1:4">
      <c r="A2515" s="105">
        <v>89993</v>
      </c>
      <c r="B2515" s="104" t="s">
        <v>12863</v>
      </c>
      <c r="C2515" s="104" t="s">
        <v>28</v>
      </c>
      <c r="D2515" s="129" t="s">
        <v>21892</v>
      </c>
    </row>
    <row r="2516" spans="1:4">
      <c r="A2516" s="105">
        <v>89994</v>
      </c>
      <c r="B2516" s="104" t="s">
        <v>12864</v>
      </c>
      <c r="C2516" s="104" t="s">
        <v>28</v>
      </c>
      <c r="D2516" s="129" t="s">
        <v>21893</v>
      </c>
    </row>
    <row r="2517" spans="1:4">
      <c r="A2517" s="105">
        <v>89995</v>
      </c>
      <c r="B2517" s="104" t="s">
        <v>12865</v>
      </c>
      <c r="C2517" s="104" t="s">
        <v>28</v>
      </c>
      <c r="D2517" s="129" t="s">
        <v>21894</v>
      </c>
    </row>
    <row r="2518" spans="1:4">
      <c r="A2518" s="105">
        <v>90278</v>
      </c>
      <c r="B2518" s="104" t="s">
        <v>12866</v>
      </c>
      <c r="C2518" s="104" t="s">
        <v>28</v>
      </c>
      <c r="D2518" s="129" t="s">
        <v>21895</v>
      </c>
    </row>
    <row r="2519" spans="1:4">
      <c r="A2519" s="105">
        <v>90279</v>
      </c>
      <c r="B2519" s="104" t="s">
        <v>12867</v>
      </c>
      <c r="C2519" s="104" t="s">
        <v>28</v>
      </c>
      <c r="D2519" s="129" t="s">
        <v>21896</v>
      </c>
    </row>
    <row r="2520" spans="1:4">
      <c r="A2520" s="105">
        <v>90280</v>
      </c>
      <c r="B2520" s="104" t="s">
        <v>12868</v>
      </c>
      <c r="C2520" s="104" t="s">
        <v>28</v>
      </c>
      <c r="D2520" s="129" t="s">
        <v>21897</v>
      </c>
    </row>
    <row r="2521" spans="1:4">
      <c r="A2521" s="105">
        <v>90281</v>
      </c>
      <c r="B2521" s="104" t="s">
        <v>12869</v>
      </c>
      <c r="C2521" s="104" t="s">
        <v>28</v>
      </c>
      <c r="D2521" s="129" t="s">
        <v>21898</v>
      </c>
    </row>
    <row r="2522" spans="1:4">
      <c r="A2522" s="105">
        <v>90282</v>
      </c>
      <c r="B2522" s="104" t="s">
        <v>12870</v>
      </c>
      <c r="C2522" s="104" t="s">
        <v>28</v>
      </c>
      <c r="D2522" s="129" t="s">
        <v>21899</v>
      </c>
    </row>
    <row r="2523" spans="1:4">
      <c r="A2523" s="105">
        <v>90283</v>
      </c>
      <c r="B2523" s="104" t="s">
        <v>12871</v>
      </c>
      <c r="C2523" s="104" t="s">
        <v>28</v>
      </c>
      <c r="D2523" s="129" t="s">
        <v>21900</v>
      </c>
    </row>
    <row r="2524" spans="1:4">
      <c r="A2524" s="105">
        <v>90284</v>
      </c>
      <c r="B2524" s="104" t="s">
        <v>12872</v>
      </c>
      <c r="C2524" s="104" t="s">
        <v>28</v>
      </c>
      <c r="D2524" s="129" t="s">
        <v>21901</v>
      </c>
    </row>
    <row r="2525" spans="1:4">
      <c r="A2525" s="105">
        <v>90285</v>
      </c>
      <c r="B2525" s="104" t="s">
        <v>12873</v>
      </c>
      <c r="C2525" s="104" t="s">
        <v>28</v>
      </c>
      <c r="D2525" s="129" t="s">
        <v>21902</v>
      </c>
    </row>
    <row r="2526" spans="1:4">
      <c r="A2526" s="105">
        <v>94962</v>
      </c>
      <c r="B2526" s="104" t="s">
        <v>2714</v>
      </c>
      <c r="C2526" s="104" t="s">
        <v>28</v>
      </c>
      <c r="D2526" s="129" t="s">
        <v>21903</v>
      </c>
    </row>
    <row r="2527" spans="1:4">
      <c r="A2527" s="105">
        <v>94963</v>
      </c>
      <c r="B2527" s="104" t="s">
        <v>2715</v>
      </c>
      <c r="C2527" s="104" t="s">
        <v>28</v>
      </c>
      <c r="D2527" s="129" t="s">
        <v>21904</v>
      </c>
    </row>
    <row r="2528" spans="1:4">
      <c r="A2528" s="105">
        <v>94964</v>
      </c>
      <c r="B2528" s="104" t="s">
        <v>2716</v>
      </c>
      <c r="C2528" s="104" t="s">
        <v>28</v>
      </c>
      <c r="D2528" s="129" t="s">
        <v>21905</v>
      </c>
    </row>
    <row r="2529" spans="1:4">
      <c r="A2529" s="105">
        <v>94965</v>
      </c>
      <c r="B2529" s="104" t="s">
        <v>2717</v>
      </c>
      <c r="C2529" s="104" t="s">
        <v>28</v>
      </c>
      <c r="D2529" s="129" t="s">
        <v>21906</v>
      </c>
    </row>
    <row r="2530" spans="1:4">
      <c r="A2530" s="105">
        <v>94966</v>
      </c>
      <c r="B2530" s="104" t="s">
        <v>2718</v>
      </c>
      <c r="C2530" s="104" t="s">
        <v>28</v>
      </c>
      <c r="D2530" s="129" t="s">
        <v>21907</v>
      </c>
    </row>
    <row r="2531" spans="1:4">
      <c r="A2531" s="105">
        <v>94967</v>
      </c>
      <c r="B2531" s="104" t="s">
        <v>2719</v>
      </c>
      <c r="C2531" s="104" t="s">
        <v>28</v>
      </c>
      <c r="D2531" s="129" t="s">
        <v>21908</v>
      </c>
    </row>
    <row r="2532" spans="1:4">
      <c r="A2532" s="105">
        <v>94968</v>
      </c>
      <c r="B2532" s="104" t="s">
        <v>2720</v>
      </c>
      <c r="C2532" s="104" t="s">
        <v>28</v>
      </c>
      <c r="D2532" s="129" t="s">
        <v>21909</v>
      </c>
    </row>
    <row r="2533" spans="1:4">
      <c r="A2533" s="105">
        <v>94969</v>
      </c>
      <c r="B2533" s="104" t="s">
        <v>2721</v>
      </c>
      <c r="C2533" s="104" t="s">
        <v>28</v>
      </c>
      <c r="D2533" s="129" t="s">
        <v>21910</v>
      </c>
    </row>
    <row r="2534" spans="1:4">
      <c r="A2534" s="105">
        <v>94970</v>
      </c>
      <c r="B2534" s="104" t="s">
        <v>2722</v>
      </c>
      <c r="C2534" s="104" t="s">
        <v>28</v>
      </c>
      <c r="D2534" s="129" t="s">
        <v>21911</v>
      </c>
    </row>
    <row r="2535" spans="1:4">
      <c r="A2535" s="105">
        <v>94971</v>
      </c>
      <c r="B2535" s="104" t="s">
        <v>2723</v>
      </c>
      <c r="C2535" s="104" t="s">
        <v>28</v>
      </c>
      <c r="D2535" s="129" t="s">
        <v>21912</v>
      </c>
    </row>
    <row r="2536" spans="1:4">
      <c r="A2536" s="105">
        <v>94972</v>
      </c>
      <c r="B2536" s="104" t="s">
        <v>2724</v>
      </c>
      <c r="C2536" s="104" t="s">
        <v>28</v>
      </c>
      <c r="D2536" s="129" t="s">
        <v>21913</v>
      </c>
    </row>
    <row r="2537" spans="1:4">
      <c r="A2537" s="105">
        <v>94973</v>
      </c>
      <c r="B2537" s="104" t="s">
        <v>2725</v>
      </c>
      <c r="C2537" s="104" t="s">
        <v>28</v>
      </c>
      <c r="D2537" s="129" t="s">
        <v>21914</v>
      </c>
    </row>
    <row r="2538" spans="1:4">
      <c r="A2538" s="105">
        <v>94974</v>
      </c>
      <c r="B2538" s="104" t="s">
        <v>2726</v>
      </c>
      <c r="C2538" s="104" t="s">
        <v>28</v>
      </c>
      <c r="D2538" s="129" t="s">
        <v>21915</v>
      </c>
    </row>
    <row r="2539" spans="1:4">
      <c r="A2539" s="105">
        <v>94975</v>
      </c>
      <c r="B2539" s="104" t="s">
        <v>2727</v>
      </c>
      <c r="C2539" s="104" t="s">
        <v>28</v>
      </c>
      <c r="D2539" s="129" t="s">
        <v>21916</v>
      </c>
    </row>
    <row r="2540" spans="1:4">
      <c r="A2540" s="105">
        <v>96555</v>
      </c>
      <c r="B2540" s="104" t="s">
        <v>2728</v>
      </c>
      <c r="C2540" s="104" t="s">
        <v>28</v>
      </c>
      <c r="D2540" s="129" t="s">
        <v>21917</v>
      </c>
    </row>
    <row r="2541" spans="1:4">
      <c r="A2541" s="105">
        <v>96556</v>
      </c>
      <c r="B2541" s="104" t="s">
        <v>2729</v>
      </c>
      <c r="C2541" s="104" t="s">
        <v>28</v>
      </c>
      <c r="D2541" s="129" t="s">
        <v>21918</v>
      </c>
    </row>
    <row r="2542" spans="1:4">
      <c r="A2542" s="105">
        <v>96557</v>
      </c>
      <c r="B2542" s="104" t="s">
        <v>2730</v>
      </c>
      <c r="C2542" s="104" t="s">
        <v>28</v>
      </c>
      <c r="D2542" s="129" t="s">
        <v>21919</v>
      </c>
    </row>
    <row r="2543" spans="1:4">
      <c r="A2543" s="105">
        <v>96558</v>
      </c>
      <c r="B2543" s="104" t="s">
        <v>2731</v>
      </c>
      <c r="C2543" s="104" t="s">
        <v>28</v>
      </c>
      <c r="D2543" s="129" t="s">
        <v>21920</v>
      </c>
    </row>
    <row r="2544" spans="1:4">
      <c r="A2544" s="105">
        <v>99235</v>
      </c>
      <c r="B2544" s="104" t="s">
        <v>12874</v>
      </c>
      <c r="C2544" s="104" t="s">
        <v>28</v>
      </c>
      <c r="D2544" s="129" t="s">
        <v>21921</v>
      </c>
    </row>
    <row r="2545" spans="1:4">
      <c r="A2545" s="105">
        <v>99431</v>
      </c>
      <c r="B2545" s="104" t="s">
        <v>12875</v>
      </c>
      <c r="C2545" s="104" t="s">
        <v>28</v>
      </c>
      <c r="D2545" s="129" t="s">
        <v>21922</v>
      </c>
    </row>
    <row r="2546" spans="1:4">
      <c r="A2546" s="105">
        <v>99432</v>
      </c>
      <c r="B2546" s="104" t="s">
        <v>12876</v>
      </c>
      <c r="C2546" s="104" t="s">
        <v>28</v>
      </c>
      <c r="D2546" s="129" t="s">
        <v>21923</v>
      </c>
    </row>
    <row r="2547" spans="1:4">
      <c r="A2547" s="105">
        <v>99433</v>
      </c>
      <c r="B2547" s="104" t="s">
        <v>12877</v>
      </c>
      <c r="C2547" s="104" t="s">
        <v>28</v>
      </c>
      <c r="D2547" s="129" t="s">
        <v>21924</v>
      </c>
    </row>
    <row r="2548" spans="1:4">
      <c r="A2548" s="105">
        <v>99434</v>
      </c>
      <c r="B2548" s="104" t="s">
        <v>12878</v>
      </c>
      <c r="C2548" s="104" t="s">
        <v>28</v>
      </c>
      <c r="D2548" s="129" t="s">
        <v>21925</v>
      </c>
    </row>
    <row r="2549" spans="1:4">
      <c r="A2549" s="105">
        <v>99435</v>
      </c>
      <c r="B2549" s="104" t="s">
        <v>12879</v>
      </c>
      <c r="C2549" s="104" t="s">
        <v>28</v>
      </c>
      <c r="D2549" s="129" t="s">
        <v>21926</v>
      </c>
    </row>
    <row r="2550" spans="1:4">
      <c r="A2550" s="105">
        <v>99436</v>
      </c>
      <c r="B2550" s="104" t="s">
        <v>12880</v>
      </c>
      <c r="C2550" s="104" t="s">
        <v>28</v>
      </c>
      <c r="D2550" s="129" t="s">
        <v>21927</v>
      </c>
    </row>
    <row r="2551" spans="1:4">
      <c r="A2551" s="105">
        <v>99437</v>
      </c>
      <c r="B2551" s="104" t="s">
        <v>12881</v>
      </c>
      <c r="C2551" s="104" t="s">
        <v>28</v>
      </c>
      <c r="D2551" s="129" t="s">
        <v>21928</v>
      </c>
    </row>
    <row r="2552" spans="1:4">
      <c r="A2552" s="105">
        <v>99438</v>
      </c>
      <c r="B2552" s="104" t="s">
        <v>12882</v>
      </c>
      <c r="C2552" s="104" t="s">
        <v>28</v>
      </c>
      <c r="D2552" s="129" t="s">
        <v>21929</v>
      </c>
    </row>
    <row r="2553" spans="1:4">
      <c r="A2553" s="105">
        <v>99439</v>
      </c>
      <c r="B2553" s="104" t="s">
        <v>12883</v>
      </c>
      <c r="C2553" s="104" t="s">
        <v>28</v>
      </c>
      <c r="D2553" s="129" t="s">
        <v>21930</v>
      </c>
    </row>
    <row r="2554" spans="1:4">
      <c r="A2554" s="105">
        <v>102473</v>
      </c>
      <c r="B2554" s="104" t="s">
        <v>2732</v>
      </c>
      <c r="C2554" s="104" t="s">
        <v>28</v>
      </c>
      <c r="D2554" s="129" t="s">
        <v>21931</v>
      </c>
    </row>
    <row r="2555" spans="1:4">
      <c r="A2555" s="105">
        <v>102474</v>
      </c>
      <c r="B2555" s="104" t="s">
        <v>2733</v>
      </c>
      <c r="C2555" s="104" t="s">
        <v>28</v>
      </c>
      <c r="D2555" s="129" t="s">
        <v>21932</v>
      </c>
    </row>
    <row r="2556" spans="1:4">
      <c r="A2556" s="105">
        <v>102475</v>
      </c>
      <c r="B2556" s="104" t="s">
        <v>2734</v>
      </c>
      <c r="C2556" s="104" t="s">
        <v>28</v>
      </c>
      <c r="D2556" s="129" t="s">
        <v>21933</v>
      </c>
    </row>
    <row r="2557" spans="1:4">
      <c r="A2557" s="105">
        <v>102476</v>
      </c>
      <c r="B2557" s="104" t="s">
        <v>2735</v>
      </c>
      <c r="C2557" s="104" t="s">
        <v>28</v>
      </c>
      <c r="D2557" s="129" t="s">
        <v>21934</v>
      </c>
    </row>
    <row r="2558" spans="1:4">
      <c r="A2558" s="105">
        <v>102477</v>
      </c>
      <c r="B2558" s="104" t="s">
        <v>2736</v>
      </c>
      <c r="C2558" s="104" t="s">
        <v>28</v>
      </c>
      <c r="D2558" s="129" t="s">
        <v>21935</v>
      </c>
    </row>
    <row r="2559" spans="1:4">
      <c r="A2559" s="105">
        <v>102478</v>
      </c>
      <c r="B2559" s="104" t="s">
        <v>2737</v>
      </c>
      <c r="C2559" s="104" t="s">
        <v>28</v>
      </c>
      <c r="D2559" s="129" t="s">
        <v>21936</v>
      </c>
    </row>
    <row r="2560" spans="1:4">
      <c r="A2560" s="105">
        <v>102479</v>
      </c>
      <c r="B2560" s="104" t="s">
        <v>2738</v>
      </c>
      <c r="C2560" s="104" t="s">
        <v>28</v>
      </c>
      <c r="D2560" s="129" t="s">
        <v>21937</v>
      </c>
    </row>
    <row r="2561" spans="1:4">
      <c r="A2561" s="105">
        <v>102480</v>
      </c>
      <c r="B2561" s="104" t="s">
        <v>2739</v>
      </c>
      <c r="C2561" s="104" t="s">
        <v>28</v>
      </c>
      <c r="D2561" s="129" t="s">
        <v>21938</v>
      </c>
    </row>
    <row r="2562" spans="1:4">
      <c r="A2562" s="105">
        <v>102481</v>
      </c>
      <c r="B2562" s="104" t="s">
        <v>306</v>
      </c>
      <c r="C2562" s="104" t="s">
        <v>28</v>
      </c>
      <c r="D2562" s="129" t="s">
        <v>21939</v>
      </c>
    </row>
    <row r="2563" spans="1:4">
      <c r="A2563" s="105">
        <v>102482</v>
      </c>
      <c r="B2563" s="104" t="s">
        <v>2740</v>
      </c>
      <c r="C2563" s="104" t="s">
        <v>28</v>
      </c>
      <c r="D2563" s="129" t="s">
        <v>21940</v>
      </c>
    </row>
    <row r="2564" spans="1:4">
      <c r="A2564" s="105">
        <v>102483</v>
      </c>
      <c r="B2564" s="104" t="s">
        <v>2741</v>
      </c>
      <c r="C2564" s="104" t="s">
        <v>28</v>
      </c>
      <c r="D2564" s="129" t="s">
        <v>21941</v>
      </c>
    </row>
    <row r="2565" spans="1:4">
      <c r="A2565" s="105">
        <v>102484</v>
      </c>
      <c r="B2565" s="104" t="s">
        <v>2742</v>
      </c>
      <c r="C2565" s="104" t="s">
        <v>28</v>
      </c>
      <c r="D2565" s="129" t="s">
        <v>21942</v>
      </c>
    </row>
    <row r="2566" spans="1:4">
      <c r="A2566" s="105">
        <v>102485</v>
      </c>
      <c r="B2566" s="104" t="s">
        <v>2743</v>
      </c>
      <c r="C2566" s="104" t="s">
        <v>28</v>
      </c>
      <c r="D2566" s="129" t="s">
        <v>21943</v>
      </c>
    </row>
    <row r="2567" spans="1:4">
      <c r="A2567" s="105">
        <v>102486</v>
      </c>
      <c r="B2567" s="104" t="s">
        <v>2744</v>
      </c>
      <c r="C2567" s="104" t="s">
        <v>28</v>
      </c>
      <c r="D2567" s="129" t="s">
        <v>21944</v>
      </c>
    </row>
    <row r="2568" spans="1:4">
      <c r="A2568" s="105">
        <v>102487</v>
      </c>
      <c r="B2568" s="104" t="s">
        <v>2745</v>
      </c>
      <c r="C2568" s="104" t="s">
        <v>28</v>
      </c>
      <c r="D2568" s="129" t="s">
        <v>21945</v>
      </c>
    </row>
    <row r="2569" spans="1:4">
      <c r="A2569" s="105">
        <v>103183</v>
      </c>
      <c r="B2569" s="104" t="s">
        <v>12884</v>
      </c>
      <c r="C2569" s="104" t="s">
        <v>28</v>
      </c>
      <c r="D2569" s="129" t="s">
        <v>21946</v>
      </c>
    </row>
    <row r="2570" spans="1:4">
      <c r="A2570" s="105">
        <v>103184</v>
      </c>
      <c r="B2570" s="104" t="s">
        <v>12885</v>
      </c>
      <c r="C2570" s="104" t="s">
        <v>28</v>
      </c>
      <c r="D2570" s="129" t="s">
        <v>21947</v>
      </c>
    </row>
    <row r="2571" spans="1:4">
      <c r="A2571" s="105">
        <v>103669</v>
      </c>
      <c r="B2571" s="104" t="s">
        <v>17037</v>
      </c>
      <c r="C2571" s="104" t="s">
        <v>28</v>
      </c>
      <c r="D2571" s="129" t="s">
        <v>21948</v>
      </c>
    </row>
    <row r="2572" spans="1:4">
      <c r="A2572" s="105">
        <v>103670</v>
      </c>
      <c r="B2572" s="104" t="s">
        <v>17039</v>
      </c>
      <c r="C2572" s="104" t="s">
        <v>28</v>
      </c>
      <c r="D2572" s="129" t="s">
        <v>21949</v>
      </c>
    </row>
    <row r="2573" spans="1:4">
      <c r="A2573" s="105">
        <v>103671</v>
      </c>
      <c r="B2573" s="104" t="s">
        <v>17041</v>
      </c>
      <c r="C2573" s="104" t="s">
        <v>28</v>
      </c>
      <c r="D2573" s="129" t="s">
        <v>21950</v>
      </c>
    </row>
    <row r="2574" spans="1:4">
      <c r="A2574" s="105">
        <v>103672</v>
      </c>
      <c r="B2574" s="104" t="s">
        <v>17043</v>
      </c>
      <c r="C2574" s="104" t="s">
        <v>28</v>
      </c>
      <c r="D2574" s="129" t="s">
        <v>21951</v>
      </c>
    </row>
    <row r="2575" spans="1:4">
      <c r="A2575" s="105">
        <v>103673</v>
      </c>
      <c r="B2575" s="104" t="s">
        <v>17045</v>
      </c>
      <c r="C2575" s="104" t="s">
        <v>28</v>
      </c>
      <c r="D2575" s="129" t="s">
        <v>21952</v>
      </c>
    </row>
    <row r="2576" spans="1:4">
      <c r="A2576" s="105">
        <v>103674</v>
      </c>
      <c r="B2576" s="104" t="s">
        <v>17047</v>
      </c>
      <c r="C2576" s="104" t="s">
        <v>28</v>
      </c>
      <c r="D2576" s="129" t="s">
        <v>21953</v>
      </c>
    </row>
    <row r="2577" spans="1:4">
      <c r="A2577" s="105">
        <v>103675</v>
      </c>
      <c r="B2577" s="104" t="s">
        <v>17049</v>
      </c>
      <c r="C2577" s="104" t="s">
        <v>28</v>
      </c>
      <c r="D2577" s="129" t="s">
        <v>21954</v>
      </c>
    </row>
    <row r="2578" spans="1:4">
      <c r="A2578" s="105">
        <v>103676</v>
      </c>
      <c r="B2578" s="104" t="s">
        <v>17051</v>
      </c>
      <c r="C2578" s="104" t="s">
        <v>28</v>
      </c>
      <c r="D2578" s="129" t="s">
        <v>21955</v>
      </c>
    </row>
    <row r="2579" spans="1:4">
      <c r="A2579" s="105">
        <v>103677</v>
      </c>
      <c r="B2579" s="104" t="s">
        <v>17053</v>
      </c>
      <c r="C2579" s="104" t="s">
        <v>28</v>
      </c>
      <c r="D2579" s="129" t="s">
        <v>21956</v>
      </c>
    </row>
    <row r="2580" spans="1:4">
      <c r="A2580" s="105">
        <v>103678</v>
      </c>
      <c r="B2580" s="104" t="s">
        <v>17055</v>
      </c>
      <c r="C2580" s="104" t="s">
        <v>28</v>
      </c>
      <c r="D2580" s="129" t="s">
        <v>21957</v>
      </c>
    </row>
    <row r="2581" spans="1:4">
      <c r="A2581" s="105">
        <v>103679</v>
      </c>
      <c r="B2581" s="104" t="s">
        <v>17057</v>
      </c>
      <c r="C2581" s="104" t="s">
        <v>28</v>
      </c>
      <c r="D2581" s="129" t="s">
        <v>21958</v>
      </c>
    </row>
    <row r="2582" spans="1:4">
      <c r="A2582" s="105">
        <v>103680</v>
      </c>
      <c r="B2582" s="104" t="s">
        <v>17059</v>
      </c>
      <c r="C2582" s="104" t="s">
        <v>28</v>
      </c>
      <c r="D2582" s="129" t="s">
        <v>21959</v>
      </c>
    </row>
    <row r="2583" spans="1:4">
      <c r="A2583" s="105">
        <v>103681</v>
      </c>
      <c r="B2583" s="104" t="s">
        <v>17061</v>
      </c>
      <c r="C2583" s="104" t="s">
        <v>28</v>
      </c>
      <c r="D2583" s="129" t="s">
        <v>21960</v>
      </c>
    </row>
    <row r="2584" spans="1:4">
      <c r="A2584" s="105">
        <v>103682</v>
      </c>
      <c r="B2584" s="104" t="s">
        <v>17063</v>
      </c>
      <c r="C2584" s="104" t="s">
        <v>28</v>
      </c>
      <c r="D2584" s="129" t="s">
        <v>21961</v>
      </c>
    </row>
    <row r="2585" spans="1:4">
      <c r="A2585" s="105">
        <v>103683</v>
      </c>
      <c r="B2585" s="104" t="s">
        <v>17065</v>
      </c>
      <c r="C2585" s="104" t="s">
        <v>28</v>
      </c>
      <c r="D2585" s="129" t="s">
        <v>21962</v>
      </c>
    </row>
    <row r="2586" spans="1:4">
      <c r="A2586" s="105">
        <v>103684</v>
      </c>
      <c r="B2586" s="104" t="s">
        <v>17067</v>
      </c>
      <c r="C2586" s="104" t="s">
        <v>28</v>
      </c>
      <c r="D2586" s="129" t="s">
        <v>21963</v>
      </c>
    </row>
    <row r="2587" spans="1:4">
      <c r="A2587" s="105">
        <v>103685</v>
      </c>
      <c r="B2587" s="104" t="s">
        <v>17069</v>
      </c>
      <c r="C2587" s="104" t="s">
        <v>28</v>
      </c>
      <c r="D2587" s="129" t="s">
        <v>21964</v>
      </c>
    </row>
    <row r="2588" spans="1:4">
      <c r="A2588" s="105">
        <v>103686</v>
      </c>
      <c r="B2588" s="104" t="s">
        <v>17071</v>
      </c>
      <c r="C2588" s="104" t="s">
        <v>28</v>
      </c>
      <c r="D2588" s="129" t="s">
        <v>21965</v>
      </c>
    </row>
    <row r="2589" spans="1:4">
      <c r="A2589" s="105">
        <v>103687</v>
      </c>
      <c r="B2589" s="104" t="s">
        <v>17073</v>
      </c>
      <c r="C2589" s="104" t="s">
        <v>28</v>
      </c>
      <c r="D2589" s="129" t="s">
        <v>21966</v>
      </c>
    </row>
    <row r="2590" spans="1:4">
      <c r="A2590" s="105">
        <v>103688</v>
      </c>
      <c r="B2590" s="104" t="s">
        <v>17075</v>
      </c>
      <c r="C2590" s="104" t="s">
        <v>28</v>
      </c>
      <c r="D2590" s="129" t="s">
        <v>21967</v>
      </c>
    </row>
    <row r="2591" spans="1:4">
      <c r="A2591" s="105">
        <v>101963</v>
      </c>
      <c r="B2591" s="104" t="s">
        <v>2746</v>
      </c>
      <c r="C2591" s="104" t="s">
        <v>12</v>
      </c>
      <c r="D2591" s="129" t="s">
        <v>21968</v>
      </c>
    </row>
    <row r="2592" spans="1:4">
      <c r="A2592" s="105">
        <v>101964</v>
      </c>
      <c r="B2592" s="104" t="s">
        <v>2747</v>
      </c>
      <c r="C2592" s="104" t="s">
        <v>12</v>
      </c>
      <c r="D2592" s="129" t="s">
        <v>21969</v>
      </c>
    </row>
    <row r="2593" spans="1:4">
      <c r="A2593" s="105">
        <v>101165</v>
      </c>
      <c r="B2593" s="104" t="s">
        <v>2748</v>
      </c>
      <c r="C2593" s="104" t="s">
        <v>28</v>
      </c>
      <c r="D2593" s="129" t="s">
        <v>21970</v>
      </c>
    </row>
    <row r="2594" spans="1:4">
      <c r="A2594" s="105">
        <v>101166</v>
      </c>
      <c r="B2594" s="104" t="s">
        <v>2749</v>
      </c>
      <c r="C2594" s="104" t="s">
        <v>28</v>
      </c>
      <c r="D2594" s="129" t="s">
        <v>16544</v>
      </c>
    </row>
    <row r="2595" spans="1:4">
      <c r="A2595" s="105">
        <v>98575</v>
      </c>
      <c r="B2595" s="104" t="s">
        <v>12886</v>
      </c>
      <c r="C2595" s="104" t="s">
        <v>40</v>
      </c>
      <c r="D2595" s="129" t="s">
        <v>19361</v>
      </c>
    </row>
    <row r="2596" spans="1:4">
      <c r="A2596" s="105">
        <v>98576</v>
      </c>
      <c r="B2596" s="104" t="s">
        <v>2750</v>
      </c>
      <c r="C2596" s="104" t="s">
        <v>40</v>
      </c>
      <c r="D2596" s="129" t="s">
        <v>18222</v>
      </c>
    </row>
    <row r="2597" spans="1:4">
      <c r="A2597" s="105">
        <v>98577</v>
      </c>
      <c r="B2597" s="104" t="s">
        <v>12887</v>
      </c>
      <c r="C2597" s="104" t="s">
        <v>40</v>
      </c>
      <c r="D2597" s="129" t="s">
        <v>18417</v>
      </c>
    </row>
    <row r="2598" spans="1:4">
      <c r="A2598" s="105">
        <v>93182</v>
      </c>
      <c r="B2598" s="104" t="s">
        <v>2751</v>
      </c>
      <c r="C2598" s="104" t="s">
        <v>40</v>
      </c>
      <c r="D2598" s="129" t="s">
        <v>21335</v>
      </c>
    </row>
    <row r="2599" spans="1:4">
      <c r="A2599" s="105">
        <v>93183</v>
      </c>
      <c r="B2599" s="104" t="s">
        <v>2752</v>
      </c>
      <c r="C2599" s="104" t="s">
        <v>40</v>
      </c>
      <c r="D2599" s="129" t="s">
        <v>21971</v>
      </c>
    </row>
    <row r="2600" spans="1:4">
      <c r="A2600" s="105">
        <v>93184</v>
      </c>
      <c r="B2600" s="104" t="s">
        <v>2753</v>
      </c>
      <c r="C2600" s="104" t="s">
        <v>40</v>
      </c>
      <c r="D2600" s="129" t="s">
        <v>14768</v>
      </c>
    </row>
    <row r="2601" spans="1:4">
      <c r="A2601" s="105">
        <v>93185</v>
      </c>
      <c r="B2601" s="104" t="s">
        <v>2754</v>
      </c>
      <c r="C2601" s="104" t="s">
        <v>40</v>
      </c>
      <c r="D2601" s="129" t="s">
        <v>21972</v>
      </c>
    </row>
    <row r="2602" spans="1:4">
      <c r="A2602" s="105">
        <v>93186</v>
      </c>
      <c r="B2602" s="104" t="s">
        <v>2755</v>
      </c>
      <c r="C2602" s="104" t="s">
        <v>40</v>
      </c>
      <c r="D2602" s="129" t="s">
        <v>21973</v>
      </c>
    </row>
    <row r="2603" spans="1:4">
      <c r="A2603" s="105">
        <v>93187</v>
      </c>
      <c r="B2603" s="104" t="s">
        <v>2756</v>
      </c>
      <c r="C2603" s="104" t="s">
        <v>40</v>
      </c>
      <c r="D2603" s="129" t="s">
        <v>21974</v>
      </c>
    </row>
    <row r="2604" spans="1:4">
      <c r="A2604" s="105">
        <v>93188</v>
      </c>
      <c r="B2604" s="104" t="s">
        <v>2757</v>
      </c>
      <c r="C2604" s="104" t="s">
        <v>40</v>
      </c>
      <c r="D2604" s="129" t="s">
        <v>21975</v>
      </c>
    </row>
    <row r="2605" spans="1:4">
      <c r="A2605" s="105">
        <v>93189</v>
      </c>
      <c r="B2605" s="104" t="s">
        <v>2758</v>
      </c>
      <c r="C2605" s="104" t="s">
        <v>40</v>
      </c>
      <c r="D2605" s="129" t="s">
        <v>17361</v>
      </c>
    </row>
    <row r="2606" spans="1:4">
      <c r="A2606" s="105">
        <v>93190</v>
      </c>
      <c r="B2606" s="104" t="s">
        <v>2759</v>
      </c>
      <c r="C2606" s="104" t="s">
        <v>40</v>
      </c>
      <c r="D2606" s="129" t="s">
        <v>21976</v>
      </c>
    </row>
    <row r="2607" spans="1:4">
      <c r="A2607" s="105">
        <v>93191</v>
      </c>
      <c r="B2607" s="104" t="s">
        <v>2760</v>
      </c>
      <c r="C2607" s="104" t="s">
        <v>40</v>
      </c>
      <c r="D2607" s="129" t="s">
        <v>21977</v>
      </c>
    </row>
    <row r="2608" spans="1:4">
      <c r="A2608" s="105">
        <v>93192</v>
      </c>
      <c r="B2608" s="104" t="s">
        <v>2761</v>
      </c>
      <c r="C2608" s="104" t="s">
        <v>40</v>
      </c>
      <c r="D2608" s="129" t="s">
        <v>21978</v>
      </c>
    </row>
    <row r="2609" spans="1:4">
      <c r="A2609" s="105">
        <v>93193</v>
      </c>
      <c r="B2609" s="104" t="s">
        <v>2762</v>
      </c>
      <c r="C2609" s="104" t="s">
        <v>40</v>
      </c>
      <c r="D2609" s="129" t="s">
        <v>19909</v>
      </c>
    </row>
    <row r="2610" spans="1:4">
      <c r="A2610" s="105">
        <v>93194</v>
      </c>
      <c r="B2610" s="104" t="s">
        <v>2763</v>
      </c>
      <c r="C2610" s="104" t="s">
        <v>40</v>
      </c>
      <c r="D2610" s="129" t="s">
        <v>21979</v>
      </c>
    </row>
    <row r="2611" spans="1:4">
      <c r="A2611" s="105">
        <v>93195</v>
      </c>
      <c r="B2611" s="104" t="s">
        <v>2764</v>
      </c>
      <c r="C2611" s="104" t="s">
        <v>40</v>
      </c>
      <c r="D2611" s="129" t="s">
        <v>21980</v>
      </c>
    </row>
    <row r="2612" spans="1:4">
      <c r="A2612" s="105">
        <v>93196</v>
      </c>
      <c r="B2612" s="104" t="s">
        <v>2765</v>
      </c>
      <c r="C2612" s="104" t="s">
        <v>40</v>
      </c>
      <c r="D2612" s="129" t="s">
        <v>21981</v>
      </c>
    </row>
    <row r="2613" spans="1:4">
      <c r="A2613" s="105">
        <v>93197</v>
      </c>
      <c r="B2613" s="104" t="s">
        <v>2766</v>
      </c>
      <c r="C2613" s="104" t="s">
        <v>40</v>
      </c>
      <c r="D2613" s="129" t="s">
        <v>21982</v>
      </c>
    </row>
    <row r="2614" spans="1:4">
      <c r="A2614" s="105">
        <v>93198</v>
      </c>
      <c r="B2614" s="104" t="s">
        <v>2767</v>
      </c>
      <c r="C2614" s="104" t="s">
        <v>40</v>
      </c>
      <c r="D2614" s="129" t="s">
        <v>14783</v>
      </c>
    </row>
    <row r="2615" spans="1:4">
      <c r="A2615" s="105">
        <v>93199</v>
      </c>
      <c r="B2615" s="104" t="s">
        <v>2768</v>
      </c>
      <c r="C2615" s="104" t="s">
        <v>40</v>
      </c>
      <c r="D2615" s="129" t="s">
        <v>21983</v>
      </c>
    </row>
    <row r="2616" spans="1:4">
      <c r="A2616" s="105">
        <v>93200</v>
      </c>
      <c r="B2616" s="104" t="s">
        <v>2769</v>
      </c>
      <c r="C2616" s="104" t="s">
        <v>40</v>
      </c>
      <c r="D2616" s="129" t="s">
        <v>19917</v>
      </c>
    </row>
    <row r="2617" spans="1:4">
      <c r="A2617" s="105">
        <v>93201</v>
      </c>
      <c r="B2617" s="104" t="s">
        <v>2770</v>
      </c>
      <c r="C2617" s="104" t="s">
        <v>40</v>
      </c>
      <c r="D2617" s="129" t="s">
        <v>15770</v>
      </c>
    </row>
    <row r="2618" spans="1:4">
      <c r="A2618" s="105">
        <v>93202</v>
      </c>
      <c r="B2618" s="104" t="s">
        <v>2771</v>
      </c>
      <c r="C2618" s="104" t="s">
        <v>40</v>
      </c>
      <c r="D2618" s="129" t="s">
        <v>21984</v>
      </c>
    </row>
    <row r="2619" spans="1:4">
      <c r="A2619" s="105">
        <v>93203</v>
      </c>
      <c r="B2619" s="104" t="s">
        <v>2772</v>
      </c>
      <c r="C2619" s="104" t="s">
        <v>40</v>
      </c>
      <c r="D2619" s="129" t="s">
        <v>15618</v>
      </c>
    </row>
    <row r="2620" spans="1:4">
      <c r="A2620" s="105">
        <v>93204</v>
      </c>
      <c r="B2620" s="104" t="s">
        <v>2773</v>
      </c>
      <c r="C2620" s="104" t="s">
        <v>40</v>
      </c>
      <c r="D2620" s="129" t="s">
        <v>20213</v>
      </c>
    </row>
    <row r="2621" spans="1:4">
      <c r="A2621" s="105">
        <v>93205</v>
      </c>
      <c r="B2621" s="104" t="s">
        <v>2774</v>
      </c>
      <c r="C2621" s="104" t="s">
        <v>40</v>
      </c>
      <c r="D2621" s="129" t="s">
        <v>21985</v>
      </c>
    </row>
    <row r="2622" spans="1:4">
      <c r="A2622" s="105">
        <v>95952</v>
      </c>
      <c r="B2622" s="104" t="s">
        <v>2775</v>
      </c>
      <c r="C2622" s="104" t="s">
        <v>28</v>
      </c>
      <c r="D2622" s="129" t="s">
        <v>21986</v>
      </c>
    </row>
    <row r="2623" spans="1:4">
      <c r="A2623" s="105">
        <v>95953</v>
      </c>
      <c r="B2623" s="104" t="s">
        <v>2776</v>
      </c>
      <c r="C2623" s="104" t="s">
        <v>28</v>
      </c>
      <c r="D2623" s="129" t="s">
        <v>21987</v>
      </c>
    </row>
    <row r="2624" spans="1:4">
      <c r="A2624" s="105">
        <v>95954</v>
      </c>
      <c r="B2624" s="104" t="s">
        <v>2777</v>
      </c>
      <c r="C2624" s="104" t="s">
        <v>28</v>
      </c>
      <c r="D2624" s="129" t="s">
        <v>21988</v>
      </c>
    </row>
    <row r="2625" spans="1:4">
      <c r="A2625" s="105">
        <v>95955</v>
      </c>
      <c r="B2625" s="104" t="s">
        <v>2778</v>
      </c>
      <c r="C2625" s="104" t="s">
        <v>28</v>
      </c>
      <c r="D2625" s="129" t="s">
        <v>21989</v>
      </c>
    </row>
    <row r="2626" spans="1:4">
      <c r="A2626" s="105">
        <v>95956</v>
      </c>
      <c r="B2626" s="104" t="s">
        <v>2779</v>
      </c>
      <c r="C2626" s="104" t="s">
        <v>28</v>
      </c>
      <c r="D2626" s="129" t="s">
        <v>21990</v>
      </c>
    </row>
    <row r="2627" spans="1:4">
      <c r="A2627" s="105">
        <v>95957</v>
      </c>
      <c r="B2627" s="104" t="s">
        <v>2780</v>
      </c>
      <c r="C2627" s="104" t="s">
        <v>28</v>
      </c>
      <c r="D2627" s="129" t="s">
        <v>21991</v>
      </c>
    </row>
    <row r="2628" spans="1:4">
      <c r="A2628" s="105">
        <v>95969</v>
      </c>
      <c r="B2628" s="104" t="s">
        <v>2781</v>
      </c>
      <c r="C2628" s="104" t="s">
        <v>28</v>
      </c>
      <c r="D2628" s="129" t="s">
        <v>21992</v>
      </c>
    </row>
    <row r="2629" spans="1:4">
      <c r="A2629" s="105">
        <v>97733</v>
      </c>
      <c r="B2629" s="104" t="s">
        <v>2782</v>
      </c>
      <c r="C2629" s="104" t="s">
        <v>28</v>
      </c>
      <c r="D2629" s="129" t="s">
        <v>21993</v>
      </c>
    </row>
    <row r="2630" spans="1:4">
      <c r="A2630" s="105">
        <v>97734</v>
      </c>
      <c r="B2630" s="104" t="s">
        <v>2783</v>
      </c>
      <c r="C2630" s="104" t="s">
        <v>28</v>
      </c>
      <c r="D2630" s="129" t="s">
        <v>21994</v>
      </c>
    </row>
    <row r="2631" spans="1:4">
      <c r="A2631" s="105">
        <v>97735</v>
      </c>
      <c r="B2631" s="104" t="s">
        <v>2784</v>
      </c>
      <c r="C2631" s="104" t="s">
        <v>28</v>
      </c>
      <c r="D2631" s="129" t="s">
        <v>21995</v>
      </c>
    </row>
    <row r="2632" spans="1:4">
      <c r="A2632" s="105">
        <v>97736</v>
      </c>
      <c r="B2632" s="104" t="s">
        <v>2785</v>
      </c>
      <c r="C2632" s="104" t="s">
        <v>28</v>
      </c>
      <c r="D2632" s="129" t="s">
        <v>21996</v>
      </c>
    </row>
    <row r="2633" spans="1:4">
      <c r="A2633" s="105">
        <v>97737</v>
      </c>
      <c r="B2633" s="104" t="s">
        <v>2786</v>
      </c>
      <c r="C2633" s="104" t="s">
        <v>28</v>
      </c>
      <c r="D2633" s="129" t="s">
        <v>21997</v>
      </c>
    </row>
    <row r="2634" spans="1:4">
      <c r="A2634" s="105">
        <v>97738</v>
      </c>
      <c r="B2634" s="104" t="s">
        <v>2787</v>
      </c>
      <c r="C2634" s="104" t="s">
        <v>28</v>
      </c>
      <c r="D2634" s="129" t="s">
        <v>21998</v>
      </c>
    </row>
    <row r="2635" spans="1:4">
      <c r="A2635" s="105">
        <v>97739</v>
      </c>
      <c r="B2635" s="104" t="s">
        <v>2788</v>
      </c>
      <c r="C2635" s="104" t="s">
        <v>28</v>
      </c>
      <c r="D2635" s="129" t="s">
        <v>21999</v>
      </c>
    </row>
    <row r="2636" spans="1:4">
      <c r="A2636" s="105">
        <v>97740</v>
      </c>
      <c r="B2636" s="104" t="s">
        <v>2789</v>
      </c>
      <c r="C2636" s="104" t="s">
        <v>28</v>
      </c>
      <c r="D2636" s="129" t="s">
        <v>22000</v>
      </c>
    </row>
    <row r="2637" spans="1:4">
      <c r="A2637" s="105">
        <v>98615</v>
      </c>
      <c r="B2637" s="104" t="s">
        <v>2790</v>
      </c>
      <c r="C2637" s="104" t="s">
        <v>12</v>
      </c>
      <c r="D2637" s="129" t="s">
        <v>22001</v>
      </c>
    </row>
    <row r="2638" spans="1:4">
      <c r="A2638" s="105">
        <v>98616</v>
      </c>
      <c r="B2638" s="104" t="s">
        <v>2791</v>
      </c>
      <c r="C2638" s="104" t="s">
        <v>12</v>
      </c>
      <c r="D2638" s="129" t="s">
        <v>22002</v>
      </c>
    </row>
    <row r="2639" spans="1:4">
      <c r="A2639" s="105">
        <v>98617</v>
      </c>
      <c r="B2639" s="104" t="s">
        <v>2792</v>
      </c>
      <c r="C2639" s="104" t="s">
        <v>12</v>
      </c>
      <c r="D2639" s="129" t="s">
        <v>22003</v>
      </c>
    </row>
    <row r="2640" spans="1:4">
      <c r="A2640" s="105">
        <v>98618</v>
      </c>
      <c r="B2640" s="104" t="s">
        <v>2793</v>
      </c>
      <c r="C2640" s="104" t="s">
        <v>12</v>
      </c>
      <c r="D2640" s="129" t="s">
        <v>22004</v>
      </c>
    </row>
    <row r="2641" spans="1:4">
      <c r="A2641" s="105">
        <v>98619</v>
      </c>
      <c r="B2641" s="104" t="s">
        <v>2794</v>
      </c>
      <c r="C2641" s="104" t="s">
        <v>12</v>
      </c>
      <c r="D2641" s="129" t="s">
        <v>22005</v>
      </c>
    </row>
    <row r="2642" spans="1:4">
      <c r="A2642" s="105">
        <v>98620</v>
      </c>
      <c r="B2642" s="104" t="s">
        <v>2795</v>
      </c>
      <c r="C2642" s="104" t="s">
        <v>12</v>
      </c>
      <c r="D2642" s="129" t="s">
        <v>22006</v>
      </c>
    </row>
    <row r="2643" spans="1:4">
      <c r="A2643" s="105">
        <v>98621</v>
      </c>
      <c r="B2643" s="104" t="s">
        <v>2796</v>
      </c>
      <c r="C2643" s="104" t="s">
        <v>12</v>
      </c>
      <c r="D2643" s="129" t="s">
        <v>22007</v>
      </c>
    </row>
    <row r="2644" spans="1:4">
      <c r="A2644" s="105">
        <v>98622</v>
      </c>
      <c r="B2644" s="104" t="s">
        <v>2797</v>
      </c>
      <c r="C2644" s="104" t="s">
        <v>12</v>
      </c>
      <c r="D2644" s="129" t="s">
        <v>22008</v>
      </c>
    </row>
    <row r="2645" spans="1:4">
      <c r="A2645" s="105">
        <v>98623</v>
      </c>
      <c r="B2645" s="104" t="s">
        <v>2798</v>
      </c>
      <c r="C2645" s="104" t="s">
        <v>12</v>
      </c>
      <c r="D2645" s="129" t="s">
        <v>22009</v>
      </c>
    </row>
    <row r="2646" spans="1:4">
      <c r="A2646" s="105">
        <v>98624</v>
      </c>
      <c r="B2646" s="104" t="s">
        <v>2799</v>
      </c>
      <c r="C2646" s="104" t="s">
        <v>12</v>
      </c>
      <c r="D2646" s="129" t="s">
        <v>22010</v>
      </c>
    </row>
    <row r="2647" spans="1:4">
      <c r="A2647" s="105">
        <v>98625</v>
      </c>
      <c r="B2647" s="104" t="s">
        <v>2800</v>
      </c>
      <c r="C2647" s="104" t="s">
        <v>12</v>
      </c>
      <c r="D2647" s="129" t="s">
        <v>22011</v>
      </c>
    </row>
    <row r="2648" spans="1:4">
      <c r="A2648" s="105">
        <v>98626</v>
      </c>
      <c r="B2648" s="104" t="s">
        <v>2801</v>
      </c>
      <c r="C2648" s="104" t="s">
        <v>12</v>
      </c>
      <c r="D2648" s="129" t="s">
        <v>22012</v>
      </c>
    </row>
    <row r="2649" spans="1:4">
      <c r="A2649" s="105">
        <v>98655</v>
      </c>
      <c r="B2649" s="104" t="s">
        <v>2802</v>
      </c>
      <c r="C2649" s="104" t="s">
        <v>40</v>
      </c>
      <c r="D2649" s="129" t="s">
        <v>22013</v>
      </c>
    </row>
    <row r="2650" spans="1:4">
      <c r="A2650" s="105">
        <v>98656</v>
      </c>
      <c r="B2650" s="104" t="s">
        <v>2803</v>
      </c>
      <c r="C2650" s="104" t="s">
        <v>40</v>
      </c>
      <c r="D2650" s="129" t="s">
        <v>22014</v>
      </c>
    </row>
    <row r="2651" spans="1:4">
      <c r="A2651" s="105">
        <v>98657</v>
      </c>
      <c r="B2651" s="104" t="s">
        <v>2804</v>
      </c>
      <c r="C2651" s="104" t="s">
        <v>40</v>
      </c>
      <c r="D2651" s="129" t="s">
        <v>22015</v>
      </c>
    </row>
    <row r="2652" spans="1:4">
      <c r="A2652" s="105">
        <v>98658</v>
      </c>
      <c r="B2652" s="104" t="s">
        <v>2805</v>
      </c>
      <c r="C2652" s="104" t="s">
        <v>40</v>
      </c>
      <c r="D2652" s="129" t="s">
        <v>22016</v>
      </c>
    </row>
    <row r="2653" spans="1:4">
      <c r="A2653" s="105">
        <v>98659</v>
      </c>
      <c r="B2653" s="104" t="s">
        <v>2806</v>
      </c>
      <c r="C2653" s="104" t="s">
        <v>40</v>
      </c>
      <c r="D2653" s="129" t="s">
        <v>22017</v>
      </c>
    </row>
    <row r="2654" spans="1:4">
      <c r="A2654" s="105">
        <v>98746</v>
      </c>
      <c r="B2654" s="104" t="s">
        <v>2807</v>
      </c>
      <c r="C2654" s="104" t="s">
        <v>40</v>
      </c>
      <c r="D2654" s="129" t="s">
        <v>22018</v>
      </c>
    </row>
    <row r="2655" spans="1:4">
      <c r="A2655" s="105">
        <v>98749</v>
      </c>
      <c r="B2655" s="104" t="s">
        <v>2808</v>
      </c>
      <c r="C2655" s="104" t="s">
        <v>40</v>
      </c>
      <c r="D2655" s="129" t="s">
        <v>22019</v>
      </c>
    </row>
    <row r="2656" spans="1:4">
      <c r="A2656" s="105">
        <v>98750</v>
      </c>
      <c r="B2656" s="104" t="s">
        <v>2809</v>
      </c>
      <c r="C2656" s="104" t="s">
        <v>40</v>
      </c>
      <c r="D2656" s="129" t="s">
        <v>22020</v>
      </c>
    </row>
    <row r="2657" spans="1:4">
      <c r="A2657" s="105">
        <v>98751</v>
      </c>
      <c r="B2657" s="104" t="s">
        <v>2810</v>
      </c>
      <c r="C2657" s="104" t="s">
        <v>40</v>
      </c>
      <c r="D2657" s="129" t="s">
        <v>22021</v>
      </c>
    </row>
    <row r="2658" spans="1:4">
      <c r="A2658" s="105">
        <v>98752</v>
      </c>
      <c r="B2658" s="104" t="s">
        <v>2811</v>
      </c>
      <c r="C2658" s="104" t="s">
        <v>40</v>
      </c>
      <c r="D2658" s="129" t="s">
        <v>22022</v>
      </c>
    </row>
    <row r="2659" spans="1:4">
      <c r="A2659" s="105">
        <v>98753</v>
      </c>
      <c r="B2659" s="104" t="s">
        <v>2812</v>
      </c>
      <c r="C2659" s="104" t="s">
        <v>40</v>
      </c>
      <c r="D2659" s="129" t="s">
        <v>22023</v>
      </c>
    </row>
    <row r="2660" spans="1:4">
      <c r="A2660" s="105">
        <v>100763</v>
      </c>
      <c r="B2660" s="104" t="s">
        <v>2813</v>
      </c>
      <c r="C2660" s="104" t="s">
        <v>41</v>
      </c>
      <c r="D2660" s="129" t="s">
        <v>16914</v>
      </c>
    </row>
    <row r="2661" spans="1:4">
      <c r="A2661" s="105">
        <v>100764</v>
      </c>
      <c r="B2661" s="104" t="s">
        <v>2814</v>
      </c>
      <c r="C2661" s="104" t="s">
        <v>41</v>
      </c>
      <c r="D2661" s="129" t="s">
        <v>22024</v>
      </c>
    </row>
    <row r="2662" spans="1:4">
      <c r="A2662" s="105">
        <v>100765</v>
      </c>
      <c r="B2662" s="104" t="s">
        <v>2815</v>
      </c>
      <c r="C2662" s="104" t="s">
        <v>41</v>
      </c>
      <c r="D2662" s="129" t="s">
        <v>19230</v>
      </c>
    </row>
    <row r="2663" spans="1:4">
      <c r="A2663" s="105">
        <v>100766</v>
      </c>
      <c r="B2663" s="104" t="s">
        <v>2816</v>
      </c>
      <c r="C2663" s="104" t="s">
        <v>41</v>
      </c>
      <c r="D2663" s="129" t="s">
        <v>22025</v>
      </c>
    </row>
    <row r="2664" spans="1:4">
      <c r="A2664" s="105">
        <v>100767</v>
      </c>
      <c r="B2664" s="104" t="s">
        <v>2817</v>
      </c>
      <c r="C2664" s="104" t="s">
        <v>41</v>
      </c>
      <c r="D2664" s="129" t="s">
        <v>18075</v>
      </c>
    </row>
    <row r="2665" spans="1:4">
      <c r="A2665" s="105">
        <v>100768</v>
      </c>
      <c r="B2665" s="104" t="s">
        <v>2818</v>
      </c>
      <c r="C2665" s="104" t="s">
        <v>41</v>
      </c>
      <c r="D2665" s="129" t="s">
        <v>19217</v>
      </c>
    </row>
    <row r="2666" spans="1:4">
      <c r="A2666" s="105">
        <v>100769</v>
      </c>
      <c r="B2666" s="104" t="s">
        <v>2819</v>
      </c>
      <c r="C2666" s="104" t="s">
        <v>41</v>
      </c>
      <c r="D2666" s="129" t="s">
        <v>22026</v>
      </c>
    </row>
    <row r="2667" spans="1:4">
      <c r="A2667" s="105">
        <v>100770</v>
      </c>
      <c r="B2667" s="104" t="s">
        <v>2820</v>
      </c>
      <c r="C2667" s="104" t="s">
        <v>41</v>
      </c>
      <c r="D2667" s="129" t="s">
        <v>22027</v>
      </c>
    </row>
    <row r="2668" spans="1:4">
      <c r="A2668" s="105">
        <v>100771</v>
      </c>
      <c r="B2668" s="104" t="s">
        <v>2821</v>
      </c>
      <c r="C2668" s="104" t="s">
        <v>41</v>
      </c>
      <c r="D2668" s="129" t="s">
        <v>15902</v>
      </c>
    </row>
    <row r="2669" spans="1:4">
      <c r="A2669" s="105">
        <v>100772</v>
      </c>
      <c r="B2669" s="104" t="s">
        <v>2822</v>
      </c>
      <c r="C2669" s="104" t="s">
        <v>41</v>
      </c>
      <c r="D2669" s="129" t="s">
        <v>16653</v>
      </c>
    </row>
    <row r="2670" spans="1:4">
      <c r="A2670" s="105">
        <v>100773</v>
      </c>
      <c r="B2670" s="104" t="s">
        <v>2823</v>
      </c>
      <c r="C2670" s="104" t="s">
        <v>41</v>
      </c>
      <c r="D2670" s="129" t="s">
        <v>22028</v>
      </c>
    </row>
    <row r="2671" spans="1:4">
      <c r="A2671" s="105">
        <v>100774</v>
      </c>
      <c r="B2671" s="104" t="s">
        <v>2824</v>
      </c>
      <c r="C2671" s="104" t="s">
        <v>41</v>
      </c>
      <c r="D2671" s="129" t="s">
        <v>21874</v>
      </c>
    </row>
    <row r="2672" spans="1:4">
      <c r="A2672" s="105">
        <v>100775</v>
      </c>
      <c r="B2672" s="104" t="s">
        <v>2825</v>
      </c>
      <c r="C2672" s="104" t="s">
        <v>41</v>
      </c>
      <c r="D2672" s="129" t="s">
        <v>19423</v>
      </c>
    </row>
    <row r="2673" spans="1:4">
      <c r="A2673" s="105">
        <v>100776</v>
      </c>
      <c r="B2673" s="104" t="s">
        <v>2826</v>
      </c>
      <c r="C2673" s="104" t="s">
        <v>41</v>
      </c>
      <c r="D2673" s="129" t="s">
        <v>17146</v>
      </c>
    </row>
    <row r="2674" spans="1:4">
      <c r="A2674" s="105">
        <v>100777</v>
      </c>
      <c r="B2674" s="104" t="s">
        <v>2827</v>
      </c>
      <c r="C2674" s="104" t="s">
        <v>41</v>
      </c>
      <c r="D2674" s="129" t="s">
        <v>17901</v>
      </c>
    </row>
    <row r="2675" spans="1:4">
      <c r="A2675" s="105">
        <v>100778</v>
      </c>
      <c r="B2675" s="104" t="s">
        <v>2828</v>
      </c>
      <c r="C2675" s="104" t="s">
        <v>41</v>
      </c>
      <c r="D2675" s="129" t="s">
        <v>20386</v>
      </c>
    </row>
    <row r="2676" spans="1:4">
      <c r="A2676" s="105">
        <v>98560</v>
      </c>
      <c r="B2676" s="104" t="s">
        <v>2829</v>
      </c>
      <c r="C2676" s="104" t="s">
        <v>12</v>
      </c>
      <c r="D2676" s="129" t="s">
        <v>22029</v>
      </c>
    </row>
    <row r="2677" spans="1:4">
      <c r="A2677" s="105">
        <v>98561</v>
      </c>
      <c r="B2677" s="104" t="s">
        <v>2830</v>
      </c>
      <c r="C2677" s="104" t="s">
        <v>12</v>
      </c>
      <c r="D2677" s="129" t="s">
        <v>18712</v>
      </c>
    </row>
    <row r="2678" spans="1:4">
      <c r="A2678" s="105">
        <v>98562</v>
      </c>
      <c r="B2678" s="104" t="s">
        <v>2831</v>
      </c>
      <c r="C2678" s="104" t="s">
        <v>12</v>
      </c>
      <c r="D2678" s="129" t="s">
        <v>22030</v>
      </c>
    </row>
    <row r="2679" spans="1:4">
      <c r="A2679" s="105">
        <v>98555</v>
      </c>
      <c r="B2679" s="104" t="s">
        <v>2832</v>
      </c>
      <c r="C2679" s="104" t="s">
        <v>12</v>
      </c>
      <c r="D2679" s="129" t="s">
        <v>22031</v>
      </c>
    </row>
    <row r="2680" spans="1:4">
      <c r="A2680" s="105">
        <v>98556</v>
      </c>
      <c r="B2680" s="104" t="s">
        <v>2833</v>
      </c>
      <c r="C2680" s="104" t="s">
        <v>12</v>
      </c>
      <c r="D2680" s="129" t="s">
        <v>18488</v>
      </c>
    </row>
    <row r="2681" spans="1:4">
      <c r="A2681" s="105">
        <v>98558</v>
      </c>
      <c r="B2681" s="104" t="s">
        <v>2834</v>
      </c>
      <c r="C2681" s="104" t="s">
        <v>183</v>
      </c>
      <c r="D2681" s="129" t="s">
        <v>15007</v>
      </c>
    </row>
    <row r="2682" spans="1:4">
      <c r="A2682" s="105">
        <v>98559</v>
      </c>
      <c r="B2682" s="104" t="s">
        <v>2835</v>
      </c>
      <c r="C2682" s="104" t="s">
        <v>40</v>
      </c>
      <c r="D2682" s="129" t="s">
        <v>22032</v>
      </c>
    </row>
    <row r="2683" spans="1:4">
      <c r="A2683" s="105">
        <v>98546</v>
      </c>
      <c r="B2683" s="104" t="s">
        <v>2836</v>
      </c>
      <c r="C2683" s="104" t="s">
        <v>12</v>
      </c>
      <c r="D2683" s="129" t="s">
        <v>22033</v>
      </c>
    </row>
    <row r="2684" spans="1:4">
      <c r="A2684" s="105">
        <v>98547</v>
      </c>
      <c r="B2684" s="104" t="s">
        <v>2837</v>
      </c>
      <c r="C2684" s="104" t="s">
        <v>12</v>
      </c>
      <c r="D2684" s="129" t="s">
        <v>22034</v>
      </c>
    </row>
    <row r="2685" spans="1:4">
      <c r="A2685" s="105">
        <v>98553</v>
      </c>
      <c r="B2685" s="104" t="s">
        <v>2838</v>
      </c>
      <c r="C2685" s="104" t="s">
        <v>12</v>
      </c>
      <c r="D2685" s="129" t="s">
        <v>22035</v>
      </c>
    </row>
    <row r="2686" spans="1:4">
      <c r="A2686" s="105">
        <v>98554</v>
      </c>
      <c r="B2686" s="104" t="s">
        <v>2839</v>
      </c>
      <c r="C2686" s="104" t="s">
        <v>12</v>
      </c>
      <c r="D2686" s="129" t="s">
        <v>22036</v>
      </c>
    </row>
    <row r="2687" spans="1:4">
      <c r="A2687" s="105">
        <v>98557</v>
      </c>
      <c r="B2687" s="104" t="s">
        <v>2840</v>
      </c>
      <c r="C2687" s="104" t="s">
        <v>12</v>
      </c>
      <c r="D2687" s="129" t="s">
        <v>22037</v>
      </c>
    </row>
    <row r="2688" spans="1:4">
      <c r="A2688" s="105">
        <v>98563</v>
      </c>
      <c r="B2688" s="104" t="s">
        <v>2841</v>
      </c>
      <c r="C2688" s="104" t="s">
        <v>12</v>
      </c>
      <c r="D2688" s="129" t="s">
        <v>22038</v>
      </c>
    </row>
    <row r="2689" spans="1:4">
      <c r="A2689" s="105">
        <v>98564</v>
      </c>
      <c r="B2689" s="104" t="s">
        <v>2842</v>
      </c>
      <c r="C2689" s="104" t="s">
        <v>12</v>
      </c>
      <c r="D2689" s="129" t="s">
        <v>15718</v>
      </c>
    </row>
    <row r="2690" spans="1:4">
      <c r="A2690" s="105">
        <v>98565</v>
      </c>
      <c r="B2690" s="104" t="s">
        <v>2843</v>
      </c>
      <c r="C2690" s="104" t="s">
        <v>12</v>
      </c>
      <c r="D2690" s="129" t="s">
        <v>22039</v>
      </c>
    </row>
    <row r="2691" spans="1:4">
      <c r="A2691" s="105">
        <v>98566</v>
      </c>
      <c r="B2691" s="104" t="s">
        <v>2844</v>
      </c>
      <c r="C2691" s="104" t="s">
        <v>12</v>
      </c>
      <c r="D2691" s="129" t="s">
        <v>15343</v>
      </c>
    </row>
    <row r="2692" spans="1:4">
      <c r="A2692" s="105">
        <v>98567</v>
      </c>
      <c r="B2692" s="104" t="s">
        <v>2845</v>
      </c>
      <c r="C2692" s="104" t="s">
        <v>12</v>
      </c>
      <c r="D2692" s="129" t="s">
        <v>20528</v>
      </c>
    </row>
    <row r="2693" spans="1:4">
      <c r="A2693" s="105">
        <v>98568</v>
      </c>
      <c r="B2693" s="104" t="s">
        <v>2846</v>
      </c>
      <c r="C2693" s="104" t="s">
        <v>12</v>
      </c>
      <c r="D2693" s="129" t="s">
        <v>22040</v>
      </c>
    </row>
    <row r="2694" spans="1:4">
      <c r="A2694" s="105">
        <v>98569</v>
      </c>
      <c r="B2694" s="104" t="s">
        <v>2847</v>
      </c>
      <c r="C2694" s="104" t="s">
        <v>12</v>
      </c>
      <c r="D2694" s="129" t="s">
        <v>22041</v>
      </c>
    </row>
    <row r="2695" spans="1:4">
      <c r="A2695" s="105">
        <v>98570</v>
      </c>
      <c r="B2695" s="104" t="s">
        <v>2848</v>
      </c>
      <c r="C2695" s="104" t="s">
        <v>12</v>
      </c>
      <c r="D2695" s="129" t="s">
        <v>22042</v>
      </c>
    </row>
    <row r="2696" spans="1:4">
      <c r="A2696" s="105">
        <v>98571</v>
      </c>
      <c r="B2696" s="104" t="s">
        <v>2849</v>
      </c>
      <c r="C2696" s="104" t="s">
        <v>12</v>
      </c>
      <c r="D2696" s="129" t="s">
        <v>18396</v>
      </c>
    </row>
    <row r="2697" spans="1:4">
      <c r="A2697" s="105">
        <v>98572</v>
      </c>
      <c r="B2697" s="104" t="s">
        <v>2850</v>
      </c>
      <c r="C2697" s="104" t="s">
        <v>12</v>
      </c>
      <c r="D2697" s="129" t="s">
        <v>20110</v>
      </c>
    </row>
    <row r="2698" spans="1:4">
      <c r="A2698" s="105">
        <v>98573</v>
      </c>
      <c r="B2698" s="104" t="s">
        <v>2851</v>
      </c>
      <c r="C2698" s="104" t="s">
        <v>12</v>
      </c>
      <c r="D2698" s="129" t="s">
        <v>22043</v>
      </c>
    </row>
    <row r="2699" spans="1:4">
      <c r="A2699" s="105">
        <v>91831</v>
      </c>
      <c r="B2699" s="104" t="s">
        <v>2852</v>
      </c>
      <c r="C2699" s="104" t="s">
        <v>40</v>
      </c>
      <c r="D2699" s="129" t="s">
        <v>17564</v>
      </c>
    </row>
    <row r="2700" spans="1:4">
      <c r="A2700" s="105">
        <v>91833</v>
      </c>
      <c r="B2700" s="104" t="s">
        <v>2853</v>
      </c>
      <c r="C2700" s="104" t="s">
        <v>40</v>
      </c>
      <c r="D2700" s="129" t="s">
        <v>17726</v>
      </c>
    </row>
    <row r="2701" spans="1:4">
      <c r="A2701" s="105">
        <v>91834</v>
      </c>
      <c r="B2701" s="104" t="s">
        <v>2854</v>
      </c>
      <c r="C2701" s="104" t="s">
        <v>40</v>
      </c>
      <c r="D2701" s="129" t="s">
        <v>15321</v>
      </c>
    </row>
    <row r="2702" spans="1:4">
      <c r="A2702" s="105">
        <v>91835</v>
      </c>
      <c r="B2702" s="104" t="s">
        <v>2855</v>
      </c>
      <c r="C2702" s="104" t="s">
        <v>40</v>
      </c>
      <c r="D2702" s="129" t="s">
        <v>18065</v>
      </c>
    </row>
    <row r="2703" spans="1:4">
      <c r="A2703" s="105">
        <v>91836</v>
      </c>
      <c r="B2703" s="104" t="s">
        <v>2856</v>
      </c>
      <c r="C2703" s="104" t="s">
        <v>40</v>
      </c>
      <c r="D2703" s="129" t="s">
        <v>15745</v>
      </c>
    </row>
    <row r="2704" spans="1:4">
      <c r="A2704" s="105">
        <v>91837</v>
      </c>
      <c r="B2704" s="104" t="s">
        <v>2857</v>
      </c>
      <c r="C2704" s="104" t="s">
        <v>40</v>
      </c>
      <c r="D2704" s="129" t="s">
        <v>18035</v>
      </c>
    </row>
    <row r="2705" spans="1:4">
      <c r="A2705" s="105">
        <v>91839</v>
      </c>
      <c r="B2705" s="104" t="s">
        <v>2858</v>
      </c>
      <c r="C2705" s="104" t="s">
        <v>40</v>
      </c>
      <c r="D2705" s="129" t="s">
        <v>22044</v>
      </c>
    </row>
    <row r="2706" spans="1:4">
      <c r="A2706" s="105">
        <v>91840</v>
      </c>
      <c r="B2706" s="104" t="s">
        <v>2859</v>
      </c>
      <c r="C2706" s="104" t="s">
        <v>40</v>
      </c>
      <c r="D2706" s="129" t="s">
        <v>19264</v>
      </c>
    </row>
    <row r="2707" spans="1:4">
      <c r="A2707" s="105">
        <v>91841</v>
      </c>
      <c r="B2707" s="104" t="s">
        <v>2860</v>
      </c>
      <c r="C2707" s="104" t="s">
        <v>40</v>
      </c>
      <c r="D2707" s="129" t="s">
        <v>22045</v>
      </c>
    </row>
    <row r="2708" spans="1:4">
      <c r="A2708" s="105">
        <v>91842</v>
      </c>
      <c r="B2708" s="104" t="s">
        <v>2861</v>
      </c>
      <c r="C2708" s="104" t="s">
        <v>40</v>
      </c>
      <c r="D2708" s="129" t="s">
        <v>15311</v>
      </c>
    </row>
    <row r="2709" spans="1:4">
      <c r="A2709" s="105">
        <v>91843</v>
      </c>
      <c r="B2709" s="104" t="s">
        <v>2862</v>
      </c>
      <c r="C2709" s="104" t="s">
        <v>40</v>
      </c>
      <c r="D2709" s="129" t="s">
        <v>17230</v>
      </c>
    </row>
    <row r="2710" spans="1:4">
      <c r="A2710" s="105">
        <v>91844</v>
      </c>
      <c r="B2710" s="104" t="s">
        <v>2863</v>
      </c>
      <c r="C2710" s="104" t="s">
        <v>40</v>
      </c>
      <c r="D2710" s="129" t="s">
        <v>19257</v>
      </c>
    </row>
    <row r="2711" spans="1:4">
      <c r="A2711" s="105">
        <v>91845</v>
      </c>
      <c r="B2711" s="104" t="s">
        <v>2864</v>
      </c>
      <c r="C2711" s="104" t="s">
        <v>40</v>
      </c>
      <c r="D2711" s="129" t="s">
        <v>17261</v>
      </c>
    </row>
    <row r="2712" spans="1:4">
      <c r="A2712" s="105">
        <v>91846</v>
      </c>
      <c r="B2712" s="104" t="s">
        <v>2865</v>
      </c>
      <c r="C2712" s="104" t="s">
        <v>40</v>
      </c>
      <c r="D2712" s="129" t="s">
        <v>19214</v>
      </c>
    </row>
    <row r="2713" spans="1:4">
      <c r="A2713" s="105">
        <v>91847</v>
      </c>
      <c r="B2713" s="104" t="s">
        <v>2866</v>
      </c>
      <c r="C2713" s="104" t="s">
        <v>40</v>
      </c>
      <c r="D2713" s="129" t="s">
        <v>22046</v>
      </c>
    </row>
    <row r="2714" spans="1:4">
      <c r="A2714" s="105">
        <v>91849</v>
      </c>
      <c r="B2714" s="104" t="s">
        <v>2867</v>
      </c>
      <c r="C2714" s="104" t="s">
        <v>40</v>
      </c>
      <c r="D2714" s="129" t="s">
        <v>22047</v>
      </c>
    </row>
    <row r="2715" spans="1:4">
      <c r="A2715" s="105">
        <v>91850</v>
      </c>
      <c r="B2715" s="104" t="s">
        <v>2868</v>
      </c>
      <c r="C2715" s="104" t="s">
        <v>40</v>
      </c>
      <c r="D2715" s="129" t="s">
        <v>14825</v>
      </c>
    </row>
    <row r="2716" spans="1:4">
      <c r="A2716" s="105">
        <v>91851</v>
      </c>
      <c r="B2716" s="104" t="s">
        <v>2869</v>
      </c>
      <c r="C2716" s="104" t="s">
        <v>40</v>
      </c>
      <c r="D2716" s="129" t="s">
        <v>15104</v>
      </c>
    </row>
    <row r="2717" spans="1:4">
      <c r="A2717" s="105">
        <v>91852</v>
      </c>
      <c r="B2717" s="104" t="s">
        <v>2870</v>
      </c>
      <c r="C2717" s="104" t="s">
        <v>40</v>
      </c>
      <c r="D2717" s="129" t="s">
        <v>18235</v>
      </c>
    </row>
    <row r="2718" spans="1:4">
      <c r="A2718" s="105">
        <v>91853</v>
      </c>
      <c r="B2718" s="104" t="s">
        <v>2871</v>
      </c>
      <c r="C2718" s="104" t="s">
        <v>40</v>
      </c>
      <c r="D2718" s="129" t="s">
        <v>17273</v>
      </c>
    </row>
    <row r="2719" spans="1:4">
      <c r="A2719" s="105">
        <v>91854</v>
      </c>
      <c r="B2719" s="104" t="s">
        <v>2872</v>
      </c>
      <c r="C2719" s="104" t="s">
        <v>40</v>
      </c>
      <c r="D2719" s="129" t="s">
        <v>17796</v>
      </c>
    </row>
    <row r="2720" spans="1:4">
      <c r="A2720" s="105">
        <v>91855</v>
      </c>
      <c r="B2720" s="104" t="s">
        <v>2873</v>
      </c>
      <c r="C2720" s="104" t="s">
        <v>40</v>
      </c>
      <c r="D2720" s="129" t="s">
        <v>18338</v>
      </c>
    </row>
    <row r="2721" spans="1:4">
      <c r="A2721" s="105">
        <v>91856</v>
      </c>
      <c r="B2721" s="104" t="s">
        <v>2874</v>
      </c>
      <c r="C2721" s="104" t="s">
        <v>40</v>
      </c>
      <c r="D2721" s="129" t="s">
        <v>18107</v>
      </c>
    </row>
    <row r="2722" spans="1:4">
      <c r="A2722" s="105">
        <v>91857</v>
      </c>
      <c r="B2722" s="104" t="s">
        <v>2875</v>
      </c>
      <c r="C2722" s="104" t="s">
        <v>40</v>
      </c>
      <c r="D2722" s="129" t="s">
        <v>22048</v>
      </c>
    </row>
    <row r="2723" spans="1:4">
      <c r="A2723" s="105">
        <v>91859</v>
      </c>
      <c r="B2723" s="104" t="s">
        <v>2876</v>
      </c>
      <c r="C2723" s="104" t="s">
        <v>40</v>
      </c>
      <c r="D2723" s="129" t="s">
        <v>15824</v>
      </c>
    </row>
    <row r="2724" spans="1:4">
      <c r="A2724" s="105">
        <v>91860</v>
      </c>
      <c r="B2724" s="104" t="s">
        <v>2877</v>
      </c>
      <c r="C2724" s="104" t="s">
        <v>40</v>
      </c>
      <c r="D2724" s="129" t="s">
        <v>21891</v>
      </c>
    </row>
    <row r="2725" spans="1:4">
      <c r="A2725" s="105">
        <v>91861</v>
      </c>
      <c r="B2725" s="104" t="s">
        <v>2878</v>
      </c>
      <c r="C2725" s="104" t="s">
        <v>40</v>
      </c>
      <c r="D2725" s="129" t="s">
        <v>19288</v>
      </c>
    </row>
    <row r="2726" spans="1:4">
      <c r="A2726" s="105">
        <v>91862</v>
      </c>
      <c r="B2726" s="104" t="s">
        <v>2879</v>
      </c>
      <c r="C2726" s="104" t="s">
        <v>40</v>
      </c>
      <c r="D2726" s="129" t="s">
        <v>22049</v>
      </c>
    </row>
    <row r="2727" spans="1:4">
      <c r="A2727" s="105">
        <v>91863</v>
      </c>
      <c r="B2727" s="104" t="s">
        <v>2880</v>
      </c>
      <c r="C2727" s="104" t="s">
        <v>40</v>
      </c>
      <c r="D2727" s="129" t="s">
        <v>22050</v>
      </c>
    </row>
    <row r="2728" spans="1:4">
      <c r="A2728" s="105">
        <v>91864</v>
      </c>
      <c r="B2728" s="104" t="s">
        <v>2881</v>
      </c>
      <c r="C2728" s="104" t="s">
        <v>40</v>
      </c>
      <c r="D2728" s="129" t="s">
        <v>22051</v>
      </c>
    </row>
    <row r="2729" spans="1:4">
      <c r="A2729" s="105">
        <v>91865</v>
      </c>
      <c r="B2729" s="104" t="s">
        <v>2882</v>
      </c>
      <c r="C2729" s="104" t="s">
        <v>40</v>
      </c>
      <c r="D2729" s="129" t="s">
        <v>17794</v>
      </c>
    </row>
    <row r="2730" spans="1:4">
      <c r="A2730" s="105">
        <v>91866</v>
      </c>
      <c r="B2730" s="104" t="s">
        <v>2883</v>
      </c>
      <c r="C2730" s="104" t="s">
        <v>40</v>
      </c>
      <c r="D2730" s="129" t="s">
        <v>20178</v>
      </c>
    </row>
    <row r="2731" spans="1:4">
      <c r="A2731" s="105">
        <v>91867</v>
      </c>
      <c r="B2731" s="104" t="s">
        <v>2884</v>
      </c>
      <c r="C2731" s="104" t="s">
        <v>40</v>
      </c>
      <c r="D2731" s="129" t="s">
        <v>17264</v>
      </c>
    </row>
    <row r="2732" spans="1:4">
      <c r="A2732" s="105">
        <v>91868</v>
      </c>
      <c r="B2732" s="104" t="s">
        <v>2885</v>
      </c>
      <c r="C2732" s="104" t="s">
        <v>40</v>
      </c>
      <c r="D2732" s="129" t="s">
        <v>22052</v>
      </c>
    </row>
    <row r="2733" spans="1:4">
      <c r="A2733" s="105">
        <v>91869</v>
      </c>
      <c r="B2733" s="104" t="s">
        <v>2886</v>
      </c>
      <c r="C2733" s="104" t="s">
        <v>40</v>
      </c>
      <c r="D2733" s="129" t="s">
        <v>16961</v>
      </c>
    </row>
    <row r="2734" spans="1:4">
      <c r="A2734" s="105">
        <v>91870</v>
      </c>
      <c r="B2734" s="104" t="s">
        <v>2887</v>
      </c>
      <c r="C2734" s="104" t="s">
        <v>40</v>
      </c>
      <c r="D2734" s="129" t="s">
        <v>22053</v>
      </c>
    </row>
    <row r="2735" spans="1:4">
      <c r="A2735" s="105">
        <v>91871</v>
      </c>
      <c r="B2735" s="104" t="s">
        <v>2888</v>
      </c>
      <c r="C2735" s="104" t="s">
        <v>40</v>
      </c>
      <c r="D2735" s="129" t="s">
        <v>22054</v>
      </c>
    </row>
    <row r="2736" spans="1:4">
      <c r="A2736" s="105">
        <v>91872</v>
      </c>
      <c r="B2736" s="104" t="s">
        <v>322</v>
      </c>
      <c r="C2736" s="104" t="s">
        <v>40</v>
      </c>
      <c r="D2736" s="129" t="s">
        <v>22055</v>
      </c>
    </row>
    <row r="2737" spans="1:4">
      <c r="A2737" s="105">
        <v>91873</v>
      </c>
      <c r="B2737" s="104" t="s">
        <v>2889</v>
      </c>
      <c r="C2737" s="104" t="s">
        <v>40</v>
      </c>
      <c r="D2737" s="129" t="s">
        <v>15882</v>
      </c>
    </row>
    <row r="2738" spans="1:4">
      <c r="A2738" s="105">
        <v>93008</v>
      </c>
      <c r="B2738" s="104" t="s">
        <v>13700</v>
      </c>
      <c r="C2738" s="104" t="s">
        <v>40</v>
      </c>
      <c r="D2738" s="129" t="s">
        <v>22056</v>
      </c>
    </row>
    <row r="2739" spans="1:4">
      <c r="A2739" s="105">
        <v>93009</v>
      </c>
      <c r="B2739" s="104" t="s">
        <v>13701</v>
      </c>
      <c r="C2739" s="104" t="s">
        <v>40</v>
      </c>
      <c r="D2739" s="129" t="s">
        <v>20361</v>
      </c>
    </row>
    <row r="2740" spans="1:4">
      <c r="A2740" s="105">
        <v>93010</v>
      </c>
      <c r="B2740" s="104" t="s">
        <v>13702</v>
      </c>
      <c r="C2740" s="104" t="s">
        <v>40</v>
      </c>
      <c r="D2740" s="129" t="s">
        <v>21952</v>
      </c>
    </row>
    <row r="2741" spans="1:4">
      <c r="A2741" s="105">
        <v>93011</v>
      </c>
      <c r="B2741" s="104" t="s">
        <v>13703</v>
      </c>
      <c r="C2741" s="104" t="s">
        <v>40</v>
      </c>
      <c r="D2741" s="129" t="s">
        <v>22057</v>
      </c>
    </row>
    <row r="2742" spans="1:4">
      <c r="A2742" s="105">
        <v>93012</v>
      </c>
      <c r="B2742" s="104" t="s">
        <v>13704</v>
      </c>
      <c r="C2742" s="104" t="s">
        <v>40</v>
      </c>
      <c r="D2742" s="129" t="s">
        <v>22058</v>
      </c>
    </row>
    <row r="2743" spans="1:4">
      <c r="A2743" s="105">
        <v>95726</v>
      </c>
      <c r="B2743" s="104" t="s">
        <v>2890</v>
      </c>
      <c r="C2743" s="104" t="s">
        <v>40</v>
      </c>
      <c r="D2743" s="129" t="s">
        <v>18539</v>
      </c>
    </row>
    <row r="2744" spans="1:4">
      <c r="A2744" s="105">
        <v>95727</v>
      </c>
      <c r="B2744" s="104" t="s">
        <v>2891</v>
      </c>
      <c r="C2744" s="104" t="s">
        <v>40</v>
      </c>
      <c r="D2744" s="129" t="s">
        <v>22059</v>
      </c>
    </row>
    <row r="2745" spans="1:4">
      <c r="A2745" s="105">
        <v>95728</v>
      </c>
      <c r="B2745" s="104" t="s">
        <v>2892</v>
      </c>
      <c r="C2745" s="104" t="s">
        <v>40</v>
      </c>
      <c r="D2745" s="129" t="s">
        <v>15578</v>
      </c>
    </row>
    <row r="2746" spans="1:4">
      <c r="A2746" s="105">
        <v>95729</v>
      </c>
      <c r="B2746" s="104" t="s">
        <v>2893</v>
      </c>
      <c r="C2746" s="104" t="s">
        <v>40</v>
      </c>
      <c r="D2746" s="129" t="s">
        <v>17726</v>
      </c>
    </row>
    <row r="2747" spans="1:4">
      <c r="A2747" s="105">
        <v>95730</v>
      </c>
      <c r="B2747" s="104" t="s">
        <v>2894</v>
      </c>
      <c r="C2747" s="104" t="s">
        <v>40</v>
      </c>
      <c r="D2747" s="129" t="s">
        <v>19616</v>
      </c>
    </row>
    <row r="2748" spans="1:4">
      <c r="A2748" s="105">
        <v>95731</v>
      </c>
      <c r="B2748" s="104" t="s">
        <v>2895</v>
      </c>
      <c r="C2748" s="104" t="s">
        <v>40</v>
      </c>
      <c r="D2748" s="129" t="s">
        <v>21890</v>
      </c>
    </row>
    <row r="2749" spans="1:4">
      <c r="A2749" s="105">
        <v>95732</v>
      </c>
      <c r="B2749" s="104" t="s">
        <v>2896</v>
      </c>
      <c r="C2749" s="104" t="s">
        <v>183</v>
      </c>
      <c r="D2749" s="129" t="s">
        <v>22060</v>
      </c>
    </row>
    <row r="2750" spans="1:4">
      <c r="A2750" s="105">
        <v>95745</v>
      </c>
      <c r="B2750" s="104" t="s">
        <v>2897</v>
      </c>
      <c r="C2750" s="104" t="s">
        <v>40</v>
      </c>
      <c r="D2750" s="129" t="s">
        <v>22061</v>
      </c>
    </row>
    <row r="2751" spans="1:4">
      <c r="A2751" s="105">
        <v>95746</v>
      </c>
      <c r="B2751" s="104" t="s">
        <v>2898</v>
      </c>
      <c r="C2751" s="104" t="s">
        <v>40</v>
      </c>
      <c r="D2751" s="129" t="s">
        <v>22062</v>
      </c>
    </row>
    <row r="2752" spans="1:4">
      <c r="A2752" s="105">
        <v>95747</v>
      </c>
      <c r="B2752" s="104" t="s">
        <v>2899</v>
      </c>
      <c r="C2752" s="104" t="s">
        <v>40</v>
      </c>
      <c r="D2752" s="129" t="s">
        <v>19674</v>
      </c>
    </row>
    <row r="2753" spans="1:4">
      <c r="A2753" s="105">
        <v>95748</v>
      </c>
      <c r="B2753" s="104" t="s">
        <v>2900</v>
      </c>
      <c r="C2753" s="104" t="s">
        <v>40</v>
      </c>
      <c r="D2753" s="129" t="s">
        <v>15367</v>
      </c>
    </row>
    <row r="2754" spans="1:4">
      <c r="A2754" s="105">
        <v>95749</v>
      </c>
      <c r="B2754" s="104" t="s">
        <v>2901</v>
      </c>
      <c r="C2754" s="104" t="s">
        <v>40</v>
      </c>
      <c r="D2754" s="129" t="s">
        <v>22063</v>
      </c>
    </row>
    <row r="2755" spans="1:4">
      <c r="A2755" s="105">
        <v>95750</v>
      </c>
      <c r="B2755" s="104" t="s">
        <v>2902</v>
      </c>
      <c r="C2755" s="104" t="s">
        <v>40</v>
      </c>
      <c r="D2755" s="129" t="s">
        <v>22064</v>
      </c>
    </row>
    <row r="2756" spans="1:4">
      <c r="A2756" s="105">
        <v>95751</v>
      </c>
      <c r="B2756" s="104" t="s">
        <v>2903</v>
      </c>
      <c r="C2756" s="104" t="s">
        <v>40</v>
      </c>
      <c r="D2756" s="129" t="s">
        <v>15798</v>
      </c>
    </row>
    <row r="2757" spans="1:4">
      <c r="A2757" s="105">
        <v>95752</v>
      </c>
      <c r="B2757" s="104" t="s">
        <v>2904</v>
      </c>
      <c r="C2757" s="104" t="s">
        <v>40</v>
      </c>
      <c r="D2757" s="129" t="s">
        <v>15875</v>
      </c>
    </row>
    <row r="2758" spans="1:4">
      <c r="A2758" s="105">
        <v>97667</v>
      </c>
      <c r="B2758" s="104" t="s">
        <v>13705</v>
      </c>
      <c r="C2758" s="104" t="s">
        <v>40</v>
      </c>
      <c r="D2758" s="129" t="s">
        <v>17155</v>
      </c>
    </row>
    <row r="2759" spans="1:4">
      <c r="A2759" s="105">
        <v>97668</v>
      </c>
      <c r="B2759" s="104" t="s">
        <v>13706</v>
      </c>
      <c r="C2759" s="104" t="s">
        <v>40</v>
      </c>
      <c r="D2759" s="129" t="s">
        <v>18262</v>
      </c>
    </row>
    <row r="2760" spans="1:4">
      <c r="A2760" s="105">
        <v>97669</v>
      </c>
      <c r="B2760" s="104" t="s">
        <v>13707</v>
      </c>
      <c r="C2760" s="104" t="s">
        <v>40</v>
      </c>
      <c r="D2760" s="129" t="s">
        <v>18476</v>
      </c>
    </row>
    <row r="2761" spans="1:4">
      <c r="A2761" s="105">
        <v>97670</v>
      </c>
      <c r="B2761" s="104" t="s">
        <v>13708</v>
      </c>
      <c r="C2761" s="104" t="s">
        <v>40</v>
      </c>
      <c r="D2761" s="129" t="s">
        <v>22065</v>
      </c>
    </row>
    <row r="2762" spans="1:4">
      <c r="A2762" s="105">
        <v>91874</v>
      </c>
      <c r="B2762" s="104" t="s">
        <v>2905</v>
      </c>
      <c r="C2762" s="104" t="s">
        <v>183</v>
      </c>
      <c r="D2762" s="129" t="s">
        <v>18311</v>
      </c>
    </row>
    <row r="2763" spans="1:4">
      <c r="A2763" s="105">
        <v>91875</v>
      </c>
      <c r="B2763" s="104" t="s">
        <v>2906</v>
      </c>
      <c r="C2763" s="104" t="s">
        <v>183</v>
      </c>
      <c r="D2763" s="129" t="s">
        <v>19184</v>
      </c>
    </row>
    <row r="2764" spans="1:4">
      <c r="A2764" s="105">
        <v>91876</v>
      </c>
      <c r="B2764" s="104" t="s">
        <v>2907</v>
      </c>
      <c r="C2764" s="104" t="s">
        <v>183</v>
      </c>
      <c r="D2764" s="129" t="s">
        <v>22066</v>
      </c>
    </row>
    <row r="2765" spans="1:4">
      <c r="A2765" s="105">
        <v>91877</v>
      </c>
      <c r="B2765" s="104" t="s">
        <v>2908</v>
      </c>
      <c r="C2765" s="104" t="s">
        <v>183</v>
      </c>
      <c r="D2765" s="129" t="s">
        <v>18057</v>
      </c>
    </row>
    <row r="2766" spans="1:4">
      <c r="A2766" s="105">
        <v>91878</v>
      </c>
      <c r="B2766" s="104" t="s">
        <v>2909</v>
      </c>
      <c r="C2766" s="104" t="s">
        <v>183</v>
      </c>
      <c r="D2766" s="129" t="s">
        <v>20096</v>
      </c>
    </row>
    <row r="2767" spans="1:4">
      <c r="A2767" s="105">
        <v>91879</v>
      </c>
      <c r="B2767" s="104" t="s">
        <v>2910</v>
      </c>
      <c r="C2767" s="104" t="s">
        <v>183</v>
      </c>
      <c r="D2767" s="129" t="s">
        <v>15495</v>
      </c>
    </row>
    <row r="2768" spans="1:4">
      <c r="A2768" s="105">
        <v>91880</v>
      </c>
      <c r="B2768" s="104" t="s">
        <v>2911</v>
      </c>
      <c r="C2768" s="104" t="s">
        <v>183</v>
      </c>
      <c r="D2768" s="129" t="s">
        <v>15104</v>
      </c>
    </row>
    <row r="2769" spans="1:4">
      <c r="A2769" s="105">
        <v>91881</v>
      </c>
      <c r="B2769" s="104" t="s">
        <v>2912</v>
      </c>
      <c r="C2769" s="104" t="s">
        <v>183</v>
      </c>
      <c r="D2769" s="129" t="s">
        <v>22045</v>
      </c>
    </row>
    <row r="2770" spans="1:4">
      <c r="A2770" s="105">
        <v>91882</v>
      </c>
      <c r="B2770" s="104" t="s">
        <v>2913</v>
      </c>
      <c r="C2770" s="104" t="s">
        <v>183</v>
      </c>
      <c r="D2770" s="129" t="s">
        <v>15738</v>
      </c>
    </row>
    <row r="2771" spans="1:4">
      <c r="A2771" s="105">
        <v>91884</v>
      </c>
      <c r="B2771" s="104" t="s">
        <v>2914</v>
      </c>
      <c r="C2771" s="104" t="s">
        <v>183</v>
      </c>
      <c r="D2771" s="129" t="s">
        <v>17259</v>
      </c>
    </row>
    <row r="2772" spans="1:4">
      <c r="A2772" s="105">
        <v>91885</v>
      </c>
      <c r="B2772" s="104" t="s">
        <v>2915</v>
      </c>
      <c r="C2772" s="104" t="s">
        <v>183</v>
      </c>
      <c r="D2772" s="129" t="s">
        <v>19595</v>
      </c>
    </row>
    <row r="2773" spans="1:4">
      <c r="A2773" s="105">
        <v>91886</v>
      </c>
      <c r="B2773" s="104" t="s">
        <v>2916</v>
      </c>
      <c r="C2773" s="104" t="s">
        <v>183</v>
      </c>
      <c r="D2773" s="129" t="s">
        <v>22050</v>
      </c>
    </row>
    <row r="2774" spans="1:4">
      <c r="A2774" s="105">
        <v>91887</v>
      </c>
      <c r="B2774" s="104" t="s">
        <v>2917</v>
      </c>
      <c r="C2774" s="104" t="s">
        <v>183</v>
      </c>
      <c r="D2774" s="129" t="s">
        <v>22067</v>
      </c>
    </row>
    <row r="2775" spans="1:4">
      <c r="A2775" s="105">
        <v>91889</v>
      </c>
      <c r="B2775" s="104" t="s">
        <v>2918</v>
      </c>
      <c r="C2775" s="104" t="s">
        <v>183</v>
      </c>
      <c r="D2775" s="129" t="s">
        <v>15466</v>
      </c>
    </row>
    <row r="2776" spans="1:4">
      <c r="A2776" s="105">
        <v>91890</v>
      </c>
      <c r="B2776" s="104" t="s">
        <v>2919</v>
      </c>
      <c r="C2776" s="104" t="s">
        <v>183</v>
      </c>
      <c r="D2776" s="129" t="s">
        <v>22044</v>
      </c>
    </row>
    <row r="2777" spans="1:4">
      <c r="A2777" s="105">
        <v>91892</v>
      </c>
      <c r="B2777" s="104" t="s">
        <v>2920</v>
      </c>
      <c r="C2777" s="104" t="s">
        <v>183</v>
      </c>
      <c r="D2777" s="129" t="s">
        <v>17745</v>
      </c>
    </row>
    <row r="2778" spans="1:4">
      <c r="A2778" s="105">
        <v>91893</v>
      </c>
      <c r="B2778" s="104" t="s">
        <v>2921</v>
      </c>
      <c r="C2778" s="104" t="s">
        <v>183</v>
      </c>
      <c r="D2778" s="129" t="s">
        <v>17202</v>
      </c>
    </row>
    <row r="2779" spans="1:4">
      <c r="A2779" s="105">
        <v>91895</v>
      </c>
      <c r="B2779" s="104" t="s">
        <v>2922</v>
      </c>
      <c r="C2779" s="104" t="s">
        <v>183</v>
      </c>
      <c r="D2779" s="129" t="s">
        <v>16951</v>
      </c>
    </row>
    <row r="2780" spans="1:4">
      <c r="A2780" s="105">
        <v>91896</v>
      </c>
      <c r="B2780" s="104" t="s">
        <v>2923</v>
      </c>
      <c r="C2780" s="104" t="s">
        <v>183</v>
      </c>
      <c r="D2780" s="129" t="s">
        <v>16945</v>
      </c>
    </row>
    <row r="2781" spans="1:4">
      <c r="A2781" s="105">
        <v>91898</v>
      </c>
      <c r="B2781" s="104" t="s">
        <v>2924</v>
      </c>
      <c r="C2781" s="104" t="s">
        <v>183</v>
      </c>
      <c r="D2781" s="129" t="s">
        <v>22068</v>
      </c>
    </row>
    <row r="2782" spans="1:4">
      <c r="A2782" s="105">
        <v>91899</v>
      </c>
      <c r="B2782" s="104" t="s">
        <v>2925</v>
      </c>
      <c r="C2782" s="104" t="s">
        <v>183</v>
      </c>
      <c r="D2782" s="129" t="s">
        <v>19268</v>
      </c>
    </row>
    <row r="2783" spans="1:4">
      <c r="A2783" s="105">
        <v>91901</v>
      </c>
      <c r="B2783" s="104" t="s">
        <v>2926</v>
      </c>
      <c r="C2783" s="104" t="s">
        <v>183</v>
      </c>
      <c r="D2783" s="129" t="s">
        <v>19616</v>
      </c>
    </row>
    <row r="2784" spans="1:4">
      <c r="A2784" s="105">
        <v>91902</v>
      </c>
      <c r="B2784" s="104" t="s">
        <v>2927</v>
      </c>
      <c r="C2784" s="104" t="s">
        <v>183</v>
      </c>
      <c r="D2784" s="129" t="s">
        <v>20380</v>
      </c>
    </row>
    <row r="2785" spans="1:4">
      <c r="A2785" s="105">
        <v>91904</v>
      </c>
      <c r="B2785" s="104" t="s">
        <v>2928</v>
      </c>
      <c r="C2785" s="104" t="s">
        <v>183</v>
      </c>
      <c r="D2785" s="129" t="s">
        <v>16980</v>
      </c>
    </row>
    <row r="2786" spans="1:4">
      <c r="A2786" s="105">
        <v>91905</v>
      </c>
      <c r="B2786" s="104" t="s">
        <v>2929</v>
      </c>
      <c r="C2786" s="104" t="s">
        <v>183</v>
      </c>
      <c r="D2786" s="129" t="s">
        <v>19582</v>
      </c>
    </row>
    <row r="2787" spans="1:4">
      <c r="A2787" s="105">
        <v>91907</v>
      </c>
      <c r="B2787" s="104" t="s">
        <v>2930</v>
      </c>
      <c r="C2787" s="104" t="s">
        <v>183</v>
      </c>
      <c r="D2787" s="129" t="s">
        <v>20297</v>
      </c>
    </row>
    <row r="2788" spans="1:4">
      <c r="A2788" s="105">
        <v>91908</v>
      </c>
      <c r="B2788" s="104" t="s">
        <v>2931</v>
      </c>
      <c r="C2788" s="104" t="s">
        <v>183</v>
      </c>
      <c r="D2788" s="129" t="s">
        <v>15356</v>
      </c>
    </row>
    <row r="2789" spans="1:4">
      <c r="A2789" s="105">
        <v>91910</v>
      </c>
      <c r="B2789" s="104" t="s">
        <v>2932</v>
      </c>
      <c r="C2789" s="104" t="s">
        <v>183</v>
      </c>
      <c r="D2789" s="129" t="s">
        <v>22069</v>
      </c>
    </row>
    <row r="2790" spans="1:4">
      <c r="A2790" s="105">
        <v>91911</v>
      </c>
      <c r="B2790" s="104" t="s">
        <v>2933</v>
      </c>
      <c r="C2790" s="104" t="s">
        <v>183</v>
      </c>
      <c r="D2790" s="129" t="s">
        <v>22070</v>
      </c>
    </row>
    <row r="2791" spans="1:4">
      <c r="A2791" s="105">
        <v>91913</v>
      </c>
      <c r="B2791" s="104" t="s">
        <v>2934</v>
      </c>
      <c r="C2791" s="104" t="s">
        <v>183</v>
      </c>
      <c r="D2791" s="129" t="s">
        <v>18084</v>
      </c>
    </row>
    <row r="2792" spans="1:4">
      <c r="A2792" s="105">
        <v>91914</v>
      </c>
      <c r="B2792" s="104" t="s">
        <v>2935</v>
      </c>
      <c r="C2792" s="104" t="s">
        <v>183</v>
      </c>
      <c r="D2792" s="129" t="s">
        <v>17245</v>
      </c>
    </row>
    <row r="2793" spans="1:4">
      <c r="A2793" s="105">
        <v>91916</v>
      </c>
      <c r="B2793" s="104" t="s">
        <v>2936</v>
      </c>
      <c r="C2793" s="104" t="s">
        <v>183</v>
      </c>
      <c r="D2793" s="129" t="s">
        <v>16091</v>
      </c>
    </row>
    <row r="2794" spans="1:4">
      <c r="A2794" s="105">
        <v>91917</v>
      </c>
      <c r="B2794" s="104" t="s">
        <v>2937</v>
      </c>
      <c r="C2794" s="104" t="s">
        <v>183</v>
      </c>
      <c r="D2794" s="129" t="s">
        <v>22071</v>
      </c>
    </row>
    <row r="2795" spans="1:4">
      <c r="A2795" s="105">
        <v>91919</v>
      </c>
      <c r="B2795" s="104" t="s">
        <v>2938</v>
      </c>
      <c r="C2795" s="104" t="s">
        <v>183</v>
      </c>
      <c r="D2795" s="129" t="s">
        <v>15271</v>
      </c>
    </row>
    <row r="2796" spans="1:4">
      <c r="A2796" s="105">
        <v>91920</v>
      </c>
      <c r="B2796" s="104" t="s">
        <v>2939</v>
      </c>
      <c r="C2796" s="104" t="s">
        <v>183</v>
      </c>
      <c r="D2796" s="129" t="s">
        <v>19635</v>
      </c>
    </row>
    <row r="2797" spans="1:4">
      <c r="A2797" s="105">
        <v>91922</v>
      </c>
      <c r="B2797" s="104" t="s">
        <v>2940</v>
      </c>
      <c r="C2797" s="104" t="s">
        <v>183</v>
      </c>
      <c r="D2797" s="129" t="s">
        <v>18265</v>
      </c>
    </row>
    <row r="2798" spans="1:4">
      <c r="A2798" s="105">
        <v>93013</v>
      </c>
      <c r="B2798" s="104" t="s">
        <v>13709</v>
      </c>
      <c r="C2798" s="104" t="s">
        <v>183</v>
      </c>
      <c r="D2798" s="129" t="s">
        <v>22072</v>
      </c>
    </row>
    <row r="2799" spans="1:4">
      <c r="A2799" s="105">
        <v>93014</v>
      </c>
      <c r="B2799" s="104" t="s">
        <v>13710</v>
      </c>
      <c r="C2799" s="104" t="s">
        <v>183</v>
      </c>
      <c r="D2799" s="129" t="s">
        <v>16897</v>
      </c>
    </row>
    <row r="2800" spans="1:4">
      <c r="A2800" s="105">
        <v>93015</v>
      </c>
      <c r="B2800" s="104" t="s">
        <v>13711</v>
      </c>
      <c r="C2800" s="104" t="s">
        <v>183</v>
      </c>
      <c r="D2800" s="129" t="s">
        <v>22073</v>
      </c>
    </row>
    <row r="2801" spans="1:4">
      <c r="A2801" s="105">
        <v>93016</v>
      </c>
      <c r="B2801" s="104" t="s">
        <v>13712</v>
      </c>
      <c r="C2801" s="104" t="s">
        <v>183</v>
      </c>
      <c r="D2801" s="129" t="s">
        <v>16013</v>
      </c>
    </row>
    <row r="2802" spans="1:4">
      <c r="A2802" s="105">
        <v>93017</v>
      </c>
      <c r="B2802" s="104" t="s">
        <v>13713</v>
      </c>
      <c r="C2802" s="104" t="s">
        <v>183</v>
      </c>
      <c r="D2802" s="129" t="s">
        <v>22074</v>
      </c>
    </row>
    <row r="2803" spans="1:4">
      <c r="A2803" s="105">
        <v>93018</v>
      </c>
      <c r="B2803" s="104" t="s">
        <v>13714</v>
      </c>
      <c r="C2803" s="104" t="s">
        <v>183</v>
      </c>
      <c r="D2803" s="129" t="s">
        <v>19220</v>
      </c>
    </row>
    <row r="2804" spans="1:4">
      <c r="A2804" s="105">
        <v>93020</v>
      </c>
      <c r="B2804" s="104" t="s">
        <v>13715</v>
      </c>
      <c r="C2804" s="104" t="s">
        <v>183</v>
      </c>
      <c r="D2804" s="129" t="s">
        <v>22075</v>
      </c>
    </row>
    <row r="2805" spans="1:4">
      <c r="A2805" s="105">
        <v>93022</v>
      </c>
      <c r="B2805" s="104" t="s">
        <v>13716</v>
      </c>
      <c r="C2805" s="104" t="s">
        <v>183</v>
      </c>
      <c r="D2805" s="129" t="s">
        <v>15374</v>
      </c>
    </row>
    <row r="2806" spans="1:4">
      <c r="A2806" s="105">
        <v>93024</v>
      </c>
      <c r="B2806" s="104" t="s">
        <v>13717</v>
      </c>
      <c r="C2806" s="104" t="s">
        <v>183</v>
      </c>
      <c r="D2806" s="129" t="s">
        <v>18275</v>
      </c>
    </row>
    <row r="2807" spans="1:4">
      <c r="A2807" s="105">
        <v>93026</v>
      </c>
      <c r="B2807" s="104" t="s">
        <v>13718</v>
      </c>
      <c r="C2807" s="104" t="s">
        <v>183</v>
      </c>
      <c r="D2807" s="129" t="s">
        <v>22076</v>
      </c>
    </row>
    <row r="2808" spans="1:4">
      <c r="A2808" s="105">
        <v>95733</v>
      </c>
      <c r="B2808" s="104" t="s">
        <v>2941</v>
      </c>
      <c r="C2808" s="104" t="s">
        <v>183</v>
      </c>
      <c r="D2808" s="129" t="s">
        <v>20187</v>
      </c>
    </row>
    <row r="2809" spans="1:4">
      <c r="A2809" s="105">
        <v>95734</v>
      </c>
      <c r="B2809" s="104" t="s">
        <v>2942</v>
      </c>
      <c r="C2809" s="104" t="s">
        <v>183</v>
      </c>
      <c r="D2809" s="129" t="s">
        <v>19597</v>
      </c>
    </row>
    <row r="2810" spans="1:4">
      <c r="A2810" s="105">
        <v>95735</v>
      </c>
      <c r="B2810" s="104" t="s">
        <v>2943</v>
      </c>
      <c r="C2810" s="104" t="s">
        <v>183</v>
      </c>
      <c r="D2810" s="129" t="s">
        <v>22077</v>
      </c>
    </row>
    <row r="2811" spans="1:4">
      <c r="A2811" s="105">
        <v>95736</v>
      </c>
      <c r="B2811" s="104" t="s">
        <v>2944</v>
      </c>
      <c r="C2811" s="104" t="s">
        <v>183</v>
      </c>
      <c r="D2811" s="129" t="s">
        <v>19247</v>
      </c>
    </row>
    <row r="2812" spans="1:4">
      <c r="A2812" s="105">
        <v>95738</v>
      </c>
      <c r="B2812" s="104" t="s">
        <v>2945</v>
      </c>
      <c r="C2812" s="104" t="s">
        <v>183</v>
      </c>
      <c r="D2812" s="129" t="s">
        <v>22078</v>
      </c>
    </row>
    <row r="2813" spans="1:4">
      <c r="A2813" s="105">
        <v>95753</v>
      </c>
      <c r="B2813" s="104" t="s">
        <v>2946</v>
      </c>
      <c r="C2813" s="104" t="s">
        <v>183</v>
      </c>
      <c r="D2813" s="129" t="s">
        <v>20394</v>
      </c>
    </row>
    <row r="2814" spans="1:4">
      <c r="A2814" s="105">
        <v>95754</v>
      </c>
      <c r="B2814" s="104" t="s">
        <v>2947</v>
      </c>
      <c r="C2814" s="104" t="s">
        <v>183</v>
      </c>
      <c r="D2814" s="129" t="s">
        <v>22079</v>
      </c>
    </row>
    <row r="2815" spans="1:4">
      <c r="A2815" s="105">
        <v>95755</v>
      </c>
      <c r="B2815" s="104" t="s">
        <v>2948</v>
      </c>
      <c r="C2815" s="104" t="s">
        <v>183</v>
      </c>
      <c r="D2815" s="129" t="s">
        <v>19187</v>
      </c>
    </row>
    <row r="2816" spans="1:4">
      <c r="A2816" s="105">
        <v>95756</v>
      </c>
      <c r="B2816" s="104" t="s">
        <v>2949</v>
      </c>
      <c r="C2816" s="104" t="s">
        <v>183</v>
      </c>
      <c r="D2816" s="129" t="s">
        <v>20265</v>
      </c>
    </row>
    <row r="2817" spans="1:4">
      <c r="A2817" s="105">
        <v>95757</v>
      </c>
      <c r="B2817" s="104" t="s">
        <v>2950</v>
      </c>
      <c r="C2817" s="104" t="s">
        <v>183</v>
      </c>
      <c r="D2817" s="129" t="s">
        <v>22080</v>
      </c>
    </row>
    <row r="2818" spans="1:4">
      <c r="A2818" s="105">
        <v>95758</v>
      </c>
      <c r="B2818" s="104" t="s">
        <v>2951</v>
      </c>
      <c r="C2818" s="104" t="s">
        <v>183</v>
      </c>
      <c r="D2818" s="129" t="s">
        <v>15024</v>
      </c>
    </row>
    <row r="2819" spans="1:4">
      <c r="A2819" s="105">
        <v>95759</v>
      </c>
      <c r="B2819" s="104" t="s">
        <v>2952</v>
      </c>
      <c r="C2819" s="104" t="s">
        <v>183</v>
      </c>
      <c r="D2819" s="129" t="s">
        <v>19249</v>
      </c>
    </row>
    <row r="2820" spans="1:4">
      <c r="A2820" s="105">
        <v>95760</v>
      </c>
      <c r="B2820" s="104" t="s">
        <v>2953</v>
      </c>
      <c r="C2820" s="104" t="s">
        <v>183</v>
      </c>
      <c r="D2820" s="129" t="s">
        <v>22081</v>
      </c>
    </row>
    <row r="2821" spans="1:4">
      <c r="A2821" s="105">
        <v>97559</v>
      </c>
      <c r="B2821" s="104" t="s">
        <v>2954</v>
      </c>
      <c r="C2821" s="104" t="s">
        <v>183</v>
      </c>
      <c r="D2821" s="129" t="s">
        <v>17189</v>
      </c>
    </row>
    <row r="2822" spans="1:4">
      <c r="A2822" s="105">
        <v>97562</v>
      </c>
      <c r="B2822" s="104" t="s">
        <v>2955</v>
      </c>
      <c r="C2822" s="104" t="s">
        <v>183</v>
      </c>
      <c r="D2822" s="129" t="s">
        <v>22082</v>
      </c>
    </row>
    <row r="2823" spans="1:4">
      <c r="A2823" s="105">
        <v>97564</v>
      </c>
      <c r="B2823" s="104" t="s">
        <v>2956</v>
      </c>
      <c r="C2823" s="104" t="s">
        <v>183</v>
      </c>
      <c r="D2823" s="129" t="s">
        <v>22052</v>
      </c>
    </row>
    <row r="2824" spans="1:4">
      <c r="A2824" s="105">
        <v>91924</v>
      </c>
      <c r="B2824" s="104" t="s">
        <v>2957</v>
      </c>
      <c r="C2824" s="104" t="s">
        <v>40</v>
      </c>
      <c r="D2824" s="129" t="s">
        <v>15592</v>
      </c>
    </row>
    <row r="2825" spans="1:4">
      <c r="A2825" s="105">
        <v>91925</v>
      </c>
      <c r="B2825" s="104" t="s">
        <v>2958</v>
      </c>
      <c r="C2825" s="104" t="s">
        <v>40</v>
      </c>
      <c r="D2825" s="129" t="s">
        <v>20650</v>
      </c>
    </row>
    <row r="2826" spans="1:4">
      <c r="A2826" s="105">
        <v>91926</v>
      </c>
      <c r="B2826" s="104" t="s">
        <v>2959</v>
      </c>
      <c r="C2826" s="104" t="s">
        <v>40</v>
      </c>
      <c r="D2826" s="129" t="s">
        <v>14754</v>
      </c>
    </row>
    <row r="2827" spans="1:4">
      <c r="A2827" s="105">
        <v>91927</v>
      </c>
      <c r="B2827" s="104" t="s">
        <v>2960</v>
      </c>
      <c r="C2827" s="104" t="s">
        <v>40</v>
      </c>
      <c r="D2827" s="129" t="s">
        <v>22083</v>
      </c>
    </row>
    <row r="2828" spans="1:4">
      <c r="A2828" s="105">
        <v>91928</v>
      </c>
      <c r="B2828" s="104" t="s">
        <v>2961</v>
      </c>
      <c r="C2828" s="104" t="s">
        <v>40</v>
      </c>
      <c r="D2828" s="129" t="s">
        <v>19129</v>
      </c>
    </row>
    <row r="2829" spans="1:4">
      <c r="A2829" s="105">
        <v>91929</v>
      </c>
      <c r="B2829" s="104" t="s">
        <v>2962</v>
      </c>
      <c r="C2829" s="104" t="s">
        <v>40</v>
      </c>
      <c r="D2829" s="129" t="s">
        <v>17191</v>
      </c>
    </row>
    <row r="2830" spans="1:4">
      <c r="A2830" s="105">
        <v>91930</v>
      </c>
      <c r="B2830" s="104" t="s">
        <v>2963</v>
      </c>
      <c r="C2830" s="104" t="s">
        <v>40</v>
      </c>
      <c r="D2830" s="129" t="s">
        <v>20581</v>
      </c>
    </row>
    <row r="2831" spans="1:4">
      <c r="A2831" s="105">
        <v>91931</v>
      </c>
      <c r="B2831" s="104" t="s">
        <v>2964</v>
      </c>
      <c r="C2831" s="104" t="s">
        <v>40</v>
      </c>
      <c r="D2831" s="129" t="s">
        <v>22084</v>
      </c>
    </row>
    <row r="2832" spans="1:4">
      <c r="A2832" s="105">
        <v>91932</v>
      </c>
      <c r="B2832" s="104" t="s">
        <v>2965</v>
      </c>
      <c r="C2832" s="104" t="s">
        <v>40</v>
      </c>
      <c r="D2832" s="129" t="s">
        <v>15271</v>
      </c>
    </row>
    <row r="2833" spans="1:4">
      <c r="A2833" s="105">
        <v>91933</v>
      </c>
      <c r="B2833" s="104" t="s">
        <v>2966</v>
      </c>
      <c r="C2833" s="104" t="s">
        <v>40</v>
      </c>
      <c r="D2833" s="129" t="s">
        <v>17138</v>
      </c>
    </row>
    <row r="2834" spans="1:4">
      <c r="A2834" s="105">
        <v>91934</v>
      </c>
      <c r="B2834" s="104" t="s">
        <v>2967</v>
      </c>
      <c r="C2834" s="104" t="s">
        <v>40</v>
      </c>
      <c r="D2834" s="129" t="s">
        <v>22085</v>
      </c>
    </row>
    <row r="2835" spans="1:4">
      <c r="A2835" s="105">
        <v>91935</v>
      </c>
      <c r="B2835" s="104" t="s">
        <v>2968</v>
      </c>
      <c r="C2835" s="104" t="s">
        <v>40</v>
      </c>
      <c r="D2835" s="129" t="s">
        <v>22086</v>
      </c>
    </row>
    <row r="2836" spans="1:4">
      <c r="A2836" s="105">
        <v>92979</v>
      </c>
      <c r="B2836" s="104" t="s">
        <v>2969</v>
      </c>
      <c r="C2836" s="104" t="s">
        <v>40</v>
      </c>
      <c r="D2836" s="129" t="s">
        <v>17306</v>
      </c>
    </row>
    <row r="2837" spans="1:4">
      <c r="A2837" s="105">
        <v>92980</v>
      </c>
      <c r="B2837" s="104" t="s">
        <v>2970</v>
      </c>
      <c r="C2837" s="104" t="s">
        <v>40</v>
      </c>
      <c r="D2837" s="129" t="s">
        <v>19127</v>
      </c>
    </row>
    <row r="2838" spans="1:4">
      <c r="A2838" s="105">
        <v>92981</v>
      </c>
      <c r="B2838" s="104" t="s">
        <v>2971</v>
      </c>
      <c r="C2838" s="104" t="s">
        <v>40</v>
      </c>
      <c r="D2838" s="129" t="s">
        <v>20293</v>
      </c>
    </row>
    <row r="2839" spans="1:4">
      <c r="A2839" s="105">
        <v>92982</v>
      </c>
      <c r="B2839" s="104" t="s">
        <v>2972</v>
      </c>
      <c r="C2839" s="104" t="s">
        <v>40</v>
      </c>
      <c r="D2839" s="129" t="s">
        <v>22087</v>
      </c>
    </row>
    <row r="2840" spans="1:4">
      <c r="A2840" s="105">
        <v>92984</v>
      </c>
      <c r="B2840" s="104" t="s">
        <v>13719</v>
      </c>
      <c r="C2840" s="104" t="s">
        <v>40</v>
      </c>
      <c r="D2840" s="129" t="s">
        <v>14948</v>
      </c>
    </row>
    <row r="2841" spans="1:4">
      <c r="A2841" s="105">
        <v>92986</v>
      </c>
      <c r="B2841" s="104" t="s">
        <v>13720</v>
      </c>
      <c r="C2841" s="104" t="s">
        <v>40</v>
      </c>
      <c r="D2841" s="129" t="s">
        <v>18684</v>
      </c>
    </row>
    <row r="2842" spans="1:4">
      <c r="A2842" s="105">
        <v>92988</v>
      </c>
      <c r="B2842" s="104" t="s">
        <v>13721</v>
      </c>
      <c r="C2842" s="104" t="s">
        <v>40</v>
      </c>
      <c r="D2842" s="129" t="s">
        <v>22088</v>
      </c>
    </row>
    <row r="2843" spans="1:4">
      <c r="A2843" s="105">
        <v>92990</v>
      </c>
      <c r="B2843" s="104" t="s">
        <v>13722</v>
      </c>
      <c r="C2843" s="104" t="s">
        <v>40</v>
      </c>
      <c r="D2843" s="129" t="s">
        <v>22089</v>
      </c>
    </row>
    <row r="2844" spans="1:4">
      <c r="A2844" s="105">
        <v>92992</v>
      </c>
      <c r="B2844" s="104" t="s">
        <v>13723</v>
      </c>
      <c r="C2844" s="104" t="s">
        <v>40</v>
      </c>
      <c r="D2844" s="129" t="s">
        <v>22090</v>
      </c>
    </row>
    <row r="2845" spans="1:4">
      <c r="A2845" s="105">
        <v>92994</v>
      </c>
      <c r="B2845" s="104" t="s">
        <v>13724</v>
      </c>
      <c r="C2845" s="104" t="s">
        <v>40</v>
      </c>
      <c r="D2845" s="129" t="s">
        <v>22091</v>
      </c>
    </row>
    <row r="2846" spans="1:4">
      <c r="A2846" s="105">
        <v>92996</v>
      </c>
      <c r="B2846" s="104" t="s">
        <v>13725</v>
      </c>
      <c r="C2846" s="104" t="s">
        <v>40</v>
      </c>
      <c r="D2846" s="129" t="s">
        <v>22092</v>
      </c>
    </row>
    <row r="2847" spans="1:4">
      <c r="A2847" s="105">
        <v>92998</v>
      </c>
      <c r="B2847" s="104" t="s">
        <v>13726</v>
      </c>
      <c r="C2847" s="104" t="s">
        <v>40</v>
      </c>
      <c r="D2847" s="129" t="s">
        <v>22093</v>
      </c>
    </row>
    <row r="2848" spans="1:4">
      <c r="A2848" s="105">
        <v>93000</v>
      </c>
      <c r="B2848" s="104" t="s">
        <v>13727</v>
      </c>
      <c r="C2848" s="104" t="s">
        <v>40</v>
      </c>
      <c r="D2848" s="129" t="s">
        <v>22094</v>
      </c>
    </row>
    <row r="2849" spans="1:4">
      <c r="A2849" s="105">
        <v>93002</v>
      </c>
      <c r="B2849" s="104" t="s">
        <v>13728</v>
      </c>
      <c r="C2849" s="104" t="s">
        <v>40</v>
      </c>
      <c r="D2849" s="129" t="s">
        <v>22095</v>
      </c>
    </row>
    <row r="2850" spans="1:4">
      <c r="A2850" s="105">
        <v>101884</v>
      </c>
      <c r="B2850" s="104" t="s">
        <v>2973</v>
      </c>
      <c r="C2850" s="104" t="s">
        <v>40</v>
      </c>
      <c r="D2850" s="129" t="s">
        <v>18063</v>
      </c>
    </row>
    <row r="2851" spans="1:4">
      <c r="A2851" s="105">
        <v>101885</v>
      </c>
      <c r="B2851" s="104" t="s">
        <v>2974</v>
      </c>
      <c r="C2851" s="104" t="s">
        <v>40</v>
      </c>
      <c r="D2851" s="129" t="s">
        <v>22096</v>
      </c>
    </row>
    <row r="2852" spans="1:4">
      <c r="A2852" s="105">
        <v>101886</v>
      </c>
      <c r="B2852" s="104" t="s">
        <v>2975</v>
      </c>
      <c r="C2852" s="104" t="s">
        <v>40</v>
      </c>
      <c r="D2852" s="129" t="s">
        <v>15675</v>
      </c>
    </row>
    <row r="2853" spans="1:4">
      <c r="A2853" s="105">
        <v>101887</v>
      </c>
      <c r="B2853" s="104" t="s">
        <v>2976</v>
      </c>
      <c r="C2853" s="104" t="s">
        <v>40</v>
      </c>
      <c r="D2853" s="129" t="s">
        <v>22097</v>
      </c>
    </row>
    <row r="2854" spans="1:4">
      <c r="A2854" s="105">
        <v>101888</v>
      </c>
      <c r="B2854" s="104" t="s">
        <v>2977</v>
      </c>
      <c r="C2854" s="104" t="s">
        <v>40</v>
      </c>
      <c r="D2854" s="129" t="s">
        <v>20288</v>
      </c>
    </row>
    <row r="2855" spans="1:4">
      <c r="A2855" s="105">
        <v>101889</v>
      </c>
      <c r="B2855" s="104" t="s">
        <v>2978</v>
      </c>
      <c r="C2855" s="104" t="s">
        <v>40</v>
      </c>
      <c r="D2855" s="129" t="s">
        <v>18504</v>
      </c>
    </row>
    <row r="2856" spans="1:4">
      <c r="A2856" s="105">
        <v>91936</v>
      </c>
      <c r="B2856" s="104" t="s">
        <v>2979</v>
      </c>
      <c r="C2856" s="104" t="s">
        <v>183</v>
      </c>
      <c r="D2856" s="129" t="s">
        <v>15740</v>
      </c>
    </row>
    <row r="2857" spans="1:4">
      <c r="A2857" s="105">
        <v>91937</v>
      </c>
      <c r="B2857" s="104" t="s">
        <v>2980</v>
      </c>
      <c r="C2857" s="104" t="s">
        <v>183</v>
      </c>
      <c r="D2857" s="129" t="s">
        <v>22098</v>
      </c>
    </row>
    <row r="2858" spans="1:4">
      <c r="A2858" s="105">
        <v>91939</v>
      </c>
      <c r="B2858" s="104" t="s">
        <v>2981</v>
      </c>
      <c r="C2858" s="104" t="s">
        <v>183</v>
      </c>
      <c r="D2858" s="129" t="s">
        <v>18076</v>
      </c>
    </row>
    <row r="2859" spans="1:4">
      <c r="A2859" s="105">
        <v>91940</v>
      </c>
      <c r="B2859" s="104" t="s">
        <v>2982</v>
      </c>
      <c r="C2859" s="104" t="s">
        <v>183</v>
      </c>
      <c r="D2859" s="129" t="s">
        <v>19615</v>
      </c>
    </row>
    <row r="2860" spans="1:4">
      <c r="A2860" s="105">
        <v>91941</v>
      </c>
      <c r="B2860" s="104" t="s">
        <v>2983</v>
      </c>
      <c r="C2860" s="104" t="s">
        <v>183</v>
      </c>
      <c r="D2860" s="129" t="s">
        <v>22099</v>
      </c>
    </row>
    <row r="2861" spans="1:4">
      <c r="A2861" s="105">
        <v>91942</v>
      </c>
      <c r="B2861" s="104" t="s">
        <v>2984</v>
      </c>
      <c r="C2861" s="104" t="s">
        <v>183</v>
      </c>
      <c r="D2861" s="129" t="s">
        <v>19204</v>
      </c>
    </row>
    <row r="2862" spans="1:4">
      <c r="A2862" s="105">
        <v>91943</v>
      </c>
      <c r="B2862" s="104" t="s">
        <v>2985</v>
      </c>
      <c r="C2862" s="104" t="s">
        <v>183</v>
      </c>
      <c r="D2862" s="129" t="s">
        <v>14946</v>
      </c>
    </row>
    <row r="2863" spans="1:4">
      <c r="A2863" s="105">
        <v>91944</v>
      </c>
      <c r="B2863" s="104" t="s">
        <v>2986</v>
      </c>
      <c r="C2863" s="104" t="s">
        <v>183</v>
      </c>
      <c r="D2863" s="129" t="s">
        <v>17245</v>
      </c>
    </row>
    <row r="2864" spans="1:4">
      <c r="A2864" s="105">
        <v>92865</v>
      </c>
      <c r="B2864" s="104" t="s">
        <v>2987</v>
      </c>
      <c r="C2864" s="104" t="s">
        <v>183</v>
      </c>
      <c r="D2864" s="129" t="s">
        <v>22100</v>
      </c>
    </row>
    <row r="2865" spans="1:4">
      <c r="A2865" s="105">
        <v>92866</v>
      </c>
      <c r="B2865" s="104" t="s">
        <v>2988</v>
      </c>
      <c r="C2865" s="104" t="s">
        <v>183</v>
      </c>
      <c r="D2865" s="129" t="s">
        <v>17273</v>
      </c>
    </row>
    <row r="2866" spans="1:4">
      <c r="A2866" s="105">
        <v>92867</v>
      </c>
      <c r="B2866" s="104" t="s">
        <v>2989</v>
      </c>
      <c r="C2866" s="104" t="s">
        <v>183</v>
      </c>
      <c r="D2866" s="129" t="s">
        <v>22101</v>
      </c>
    </row>
    <row r="2867" spans="1:4">
      <c r="A2867" s="105">
        <v>92868</v>
      </c>
      <c r="B2867" s="104" t="s">
        <v>2990</v>
      </c>
      <c r="C2867" s="104" t="s">
        <v>183</v>
      </c>
      <c r="D2867" s="129" t="s">
        <v>18063</v>
      </c>
    </row>
    <row r="2868" spans="1:4">
      <c r="A2868" s="105">
        <v>92869</v>
      </c>
      <c r="B2868" s="104" t="s">
        <v>2991</v>
      </c>
      <c r="C2868" s="104" t="s">
        <v>183</v>
      </c>
      <c r="D2868" s="129" t="s">
        <v>20170</v>
      </c>
    </row>
    <row r="2869" spans="1:4">
      <c r="A2869" s="105">
        <v>92870</v>
      </c>
      <c r="B2869" s="104" t="s">
        <v>2992</v>
      </c>
      <c r="C2869" s="104" t="s">
        <v>183</v>
      </c>
      <c r="D2869" s="129" t="s">
        <v>20120</v>
      </c>
    </row>
    <row r="2870" spans="1:4">
      <c r="A2870" s="105">
        <v>92871</v>
      </c>
      <c r="B2870" s="104" t="s">
        <v>2993</v>
      </c>
      <c r="C2870" s="104" t="s">
        <v>183</v>
      </c>
      <c r="D2870" s="129" t="s">
        <v>22102</v>
      </c>
    </row>
    <row r="2871" spans="1:4">
      <c r="A2871" s="105">
        <v>92872</v>
      </c>
      <c r="B2871" s="104" t="s">
        <v>2994</v>
      </c>
      <c r="C2871" s="104" t="s">
        <v>183</v>
      </c>
      <c r="D2871" s="129" t="s">
        <v>16978</v>
      </c>
    </row>
    <row r="2872" spans="1:4">
      <c r="A2872" s="105">
        <v>95777</v>
      </c>
      <c r="B2872" s="104" t="s">
        <v>2995</v>
      </c>
      <c r="C2872" s="104" t="s">
        <v>183</v>
      </c>
      <c r="D2872" s="129" t="s">
        <v>22103</v>
      </c>
    </row>
    <row r="2873" spans="1:4">
      <c r="A2873" s="105">
        <v>95778</v>
      </c>
      <c r="B2873" s="104" t="s">
        <v>2996</v>
      </c>
      <c r="C2873" s="104" t="s">
        <v>183</v>
      </c>
      <c r="D2873" s="129" t="s">
        <v>17824</v>
      </c>
    </row>
    <row r="2874" spans="1:4">
      <c r="A2874" s="105">
        <v>95779</v>
      </c>
      <c r="B2874" s="104" t="s">
        <v>2997</v>
      </c>
      <c r="C2874" s="104" t="s">
        <v>183</v>
      </c>
      <c r="D2874" s="129" t="s">
        <v>22104</v>
      </c>
    </row>
    <row r="2875" spans="1:4">
      <c r="A2875" s="105">
        <v>95780</v>
      </c>
      <c r="B2875" s="104" t="s">
        <v>2998</v>
      </c>
      <c r="C2875" s="104" t="s">
        <v>183</v>
      </c>
      <c r="D2875" s="129" t="s">
        <v>22105</v>
      </c>
    </row>
    <row r="2876" spans="1:4">
      <c r="A2876" s="105">
        <v>95781</v>
      </c>
      <c r="B2876" s="104" t="s">
        <v>2999</v>
      </c>
      <c r="C2876" s="104" t="s">
        <v>183</v>
      </c>
      <c r="D2876" s="129" t="s">
        <v>19589</v>
      </c>
    </row>
    <row r="2877" spans="1:4">
      <c r="A2877" s="105">
        <v>95782</v>
      </c>
      <c r="B2877" s="104" t="s">
        <v>3000</v>
      </c>
      <c r="C2877" s="104" t="s">
        <v>183</v>
      </c>
      <c r="D2877" s="129" t="s">
        <v>22106</v>
      </c>
    </row>
    <row r="2878" spans="1:4">
      <c r="A2878" s="105">
        <v>95785</v>
      </c>
      <c r="B2878" s="104" t="s">
        <v>3001</v>
      </c>
      <c r="C2878" s="104" t="s">
        <v>183</v>
      </c>
      <c r="D2878" s="129" t="s">
        <v>15198</v>
      </c>
    </row>
    <row r="2879" spans="1:4">
      <c r="A2879" s="105">
        <v>95787</v>
      </c>
      <c r="B2879" s="104" t="s">
        <v>3002</v>
      </c>
      <c r="C2879" s="104" t="s">
        <v>183</v>
      </c>
      <c r="D2879" s="129" t="s">
        <v>22107</v>
      </c>
    </row>
    <row r="2880" spans="1:4">
      <c r="A2880" s="105">
        <v>95789</v>
      </c>
      <c r="B2880" s="104" t="s">
        <v>3003</v>
      </c>
      <c r="C2880" s="104" t="s">
        <v>183</v>
      </c>
      <c r="D2880" s="129" t="s">
        <v>17297</v>
      </c>
    </row>
    <row r="2881" spans="1:4">
      <c r="A2881" s="105">
        <v>95791</v>
      </c>
      <c r="B2881" s="104" t="s">
        <v>3004</v>
      </c>
      <c r="C2881" s="104" t="s">
        <v>183</v>
      </c>
      <c r="D2881" s="129" t="s">
        <v>20190</v>
      </c>
    </row>
    <row r="2882" spans="1:4">
      <c r="A2882" s="105">
        <v>95795</v>
      </c>
      <c r="B2882" s="104" t="s">
        <v>3005</v>
      </c>
      <c r="C2882" s="104" t="s">
        <v>183</v>
      </c>
      <c r="D2882" s="129" t="s">
        <v>16651</v>
      </c>
    </row>
    <row r="2883" spans="1:4">
      <c r="A2883" s="105">
        <v>95796</v>
      </c>
      <c r="B2883" s="104" t="s">
        <v>3006</v>
      </c>
      <c r="C2883" s="104" t="s">
        <v>183</v>
      </c>
      <c r="D2883" s="129" t="s">
        <v>22108</v>
      </c>
    </row>
    <row r="2884" spans="1:4">
      <c r="A2884" s="105">
        <v>95797</v>
      </c>
      <c r="B2884" s="104" t="s">
        <v>3007</v>
      </c>
      <c r="C2884" s="104" t="s">
        <v>183</v>
      </c>
      <c r="D2884" s="129" t="s">
        <v>18695</v>
      </c>
    </row>
    <row r="2885" spans="1:4">
      <c r="A2885" s="105">
        <v>95801</v>
      </c>
      <c r="B2885" s="104" t="s">
        <v>3008</v>
      </c>
      <c r="C2885" s="104" t="s">
        <v>183</v>
      </c>
      <c r="D2885" s="129" t="s">
        <v>22109</v>
      </c>
    </row>
    <row r="2886" spans="1:4">
      <c r="A2886" s="105">
        <v>95802</v>
      </c>
      <c r="B2886" s="104" t="s">
        <v>3009</v>
      </c>
      <c r="C2886" s="104" t="s">
        <v>183</v>
      </c>
      <c r="D2886" s="129" t="s">
        <v>15698</v>
      </c>
    </row>
    <row r="2887" spans="1:4">
      <c r="A2887" s="105">
        <v>95803</v>
      </c>
      <c r="B2887" s="104" t="s">
        <v>3010</v>
      </c>
      <c r="C2887" s="104" t="s">
        <v>183</v>
      </c>
      <c r="D2887" s="129" t="s">
        <v>18251</v>
      </c>
    </row>
    <row r="2888" spans="1:4">
      <c r="A2888" s="105">
        <v>95804</v>
      </c>
      <c r="B2888" s="104" t="s">
        <v>3011</v>
      </c>
      <c r="C2888" s="104" t="s">
        <v>183</v>
      </c>
      <c r="D2888" s="129" t="s">
        <v>22110</v>
      </c>
    </row>
    <row r="2889" spans="1:4">
      <c r="A2889" s="105">
        <v>95805</v>
      </c>
      <c r="B2889" s="104" t="s">
        <v>3012</v>
      </c>
      <c r="C2889" s="104" t="s">
        <v>183</v>
      </c>
      <c r="D2889" s="129" t="s">
        <v>22111</v>
      </c>
    </row>
    <row r="2890" spans="1:4">
      <c r="A2890" s="105">
        <v>95806</v>
      </c>
      <c r="B2890" s="104" t="s">
        <v>3013</v>
      </c>
      <c r="C2890" s="104" t="s">
        <v>183</v>
      </c>
      <c r="D2890" s="129" t="s">
        <v>20387</v>
      </c>
    </row>
    <row r="2891" spans="1:4">
      <c r="A2891" s="105">
        <v>95807</v>
      </c>
      <c r="B2891" s="104" t="s">
        <v>3014</v>
      </c>
      <c r="C2891" s="104" t="s">
        <v>183</v>
      </c>
      <c r="D2891" s="129" t="s">
        <v>22112</v>
      </c>
    </row>
    <row r="2892" spans="1:4">
      <c r="A2892" s="105">
        <v>95808</v>
      </c>
      <c r="B2892" s="104" t="s">
        <v>3015</v>
      </c>
      <c r="C2892" s="104" t="s">
        <v>183</v>
      </c>
      <c r="D2892" s="129" t="s">
        <v>20289</v>
      </c>
    </row>
    <row r="2893" spans="1:4">
      <c r="A2893" s="105">
        <v>95809</v>
      </c>
      <c r="B2893" s="104" t="s">
        <v>3016</v>
      </c>
      <c r="C2893" s="104" t="s">
        <v>183</v>
      </c>
      <c r="D2893" s="129" t="s">
        <v>22113</v>
      </c>
    </row>
    <row r="2894" spans="1:4">
      <c r="A2894" s="105">
        <v>95810</v>
      </c>
      <c r="B2894" s="104" t="s">
        <v>3017</v>
      </c>
      <c r="C2894" s="104" t="s">
        <v>183</v>
      </c>
      <c r="D2894" s="129" t="s">
        <v>17178</v>
      </c>
    </row>
    <row r="2895" spans="1:4">
      <c r="A2895" s="105">
        <v>95811</v>
      </c>
      <c r="B2895" s="104" t="s">
        <v>3018</v>
      </c>
      <c r="C2895" s="104" t="s">
        <v>183</v>
      </c>
      <c r="D2895" s="129" t="s">
        <v>17242</v>
      </c>
    </row>
    <row r="2896" spans="1:4">
      <c r="A2896" s="105">
        <v>95812</v>
      </c>
      <c r="B2896" s="104" t="s">
        <v>3019</v>
      </c>
      <c r="C2896" s="104" t="s">
        <v>183</v>
      </c>
      <c r="D2896" s="129" t="s">
        <v>20198</v>
      </c>
    </row>
    <row r="2897" spans="1:4">
      <c r="A2897" s="105">
        <v>95813</v>
      </c>
      <c r="B2897" s="104" t="s">
        <v>3020</v>
      </c>
      <c r="C2897" s="104" t="s">
        <v>183</v>
      </c>
      <c r="D2897" s="129" t="s">
        <v>20733</v>
      </c>
    </row>
    <row r="2898" spans="1:4">
      <c r="A2898" s="105">
        <v>95814</v>
      </c>
      <c r="B2898" s="104" t="s">
        <v>3021</v>
      </c>
      <c r="C2898" s="104" t="s">
        <v>183</v>
      </c>
      <c r="D2898" s="129" t="s">
        <v>20278</v>
      </c>
    </row>
    <row r="2899" spans="1:4">
      <c r="A2899" s="105">
        <v>95815</v>
      </c>
      <c r="B2899" s="104" t="s">
        <v>3022</v>
      </c>
      <c r="C2899" s="104" t="s">
        <v>183</v>
      </c>
      <c r="D2899" s="129" t="s">
        <v>22114</v>
      </c>
    </row>
    <row r="2900" spans="1:4">
      <c r="A2900" s="105">
        <v>95816</v>
      </c>
      <c r="B2900" s="104" t="s">
        <v>3023</v>
      </c>
      <c r="C2900" s="104" t="s">
        <v>183</v>
      </c>
      <c r="D2900" s="129" t="s">
        <v>22115</v>
      </c>
    </row>
    <row r="2901" spans="1:4">
      <c r="A2901" s="105">
        <v>95817</v>
      </c>
      <c r="B2901" s="104" t="s">
        <v>3024</v>
      </c>
      <c r="C2901" s="104" t="s">
        <v>183</v>
      </c>
      <c r="D2901" s="129" t="s">
        <v>22116</v>
      </c>
    </row>
    <row r="2902" spans="1:4">
      <c r="A2902" s="105">
        <v>95818</v>
      </c>
      <c r="B2902" s="104" t="s">
        <v>3025</v>
      </c>
      <c r="C2902" s="104" t="s">
        <v>183</v>
      </c>
      <c r="D2902" s="129" t="s">
        <v>22117</v>
      </c>
    </row>
    <row r="2903" spans="1:4">
      <c r="A2903" s="105">
        <v>97881</v>
      </c>
      <c r="B2903" s="104" t="s">
        <v>3026</v>
      </c>
      <c r="C2903" s="104" t="s">
        <v>183</v>
      </c>
      <c r="D2903" s="129" t="s">
        <v>22118</v>
      </c>
    </row>
    <row r="2904" spans="1:4">
      <c r="A2904" s="105">
        <v>97882</v>
      </c>
      <c r="B2904" s="104" t="s">
        <v>3027</v>
      </c>
      <c r="C2904" s="104" t="s">
        <v>183</v>
      </c>
      <c r="D2904" s="129" t="s">
        <v>22119</v>
      </c>
    </row>
    <row r="2905" spans="1:4">
      <c r="A2905" s="105">
        <v>97883</v>
      </c>
      <c r="B2905" s="104" t="s">
        <v>3028</v>
      </c>
      <c r="C2905" s="104" t="s">
        <v>183</v>
      </c>
      <c r="D2905" s="129" t="s">
        <v>22120</v>
      </c>
    </row>
    <row r="2906" spans="1:4">
      <c r="A2906" s="105">
        <v>97884</v>
      </c>
      <c r="B2906" s="104" t="s">
        <v>3029</v>
      </c>
      <c r="C2906" s="104" t="s">
        <v>183</v>
      </c>
      <c r="D2906" s="129" t="s">
        <v>22121</v>
      </c>
    </row>
    <row r="2907" spans="1:4">
      <c r="A2907" s="105">
        <v>97885</v>
      </c>
      <c r="B2907" s="104" t="s">
        <v>3030</v>
      </c>
      <c r="C2907" s="104" t="s">
        <v>183</v>
      </c>
      <c r="D2907" s="129" t="s">
        <v>22122</v>
      </c>
    </row>
    <row r="2908" spans="1:4">
      <c r="A2908" s="105">
        <v>97886</v>
      </c>
      <c r="B2908" s="104" t="s">
        <v>3031</v>
      </c>
      <c r="C2908" s="104" t="s">
        <v>183</v>
      </c>
      <c r="D2908" s="129" t="s">
        <v>22123</v>
      </c>
    </row>
    <row r="2909" spans="1:4">
      <c r="A2909" s="105">
        <v>97887</v>
      </c>
      <c r="B2909" s="104" t="s">
        <v>3032</v>
      </c>
      <c r="C2909" s="104" t="s">
        <v>183</v>
      </c>
      <c r="D2909" s="129" t="s">
        <v>22124</v>
      </c>
    </row>
    <row r="2910" spans="1:4">
      <c r="A2910" s="105">
        <v>97888</v>
      </c>
      <c r="B2910" s="104" t="s">
        <v>3033</v>
      </c>
      <c r="C2910" s="104" t="s">
        <v>183</v>
      </c>
      <c r="D2910" s="129" t="s">
        <v>22125</v>
      </c>
    </row>
    <row r="2911" spans="1:4">
      <c r="A2911" s="105">
        <v>97889</v>
      </c>
      <c r="B2911" s="104" t="s">
        <v>3034</v>
      </c>
      <c r="C2911" s="104" t="s">
        <v>183</v>
      </c>
      <c r="D2911" s="129" t="s">
        <v>22126</v>
      </c>
    </row>
    <row r="2912" spans="1:4">
      <c r="A2912" s="105">
        <v>97890</v>
      </c>
      <c r="B2912" s="104" t="s">
        <v>3035</v>
      </c>
      <c r="C2912" s="104" t="s">
        <v>183</v>
      </c>
      <c r="D2912" s="129" t="s">
        <v>22127</v>
      </c>
    </row>
    <row r="2913" spans="1:4">
      <c r="A2913" s="105">
        <v>97891</v>
      </c>
      <c r="B2913" s="104" t="s">
        <v>3036</v>
      </c>
      <c r="C2913" s="104" t="s">
        <v>183</v>
      </c>
      <c r="D2913" s="129" t="s">
        <v>19305</v>
      </c>
    </row>
    <row r="2914" spans="1:4">
      <c r="A2914" s="105">
        <v>97892</v>
      </c>
      <c r="B2914" s="104" t="s">
        <v>3037</v>
      </c>
      <c r="C2914" s="104" t="s">
        <v>183</v>
      </c>
      <c r="D2914" s="129" t="s">
        <v>22128</v>
      </c>
    </row>
    <row r="2915" spans="1:4">
      <c r="A2915" s="105">
        <v>97893</v>
      </c>
      <c r="B2915" s="104" t="s">
        <v>3038</v>
      </c>
      <c r="C2915" s="104" t="s">
        <v>183</v>
      </c>
      <c r="D2915" s="129" t="s">
        <v>22129</v>
      </c>
    </row>
    <row r="2916" spans="1:4">
      <c r="A2916" s="105">
        <v>97894</v>
      </c>
      <c r="B2916" s="104" t="s">
        <v>3039</v>
      </c>
      <c r="C2916" s="104" t="s">
        <v>183</v>
      </c>
      <c r="D2916" s="129" t="s">
        <v>22130</v>
      </c>
    </row>
    <row r="2917" spans="1:4">
      <c r="A2917" s="105">
        <v>93653</v>
      </c>
      <c r="B2917" s="104" t="s">
        <v>3040</v>
      </c>
      <c r="C2917" s="104" t="s">
        <v>183</v>
      </c>
      <c r="D2917" s="129" t="s">
        <v>17270</v>
      </c>
    </row>
    <row r="2918" spans="1:4">
      <c r="A2918" s="105">
        <v>93654</v>
      </c>
      <c r="B2918" s="104" t="s">
        <v>3041</v>
      </c>
      <c r="C2918" s="104" t="s">
        <v>183</v>
      </c>
      <c r="D2918" s="129" t="s">
        <v>17565</v>
      </c>
    </row>
    <row r="2919" spans="1:4">
      <c r="A2919" s="105">
        <v>93655</v>
      </c>
      <c r="B2919" s="104" t="s">
        <v>3042</v>
      </c>
      <c r="C2919" s="104" t="s">
        <v>183</v>
      </c>
      <c r="D2919" s="129" t="s">
        <v>19587</v>
      </c>
    </row>
    <row r="2920" spans="1:4">
      <c r="A2920" s="105">
        <v>93656</v>
      </c>
      <c r="B2920" s="104" t="s">
        <v>3043</v>
      </c>
      <c r="C2920" s="104" t="s">
        <v>183</v>
      </c>
      <c r="D2920" s="129" t="s">
        <v>19587</v>
      </c>
    </row>
    <row r="2921" spans="1:4">
      <c r="A2921" s="105">
        <v>93657</v>
      </c>
      <c r="B2921" s="104" t="s">
        <v>3044</v>
      </c>
      <c r="C2921" s="104" t="s">
        <v>183</v>
      </c>
      <c r="D2921" s="129" t="s">
        <v>19086</v>
      </c>
    </row>
    <row r="2922" spans="1:4">
      <c r="A2922" s="105">
        <v>93658</v>
      </c>
      <c r="B2922" s="104" t="s">
        <v>3045</v>
      </c>
      <c r="C2922" s="104" t="s">
        <v>183</v>
      </c>
      <c r="D2922" s="129" t="s">
        <v>20269</v>
      </c>
    </row>
    <row r="2923" spans="1:4">
      <c r="A2923" s="105">
        <v>93659</v>
      </c>
      <c r="B2923" s="104" t="s">
        <v>3046</v>
      </c>
      <c r="C2923" s="104" t="s">
        <v>183</v>
      </c>
      <c r="D2923" s="129" t="s">
        <v>22131</v>
      </c>
    </row>
    <row r="2924" spans="1:4">
      <c r="A2924" s="105">
        <v>93660</v>
      </c>
      <c r="B2924" s="104" t="s">
        <v>3047</v>
      </c>
      <c r="C2924" s="104" t="s">
        <v>183</v>
      </c>
      <c r="D2924" s="129" t="s">
        <v>20210</v>
      </c>
    </row>
    <row r="2925" spans="1:4">
      <c r="A2925" s="105">
        <v>93661</v>
      </c>
      <c r="B2925" s="104" t="s">
        <v>3048</v>
      </c>
      <c r="C2925" s="104" t="s">
        <v>183</v>
      </c>
      <c r="D2925" s="129" t="s">
        <v>21551</v>
      </c>
    </row>
    <row r="2926" spans="1:4">
      <c r="A2926" s="105">
        <v>93662</v>
      </c>
      <c r="B2926" s="104" t="s">
        <v>3049</v>
      </c>
      <c r="C2926" s="104" t="s">
        <v>183</v>
      </c>
      <c r="D2926" s="129" t="s">
        <v>20888</v>
      </c>
    </row>
    <row r="2927" spans="1:4">
      <c r="A2927" s="105">
        <v>93663</v>
      </c>
      <c r="B2927" s="104" t="s">
        <v>3050</v>
      </c>
      <c r="C2927" s="104" t="s">
        <v>183</v>
      </c>
      <c r="D2927" s="129" t="s">
        <v>20888</v>
      </c>
    </row>
    <row r="2928" spans="1:4">
      <c r="A2928" s="105">
        <v>93664</v>
      </c>
      <c r="B2928" s="104" t="s">
        <v>3051</v>
      </c>
      <c r="C2928" s="104" t="s">
        <v>183</v>
      </c>
      <c r="D2928" s="129" t="s">
        <v>22132</v>
      </c>
    </row>
    <row r="2929" spans="1:4">
      <c r="A2929" s="105">
        <v>93665</v>
      </c>
      <c r="B2929" s="104" t="s">
        <v>3052</v>
      </c>
      <c r="C2929" s="104" t="s">
        <v>183</v>
      </c>
      <c r="D2929" s="129" t="s">
        <v>22133</v>
      </c>
    </row>
    <row r="2930" spans="1:4">
      <c r="A2930" s="105">
        <v>93666</v>
      </c>
      <c r="B2930" s="104" t="s">
        <v>3053</v>
      </c>
      <c r="C2930" s="104" t="s">
        <v>183</v>
      </c>
      <c r="D2930" s="129" t="s">
        <v>22134</v>
      </c>
    </row>
    <row r="2931" spans="1:4">
      <c r="A2931" s="105">
        <v>93667</v>
      </c>
      <c r="B2931" s="104" t="s">
        <v>3054</v>
      </c>
      <c r="C2931" s="104" t="s">
        <v>183</v>
      </c>
      <c r="D2931" s="129" t="s">
        <v>22135</v>
      </c>
    </row>
    <row r="2932" spans="1:4">
      <c r="A2932" s="105">
        <v>93668</v>
      </c>
      <c r="B2932" s="104" t="s">
        <v>3055</v>
      </c>
      <c r="C2932" s="104" t="s">
        <v>183</v>
      </c>
      <c r="D2932" s="129" t="s">
        <v>22136</v>
      </c>
    </row>
    <row r="2933" spans="1:4">
      <c r="A2933" s="105">
        <v>93669</v>
      </c>
      <c r="B2933" s="104" t="s">
        <v>3056</v>
      </c>
      <c r="C2933" s="104" t="s">
        <v>183</v>
      </c>
      <c r="D2933" s="129" t="s">
        <v>22137</v>
      </c>
    </row>
    <row r="2934" spans="1:4">
      <c r="A2934" s="105">
        <v>93670</v>
      </c>
      <c r="B2934" s="104" t="s">
        <v>3057</v>
      </c>
      <c r="C2934" s="104" t="s">
        <v>183</v>
      </c>
      <c r="D2934" s="129" t="s">
        <v>22137</v>
      </c>
    </row>
    <row r="2935" spans="1:4">
      <c r="A2935" s="105">
        <v>93671</v>
      </c>
      <c r="B2935" s="104" t="s">
        <v>3058</v>
      </c>
      <c r="C2935" s="104" t="s">
        <v>183</v>
      </c>
      <c r="D2935" s="129" t="s">
        <v>22138</v>
      </c>
    </row>
    <row r="2936" spans="1:4">
      <c r="A2936" s="105">
        <v>93672</v>
      </c>
      <c r="B2936" s="104" t="s">
        <v>3059</v>
      </c>
      <c r="C2936" s="104" t="s">
        <v>183</v>
      </c>
      <c r="D2936" s="129" t="s">
        <v>22139</v>
      </c>
    </row>
    <row r="2937" spans="1:4">
      <c r="A2937" s="105">
        <v>93673</v>
      </c>
      <c r="B2937" s="104" t="s">
        <v>3060</v>
      </c>
      <c r="C2937" s="104" t="s">
        <v>183</v>
      </c>
      <c r="D2937" s="129" t="s">
        <v>22140</v>
      </c>
    </row>
    <row r="2938" spans="1:4">
      <c r="A2938" s="105">
        <v>97359</v>
      </c>
      <c r="B2938" s="104" t="s">
        <v>3061</v>
      </c>
      <c r="C2938" s="104" t="s">
        <v>183</v>
      </c>
      <c r="D2938" s="129" t="s">
        <v>22141</v>
      </c>
    </row>
    <row r="2939" spans="1:4">
      <c r="A2939" s="105">
        <v>97360</v>
      </c>
      <c r="B2939" s="104" t="s">
        <v>3062</v>
      </c>
      <c r="C2939" s="104" t="s">
        <v>183</v>
      </c>
      <c r="D2939" s="129" t="s">
        <v>22142</v>
      </c>
    </row>
    <row r="2940" spans="1:4">
      <c r="A2940" s="105">
        <v>97361</v>
      </c>
      <c r="B2940" s="104" t="s">
        <v>3063</v>
      </c>
      <c r="C2940" s="104" t="s">
        <v>183</v>
      </c>
      <c r="D2940" s="129" t="s">
        <v>22143</v>
      </c>
    </row>
    <row r="2941" spans="1:4">
      <c r="A2941" s="105">
        <v>97362</v>
      </c>
      <c r="B2941" s="104" t="s">
        <v>3064</v>
      </c>
      <c r="C2941" s="104" t="s">
        <v>183</v>
      </c>
      <c r="D2941" s="129" t="s">
        <v>22144</v>
      </c>
    </row>
    <row r="2942" spans="1:4">
      <c r="A2942" s="105">
        <v>101875</v>
      </c>
      <c r="B2942" s="104" t="s">
        <v>3065</v>
      </c>
      <c r="C2942" s="104" t="s">
        <v>183</v>
      </c>
      <c r="D2942" s="129" t="s">
        <v>22145</v>
      </c>
    </row>
    <row r="2943" spans="1:4">
      <c r="A2943" s="105">
        <v>101876</v>
      </c>
      <c r="B2943" s="104" t="s">
        <v>3066</v>
      </c>
      <c r="C2943" s="104" t="s">
        <v>183</v>
      </c>
      <c r="D2943" s="129" t="s">
        <v>22146</v>
      </c>
    </row>
    <row r="2944" spans="1:4">
      <c r="A2944" s="105">
        <v>101877</v>
      </c>
      <c r="B2944" s="104" t="s">
        <v>3067</v>
      </c>
      <c r="C2944" s="104" t="s">
        <v>183</v>
      </c>
      <c r="D2944" s="129" t="s">
        <v>22147</v>
      </c>
    </row>
    <row r="2945" spans="1:4">
      <c r="A2945" s="105">
        <v>101878</v>
      </c>
      <c r="B2945" s="104" t="s">
        <v>3068</v>
      </c>
      <c r="C2945" s="104" t="s">
        <v>183</v>
      </c>
      <c r="D2945" s="129" t="s">
        <v>22148</v>
      </c>
    </row>
    <row r="2946" spans="1:4">
      <c r="A2946" s="105">
        <v>101879</v>
      </c>
      <c r="B2946" s="104" t="s">
        <v>3069</v>
      </c>
      <c r="C2946" s="104" t="s">
        <v>183</v>
      </c>
      <c r="D2946" s="129" t="s">
        <v>22149</v>
      </c>
    </row>
    <row r="2947" spans="1:4">
      <c r="A2947" s="105">
        <v>101880</v>
      </c>
      <c r="B2947" s="104" t="s">
        <v>3070</v>
      </c>
      <c r="C2947" s="104" t="s">
        <v>183</v>
      </c>
      <c r="D2947" s="129" t="s">
        <v>22150</v>
      </c>
    </row>
    <row r="2948" spans="1:4">
      <c r="A2948" s="105">
        <v>101881</v>
      </c>
      <c r="B2948" s="104" t="s">
        <v>3071</v>
      </c>
      <c r="C2948" s="104" t="s">
        <v>183</v>
      </c>
      <c r="D2948" s="129" t="s">
        <v>22151</v>
      </c>
    </row>
    <row r="2949" spans="1:4">
      <c r="A2949" s="105">
        <v>101882</v>
      </c>
      <c r="B2949" s="104" t="s">
        <v>3072</v>
      </c>
      <c r="C2949" s="104" t="s">
        <v>183</v>
      </c>
      <c r="D2949" s="129" t="s">
        <v>22152</v>
      </c>
    </row>
    <row r="2950" spans="1:4">
      <c r="A2950" s="105">
        <v>101883</v>
      </c>
      <c r="B2950" s="104" t="s">
        <v>3073</v>
      </c>
      <c r="C2950" s="104" t="s">
        <v>183</v>
      </c>
      <c r="D2950" s="129" t="s">
        <v>22153</v>
      </c>
    </row>
    <row r="2951" spans="1:4">
      <c r="A2951" s="105">
        <v>101890</v>
      </c>
      <c r="B2951" s="104" t="s">
        <v>3074</v>
      </c>
      <c r="C2951" s="104" t="s">
        <v>183</v>
      </c>
      <c r="D2951" s="129" t="s">
        <v>22154</v>
      </c>
    </row>
    <row r="2952" spans="1:4">
      <c r="A2952" s="105">
        <v>101891</v>
      </c>
      <c r="B2952" s="104" t="s">
        <v>3075</v>
      </c>
      <c r="C2952" s="104" t="s">
        <v>183</v>
      </c>
      <c r="D2952" s="129" t="s">
        <v>22155</v>
      </c>
    </row>
    <row r="2953" spans="1:4">
      <c r="A2953" s="105">
        <v>101892</v>
      </c>
      <c r="B2953" s="104" t="s">
        <v>3076</v>
      </c>
      <c r="C2953" s="104" t="s">
        <v>183</v>
      </c>
      <c r="D2953" s="129" t="s">
        <v>22156</v>
      </c>
    </row>
    <row r="2954" spans="1:4">
      <c r="A2954" s="105">
        <v>101893</v>
      </c>
      <c r="B2954" s="104" t="s">
        <v>3077</v>
      </c>
      <c r="C2954" s="104" t="s">
        <v>183</v>
      </c>
      <c r="D2954" s="129" t="s">
        <v>15997</v>
      </c>
    </row>
    <row r="2955" spans="1:4">
      <c r="A2955" s="105">
        <v>101894</v>
      </c>
      <c r="B2955" s="104" t="s">
        <v>3078</v>
      </c>
      <c r="C2955" s="104" t="s">
        <v>183</v>
      </c>
      <c r="D2955" s="129" t="s">
        <v>22157</v>
      </c>
    </row>
    <row r="2956" spans="1:4">
      <c r="A2956" s="105">
        <v>101895</v>
      </c>
      <c r="B2956" s="104" t="s">
        <v>3079</v>
      </c>
      <c r="C2956" s="104" t="s">
        <v>183</v>
      </c>
      <c r="D2956" s="129" t="s">
        <v>22158</v>
      </c>
    </row>
    <row r="2957" spans="1:4">
      <c r="A2957" s="105">
        <v>101896</v>
      </c>
      <c r="B2957" s="104" t="s">
        <v>3080</v>
      </c>
      <c r="C2957" s="104" t="s">
        <v>183</v>
      </c>
      <c r="D2957" s="129" t="s">
        <v>22159</v>
      </c>
    </row>
    <row r="2958" spans="1:4">
      <c r="A2958" s="105">
        <v>101897</v>
      </c>
      <c r="B2958" s="104" t="s">
        <v>3081</v>
      </c>
      <c r="C2958" s="104" t="s">
        <v>183</v>
      </c>
      <c r="D2958" s="129" t="s">
        <v>22160</v>
      </c>
    </row>
    <row r="2959" spans="1:4">
      <c r="A2959" s="105">
        <v>101898</v>
      </c>
      <c r="B2959" s="104" t="s">
        <v>3082</v>
      </c>
      <c r="C2959" s="104" t="s">
        <v>183</v>
      </c>
      <c r="D2959" s="129" t="s">
        <v>22161</v>
      </c>
    </row>
    <row r="2960" spans="1:4">
      <c r="A2960" s="105">
        <v>101899</v>
      </c>
      <c r="B2960" s="104" t="s">
        <v>3083</v>
      </c>
      <c r="C2960" s="104" t="s">
        <v>183</v>
      </c>
      <c r="D2960" s="129" t="s">
        <v>22162</v>
      </c>
    </row>
    <row r="2961" spans="1:4">
      <c r="A2961" s="105">
        <v>101900</v>
      </c>
      <c r="B2961" s="104" t="s">
        <v>3084</v>
      </c>
      <c r="C2961" s="104" t="s">
        <v>183</v>
      </c>
      <c r="D2961" s="129" t="s">
        <v>22163</v>
      </c>
    </row>
    <row r="2962" spans="1:4">
      <c r="A2962" s="105">
        <v>101901</v>
      </c>
      <c r="B2962" s="104" t="s">
        <v>3085</v>
      </c>
      <c r="C2962" s="104" t="s">
        <v>183</v>
      </c>
      <c r="D2962" s="129" t="s">
        <v>22164</v>
      </c>
    </row>
    <row r="2963" spans="1:4">
      <c r="A2963" s="105">
        <v>101902</v>
      </c>
      <c r="B2963" s="104" t="s">
        <v>3086</v>
      </c>
      <c r="C2963" s="104" t="s">
        <v>183</v>
      </c>
      <c r="D2963" s="129" t="s">
        <v>21767</v>
      </c>
    </row>
    <row r="2964" spans="1:4">
      <c r="A2964" s="105">
        <v>101903</v>
      </c>
      <c r="B2964" s="104" t="s">
        <v>3087</v>
      </c>
      <c r="C2964" s="104" t="s">
        <v>183</v>
      </c>
      <c r="D2964" s="129" t="s">
        <v>22165</v>
      </c>
    </row>
    <row r="2965" spans="1:4">
      <c r="A2965" s="105">
        <v>101904</v>
      </c>
      <c r="B2965" s="104" t="s">
        <v>3088</v>
      </c>
      <c r="C2965" s="104" t="s">
        <v>183</v>
      </c>
      <c r="D2965" s="129" t="s">
        <v>22166</v>
      </c>
    </row>
    <row r="2966" spans="1:4">
      <c r="A2966" s="105">
        <v>101938</v>
      </c>
      <c r="B2966" s="104" t="s">
        <v>3089</v>
      </c>
      <c r="C2966" s="104" t="s">
        <v>183</v>
      </c>
      <c r="D2966" s="129" t="s">
        <v>22167</v>
      </c>
    </row>
    <row r="2967" spans="1:4">
      <c r="A2967" s="105">
        <v>101946</v>
      </c>
      <c r="B2967" s="104" t="s">
        <v>3090</v>
      </c>
      <c r="C2967" s="104" t="s">
        <v>183</v>
      </c>
      <c r="D2967" s="129" t="s">
        <v>22168</v>
      </c>
    </row>
    <row r="2968" spans="1:4">
      <c r="A2968" s="105">
        <v>91945</v>
      </c>
      <c r="B2968" s="104" t="s">
        <v>3091</v>
      </c>
      <c r="C2968" s="104" t="s">
        <v>183</v>
      </c>
      <c r="D2968" s="129" t="s">
        <v>15810</v>
      </c>
    </row>
    <row r="2969" spans="1:4">
      <c r="A2969" s="105">
        <v>91946</v>
      </c>
      <c r="B2969" s="104" t="s">
        <v>3092</v>
      </c>
      <c r="C2969" s="104" t="s">
        <v>183</v>
      </c>
      <c r="D2969" s="129" t="s">
        <v>19597</v>
      </c>
    </row>
    <row r="2970" spans="1:4">
      <c r="A2970" s="105">
        <v>91947</v>
      </c>
      <c r="B2970" s="104" t="s">
        <v>3093</v>
      </c>
      <c r="C2970" s="104" t="s">
        <v>183</v>
      </c>
      <c r="D2970" s="129" t="s">
        <v>18050</v>
      </c>
    </row>
    <row r="2971" spans="1:4">
      <c r="A2971" s="105">
        <v>91949</v>
      </c>
      <c r="B2971" s="104" t="s">
        <v>3094</v>
      </c>
      <c r="C2971" s="104" t="s">
        <v>183</v>
      </c>
      <c r="D2971" s="129" t="s">
        <v>19259</v>
      </c>
    </row>
    <row r="2972" spans="1:4">
      <c r="A2972" s="105">
        <v>91950</v>
      </c>
      <c r="B2972" s="104" t="s">
        <v>3095</v>
      </c>
      <c r="C2972" s="104" t="s">
        <v>183</v>
      </c>
      <c r="D2972" s="129" t="s">
        <v>20653</v>
      </c>
    </row>
    <row r="2973" spans="1:4">
      <c r="A2973" s="105">
        <v>91951</v>
      </c>
      <c r="B2973" s="104" t="s">
        <v>3096</v>
      </c>
      <c r="C2973" s="104" t="s">
        <v>183</v>
      </c>
      <c r="D2973" s="129" t="s">
        <v>17229</v>
      </c>
    </row>
    <row r="2974" spans="1:4">
      <c r="A2974" s="105">
        <v>91952</v>
      </c>
      <c r="B2974" s="104" t="s">
        <v>3097</v>
      </c>
      <c r="C2974" s="104" t="s">
        <v>183</v>
      </c>
      <c r="D2974" s="129" t="s">
        <v>16943</v>
      </c>
    </row>
    <row r="2975" spans="1:4">
      <c r="A2975" s="105">
        <v>91953</v>
      </c>
      <c r="B2975" s="104" t="s">
        <v>3098</v>
      </c>
      <c r="C2975" s="104" t="s">
        <v>183</v>
      </c>
      <c r="D2975" s="129" t="s">
        <v>22169</v>
      </c>
    </row>
    <row r="2976" spans="1:4">
      <c r="A2976" s="105">
        <v>91954</v>
      </c>
      <c r="B2976" s="104" t="s">
        <v>3099</v>
      </c>
      <c r="C2976" s="104" t="s">
        <v>183</v>
      </c>
      <c r="D2976" s="129" t="s">
        <v>17253</v>
      </c>
    </row>
    <row r="2977" spans="1:4">
      <c r="A2977" s="105">
        <v>91955</v>
      </c>
      <c r="B2977" s="104" t="s">
        <v>3100</v>
      </c>
      <c r="C2977" s="104" t="s">
        <v>183</v>
      </c>
      <c r="D2977" s="129" t="s">
        <v>18455</v>
      </c>
    </row>
    <row r="2978" spans="1:4">
      <c r="A2978" s="105">
        <v>91956</v>
      </c>
      <c r="B2978" s="104" t="s">
        <v>3101</v>
      </c>
      <c r="C2978" s="104" t="s">
        <v>183</v>
      </c>
      <c r="D2978" s="129" t="s">
        <v>22170</v>
      </c>
    </row>
    <row r="2979" spans="1:4">
      <c r="A2979" s="105">
        <v>91957</v>
      </c>
      <c r="B2979" s="104" t="s">
        <v>3102</v>
      </c>
      <c r="C2979" s="104" t="s">
        <v>183</v>
      </c>
      <c r="D2979" s="129" t="s">
        <v>15887</v>
      </c>
    </row>
    <row r="2980" spans="1:4">
      <c r="A2980" s="105">
        <v>91958</v>
      </c>
      <c r="B2980" s="104" t="s">
        <v>3103</v>
      </c>
      <c r="C2980" s="104" t="s">
        <v>183</v>
      </c>
      <c r="D2980" s="129" t="s">
        <v>22171</v>
      </c>
    </row>
    <row r="2981" spans="1:4">
      <c r="A2981" s="105">
        <v>91959</v>
      </c>
      <c r="B2981" s="104" t="s">
        <v>3104</v>
      </c>
      <c r="C2981" s="104" t="s">
        <v>183</v>
      </c>
      <c r="D2981" s="129" t="s">
        <v>22172</v>
      </c>
    </row>
    <row r="2982" spans="1:4">
      <c r="A2982" s="105">
        <v>91960</v>
      </c>
      <c r="B2982" s="104" t="s">
        <v>3105</v>
      </c>
      <c r="C2982" s="104" t="s">
        <v>183</v>
      </c>
      <c r="D2982" s="129" t="s">
        <v>20741</v>
      </c>
    </row>
    <row r="2983" spans="1:4">
      <c r="A2983" s="105">
        <v>91961</v>
      </c>
      <c r="B2983" s="104" t="s">
        <v>3106</v>
      </c>
      <c r="C2983" s="104" t="s">
        <v>183</v>
      </c>
      <c r="D2983" s="129" t="s">
        <v>17852</v>
      </c>
    </row>
    <row r="2984" spans="1:4">
      <c r="A2984" s="105">
        <v>91962</v>
      </c>
      <c r="B2984" s="104" t="s">
        <v>3107</v>
      </c>
      <c r="C2984" s="104" t="s">
        <v>183</v>
      </c>
      <c r="D2984" s="129" t="s">
        <v>22173</v>
      </c>
    </row>
    <row r="2985" spans="1:4">
      <c r="A2985" s="105">
        <v>91963</v>
      </c>
      <c r="B2985" s="104" t="s">
        <v>3108</v>
      </c>
      <c r="C2985" s="104" t="s">
        <v>183</v>
      </c>
      <c r="D2985" s="129" t="s">
        <v>22174</v>
      </c>
    </row>
    <row r="2986" spans="1:4">
      <c r="A2986" s="105">
        <v>91964</v>
      </c>
      <c r="B2986" s="104" t="s">
        <v>3109</v>
      </c>
      <c r="C2986" s="104" t="s">
        <v>183</v>
      </c>
      <c r="D2986" s="129" t="s">
        <v>17094</v>
      </c>
    </row>
    <row r="2987" spans="1:4">
      <c r="A2987" s="105">
        <v>91965</v>
      </c>
      <c r="B2987" s="104" t="s">
        <v>3110</v>
      </c>
      <c r="C2987" s="104" t="s">
        <v>183</v>
      </c>
      <c r="D2987" s="129" t="s">
        <v>22175</v>
      </c>
    </row>
    <row r="2988" spans="1:4">
      <c r="A2988" s="105">
        <v>91966</v>
      </c>
      <c r="B2988" s="104" t="s">
        <v>3111</v>
      </c>
      <c r="C2988" s="104" t="s">
        <v>183</v>
      </c>
      <c r="D2988" s="129" t="s">
        <v>22176</v>
      </c>
    </row>
    <row r="2989" spans="1:4">
      <c r="A2989" s="105">
        <v>91967</v>
      </c>
      <c r="B2989" s="104" t="s">
        <v>3112</v>
      </c>
      <c r="C2989" s="104" t="s">
        <v>183</v>
      </c>
      <c r="D2989" s="129" t="s">
        <v>22177</v>
      </c>
    </row>
    <row r="2990" spans="1:4">
      <c r="A2990" s="105">
        <v>91968</v>
      </c>
      <c r="B2990" s="104" t="s">
        <v>3113</v>
      </c>
      <c r="C2990" s="104" t="s">
        <v>183</v>
      </c>
      <c r="D2990" s="129" t="s">
        <v>22178</v>
      </c>
    </row>
    <row r="2991" spans="1:4">
      <c r="A2991" s="105">
        <v>91969</v>
      </c>
      <c r="B2991" s="104" t="s">
        <v>3114</v>
      </c>
      <c r="C2991" s="104" t="s">
        <v>183</v>
      </c>
      <c r="D2991" s="129" t="s">
        <v>18608</v>
      </c>
    </row>
    <row r="2992" spans="1:4">
      <c r="A2992" s="105">
        <v>91970</v>
      </c>
      <c r="B2992" s="104" t="s">
        <v>3115</v>
      </c>
      <c r="C2992" s="104" t="s">
        <v>183</v>
      </c>
      <c r="D2992" s="129" t="s">
        <v>21426</v>
      </c>
    </row>
    <row r="2993" spans="1:4">
      <c r="A2993" s="105">
        <v>91971</v>
      </c>
      <c r="B2993" s="104" t="s">
        <v>3116</v>
      </c>
      <c r="C2993" s="104" t="s">
        <v>183</v>
      </c>
      <c r="D2993" s="129" t="s">
        <v>22179</v>
      </c>
    </row>
    <row r="2994" spans="1:4">
      <c r="A2994" s="105">
        <v>91972</v>
      </c>
      <c r="B2994" s="104" t="s">
        <v>3117</v>
      </c>
      <c r="C2994" s="104" t="s">
        <v>183</v>
      </c>
      <c r="D2994" s="129" t="s">
        <v>22180</v>
      </c>
    </row>
    <row r="2995" spans="1:4">
      <c r="A2995" s="105">
        <v>91973</v>
      </c>
      <c r="B2995" s="104" t="s">
        <v>3118</v>
      </c>
      <c r="C2995" s="104" t="s">
        <v>183</v>
      </c>
      <c r="D2995" s="129" t="s">
        <v>22181</v>
      </c>
    </row>
    <row r="2996" spans="1:4">
      <c r="A2996" s="105">
        <v>91974</v>
      </c>
      <c r="B2996" s="104" t="s">
        <v>3119</v>
      </c>
      <c r="C2996" s="104" t="s">
        <v>183</v>
      </c>
      <c r="D2996" s="129" t="s">
        <v>22182</v>
      </c>
    </row>
    <row r="2997" spans="1:4">
      <c r="A2997" s="105">
        <v>91975</v>
      </c>
      <c r="B2997" s="104" t="s">
        <v>3120</v>
      </c>
      <c r="C2997" s="104" t="s">
        <v>183</v>
      </c>
      <c r="D2997" s="129" t="s">
        <v>22183</v>
      </c>
    </row>
    <row r="2998" spans="1:4">
      <c r="A2998" s="105">
        <v>91976</v>
      </c>
      <c r="B2998" s="104" t="s">
        <v>3121</v>
      </c>
      <c r="C2998" s="104" t="s">
        <v>183</v>
      </c>
      <c r="D2998" s="129" t="s">
        <v>22184</v>
      </c>
    </row>
    <row r="2999" spans="1:4">
      <c r="A2999" s="105">
        <v>91977</v>
      </c>
      <c r="B2999" s="104" t="s">
        <v>3122</v>
      </c>
      <c r="C2999" s="104" t="s">
        <v>183</v>
      </c>
      <c r="D2999" s="129" t="s">
        <v>22185</v>
      </c>
    </row>
    <row r="3000" spans="1:4">
      <c r="A3000" s="105">
        <v>91978</v>
      </c>
      <c r="B3000" s="104" t="s">
        <v>3123</v>
      </c>
      <c r="C3000" s="104" t="s">
        <v>183</v>
      </c>
      <c r="D3000" s="129" t="s">
        <v>18101</v>
      </c>
    </row>
    <row r="3001" spans="1:4">
      <c r="A3001" s="105">
        <v>91979</v>
      </c>
      <c r="B3001" s="104" t="s">
        <v>3124</v>
      </c>
      <c r="C3001" s="104" t="s">
        <v>183</v>
      </c>
      <c r="D3001" s="129" t="s">
        <v>22186</v>
      </c>
    </row>
    <row r="3002" spans="1:4">
      <c r="A3002" s="105">
        <v>91980</v>
      </c>
      <c r="B3002" s="104" t="s">
        <v>3125</v>
      </c>
      <c r="C3002" s="104" t="s">
        <v>183</v>
      </c>
      <c r="D3002" s="129" t="s">
        <v>22187</v>
      </c>
    </row>
    <row r="3003" spans="1:4">
      <c r="A3003" s="105">
        <v>91981</v>
      </c>
      <c r="B3003" s="104" t="s">
        <v>3126</v>
      </c>
      <c r="C3003" s="104" t="s">
        <v>183</v>
      </c>
      <c r="D3003" s="129" t="s">
        <v>22188</v>
      </c>
    </row>
    <row r="3004" spans="1:4">
      <c r="A3004" s="105">
        <v>91982</v>
      </c>
      <c r="B3004" s="104" t="s">
        <v>3127</v>
      </c>
      <c r="C3004" s="104" t="s">
        <v>183</v>
      </c>
      <c r="D3004" s="129" t="s">
        <v>15209</v>
      </c>
    </row>
    <row r="3005" spans="1:4">
      <c r="A3005" s="105">
        <v>91983</v>
      </c>
      <c r="B3005" s="104" t="s">
        <v>3128</v>
      </c>
      <c r="C3005" s="104" t="s">
        <v>183</v>
      </c>
      <c r="D3005" s="129" t="s">
        <v>22189</v>
      </c>
    </row>
    <row r="3006" spans="1:4">
      <c r="A3006" s="105">
        <v>91984</v>
      </c>
      <c r="B3006" s="104" t="s">
        <v>3129</v>
      </c>
      <c r="C3006" s="104" t="s">
        <v>183</v>
      </c>
      <c r="D3006" s="129" t="s">
        <v>22051</v>
      </c>
    </row>
    <row r="3007" spans="1:4">
      <c r="A3007" s="105">
        <v>91985</v>
      </c>
      <c r="B3007" s="104" t="s">
        <v>3130</v>
      </c>
      <c r="C3007" s="104" t="s">
        <v>183</v>
      </c>
      <c r="D3007" s="129" t="s">
        <v>15886</v>
      </c>
    </row>
    <row r="3008" spans="1:4">
      <c r="A3008" s="105">
        <v>91986</v>
      </c>
      <c r="B3008" s="104" t="s">
        <v>3131</v>
      </c>
      <c r="C3008" s="104" t="s">
        <v>183</v>
      </c>
      <c r="D3008" s="129" t="s">
        <v>22190</v>
      </c>
    </row>
    <row r="3009" spans="1:4">
      <c r="A3009" s="105">
        <v>91987</v>
      </c>
      <c r="B3009" s="104" t="s">
        <v>3132</v>
      </c>
      <c r="C3009" s="104" t="s">
        <v>183</v>
      </c>
      <c r="D3009" s="129" t="s">
        <v>22191</v>
      </c>
    </row>
    <row r="3010" spans="1:4">
      <c r="A3010" s="105">
        <v>91988</v>
      </c>
      <c r="B3010" s="104" t="s">
        <v>3133</v>
      </c>
      <c r="C3010" s="104" t="s">
        <v>183</v>
      </c>
      <c r="D3010" s="129" t="s">
        <v>22192</v>
      </c>
    </row>
    <row r="3011" spans="1:4">
      <c r="A3011" s="105">
        <v>91989</v>
      </c>
      <c r="B3011" s="104" t="s">
        <v>3134</v>
      </c>
      <c r="C3011" s="104" t="s">
        <v>183</v>
      </c>
      <c r="D3011" s="129" t="s">
        <v>18644</v>
      </c>
    </row>
    <row r="3012" spans="1:4">
      <c r="A3012" s="105">
        <v>91990</v>
      </c>
      <c r="B3012" s="104" t="s">
        <v>3135</v>
      </c>
      <c r="C3012" s="104" t="s">
        <v>183</v>
      </c>
      <c r="D3012" s="129" t="s">
        <v>19776</v>
      </c>
    </row>
    <row r="3013" spans="1:4">
      <c r="A3013" s="105">
        <v>91991</v>
      </c>
      <c r="B3013" s="104" t="s">
        <v>3136</v>
      </c>
      <c r="C3013" s="104" t="s">
        <v>183</v>
      </c>
      <c r="D3013" s="129" t="s">
        <v>22193</v>
      </c>
    </row>
    <row r="3014" spans="1:4">
      <c r="A3014" s="105">
        <v>91992</v>
      </c>
      <c r="B3014" s="104" t="s">
        <v>3137</v>
      </c>
      <c r="C3014" s="104" t="s">
        <v>183</v>
      </c>
      <c r="D3014" s="129" t="s">
        <v>18730</v>
      </c>
    </row>
    <row r="3015" spans="1:4">
      <c r="A3015" s="105">
        <v>91993</v>
      </c>
      <c r="B3015" s="104" t="s">
        <v>3138</v>
      </c>
      <c r="C3015" s="104" t="s">
        <v>183</v>
      </c>
      <c r="D3015" s="129" t="s">
        <v>20192</v>
      </c>
    </row>
    <row r="3016" spans="1:4">
      <c r="A3016" s="105">
        <v>91994</v>
      </c>
      <c r="B3016" s="104" t="s">
        <v>3139</v>
      </c>
      <c r="C3016" s="104" t="s">
        <v>183</v>
      </c>
      <c r="D3016" s="129" t="s">
        <v>15200</v>
      </c>
    </row>
    <row r="3017" spans="1:4">
      <c r="A3017" s="105">
        <v>91995</v>
      </c>
      <c r="B3017" s="104" t="s">
        <v>3140</v>
      </c>
      <c r="C3017" s="104" t="s">
        <v>183</v>
      </c>
      <c r="D3017" s="129" t="s">
        <v>19602</v>
      </c>
    </row>
    <row r="3018" spans="1:4">
      <c r="A3018" s="105">
        <v>91996</v>
      </c>
      <c r="B3018" s="104" t="s">
        <v>3141</v>
      </c>
      <c r="C3018" s="104" t="s">
        <v>183</v>
      </c>
      <c r="D3018" s="129" t="s">
        <v>22194</v>
      </c>
    </row>
    <row r="3019" spans="1:4">
      <c r="A3019" s="105">
        <v>91997</v>
      </c>
      <c r="B3019" s="104" t="s">
        <v>3142</v>
      </c>
      <c r="C3019" s="104" t="s">
        <v>183</v>
      </c>
      <c r="D3019" s="129" t="s">
        <v>17280</v>
      </c>
    </row>
    <row r="3020" spans="1:4">
      <c r="A3020" s="105">
        <v>91998</v>
      </c>
      <c r="B3020" s="104" t="s">
        <v>3143</v>
      </c>
      <c r="C3020" s="104" t="s">
        <v>183</v>
      </c>
      <c r="D3020" s="129" t="s">
        <v>16906</v>
      </c>
    </row>
    <row r="3021" spans="1:4">
      <c r="A3021" s="105">
        <v>91999</v>
      </c>
      <c r="B3021" s="104" t="s">
        <v>3144</v>
      </c>
      <c r="C3021" s="104" t="s">
        <v>183</v>
      </c>
      <c r="D3021" s="129" t="s">
        <v>22195</v>
      </c>
    </row>
    <row r="3022" spans="1:4">
      <c r="A3022" s="105">
        <v>92000</v>
      </c>
      <c r="B3022" s="104" t="s">
        <v>3145</v>
      </c>
      <c r="C3022" s="104" t="s">
        <v>183</v>
      </c>
      <c r="D3022" s="129" t="s">
        <v>22196</v>
      </c>
    </row>
    <row r="3023" spans="1:4">
      <c r="A3023" s="105">
        <v>92001</v>
      </c>
      <c r="B3023" s="104" t="s">
        <v>3146</v>
      </c>
      <c r="C3023" s="104" t="s">
        <v>183</v>
      </c>
      <c r="D3023" s="129" t="s">
        <v>20289</v>
      </c>
    </row>
    <row r="3024" spans="1:4">
      <c r="A3024" s="105">
        <v>92002</v>
      </c>
      <c r="B3024" s="104" t="s">
        <v>3147</v>
      </c>
      <c r="C3024" s="104" t="s">
        <v>183</v>
      </c>
      <c r="D3024" s="129" t="s">
        <v>22197</v>
      </c>
    </row>
    <row r="3025" spans="1:4">
      <c r="A3025" s="105">
        <v>92003</v>
      </c>
      <c r="B3025" s="104" t="s">
        <v>3148</v>
      </c>
      <c r="C3025" s="104" t="s">
        <v>183</v>
      </c>
      <c r="D3025" s="129" t="s">
        <v>22198</v>
      </c>
    </row>
    <row r="3026" spans="1:4">
      <c r="A3026" s="105">
        <v>92004</v>
      </c>
      <c r="B3026" s="104" t="s">
        <v>3149</v>
      </c>
      <c r="C3026" s="104" t="s">
        <v>183</v>
      </c>
      <c r="D3026" s="129" t="s">
        <v>22199</v>
      </c>
    </row>
    <row r="3027" spans="1:4">
      <c r="A3027" s="105">
        <v>92005</v>
      </c>
      <c r="B3027" s="104" t="s">
        <v>3150</v>
      </c>
      <c r="C3027" s="104" t="s">
        <v>183</v>
      </c>
      <c r="D3027" s="129" t="s">
        <v>21976</v>
      </c>
    </row>
    <row r="3028" spans="1:4">
      <c r="A3028" s="105">
        <v>92006</v>
      </c>
      <c r="B3028" s="104" t="s">
        <v>3151</v>
      </c>
      <c r="C3028" s="104" t="s">
        <v>183</v>
      </c>
      <c r="D3028" s="129" t="s">
        <v>22200</v>
      </c>
    </row>
    <row r="3029" spans="1:4">
      <c r="A3029" s="105">
        <v>92007</v>
      </c>
      <c r="B3029" s="104" t="s">
        <v>3152</v>
      </c>
      <c r="C3029" s="104" t="s">
        <v>183</v>
      </c>
      <c r="D3029" s="129" t="s">
        <v>18249</v>
      </c>
    </row>
    <row r="3030" spans="1:4">
      <c r="A3030" s="105">
        <v>92008</v>
      </c>
      <c r="B3030" s="104" t="s">
        <v>3153</v>
      </c>
      <c r="C3030" s="104" t="s">
        <v>183</v>
      </c>
      <c r="D3030" s="129" t="s">
        <v>18088</v>
      </c>
    </row>
    <row r="3031" spans="1:4">
      <c r="A3031" s="105">
        <v>92009</v>
      </c>
      <c r="B3031" s="104" t="s">
        <v>3154</v>
      </c>
      <c r="C3031" s="104" t="s">
        <v>183</v>
      </c>
      <c r="D3031" s="129" t="s">
        <v>17735</v>
      </c>
    </row>
    <row r="3032" spans="1:4">
      <c r="A3032" s="105">
        <v>92010</v>
      </c>
      <c r="B3032" s="104" t="s">
        <v>3155</v>
      </c>
      <c r="C3032" s="104" t="s">
        <v>183</v>
      </c>
      <c r="D3032" s="129" t="s">
        <v>22201</v>
      </c>
    </row>
    <row r="3033" spans="1:4">
      <c r="A3033" s="105">
        <v>92011</v>
      </c>
      <c r="B3033" s="104" t="s">
        <v>3156</v>
      </c>
      <c r="C3033" s="104" t="s">
        <v>183</v>
      </c>
      <c r="D3033" s="129" t="s">
        <v>16303</v>
      </c>
    </row>
    <row r="3034" spans="1:4">
      <c r="A3034" s="105">
        <v>92012</v>
      </c>
      <c r="B3034" s="104" t="s">
        <v>3157</v>
      </c>
      <c r="C3034" s="104" t="s">
        <v>183</v>
      </c>
      <c r="D3034" s="129" t="s">
        <v>19880</v>
      </c>
    </row>
    <row r="3035" spans="1:4">
      <c r="A3035" s="105">
        <v>92013</v>
      </c>
      <c r="B3035" s="104" t="s">
        <v>3158</v>
      </c>
      <c r="C3035" s="104" t="s">
        <v>183</v>
      </c>
      <c r="D3035" s="129" t="s">
        <v>22202</v>
      </c>
    </row>
    <row r="3036" spans="1:4">
      <c r="A3036" s="105">
        <v>92014</v>
      </c>
      <c r="B3036" s="104" t="s">
        <v>3159</v>
      </c>
      <c r="C3036" s="104" t="s">
        <v>183</v>
      </c>
      <c r="D3036" s="129" t="s">
        <v>15405</v>
      </c>
    </row>
    <row r="3037" spans="1:4">
      <c r="A3037" s="105">
        <v>92015</v>
      </c>
      <c r="B3037" s="104" t="s">
        <v>3160</v>
      </c>
      <c r="C3037" s="104" t="s">
        <v>183</v>
      </c>
      <c r="D3037" s="129" t="s">
        <v>22203</v>
      </c>
    </row>
    <row r="3038" spans="1:4">
      <c r="A3038" s="105">
        <v>92016</v>
      </c>
      <c r="B3038" s="104" t="s">
        <v>3161</v>
      </c>
      <c r="C3038" s="104" t="s">
        <v>183</v>
      </c>
      <c r="D3038" s="129" t="s">
        <v>22204</v>
      </c>
    </row>
    <row r="3039" spans="1:4">
      <c r="A3039" s="105">
        <v>92017</v>
      </c>
      <c r="B3039" s="104" t="s">
        <v>3162</v>
      </c>
      <c r="C3039" s="104" t="s">
        <v>183</v>
      </c>
      <c r="D3039" s="129" t="s">
        <v>22205</v>
      </c>
    </row>
    <row r="3040" spans="1:4">
      <c r="A3040" s="105">
        <v>92018</v>
      </c>
      <c r="B3040" s="104" t="s">
        <v>3163</v>
      </c>
      <c r="C3040" s="104" t="s">
        <v>183</v>
      </c>
      <c r="D3040" s="129" t="s">
        <v>22206</v>
      </c>
    </row>
    <row r="3041" spans="1:4">
      <c r="A3041" s="105">
        <v>92019</v>
      </c>
      <c r="B3041" s="104" t="s">
        <v>3164</v>
      </c>
      <c r="C3041" s="104" t="s">
        <v>183</v>
      </c>
      <c r="D3041" s="129" t="s">
        <v>22207</v>
      </c>
    </row>
    <row r="3042" spans="1:4">
      <c r="A3042" s="105">
        <v>92020</v>
      </c>
      <c r="B3042" s="104" t="s">
        <v>3165</v>
      </c>
      <c r="C3042" s="104" t="s">
        <v>183</v>
      </c>
      <c r="D3042" s="129" t="s">
        <v>22208</v>
      </c>
    </row>
    <row r="3043" spans="1:4">
      <c r="A3043" s="105">
        <v>92021</v>
      </c>
      <c r="B3043" s="104" t="s">
        <v>3166</v>
      </c>
      <c r="C3043" s="104" t="s">
        <v>183</v>
      </c>
      <c r="D3043" s="129" t="s">
        <v>22209</v>
      </c>
    </row>
    <row r="3044" spans="1:4">
      <c r="A3044" s="105">
        <v>92022</v>
      </c>
      <c r="B3044" s="104" t="s">
        <v>3167</v>
      </c>
      <c r="C3044" s="104" t="s">
        <v>183</v>
      </c>
      <c r="D3044" s="129" t="s">
        <v>22210</v>
      </c>
    </row>
    <row r="3045" spans="1:4">
      <c r="A3045" s="105">
        <v>92023</v>
      </c>
      <c r="B3045" s="104" t="s">
        <v>3168</v>
      </c>
      <c r="C3045" s="104" t="s">
        <v>183</v>
      </c>
      <c r="D3045" s="129" t="s">
        <v>22211</v>
      </c>
    </row>
    <row r="3046" spans="1:4">
      <c r="A3046" s="105">
        <v>92024</v>
      </c>
      <c r="B3046" s="104" t="s">
        <v>3169</v>
      </c>
      <c r="C3046" s="104" t="s">
        <v>183</v>
      </c>
      <c r="D3046" s="129" t="s">
        <v>22212</v>
      </c>
    </row>
    <row r="3047" spans="1:4">
      <c r="A3047" s="105">
        <v>92025</v>
      </c>
      <c r="B3047" s="104" t="s">
        <v>3170</v>
      </c>
      <c r="C3047" s="104" t="s">
        <v>183</v>
      </c>
      <c r="D3047" s="129" t="s">
        <v>22213</v>
      </c>
    </row>
    <row r="3048" spans="1:4">
      <c r="A3048" s="105">
        <v>92026</v>
      </c>
      <c r="B3048" s="104" t="s">
        <v>3171</v>
      </c>
      <c r="C3048" s="104" t="s">
        <v>183</v>
      </c>
      <c r="D3048" s="129" t="s">
        <v>22214</v>
      </c>
    </row>
    <row r="3049" spans="1:4">
      <c r="A3049" s="105">
        <v>92027</v>
      </c>
      <c r="B3049" s="104" t="s">
        <v>3172</v>
      </c>
      <c r="C3049" s="104" t="s">
        <v>183</v>
      </c>
      <c r="D3049" s="129" t="s">
        <v>22215</v>
      </c>
    </row>
    <row r="3050" spans="1:4">
      <c r="A3050" s="105">
        <v>92028</v>
      </c>
      <c r="B3050" s="104" t="s">
        <v>3173</v>
      </c>
      <c r="C3050" s="104" t="s">
        <v>183</v>
      </c>
      <c r="D3050" s="129" t="s">
        <v>22216</v>
      </c>
    </row>
    <row r="3051" spans="1:4">
      <c r="A3051" s="105">
        <v>92029</v>
      </c>
      <c r="B3051" s="104" t="s">
        <v>3174</v>
      </c>
      <c r="C3051" s="104" t="s">
        <v>183</v>
      </c>
      <c r="D3051" s="129" t="s">
        <v>20903</v>
      </c>
    </row>
    <row r="3052" spans="1:4">
      <c r="A3052" s="105">
        <v>92030</v>
      </c>
      <c r="B3052" s="104" t="s">
        <v>3175</v>
      </c>
      <c r="C3052" s="104" t="s">
        <v>183</v>
      </c>
      <c r="D3052" s="129" t="s">
        <v>22217</v>
      </c>
    </row>
    <row r="3053" spans="1:4">
      <c r="A3053" s="105">
        <v>92031</v>
      </c>
      <c r="B3053" s="104" t="s">
        <v>3176</v>
      </c>
      <c r="C3053" s="104" t="s">
        <v>183</v>
      </c>
      <c r="D3053" s="129" t="s">
        <v>22218</v>
      </c>
    </row>
    <row r="3054" spans="1:4">
      <c r="A3054" s="105">
        <v>92032</v>
      </c>
      <c r="B3054" s="104" t="s">
        <v>3177</v>
      </c>
      <c r="C3054" s="104" t="s">
        <v>183</v>
      </c>
      <c r="D3054" s="129" t="s">
        <v>20536</v>
      </c>
    </row>
    <row r="3055" spans="1:4">
      <c r="A3055" s="105">
        <v>92033</v>
      </c>
      <c r="B3055" s="104" t="s">
        <v>3178</v>
      </c>
      <c r="C3055" s="104" t="s">
        <v>183</v>
      </c>
      <c r="D3055" s="129" t="s">
        <v>22219</v>
      </c>
    </row>
    <row r="3056" spans="1:4">
      <c r="A3056" s="105">
        <v>92034</v>
      </c>
      <c r="B3056" s="104" t="s">
        <v>3179</v>
      </c>
      <c r="C3056" s="104" t="s">
        <v>183</v>
      </c>
      <c r="D3056" s="129" t="s">
        <v>22220</v>
      </c>
    </row>
    <row r="3057" spans="1:4">
      <c r="A3057" s="105">
        <v>92035</v>
      </c>
      <c r="B3057" s="104" t="s">
        <v>3180</v>
      </c>
      <c r="C3057" s="104" t="s">
        <v>183</v>
      </c>
      <c r="D3057" s="129" t="s">
        <v>16314</v>
      </c>
    </row>
    <row r="3058" spans="1:4">
      <c r="A3058" s="105">
        <v>97583</v>
      </c>
      <c r="B3058" s="104" t="s">
        <v>3181</v>
      </c>
      <c r="C3058" s="104" t="s">
        <v>183</v>
      </c>
      <c r="D3058" s="129" t="s">
        <v>22221</v>
      </c>
    </row>
    <row r="3059" spans="1:4">
      <c r="A3059" s="105">
        <v>97584</v>
      </c>
      <c r="B3059" s="104" t="s">
        <v>3182</v>
      </c>
      <c r="C3059" s="104" t="s">
        <v>183</v>
      </c>
      <c r="D3059" s="129" t="s">
        <v>22222</v>
      </c>
    </row>
    <row r="3060" spans="1:4">
      <c r="A3060" s="105">
        <v>97585</v>
      </c>
      <c r="B3060" s="104" t="s">
        <v>3183</v>
      </c>
      <c r="C3060" s="104" t="s">
        <v>183</v>
      </c>
      <c r="D3060" s="129" t="s">
        <v>19432</v>
      </c>
    </row>
    <row r="3061" spans="1:4">
      <c r="A3061" s="105">
        <v>97586</v>
      </c>
      <c r="B3061" s="104" t="s">
        <v>3184</v>
      </c>
      <c r="C3061" s="104" t="s">
        <v>183</v>
      </c>
      <c r="D3061" s="129" t="s">
        <v>22223</v>
      </c>
    </row>
    <row r="3062" spans="1:4">
      <c r="A3062" s="105">
        <v>97587</v>
      </c>
      <c r="B3062" s="104" t="s">
        <v>3185</v>
      </c>
      <c r="C3062" s="104" t="s">
        <v>183</v>
      </c>
      <c r="D3062" s="129" t="s">
        <v>22224</v>
      </c>
    </row>
    <row r="3063" spans="1:4">
      <c r="A3063" s="105">
        <v>97589</v>
      </c>
      <c r="B3063" s="104" t="s">
        <v>3186</v>
      </c>
      <c r="C3063" s="104" t="s">
        <v>183</v>
      </c>
      <c r="D3063" s="129" t="s">
        <v>18305</v>
      </c>
    </row>
    <row r="3064" spans="1:4">
      <c r="A3064" s="105">
        <v>97590</v>
      </c>
      <c r="B3064" s="104" t="s">
        <v>3187</v>
      </c>
      <c r="C3064" s="104" t="s">
        <v>183</v>
      </c>
      <c r="D3064" s="129" t="s">
        <v>22225</v>
      </c>
    </row>
    <row r="3065" spans="1:4">
      <c r="A3065" s="105">
        <v>97591</v>
      </c>
      <c r="B3065" s="104" t="s">
        <v>3188</v>
      </c>
      <c r="C3065" s="104" t="s">
        <v>183</v>
      </c>
      <c r="D3065" s="129" t="s">
        <v>22226</v>
      </c>
    </row>
    <row r="3066" spans="1:4">
      <c r="A3066" s="105">
        <v>97592</v>
      </c>
      <c r="B3066" s="104" t="s">
        <v>3189</v>
      </c>
      <c r="C3066" s="104" t="s">
        <v>183</v>
      </c>
      <c r="D3066" s="129" t="s">
        <v>22227</v>
      </c>
    </row>
    <row r="3067" spans="1:4">
      <c r="A3067" s="105">
        <v>97593</v>
      </c>
      <c r="B3067" s="104" t="s">
        <v>3190</v>
      </c>
      <c r="C3067" s="104" t="s">
        <v>183</v>
      </c>
      <c r="D3067" s="129" t="s">
        <v>15088</v>
      </c>
    </row>
    <row r="3068" spans="1:4">
      <c r="A3068" s="105">
        <v>97594</v>
      </c>
      <c r="B3068" s="104" t="s">
        <v>3191</v>
      </c>
      <c r="C3068" s="104" t="s">
        <v>183</v>
      </c>
      <c r="D3068" s="129" t="s">
        <v>22228</v>
      </c>
    </row>
    <row r="3069" spans="1:4">
      <c r="A3069" s="105">
        <v>97595</v>
      </c>
      <c r="B3069" s="104" t="s">
        <v>3192</v>
      </c>
      <c r="C3069" s="104" t="s">
        <v>183</v>
      </c>
      <c r="D3069" s="129" t="s">
        <v>22229</v>
      </c>
    </row>
    <row r="3070" spans="1:4">
      <c r="A3070" s="105">
        <v>97596</v>
      </c>
      <c r="B3070" s="104" t="s">
        <v>3193</v>
      </c>
      <c r="C3070" s="104" t="s">
        <v>183</v>
      </c>
      <c r="D3070" s="129" t="s">
        <v>22230</v>
      </c>
    </row>
    <row r="3071" spans="1:4">
      <c r="A3071" s="105">
        <v>97597</v>
      </c>
      <c r="B3071" s="104" t="s">
        <v>3194</v>
      </c>
      <c r="C3071" s="104" t="s">
        <v>183</v>
      </c>
      <c r="D3071" s="129" t="s">
        <v>22231</v>
      </c>
    </row>
    <row r="3072" spans="1:4">
      <c r="A3072" s="105">
        <v>97598</v>
      </c>
      <c r="B3072" s="104" t="s">
        <v>3195</v>
      </c>
      <c r="C3072" s="104" t="s">
        <v>183</v>
      </c>
      <c r="D3072" s="129" t="s">
        <v>22232</v>
      </c>
    </row>
    <row r="3073" spans="1:4">
      <c r="A3073" s="105">
        <v>97599</v>
      </c>
      <c r="B3073" s="104" t="s">
        <v>3196</v>
      </c>
      <c r="C3073" s="104" t="s">
        <v>183</v>
      </c>
      <c r="D3073" s="129" t="s">
        <v>17496</v>
      </c>
    </row>
    <row r="3074" spans="1:4">
      <c r="A3074" s="105">
        <v>97609</v>
      </c>
      <c r="B3074" s="104" t="s">
        <v>3197</v>
      </c>
      <c r="C3074" s="104" t="s">
        <v>183</v>
      </c>
      <c r="D3074" s="129" t="s">
        <v>18237</v>
      </c>
    </row>
    <row r="3075" spans="1:4">
      <c r="A3075" s="105">
        <v>97610</v>
      </c>
      <c r="B3075" s="104" t="s">
        <v>3198</v>
      </c>
      <c r="C3075" s="104" t="s">
        <v>183</v>
      </c>
      <c r="D3075" s="129" t="s">
        <v>18137</v>
      </c>
    </row>
    <row r="3076" spans="1:4">
      <c r="A3076" s="105">
        <v>97611</v>
      </c>
      <c r="B3076" s="104" t="s">
        <v>3199</v>
      </c>
      <c r="C3076" s="104" t="s">
        <v>183</v>
      </c>
      <c r="D3076" s="129" t="s">
        <v>16589</v>
      </c>
    </row>
    <row r="3077" spans="1:4">
      <c r="A3077" s="105">
        <v>97612</v>
      </c>
      <c r="B3077" s="104" t="s">
        <v>3200</v>
      </c>
      <c r="C3077" s="104" t="s">
        <v>183</v>
      </c>
      <c r="D3077" s="129" t="s">
        <v>20520</v>
      </c>
    </row>
    <row r="3078" spans="1:4">
      <c r="A3078" s="105">
        <v>97613</v>
      </c>
      <c r="B3078" s="104" t="s">
        <v>3201</v>
      </c>
      <c r="C3078" s="104" t="s">
        <v>183</v>
      </c>
      <c r="D3078" s="129" t="s">
        <v>18687</v>
      </c>
    </row>
    <row r="3079" spans="1:4">
      <c r="A3079" s="105">
        <v>97614</v>
      </c>
      <c r="B3079" s="104" t="s">
        <v>3202</v>
      </c>
      <c r="C3079" s="104" t="s">
        <v>183</v>
      </c>
      <c r="D3079" s="129" t="s">
        <v>22233</v>
      </c>
    </row>
    <row r="3080" spans="1:4">
      <c r="A3080" s="105">
        <v>97615</v>
      </c>
      <c r="B3080" s="104" t="s">
        <v>3203</v>
      </c>
      <c r="C3080" s="104" t="s">
        <v>183</v>
      </c>
      <c r="D3080" s="129" t="s">
        <v>22234</v>
      </c>
    </row>
    <row r="3081" spans="1:4">
      <c r="A3081" s="105">
        <v>97616</v>
      </c>
      <c r="B3081" s="104" t="s">
        <v>3204</v>
      </c>
      <c r="C3081" s="104" t="s">
        <v>183</v>
      </c>
      <c r="D3081" s="129" t="s">
        <v>22235</v>
      </c>
    </row>
    <row r="3082" spans="1:4">
      <c r="A3082" s="105">
        <v>97617</v>
      </c>
      <c r="B3082" s="104" t="s">
        <v>3205</v>
      </c>
      <c r="C3082" s="104" t="s">
        <v>183</v>
      </c>
      <c r="D3082" s="129" t="s">
        <v>22236</v>
      </c>
    </row>
    <row r="3083" spans="1:4">
      <c r="A3083" s="105">
        <v>97618</v>
      </c>
      <c r="B3083" s="104" t="s">
        <v>3206</v>
      </c>
      <c r="C3083" s="104" t="s">
        <v>183</v>
      </c>
      <c r="D3083" s="129" t="s">
        <v>22237</v>
      </c>
    </row>
    <row r="3084" spans="1:4">
      <c r="A3084" s="105">
        <v>100902</v>
      </c>
      <c r="B3084" s="104" t="s">
        <v>3207</v>
      </c>
      <c r="C3084" s="104" t="s">
        <v>183</v>
      </c>
      <c r="D3084" s="129" t="s">
        <v>22238</v>
      </c>
    </row>
    <row r="3085" spans="1:4">
      <c r="A3085" s="105">
        <v>100903</v>
      </c>
      <c r="B3085" s="104" t="s">
        <v>3208</v>
      </c>
      <c r="C3085" s="104" t="s">
        <v>183</v>
      </c>
      <c r="D3085" s="129" t="s">
        <v>22239</v>
      </c>
    </row>
    <row r="3086" spans="1:4">
      <c r="A3086" s="105">
        <v>100904</v>
      </c>
      <c r="B3086" s="104" t="s">
        <v>3209</v>
      </c>
      <c r="C3086" s="104" t="s">
        <v>183</v>
      </c>
      <c r="D3086" s="129" t="s">
        <v>22221</v>
      </c>
    </row>
    <row r="3087" spans="1:4">
      <c r="A3087" s="105">
        <v>100905</v>
      </c>
      <c r="B3087" s="104" t="s">
        <v>3210</v>
      </c>
      <c r="C3087" s="104" t="s">
        <v>183</v>
      </c>
      <c r="D3087" s="129" t="s">
        <v>22240</v>
      </c>
    </row>
    <row r="3088" spans="1:4">
      <c r="A3088" s="105">
        <v>100906</v>
      </c>
      <c r="B3088" s="104" t="s">
        <v>3211</v>
      </c>
      <c r="C3088" s="104" t="s">
        <v>183</v>
      </c>
      <c r="D3088" s="129" t="s">
        <v>22241</v>
      </c>
    </row>
    <row r="3089" spans="1:4">
      <c r="A3089" s="105">
        <v>100919</v>
      </c>
      <c r="B3089" s="104" t="s">
        <v>3212</v>
      </c>
      <c r="C3089" s="104" t="s">
        <v>183</v>
      </c>
      <c r="D3089" s="129" t="s">
        <v>22242</v>
      </c>
    </row>
    <row r="3090" spans="1:4">
      <c r="A3090" s="105">
        <v>100920</v>
      </c>
      <c r="B3090" s="104" t="s">
        <v>3213</v>
      </c>
      <c r="C3090" s="104" t="s">
        <v>183</v>
      </c>
      <c r="D3090" s="129" t="s">
        <v>22243</v>
      </c>
    </row>
    <row r="3091" spans="1:4">
      <c r="A3091" s="105">
        <v>100921</v>
      </c>
      <c r="B3091" s="104" t="s">
        <v>3214</v>
      </c>
      <c r="C3091" s="104" t="s">
        <v>183</v>
      </c>
      <c r="D3091" s="129" t="s">
        <v>22244</v>
      </c>
    </row>
    <row r="3092" spans="1:4">
      <c r="A3092" s="105">
        <v>100922</v>
      </c>
      <c r="B3092" s="104" t="s">
        <v>3215</v>
      </c>
      <c r="C3092" s="104" t="s">
        <v>183</v>
      </c>
      <c r="D3092" s="129" t="s">
        <v>22245</v>
      </c>
    </row>
    <row r="3093" spans="1:4">
      <c r="A3093" s="105">
        <v>100923</v>
      </c>
      <c r="B3093" s="104" t="s">
        <v>3216</v>
      </c>
      <c r="C3093" s="104" t="s">
        <v>183</v>
      </c>
      <c r="D3093" s="129" t="s">
        <v>20884</v>
      </c>
    </row>
    <row r="3094" spans="1:4">
      <c r="A3094" s="105">
        <v>101489</v>
      </c>
      <c r="B3094" s="104" t="s">
        <v>3217</v>
      </c>
      <c r="C3094" s="104" t="s">
        <v>183</v>
      </c>
      <c r="D3094" s="129" t="s">
        <v>22246</v>
      </c>
    </row>
    <row r="3095" spans="1:4">
      <c r="A3095" s="105">
        <v>101490</v>
      </c>
      <c r="B3095" s="104" t="s">
        <v>3218</v>
      </c>
      <c r="C3095" s="104" t="s">
        <v>183</v>
      </c>
      <c r="D3095" s="129" t="s">
        <v>22247</v>
      </c>
    </row>
    <row r="3096" spans="1:4">
      <c r="A3096" s="105">
        <v>101491</v>
      </c>
      <c r="B3096" s="104" t="s">
        <v>3219</v>
      </c>
      <c r="C3096" s="104" t="s">
        <v>183</v>
      </c>
      <c r="D3096" s="129" t="s">
        <v>22248</v>
      </c>
    </row>
    <row r="3097" spans="1:4">
      <c r="A3097" s="105">
        <v>101492</v>
      </c>
      <c r="B3097" s="104" t="s">
        <v>3220</v>
      </c>
      <c r="C3097" s="104" t="s">
        <v>183</v>
      </c>
      <c r="D3097" s="129" t="s">
        <v>22249</v>
      </c>
    </row>
    <row r="3098" spans="1:4">
      <c r="A3098" s="105">
        <v>101493</v>
      </c>
      <c r="B3098" s="104" t="s">
        <v>3221</v>
      </c>
      <c r="C3098" s="104" t="s">
        <v>183</v>
      </c>
      <c r="D3098" s="129" t="s">
        <v>22250</v>
      </c>
    </row>
    <row r="3099" spans="1:4">
      <c r="A3099" s="105">
        <v>101494</v>
      </c>
      <c r="B3099" s="104" t="s">
        <v>3222</v>
      </c>
      <c r="C3099" s="104" t="s">
        <v>183</v>
      </c>
      <c r="D3099" s="129" t="s">
        <v>22251</v>
      </c>
    </row>
    <row r="3100" spans="1:4">
      <c r="A3100" s="105">
        <v>101495</v>
      </c>
      <c r="B3100" s="104" t="s">
        <v>3223</v>
      </c>
      <c r="C3100" s="104" t="s">
        <v>183</v>
      </c>
      <c r="D3100" s="129" t="s">
        <v>22252</v>
      </c>
    </row>
    <row r="3101" spans="1:4">
      <c r="A3101" s="105">
        <v>101496</v>
      </c>
      <c r="B3101" s="104" t="s">
        <v>3224</v>
      </c>
      <c r="C3101" s="104" t="s">
        <v>183</v>
      </c>
      <c r="D3101" s="129" t="s">
        <v>22253</v>
      </c>
    </row>
    <row r="3102" spans="1:4">
      <c r="A3102" s="105">
        <v>101497</v>
      </c>
      <c r="B3102" s="104" t="s">
        <v>3225</v>
      </c>
      <c r="C3102" s="104" t="s">
        <v>183</v>
      </c>
      <c r="D3102" s="129" t="s">
        <v>22254</v>
      </c>
    </row>
    <row r="3103" spans="1:4">
      <c r="A3103" s="105">
        <v>101498</v>
      </c>
      <c r="B3103" s="104" t="s">
        <v>3226</v>
      </c>
      <c r="C3103" s="104" t="s">
        <v>183</v>
      </c>
      <c r="D3103" s="129" t="s">
        <v>22255</v>
      </c>
    </row>
    <row r="3104" spans="1:4">
      <c r="A3104" s="105">
        <v>101499</v>
      </c>
      <c r="B3104" s="104" t="s">
        <v>3227</v>
      </c>
      <c r="C3104" s="104" t="s">
        <v>183</v>
      </c>
      <c r="D3104" s="129" t="s">
        <v>22256</v>
      </c>
    </row>
    <row r="3105" spans="1:4">
      <c r="A3105" s="105">
        <v>101500</v>
      </c>
      <c r="B3105" s="104" t="s">
        <v>3228</v>
      </c>
      <c r="C3105" s="104" t="s">
        <v>183</v>
      </c>
      <c r="D3105" s="129" t="s">
        <v>22257</v>
      </c>
    </row>
    <row r="3106" spans="1:4">
      <c r="A3106" s="105">
        <v>101501</v>
      </c>
      <c r="B3106" s="104" t="s">
        <v>3229</v>
      </c>
      <c r="C3106" s="104" t="s">
        <v>183</v>
      </c>
      <c r="D3106" s="129" t="s">
        <v>22258</v>
      </c>
    </row>
    <row r="3107" spans="1:4">
      <c r="A3107" s="105">
        <v>101502</v>
      </c>
      <c r="B3107" s="104" t="s">
        <v>3230</v>
      </c>
      <c r="C3107" s="104" t="s">
        <v>183</v>
      </c>
      <c r="D3107" s="129" t="s">
        <v>22259</v>
      </c>
    </row>
    <row r="3108" spans="1:4">
      <c r="A3108" s="105">
        <v>101503</v>
      </c>
      <c r="B3108" s="104" t="s">
        <v>3231</v>
      </c>
      <c r="C3108" s="104" t="s">
        <v>183</v>
      </c>
      <c r="D3108" s="129" t="s">
        <v>22260</v>
      </c>
    </row>
    <row r="3109" spans="1:4">
      <c r="A3109" s="105">
        <v>101504</v>
      </c>
      <c r="B3109" s="104" t="s">
        <v>3232</v>
      </c>
      <c r="C3109" s="104" t="s">
        <v>183</v>
      </c>
      <c r="D3109" s="129" t="s">
        <v>22261</v>
      </c>
    </row>
    <row r="3110" spans="1:4">
      <c r="A3110" s="105">
        <v>101505</v>
      </c>
      <c r="B3110" s="104" t="s">
        <v>3233</v>
      </c>
      <c r="C3110" s="104" t="s">
        <v>183</v>
      </c>
      <c r="D3110" s="129" t="s">
        <v>22262</v>
      </c>
    </row>
    <row r="3111" spans="1:4">
      <c r="A3111" s="105">
        <v>101506</v>
      </c>
      <c r="B3111" s="104" t="s">
        <v>3234</v>
      </c>
      <c r="C3111" s="104" t="s">
        <v>183</v>
      </c>
      <c r="D3111" s="129" t="s">
        <v>22263</v>
      </c>
    </row>
    <row r="3112" spans="1:4">
      <c r="A3112" s="105">
        <v>101507</v>
      </c>
      <c r="B3112" s="104" t="s">
        <v>3235</v>
      </c>
      <c r="C3112" s="104" t="s">
        <v>183</v>
      </c>
      <c r="D3112" s="129" t="s">
        <v>16241</v>
      </c>
    </row>
    <row r="3113" spans="1:4">
      <c r="A3113" s="105">
        <v>101508</v>
      </c>
      <c r="B3113" s="104" t="s">
        <v>3236</v>
      </c>
      <c r="C3113" s="104" t="s">
        <v>183</v>
      </c>
      <c r="D3113" s="129" t="s">
        <v>22264</v>
      </c>
    </row>
    <row r="3114" spans="1:4">
      <c r="A3114" s="105">
        <v>101509</v>
      </c>
      <c r="B3114" s="104" t="s">
        <v>3237</v>
      </c>
      <c r="C3114" s="104" t="s">
        <v>183</v>
      </c>
      <c r="D3114" s="129" t="s">
        <v>22265</v>
      </c>
    </row>
    <row r="3115" spans="1:4">
      <c r="A3115" s="105">
        <v>101510</v>
      </c>
      <c r="B3115" s="104" t="s">
        <v>3238</v>
      </c>
      <c r="C3115" s="104" t="s">
        <v>183</v>
      </c>
      <c r="D3115" s="129" t="s">
        <v>22266</v>
      </c>
    </row>
    <row r="3116" spans="1:4">
      <c r="A3116" s="105">
        <v>101511</v>
      </c>
      <c r="B3116" s="104" t="s">
        <v>3239</v>
      </c>
      <c r="C3116" s="104" t="s">
        <v>183</v>
      </c>
      <c r="D3116" s="129" t="s">
        <v>22267</v>
      </c>
    </row>
    <row r="3117" spans="1:4">
      <c r="A3117" s="105">
        <v>101512</v>
      </c>
      <c r="B3117" s="104" t="s">
        <v>3240</v>
      </c>
      <c r="C3117" s="104" t="s">
        <v>183</v>
      </c>
      <c r="D3117" s="129" t="s">
        <v>22268</v>
      </c>
    </row>
    <row r="3118" spans="1:4">
      <c r="A3118" s="105">
        <v>101513</v>
      </c>
      <c r="B3118" s="104" t="s">
        <v>3241</v>
      </c>
      <c r="C3118" s="104" t="s">
        <v>183</v>
      </c>
      <c r="D3118" s="129" t="s">
        <v>22269</v>
      </c>
    </row>
    <row r="3119" spans="1:4">
      <c r="A3119" s="105">
        <v>101514</v>
      </c>
      <c r="B3119" s="104" t="s">
        <v>3242</v>
      </c>
      <c r="C3119" s="104" t="s">
        <v>183</v>
      </c>
      <c r="D3119" s="129" t="s">
        <v>22270</v>
      </c>
    </row>
    <row r="3120" spans="1:4">
      <c r="A3120" s="105">
        <v>101515</v>
      </c>
      <c r="B3120" s="104" t="s">
        <v>3243</v>
      </c>
      <c r="C3120" s="104" t="s">
        <v>183</v>
      </c>
      <c r="D3120" s="129" t="s">
        <v>22271</v>
      </c>
    </row>
    <row r="3121" spans="1:4">
      <c r="A3121" s="105">
        <v>101516</v>
      </c>
      <c r="B3121" s="104" t="s">
        <v>3244</v>
      </c>
      <c r="C3121" s="104" t="s">
        <v>183</v>
      </c>
      <c r="D3121" s="129" t="s">
        <v>22272</v>
      </c>
    </row>
    <row r="3122" spans="1:4">
      <c r="A3122" s="105">
        <v>101517</v>
      </c>
      <c r="B3122" s="104" t="s">
        <v>3245</v>
      </c>
      <c r="C3122" s="104" t="s">
        <v>183</v>
      </c>
      <c r="D3122" s="129" t="s">
        <v>22273</v>
      </c>
    </row>
    <row r="3123" spans="1:4">
      <c r="A3123" s="105">
        <v>101518</v>
      </c>
      <c r="B3123" s="104" t="s">
        <v>3246</v>
      </c>
      <c r="C3123" s="104" t="s">
        <v>183</v>
      </c>
      <c r="D3123" s="129" t="s">
        <v>22274</v>
      </c>
    </row>
    <row r="3124" spans="1:4">
      <c r="A3124" s="105">
        <v>101519</v>
      </c>
      <c r="B3124" s="104" t="s">
        <v>3247</v>
      </c>
      <c r="C3124" s="104" t="s">
        <v>183</v>
      </c>
      <c r="D3124" s="129" t="s">
        <v>22275</v>
      </c>
    </row>
    <row r="3125" spans="1:4">
      <c r="A3125" s="105">
        <v>101520</v>
      </c>
      <c r="B3125" s="104" t="s">
        <v>3248</v>
      </c>
      <c r="C3125" s="104" t="s">
        <v>183</v>
      </c>
      <c r="D3125" s="129" t="s">
        <v>22276</v>
      </c>
    </row>
    <row r="3126" spans="1:4">
      <c r="A3126" s="105">
        <v>101521</v>
      </c>
      <c r="B3126" s="104" t="s">
        <v>3249</v>
      </c>
      <c r="C3126" s="104" t="s">
        <v>183</v>
      </c>
      <c r="D3126" s="129" t="s">
        <v>22277</v>
      </c>
    </row>
    <row r="3127" spans="1:4">
      <c r="A3127" s="105">
        <v>101522</v>
      </c>
      <c r="B3127" s="104" t="s">
        <v>3250</v>
      </c>
      <c r="C3127" s="104" t="s">
        <v>183</v>
      </c>
      <c r="D3127" s="129" t="s">
        <v>22278</v>
      </c>
    </row>
    <row r="3128" spans="1:4">
      <c r="A3128" s="105">
        <v>101523</v>
      </c>
      <c r="B3128" s="104" t="s">
        <v>3251</v>
      </c>
      <c r="C3128" s="104" t="s">
        <v>183</v>
      </c>
      <c r="D3128" s="129" t="s">
        <v>22279</v>
      </c>
    </row>
    <row r="3129" spans="1:4">
      <c r="A3129" s="105">
        <v>101524</v>
      </c>
      <c r="B3129" s="104" t="s">
        <v>3252</v>
      </c>
      <c r="C3129" s="104" t="s">
        <v>183</v>
      </c>
      <c r="D3129" s="129" t="s">
        <v>22280</v>
      </c>
    </row>
    <row r="3130" spans="1:4">
      <c r="A3130" s="105">
        <v>101525</v>
      </c>
      <c r="B3130" s="104" t="s">
        <v>3253</v>
      </c>
      <c r="C3130" s="104" t="s">
        <v>183</v>
      </c>
      <c r="D3130" s="129" t="s">
        <v>22281</v>
      </c>
    </row>
    <row r="3131" spans="1:4">
      <c r="A3131" s="105">
        <v>101526</v>
      </c>
      <c r="B3131" s="104" t="s">
        <v>3254</v>
      </c>
      <c r="C3131" s="104" t="s">
        <v>183</v>
      </c>
      <c r="D3131" s="129" t="s">
        <v>22282</v>
      </c>
    </row>
    <row r="3132" spans="1:4">
      <c r="A3132" s="105">
        <v>101527</v>
      </c>
      <c r="B3132" s="104" t="s">
        <v>3255</v>
      </c>
      <c r="C3132" s="104" t="s">
        <v>183</v>
      </c>
      <c r="D3132" s="129" t="s">
        <v>22283</v>
      </c>
    </row>
    <row r="3133" spans="1:4">
      <c r="A3133" s="105">
        <v>101528</v>
      </c>
      <c r="B3133" s="104" t="s">
        <v>3256</v>
      </c>
      <c r="C3133" s="104" t="s">
        <v>183</v>
      </c>
      <c r="D3133" s="129" t="s">
        <v>22284</v>
      </c>
    </row>
    <row r="3134" spans="1:4">
      <c r="A3134" s="105">
        <v>101529</v>
      </c>
      <c r="B3134" s="104" t="s">
        <v>3257</v>
      </c>
      <c r="C3134" s="104" t="s">
        <v>183</v>
      </c>
      <c r="D3134" s="129" t="s">
        <v>22285</v>
      </c>
    </row>
    <row r="3135" spans="1:4">
      <c r="A3135" s="105">
        <v>101530</v>
      </c>
      <c r="B3135" s="104" t="s">
        <v>3258</v>
      </c>
      <c r="C3135" s="104" t="s">
        <v>183</v>
      </c>
      <c r="D3135" s="129" t="s">
        <v>22286</v>
      </c>
    </row>
    <row r="3136" spans="1:4">
      <c r="A3136" s="105">
        <v>101531</v>
      </c>
      <c r="B3136" s="104" t="s">
        <v>3259</v>
      </c>
      <c r="C3136" s="104" t="s">
        <v>183</v>
      </c>
      <c r="D3136" s="129" t="s">
        <v>22287</v>
      </c>
    </row>
    <row r="3137" spans="1:4">
      <c r="A3137" s="105">
        <v>101532</v>
      </c>
      <c r="B3137" s="104" t="s">
        <v>3260</v>
      </c>
      <c r="C3137" s="104" t="s">
        <v>183</v>
      </c>
      <c r="D3137" s="129" t="s">
        <v>22288</v>
      </c>
    </row>
    <row r="3138" spans="1:4">
      <c r="A3138" s="105">
        <v>101533</v>
      </c>
      <c r="B3138" s="104" t="s">
        <v>3261</v>
      </c>
      <c r="C3138" s="104" t="s">
        <v>183</v>
      </c>
      <c r="D3138" s="129" t="s">
        <v>22289</v>
      </c>
    </row>
    <row r="3139" spans="1:4">
      <c r="A3139" s="105">
        <v>101534</v>
      </c>
      <c r="B3139" s="104" t="s">
        <v>3262</v>
      </c>
      <c r="C3139" s="104" t="s">
        <v>183</v>
      </c>
      <c r="D3139" s="129" t="s">
        <v>22290</v>
      </c>
    </row>
    <row r="3140" spans="1:4">
      <c r="A3140" s="105">
        <v>101535</v>
      </c>
      <c r="B3140" s="104" t="s">
        <v>3263</v>
      </c>
      <c r="C3140" s="104" t="s">
        <v>183</v>
      </c>
      <c r="D3140" s="129" t="s">
        <v>22291</v>
      </c>
    </row>
    <row r="3141" spans="1:4">
      <c r="A3141" s="105">
        <v>101536</v>
      </c>
      <c r="B3141" s="104" t="s">
        <v>3264</v>
      </c>
      <c r="C3141" s="104" t="s">
        <v>183</v>
      </c>
      <c r="D3141" s="129" t="s">
        <v>22292</v>
      </c>
    </row>
    <row r="3142" spans="1:4">
      <c r="A3142" s="105">
        <v>101537</v>
      </c>
      <c r="B3142" s="104" t="s">
        <v>3265</v>
      </c>
      <c r="C3142" s="104" t="s">
        <v>183</v>
      </c>
      <c r="D3142" s="129" t="s">
        <v>22293</v>
      </c>
    </row>
    <row r="3143" spans="1:4">
      <c r="A3143" s="105">
        <v>101538</v>
      </c>
      <c r="B3143" s="104" t="s">
        <v>3266</v>
      </c>
      <c r="C3143" s="104" t="s">
        <v>183</v>
      </c>
      <c r="D3143" s="129" t="s">
        <v>22294</v>
      </c>
    </row>
    <row r="3144" spans="1:4">
      <c r="A3144" s="105">
        <v>101539</v>
      </c>
      <c r="B3144" s="104" t="s">
        <v>3267</v>
      </c>
      <c r="C3144" s="104" t="s">
        <v>183</v>
      </c>
      <c r="D3144" s="129" t="s">
        <v>22295</v>
      </c>
    </row>
    <row r="3145" spans="1:4">
      <c r="A3145" s="105">
        <v>101540</v>
      </c>
      <c r="B3145" s="104" t="s">
        <v>3268</v>
      </c>
      <c r="C3145" s="104" t="s">
        <v>183</v>
      </c>
      <c r="D3145" s="129" t="s">
        <v>18777</v>
      </c>
    </row>
    <row r="3146" spans="1:4">
      <c r="A3146" s="105">
        <v>101541</v>
      </c>
      <c r="B3146" s="104" t="s">
        <v>3269</v>
      </c>
      <c r="C3146" s="104" t="s">
        <v>183</v>
      </c>
      <c r="D3146" s="129" t="s">
        <v>22296</v>
      </c>
    </row>
    <row r="3147" spans="1:4">
      <c r="A3147" s="105">
        <v>101542</v>
      </c>
      <c r="B3147" s="104" t="s">
        <v>3270</v>
      </c>
      <c r="C3147" s="104" t="s">
        <v>183</v>
      </c>
      <c r="D3147" s="129" t="s">
        <v>22297</v>
      </c>
    </row>
    <row r="3148" spans="1:4">
      <c r="A3148" s="105">
        <v>101543</v>
      </c>
      <c r="B3148" s="104" t="s">
        <v>3271</v>
      </c>
      <c r="C3148" s="104" t="s">
        <v>183</v>
      </c>
      <c r="D3148" s="129" t="s">
        <v>22298</v>
      </c>
    </row>
    <row r="3149" spans="1:4">
      <c r="A3149" s="105">
        <v>101544</v>
      </c>
      <c r="B3149" s="104" t="s">
        <v>3272</v>
      </c>
      <c r="C3149" s="104" t="s">
        <v>183</v>
      </c>
      <c r="D3149" s="129" t="s">
        <v>22299</v>
      </c>
    </row>
    <row r="3150" spans="1:4">
      <c r="A3150" s="105">
        <v>101545</v>
      </c>
      <c r="B3150" s="104" t="s">
        <v>3273</v>
      </c>
      <c r="C3150" s="104" t="s">
        <v>183</v>
      </c>
      <c r="D3150" s="129" t="s">
        <v>22300</v>
      </c>
    </row>
    <row r="3151" spans="1:4">
      <c r="A3151" s="105">
        <v>101546</v>
      </c>
      <c r="B3151" s="104" t="s">
        <v>3274</v>
      </c>
      <c r="C3151" s="104" t="s">
        <v>183</v>
      </c>
      <c r="D3151" s="129" t="s">
        <v>14948</v>
      </c>
    </row>
    <row r="3152" spans="1:4">
      <c r="A3152" s="105">
        <v>101547</v>
      </c>
      <c r="B3152" s="104" t="s">
        <v>3275</v>
      </c>
      <c r="C3152" s="104" t="s">
        <v>183</v>
      </c>
      <c r="D3152" s="129" t="s">
        <v>17942</v>
      </c>
    </row>
    <row r="3153" spans="1:4">
      <c r="A3153" s="105">
        <v>101548</v>
      </c>
      <c r="B3153" s="104" t="s">
        <v>3276</v>
      </c>
      <c r="C3153" s="104" t="s">
        <v>183</v>
      </c>
      <c r="D3153" s="129" t="s">
        <v>15599</v>
      </c>
    </row>
    <row r="3154" spans="1:4">
      <c r="A3154" s="105">
        <v>101549</v>
      </c>
      <c r="B3154" s="104" t="s">
        <v>3277</v>
      </c>
      <c r="C3154" s="104" t="s">
        <v>183</v>
      </c>
      <c r="D3154" s="129" t="s">
        <v>22301</v>
      </c>
    </row>
    <row r="3155" spans="1:4">
      <c r="A3155" s="105">
        <v>101553</v>
      </c>
      <c r="B3155" s="104" t="s">
        <v>3278</v>
      </c>
      <c r="C3155" s="104" t="s">
        <v>183</v>
      </c>
      <c r="D3155" s="129" t="s">
        <v>16898</v>
      </c>
    </row>
    <row r="3156" spans="1:4">
      <c r="A3156" s="105">
        <v>101554</v>
      </c>
      <c r="B3156" s="104" t="s">
        <v>3279</v>
      </c>
      <c r="C3156" s="104" t="s">
        <v>183</v>
      </c>
      <c r="D3156" s="129" t="s">
        <v>18058</v>
      </c>
    </row>
    <row r="3157" spans="1:4">
      <c r="A3157" s="105">
        <v>101555</v>
      </c>
      <c r="B3157" s="104" t="s">
        <v>3280</v>
      </c>
      <c r="C3157" s="104" t="s">
        <v>183</v>
      </c>
      <c r="D3157" s="129" t="s">
        <v>19598</v>
      </c>
    </row>
    <row r="3158" spans="1:4">
      <c r="A3158" s="105">
        <v>101556</v>
      </c>
      <c r="B3158" s="104" t="s">
        <v>3281</v>
      </c>
      <c r="C3158" s="104" t="s">
        <v>183</v>
      </c>
      <c r="D3158" s="129" t="s">
        <v>22302</v>
      </c>
    </row>
    <row r="3159" spans="1:4">
      <c r="A3159" s="105">
        <v>101560</v>
      </c>
      <c r="B3159" s="104" t="s">
        <v>3282</v>
      </c>
      <c r="C3159" s="104" t="s">
        <v>40</v>
      </c>
      <c r="D3159" s="129" t="s">
        <v>16888</v>
      </c>
    </row>
    <row r="3160" spans="1:4">
      <c r="A3160" s="105">
        <v>101561</v>
      </c>
      <c r="B3160" s="104" t="s">
        <v>3283</v>
      </c>
      <c r="C3160" s="104" t="s">
        <v>40</v>
      </c>
      <c r="D3160" s="129" t="s">
        <v>19584</v>
      </c>
    </row>
    <row r="3161" spans="1:4">
      <c r="A3161" s="105">
        <v>101562</v>
      </c>
      <c r="B3161" s="104" t="s">
        <v>3284</v>
      </c>
      <c r="C3161" s="104" t="s">
        <v>40</v>
      </c>
      <c r="D3161" s="129" t="s">
        <v>15178</v>
      </c>
    </row>
    <row r="3162" spans="1:4">
      <c r="A3162" s="105">
        <v>101563</v>
      </c>
      <c r="B3162" s="104" t="s">
        <v>3285</v>
      </c>
      <c r="C3162" s="104" t="s">
        <v>40</v>
      </c>
      <c r="D3162" s="129" t="s">
        <v>18656</v>
      </c>
    </row>
    <row r="3163" spans="1:4">
      <c r="A3163" s="105">
        <v>101564</v>
      </c>
      <c r="B3163" s="104" t="s">
        <v>3286</v>
      </c>
      <c r="C3163" s="104" t="s">
        <v>40</v>
      </c>
      <c r="D3163" s="129" t="s">
        <v>22303</v>
      </c>
    </row>
    <row r="3164" spans="1:4">
      <c r="A3164" s="105">
        <v>101565</v>
      </c>
      <c r="B3164" s="104" t="s">
        <v>3287</v>
      </c>
      <c r="C3164" s="104" t="s">
        <v>40</v>
      </c>
      <c r="D3164" s="129" t="s">
        <v>17569</v>
      </c>
    </row>
    <row r="3165" spans="1:4">
      <c r="A3165" s="105">
        <v>101567</v>
      </c>
      <c r="B3165" s="104" t="s">
        <v>3288</v>
      </c>
      <c r="C3165" s="104" t="s">
        <v>40</v>
      </c>
      <c r="D3165" s="129" t="s">
        <v>17570</v>
      </c>
    </row>
    <row r="3166" spans="1:4">
      <c r="A3166" s="105">
        <v>101568</v>
      </c>
      <c r="B3166" s="104" t="s">
        <v>3289</v>
      </c>
      <c r="C3166" s="104" t="s">
        <v>40</v>
      </c>
      <c r="D3166" s="129" t="s">
        <v>22304</v>
      </c>
    </row>
    <row r="3167" spans="1:4">
      <c r="A3167" s="105">
        <v>101626</v>
      </c>
      <c r="B3167" s="104" t="s">
        <v>3290</v>
      </c>
      <c r="C3167" s="104" t="s">
        <v>183</v>
      </c>
      <c r="D3167" s="129" t="s">
        <v>22305</v>
      </c>
    </row>
    <row r="3168" spans="1:4">
      <c r="A3168" s="105">
        <v>101627</v>
      </c>
      <c r="B3168" s="104" t="s">
        <v>3291</v>
      </c>
      <c r="C3168" s="104" t="s">
        <v>183</v>
      </c>
      <c r="D3168" s="129" t="s">
        <v>22306</v>
      </c>
    </row>
    <row r="3169" spans="1:4">
      <c r="A3169" s="105">
        <v>101628</v>
      </c>
      <c r="B3169" s="104" t="s">
        <v>3292</v>
      </c>
      <c r="C3169" s="104" t="s">
        <v>183</v>
      </c>
      <c r="D3169" s="129" t="s">
        <v>22307</v>
      </c>
    </row>
    <row r="3170" spans="1:4">
      <c r="A3170" s="105">
        <v>101629</v>
      </c>
      <c r="B3170" s="104" t="s">
        <v>3293</v>
      </c>
      <c r="C3170" s="104" t="s">
        <v>183</v>
      </c>
      <c r="D3170" s="129" t="s">
        <v>22308</v>
      </c>
    </row>
    <row r="3171" spans="1:4">
      <c r="A3171" s="105">
        <v>101630</v>
      </c>
      <c r="B3171" s="104" t="s">
        <v>3294</v>
      </c>
      <c r="C3171" s="104" t="s">
        <v>183</v>
      </c>
      <c r="D3171" s="129" t="s">
        <v>22309</v>
      </c>
    </row>
    <row r="3172" spans="1:4">
      <c r="A3172" s="105">
        <v>101631</v>
      </c>
      <c r="B3172" s="104" t="s">
        <v>3295</v>
      </c>
      <c r="C3172" s="104" t="s">
        <v>183</v>
      </c>
      <c r="D3172" s="129" t="s">
        <v>22310</v>
      </c>
    </row>
    <row r="3173" spans="1:4">
      <c r="A3173" s="105">
        <v>101632</v>
      </c>
      <c r="B3173" s="104" t="s">
        <v>3296</v>
      </c>
      <c r="C3173" s="104" t="s">
        <v>183</v>
      </c>
      <c r="D3173" s="129" t="s">
        <v>15269</v>
      </c>
    </row>
    <row r="3174" spans="1:4">
      <c r="A3174" s="105">
        <v>101633</v>
      </c>
      <c r="B3174" s="104" t="s">
        <v>3297</v>
      </c>
      <c r="C3174" s="104" t="s">
        <v>183</v>
      </c>
      <c r="D3174" s="129" t="s">
        <v>22311</v>
      </c>
    </row>
    <row r="3175" spans="1:4">
      <c r="A3175" s="105">
        <v>101636</v>
      </c>
      <c r="B3175" s="104" t="s">
        <v>3298</v>
      </c>
      <c r="C3175" s="104" t="s">
        <v>183</v>
      </c>
      <c r="D3175" s="129" t="s">
        <v>15635</v>
      </c>
    </row>
    <row r="3176" spans="1:4">
      <c r="A3176" s="105">
        <v>101637</v>
      </c>
      <c r="B3176" s="104" t="s">
        <v>3299</v>
      </c>
      <c r="C3176" s="104" t="s">
        <v>183</v>
      </c>
      <c r="D3176" s="129" t="s">
        <v>22312</v>
      </c>
    </row>
    <row r="3177" spans="1:4">
      <c r="A3177" s="105">
        <v>101640</v>
      </c>
      <c r="B3177" s="104" t="s">
        <v>3300</v>
      </c>
      <c r="C3177" s="104" t="s">
        <v>183</v>
      </c>
      <c r="D3177" s="129" t="s">
        <v>22313</v>
      </c>
    </row>
    <row r="3178" spans="1:4">
      <c r="A3178" s="105">
        <v>101641</v>
      </c>
      <c r="B3178" s="104" t="s">
        <v>3301</v>
      </c>
      <c r="C3178" s="104" t="s">
        <v>183</v>
      </c>
      <c r="D3178" s="129" t="s">
        <v>22314</v>
      </c>
    </row>
    <row r="3179" spans="1:4">
      <c r="A3179" s="105">
        <v>101642</v>
      </c>
      <c r="B3179" s="104" t="s">
        <v>3302</v>
      </c>
      <c r="C3179" s="104" t="s">
        <v>183</v>
      </c>
      <c r="D3179" s="129" t="s">
        <v>22315</v>
      </c>
    </row>
    <row r="3180" spans="1:4">
      <c r="A3180" s="105">
        <v>101643</v>
      </c>
      <c r="B3180" s="104" t="s">
        <v>3303</v>
      </c>
      <c r="C3180" s="104" t="s">
        <v>183</v>
      </c>
      <c r="D3180" s="129" t="s">
        <v>15874</v>
      </c>
    </row>
    <row r="3181" spans="1:4">
      <c r="A3181" s="105">
        <v>101644</v>
      </c>
      <c r="B3181" s="104" t="s">
        <v>3304</v>
      </c>
      <c r="C3181" s="104" t="s">
        <v>183</v>
      </c>
      <c r="D3181" s="129" t="s">
        <v>15409</v>
      </c>
    </row>
    <row r="3182" spans="1:4">
      <c r="A3182" s="105">
        <v>101645</v>
      </c>
      <c r="B3182" s="104" t="s">
        <v>3305</v>
      </c>
      <c r="C3182" s="104" t="s">
        <v>183</v>
      </c>
      <c r="D3182" s="129" t="s">
        <v>20520</v>
      </c>
    </row>
    <row r="3183" spans="1:4">
      <c r="A3183" s="105">
        <v>101646</v>
      </c>
      <c r="B3183" s="104" t="s">
        <v>3306</v>
      </c>
      <c r="C3183" s="104" t="s">
        <v>183</v>
      </c>
      <c r="D3183" s="129" t="s">
        <v>22316</v>
      </c>
    </row>
    <row r="3184" spans="1:4">
      <c r="A3184" s="105">
        <v>101647</v>
      </c>
      <c r="B3184" s="104" t="s">
        <v>3307</v>
      </c>
      <c r="C3184" s="104" t="s">
        <v>183</v>
      </c>
      <c r="D3184" s="129" t="s">
        <v>21977</v>
      </c>
    </row>
    <row r="3185" spans="1:4">
      <c r="A3185" s="105">
        <v>101648</v>
      </c>
      <c r="B3185" s="104" t="s">
        <v>3308</v>
      </c>
      <c r="C3185" s="104" t="s">
        <v>183</v>
      </c>
      <c r="D3185" s="129" t="s">
        <v>22317</v>
      </c>
    </row>
    <row r="3186" spans="1:4">
      <c r="A3186" s="105">
        <v>101649</v>
      </c>
      <c r="B3186" s="104" t="s">
        <v>3309</v>
      </c>
      <c r="C3186" s="104" t="s">
        <v>183</v>
      </c>
      <c r="D3186" s="129" t="s">
        <v>17150</v>
      </c>
    </row>
    <row r="3187" spans="1:4">
      <c r="A3187" s="105">
        <v>101650</v>
      </c>
      <c r="B3187" s="104" t="s">
        <v>3310</v>
      </c>
      <c r="C3187" s="104" t="s">
        <v>183</v>
      </c>
      <c r="D3187" s="129" t="s">
        <v>20110</v>
      </c>
    </row>
    <row r="3188" spans="1:4">
      <c r="A3188" s="105">
        <v>101651</v>
      </c>
      <c r="B3188" s="104" t="s">
        <v>3311</v>
      </c>
      <c r="C3188" s="104" t="s">
        <v>183</v>
      </c>
      <c r="D3188" s="129" t="s">
        <v>17502</v>
      </c>
    </row>
    <row r="3189" spans="1:4">
      <c r="A3189" s="105">
        <v>101652</v>
      </c>
      <c r="B3189" s="104" t="s">
        <v>3312</v>
      </c>
      <c r="C3189" s="104" t="s">
        <v>183</v>
      </c>
      <c r="D3189" s="129" t="s">
        <v>22318</v>
      </c>
    </row>
    <row r="3190" spans="1:4">
      <c r="A3190" s="105">
        <v>101653</v>
      </c>
      <c r="B3190" s="104" t="s">
        <v>3313</v>
      </c>
      <c r="C3190" s="104" t="s">
        <v>183</v>
      </c>
      <c r="D3190" s="129" t="s">
        <v>22319</v>
      </c>
    </row>
    <row r="3191" spans="1:4">
      <c r="A3191" s="105">
        <v>101654</v>
      </c>
      <c r="B3191" s="104" t="s">
        <v>3314</v>
      </c>
      <c r="C3191" s="104" t="s">
        <v>183</v>
      </c>
      <c r="D3191" s="129" t="s">
        <v>22320</v>
      </c>
    </row>
    <row r="3192" spans="1:4">
      <c r="A3192" s="105">
        <v>101655</v>
      </c>
      <c r="B3192" s="104" t="s">
        <v>3315</v>
      </c>
      <c r="C3192" s="104" t="s">
        <v>183</v>
      </c>
      <c r="D3192" s="129" t="s">
        <v>22321</v>
      </c>
    </row>
    <row r="3193" spans="1:4">
      <c r="A3193" s="105">
        <v>101656</v>
      </c>
      <c r="B3193" s="104" t="s">
        <v>3316</v>
      </c>
      <c r="C3193" s="104" t="s">
        <v>183</v>
      </c>
      <c r="D3193" s="129" t="s">
        <v>22322</v>
      </c>
    </row>
    <row r="3194" spans="1:4">
      <c r="A3194" s="105">
        <v>101657</v>
      </c>
      <c r="B3194" s="104" t="s">
        <v>3317</v>
      </c>
      <c r="C3194" s="104" t="s">
        <v>183</v>
      </c>
      <c r="D3194" s="129" t="s">
        <v>22323</v>
      </c>
    </row>
    <row r="3195" spans="1:4">
      <c r="A3195" s="105">
        <v>101658</v>
      </c>
      <c r="B3195" s="104" t="s">
        <v>3318</v>
      </c>
      <c r="C3195" s="104" t="s">
        <v>183</v>
      </c>
      <c r="D3195" s="129" t="s">
        <v>22324</v>
      </c>
    </row>
    <row r="3196" spans="1:4">
      <c r="A3196" s="105">
        <v>101659</v>
      </c>
      <c r="B3196" s="104" t="s">
        <v>3319</v>
      </c>
      <c r="C3196" s="104" t="s">
        <v>183</v>
      </c>
      <c r="D3196" s="129" t="s">
        <v>22325</v>
      </c>
    </row>
    <row r="3197" spans="1:4">
      <c r="A3197" s="105">
        <v>101660</v>
      </c>
      <c r="B3197" s="104" t="s">
        <v>3320</v>
      </c>
      <c r="C3197" s="104" t="s">
        <v>183</v>
      </c>
      <c r="D3197" s="129" t="s">
        <v>22326</v>
      </c>
    </row>
    <row r="3198" spans="1:4">
      <c r="A3198" s="105">
        <v>101661</v>
      </c>
      <c r="B3198" s="104" t="s">
        <v>3321</v>
      </c>
      <c r="C3198" s="104" t="s">
        <v>183</v>
      </c>
      <c r="D3198" s="129" t="s">
        <v>22327</v>
      </c>
    </row>
    <row r="3199" spans="1:4">
      <c r="A3199" s="105">
        <v>101662</v>
      </c>
      <c r="B3199" s="104" t="s">
        <v>3322</v>
      </c>
      <c r="C3199" s="104" t="s">
        <v>183</v>
      </c>
      <c r="D3199" s="129" t="s">
        <v>22328</v>
      </c>
    </row>
    <row r="3200" spans="1:4">
      <c r="A3200" s="105">
        <v>101663</v>
      </c>
      <c r="B3200" s="104" t="s">
        <v>3323</v>
      </c>
      <c r="C3200" s="104" t="s">
        <v>183</v>
      </c>
      <c r="D3200" s="129" t="s">
        <v>22329</v>
      </c>
    </row>
    <row r="3201" spans="1:4">
      <c r="A3201" s="105">
        <v>101664</v>
      </c>
      <c r="B3201" s="104" t="s">
        <v>3324</v>
      </c>
      <c r="C3201" s="104" t="s">
        <v>183</v>
      </c>
      <c r="D3201" s="129" t="s">
        <v>17824</v>
      </c>
    </row>
    <row r="3202" spans="1:4">
      <c r="A3202" s="105">
        <v>101665</v>
      </c>
      <c r="B3202" s="104" t="s">
        <v>3325</v>
      </c>
      <c r="C3202" s="104" t="s">
        <v>183</v>
      </c>
      <c r="D3202" s="129" t="s">
        <v>22330</v>
      </c>
    </row>
    <row r="3203" spans="1:4">
      <c r="A3203" s="105">
        <v>101666</v>
      </c>
      <c r="B3203" s="104" t="s">
        <v>3326</v>
      </c>
      <c r="C3203" s="104" t="s">
        <v>183</v>
      </c>
      <c r="D3203" s="129" t="s">
        <v>22331</v>
      </c>
    </row>
    <row r="3204" spans="1:4">
      <c r="A3204" s="105">
        <v>102085</v>
      </c>
      <c r="B3204" s="104" t="s">
        <v>3327</v>
      </c>
      <c r="C3204" s="104" t="s">
        <v>183</v>
      </c>
      <c r="D3204" s="129" t="s">
        <v>22332</v>
      </c>
    </row>
    <row r="3205" spans="1:4">
      <c r="A3205" s="105">
        <v>100578</v>
      </c>
      <c r="B3205" s="104" t="s">
        <v>3328</v>
      </c>
      <c r="C3205" s="104" t="s">
        <v>183</v>
      </c>
      <c r="D3205" s="129" t="s">
        <v>22333</v>
      </c>
    </row>
    <row r="3206" spans="1:4">
      <c r="A3206" s="105">
        <v>100579</v>
      </c>
      <c r="B3206" s="104" t="s">
        <v>3329</v>
      </c>
      <c r="C3206" s="104" t="s">
        <v>183</v>
      </c>
      <c r="D3206" s="129" t="s">
        <v>22334</v>
      </c>
    </row>
    <row r="3207" spans="1:4">
      <c r="A3207" s="105">
        <v>100580</v>
      </c>
      <c r="B3207" s="104" t="s">
        <v>3330</v>
      </c>
      <c r="C3207" s="104" t="s">
        <v>183</v>
      </c>
      <c r="D3207" s="129" t="s">
        <v>22335</v>
      </c>
    </row>
    <row r="3208" spans="1:4">
      <c r="A3208" s="105">
        <v>100581</v>
      </c>
      <c r="B3208" s="104" t="s">
        <v>3331</v>
      </c>
      <c r="C3208" s="104" t="s">
        <v>183</v>
      </c>
      <c r="D3208" s="129" t="s">
        <v>22336</v>
      </c>
    </row>
    <row r="3209" spans="1:4">
      <c r="A3209" s="105">
        <v>100582</v>
      </c>
      <c r="B3209" s="104" t="s">
        <v>3332</v>
      </c>
      <c r="C3209" s="104" t="s">
        <v>183</v>
      </c>
      <c r="D3209" s="129" t="s">
        <v>22337</v>
      </c>
    </row>
    <row r="3210" spans="1:4">
      <c r="A3210" s="105">
        <v>100583</v>
      </c>
      <c r="B3210" s="104" t="s">
        <v>3333</v>
      </c>
      <c r="C3210" s="104" t="s">
        <v>183</v>
      </c>
      <c r="D3210" s="129" t="s">
        <v>22338</v>
      </c>
    </row>
    <row r="3211" spans="1:4">
      <c r="A3211" s="105">
        <v>100584</v>
      </c>
      <c r="B3211" s="104" t="s">
        <v>3334</v>
      </c>
      <c r="C3211" s="104" t="s">
        <v>183</v>
      </c>
      <c r="D3211" s="129" t="s">
        <v>22339</v>
      </c>
    </row>
    <row r="3212" spans="1:4">
      <c r="A3212" s="105">
        <v>100585</v>
      </c>
      <c r="B3212" s="104" t="s">
        <v>3335</v>
      </c>
      <c r="C3212" s="104" t="s">
        <v>183</v>
      </c>
      <c r="D3212" s="129" t="s">
        <v>22340</v>
      </c>
    </row>
    <row r="3213" spans="1:4">
      <c r="A3213" s="105">
        <v>100586</v>
      </c>
      <c r="B3213" s="104" t="s">
        <v>3336</v>
      </c>
      <c r="C3213" s="104" t="s">
        <v>183</v>
      </c>
      <c r="D3213" s="129" t="s">
        <v>22341</v>
      </c>
    </row>
    <row r="3214" spans="1:4">
      <c r="A3214" s="105">
        <v>100587</v>
      </c>
      <c r="B3214" s="104" t="s">
        <v>3337</v>
      </c>
      <c r="C3214" s="104" t="s">
        <v>183</v>
      </c>
      <c r="D3214" s="129" t="s">
        <v>22342</v>
      </c>
    </row>
    <row r="3215" spans="1:4">
      <c r="A3215" s="105">
        <v>100588</v>
      </c>
      <c r="B3215" s="104" t="s">
        <v>3338</v>
      </c>
      <c r="C3215" s="104" t="s">
        <v>183</v>
      </c>
      <c r="D3215" s="129" t="s">
        <v>22343</v>
      </c>
    </row>
    <row r="3216" spans="1:4">
      <c r="A3216" s="105">
        <v>100589</v>
      </c>
      <c r="B3216" s="104" t="s">
        <v>3339</v>
      </c>
      <c r="C3216" s="104" t="s">
        <v>183</v>
      </c>
      <c r="D3216" s="129" t="s">
        <v>22344</v>
      </c>
    </row>
    <row r="3217" spans="1:4">
      <c r="A3217" s="105">
        <v>100590</v>
      </c>
      <c r="B3217" s="104" t="s">
        <v>3340</v>
      </c>
      <c r="C3217" s="104" t="s">
        <v>183</v>
      </c>
      <c r="D3217" s="129" t="s">
        <v>22345</v>
      </c>
    </row>
    <row r="3218" spans="1:4">
      <c r="A3218" s="105">
        <v>100591</v>
      </c>
      <c r="B3218" s="104" t="s">
        <v>3341</v>
      </c>
      <c r="C3218" s="104" t="s">
        <v>183</v>
      </c>
      <c r="D3218" s="129" t="s">
        <v>22346</v>
      </c>
    </row>
    <row r="3219" spans="1:4">
      <c r="A3219" s="105">
        <v>100592</v>
      </c>
      <c r="B3219" s="104" t="s">
        <v>3342</v>
      </c>
      <c r="C3219" s="104" t="s">
        <v>183</v>
      </c>
      <c r="D3219" s="129" t="s">
        <v>22347</v>
      </c>
    </row>
    <row r="3220" spans="1:4">
      <c r="A3220" s="105">
        <v>100593</v>
      </c>
      <c r="B3220" s="104" t="s">
        <v>3343</v>
      </c>
      <c r="C3220" s="104" t="s">
        <v>183</v>
      </c>
      <c r="D3220" s="129" t="s">
        <v>22348</v>
      </c>
    </row>
    <row r="3221" spans="1:4">
      <c r="A3221" s="105">
        <v>100594</v>
      </c>
      <c r="B3221" s="104" t="s">
        <v>3344</v>
      </c>
      <c r="C3221" s="104" t="s">
        <v>183</v>
      </c>
      <c r="D3221" s="129" t="s">
        <v>22349</v>
      </c>
    </row>
    <row r="3222" spans="1:4">
      <c r="A3222" s="105">
        <v>100595</v>
      </c>
      <c r="B3222" s="104" t="s">
        <v>3345</v>
      </c>
      <c r="C3222" s="104" t="s">
        <v>183</v>
      </c>
      <c r="D3222" s="129" t="s">
        <v>22350</v>
      </c>
    </row>
    <row r="3223" spans="1:4">
      <c r="A3223" s="105">
        <v>100596</v>
      </c>
      <c r="B3223" s="104" t="s">
        <v>3346</v>
      </c>
      <c r="C3223" s="104" t="s">
        <v>183</v>
      </c>
      <c r="D3223" s="129" t="s">
        <v>22351</v>
      </c>
    </row>
    <row r="3224" spans="1:4">
      <c r="A3224" s="105">
        <v>100597</v>
      </c>
      <c r="B3224" s="104" t="s">
        <v>3347</v>
      </c>
      <c r="C3224" s="104" t="s">
        <v>183</v>
      </c>
      <c r="D3224" s="129" t="s">
        <v>22352</v>
      </c>
    </row>
    <row r="3225" spans="1:4">
      <c r="A3225" s="105">
        <v>100598</v>
      </c>
      <c r="B3225" s="104" t="s">
        <v>3348</v>
      </c>
      <c r="C3225" s="104" t="s">
        <v>183</v>
      </c>
      <c r="D3225" s="129" t="s">
        <v>22353</v>
      </c>
    </row>
    <row r="3226" spans="1:4">
      <c r="A3226" s="105">
        <v>100599</v>
      </c>
      <c r="B3226" s="104" t="s">
        <v>3349</v>
      </c>
      <c r="C3226" s="104" t="s">
        <v>183</v>
      </c>
      <c r="D3226" s="129" t="s">
        <v>22354</v>
      </c>
    </row>
    <row r="3227" spans="1:4">
      <c r="A3227" s="105">
        <v>100600</v>
      </c>
      <c r="B3227" s="104" t="s">
        <v>3350</v>
      </c>
      <c r="C3227" s="104" t="s">
        <v>183</v>
      </c>
      <c r="D3227" s="129" t="s">
        <v>22355</v>
      </c>
    </row>
    <row r="3228" spans="1:4">
      <c r="A3228" s="105">
        <v>100601</v>
      </c>
      <c r="B3228" s="104" t="s">
        <v>3351</v>
      </c>
      <c r="C3228" s="104" t="s">
        <v>183</v>
      </c>
      <c r="D3228" s="129" t="s">
        <v>22356</v>
      </c>
    </row>
    <row r="3229" spans="1:4">
      <c r="A3229" s="105">
        <v>100602</v>
      </c>
      <c r="B3229" s="104" t="s">
        <v>3352</v>
      </c>
      <c r="C3229" s="104" t="s">
        <v>183</v>
      </c>
      <c r="D3229" s="129" t="s">
        <v>22357</v>
      </c>
    </row>
    <row r="3230" spans="1:4">
      <c r="A3230" s="105">
        <v>100603</v>
      </c>
      <c r="B3230" s="104" t="s">
        <v>3353</v>
      </c>
      <c r="C3230" s="104" t="s">
        <v>183</v>
      </c>
      <c r="D3230" s="129" t="s">
        <v>22358</v>
      </c>
    </row>
    <row r="3231" spans="1:4">
      <c r="A3231" s="105">
        <v>100604</v>
      </c>
      <c r="B3231" s="104" t="s">
        <v>3354</v>
      </c>
      <c r="C3231" s="104" t="s">
        <v>183</v>
      </c>
      <c r="D3231" s="129" t="s">
        <v>22359</v>
      </c>
    </row>
    <row r="3232" spans="1:4">
      <c r="A3232" s="105">
        <v>100605</v>
      </c>
      <c r="B3232" s="104" t="s">
        <v>3355</v>
      </c>
      <c r="C3232" s="104" t="s">
        <v>183</v>
      </c>
      <c r="D3232" s="129" t="s">
        <v>22360</v>
      </c>
    </row>
    <row r="3233" spans="1:4">
      <c r="A3233" s="105">
        <v>100606</v>
      </c>
      <c r="B3233" s="104" t="s">
        <v>3356</v>
      </c>
      <c r="C3233" s="104" t="s">
        <v>183</v>
      </c>
      <c r="D3233" s="129" t="s">
        <v>22361</v>
      </c>
    </row>
    <row r="3234" spans="1:4">
      <c r="A3234" s="105">
        <v>100607</v>
      </c>
      <c r="B3234" s="104" t="s">
        <v>3357</v>
      </c>
      <c r="C3234" s="104" t="s">
        <v>183</v>
      </c>
      <c r="D3234" s="129" t="s">
        <v>22362</v>
      </c>
    </row>
    <row r="3235" spans="1:4">
      <c r="A3235" s="105">
        <v>100608</v>
      </c>
      <c r="B3235" s="104" t="s">
        <v>3358</v>
      </c>
      <c r="C3235" s="104" t="s">
        <v>183</v>
      </c>
      <c r="D3235" s="129" t="s">
        <v>22363</v>
      </c>
    </row>
    <row r="3236" spans="1:4">
      <c r="A3236" s="105">
        <v>100609</v>
      </c>
      <c r="B3236" s="104" t="s">
        <v>3359</v>
      </c>
      <c r="C3236" s="104" t="s">
        <v>183</v>
      </c>
      <c r="D3236" s="129" t="s">
        <v>22364</v>
      </c>
    </row>
    <row r="3237" spans="1:4">
      <c r="A3237" s="105">
        <v>100610</v>
      </c>
      <c r="B3237" s="104" t="s">
        <v>3360</v>
      </c>
      <c r="C3237" s="104" t="s">
        <v>183</v>
      </c>
      <c r="D3237" s="129" t="s">
        <v>22365</v>
      </c>
    </row>
    <row r="3238" spans="1:4">
      <c r="A3238" s="105">
        <v>100611</v>
      </c>
      <c r="B3238" s="104" t="s">
        <v>3361</v>
      </c>
      <c r="C3238" s="104" t="s">
        <v>183</v>
      </c>
      <c r="D3238" s="129" t="s">
        <v>22366</v>
      </c>
    </row>
    <row r="3239" spans="1:4">
      <c r="A3239" s="105">
        <v>100612</v>
      </c>
      <c r="B3239" s="104" t="s">
        <v>3362</v>
      </c>
      <c r="C3239" s="104" t="s">
        <v>183</v>
      </c>
      <c r="D3239" s="129" t="s">
        <v>22367</v>
      </c>
    </row>
    <row r="3240" spans="1:4">
      <c r="A3240" s="105">
        <v>100613</v>
      </c>
      <c r="B3240" s="104" t="s">
        <v>3363</v>
      </c>
      <c r="C3240" s="104" t="s">
        <v>183</v>
      </c>
      <c r="D3240" s="129" t="s">
        <v>22368</v>
      </c>
    </row>
    <row r="3241" spans="1:4">
      <c r="A3241" s="105">
        <v>100614</v>
      </c>
      <c r="B3241" s="104" t="s">
        <v>3364</v>
      </c>
      <c r="C3241" s="104" t="s">
        <v>183</v>
      </c>
      <c r="D3241" s="129" t="s">
        <v>22369</v>
      </c>
    </row>
    <row r="3242" spans="1:4">
      <c r="A3242" s="105">
        <v>100615</v>
      </c>
      <c r="B3242" s="104" t="s">
        <v>3365</v>
      </c>
      <c r="C3242" s="104" t="s">
        <v>183</v>
      </c>
      <c r="D3242" s="129" t="s">
        <v>22370</v>
      </c>
    </row>
    <row r="3243" spans="1:4">
      <c r="A3243" s="105">
        <v>100616</v>
      </c>
      <c r="B3243" s="104" t="s">
        <v>3366</v>
      </c>
      <c r="C3243" s="104" t="s">
        <v>183</v>
      </c>
      <c r="D3243" s="129" t="s">
        <v>22371</v>
      </c>
    </row>
    <row r="3244" spans="1:4">
      <c r="A3244" s="105">
        <v>100617</v>
      </c>
      <c r="B3244" s="104" t="s">
        <v>3367</v>
      </c>
      <c r="C3244" s="104" t="s">
        <v>183</v>
      </c>
      <c r="D3244" s="129" t="s">
        <v>22372</v>
      </c>
    </row>
    <row r="3245" spans="1:4">
      <c r="A3245" s="105">
        <v>100618</v>
      </c>
      <c r="B3245" s="104" t="s">
        <v>3368</v>
      </c>
      <c r="C3245" s="104" t="s">
        <v>183</v>
      </c>
      <c r="D3245" s="129" t="s">
        <v>22373</v>
      </c>
    </row>
    <row r="3246" spans="1:4">
      <c r="A3246" s="105">
        <v>100619</v>
      </c>
      <c r="B3246" s="104" t="s">
        <v>3369</v>
      </c>
      <c r="C3246" s="104" t="s">
        <v>183</v>
      </c>
      <c r="D3246" s="129" t="s">
        <v>22374</v>
      </c>
    </row>
    <row r="3247" spans="1:4">
      <c r="A3247" s="105">
        <v>100620</v>
      </c>
      <c r="B3247" s="104" t="s">
        <v>3370</v>
      </c>
      <c r="C3247" s="104" t="s">
        <v>183</v>
      </c>
      <c r="D3247" s="129" t="s">
        <v>22375</v>
      </c>
    </row>
    <row r="3248" spans="1:4">
      <c r="A3248" s="105">
        <v>100621</v>
      </c>
      <c r="B3248" s="104" t="s">
        <v>3371</v>
      </c>
      <c r="C3248" s="104" t="s">
        <v>183</v>
      </c>
      <c r="D3248" s="129" t="s">
        <v>22376</v>
      </c>
    </row>
    <row r="3249" spans="1:4">
      <c r="A3249" s="105">
        <v>100622</v>
      </c>
      <c r="B3249" s="104" t="s">
        <v>3372</v>
      </c>
      <c r="C3249" s="104" t="s">
        <v>183</v>
      </c>
      <c r="D3249" s="129" t="s">
        <v>22377</v>
      </c>
    </row>
    <row r="3250" spans="1:4">
      <c r="A3250" s="105">
        <v>100623</v>
      </c>
      <c r="B3250" s="104" t="s">
        <v>3373</v>
      </c>
      <c r="C3250" s="104" t="s">
        <v>183</v>
      </c>
      <c r="D3250" s="129" t="s">
        <v>22378</v>
      </c>
    </row>
    <row r="3251" spans="1:4">
      <c r="A3251" s="105">
        <v>97600</v>
      </c>
      <c r="B3251" s="104" t="s">
        <v>3374</v>
      </c>
      <c r="C3251" s="104" t="s">
        <v>183</v>
      </c>
      <c r="D3251" s="129" t="s">
        <v>22379</v>
      </c>
    </row>
    <row r="3252" spans="1:4">
      <c r="A3252" s="105">
        <v>97601</v>
      </c>
      <c r="B3252" s="104" t="s">
        <v>3375</v>
      </c>
      <c r="C3252" s="104" t="s">
        <v>183</v>
      </c>
      <c r="D3252" s="129" t="s">
        <v>22380</v>
      </c>
    </row>
    <row r="3253" spans="1:4">
      <c r="A3253" s="105">
        <v>97605</v>
      </c>
      <c r="B3253" s="104" t="s">
        <v>3376</v>
      </c>
      <c r="C3253" s="104" t="s">
        <v>183</v>
      </c>
      <c r="D3253" s="129" t="s">
        <v>22381</v>
      </c>
    </row>
    <row r="3254" spans="1:4">
      <c r="A3254" s="105">
        <v>97606</v>
      </c>
      <c r="B3254" s="104" t="s">
        <v>3377</v>
      </c>
      <c r="C3254" s="104" t="s">
        <v>183</v>
      </c>
      <c r="D3254" s="129" t="s">
        <v>22382</v>
      </c>
    </row>
    <row r="3255" spans="1:4">
      <c r="A3255" s="105">
        <v>97607</v>
      </c>
      <c r="B3255" s="104" t="s">
        <v>3378</v>
      </c>
      <c r="C3255" s="104" t="s">
        <v>183</v>
      </c>
      <c r="D3255" s="129" t="s">
        <v>22383</v>
      </c>
    </row>
    <row r="3256" spans="1:4">
      <c r="A3256" s="105">
        <v>97608</v>
      </c>
      <c r="B3256" s="104" t="s">
        <v>3379</v>
      </c>
      <c r="C3256" s="104" t="s">
        <v>183</v>
      </c>
      <c r="D3256" s="129" t="s">
        <v>22384</v>
      </c>
    </row>
    <row r="3257" spans="1:4">
      <c r="A3257" s="105">
        <v>102102</v>
      </c>
      <c r="B3257" s="104" t="s">
        <v>3380</v>
      </c>
      <c r="C3257" s="104" t="s">
        <v>183</v>
      </c>
      <c r="D3257" s="129" t="s">
        <v>22385</v>
      </c>
    </row>
    <row r="3258" spans="1:4">
      <c r="A3258" s="105">
        <v>102103</v>
      </c>
      <c r="B3258" s="104" t="s">
        <v>3381</v>
      </c>
      <c r="C3258" s="104" t="s">
        <v>183</v>
      </c>
      <c r="D3258" s="129" t="s">
        <v>22386</v>
      </c>
    </row>
    <row r="3259" spans="1:4">
      <c r="A3259" s="105">
        <v>102104</v>
      </c>
      <c r="B3259" s="104" t="s">
        <v>3382</v>
      </c>
      <c r="C3259" s="104" t="s">
        <v>183</v>
      </c>
      <c r="D3259" s="129" t="s">
        <v>22387</v>
      </c>
    </row>
    <row r="3260" spans="1:4">
      <c r="A3260" s="105">
        <v>102105</v>
      </c>
      <c r="B3260" s="104" t="s">
        <v>3383</v>
      </c>
      <c r="C3260" s="104" t="s">
        <v>183</v>
      </c>
      <c r="D3260" s="129" t="s">
        <v>22388</v>
      </c>
    </row>
    <row r="3261" spans="1:4">
      <c r="A3261" s="105">
        <v>102106</v>
      </c>
      <c r="B3261" s="104" t="s">
        <v>3384</v>
      </c>
      <c r="C3261" s="104" t="s">
        <v>183</v>
      </c>
      <c r="D3261" s="129" t="s">
        <v>22389</v>
      </c>
    </row>
    <row r="3262" spans="1:4">
      <c r="A3262" s="105">
        <v>102107</v>
      </c>
      <c r="B3262" s="104" t="s">
        <v>3385</v>
      </c>
      <c r="C3262" s="104" t="s">
        <v>183</v>
      </c>
      <c r="D3262" s="129" t="s">
        <v>22390</v>
      </c>
    </row>
    <row r="3263" spans="1:4">
      <c r="A3263" s="105">
        <v>102108</v>
      </c>
      <c r="B3263" s="104" t="s">
        <v>3386</v>
      </c>
      <c r="C3263" s="104" t="s">
        <v>183</v>
      </c>
      <c r="D3263" s="129" t="s">
        <v>22391</v>
      </c>
    </row>
    <row r="3264" spans="1:4">
      <c r="A3264" s="105">
        <v>102109</v>
      </c>
      <c r="B3264" s="104" t="s">
        <v>3387</v>
      </c>
      <c r="C3264" s="104" t="s">
        <v>183</v>
      </c>
      <c r="D3264" s="129" t="s">
        <v>22392</v>
      </c>
    </row>
    <row r="3265" spans="1:4">
      <c r="A3265" s="105">
        <v>102110</v>
      </c>
      <c r="B3265" s="104" t="s">
        <v>3388</v>
      </c>
      <c r="C3265" s="104" t="s">
        <v>183</v>
      </c>
      <c r="D3265" s="129" t="s">
        <v>22393</v>
      </c>
    </row>
    <row r="3266" spans="1:4">
      <c r="A3266" s="105">
        <v>103654</v>
      </c>
      <c r="B3266" s="104" t="s">
        <v>17668</v>
      </c>
      <c r="C3266" s="104" t="s">
        <v>183</v>
      </c>
      <c r="D3266" s="129" t="s">
        <v>22394</v>
      </c>
    </row>
    <row r="3267" spans="1:4">
      <c r="A3267" s="105">
        <v>103655</v>
      </c>
      <c r="B3267" s="104" t="s">
        <v>17670</v>
      </c>
      <c r="C3267" s="104" t="s">
        <v>183</v>
      </c>
      <c r="D3267" s="129" t="s">
        <v>22395</v>
      </c>
    </row>
    <row r="3268" spans="1:4">
      <c r="A3268" s="105">
        <v>103656</v>
      </c>
      <c r="B3268" s="104" t="s">
        <v>17672</v>
      </c>
      <c r="C3268" s="104" t="s">
        <v>183</v>
      </c>
      <c r="D3268" s="129" t="s">
        <v>22396</v>
      </c>
    </row>
    <row r="3269" spans="1:4">
      <c r="A3269" s="105">
        <v>93128</v>
      </c>
      <c r="B3269" s="104" t="s">
        <v>3389</v>
      </c>
      <c r="C3269" s="104" t="s">
        <v>183</v>
      </c>
      <c r="D3269" s="129" t="s">
        <v>22397</v>
      </c>
    </row>
    <row r="3270" spans="1:4">
      <c r="A3270" s="105">
        <v>93137</v>
      </c>
      <c r="B3270" s="104" t="s">
        <v>3390</v>
      </c>
      <c r="C3270" s="104" t="s">
        <v>183</v>
      </c>
      <c r="D3270" s="129" t="s">
        <v>22398</v>
      </c>
    </row>
    <row r="3271" spans="1:4">
      <c r="A3271" s="105">
        <v>93138</v>
      </c>
      <c r="B3271" s="104" t="s">
        <v>3391</v>
      </c>
      <c r="C3271" s="104" t="s">
        <v>183</v>
      </c>
      <c r="D3271" s="129" t="s">
        <v>22399</v>
      </c>
    </row>
    <row r="3272" spans="1:4">
      <c r="A3272" s="105">
        <v>93139</v>
      </c>
      <c r="B3272" s="104" t="s">
        <v>3392</v>
      </c>
      <c r="C3272" s="104" t="s">
        <v>183</v>
      </c>
      <c r="D3272" s="129" t="s">
        <v>22400</v>
      </c>
    </row>
    <row r="3273" spans="1:4">
      <c r="A3273" s="105">
        <v>93140</v>
      </c>
      <c r="B3273" s="104" t="s">
        <v>3393</v>
      </c>
      <c r="C3273" s="104" t="s">
        <v>183</v>
      </c>
      <c r="D3273" s="129" t="s">
        <v>22401</v>
      </c>
    </row>
    <row r="3274" spans="1:4">
      <c r="A3274" s="105">
        <v>93141</v>
      </c>
      <c r="B3274" s="104" t="s">
        <v>3394</v>
      </c>
      <c r="C3274" s="104" t="s">
        <v>183</v>
      </c>
      <c r="D3274" s="129" t="s">
        <v>22402</v>
      </c>
    </row>
    <row r="3275" spans="1:4">
      <c r="A3275" s="105">
        <v>93142</v>
      </c>
      <c r="B3275" s="104" t="s">
        <v>3395</v>
      </c>
      <c r="C3275" s="104" t="s">
        <v>183</v>
      </c>
      <c r="D3275" s="129" t="s">
        <v>22403</v>
      </c>
    </row>
    <row r="3276" spans="1:4">
      <c r="A3276" s="105">
        <v>93143</v>
      </c>
      <c r="B3276" s="104" t="s">
        <v>3396</v>
      </c>
      <c r="C3276" s="104" t="s">
        <v>183</v>
      </c>
      <c r="D3276" s="129" t="s">
        <v>22404</v>
      </c>
    </row>
    <row r="3277" spans="1:4">
      <c r="A3277" s="105">
        <v>93144</v>
      </c>
      <c r="B3277" s="104" t="s">
        <v>3397</v>
      </c>
      <c r="C3277" s="104" t="s">
        <v>183</v>
      </c>
      <c r="D3277" s="129" t="s">
        <v>22405</v>
      </c>
    </row>
    <row r="3278" spans="1:4">
      <c r="A3278" s="105">
        <v>93145</v>
      </c>
      <c r="B3278" s="104" t="s">
        <v>3398</v>
      </c>
      <c r="C3278" s="104" t="s">
        <v>183</v>
      </c>
      <c r="D3278" s="129" t="s">
        <v>22406</v>
      </c>
    </row>
    <row r="3279" spans="1:4">
      <c r="A3279" s="105">
        <v>93146</v>
      </c>
      <c r="B3279" s="104" t="s">
        <v>3399</v>
      </c>
      <c r="C3279" s="104" t="s">
        <v>183</v>
      </c>
      <c r="D3279" s="129" t="s">
        <v>22407</v>
      </c>
    </row>
    <row r="3280" spans="1:4">
      <c r="A3280" s="105">
        <v>93147</v>
      </c>
      <c r="B3280" s="104" t="s">
        <v>3400</v>
      </c>
      <c r="C3280" s="104" t="s">
        <v>183</v>
      </c>
      <c r="D3280" s="129" t="s">
        <v>22408</v>
      </c>
    </row>
    <row r="3281" spans="1:4">
      <c r="A3281" s="105">
        <v>96971</v>
      </c>
      <c r="B3281" s="104" t="s">
        <v>3401</v>
      </c>
      <c r="C3281" s="104" t="s">
        <v>40</v>
      </c>
      <c r="D3281" s="129" t="s">
        <v>17252</v>
      </c>
    </row>
    <row r="3282" spans="1:4">
      <c r="A3282" s="105">
        <v>96972</v>
      </c>
      <c r="B3282" s="104" t="s">
        <v>3402</v>
      </c>
      <c r="C3282" s="104" t="s">
        <v>40</v>
      </c>
      <c r="D3282" s="129" t="s">
        <v>19746</v>
      </c>
    </row>
    <row r="3283" spans="1:4">
      <c r="A3283" s="105">
        <v>96973</v>
      </c>
      <c r="B3283" s="104" t="s">
        <v>3403</v>
      </c>
      <c r="C3283" s="104" t="s">
        <v>40</v>
      </c>
      <c r="D3283" s="129" t="s">
        <v>22409</v>
      </c>
    </row>
    <row r="3284" spans="1:4">
      <c r="A3284" s="105">
        <v>96974</v>
      </c>
      <c r="B3284" s="104" t="s">
        <v>323</v>
      </c>
      <c r="C3284" s="104" t="s">
        <v>40</v>
      </c>
      <c r="D3284" s="129" t="s">
        <v>22410</v>
      </c>
    </row>
    <row r="3285" spans="1:4">
      <c r="A3285" s="105">
        <v>96975</v>
      </c>
      <c r="B3285" s="104" t="s">
        <v>3404</v>
      </c>
      <c r="C3285" s="104" t="s">
        <v>40</v>
      </c>
      <c r="D3285" s="129" t="s">
        <v>22411</v>
      </c>
    </row>
    <row r="3286" spans="1:4">
      <c r="A3286" s="105">
        <v>96976</v>
      </c>
      <c r="B3286" s="104" t="s">
        <v>3405</v>
      </c>
      <c r="C3286" s="104" t="s">
        <v>40</v>
      </c>
      <c r="D3286" s="129" t="s">
        <v>22412</v>
      </c>
    </row>
    <row r="3287" spans="1:4">
      <c r="A3287" s="105">
        <v>96977</v>
      </c>
      <c r="B3287" s="104" t="s">
        <v>3406</v>
      </c>
      <c r="C3287" s="104" t="s">
        <v>40</v>
      </c>
      <c r="D3287" s="129" t="s">
        <v>22413</v>
      </c>
    </row>
    <row r="3288" spans="1:4">
      <c r="A3288" s="105">
        <v>96978</v>
      </c>
      <c r="B3288" s="104" t="s">
        <v>3407</v>
      </c>
      <c r="C3288" s="104" t="s">
        <v>40</v>
      </c>
      <c r="D3288" s="129" t="s">
        <v>22414</v>
      </c>
    </row>
    <row r="3289" spans="1:4">
      <c r="A3289" s="105">
        <v>96979</v>
      </c>
      <c r="B3289" s="104" t="s">
        <v>3408</v>
      </c>
      <c r="C3289" s="104" t="s">
        <v>40</v>
      </c>
      <c r="D3289" s="129" t="s">
        <v>22415</v>
      </c>
    </row>
    <row r="3290" spans="1:4">
      <c r="A3290" s="105">
        <v>96984</v>
      </c>
      <c r="B3290" s="104" t="s">
        <v>3409</v>
      </c>
      <c r="C3290" s="104" t="s">
        <v>183</v>
      </c>
      <c r="D3290" s="129" t="s">
        <v>20655</v>
      </c>
    </row>
    <row r="3291" spans="1:4">
      <c r="A3291" s="105">
        <v>96985</v>
      </c>
      <c r="B3291" s="104" t="s">
        <v>3410</v>
      </c>
      <c r="C3291" s="104" t="s">
        <v>183</v>
      </c>
      <c r="D3291" s="129" t="s">
        <v>22416</v>
      </c>
    </row>
    <row r="3292" spans="1:4">
      <c r="A3292" s="105">
        <v>96986</v>
      </c>
      <c r="B3292" s="104" t="s">
        <v>3411</v>
      </c>
      <c r="C3292" s="104" t="s">
        <v>183</v>
      </c>
      <c r="D3292" s="129" t="s">
        <v>22417</v>
      </c>
    </row>
    <row r="3293" spans="1:4">
      <c r="A3293" s="105">
        <v>96987</v>
      </c>
      <c r="B3293" s="104" t="s">
        <v>3412</v>
      </c>
      <c r="C3293" s="104" t="s">
        <v>183</v>
      </c>
      <c r="D3293" s="129" t="s">
        <v>18254</v>
      </c>
    </row>
    <row r="3294" spans="1:4">
      <c r="A3294" s="105">
        <v>96988</v>
      </c>
      <c r="B3294" s="104" t="s">
        <v>3413</v>
      </c>
      <c r="C3294" s="104" t="s">
        <v>183</v>
      </c>
      <c r="D3294" s="129" t="s">
        <v>17289</v>
      </c>
    </row>
    <row r="3295" spans="1:4">
      <c r="A3295" s="105">
        <v>96989</v>
      </c>
      <c r="B3295" s="104" t="s">
        <v>3414</v>
      </c>
      <c r="C3295" s="104" t="s">
        <v>183</v>
      </c>
      <c r="D3295" s="129" t="s">
        <v>22418</v>
      </c>
    </row>
    <row r="3296" spans="1:4">
      <c r="A3296" s="105">
        <v>98463</v>
      </c>
      <c r="B3296" s="104" t="s">
        <v>3415</v>
      </c>
      <c r="C3296" s="104" t="s">
        <v>183</v>
      </c>
      <c r="D3296" s="129" t="s">
        <v>15803</v>
      </c>
    </row>
    <row r="3297" spans="1:4">
      <c r="A3297" s="105">
        <v>103490</v>
      </c>
      <c r="B3297" s="104" t="s">
        <v>13729</v>
      </c>
      <c r="C3297" s="104" t="s">
        <v>28</v>
      </c>
      <c r="D3297" s="129" t="s">
        <v>22419</v>
      </c>
    </row>
    <row r="3298" spans="1:4">
      <c r="A3298" s="105">
        <v>103491</v>
      </c>
      <c r="B3298" s="104" t="s">
        <v>13730</v>
      </c>
      <c r="C3298" s="104" t="s">
        <v>28</v>
      </c>
      <c r="D3298" s="129" t="s">
        <v>22420</v>
      </c>
    </row>
    <row r="3299" spans="1:4">
      <c r="A3299" s="105">
        <v>96765</v>
      </c>
      <c r="B3299" s="104" t="s">
        <v>3416</v>
      </c>
      <c r="C3299" s="104" t="s">
        <v>183</v>
      </c>
      <c r="D3299" s="129" t="s">
        <v>22421</v>
      </c>
    </row>
    <row r="3300" spans="1:4">
      <c r="A3300" s="105">
        <v>101905</v>
      </c>
      <c r="B3300" s="104" t="s">
        <v>143</v>
      </c>
      <c r="C3300" s="104" t="s">
        <v>183</v>
      </c>
      <c r="D3300" s="129" t="s">
        <v>22422</v>
      </c>
    </row>
    <row r="3301" spans="1:4">
      <c r="A3301" s="105">
        <v>101906</v>
      </c>
      <c r="B3301" s="104" t="s">
        <v>142</v>
      </c>
      <c r="C3301" s="104" t="s">
        <v>183</v>
      </c>
      <c r="D3301" s="129" t="s">
        <v>22423</v>
      </c>
    </row>
    <row r="3302" spans="1:4">
      <c r="A3302" s="105">
        <v>101907</v>
      </c>
      <c r="B3302" s="104" t="s">
        <v>3417</v>
      </c>
      <c r="C3302" s="104" t="s">
        <v>183</v>
      </c>
      <c r="D3302" s="129" t="s">
        <v>22424</v>
      </c>
    </row>
    <row r="3303" spans="1:4">
      <c r="A3303" s="105">
        <v>101908</v>
      </c>
      <c r="B3303" s="104" t="s">
        <v>311</v>
      </c>
      <c r="C3303" s="104" t="s">
        <v>183</v>
      </c>
      <c r="D3303" s="129" t="s">
        <v>22406</v>
      </c>
    </row>
    <row r="3304" spans="1:4">
      <c r="A3304" s="105">
        <v>101909</v>
      </c>
      <c r="B3304" s="104" t="s">
        <v>3418</v>
      </c>
      <c r="C3304" s="104" t="s">
        <v>183</v>
      </c>
      <c r="D3304" s="129" t="s">
        <v>22425</v>
      </c>
    </row>
    <row r="3305" spans="1:4">
      <c r="A3305" s="105">
        <v>101910</v>
      </c>
      <c r="B3305" s="104" t="s">
        <v>3419</v>
      </c>
      <c r="C3305" s="104" t="s">
        <v>183</v>
      </c>
      <c r="D3305" s="129" t="s">
        <v>22426</v>
      </c>
    </row>
    <row r="3306" spans="1:4">
      <c r="A3306" s="105">
        <v>101911</v>
      </c>
      <c r="B3306" s="104" t="s">
        <v>3420</v>
      </c>
      <c r="C3306" s="104" t="s">
        <v>183</v>
      </c>
      <c r="D3306" s="129" t="s">
        <v>22427</v>
      </c>
    </row>
    <row r="3307" spans="1:4">
      <c r="A3307" s="105">
        <v>101912</v>
      </c>
      <c r="B3307" s="104" t="s">
        <v>3421</v>
      </c>
      <c r="C3307" s="104" t="s">
        <v>183</v>
      </c>
      <c r="D3307" s="129" t="s">
        <v>22428</v>
      </c>
    </row>
    <row r="3308" spans="1:4">
      <c r="A3308" s="105">
        <v>101913</v>
      </c>
      <c r="B3308" s="104" t="s">
        <v>3422</v>
      </c>
      <c r="C3308" s="104" t="s">
        <v>183</v>
      </c>
      <c r="D3308" s="129" t="s">
        <v>22429</v>
      </c>
    </row>
    <row r="3309" spans="1:4">
      <c r="A3309" s="105">
        <v>101914</v>
      </c>
      <c r="B3309" s="104" t="s">
        <v>3423</v>
      </c>
      <c r="C3309" s="104" t="s">
        <v>183</v>
      </c>
      <c r="D3309" s="129" t="s">
        <v>22430</v>
      </c>
    </row>
    <row r="3310" spans="1:4">
      <c r="A3310" s="105">
        <v>101915</v>
      </c>
      <c r="B3310" s="104" t="s">
        <v>259</v>
      </c>
      <c r="C3310" s="104" t="s">
        <v>183</v>
      </c>
      <c r="D3310" s="129" t="s">
        <v>22431</v>
      </c>
    </row>
    <row r="3311" spans="1:4">
      <c r="A3311" s="105">
        <v>101916</v>
      </c>
      <c r="B3311" s="104" t="s">
        <v>3424</v>
      </c>
      <c r="C3311" s="104" t="s">
        <v>183</v>
      </c>
      <c r="D3311" s="129" t="s">
        <v>22432</v>
      </c>
    </row>
    <row r="3312" spans="1:4">
      <c r="A3312" s="105">
        <v>101917</v>
      </c>
      <c r="B3312" s="104" t="s">
        <v>3425</v>
      </c>
      <c r="C3312" s="104" t="s">
        <v>183</v>
      </c>
      <c r="D3312" s="129" t="s">
        <v>22433</v>
      </c>
    </row>
    <row r="3313" spans="1:4">
      <c r="A3313" s="105">
        <v>98261</v>
      </c>
      <c r="B3313" s="104" t="s">
        <v>3426</v>
      </c>
      <c r="C3313" s="104" t="s">
        <v>40</v>
      </c>
      <c r="D3313" s="129" t="s">
        <v>22434</v>
      </c>
    </row>
    <row r="3314" spans="1:4">
      <c r="A3314" s="105">
        <v>98262</v>
      </c>
      <c r="B3314" s="104" t="s">
        <v>3427</v>
      </c>
      <c r="C3314" s="104" t="s">
        <v>40</v>
      </c>
      <c r="D3314" s="129" t="s">
        <v>15813</v>
      </c>
    </row>
    <row r="3315" spans="1:4">
      <c r="A3315" s="105">
        <v>98263</v>
      </c>
      <c r="B3315" s="104" t="s">
        <v>3428</v>
      </c>
      <c r="C3315" s="104" t="s">
        <v>40</v>
      </c>
      <c r="D3315" s="129" t="s">
        <v>22435</v>
      </c>
    </row>
    <row r="3316" spans="1:4">
      <c r="A3316" s="105">
        <v>98264</v>
      </c>
      <c r="B3316" s="104" t="s">
        <v>3429</v>
      </c>
      <c r="C3316" s="104" t="s">
        <v>40</v>
      </c>
      <c r="D3316" s="129" t="s">
        <v>17722</v>
      </c>
    </row>
    <row r="3317" spans="1:4">
      <c r="A3317" s="105">
        <v>98265</v>
      </c>
      <c r="B3317" s="104" t="s">
        <v>3430</v>
      </c>
      <c r="C3317" s="104" t="s">
        <v>40</v>
      </c>
      <c r="D3317" s="129" t="s">
        <v>22436</v>
      </c>
    </row>
    <row r="3318" spans="1:4">
      <c r="A3318" s="105">
        <v>98266</v>
      </c>
      <c r="B3318" s="104" t="s">
        <v>3431</v>
      </c>
      <c r="C3318" s="104" t="s">
        <v>40</v>
      </c>
      <c r="D3318" s="129" t="s">
        <v>22437</v>
      </c>
    </row>
    <row r="3319" spans="1:4">
      <c r="A3319" s="105">
        <v>98267</v>
      </c>
      <c r="B3319" s="104" t="s">
        <v>3432</v>
      </c>
      <c r="C3319" s="104" t="s">
        <v>40</v>
      </c>
      <c r="D3319" s="129" t="s">
        <v>17328</v>
      </c>
    </row>
    <row r="3320" spans="1:4">
      <c r="A3320" s="105">
        <v>98268</v>
      </c>
      <c r="B3320" s="104" t="s">
        <v>3433</v>
      </c>
      <c r="C3320" s="104" t="s">
        <v>40</v>
      </c>
      <c r="D3320" s="129" t="s">
        <v>18455</v>
      </c>
    </row>
    <row r="3321" spans="1:4">
      <c r="A3321" s="105">
        <v>98269</v>
      </c>
      <c r="B3321" s="104" t="s">
        <v>3434</v>
      </c>
      <c r="C3321" s="104" t="s">
        <v>40</v>
      </c>
      <c r="D3321" s="129" t="s">
        <v>22438</v>
      </c>
    </row>
    <row r="3322" spans="1:4">
      <c r="A3322" s="105">
        <v>98270</v>
      </c>
      <c r="B3322" s="104" t="s">
        <v>3435</v>
      </c>
      <c r="C3322" s="104" t="s">
        <v>40</v>
      </c>
      <c r="D3322" s="129" t="s">
        <v>22439</v>
      </c>
    </row>
    <row r="3323" spans="1:4">
      <c r="A3323" s="105">
        <v>98271</v>
      </c>
      <c r="B3323" s="104" t="s">
        <v>3436</v>
      </c>
      <c r="C3323" s="104" t="s">
        <v>40</v>
      </c>
      <c r="D3323" s="129" t="s">
        <v>22440</v>
      </c>
    </row>
    <row r="3324" spans="1:4">
      <c r="A3324" s="105">
        <v>98272</v>
      </c>
      <c r="B3324" s="104" t="s">
        <v>3437</v>
      </c>
      <c r="C3324" s="104" t="s">
        <v>40</v>
      </c>
      <c r="D3324" s="129" t="s">
        <v>22441</v>
      </c>
    </row>
    <row r="3325" spans="1:4">
      <c r="A3325" s="105">
        <v>98273</v>
      </c>
      <c r="B3325" s="104" t="s">
        <v>3438</v>
      </c>
      <c r="C3325" s="104" t="s">
        <v>40</v>
      </c>
      <c r="D3325" s="129" t="s">
        <v>22442</v>
      </c>
    </row>
    <row r="3326" spans="1:4">
      <c r="A3326" s="105">
        <v>98274</v>
      </c>
      <c r="B3326" s="104" t="s">
        <v>3439</v>
      </c>
      <c r="C3326" s="104" t="s">
        <v>40</v>
      </c>
      <c r="D3326" s="129" t="s">
        <v>18029</v>
      </c>
    </row>
    <row r="3327" spans="1:4">
      <c r="A3327" s="105">
        <v>98275</v>
      </c>
      <c r="B3327" s="104" t="s">
        <v>3440</v>
      </c>
      <c r="C3327" s="104" t="s">
        <v>40</v>
      </c>
      <c r="D3327" s="129" t="s">
        <v>15007</v>
      </c>
    </row>
    <row r="3328" spans="1:4">
      <c r="A3328" s="105">
        <v>98276</v>
      </c>
      <c r="B3328" s="104" t="s">
        <v>3441</v>
      </c>
      <c r="C3328" s="104" t="s">
        <v>40</v>
      </c>
      <c r="D3328" s="129" t="s">
        <v>16928</v>
      </c>
    </row>
    <row r="3329" spans="1:4">
      <c r="A3329" s="105">
        <v>98277</v>
      </c>
      <c r="B3329" s="104" t="s">
        <v>3442</v>
      </c>
      <c r="C3329" s="104" t="s">
        <v>40</v>
      </c>
      <c r="D3329" s="129" t="s">
        <v>15139</v>
      </c>
    </row>
    <row r="3330" spans="1:4">
      <c r="A3330" s="105">
        <v>98278</v>
      </c>
      <c r="B3330" s="104" t="s">
        <v>3443</v>
      </c>
      <c r="C3330" s="104" t="s">
        <v>40</v>
      </c>
      <c r="D3330" s="129" t="s">
        <v>22443</v>
      </c>
    </row>
    <row r="3331" spans="1:4">
      <c r="A3331" s="105">
        <v>98279</v>
      </c>
      <c r="B3331" s="104" t="s">
        <v>3444</v>
      </c>
      <c r="C3331" s="104" t="s">
        <v>40</v>
      </c>
      <c r="D3331" s="129" t="s">
        <v>22444</v>
      </c>
    </row>
    <row r="3332" spans="1:4">
      <c r="A3332" s="105">
        <v>98280</v>
      </c>
      <c r="B3332" s="104" t="s">
        <v>3445</v>
      </c>
      <c r="C3332" s="104" t="s">
        <v>40</v>
      </c>
      <c r="D3332" s="129" t="s">
        <v>22445</v>
      </c>
    </row>
    <row r="3333" spans="1:4">
      <c r="A3333" s="105">
        <v>98281</v>
      </c>
      <c r="B3333" s="104" t="s">
        <v>3446</v>
      </c>
      <c r="C3333" s="104" t="s">
        <v>40</v>
      </c>
      <c r="D3333" s="129" t="s">
        <v>14757</v>
      </c>
    </row>
    <row r="3334" spans="1:4">
      <c r="A3334" s="105">
        <v>98282</v>
      </c>
      <c r="B3334" s="104" t="s">
        <v>3447</v>
      </c>
      <c r="C3334" s="104" t="s">
        <v>40</v>
      </c>
      <c r="D3334" s="129" t="s">
        <v>17393</v>
      </c>
    </row>
    <row r="3335" spans="1:4">
      <c r="A3335" s="105">
        <v>98283</v>
      </c>
      <c r="B3335" s="104" t="s">
        <v>3448</v>
      </c>
      <c r="C3335" s="104" t="s">
        <v>40</v>
      </c>
      <c r="D3335" s="129" t="s">
        <v>22446</v>
      </c>
    </row>
    <row r="3336" spans="1:4">
      <c r="A3336" s="105">
        <v>98284</v>
      </c>
      <c r="B3336" s="104" t="s">
        <v>3449</v>
      </c>
      <c r="C3336" s="104" t="s">
        <v>40</v>
      </c>
      <c r="D3336" s="129" t="s">
        <v>22447</v>
      </c>
    </row>
    <row r="3337" spans="1:4">
      <c r="A3337" s="105">
        <v>98285</v>
      </c>
      <c r="B3337" s="104" t="s">
        <v>3450</v>
      </c>
      <c r="C3337" s="104" t="s">
        <v>40</v>
      </c>
      <c r="D3337" s="129" t="s">
        <v>22052</v>
      </c>
    </row>
    <row r="3338" spans="1:4">
      <c r="A3338" s="105">
        <v>98286</v>
      </c>
      <c r="B3338" s="104" t="s">
        <v>3451</v>
      </c>
      <c r="C3338" s="104" t="s">
        <v>40</v>
      </c>
      <c r="D3338" s="129" t="s">
        <v>22448</v>
      </c>
    </row>
    <row r="3339" spans="1:4">
      <c r="A3339" s="105">
        <v>98287</v>
      </c>
      <c r="B3339" s="104" t="s">
        <v>3452</v>
      </c>
      <c r="C3339" s="104" t="s">
        <v>40</v>
      </c>
      <c r="D3339" s="129" t="s">
        <v>15297</v>
      </c>
    </row>
    <row r="3340" spans="1:4">
      <c r="A3340" s="105">
        <v>98288</v>
      </c>
      <c r="B3340" s="104" t="s">
        <v>3453</v>
      </c>
      <c r="C3340" s="104" t="s">
        <v>40</v>
      </c>
      <c r="D3340" s="129" t="s">
        <v>15307</v>
      </c>
    </row>
    <row r="3341" spans="1:4">
      <c r="A3341" s="105">
        <v>98289</v>
      </c>
      <c r="B3341" s="104" t="s">
        <v>3454</v>
      </c>
      <c r="C3341" s="104" t="s">
        <v>40</v>
      </c>
      <c r="D3341" s="129" t="s">
        <v>20076</v>
      </c>
    </row>
    <row r="3342" spans="1:4">
      <c r="A3342" s="105">
        <v>98290</v>
      </c>
      <c r="B3342" s="104" t="s">
        <v>3455</v>
      </c>
      <c r="C3342" s="104" t="s">
        <v>40</v>
      </c>
      <c r="D3342" s="129" t="s">
        <v>22449</v>
      </c>
    </row>
    <row r="3343" spans="1:4">
      <c r="A3343" s="105">
        <v>98291</v>
      </c>
      <c r="B3343" s="104" t="s">
        <v>3456</v>
      </c>
      <c r="C3343" s="104" t="s">
        <v>40</v>
      </c>
      <c r="D3343" s="129" t="s">
        <v>15756</v>
      </c>
    </row>
    <row r="3344" spans="1:4">
      <c r="A3344" s="105">
        <v>98292</v>
      </c>
      <c r="B3344" s="104" t="s">
        <v>3457</v>
      </c>
      <c r="C3344" s="104" t="s">
        <v>40</v>
      </c>
      <c r="D3344" s="129" t="s">
        <v>22450</v>
      </c>
    </row>
    <row r="3345" spans="1:4">
      <c r="A3345" s="105">
        <v>98293</v>
      </c>
      <c r="B3345" s="104" t="s">
        <v>3458</v>
      </c>
      <c r="C3345" s="104" t="s">
        <v>40</v>
      </c>
      <c r="D3345" s="129" t="s">
        <v>22451</v>
      </c>
    </row>
    <row r="3346" spans="1:4">
      <c r="A3346" s="105">
        <v>98400</v>
      </c>
      <c r="B3346" s="104" t="s">
        <v>3459</v>
      </c>
      <c r="C3346" s="104" t="s">
        <v>40</v>
      </c>
      <c r="D3346" s="129" t="s">
        <v>22452</v>
      </c>
    </row>
    <row r="3347" spans="1:4">
      <c r="A3347" s="105">
        <v>98401</v>
      </c>
      <c r="B3347" s="104" t="s">
        <v>3460</v>
      </c>
      <c r="C3347" s="104" t="s">
        <v>40</v>
      </c>
      <c r="D3347" s="129" t="s">
        <v>18504</v>
      </c>
    </row>
    <row r="3348" spans="1:4">
      <c r="A3348" s="105">
        <v>98402</v>
      </c>
      <c r="B3348" s="104" t="s">
        <v>3461</v>
      </c>
      <c r="C3348" s="104" t="s">
        <v>40</v>
      </c>
      <c r="D3348" s="129" t="s">
        <v>17100</v>
      </c>
    </row>
    <row r="3349" spans="1:4">
      <c r="A3349" s="105">
        <v>100556</v>
      </c>
      <c r="B3349" s="104" t="s">
        <v>3462</v>
      </c>
      <c r="C3349" s="104" t="s">
        <v>183</v>
      </c>
      <c r="D3349" s="129" t="s">
        <v>18932</v>
      </c>
    </row>
    <row r="3350" spans="1:4">
      <c r="A3350" s="105">
        <v>100557</v>
      </c>
      <c r="B3350" s="104" t="s">
        <v>3463</v>
      </c>
      <c r="C3350" s="104" t="s">
        <v>183</v>
      </c>
      <c r="D3350" s="129" t="s">
        <v>22453</v>
      </c>
    </row>
    <row r="3351" spans="1:4">
      <c r="A3351" s="105">
        <v>100560</v>
      </c>
      <c r="B3351" s="104" t="s">
        <v>3464</v>
      </c>
      <c r="C3351" s="104" t="s">
        <v>183</v>
      </c>
      <c r="D3351" s="129" t="s">
        <v>22454</v>
      </c>
    </row>
    <row r="3352" spans="1:4">
      <c r="A3352" s="105">
        <v>100561</v>
      </c>
      <c r="B3352" s="104" t="s">
        <v>3465</v>
      </c>
      <c r="C3352" s="104" t="s">
        <v>183</v>
      </c>
      <c r="D3352" s="129" t="s">
        <v>22455</v>
      </c>
    </row>
    <row r="3353" spans="1:4">
      <c r="A3353" s="105">
        <v>100562</v>
      </c>
      <c r="B3353" s="104" t="s">
        <v>3466</v>
      </c>
      <c r="C3353" s="104" t="s">
        <v>183</v>
      </c>
      <c r="D3353" s="129" t="s">
        <v>22456</v>
      </c>
    </row>
    <row r="3354" spans="1:4">
      <c r="A3354" s="105">
        <v>100563</v>
      </c>
      <c r="B3354" s="104" t="s">
        <v>3467</v>
      </c>
      <c r="C3354" s="104" t="s">
        <v>183</v>
      </c>
      <c r="D3354" s="129" t="s">
        <v>22457</v>
      </c>
    </row>
    <row r="3355" spans="1:4">
      <c r="A3355" s="105">
        <v>101795</v>
      </c>
      <c r="B3355" s="104" t="s">
        <v>3468</v>
      </c>
      <c r="C3355" s="104" t="s">
        <v>183</v>
      </c>
      <c r="D3355" s="129" t="s">
        <v>22458</v>
      </c>
    </row>
    <row r="3356" spans="1:4">
      <c r="A3356" s="105">
        <v>101798</v>
      </c>
      <c r="B3356" s="104" t="s">
        <v>3469</v>
      </c>
      <c r="C3356" s="104" t="s">
        <v>183</v>
      </c>
      <c r="D3356" s="129" t="s">
        <v>22459</v>
      </c>
    </row>
    <row r="3357" spans="1:4">
      <c r="A3357" s="105">
        <v>101799</v>
      </c>
      <c r="B3357" s="104" t="s">
        <v>3470</v>
      </c>
      <c r="C3357" s="104" t="s">
        <v>183</v>
      </c>
      <c r="D3357" s="129" t="s">
        <v>22460</v>
      </c>
    </row>
    <row r="3358" spans="1:4">
      <c r="A3358" s="105">
        <v>98397</v>
      </c>
      <c r="B3358" s="104" t="s">
        <v>3471</v>
      </c>
      <c r="C3358" s="104" t="s">
        <v>12</v>
      </c>
      <c r="D3358" s="129" t="s">
        <v>22461</v>
      </c>
    </row>
    <row r="3359" spans="1:4">
      <c r="A3359" s="105">
        <v>103244</v>
      </c>
      <c r="B3359" s="104" t="s">
        <v>13731</v>
      </c>
      <c r="C3359" s="104" t="s">
        <v>183</v>
      </c>
      <c r="D3359" s="129" t="s">
        <v>22462</v>
      </c>
    </row>
    <row r="3360" spans="1:4">
      <c r="A3360" s="105">
        <v>103245</v>
      </c>
      <c r="B3360" s="104" t="s">
        <v>13732</v>
      </c>
      <c r="C3360" s="104" t="s">
        <v>183</v>
      </c>
      <c r="D3360" s="129" t="s">
        <v>22463</v>
      </c>
    </row>
    <row r="3361" spans="1:4">
      <c r="A3361" s="105">
        <v>103246</v>
      </c>
      <c r="B3361" s="104" t="s">
        <v>13733</v>
      </c>
      <c r="C3361" s="104" t="s">
        <v>183</v>
      </c>
      <c r="D3361" s="129" t="s">
        <v>22464</v>
      </c>
    </row>
    <row r="3362" spans="1:4">
      <c r="A3362" s="105">
        <v>103247</v>
      </c>
      <c r="B3362" s="104" t="s">
        <v>13734</v>
      </c>
      <c r="C3362" s="104" t="s">
        <v>183</v>
      </c>
      <c r="D3362" s="129" t="s">
        <v>22465</v>
      </c>
    </row>
    <row r="3363" spans="1:4">
      <c r="A3363" s="105">
        <v>103248</v>
      </c>
      <c r="B3363" s="104" t="s">
        <v>13735</v>
      </c>
      <c r="C3363" s="104" t="s">
        <v>183</v>
      </c>
      <c r="D3363" s="129" t="s">
        <v>22466</v>
      </c>
    </row>
    <row r="3364" spans="1:4">
      <c r="A3364" s="105">
        <v>103249</v>
      </c>
      <c r="B3364" s="104" t="s">
        <v>13736</v>
      </c>
      <c r="C3364" s="104" t="s">
        <v>183</v>
      </c>
      <c r="D3364" s="129" t="s">
        <v>22467</v>
      </c>
    </row>
    <row r="3365" spans="1:4">
      <c r="A3365" s="105">
        <v>103250</v>
      </c>
      <c r="B3365" s="104" t="s">
        <v>13737</v>
      </c>
      <c r="C3365" s="104" t="s">
        <v>183</v>
      </c>
      <c r="D3365" s="129" t="s">
        <v>22468</v>
      </c>
    </row>
    <row r="3366" spans="1:4">
      <c r="A3366" s="105">
        <v>103251</v>
      </c>
      <c r="B3366" s="104" t="s">
        <v>13738</v>
      </c>
      <c r="C3366" s="104" t="s">
        <v>183</v>
      </c>
      <c r="D3366" s="129" t="s">
        <v>22469</v>
      </c>
    </row>
    <row r="3367" spans="1:4">
      <c r="A3367" s="105">
        <v>103252</v>
      </c>
      <c r="B3367" s="104" t="s">
        <v>13739</v>
      </c>
      <c r="C3367" s="104" t="s">
        <v>183</v>
      </c>
      <c r="D3367" s="129" t="s">
        <v>22470</v>
      </c>
    </row>
    <row r="3368" spans="1:4">
      <c r="A3368" s="105">
        <v>103253</v>
      </c>
      <c r="B3368" s="104" t="s">
        <v>13740</v>
      </c>
      <c r="C3368" s="104" t="s">
        <v>183</v>
      </c>
      <c r="D3368" s="129" t="s">
        <v>22471</v>
      </c>
    </row>
    <row r="3369" spans="1:4">
      <c r="A3369" s="105">
        <v>103254</v>
      </c>
      <c r="B3369" s="104" t="s">
        <v>13741</v>
      </c>
      <c r="C3369" s="104" t="s">
        <v>183</v>
      </c>
      <c r="D3369" s="129" t="s">
        <v>22472</v>
      </c>
    </row>
    <row r="3370" spans="1:4">
      <c r="A3370" s="105">
        <v>103255</v>
      </c>
      <c r="B3370" s="104" t="s">
        <v>13742</v>
      </c>
      <c r="C3370" s="104" t="s">
        <v>183</v>
      </c>
      <c r="D3370" s="129" t="s">
        <v>22473</v>
      </c>
    </row>
    <row r="3371" spans="1:4">
      <c r="A3371" s="105">
        <v>103256</v>
      </c>
      <c r="B3371" s="104" t="s">
        <v>13743</v>
      </c>
      <c r="C3371" s="104" t="s">
        <v>183</v>
      </c>
      <c r="D3371" s="129" t="s">
        <v>22474</v>
      </c>
    </row>
    <row r="3372" spans="1:4">
      <c r="A3372" s="105">
        <v>103257</v>
      </c>
      <c r="B3372" s="104" t="s">
        <v>13744</v>
      </c>
      <c r="C3372" s="104" t="s">
        <v>183</v>
      </c>
      <c r="D3372" s="129" t="s">
        <v>22475</v>
      </c>
    </row>
    <row r="3373" spans="1:4">
      <c r="A3373" s="105">
        <v>103258</v>
      </c>
      <c r="B3373" s="104" t="s">
        <v>13745</v>
      </c>
      <c r="C3373" s="104" t="s">
        <v>183</v>
      </c>
      <c r="D3373" s="129" t="s">
        <v>22476</v>
      </c>
    </row>
    <row r="3374" spans="1:4">
      <c r="A3374" s="105">
        <v>103259</v>
      </c>
      <c r="B3374" s="104" t="s">
        <v>13746</v>
      </c>
      <c r="C3374" s="104" t="s">
        <v>183</v>
      </c>
      <c r="D3374" s="129" t="s">
        <v>22477</v>
      </c>
    </row>
    <row r="3375" spans="1:4">
      <c r="A3375" s="105">
        <v>103260</v>
      </c>
      <c r="B3375" s="104" t="s">
        <v>13747</v>
      </c>
      <c r="C3375" s="104" t="s">
        <v>183</v>
      </c>
      <c r="D3375" s="129" t="s">
        <v>22478</v>
      </c>
    </row>
    <row r="3376" spans="1:4">
      <c r="A3376" s="105">
        <v>103261</v>
      </c>
      <c r="B3376" s="104" t="s">
        <v>13748</v>
      </c>
      <c r="C3376" s="104" t="s">
        <v>183</v>
      </c>
      <c r="D3376" s="129" t="s">
        <v>22479</v>
      </c>
    </row>
    <row r="3377" spans="1:4">
      <c r="A3377" s="105">
        <v>103262</v>
      </c>
      <c r="B3377" s="104" t="s">
        <v>13749</v>
      </c>
      <c r="C3377" s="104" t="s">
        <v>183</v>
      </c>
      <c r="D3377" s="129" t="s">
        <v>22480</v>
      </c>
    </row>
    <row r="3378" spans="1:4">
      <c r="A3378" s="105">
        <v>103263</v>
      </c>
      <c r="B3378" s="104" t="s">
        <v>13750</v>
      </c>
      <c r="C3378" s="104" t="s">
        <v>183</v>
      </c>
      <c r="D3378" s="129" t="s">
        <v>22481</v>
      </c>
    </row>
    <row r="3379" spans="1:4">
      <c r="A3379" s="105">
        <v>103264</v>
      </c>
      <c r="B3379" s="104" t="s">
        <v>13751</v>
      </c>
      <c r="C3379" s="104" t="s">
        <v>183</v>
      </c>
      <c r="D3379" s="129" t="s">
        <v>22482</v>
      </c>
    </row>
    <row r="3380" spans="1:4">
      <c r="A3380" s="105">
        <v>103265</v>
      </c>
      <c r="B3380" s="104" t="s">
        <v>13752</v>
      </c>
      <c r="C3380" s="104" t="s">
        <v>183</v>
      </c>
      <c r="D3380" s="129" t="s">
        <v>22483</v>
      </c>
    </row>
    <row r="3381" spans="1:4">
      <c r="A3381" s="105">
        <v>103266</v>
      </c>
      <c r="B3381" s="104" t="s">
        <v>13753</v>
      </c>
      <c r="C3381" s="104" t="s">
        <v>183</v>
      </c>
      <c r="D3381" s="129" t="s">
        <v>22484</v>
      </c>
    </row>
    <row r="3382" spans="1:4">
      <c r="A3382" s="105">
        <v>103267</v>
      </c>
      <c r="B3382" s="104" t="s">
        <v>13754</v>
      </c>
      <c r="C3382" s="104" t="s">
        <v>183</v>
      </c>
      <c r="D3382" s="129" t="s">
        <v>22485</v>
      </c>
    </row>
    <row r="3383" spans="1:4">
      <c r="A3383" s="105">
        <v>103268</v>
      </c>
      <c r="B3383" s="104" t="s">
        <v>13755</v>
      </c>
      <c r="C3383" s="104" t="s">
        <v>183</v>
      </c>
      <c r="D3383" s="129" t="s">
        <v>22486</v>
      </c>
    </row>
    <row r="3384" spans="1:4">
      <c r="A3384" s="105">
        <v>103269</v>
      </c>
      <c r="B3384" s="104" t="s">
        <v>13756</v>
      </c>
      <c r="C3384" s="104" t="s">
        <v>183</v>
      </c>
      <c r="D3384" s="129" t="s">
        <v>22487</v>
      </c>
    </row>
    <row r="3385" spans="1:4">
      <c r="A3385" s="105">
        <v>103270</v>
      </c>
      <c r="B3385" s="104" t="s">
        <v>13757</v>
      </c>
      <c r="C3385" s="104" t="s">
        <v>183</v>
      </c>
      <c r="D3385" s="129" t="s">
        <v>22488</v>
      </c>
    </row>
    <row r="3386" spans="1:4">
      <c r="A3386" s="105">
        <v>103271</v>
      </c>
      <c r="B3386" s="104" t="s">
        <v>13758</v>
      </c>
      <c r="C3386" s="104" t="s">
        <v>183</v>
      </c>
      <c r="D3386" s="129" t="s">
        <v>22489</v>
      </c>
    </row>
    <row r="3387" spans="1:4">
      <c r="A3387" s="105">
        <v>103272</v>
      </c>
      <c r="B3387" s="104" t="s">
        <v>13759</v>
      </c>
      <c r="C3387" s="104" t="s">
        <v>183</v>
      </c>
      <c r="D3387" s="129" t="s">
        <v>22490</v>
      </c>
    </row>
    <row r="3388" spans="1:4">
      <c r="A3388" s="105">
        <v>103273</v>
      </c>
      <c r="B3388" s="104" t="s">
        <v>13760</v>
      </c>
      <c r="C3388" s="104" t="s">
        <v>183</v>
      </c>
      <c r="D3388" s="129" t="s">
        <v>22491</v>
      </c>
    </row>
    <row r="3389" spans="1:4">
      <c r="A3389" s="105">
        <v>103274</v>
      </c>
      <c r="B3389" s="104" t="s">
        <v>13761</v>
      </c>
      <c r="C3389" s="104" t="s">
        <v>183</v>
      </c>
      <c r="D3389" s="129" t="s">
        <v>22492</v>
      </c>
    </row>
    <row r="3390" spans="1:4">
      <c r="A3390" s="105">
        <v>103275</v>
      </c>
      <c r="B3390" s="104" t="s">
        <v>13762</v>
      </c>
      <c r="C3390" s="104" t="s">
        <v>183</v>
      </c>
      <c r="D3390" s="129" t="s">
        <v>22493</v>
      </c>
    </row>
    <row r="3391" spans="1:4">
      <c r="A3391" s="105">
        <v>103276</v>
      </c>
      <c r="B3391" s="104" t="s">
        <v>13763</v>
      </c>
      <c r="C3391" s="104" t="s">
        <v>183</v>
      </c>
      <c r="D3391" s="129" t="s">
        <v>22494</v>
      </c>
    </row>
    <row r="3392" spans="1:4">
      <c r="A3392" s="105">
        <v>103277</v>
      </c>
      <c r="B3392" s="104" t="s">
        <v>13764</v>
      </c>
      <c r="C3392" s="104" t="s">
        <v>183</v>
      </c>
      <c r="D3392" s="129" t="s">
        <v>22495</v>
      </c>
    </row>
    <row r="3393" spans="1:4">
      <c r="A3393" s="105">
        <v>103278</v>
      </c>
      <c r="B3393" s="104" t="s">
        <v>13765</v>
      </c>
      <c r="C3393" s="104" t="s">
        <v>183</v>
      </c>
      <c r="D3393" s="129" t="s">
        <v>22496</v>
      </c>
    </row>
    <row r="3394" spans="1:4">
      <c r="A3394" s="105">
        <v>103288</v>
      </c>
      <c r="B3394" s="104" t="s">
        <v>13766</v>
      </c>
      <c r="C3394" s="104" t="s">
        <v>183</v>
      </c>
      <c r="D3394" s="129" t="s">
        <v>16972</v>
      </c>
    </row>
    <row r="3395" spans="1:4">
      <c r="A3395" s="105">
        <v>103289</v>
      </c>
      <c r="B3395" s="104" t="s">
        <v>13767</v>
      </c>
      <c r="C3395" s="104" t="s">
        <v>40</v>
      </c>
      <c r="D3395" s="129" t="s">
        <v>22497</v>
      </c>
    </row>
    <row r="3396" spans="1:4">
      <c r="A3396" s="105">
        <v>103290</v>
      </c>
      <c r="B3396" s="104" t="s">
        <v>13768</v>
      </c>
      <c r="C3396" s="104" t="s">
        <v>40</v>
      </c>
      <c r="D3396" s="129" t="s">
        <v>22498</v>
      </c>
    </row>
    <row r="3397" spans="1:4">
      <c r="A3397" s="105">
        <v>103291</v>
      </c>
      <c r="B3397" s="104" t="s">
        <v>13769</v>
      </c>
      <c r="C3397" s="104" t="s">
        <v>40</v>
      </c>
      <c r="D3397" s="129" t="s">
        <v>18187</v>
      </c>
    </row>
    <row r="3398" spans="1:4">
      <c r="A3398" s="105">
        <v>103292</v>
      </c>
      <c r="B3398" s="104" t="s">
        <v>13770</v>
      </c>
      <c r="C3398" s="104" t="s">
        <v>40</v>
      </c>
      <c r="D3398" s="129" t="s">
        <v>22499</v>
      </c>
    </row>
    <row r="3399" spans="1:4">
      <c r="A3399" s="105">
        <v>101936</v>
      </c>
      <c r="B3399" s="104" t="s">
        <v>3472</v>
      </c>
      <c r="C3399" s="104" t="s">
        <v>183</v>
      </c>
      <c r="D3399" s="129" t="s">
        <v>22500</v>
      </c>
    </row>
    <row r="3400" spans="1:4">
      <c r="A3400" s="105">
        <v>101937</v>
      </c>
      <c r="B3400" s="104" t="s">
        <v>3473</v>
      </c>
      <c r="C3400" s="104" t="s">
        <v>183</v>
      </c>
      <c r="D3400" s="129" t="s">
        <v>22501</v>
      </c>
    </row>
    <row r="3401" spans="1:4">
      <c r="A3401" s="105">
        <v>98294</v>
      </c>
      <c r="B3401" s="104" t="s">
        <v>3474</v>
      </c>
      <c r="C3401" s="104" t="s">
        <v>40</v>
      </c>
      <c r="D3401" s="129" t="s">
        <v>20157</v>
      </c>
    </row>
    <row r="3402" spans="1:4">
      <c r="A3402" s="105">
        <v>98295</v>
      </c>
      <c r="B3402" s="104" t="s">
        <v>3475</v>
      </c>
      <c r="C3402" s="104" t="s">
        <v>40</v>
      </c>
      <c r="D3402" s="129" t="s">
        <v>15532</v>
      </c>
    </row>
    <row r="3403" spans="1:4">
      <c r="A3403" s="105">
        <v>98296</v>
      </c>
      <c r="B3403" s="104" t="s">
        <v>3476</v>
      </c>
      <c r="C3403" s="104" t="s">
        <v>40</v>
      </c>
      <c r="D3403" s="129" t="s">
        <v>22060</v>
      </c>
    </row>
    <row r="3404" spans="1:4">
      <c r="A3404" s="105">
        <v>98297</v>
      </c>
      <c r="B3404" s="104" t="s">
        <v>3477</v>
      </c>
      <c r="C3404" s="104" t="s">
        <v>40</v>
      </c>
      <c r="D3404" s="129" t="s">
        <v>17271</v>
      </c>
    </row>
    <row r="3405" spans="1:4">
      <c r="A3405" s="105">
        <v>98301</v>
      </c>
      <c r="B3405" s="104" t="s">
        <v>3478</v>
      </c>
      <c r="C3405" s="104" t="s">
        <v>183</v>
      </c>
      <c r="D3405" s="129" t="s">
        <v>22502</v>
      </c>
    </row>
    <row r="3406" spans="1:4">
      <c r="A3406" s="105">
        <v>98302</v>
      </c>
      <c r="B3406" s="104" t="s">
        <v>3479</v>
      </c>
      <c r="C3406" s="104" t="s">
        <v>183</v>
      </c>
      <c r="D3406" s="129" t="s">
        <v>22503</v>
      </c>
    </row>
    <row r="3407" spans="1:4">
      <c r="A3407" s="105">
        <v>98304</v>
      </c>
      <c r="B3407" s="104" t="s">
        <v>3480</v>
      </c>
      <c r="C3407" s="104" t="s">
        <v>183</v>
      </c>
      <c r="D3407" s="129" t="s">
        <v>22504</v>
      </c>
    </row>
    <row r="3408" spans="1:4">
      <c r="A3408" s="105">
        <v>98307</v>
      </c>
      <c r="B3408" s="104" t="s">
        <v>3481</v>
      </c>
      <c r="C3408" s="104" t="s">
        <v>183</v>
      </c>
      <c r="D3408" s="129" t="s">
        <v>22505</v>
      </c>
    </row>
    <row r="3409" spans="1:4">
      <c r="A3409" s="105">
        <v>98308</v>
      </c>
      <c r="B3409" s="104" t="s">
        <v>3482</v>
      </c>
      <c r="C3409" s="104" t="s">
        <v>183</v>
      </c>
      <c r="D3409" s="129" t="s">
        <v>22316</v>
      </c>
    </row>
    <row r="3410" spans="1:4">
      <c r="A3410" s="105">
        <v>98593</v>
      </c>
      <c r="B3410" s="104" t="s">
        <v>3483</v>
      </c>
      <c r="C3410" s="104" t="s">
        <v>183</v>
      </c>
      <c r="D3410" s="129" t="s">
        <v>22506</v>
      </c>
    </row>
    <row r="3411" spans="1:4">
      <c r="A3411" s="105">
        <v>89355</v>
      </c>
      <c r="B3411" s="104" t="s">
        <v>3484</v>
      </c>
      <c r="C3411" s="104" t="s">
        <v>40</v>
      </c>
      <c r="D3411" s="129" t="s">
        <v>18149</v>
      </c>
    </row>
    <row r="3412" spans="1:4">
      <c r="A3412" s="105">
        <v>89356</v>
      </c>
      <c r="B3412" s="104" t="s">
        <v>3485</v>
      </c>
      <c r="C3412" s="104" t="s">
        <v>40</v>
      </c>
      <c r="D3412" s="129" t="s">
        <v>22507</v>
      </c>
    </row>
    <row r="3413" spans="1:4">
      <c r="A3413" s="105">
        <v>89357</v>
      </c>
      <c r="B3413" s="104" t="s">
        <v>3486</v>
      </c>
      <c r="C3413" s="104" t="s">
        <v>40</v>
      </c>
      <c r="D3413" s="129" t="s">
        <v>14766</v>
      </c>
    </row>
    <row r="3414" spans="1:4">
      <c r="A3414" s="105">
        <v>89401</v>
      </c>
      <c r="B3414" s="104" t="s">
        <v>3487</v>
      </c>
      <c r="C3414" s="104" t="s">
        <v>40</v>
      </c>
      <c r="D3414" s="129" t="s">
        <v>19265</v>
      </c>
    </row>
    <row r="3415" spans="1:4">
      <c r="A3415" s="105">
        <v>89402</v>
      </c>
      <c r="B3415" s="104" t="s">
        <v>3488</v>
      </c>
      <c r="C3415" s="104" t="s">
        <v>40</v>
      </c>
      <c r="D3415" s="129" t="s">
        <v>18123</v>
      </c>
    </row>
    <row r="3416" spans="1:4">
      <c r="A3416" s="105">
        <v>89403</v>
      </c>
      <c r="B3416" s="104" t="s">
        <v>3489</v>
      </c>
      <c r="C3416" s="104" t="s">
        <v>40</v>
      </c>
      <c r="D3416" s="129" t="s">
        <v>20285</v>
      </c>
    </row>
    <row r="3417" spans="1:4">
      <c r="A3417" s="105">
        <v>89446</v>
      </c>
      <c r="B3417" s="104" t="s">
        <v>3490</v>
      </c>
      <c r="C3417" s="104" t="s">
        <v>40</v>
      </c>
      <c r="D3417" s="129" t="s">
        <v>15770</v>
      </c>
    </row>
    <row r="3418" spans="1:4">
      <c r="A3418" s="105">
        <v>89447</v>
      </c>
      <c r="B3418" s="104" t="s">
        <v>3491</v>
      </c>
      <c r="C3418" s="104" t="s">
        <v>40</v>
      </c>
      <c r="D3418" s="129" t="s">
        <v>18100</v>
      </c>
    </row>
    <row r="3419" spans="1:4">
      <c r="A3419" s="105">
        <v>89448</v>
      </c>
      <c r="B3419" s="104" t="s">
        <v>3492</v>
      </c>
      <c r="C3419" s="104" t="s">
        <v>40</v>
      </c>
      <c r="D3419" s="129" t="s">
        <v>22508</v>
      </c>
    </row>
    <row r="3420" spans="1:4">
      <c r="A3420" s="105">
        <v>89449</v>
      </c>
      <c r="B3420" s="104" t="s">
        <v>3493</v>
      </c>
      <c r="C3420" s="104" t="s">
        <v>40</v>
      </c>
      <c r="D3420" s="129" t="s">
        <v>22509</v>
      </c>
    </row>
    <row r="3421" spans="1:4">
      <c r="A3421" s="105">
        <v>89450</v>
      </c>
      <c r="B3421" s="104" t="s">
        <v>3494</v>
      </c>
      <c r="C3421" s="104" t="s">
        <v>40</v>
      </c>
      <c r="D3421" s="129" t="s">
        <v>18638</v>
      </c>
    </row>
    <row r="3422" spans="1:4">
      <c r="A3422" s="105">
        <v>89451</v>
      </c>
      <c r="B3422" s="104" t="s">
        <v>3495</v>
      </c>
      <c r="C3422" s="104" t="s">
        <v>40</v>
      </c>
      <c r="D3422" s="129" t="s">
        <v>20923</v>
      </c>
    </row>
    <row r="3423" spans="1:4">
      <c r="A3423" s="105">
        <v>89452</v>
      </c>
      <c r="B3423" s="104" t="s">
        <v>3496</v>
      </c>
      <c r="C3423" s="104" t="s">
        <v>40</v>
      </c>
      <c r="D3423" s="129" t="s">
        <v>22510</v>
      </c>
    </row>
    <row r="3424" spans="1:4">
      <c r="A3424" s="105">
        <v>89508</v>
      </c>
      <c r="B3424" s="104" t="s">
        <v>3497</v>
      </c>
      <c r="C3424" s="104" t="s">
        <v>40</v>
      </c>
      <c r="D3424" s="129" t="s">
        <v>22511</v>
      </c>
    </row>
    <row r="3425" spans="1:4">
      <c r="A3425" s="105">
        <v>89509</v>
      </c>
      <c r="B3425" s="104" t="s">
        <v>3498</v>
      </c>
      <c r="C3425" s="104" t="s">
        <v>40</v>
      </c>
      <c r="D3425" s="129" t="s">
        <v>22512</v>
      </c>
    </row>
    <row r="3426" spans="1:4">
      <c r="A3426" s="105">
        <v>89511</v>
      </c>
      <c r="B3426" s="104" t="s">
        <v>3499</v>
      </c>
      <c r="C3426" s="104" t="s">
        <v>40</v>
      </c>
      <c r="D3426" s="129" t="s">
        <v>22513</v>
      </c>
    </row>
    <row r="3427" spans="1:4">
      <c r="A3427" s="105">
        <v>89512</v>
      </c>
      <c r="B3427" s="104" t="s">
        <v>3500</v>
      </c>
      <c r="C3427" s="104" t="s">
        <v>40</v>
      </c>
      <c r="D3427" s="129" t="s">
        <v>22514</v>
      </c>
    </row>
    <row r="3428" spans="1:4">
      <c r="A3428" s="105">
        <v>89576</v>
      </c>
      <c r="B3428" s="104" t="s">
        <v>3501</v>
      </c>
      <c r="C3428" s="104" t="s">
        <v>40</v>
      </c>
      <c r="D3428" s="129" t="s">
        <v>22515</v>
      </c>
    </row>
    <row r="3429" spans="1:4">
      <c r="A3429" s="105">
        <v>89578</v>
      </c>
      <c r="B3429" s="104" t="s">
        <v>3502</v>
      </c>
      <c r="C3429" s="104" t="s">
        <v>40</v>
      </c>
      <c r="D3429" s="129" t="s">
        <v>22516</v>
      </c>
    </row>
    <row r="3430" spans="1:4">
      <c r="A3430" s="105">
        <v>89580</v>
      </c>
      <c r="B3430" s="104" t="s">
        <v>3503</v>
      </c>
      <c r="C3430" s="104" t="s">
        <v>40</v>
      </c>
      <c r="D3430" s="129" t="s">
        <v>22517</v>
      </c>
    </row>
    <row r="3431" spans="1:4">
      <c r="A3431" s="105">
        <v>89633</v>
      </c>
      <c r="B3431" s="104" t="s">
        <v>3504</v>
      </c>
      <c r="C3431" s="104" t="s">
        <v>40</v>
      </c>
      <c r="D3431" s="129" t="s">
        <v>15506</v>
      </c>
    </row>
    <row r="3432" spans="1:4">
      <c r="A3432" s="105">
        <v>89634</v>
      </c>
      <c r="B3432" s="104" t="s">
        <v>3505</v>
      </c>
      <c r="C3432" s="104" t="s">
        <v>40</v>
      </c>
      <c r="D3432" s="129" t="s">
        <v>14768</v>
      </c>
    </row>
    <row r="3433" spans="1:4">
      <c r="A3433" s="105">
        <v>89635</v>
      </c>
      <c r="B3433" s="104" t="s">
        <v>3506</v>
      </c>
      <c r="C3433" s="104" t="s">
        <v>40</v>
      </c>
      <c r="D3433" s="129" t="s">
        <v>22518</v>
      </c>
    </row>
    <row r="3434" spans="1:4">
      <c r="A3434" s="105">
        <v>89636</v>
      </c>
      <c r="B3434" s="104" t="s">
        <v>3507</v>
      </c>
      <c r="C3434" s="104" t="s">
        <v>40</v>
      </c>
      <c r="D3434" s="129" t="s">
        <v>22519</v>
      </c>
    </row>
    <row r="3435" spans="1:4">
      <c r="A3435" s="105">
        <v>89711</v>
      </c>
      <c r="B3435" s="104" t="s">
        <v>3508</v>
      </c>
      <c r="C3435" s="104" t="s">
        <v>40</v>
      </c>
      <c r="D3435" s="129" t="s">
        <v>22520</v>
      </c>
    </row>
    <row r="3436" spans="1:4">
      <c r="A3436" s="105">
        <v>89712</v>
      </c>
      <c r="B3436" s="104" t="s">
        <v>169</v>
      </c>
      <c r="C3436" s="104" t="s">
        <v>40</v>
      </c>
      <c r="D3436" s="129" t="s">
        <v>22521</v>
      </c>
    </row>
    <row r="3437" spans="1:4">
      <c r="A3437" s="105">
        <v>89713</v>
      </c>
      <c r="B3437" s="104" t="s">
        <v>170</v>
      </c>
      <c r="C3437" s="104" t="s">
        <v>40</v>
      </c>
      <c r="D3437" s="129" t="s">
        <v>22522</v>
      </c>
    </row>
    <row r="3438" spans="1:4">
      <c r="A3438" s="105">
        <v>89714</v>
      </c>
      <c r="B3438" s="104" t="s">
        <v>171</v>
      </c>
      <c r="C3438" s="104" t="s">
        <v>40</v>
      </c>
      <c r="D3438" s="129" t="s">
        <v>22523</v>
      </c>
    </row>
    <row r="3439" spans="1:4">
      <c r="A3439" s="105">
        <v>89716</v>
      </c>
      <c r="B3439" s="104" t="s">
        <v>3509</v>
      </c>
      <c r="C3439" s="104" t="s">
        <v>40</v>
      </c>
      <c r="D3439" s="129" t="s">
        <v>22524</v>
      </c>
    </row>
    <row r="3440" spans="1:4">
      <c r="A3440" s="105">
        <v>89717</v>
      </c>
      <c r="B3440" s="104" t="s">
        <v>3510</v>
      </c>
      <c r="C3440" s="104" t="s">
        <v>40</v>
      </c>
      <c r="D3440" s="129" t="s">
        <v>19079</v>
      </c>
    </row>
    <row r="3441" spans="1:4">
      <c r="A3441" s="105">
        <v>89770</v>
      </c>
      <c r="B3441" s="104" t="s">
        <v>3511</v>
      </c>
      <c r="C3441" s="104" t="s">
        <v>40</v>
      </c>
      <c r="D3441" s="129" t="s">
        <v>18428</v>
      </c>
    </row>
    <row r="3442" spans="1:4">
      <c r="A3442" s="105">
        <v>89771</v>
      </c>
      <c r="B3442" s="104" t="s">
        <v>3512</v>
      </c>
      <c r="C3442" s="104" t="s">
        <v>40</v>
      </c>
      <c r="D3442" s="129" t="s">
        <v>22525</v>
      </c>
    </row>
    <row r="3443" spans="1:4">
      <c r="A3443" s="105">
        <v>89773</v>
      </c>
      <c r="B3443" s="104" t="s">
        <v>3513</v>
      </c>
      <c r="C3443" s="104" t="s">
        <v>40</v>
      </c>
      <c r="D3443" s="129" t="s">
        <v>22526</v>
      </c>
    </row>
    <row r="3444" spans="1:4">
      <c r="A3444" s="105">
        <v>89775</v>
      </c>
      <c r="B3444" s="104" t="s">
        <v>3514</v>
      </c>
      <c r="C3444" s="104" t="s">
        <v>40</v>
      </c>
      <c r="D3444" s="129" t="s">
        <v>22527</v>
      </c>
    </row>
    <row r="3445" spans="1:4">
      <c r="A3445" s="105">
        <v>89798</v>
      </c>
      <c r="B3445" s="104" t="s">
        <v>3515</v>
      </c>
      <c r="C3445" s="104" t="s">
        <v>40</v>
      </c>
      <c r="D3445" s="129" t="s">
        <v>19580</v>
      </c>
    </row>
    <row r="3446" spans="1:4">
      <c r="A3446" s="105">
        <v>89799</v>
      </c>
      <c r="B3446" s="104" t="s">
        <v>3516</v>
      </c>
      <c r="C3446" s="104" t="s">
        <v>40</v>
      </c>
      <c r="D3446" s="129" t="s">
        <v>21984</v>
      </c>
    </row>
    <row r="3447" spans="1:4">
      <c r="A3447" s="105">
        <v>89800</v>
      </c>
      <c r="B3447" s="104" t="s">
        <v>3517</v>
      </c>
      <c r="C3447" s="104" t="s">
        <v>40</v>
      </c>
      <c r="D3447" s="129" t="s">
        <v>22528</v>
      </c>
    </row>
    <row r="3448" spans="1:4">
      <c r="A3448" s="105">
        <v>89848</v>
      </c>
      <c r="B3448" s="104" t="s">
        <v>3518</v>
      </c>
      <c r="C3448" s="104" t="s">
        <v>40</v>
      </c>
      <c r="D3448" s="129" t="s">
        <v>22529</v>
      </c>
    </row>
    <row r="3449" spans="1:4">
      <c r="A3449" s="105">
        <v>89849</v>
      </c>
      <c r="B3449" s="104" t="s">
        <v>3519</v>
      </c>
      <c r="C3449" s="104" t="s">
        <v>40</v>
      </c>
      <c r="D3449" s="129" t="s">
        <v>22530</v>
      </c>
    </row>
    <row r="3450" spans="1:4">
      <c r="A3450" s="105">
        <v>89865</v>
      </c>
      <c r="B3450" s="104" t="s">
        <v>3520</v>
      </c>
      <c r="C3450" s="104" t="s">
        <v>40</v>
      </c>
      <c r="D3450" s="129" t="s">
        <v>22531</v>
      </c>
    </row>
    <row r="3451" spans="1:4">
      <c r="A3451" s="105">
        <v>91784</v>
      </c>
      <c r="B3451" s="104" t="s">
        <v>3521</v>
      </c>
      <c r="C3451" s="104" t="s">
        <v>40</v>
      </c>
      <c r="D3451" s="129" t="s">
        <v>18461</v>
      </c>
    </row>
    <row r="3452" spans="1:4">
      <c r="A3452" s="105">
        <v>91785</v>
      </c>
      <c r="B3452" s="104" t="s">
        <v>3522</v>
      </c>
      <c r="C3452" s="104" t="s">
        <v>40</v>
      </c>
      <c r="D3452" s="129" t="s">
        <v>22532</v>
      </c>
    </row>
    <row r="3453" spans="1:4">
      <c r="A3453" s="105">
        <v>91786</v>
      </c>
      <c r="B3453" s="104" t="s">
        <v>3523</v>
      </c>
      <c r="C3453" s="104" t="s">
        <v>40</v>
      </c>
      <c r="D3453" s="129" t="s">
        <v>22533</v>
      </c>
    </row>
    <row r="3454" spans="1:4">
      <c r="A3454" s="105">
        <v>91787</v>
      </c>
      <c r="B3454" s="104" t="s">
        <v>3524</v>
      </c>
      <c r="C3454" s="104" t="s">
        <v>40</v>
      </c>
      <c r="D3454" s="129" t="s">
        <v>17804</v>
      </c>
    </row>
    <row r="3455" spans="1:4">
      <c r="A3455" s="105">
        <v>91788</v>
      </c>
      <c r="B3455" s="104" t="s">
        <v>3525</v>
      </c>
      <c r="C3455" s="104" t="s">
        <v>40</v>
      </c>
      <c r="D3455" s="129" t="s">
        <v>22534</v>
      </c>
    </row>
    <row r="3456" spans="1:4">
      <c r="A3456" s="105">
        <v>91789</v>
      </c>
      <c r="B3456" s="104" t="s">
        <v>3526</v>
      </c>
      <c r="C3456" s="104" t="s">
        <v>40</v>
      </c>
      <c r="D3456" s="129" t="s">
        <v>17820</v>
      </c>
    </row>
    <row r="3457" spans="1:4">
      <c r="A3457" s="105">
        <v>91790</v>
      </c>
      <c r="B3457" s="104" t="s">
        <v>3527</v>
      </c>
      <c r="C3457" s="104" t="s">
        <v>40</v>
      </c>
      <c r="D3457" s="129" t="s">
        <v>22535</v>
      </c>
    </row>
    <row r="3458" spans="1:4">
      <c r="A3458" s="105">
        <v>91791</v>
      </c>
      <c r="B3458" s="104" t="s">
        <v>3528</v>
      </c>
      <c r="C3458" s="104" t="s">
        <v>40</v>
      </c>
      <c r="D3458" s="129" t="s">
        <v>22536</v>
      </c>
    </row>
    <row r="3459" spans="1:4">
      <c r="A3459" s="105">
        <v>91792</v>
      </c>
      <c r="B3459" s="104" t="s">
        <v>3529</v>
      </c>
      <c r="C3459" s="104" t="s">
        <v>40</v>
      </c>
      <c r="D3459" s="129" t="s">
        <v>22537</v>
      </c>
    </row>
    <row r="3460" spans="1:4">
      <c r="A3460" s="105">
        <v>91793</v>
      </c>
      <c r="B3460" s="104" t="s">
        <v>3530</v>
      </c>
      <c r="C3460" s="104" t="s">
        <v>40</v>
      </c>
      <c r="D3460" s="129" t="s">
        <v>22538</v>
      </c>
    </row>
    <row r="3461" spans="1:4">
      <c r="A3461" s="105">
        <v>91794</v>
      </c>
      <c r="B3461" s="104" t="s">
        <v>3531</v>
      </c>
      <c r="C3461" s="104" t="s">
        <v>40</v>
      </c>
      <c r="D3461" s="129" t="s">
        <v>15700</v>
      </c>
    </row>
    <row r="3462" spans="1:4">
      <c r="A3462" s="105">
        <v>91795</v>
      </c>
      <c r="B3462" s="104" t="s">
        <v>3532</v>
      </c>
      <c r="C3462" s="104" t="s">
        <v>40</v>
      </c>
      <c r="D3462" s="129" t="s">
        <v>22539</v>
      </c>
    </row>
    <row r="3463" spans="1:4">
      <c r="A3463" s="105">
        <v>91796</v>
      </c>
      <c r="B3463" s="104" t="s">
        <v>3533</v>
      </c>
      <c r="C3463" s="104" t="s">
        <v>40</v>
      </c>
      <c r="D3463" s="129" t="s">
        <v>22540</v>
      </c>
    </row>
    <row r="3464" spans="1:4">
      <c r="A3464" s="105">
        <v>92275</v>
      </c>
      <c r="B3464" s="104" t="s">
        <v>3534</v>
      </c>
      <c r="C3464" s="104" t="s">
        <v>40</v>
      </c>
      <c r="D3464" s="129" t="s">
        <v>18615</v>
      </c>
    </row>
    <row r="3465" spans="1:4">
      <c r="A3465" s="105">
        <v>92276</v>
      </c>
      <c r="B3465" s="104" t="s">
        <v>3535</v>
      </c>
      <c r="C3465" s="104" t="s">
        <v>40</v>
      </c>
      <c r="D3465" s="129" t="s">
        <v>22541</v>
      </c>
    </row>
    <row r="3466" spans="1:4">
      <c r="A3466" s="105">
        <v>92277</v>
      </c>
      <c r="B3466" s="104" t="s">
        <v>3536</v>
      </c>
      <c r="C3466" s="104" t="s">
        <v>40</v>
      </c>
      <c r="D3466" s="129" t="s">
        <v>22542</v>
      </c>
    </row>
    <row r="3467" spans="1:4">
      <c r="A3467" s="105">
        <v>92278</v>
      </c>
      <c r="B3467" s="104" t="s">
        <v>3537</v>
      </c>
      <c r="C3467" s="104" t="s">
        <v>40</v>
      </c>
      <c r="D3467" s="129" t="s">
        <v>22543</v>
      </c>
    </row>
    <row r="3468" spans="1:4">
      <c r="A3468" s="105">
        <v>92279</v>
      </c>
      <c r="B3468" s="104" t="s">
        <v>3538</v>
      </c>
      <c r="C3468" s="104" t="s">
        <v>40</v>
      </c>
      <c r="D3468" s="129" t="s">
        <v>22544</v>
      </c>
    </row>
    <row r="3469" spans="1:4">
      <c r="A3469" s="105">
        <v>92280</v>
      </c>
      <c r="B3469" s="104" t="s">
        <v>3539</v>
      </c>
      <c r="C3469" s="104" t="s">
        <v>40</v>
      </c>
      <c r="D3469" s="129" t="s">
        <v>22545</v>
      </c>
    </row>
    <row r="3470" spans="1:4">
      <c r="A3470" s="105">
        <v>92281</v>
      </c>
      <c r="B3470" s="104" t="s">
        <v>3540</v>
      </c>
      <c r="C3470" s="104" t="s">
        <v>40</v>
      </c>
      <c r="D3470" s="129" t="s">
        <v>22546</v>
      </c>
    </row>
    <row r="3471" spans="1:4">
      <c r="A3471" s="105">
        <v>92282</v>
      </c>
      <c r="B3471" s="104" t="s">
        <v>3541</v>
      </c>
      <c r="C3471" s="104" t="s">
        <v>40</v>
      </c>
      <c r="D3471" s="129" t="s">
        <v>22547</v>
      </c>
    </row>
    <row r="3472" spans="1:4">
      <c r="A3472" s="105">
        <v>92283</v>
      </c>
      <c r="B3472" s="104" t="s">
        <v>3542</v>
      </c>
      <c r="C3472" s="104" t="s">
        <v>40</v>
      </c>
      <c r="D3472" s="129" t="s">
        <v>22548</v>
      </c>
    </row>
    <row r="3473" spans="1:4">
      <c r="A3473" s="105">
        <v>92284</v>
      </c>
      <c r="B3473" s="104" t="s">
        <v>3543</v>
      </c>
      <c r="C3473" s="104" t="s">
        <v>40</v>
      </c>
      <c r="D3473" s="129" t="s">
        <v>22549</v>
      </c>
    </row>
    <row r="3474" spans="1:4">
      <c r="A3474" s="105">
        <v>92285</v>
      </c>
      <c r="B3474" s="104" t="s">
        <v>3544</v>
      </c>
      <c r="C3474" s="104" t="s">
        <v>40</v>
      </c>
      <c r="D3474" s="129" t="s">
        <v>17628</v>
      </c>
    </row>
    <row r="3475" spans="1:4">
      <c r="A3475" s="105">
        <v>92286</v>
      </c>
      <c r="B3475" s="104" t="s">
        <v>3545</v>
      </c>
      <c r="C3475" s="104" t="s">
        <v>40</v>
      </c>
      <c r="D3475" s="129" t="s">
        <v>22550</v>
      </c>
    </row>
    <row r="3476" spans="1:4">
      <c r="A3476" s="105">
        <v>92305</v>
      </c>
      <c r="B3476" s="104" t="s">
        <v>3546</v>
      </c>
      <c r="C3476" s="104" t="s">
        <v>40</v>
      </c>
      <c r="D3476" s="129" t="s">
        <v>22551</v>
      </c>
    </row>
    <row r="3477" spans="1:4">
      <c r="A3477" s="105">
        <v>92306</v>
      </c>
      <c r="B3477" s="104" t="s">
        <v>3547</v>
      </c>
      <c r="C3477" s="104" t="s">
        <v>40</v>
      </c>
      <c r="D3477" s="129" t="s">
        <v>22552</v>
      </c>
    </row>
    <row r="3478" spans="1:4">
      <c r="A3478" s="105">
        <v>92307</v>
      </c>
      <c r="B3478" s="104" t="s">
        <v>3548</v>
      </c>
      <c r="C3478" s="104" t="s">
        <v>40</v>
      </c>
      <c r="D3478" s="129" t="s">
        <v>22553</v>
      </c>
    </row>
    <row r="3479" spans="1:4">
      <c r="A3479" s="105">
        <v>92308</v>
      </c>
      <c r="B3479" s="104" t="s">
        <v>3549</v>
      </c>
      <c r="C3479" s="104" t="s">
        <v>40</v>
      </c>
      <c r="D3479" s="129" t="s">
        <v>22554</v>
      </c>
    </row>
    <row r="3480" spans="1:4">
      <c r="A3480" s="105">
        <v>92309</v>
      </c>
      <c r="B3480" s="104" t="s">
        <v>3550</v>
      </c>
      <c r="C3480" s="104" t="s">
        <v>40</v>
      </c>
      <c r="D3480" s="129" t="s">
        <v>22555</v>
      </c>
    </row>
    <row r="3481" spans="1:4">
      <c r="A3481" s="105">
        <v>92310</v>
      </c>
      <c r="B3481" s="104" t="s">
        <v>3551</v>
      </c>
      <c r="C3481" s="104" t="s">
        <v>40</v>
      </c>
      <c r="D3481" s="129" t="s">
        <v>22556</v>
      </c>
    </row>
    <row r="3482" spans="1:4">
      <c r="A3482" s="105">
        <v>92320</v>
      </c>
      <c r="B3482" s="104" t="s">
        <v>3552</v>
      </c>
      <c r="C3482" s="104" t="s">
        <v>40</v>
      </c>
      <c r="D3482" s="129" t="s">
        <v>22557</v>
      </c>
    </row>
    <row r="3483" spans="1:4">
      <c r="A3483" s="105">
        <v>92321</v>
      </c>
      <c r="B3483" s="104" t="s">
        <v>3553</v>
      </c>
      <c r="C3483" s="104" t="s">
        <v>40</v>
      </c>
      <c r="D3483" s="129" t="s">
        <v>22558</v>
      </c>
    </row>
    <row r="3484" spans="1:4">
      <c r="A3484" s="105">
        <v>92322</v>
      </c>
      <c r="B3484" s="104" t="s">
        <v>3554</v>
      </c>
      <c r="C3484" s="104" t="s">
        <v>40</v>
      </c>
      <c r="D3484" s="129" t="s">
        <v>22559</v>
      </c>
    </row>
    <row r="3485" spans="1:4">
      <c r="A3485" s="105">
        <v>92323</v>
      </c>
      <c r="B3485" s="104" t="s">
        <v>3555</v>
      </c>
      <c r="C3485" s="104" t="s">
        <v>40</v>
      </c>
      <c r="D3485" s="129" t="s">
        <v>19748</v>
      </c>
    </row>
    <row r="3486" spans="1:4">
      <c r="A3486" s="105">
        <v>92324</v>
      </c>
      <c r="B3486" s="104" t="s">
        <v>3556</v>
      </c>
      <c r="C3486" s="104" t="s">
        <v>40</v>
      </c>
      <c r="D3486" s="129" t="s">
        <v>22560</v>
      </c>
    </row>
    <row r="3487" spans="1:4">
      <c r="A3487" s="105">
        <v>92325</v>
      </c>
      <c r="B3487" s="104" t="s">
        <v>3557</v>
      </c>
      <c r="C3487" s="104" t="s">
        <v>40</v>
      </c>
      <c r="D3487" s="129" t="s">
        <v>22561</v>
      </c>
    </row>
    <row r="3488" spans="1:4">
      <c r="A3488" s="105">
        <v>92335</v>
      </c>
      <c r="B3488" s="104" t="s">
        <v>3558</v>
      </c>
      <c r="C3488" s="104" t="s">
        <v>40</v>
      </c>
      <c r="D3488" s="129" t="s">
        <v>22562</v>
      </c>
    </row>
    <row r="3489" spans="1:4">
      <c r="A3489" s="105">
        <v>92336</v>
      </c>
      <c r="B3489" s="104" t="s">
        <v>3559</v>
      </c>
      <c r="C3489" s="104" t="s">
        <v>40</v>
      </c>
      <c r="D3489" s="129" t="s">
        <v>22563</v>
      </c>
    </row>
    <row r="3490" spans="1:4">
      <c r="A3490" s="105">
        <v>92337</v>
      </c>
      <c r="B3490" s="104" t="s">
        <v>3560</v>
      </c>
      <c r="C3490" s="104" t="s">
        <v>40</v>
      </c>
      <c r="D3490" s="129" t="s">
        <v>22564</v>
      </c>
    </row>
    <row r="3491" spans="1:4">
      <c r="A3491" s="105">
        <v>92338</v>
      </c>
      <c r="B3491" s="104" t="s">
        <v>3561</v>
      </c>
      <c r="C3491" s="104" t="s">
        <v>40</v>
      </c>
      <c r="D3491" s="129" t="s">
        <v>22565</v>
      </c>
    </row>
    <row r="3492" spans="1:4">
      <c r="A3492" s="105">
        <v>92339</v>
      </c>
      <c r="B3492" s="104" t="s">
        <v>3562</v>
      </c>
      <c r="C3492" s="104" t="s">
        <v>40</v>
      </c>
      <c r="D3492" s="129" t="s">
        <v>15120</v>
      </c>
    </row>
    <row r="3493" spans="1:4">
      <c r="A3493" s="105">
        <v>92341</v>
      </c>
      <c r="B3493" s="104" t="s">
        <v>3563</v>
      </c>
      <c r="C3493" s="104" t="s">
        <v>40</v>
      </c>
      <c r="D3493" s="129" t="s">
        <v>22566</v>
      </c>
    </row>
    <row r="3494" spans="1:4">
      <c r="A3494" s="105">
        <v>92342</v>
      </c>
      <c r="B3494" s="104" t="s">
        <v>3564</v>
      </c>
      <c r="C3494" s="104" t="s">
        <v>40</v>
      </c>
      <c r="D3494" s="129" t="s">
        <v>22567</v>
      </c>
    </row>
    <row r="3495" spans="1:4">
      <c r="A3495" s="105">
        <v>92343</v>
      </c>
      <c r="B3495" s="104" t="s">
        <v>3565</v>
      </c>
      <c r="C3495" s="104" t="s">
        <v>40</v>
      </c>
      <c r="D3495" s="129" t="s">
        <v>22568</v>
      </c>
    </row>
    <row r="3496" spans="1:4">
      <c r="A3496" s="105">
        <v>92359</v>
      </c>
      <c r="B3496" s="104" t="s">
        <v>3566</v>
      </c>
      <c r="C3496" s="104" t="s">
        <v>40</v>
      </c>
      <c r="D3496" s="129" t="s">
        <v>14839</v>
      </c>
    </row>
    <row r="3497" spans="1:4">
      <c r="A3497" s="105">
        <v>92360</v>
      </c>
      <c r="B3497" s="104" t="s">
        <v>3567</v>
      </c>
      <c r="C3497" s="104" t="s">
        <v>40</v>
      </c>
      <c r="D3497" s="129" t="s">
        <v>22569</v>
      </c>
    </row>
    <row r="3498" spans="1:4">
      <c r="A3498" s="105">
        <v>92361</v>
      </c>
      <c r="B3498" s="104" t="s">
        <v>3568</v>
      </c>
      <c r="C3498" s="104" t="s">
        <v>40</v>
      </c>
      <c r="D3498" s="129" t="s">
        <v>22570</v>
      </c>
    </row>
    <row r="3499" spans="1:4">
      <c r="A3499" s="105">
        <v>92362</v>
      </c>
      <c r="B3499" s="104" t="s">
        <v>3569</v>
      </c>
      <c r="C3499" s="104" t="s">
        <v>40</v>
      </c>
      <c r="D3499" s="129" t="s">
        <v>22571</v>
      </c>
    </row>
    <row r="3500" spans="1:4">
      <c r="A3500" s="105">
        <v>92364</v>
      </c>
      <c r="B3500" s="104" t="s">
        <v>3570</v>
      </c>
      <c r="C3500" s="104" t="s">
        <v>40</v>
      </c>
      <c r="D3500" s="129" t="s">
        <v>22572</v>
      </c>
    </row>
    <row r="3501" spans="1:4">
      <c r="A3501" s="105">
        <v>92365</v>
      </c>
      <c r="B3501" s="104" t="s">
        <v>3571</v>
      </c>
      <c r="C3501" s="104" t="s">
        <v>40</v>
      </c>
      <c r="D3501" s="129" t="s">
        <v>22573</v>
      </c>
    </row>
    <row r="3502" spans="1:4">
      <c r="A3502" s="105">
        <v>92366</v>
      </c>
      <c r="B3502" s="104" t="s">
        <v>3572</v>
      </c>
      <c r="C3502" s="104" t="s">
        <v>40</v>
      </c>
      <c r="D3502" s="129" t="s">
        <v>22574</v>
      </c>
    </row>
    <row r="3503" spans="1:4">
      <c r="A3503" s="105">
        <v>92367</v>
      </c>
      <c r="B3503" s="104" t="s">
        <v>3573</v>
      </c>
      <c r="C3503" s="104" t="s">
        <v>40</v>
      </c>
      <c r="D3503" s="129" t="s">
        <v>22575</v>
      </c>
    </row>
    <row r="3504" spans="1:4">
      <c r="A3504" s="105">
        <v>92368</v>
      </c>
      <c r="B3504" s="104" t="s">
        <v>3574</v>
      </c>
      <c r="C3504" s="104" t="s">
        <v>40</v>
      </c>
      <c r="D3504" s="129" t="s">
        <v>22576</v>
      </c>
    </row>
    <row r="3505" spans="1:4">
      <c r="A3505" s="105">
        <v>92645</v>
      </c>
      <c r="B3505" s="104" t="s">
        <v>3575</v>
      </c>
      <c r="C3505" s="104" t="s">
        <v>40</v>
      </c>
      <c r="D3505" s="129" t="s">
        <v>22577</v>
      </c>
    </row>
    <row r="3506" spans="1:4">
      <c r="A3506" s="105">
        <v>92646</v>
      </c>
      <c r="B3506" s="104" t="s">
        <v>3576</v>
      </c>
      <c r="C3506" s="104" t="s">
        <v>40</v>
      </c>
      <c r="D3506" s="129" t="s">
        <v>22578</v>
      </c>
    </row>
    <row r="3507" spans="1:4">
      <c r="A3507" s="105">
        <v>92648</v>
      </c>
      <c r="B3507" s="104" t="s">
        <v>3577</v>
      </c>
      <c r="C3507" s="104" t="s">
        <v>40</v>
      </c>
      <c r="D3507" s="129" t="s">
        <v>22579</v>
      </c>
    </row>
    <row r="3508" spans="1:4">
      <c r="A3508" s="105">
        <v>92649</v>
      </c>
      <c r="B3508" s="104" t="s">
        <v>3578</v>
      </c>
      <c r="C3508" s="104" t="s">
        <v>40</v>
      </c>
      <c r="D3508" s="129" t="s">
        <v>16730</v>
      </c>
    </row>
    <row r="3509" spans="1:4">
      <c r="A3509" s="105">
        <v>92650</v>
      </c>
      <c r="B3509" s="104" t="s">
        <v>3579</v>
      </c>
      <c r="C3509" s="104" t="s">
        <v>40</v>
      </c>
      <c r="D3509" s="129" t="s">
        <v>22580</v>
      </c>
    </row>
    <row r="3510" spans="1:4">
      <c r="A3510" s="105">
        <v>92652</v>
      </c>
      <c r="B3510" s="104" t="s">
        <v>3580</v>
      </c>
      <c r="C3510" s="104" t="s">
        <v>40</v>
      </c>
      <c r="D3510" s="129" t="s">
        <v>22581</v>
      </c>
    </row>
    <row r="3511" spans="1:4">
      <c r="A3511" s="105">
        <v>92653</v>
      </c>
      <c r="B3511" s="104" t="s">
        <v>3581</v>
      </c>
      <c r="C3511" s="104" t="s">
        <v>40</v>
      </c>
      <c r="D3511" s="129" t="s">
        <v>22582</v>
      </c>
    </row>
    <row r="3512" spans="1:4">
      <c r="A3512" s="105">
        <v>92654</v>
      </c>
      <c r="B3512" s="104" t="s">
        <v>3582</v>
      </c>
      <c r="C3512" s="104" t="s">
        <v>40</v>
      </c>
      <c r="D3512" s="129" t="s">
        <v>22583</v>
      </c>
    </row>
    <row r="3513" spans="1:4">
      <c r="A3513" s="105">
        <v>92655</v>
      </c>
      <c r="B3513" s="104" t="s">
        <v>3583</v>
      </c>
      <c r="C3513" s="104" t="s">
        <v>40</v>
      </c>
      <c r="D3513" s="129" t="s">
        <v>22584</v>
      </c>
    </row>
    <row r="3514" spans="1:4">
      <c r="A3514" s="105">
        <v>92656</v>
      </c>
      <c r="B3514" s="104" t="s">
        <v>3584</v>
      </c>
      <c r="C3514" s="104" t="s">
        <v>40</v>
      </c>
      <c r="D3514" s="129" t="s">
        <v>22585</v>
      </c>
    </row>
    <row r="3515" spans="1:4">
      <c r="A3515" s="105">
        <v>92687</v>
      </c>
      <c r="B3515" s="104" t="s">
        <v>3585</v>
      </c>
      <c r="C3515" s="104" t="s">
        <v>40</v>
      </c>
      <c r="D3515" s="129" t="s">
        <v>14877</v>
      </c>
    </row>
    <row r="3516" spans="1:4">
      <c r="A3516" s="105">
        <v>92688</v>
      </c>
      <c r="B3516" s="104" t="s">
        <v>3586</v>
      </c>
      <c r="C3516" s="104" t="s">
        <v>40</v>
      </c>
      <c r="D3516" s="129" t="s">
        <v>22586</v>
      </c>
    </row>
    <row r="3517" spans="1:4">
      <c r="A3517" s="105">
        <v>92689</v>
      </c>
      <c r="B3517" s="104" t="s">
        <v>3587</v>
      </c>
      <c r="C3517" s="104" t="s">
        <v>40</v>
      </c>
      <c r="D3517" s="129" t="s">
        <v>15274</v>
      </c>
    </row>
    <row r="3518" spans="1:4">
      <c r="A3518" s="105">
        <v>92690</v>
      </c>
      <c r="B3518" s="104" t="s">
        <v>3588</v>
      </c>
      <c r="C3518" s="104" t="s">
        <v>40</v>
      </c>
      <c r="D3518" s="129" t="s">
        <v>22587</v>
      </c>
    </row>
    <row r="3519" spans="1:4">
      <c r="A3519" s="105">
        <v>92691</v>
      </c>
      <c r="B3519" s="104" t="s">
        <v>3589</v>
      </c>
      <c r="C3519" s="104" t="s">
        <v>40</v>
      </c>
      <c r="D3519" s="129" t="s">
        <v>22588</v>
      </c>
    </row>
    <row r="3520" spans="1:4">
      <c r="A3520" s="105">
        <v>94462</v>
      </c>
      <c r="B3520" s="104" t="s">
        <v>3590</v>
      </c>
      <c r="C3520" s="104" t="s">
        <v>40</v>
      </c>
      <c r="D3520" s="129" t="s">
        <v>22589</v>
      </c>
    </row>
    <row r="3521" spans="1:4">
      <c r="A3521" s="105">
        <v>94463</v>
      </c>
      <c r="B3521" s="104" t="s">
        <v>3591</v>
      </c>
      <c r="C3521" s="104" t="s">
        <v>40</v>
      </c>
      <c r="D3521" s="129" t="s">
        <v>19661</v>
      </c>
    </row>
    <row r="3522" spans="1:4">
      <c r="A3522" s="105">
        <v>94464</v>
      </c>
      <c r="B3522" s="104" t="s">
        <v>3592</v>
      </c>
      <c r="C3522" s="104" t="s">
        <v>40</v>
      </c>
      <c r="D3522" s="129" t="s">
        <v>22590</v>
      </c>
    </row>
    <row r="3523" spans="1:4">
      <c r="A3523" s="105">
        <v>94602</v>
      </c>
      <c r="B3523" s="104" t="s">
        <v>3593</v>
      </c>
      <c r="C3523" s="104" t="s">
        <v>40</v>
      </c>
      <c r="D3523" s="129" t="s">
        <v>18882</v>
      </c>
    </row>
    <row r="3524" spans="1:4">
      <c r="A3524" s="105">
        <v>94603</v>
      </c>
      <c r="B3524" s="104" t="s">
        <v>3594</v>
      </c>
      <c r="C3524" s="104" t="s">
        <v>40</v>
      </c>
      <c r="D3524" s="129" t="s">
        <v>22591</v>
      </c>
    </row>
    <row r="3525" spans="1:4">
      <c r="A3525" s="105">
        <v>94604</v>
      </c>
      <c r="B3525" s="104" t="s">
        <v>3595</v>
      </c>
      <c r="C3525" s="104" t="s">
        <v>40</v>
      </c>
      <c r="D3525" s="129" t="s">
        <v>22592</v>
      </c>
    </row>
    <row r="3526" spans="1:4">
      <c r="A3526" s="105">
        <v>94605</v>
      </c>
      <c r="B3526" s="104" t="s">
        <v>3596</v>
      </c>
      <c r="C3526" s="104" t="s">
        <v>40</v>
      </c>
      <c r="D3526" s="129" t="s">
        <v>22593</v>
      </c>
    </row>
    <row r="3527" spans="1:4">
      <c r="A3527" s="105">
        <v>94648</v>
      </c>
      <c r="B3527" s="104" t="s">
        <v>3597</v>
      </c>
      <c r="C3527" s="104" t="s">
        <v>40</v>
      </c>
      <c r="D3527" s="129" t="s">
        <v>17198</v>
      </c>
    </row>
    <row r="3528" spans="1:4">
      <c r="A3528" s="105">
        <v>94649</v>
      </c>
      <c r="B3528" s="104" t="s">
        <v>3598</v>
      </c>
      <c r="C3528" s="104" t="s">
        <v>40</v>
      </c>
      <c r="D3528" s="129" t="s">
        <v>21349</v>
      </c>
    </row>
    <row r="3529" spans="1:4">
      <c r="A3529" s="105">
        <v>94650</v>
      </c>
      <c r="B3529" s="104" t="s">
        <v>3599</v>
      </c>
      <c r="C3529" s="104" t="s">
        <v>40</v>
      </c>
      <c r="D3529" s="129" t="s">
        <v>22594</v>
      </c>
    </row>
    <row r="3530" spans="1:4">
      <c r="A3530" s="105">
        <v>94651</v>
      </c>
      <c r="B3530" s="104" t="s">
        <v>3600</v>
      </c>
      <c r="C3530" s="104" t="s">
        <v>40</v>
      </c>
      <c r="D3530" s="129" t="s">
        <v>20084</v>
      </c>
    </row>
    <row r="3531" spans="1:4">
      <c r="A3531" s="105">
        <v>94652</v>
      </c>
      <c r="B3531" s="104" t="s">
        <v>3601</v>
      </c>
      <c r="C3531" s="104" t="s">
        <v>40</v>
      </c>
      <c r="D3531" s="129" t="s">
        <v>22595</v>
      </c>
    </row>
    <row r="3532" spans="1:4">
      <c r="A3532" s="105">
        <v>94653</v>
      </c>
      <c r="B3532" s="104" t="s">
        <v>3602</v>
      </c>
      <c r="C3532" s="104" t="s">
        <v>40</v>
      </c>
      <c r="D3532" s="129" t="s">
        <v>22596</v>
      </c>
    </row>
    <row r="3533" spans="1:4">
      <c r="A3533" s="105">
        <v>94654</v>
      </c>
      <c r="B3533" s="104" t="s">
        <v>3603</v>
      </c>
      <c r="C3533" s="104" t="s">
        <v>40</v>
      </c>
      <c r="D3533" s="129" t="s">
        <v>15270</v>
      </c>
    </row>
    <row r="3534" spans="1:4">
      <c r="A3534" s="105">
        <v>94655</v>
      </c>
      <c r="B3534" s="104" t="s">
        <v>3604</v>
      </c>
      <c r="C3534" s="104" t="s">
        <v>40</v>
      </c>
      <c r="D3534" s="129" t="s">
        <v>22597</v>
      </c>
    </row>
    <row r="3535" spans="1:4">
      <c r="A3535" s="105">
        <v>94716</v>
      </c>
      <c r="B3535" s="104" t="s">
        <v>3605</v>
      </c>
      <c r="C3535" s="104" t="s">
        <v>40</v>
      </c>
      <c r="D3535" s="129" t="s">
        <v>18644</v>
      </c>
    </row>
    <row r="3536" spans="1:4">
      <c r="A3536" s="105">
        <v>94717</v>
      </c>
      <c r="B3536" s="104" t="s">
        <v>3606</v>
      </c>
      <c r="C3536" s="104" t="s">
        <v>40</v>
      </c>
      <c r="D3536" s="129" t="s">
        <v>19745</v>
      </c>
    </row>
    <row r="3537" spans="1:4">
      <c r="A3537" s="105">
        <v>94718</v>
      </c>
      <c r="B3537" s="104" t="s">
        <v>3607</v>
      </c>
      <c r="C3537" s="104" t="s">
        <v>40</v>
      </c>
      <c r="D3537" s="129" t="s">
        <v>22598</v>
      </c>
    </row>
    <row r="3538" spans="1:4">
      <c r="A3538" s="105">
        <v>94719</v>
      </c>
      <c r="B3538" s="104" t="s">
        <v>3608</v>
      </c>
      <c r="C3538" s="104" t="s">
        <v>40</v>
      </c>
      <c r="D3538" s="129" t="s">
        <v>22599</v>
      </c>
    </row>
    <row r="3539" spans="1:4">
      <c r="A3539" s="105">
        <v>94720</v>
      </c>
      <c r="B3539" s="104" t="s">
        <v>3609</v>
      </c>
      <c r="C3539" s="104" t="s">
        <v>40</v>
      </c>
      <c r="D3539" s="129" t="s">
        <v>16745</v>
      </c>
    </row>
    <row r="3540" spans="1:4">
      <c r="A3540" s="105">
        <v>94721</v>
      </c>
      <c r="B3540" s="104" t="s">
        <v>3610</v>
      </c>
      <c r="C3540" s="104" t="s">
        <v>40</v>
      </c>
      <c r="D3540" s="129" t="s">
        <v>22600</v>
      </c>
    </row>
    <row r="3541" spans="1:4">
      <c r="A3541" s="105">
        <v>94722</v>
      </c>
      <c r="B3541" s="104" t="s">
        <v>3611</v>
      </c>
      <c r="C3541" s="104" t="s">
        <v>40</v>
      </c>
      <c r="D3541" s="129" t="s">
        <v>22601</v>
      </c>
    </row>
    <row r="3542" spans="1:4">
      <c r="A3542" s="105">
        <v>95697</v>
      </c>
      <c r="B3542" s="104" t="s">
        <v>3612</v>
      </c>
      <c r="C3542" s="104" t="s">
        <v>40</v>
      </c>
      <c r="D3542" s="129" t="s">
        <v>22602</v>
      </c>
    </row>
    <row r="3543" spans="1:4">
      <c r="A3543" s="105">
        <v>96635</v>
      </c>
      <c r="B3543" s="104" t="s">
        <v>3613</v>
      </c>
      <c r="C3543" s="104" t="s">
        <v>40</v>
      </c>
      <c r="D3543" s="129" t="s">
        <v>22603</v>
      </c>
    </row>
    <row r="3544" spans="1:4">
      <c r="A3544" s="105">
        <v>96636</v>
      </c>
      <c r="B3544" s="104" t="s">
        <v>3614</v>
      </c>
      <c r="C3544" s="104" t="s">
        <v>40</v>
      </c>
      <c r="D3544" s="129" t="s">
        <v>21952</v>
      </c>
    </row>
    <row r="3545" spans="1:4">
      <c r="A3545" s="105">
        <v>96644</v>
      </c>
      <c r="B3545" s="104" t="s">
        <v>3615</v>
      </c>
      <c r="C3545" s="104" t="s">
        <v>40</v>
      </c>
      <c r="D3545" s="129" t="s">
        <v>22604</v>
      </c>
    </row>
    <row r="3546" spans="1:4">
      <c r="A3546" s="105">
        <v>96645</v>
      </c>
      <c r="B3546" s="104" t="s">
        <v>3616</v>
      </c>
      <c r="C3546" s="104" t="s">
        <v>40</v>
      </c>
      <c r="D3546" s="129" t="s">
        <v>22605</v>
      </c>
    </row>
    <row r="3547" spans="1:4">
      <c r="A3547" s="105">
        <v>96646</v>
      </c>
      <c r="B3547" s="104" t="s">
        <v>3617</v>
      </c>
      <c r="C3547" s="104" t="s">
        <v>40</v>
      </c>
      <c r="D3547" s="129" t="s">
        <v>19699</v>
      </c>
    </row>
    <row r="3548" spans="1:4">
      <c r="A3548" s="105">
        <v>96647</v>
      </c>
      <c r="B3548" s="104" t="s">
        <v>3618</v>
      </c>
      <c r="C3548" s="104" t="s">
        <v>40</v>
      </c>
      <c r="D3548" s="129" t="s">
        <v>22606</v>
      </c>
    </row>
    <row r="3549" spans="1:4">
      <c r="A3549" s="105">
        <v>96648</v>
      </c>
      <c r="B3549" s="104" t="s">
        <v>3619</v>
      </c>
      <c r="C3549" s="104" t="s">
        <v>40</v>
      </c>
      <c r="D3549" s="129" t="s">
        <v>22607</v>
      </c>
    </row>
    <row r="3550" spans="1:4">
      <c r="A3550" s="105">
        <v>96649</v>
      </c>
      <c r="B3550" s="104" t="s">
        <v>3620</v>
      </c>
      <c r="C3550" s="104" t="s">
        <v>40</v>
      </c>
      <c r="D3550" s="129" t="s">
        <v>22608</v>
      </c>
    </row>
    <row r="3551" spans="1:4">
      <c r="A3551" s="105">
        <v>96668</v>
      </c>
      <c r="B3551" s="104" t="s">
        <v>3621</v>
      </c>
      <c r="C3551" s="104" t="s">
        <v>40</v>
      </c>
      <c r="D3551" s="129" t="s">
        <v>20359</v>
      </c>
    </row>
    <row r="3552" spans="1:4">
      <c r="A3552" s="105">
        <v>96669</v>
      </c>
      <c r="B3552" s="104" t="s">
        <v>3622</v>
      </c>
      <c r="C3552" s="104" t="s">
        <v>40</v>
      </c>
      <c r="D3552" s="129" t="s">
        <v>22609</v>
      </c>
    </row>
    <row r="3553" spans="1:4">
      <c r="A3553" s="105">
        <v>96670</v>
      </c>
      <c r="B3553" s="104" t="s">
        <v>3623</v>
      </c>
      <c r="C3553" s="104" t="s">
        <v>40</v>
      </c>
      <c r="D3553" s="129" t="s">
        <v>22610</v>
      </c>
    </row>
    <row r="3554" spans="1:4">
      <c r="A3554" s="105">
        <v>96671</v>
      </c>
      <c r="B3554" s="104" t="s">
        <v>3624</v>
      </c>
      <c r="C3554" s="104" t="s">
        <v>40</v>
      </c>
      <c r="D3554" s="129" t="s">
        <v>22611</v>
      </c>
    </row>
    <row r="3555" spans="1:4">
      <c r="A3555" s="105">
        <v>96672</v>
      </c>
      <c r="B3555" s="104" t="s">
        <v>3625</v>
      </c>
      <c r="C3555" s="104" t="s">
        <v>40</v>
      </c>
      <c r="D3555" s="129" t="s">
        <v>22612</v>
      </c>
    </row>
    <row r="3556" spans="1:4">
      <c r="A3556" s="105">
        <v>96673</v>
      </c>
      <c r="B3556" s="104" t="s">
        <v>3626</v>
      </c>
      <c r="C3556" s="104" t="s">
        <v>40</v>
      </c>
      <c r="D3556" s="129" t="s">
        <v>22613</v>
      </c>
    </row>
    <row r="3557" spans="1:4">
      <c r="A3557" s="105">
        <v>96674</v>
      </c>
      <c r="B3557" s="104" t="s">
        <v>3627</v>
      </c>
      <c r="C3557" s="104" t="s">
        <v>40</v>
      </c>
      <c r="D3557" s="129" t="s">
        <v>22614</v>
      </c>
    </row>
    <row r="3558" spans="1:4">
      <c r="A3558" s="105">
        <v>96675</v>
      </c>
      <c r="B3558" s="104" t="s">
        <v>3628</v>
      </c>
      <c r="C3558" s="104" t="s">
        <v>40</v>
      </c>
      <c r="D3558" s="129" t="s">
        <v>22615</v>
      </c>
    </row>
    <row r="3559" spans="1:4">
      <c r="A3559" s="105">
        <v>96676</v>
      </c>
      <c r="B3559" s="104" t="s">
        <v>3629</v>
      </c>
      <c r="C3559" s="104" t="s">
        <v>40</v>
      </c>
      <c r="D3559" s="129" t="s">
        <v>18137</v>
      </c>
    </row>
    <row r="3560" spans="1:4">
      <c r="A3560" s="105">
        <v>96677</v>
      </c>
      <c r="B3560" s="104" t="s">
        <v>3630</v>
      </c>
      <c r="C3560" s="104" t="s">
        <v>40</v>
      </c>
      <c r="D3560" s="129" t="s">
        <v>18455</v>
      </c>
    </row>
    <row r="3561" spans="1:4">
      <c r="A3561" s="105">
        <v>96678</v>
      </c>
      <c r="B3561" s="104" t="s">
        <v>3631</v>
      </c>
      <c r="C3561" s="104" t="s">
        <v>40</v>
      </c>
      <c r="D3561" s="129" t="s">
        <v>22616</v>
      </c>
    </row>
    <row r="3562" spans="1:4">
      <c r="A3562" s="105">
        <v>96679</v>
      </c>
      <c r="B3562" s="104" t="s">
        <v>3632</v>
      </c>
      <c r="C3562" s="104" t="s">
        <v>40</v>
      </c>
      <c r="D3562" s="129" t="s">
        <v>22617</v>
      </c>
    </row>
    <row r="3563" spans="1:4">
      <c r="A3563" s="105">
        <v>96680</v>
      </c>
      <c r="B3563" s="104" t="s">
        <v>3633</v>
      </c>
      <c r="C3563" s="104" t="s">
        <v>40</v>
      </c>
      <c r="D3563" s="129" t="s">
        <v>19032</v>
      </c>
    </row>
    <row r="3564" spans="1:4">
      <c r="A3564" s="105">
        <v>96681</v>
      </c>
      <c r="B3564" s="104" t="s">
        <v>3634</v>
      </c>
      <c r="C3564" s="104" t="s">
        <v>40</v>
      </c>
      <c r="D3564" s="129" t="s">
        <v>22618</v>
      </c>
    </row>
    <row r="3565" spans="1:4">
      <c r="A3565" s="105">
        <v>96682</v>
      </c>
      <c r="B3565" s="104" t="s">
        <v>3635</v>
      </c>
      <c r="C3565" s="104" t="s">
        <v>40</v>
      </c>
      <c r="D3565" s="129" t="s">
        <v>22619</v>
      </c>
    </row>
    <row r="3566" spans="1:4">
      <c r="A3566" s="105">
        <v>96683</v>
      </c>
      <c r="B3566" s="104" t="s">
        <v>3636</v>
      </c>
      <c r="C3566" s="104" t="s">
        <v>40</v>
      </c>
      <c r="D3566" s="129" t="s">
        <v>22620</v>
      </c>
    </row>
    <row r="3567" spans="1:4">
      <c r="A3567" s="105">
        <v>96718</v>
      </c>
      <c r="B3567" s="104" t="s">
        <v>3637</v>
      </c>
      <c r="C3567" s="104" t="s">
        <v>40</v>
      </c>
      <c r="D3567" s="129" t="s">
        <v>20653</v>
      </c>
    </row>
    <row r="3568" spans="1:4">
      <c r="A3568" s="105">
        <v>96719</v>
      </c>
      <c r="B3568" s="104" t="s">
        <v>3638</v>
      </c>
      <c r="C3568" s="104" t="s">
        <v>40</v>
      </c>
      <c r="D3568" s="129" t="s">
        <v>19579</v>
      </c>
    </row>
    <row r="3569" spans="1:4">
      <c r="A3569" s="105">
        <v>96720</v>
      </c>
      <c r="B3569" s="104" t="s">
        <v>3639</v>
      </c>
      <c r="C3569" s="104" t="s">
        <v>40</v>
      </c>
      <c r="D3569" s="129" t="s">
        <v>22621</v>
      </c>
    </row>
    <row r="3570" spans="1:4">
      <c r="A3570" s="105">
        <v>96721</v>
      </c>
      <c r="B3570" s="104" t="s">
        <v>3640</v>
      </c>
      <c r="C3570" s="104" t="s">
        <v>40</v>
      </c>
      <c r="D3570" s="129" t="s">
        <v>22443</v>
      </c>
    </row>
    <row r="3571" spans="1:4">
      <c r="A3571" s="105">
        <v>96722</v>
      </c>
      <c r="B3571" s="104" t="s">
        <v>3641</v>
      </c>
      <c r="C3571" s="104" t="s">
        <v>40</v>
      </c>
      <c r="D3571" s="129" t="s">
        <v>18183</v>
      </c>
    </row>
    <row r="3572" spans="1:4">
      <c r="A3572" s="105">
        <v>96723</v>
      </c>
      <c r="B3572" s="104" t="s">
        <v>3642</v>
      </c>
      <c r="C3572" s="104" t="s">
        <v>40</v>
      </c>
      <c r="D3572" s="129" t="s">
        <v>22622</v>
      </c>
    </row>
    <row r="3573" spans="1:4">
      <c r="A3573" s="105">
        <v>96724</v>
      </c>
      <c r="B3573" s="104" t="s">
        <v>3643</v>
      </c>
      <c r="C3573" s="104" t="s">
        <v>40</v>
      </c>
      <c r="D3573" s="129" t="s">
        <v>22623</v>
      </c>
    </row>
    <row r="3574" spans="1:4">
      <c r="A3574" s="105">
        <v>96725</v>
      </c>
      <c r="B3574" s="104" t="s">
        <v>3644</v>
      </c>
      <c r="C3574" s="104" t="s">
        <v>40</v>
      </c>
      <c r="D3574" s="129" t="s">
        <v>22624</v>
      </c>
    </row>
    <row r="3575" spans="1:4">
      <c r="A3575" s="105">
        <v>96726</v>
      </c>
      <c r="B3575" s="104" t="s">
        <v>3645</v>
      </c>
      <c r="C3575" s="104" t="s">
        <v>40</v>
      </c>
      <c r="D3575" s="129" t="s">
        <v>22625</v>
      </c>
    </row>
    <row r="3576" spans="1:4">
      <c r="A3576" s="105">
        <v>96727</v>
      </c>
      <c r="B3576" s="104" t="s">
        <v>3646</v>
      </c>
      <c r="C3576" s="104" t="s">
        <v>40</v>
      </c>
      <c r="D3576" s="129" t="s">
        <v>19763</v>
      </c>
    </row>
    <row r="3577" spans="1:4">
      <c r="A3577" s="105">
        <v>96728</v>
      </c>
      <c r="B3577" s="104" t="s">
        <v>3647</v>
      </c>
      <c r="C3577" s="104" t="s">
        <v>40</v>
      </c>
      <c r="D3577" s="129" t="s">
        <v>19234</v>
      </c>
    </row>
    <row r="3578" spans="1:4">
      <c r="A3578" s="105">
        <v>96729</v>
      </c>
      <c r="B3578" s="104" t="s">
        <v>3648</v>
      </c>
      <c r="C3578" s="104" t="s">
        <v>40</v>
      </c>
      <c r="D3578" s="129" t="s">
        <v>22626</v>
      </c>
    </row>
    <row r="3579" spans="1:4">
      <c r="A3579" s="105">
        <v>96730</v>
      </c>
      <c r="B3579" s="104" t="s">
        <v>3649</v>
      </c>
      <c r="C3579" s="104" t="s">
        <v>40</v>
      </c>
      <c r="D3579" s="129" t="s">
        <v>22627</v>
      </c>
    </row>
    <row r="3580" spans="1:4">
      <c r="A3580" s="105">
        <v>96731</v>
      </c>
      <c r="B3580" s="104" t="s">
        <v>3650</v>
      </c>
      <c r="C3580" s="104" t="s">
        <v>40</v>
      </c>
      <c r="D3580" s="129" t="s">
        <v>20986</v>
      </c>
    </row>
    <row r="3581" spans="1:4">
      <c r="A3581" s="105">
        <v>96732</v>
      </c>
      <c r="B3581" s="104" t="s">
        <v>3651</v>
      </c>
      <c r="C3581" s="104" t="s">
        <v>40</v>
      </c>
      <c r="D3581" s="129" t="s">
        <v>22628</v>
      </c>
    </row>
    <row r="3582" spans="1:4">
      <c r="A3582" s="105">
        <v>96733</v>
      </c>
      <c r="B3582" s="104" t="s">
        <v>3652</v>
      </c>
      <c r="C3582" s="104" t="s">
        <v>40</v>
      </c>
      <c r="D3582" s="129" t="s">
        <v>15986</v>
      </c>
    </row>
    <row r="3583" spans="1:4">
      <c r="A3583" s="105">
        <v>96734</v>
      </c>
      <c r="B3583" s="104" t="s">
        <v>3653</v>
      </c>
      <c r="C3583" s="104" t="s">
        <v>40</v>
      </c>
      <c r="D3583" s="129" t="s">
        <v>22629</v>
      </c>
    </row>
    <row r="3584" spans="1:4">
      <c r="A3584" s="105">
        <v>96735</v>
      </c>
      <c r="B3584" s="104" t="s">
        <v>3654</v>
      </c>
      <c r="C3584" s="104" t="s">
        <v>40</v>
      </c>
      <c r="D3584" s="129" t="s">
        <v>22630</v>
      </c>
    </row>
    <row r="3585" spans="1:4">
      <c r="A3585" s="105">
        <v>96794</v>
      </c>
      <c r="B3585" s="104" t="s">
        <v>3655</v>
      </c>
      <c r="C3585" s="104" t="s">
        <v>40</v>
      </c>
      <c r="D3585" s="129" t="s">
        <v>22631</v>
      </c>
    </row>
    <row r="3586" spans="1:4">
      <c r="A3586" s="105">
        <v>96795</v>
      </c>
      <c r="B3586" s="104" t="s">
        <v>3656</v>
      </c>
      <c r="C3586" s="104" t="s">
        <v>40</v>
      </c>
      <c r="D3586" s="129" t="s">
        <v>17186</v>
      </c>
    </row>
    <row r="3587" spans="1:4">
      <c r="A3587" s="105">
        <v>96796</v>
      </c>
      <c r="B3587" s="104" t="s">
        <v>3657</v>
      </c>
      <c r="C3587" s="104" t="s">
        <v>40</v>
      </c>
      <c r="D3587" s="129" t="s">
        <v>20135</v>
      </c>
    </row>
    <row r="3588" spans="1:4">
      <c r="A3588" s="105">
        <v>96797</v>
      </c>
      <c r="B3588" s="104" t="s">
        <v>3658</v>
      </c>
      <c r="C3588" s="104" t="s">
        <v>40</v>
      </c>
      <c r="D3588" s="129" t="s">
        <v>16014</v>
      </c>
    </row>
    <row r="3589" spans="1:4">
      <c r="A3589" s="105">
        <v>96798</v>
      </c>
      <c r="B3589" s="104" t="s">
        <v>3659</v>
      </c>
      <c r="C3589" s="104" t="s">
        <v>40</v>
      </c>
      <c r="D3589" s="129" t="s">
        <v>19621</v>
      </c>
    </row>
    <row r="3590" spans="1:4">
      <c r="A3590" s="105">
        <v>96799</v>
      </c>
      <c r="B3590" s="104" t="s">
        <v>3660</v>
      </c>
      <c r="C3590" s="104" t="s">
        <v>40</v>
      </c>
      <c r="D3590" s="129" t="s">
        <v>15191</v>
      </c>
    </row>
    <row r="3591" spans="1:4">
      <c r="A3591" s="105">
        <v>96800</v>
      </c>
      <c r="B3591" s="104" t="s">
        <v>3661</v>
      </c>
      <c r="C3591" s="104" t="s">
        <v>40</v>
      </c>
      <c r="D3591" s="129" t="s">
        <v>22632</v>
      </c>
    </row>
    <row r="3592" spans="1:4">
      <c r="A3592" s="105">
        <v>96801</v>
      </c>
      <c r="B3592" s="104" t="s">
        <v>3662</v>
      </c>
      <c r="C3592" s="104" t="s">
        <v>40</v>
      </c>
      <c r="D3592" s="129" t="s">
        <v>22633</v>
      </c>
    </row>
    <row r="3593" spans="1:4">
      <c r="A3593" s="105">
        <v>97327</v>
      </c>
      <c r="B3593" s="104" t="s">
        <v>3663</v>
      </c>
      <c r="C3593" s="104" t="s">
        <v>40</v>
      </c>
      <c r="D3593" s="129" t="s">
        <v>22634</v>
      </c>
    </row>
    <row r="3594" spans="1:4">
      <c r="A3594" s="105">
        <v>97328</v>
      </c>
      <c r="B3594" s="104" t="s">
        <v>3664</v>
      </c>
      <c r="C3594" s="104" t="s">
        <v>40</v>
      </c>
      <c r="D3594" s="129" t="s">
        <v>22635</v>
      </c>
    </row>
    <row r="3595" spans="1:4">
      <c r="A3595" s="105">
        <v>97329</v>
      </c>
      <c r="B3595" s="104" t="s">
        <v>3665</v>
      </c>
      <c r="C3595" s="104" t="s">
        <v>40</v>
      </c>
      <c r="D3595" s="129" t="s">
        <v>22134</v>
      </c>
    </row>
    <row r="3596" spans="1:4">
      <c r="A3596" s="105">
        <v>97330</v>
      </c>
      <c r="B3596" s="104" t="s">
        <v>3666</v>
      </c>
      <c r="C3596" s="104" t="s">
        <v>40</v>
      </c>
      <c r="D3596" s="129" t="s">
        <v>22636</v>
      </c>
    </row>
    <row r="3597" spans="1:4">
      <c r="A3597" s="105">
        <v>97331</v>
      </c>
      <c r="B3597" s="104" t="s">
        <v>3667</v>
      </c>
      <c r="C3597" s="104" t="s">
        <v>40</v>
      </c>
      <c r="D3597" s="129" t="s">
        <v>18472</v>
      </c>
    </row>
    <row r="3598" spans="1:4">
      <c r="A3598" s="105">
        <v>97332</v>
      </c>
      <c r="B3598" s="104" t="s">
        <v>3668</v>
      </c>
      <c r="C3598" s="104" t="s">
        <v>40</v>
      </c>
      <c r="D3598" s="129" t="s">
        <v>18512</v>
      </c>
    </row>
    <row r="3599" spans="1:4">
      <c r="A3599" s="105">
        <v>97333</v>
      </c>
      <c r="B3599" s="104" t="s">
        <v>3669</v>
      </c>
      <c r="C3599" s="104" t="s">
        <v>40</v>
      </c>
      <c r="D3599" s="129" t="s">
        <v>22637</v>
      </c>
    </row>
    <row r="3600" spans="1:4">
      <c r="A3600" s="105">
        <v>97334</v>
      </c>
      <c r="B3600" s="104" t="s">
        <v>3670</v>
      </c>
      <c r="C3600" s="104" t="s">
        <v>40</v>
      </c>
      <c r="D3600" s="129" t="s">
        <v>22638</v>
      </c>
    </row>
    <row r="3601" spans="1:4">
      <c r="A3601" s="105">
        <v>97335</v>
      </c>
      <c r="B3601" s="104" t="s">
        <v>3671</v>
      </c>
      <c r="C3601" s="104" t="s">
        <v>40</v>
      </c>
      <c r="D3601" s="129" t="s">
        <v>22639</v>
      </c>
    </row>
    <row r="3602" spans="1:4">
      <c r="A3602" s="105">
        <v>97336</v>
      </c>
      <c r="B3602" s="104" t="s">
        <v>3672</v>
      </c>
      <c r="C3602" s="104" t="s">
        <v>40</v>
      </c>
      <c r="D3602" s="129" t="s">
        <v>22640</v>
      </c>
    </row>
    <row r="3603" spans="1:4">
      <c r="A3603" s="105">
        <v>97337</v>
      </c>
      <c r="B3603" s="104" t="s">
        <v>3673</v>
      </c>
      <c r="C3603" s="104" t="s">
        <v>40</v>
      </c>
      <c r="D3603" s="129" t="s">
        <v>22641</v>
      </c>
    </row>
    <row r="3604" spans="1:4">
      <c r="A3604" s="105">
        <v>97338</v>
      </c>
      <c r="B3604" s="104" t="s">
        <v>3674</v>
      </c>
      <c r="C3604" s="104" t="s">
        <v>40</v>
      </c>
      <c r="D3604" s="129" t="s">
        <v>22642</v>
      </c>
    </row>
    <row r="3605" spans="1:4">
      <c r="A3605" s="105">
        <v>97339</v>
      </c>
      <c r="B3605" s="104" t="s">
        <v>3675</v>
      </c>
      <c r="C3605" s="104" t="s">
        <v>40</v>
      </c>
      <c r="D3605" s="129" t="s">
        <v>22544</v>
      </c>
    </row>
    <row r="3606" spans="1:4">
      <c r="A3606" s="105">
        <v>97340</v>
      </c>
      <c r="B3606" s="104" t="s">
        <v>3676</v>
      </c>
      <c r="C3606" s="104" t="s">
        <v>40</v>
      </c>
      <c r="D3606" s="129" t="s">
        <v>22643</v>
      </c>
    </row>
    <row r="3607" spans="1:4">
      <c r="A3607" s="105">
        <v>97341</v>
      </c>
      <c r="B3607" s="104" t="s">
        <v>3677</v>
      </c>
      <c r="C3607" s="104" t="s">
        <v>40</v>
      </c>
      <c r="D3607" s="129" t="s">
        <v>22644</v>
      </c>
    </row>
    <row r="3608" spans="1:4">
      <c r="A3608" s="105">
        <v>97342</v>
      </c>
      <c r="B3608" s="104" t="s">
        <v>3678</v>
      </c>
      <c r="C3608" s="104" t="s">
        <v>40</v>
      </c>
      <c r="D3608" s="129" t="s">
        <v>22645</v>
      </c>
    </row>
    <row r="3609" spans="1:4">
      <c r="A3609" s="105">
        <v>97343</v>
      </c>
      <c r="B3609" s="104" t="s">
        <v>3679</v>
      </c>
      <c r="C3609" s="104" t="s">
        <v>40</v>
      </c>
      <c r="D3609" s="129" t="s">
        <v>22646</v>
      </c>
    </row>
    <row r="3610" spans="1:4">
      <c r="A3610" s="105">
        <v>97344</v>
      </c>
      <c r="B3610" s="104" t="s">
        <v>3680</v>
      </c>
      <c r="C3610" s="104" t="s">
        <v>40</v>
      </c>
      <c r="D3610" s="129" t="s">
        <v>20658</v>
      </c>
    </row>
    <row r="3611" spans="1:4">
      <c r="A3611" s="105">
        <v>97345</v>
      </c>
      <c r="B3611" s="104" t="s">
        <v>3681</v>
      </c>
      <c r="C3611" s="104" t="s">
        <v>40</v>
      </c>
      <c r="D3611" s="129" t="s">
        <v>22647</v>
      </c>
    </row>
    <row r="3612" spans="1:4">
      <c r="A3612" s="105">
        <v>97346</v>
      </c>
      <c r="B3612" s="104" t="s">
        <v>3682</v>
      </c>
      <c r="C3612" s="104" t="s">
        <v>40</v>
      </c>
      <c r="D3612" s="129" t="s">
        <v>22648</v>
      </c>
    </row>
    <row r="3613" spans="1:4">
      <c r="A3613" s="105">
        <v>97347</v>
      </c>
      <c r="B3613" s="104" t="s">
        <v>3683</v>
      </c>
      <c r="C3613" s="104" t="s">
        <v>40</v>
      </c>
      <c r="D3613" s="129" t="s">
        <v>18737</v>
      </c>
    </row>
    <row r="3614" spans="1:4">
      <c r="A3614" s="105">
        <v>97348</v>
      </c>
      <c r="B3614" s="104" t="s">
        <v>3684</v>
      </c>
      <c r="C3614" s="104" t="s">
        <v>40</v>
      </c>
      <c r="D3614" s="129" t="s">
        <v>22649</v>
      </c>
    </row>
    <row r="3615" spans="1:4">
      <c r="A3615" s="105">
        <v>97349</v>
      </c>
      <c r="B3615" s="104" t="s">
        <v>3685</v>
      </c>
      <c r="C3615" s="104" t="s">
        <v>40</v>
      </c>
      <c r="D3615" s="129" t="s">
        <v>22650</v>
      </c>
    </row>
    <row r="3616" spans="1:4">
      <c r="A3616" s="105">
        <v>97350</v>
      </c>
      <c r="B3616" s="104" t="s">
        <v>3686</v>
      </c>
      <c r="C3616" s="104" t="s">
        <v>40</v>
      </c>
      <c r="D3616" s="129" t="s">
        <v>22651</v>
      </c>
    </row>
    <row r="3617" spans="1:4">
      <c r="A3617" s="105">
        <v>97351</v>
      </c>
      <c r="B3617" s="104" t="s">
        <v>3687</v>
      </c>
      <c r="C3617" s="104" t="s">
        <v>40</v>
      </c>
      <c r="D3617" s="129" t="s">
        <v>22652</v>
      </c>
    </row>
    <row r="3618" spans="1:4">
      <c r="A3618" s="105">
        <v>97352</v>
      </c>
      <c r="B3618" s="104" t="s">
        <v>3688</v>
      </c>
      <c r="C3618" s="104" t="s">
        <v>40</v>
      </c>
      <c r="D3618" s="129" t="s">
        <v>22653</v>
      </c>
    </row>
    <row r="3619" spans="1:4">
      <c r="A3619" s="105">
        <v>97353</v>
      </c>
      <c r="B3619" s="104" t="s">
        <v>3689</v>
      </c>
      <c r="C3619" s="104" t="s">
        <v>40</v>
      </c>
      <c r="D3619" s="129" t="s">
        <v>22654</v>
      </c>
    </row>
    <row r="3620" spans="1:4">
      <c r="A3620" s="105">
        <v>97354</v>
      </c>
      <c r="B3620" s="104" t="s">
        <v>3690</v>
      </c>
      <c r="C3620" s="104" t="s">
        <v>40</v>
      </c>
      <c r="D3620" s="129" t="s">
        <v>22655</v>
      </c>
    </row>
    <row r="3621" spans="1:4">
      <c r="A3621" s="105">
        <v>97355</v>
      </c>
      <c r="B3621" s="104" t="s">
        <v>3691</v>
      </c>
      <c r="C3621" s="104" t="s">
        <v>40</v>
      </c>
      <c r="D3621" s="129" t="s">
        <v>20638</v>
      </c>
    </row>
    <row r="3622" spans="1:4">
      <c r="A3622" s="105">
        <v>97356</v>
      </c>
      <c r="B3622" s="104" t="s">
        <v>3692</v>
      </c>
      <c r="C3622" s="104" t="s">
        <v>40</v>
      </c>
      <c r="D3622" s="129" t="s">
        <v>22656</v>
      </c>
    </row>
    <row r="3623" spans="1:4">
      <c r="A3623" s="105">
        <v>97357</v>
      </c>
      <c r="B3623" s="104" t="s">
        <v>3693</v>
      </c>
      <c r="C3623" s="104" t="s">
        <v>40</v>
      </c>
      <c r="D3623" s="129" t="s">
        <v>22657</v>
      </c>
    </row>
    <row r="3624" spans="1:4">
      <c r="A3624" s="105">
        <v>97358</v>
      </c>
      <c r="B3624" s="104" t="s">
        <v>3694</v>
      </c>
      <c r="C3624" s="104" t="s">
        <v>40</v>
      </c>
      <c r="D3624" s="129" t="s">
        <v>22658</v>
      </c>
    </row>
    <row r="3625" spans="1:4">
      <c r="A3625" s="105">
        <v>97498</v>
      </c>
      <c r="B3625" s="104" t="s">
        <v>3695</v>
      </c>
      <c r="C3625" s="104" t="s">
        <v>40</v>
      </c>
      <c r="D3625" s="129" t="s">
        <v>22659</v>
      </c>
    </row>
    <row r="3626" spans="1:4">
      <c r="A3626" s="105">
        <v>97535</v>
      </c>
      <c r="B3626" s="104" t="s">
        <v>3696</v>
      </c>
      <c r="C3626" s="104" t="s">
        <v>40</v>
      </c>
      <c r="D3626" s="129" t="s">
        <v>17904</v>
      </c>
    </row>
    <row r="3627" spans="1:4">
      <c r="A3627" s="105">
        <v>97536</v>
      </c>
      <c r="B3627" s="104" t="s">
        <v>3697</v>
      </c>
      <c r="C3627" s="104" t="s">
        <v>40</v>
      </c>
      <c r="D3627" s="129" t="s">
        <v>22660</v>
      </c>
    </row>
    <row r="3628" spans="1:4">
      <c r="A3628" s="105">
        <v>100788</v>
      </c>
      <c r="B3628" s="104" t="s">
        <v>3698</v>
      </c>
      <c r="C3628" s="104" t="s">
        <v>183</v>
      </c>
      <c r="D3628" s="129" t="s">
        <v>22661</v>
      </c>
    </row>
    <row r="3629" spans="1:4">
      <c r="A3629" s="105">
        <v>100791</v>
      </c>
      <c r="B3629" s="104" t="s">
        <v>3699</v>
      </c>
      <c r="C3629" s="104" t="s">
        <v>40</v>
      </c>
      <c r="D3629" s="129" t="s">
        <v>22662</v>
      </c>
    </row>
    <row r="3630" spans="1:4">
      <c r="A3630" s="105">
        <v>100792</v>
      </c>
      <c r="B3630" s="104" t="s">
        <v>3700</v>
      </c>
      <c r="C3630" s="104" t="s">
        <v>40</v>
      </c>
      <c r="D3630" s="129" t="s">
        <v>19796</v>
      </c>
    </row>
    <row r="3631" spans="1:4">
      <c r="A3631" s="105">
        <v>100793</v>
      </c>
      <c r="B3631" s="104" t="s">
        <v>3701</v>
      </c>
      <c r="C3631" s="104" t="s">
        <v>40</v>
      </c>
      <c r="D3631" s="129" t="s">
        <v>22663</v>
      </c>
    </row>
    <row r="3632" spans="1:4">
      <c r="A3632" s="105">
        <v>100794</v>
      </c>
      <c r="B3632" s="104" t="s">
        <v>3702</v>
      </c>
      <c r="C3632" s="104" t="s">
        <v>40</v>
      </c>
      <c r="D3632" s="129" t="s">
        <v>22664</v>
      </c>
    </row>
    <row r="3633" spans="1:4">
      <c r="A3633" s="105">
        <v>100799</v>
      </c>
      <c r="B3633" s="104" t="s">
        <v>3703</v>
      </c>
      <c r="C3633" s="104" t="s">
        <v>40</v>
      </c>
      <c r="D3633" s="129" t="s">
        <v>22665</v>
      </c>
    </row>
    <row r="3634" spans="1:4">
      <c r="A3634" s="105">
        <v>100800</v>
      </c>
      <c r="B3634" s="104" t="s">
        <v>3704</v>
      </c>
      <c r="C3634" s="104" t="s">
        <v>40</v>
      </c>
      <c r="D3634" s="129" t="s">
        <v>22666</v>
      </c>
    </row>
    <row r="3635" spans="1:4">
      <c r="A3635" s="105">
        <v>100801</v>
      </c>
      <c r="B3635" s="104" t="s">
        <v>3705</v>
      </c>
      <c r="C3635" s="104" t="s">
        <v>40</v>
      </c>
      <c r="D3635" s="129" t="s">
        <v>17477</v>
      </c>
    </row>
    <row r="3636" spans="1:4">
      <c r="A3636" s="105">
        <v>100802</v>
      </c>
      <c r="B3636" s="104" t="s">
        <v>3706</v>
      </c>
      <c r="C3636" s="104" t="s">
        <v>40</v>
      </c>
      <c r="D3636" s="129" t="s">
        <v>22667</v>
      </c>
    </row>
    <row r="3637" spans="1:4">
      <c r="A3637" s="105">
        <v>100803</v>
      </c>
      <c r="B3637" s="104" t="s">
        <v>3707</v>
      </c>
      <c r="C3637" s="104" t="s">
        <v>40</v>
      </c>
      <c r="D3637" s="129" t="s">
        <v>22632</v>
      </c>
    </row>
    <row r="3638" spans="1:4">
      <c r="A3638" s="105">
        <v>100804</v>
      </c>
      <c r="B3638" s="104" t="s">
        <v>3708</v>
      </c>
      <c r="C3638" s="104" t="s">
        <v>40</v>
      </c>
      <c r="D3638" s="129" t="s">
        <v>22668</v>
      </c>
    </row>
    <row r="3639" spans="1:4">
      <c r="A3639" s="105">
        <v>100805</v>
      </c>
      <c r="B3639" s="104" t="s">
        <v>3709</v>
      </c>
      <c r="C3639" s="104" t="s">
        <v>40</v>
      </c>
      <c r="D3639" s="129" t="s">
        <v>22669</v>
      </c>
    </row>
    <row r="3640" spans="1:4">
      <c r="A3640" s="105">
        <v>100806</v>
      </c>
      <c r="B3640" s="104" t="s">
        <v>3710</v>
      </c>
      <c r="C3640" s="104" t="s">
        <v>40</v>
      </c>
      <c r="D3640" s="129" t="s">
        <v>22670</v>
      </c>
    </row>
    <row r="3641" spans="1:4">
      <c r="A3641" s="105">
        <v>100807</v>
      </c>
      <c r="B3641" s="104" t="s">
        <v>3711</v>
      </c>
      <c r="C3641" s="104" t="s">
        <v>40</v>
      </c>
      <c r="D3641" s="129" t="s">
        <v>22329</v>
      </c>
    </row>
    <row r="3642" spans="1:4">
      <c r="A3642" s="105">
        <v>100808</v>
      </c>
      <c r="B3642" s="104" t="s">
        <v>3712</v>
      </c>
      <c r="C3642" s="104" t="s">
        <v>40</v>
      </c>
      <c r="D3642" s="129" t="s">
        <v>18699</v>
      </c>
    </row>
    <row r="3643" spans="1:4">
      <c r="A3643" s="105">
        <v>100809</v>
      </c>
      <c r="B3643" s="104" t="s">
        <v>3713</v>
      </c>
      <c r="C3643" s="104" t="s">
        <v>40</v>
      </c>
      <c r="D3643" s="129" t="s">
        <v>22671</v>
      </c>
    </row>
    <row r="3644" spans="1:4">
      <c r="A3644" s="105">
        <v>100810</v>
      </c>
      <c r="B3644" s="104" t="s">
        <v>3714</v>
      </c>
      <c r="C3644" s="104" t="s">
        <v>40</v>
      </c>
      <c r="D3644" s="129" t="s">
        <v>22672</v>
      </c>
    </row>
    <row r="3645" spans="1:4">
      <c r="A3645" s="105">
        <v>101918</v>
      </c>
      <c r="B3645" s="104" t="s">
        <v>3715</v>
      </c>
      <c r="C3645" s="104" t="s">
        <v>40</v>
      </c>
      <c r="D3645" s="129" t="s">
        <v>22673</v>
      </c>
    </row>
    <row r="3646" spans="1:4">
      <c r="A3646" s="105">
        <v>101919</v>
      </c>
      <c r="B3646" s="104" t="s">
        <v>3716</v>
      </c>
      <c r="C3646" s="104" t="s">
        <v>183</v>
      </c>
      <c r="D3646" s="129" t="s">
        <v>22674</v>
      </c>
    </row>
    <row r="3647" spans="1:4">
      <c r="A3647" s="105">
        <v>101920</v>
      </c>
      <c r="B3647" s="104" t="s">
        <v>3717</v>
      </c>
      <c r="C3647" s="104" t="s">
        <v>183</v>
      </c>
      <c r="D3647" s="129" t="s">
        <v>22675</v>
      </c>
    </row>
    <row r="3648" spans="1:4">
      <c r="A3648" s="105">
        <v>101921</v>
      </c>
      <c r="B3648" s="104" t="s">
        <v>3718</v>
      </c>
      <c r="C3648" s="104" t="s">
        <v>183</v>
      </c>
      <c r="D3648" s="129" t="s">
        <v>22676</v>
      </c>
    </row>
    <row r="3649" spans="1:4">
      <c r="A3649" s="105">
        <v>101922</v>
      </c>
      <c r="B3649" s="104" t="s">
        <v>3719</v>
      </c>
      <c r="C3649" s="104" t="s">
        <v>183</v>
      </c>
      <c r="D3649" s="129" t="s">
        <v>22676</v>
      </c>
    </row>
    <row r="3650" spans="1:4">
      <c r="A3650" s="105">
        <v>101923</v>
      </c>
      <c r="B3650" s="104" t="s">
        <v>3720</v>
      </c>
      <c r="C3650" s="104" t="s">
        <v>183</v>
      </c>
      <c r="D3650" s="129" t="s">
        <v>22676</v>
      </c>
    </row>
    <row r="3651" spans="1:4">
      <c r="A3651" s="105">
        <v>101924</v>
      </c>
      <c r="B3651" s="104" t="s">
        <v>3721</v>
      </c>
      <c r="C3651" s="104" t="s">
        <v>183</v>
      </c>
      <c r="D3651" s="129" t="s">
        <v>22677</v>
      </c>
    </row>
    <row r="3652" spans="1:4">
      <c r="A3652" s="105">
        <v>101925</v>
      </c>
      <c r="B3652" s="104" t="s">
        <v>3722</v>
      </c>
      <c r="C3652" s="104" t="s">
        <v>183</v>
      </c>
      <c r="D3652" s="129" t="s">
        <v>22678</v>
      </c>
    </row>
    <row r="3653" spans="1:4">
      <c r="A3653" s="105">
        <v>101926</v>
      </c>
      <c r="B3653" s="104" t="s">
        <v>3723</v>
      </c>
      <c r="C3653" s="104" t="s">
        <v>183</v>
      </c>
      <c r="D3653" s="129" t="s">
        <v>22679</v>
      </c>
    </row>
    <row r="3654" spans="1:4">
      <c r="A3654" s="105">
        <v>101927</v>
      </c>
      <c r="B3654" s="104" t="s">
        <v>3724</v>
      </c>
      <c r="C3654" s="104" t="s">
        <v>40</v>
      </c>
      <c r="D3654" s="129" t="s">
        <v>22680</v>
      </c>
    </row>
    <row r="3655" spans="1:4">
      <c r="A3655" s="105">
        <v>101928</v>
      </c>
      <c r="B3655" s="104" t="s">
        <v>3725</v>
      </c>
      <c r="C3655" s="104" t="s">
        <v>183</v>
      </c>
      <c r="D3655" s="129" t="s">
        <v>22681</v>
      </c>
    </row>
    <row r="3656" spans="1:4">
      <c r="A3656" s="105">
        <v>101929</v>
      </c>
      <c r="B3656" s="104" t="s">
        <v>3726</v>
      </c>
      <c r="C3656" s="104" t="s">
        <v>183</v>
      </c>
      <c r="D3656" s="129" t="s">
        <v>22682</v>
      </c>
    </row>
    <row r="3657" spans="1:4">
      <c r="A3657" s="105">
        <v>101930</v>
      </c>
      <c r="B3657" s="104" t="s">
        <v>3727</v>
      </c>
      <c r="C3657" s="104" t="s">
        <v>183</v>
      </c>
      <c r="D3657" s="129" t="s">
        <v>22683</v>
      </c>
    </row>
    <row r="3658" spans="1:4">
      <c r="A3658" s="105">
        <v>101931</v>
      </c>
      <c r="B3658" s="104" t="s">
        <v>3728</v>
      </c>
      <c r="C3658" s="104" t="s">
        <v>183</v>
      </c>
      <c r="D3658" s="129" t="s">
        <v>22683</v>
      </c>
    </row>
    <row r="3659" spans="1:4">
      <c r="A3659" s="105">
        <v>101932</v>
      </c>
      <c r="B3659" s="104" t="s">
        <v>3729</v>
      </c>
      <c r="C3659" s="104" t="s">
        <v>183</v>
      </c>
      <c r="D3659" s="129" t="s">
        <v>22683</v>
      </c>
    </row>
    <row r="3660" spans="1:4">
      <c r="A3660" s="105">
        <v>101933</v>
      </c>
      <c r="B3660" s="104" t="s">
        <v>3730</v>
      </c>
      <c r="C3660" s="104" t="s">
        <v>183</v>
      </c>
      <c r="D3660" s="129" t="s">
        <v>22684</v>
      </c>
    </row>
    <row r="3661" spans="1:4">
      <c r="A3661" s="105">
        <v>101934</v>
      </c>
      <c r="B3661" s="104" t="s">
        <v>3731</v>
      </c>
      <c r="C3661" s="104" t="s">
        <v>183</v>
      </c>
      <c r="D3661" s="129" t="s">
        <v>22685</v>
      </c>
    </row>
    <row r="3662" spans="1:4">
      <c r="A3662" s="105">
        <v>101935</v>
      </c>
      <c r="B3662" s="104" t="s">
        <v>3732</v>
      </c>
      <c r="C3662" s="104" t="s">
        <v>183</v>
      </c>
      <c r="D3662" s="129" t="s">
        <v>22686</v>
      </c>
    </row>
    <row r="3663" spans="1:4">
      <c r="A3663" s="105">
        <v>89358</v>
      </c>
      <c r="B3663" s="104" t="s">
        <v>3733</v>
      </c>
      <c r="C3663" s="104" t="s">
        <v>183</v>
      </c>
      <c r="D3663" s="129" t="s">
        <v>15716</v>
      </c>
    </row>
    <row r="3664" spans="1:4">
      <c r="A3664" s="105">
        <v>89359</v>
      </c>
      <c r="B3664" s="104" t="s">
        <v>3734</v>
      </c>
      <c r="C3664" s="104" t="s">
        <v>183</v>
      </c>
      <c r="D3664" s="129" t="s">
        <v>22687</v>
      </c>
    </row>
    <row r="3665" spans="1:4">
      <c r="A3665" s="105">
        <v>89360</v>
      </c>
      <c r="B3665" s="104" t="s">
        <v>3735</v>
      </c>
      <c r="C3665" s="104" t="s">
        <v>183</v>
      </c>
      <c r="D3665" s="129" t="s">
        <v>18331</v>
      </c>
    </row>
    <row r="3666" spans="1:4">
      <c r="A3666" s="105">
        <v>89361</v>
      </c>
      <c r="B3666" s="104" t="s">
        <v>3736</v>
      </c>
      <c r="C3666" s="104" t="s">
        <v>183</v>
      </c>
      <c r="D3666" s="129" t="s">
        <v>22688</v>
      </c>
    </row>
    <row r="3667" spans="1:4">
      <c r="A3667" s="105">
        <v>89362</v>
      </c>
      <c r="B3667" s="104" t="s">
        <v>3737</v>
      </c>
      <c r="C3667" s="104" t="s">
        <v>183</v>
      </c>
      <c r="D3667" s="129" t="s">
        <v>16492</v>
      </c>
    </row>
    <row r="3668" spans="1:4">
      <c r="A3668" s="105">
        <v>89363</v>
      </c>
      <c r="B3668" s="104" t="s">
        <v>3738</v>
      </c>
      <c r="C3668" s="104" t="s">
        <v>183</v>
      </c>
      <c r="D3668" s="129" t="s">
        <v>14931</v>
      </c>
    </row>
    <row r="3669" spans="1:4">
      <c r="A3669" s="105">
        <v>89364</v>
      </c>
      <c r="B3669" s="104" t="s">
        <v>3739</v>
      </c>
      <c r="C3669" s="104" t="s">
        <v>183</v>
      </c>
      <c r="D3669" s="129" t="s">
        <v>19583</v>
      </c>
    </row>
    <row r="3670" spans="1:4">
      <c r="A3670" s="105">
        <v>89365</v>
      </c>
      <c r="B3670" s="104" t="s">
        <v>3740</v>
      </c>
      <c r="C3670" s="104" t="s">
        <v>183</v>
      </c>
      <c r="D3670" s="129" t="s">
        <v>17238</v>
      </c>
    </row>
    <row r="3671" spans="1:4">
      <c r="A3671" s="105">
        <v>89366</v>
      </c>
      <c r="B3671" s="104" t="s">
        <v>3741</v>
      </c>
      <c r="C3671" s="104" t="s">
        <v>183</v>
      </c>
      <c r="D3671" s="129" t="s">
        <v>15651</v>
      </c>
    </row>
    <row r="3672" spans="1:4">
      <c r="A3672" s="105">
        <v>89367</v>
      </c>
      <c r="B3672" s="104" t="s">
        <v>3742</v>
      </c>
      <c r="C3672" s="104" t="s">
        <v>183</v>
      </c>
      <c r="D3672" s="129" t="s">
        <v>15170</v>
      </c>
    </row>
    <row r="3673" spans="1:4">
      <c r="A3673" s="105">
        <v>89368</v>
      </c>
      <c r="B3673" s="104" t="s">
        <v>3743</v>
      </c>
      <c r="C3673" s="104" t="s">
        <v>183</v>
      </c>
      <c r="D3673" s="129" t="s">
        <v>16972</v>
      </c>
    </row>
    <row r="3674" spans="1:4">
      <c r="A3674" s="105">
        <v>89369</v>
      </c>
      <c r="B3674" s="104" t="s">
        <v>3744</v>
      </c>
      <c r="C3674" s="104" t="s">
        <v>183</v>
      </c>
      <c r="D3674" s="129" t="s">
        <v>18075</v>
      </c>
    </row>
    <row r="3675" spans="1:4">
      <c r="A3675" s="105">
        <v>89370</v>
      </c>
      <c r="B3675" s="104" t="s">
        <v>3745</v>
      </c>
      <c r="C3675" s="104" t="s">
        <v>183</v>
      </c>
      <c r="D3675" s="129" t="s">
        <v>18039</v>
      </c>
    </row>
    <row r="3676" spans="1:4">
      <c r="A3676" s="105">
        <v>89371</v>
      </c>
      <c r="B3676" s="104" t="s">
        <v>3746</v>
      </c>
      <c r="C3676" s="104" t="s">
        <v>183</v>
      </c>
      <c r="D3676" s="129" t="s">
        <v>22689</v>
      </c>
    </row>
    <row r="3677" spans="1:4">
      <c r="A3677" s="105">
        <v>89372</v>
      </c>
      <c r="B3677" s="104" t="s">
        <v>3747</v>
      </c>
      <c r="C3677" s="104" t="s">
        <v>183</v>
      </c>
      <c r="D3677" s="129" t="s">
        <v>22690</v>
      </c>
    </row>
    <row r="3678" spans="1:4">
      <c r="A3678" s="105">
        <v>89373</v>
      </c>
      <c r="B3678" s="104" t="s">
        <v>3748</v>
      </c>
      <c r="C3678" s="104" t="s">
        <v>183</v>
      </c>
      <c r="D3678" s="129" t="s">
        <v>18845</v>
      </c>
    </row>
    <row r="3679" spans="1:4">
      <c r="A3679" s="105">
        <v>89374</v>
      </c>
      <c r="B3679" s="104" t="s">
        <v>3749</v>
      </c>
      <c r="C3679" s="104" t="s">
        <v>183</v>
      </c>
      <c r="D3679" s="129" t="s">
        <v>17298</v>
      </c>
    </row>
    <row r="3680" spans="1:4">
      <c r="A3680" s="105">
        <v>89375</v>
      </c>
      <c r="B3680" s="104" t="s">
        <v>3750</v>
      </c>
      <c r="C3680" s="104" t="s">
        <v>183</v>
      </c>
      <c r="D3680" s="129" t="s">
        <v>17249</v>
      </c>
    </row>
    <row r="3681" spans="1:4">
      <c r="A3681" s="105">
        <v>89376</v>
      </c>
      <c r="B3681" s="104" t="s">
        <v>3751</v>
      </c>
      <c r="C3681" s="104" t="s">
        <v>183</v>
      </c>
      <c r="D3681" s="129" t="s">
        <v>15770</v>
      </c>
    </row>
    <row r="3682" spans="1:4">
      <c r="A3682" s="105">
        <v>89377</v>
      </c>
      <c r="B3682" s="104" t="s">
        <v>3752</v>
      </c>
      <c r="C3682" s="104" t="s">
        <v>183</v>
      </c>
      <c r="D3682" s="129" t="s">
        <v>19298</v>
      </c>
    </row>
    <row r="3683" spans="1:4">
      <c r="A3683" s="105">
        <v>89378</v>
      </c>
      <c r="B3683" s="104" t="s">
        <v>3753</v>
      </c>
      <c r="C3683" s="104" t="s">
        <v>183</v>
      </c>
      <c r="D3683" s="129" t="s">
        <v>14756</v>
      </c>
    </row>
    <row r="3684" spans="1:4">
      <c r="A3684" s="105">
        <v>89379</v>
      </c>
      <c r="B3684" s="104" t="s">
        <v>3754</v>
      </c>
      <c r="C3684" s="104" t="s">
        <v>183</v>
      </c>
      <c r="D3684" s="129" t="s">
        <v>14861</v>
      </c>
    </row>
    <row r="3685" spans="1:4">
      <c r="A3685" s="105">
        <v>89380</v>
      </c>
      <c r="B3685" s="104" t="s">
        <v>3755</v>
      </c>
      <c r="C3685" s="104" t="s">
        <v>183</v>
      </c>
      <c r="D3685" s="129" t="s">
        <v>17198</v>
      </c>
    </row>
    <row r="3686" spans="1:4">
      <c r="A3686" s="105">
        <v>89381</v>
      </c>
      <c r="B3686" s="104" t="s">
        <v>3756</v>
      </c>
      <c r="C3686" s="104" t="s">
        <v>183</v>
      </c>
      <c r="D3686" s="129" t="s">
        <v>15660</v>
      </c>
    </row>
    <row r="3687" spans="1:4">
      <c r="A3687" s="105">
        <v>89382</v>
      </c>
      <c r="B3687" s="104" t="s">
        <v>3757</v>
      </c>
      <c r="C3687" s="104" t="s">
        <v>183</v>
      </c>
      <c r="D3687" s="129" t="s">
        <v>17147</v>
      </c>
    </row>
    <row r="3688" spans="1:4">
      <c r="A3688" s="105">
        <v>89383</v>
      </c>
      <c r="B3688" s="104" t="s">
        <v>3758</v>
      </c>
      <c r="C3688" s="104" t="s">
        <v>183</v>
      </c>
      <c r="D3688" s="129" t="s">
        <v>19133</v>
      </c>
    </row>
    <row r="3689" spans="1:4">
      <c r="A3689" s="105">
        <v>89384</v>
      </c>
      <c r="B3689" s="104" t="s">
        <v>3759</v>
      </c>
      <c r="C3689" s="104" t="s">
        <v>183</v>
      </c>
      <c r="D3689" s="129" t="s">
        <v>22691</v>
      </c>
    </row>
    <row r="3690" spans="1:4">
      <c r="A3690" s="105">
        <v>89385</v>
      </c>
      <c r="B3690" s="104" t="s">
        <v>3760</v>
      </c>
      <c r="C3690" s="104" t="s">
        <v>183</v>
      </c>
      <c r="D3690" s="129" t="s">
        <v>17261</v>
      </c>
    </row>
    <row r="3691" spans="1:4">
      <c r="A3691" s="105">
        <v>89386</v>
      </c>
      <c r="B3691" s="104" t="s">
        <v>3761</v>
      </c>
      <c r="C3691" s="104" t="s">
        <v>183</v>
      </c>
      <c r="D3691" s="129" t="s">
        <v>18066</v>
      </c>
    </row>
    <row r="3692" spans="1:4">
      <c r="A3692" s="105">
        <v>89387</v>
      </c>
      <c r="B3692" s="104" t="s">
        <v>3762</v>
      </c>
      <c r="C3692" s="104" t="s">
        <v>183</v>
      </c>
      <c r="D3692" s="129" t="s">
        <v>22692</v>
      </c>
    </row>
    <row r="3693" spans="1:4">
      <c r="A3693" s="105">
        <v>89388</v>
      </c>
      <c r="B3693" s="104" t="s">
        <v>3763</v>
      </c>
      <c r="C3693" s="104" t="s">
        <v>183</v>
      </c>
      <c r="D3693" s="129" t="s">
        <v>20384</v>
      </c>
    </row>
    <row r="3694" spans="1:4">
      <c r="A3694" s="105">
        <v>89389</v>
      </c>
      <c r="B3694" s="104" t="s">
        <v>3764</v>
      </c>
      <c r="C3694" s="104" t="s">
        <v>183</v>
      </c>
      <c r="D3694" s="129" t="s">
        <v>20134</v>
      </c>
    </row>
    <row r="3695" spans="1:4">
      <c r="A3695" s="105">
        <v>89390</v>
      </c>
      <c r="B3695" s="104" t="s">
        <v>3765</v>
      </c>
      <c r="C3695" s="104" t="s">
        <v>183</v>
      </c>
      <c r="D3695" s="129" t="s">
        <v>22693</v>
      </c>
    </row>
    <row r="3696" spans="1:4">
      <c r="A3696" s="105">
        <v>89391</v>
      </c>
      <c r="B3696" s="104" t="s">
        <v>3766</v>
      </c>
      <c r="C3696" s="104" t="s">
        <v>183</v>
      </c>
      <c r="D3696" s="129" t="s">
        <v>19119</v>
      </c>
    </row>
    <row r="3697" spans="1:4">
      <c r="A3697" s="105">
        <v>89392</v>
      </c>
      <c r="B3697" s="104" t="s">
        <v>3767</v>
      </c>
      <c r="C3697" s="104" t="s">
        <v>183</v>
      </c>
      <c r="D3697" s="129" t="s">
        <v>22694</v>
      </c>
    </row>
    <row r="3698" spans="1:4">
      <c r="A3698" s="105">
        <v>89393</v>
      </c>
      <c r="B3698" s="104" t="s">
        <v>3768</v>
      </c>
      <c r="C3698" s="104" t="s">
        <v>183</v>
      </c>
      <c r="D3698" s="129" t="s">
        <v>18662</v>
      </c>
    </row>
    <row r="3699" spans="1:4">
      <c r="A3699" s="105">
        <v>89394</v>
      </c>
      <c r="B3699" s="104" t="s">
        <v>3769</v>
      </c>
      <c r="C3699" s="104" t="s">
        <v>183</v>
      </c>
      <c r="D3699" s="129" t="s">
        <v>16891</v>
      </c>
    </row>
    <row r="3700" spans="1:4">
      <c r="A3700" s="105">
        <v>89395</v>
      </c>
      <c r="B3700" s="104" t="s">
        <v>3770</v>
      </c>
      <c r="C3700" s="104" t="s">
        <v>183</v>
      </c>
      <c r="D3700" s="129" t="s">
        <v>14760</v>
      </c>
    </row>
    <row r="3701" spans="1:4">
      <c r="A3701" s="105">
        <v>89396</v>
      </c>
      <c r="B3701" s="104" t="s">
        <v>3771</v>
      </c>
      <c r="C3701" s="104" t="s">
        <v>183</v>
      </c>
      <c r="D3701" s="129" t="s">
        <v>17253</v>
      </c>
    </row>
    <row r="3702" spans="1:4">
      <c r="A3702" s="105">
        <v>89397</v>
      </c>
      <c r="B3702" s="104" t="s">
        <v>3772</v>
      </c>
      <c r="C3702" s="104" t="s">
        <v>183</v>
      </c>
      <c r="D3702" s="129" t="s">
        <v>16925</v>
      </c>
    </row>
    <row r="3703" spans="1:4">
      <c r="A3703" s="105">
        <v>89398</v>
      </c>
      <c r="B3703" s="104" t="s">
        <v>3773</v>
      </c>
      <c r="C3703" s="104" t="s">
        <v>183</v>
      </c>
      <c r="D3703" s="129" t="s">
        <v>17488</v>
      </c>
    </row>
    <row r="3704" spans="1:4">
      <c r="A3704" s="105">
        <v>89399</v>
      </c>
      <c r="B3704" s="104" t="s">
        <v>3774</v>
      </c>
      <c r="C3704" s="104" t="s">
        <v>183</v>
      </c>
      <c r="D3704" s="129" t="s">
        <v>19487</v>
      </c>
    </row>
    <row r="3705" spans="1:4">
      <c r="A3705" s="105">
        <v>89400</v>
      </c>
      <c r="B3705" s="104" t="s">
        <v>3775</v>
      </c>
      <c r="C3705" s="104" t="s">
        <v>183</v>
      </c>
      <c r="D3705" s="129" t="s">
        <v>22695</v>
      </c>
    </row>
    <row r="3706" spans="1:4">
      <c r="A3706" s="105">
        <v>89404</v>
      </c>
      <c r="B3706" s="104" t="s">
        <v>3776</v>
      </c>
      <c r="C3706" s="104" t="s">
        <v>183</v>
      </c>
      <c r="D3706" s="129" t="s">
        <v>22696</v>
      </c>
    </row>
    <row r="3707" spans="1:4">
      <c r="A3707" s="105">
        <v>89405</v>
      </c>
      <c r="B3707" s="104" t="s">
        <v>3777</v>
      </c>
      <c r="C3707" s="104" t="s">
        <v>183</v>
      </c>
      <c r="D3707" s="129" t="s">
        <v>22697</v>
      </c>
    </row>
    <row r="3708" spans="1:4">
      <c r="A3708" s="105">
        <v>89406</v>
      </c>
      <c r="B3708" s="104" t="s">
        <v>3778</v>
      </c>
      <c r="C3708" s="104" t="s">
        <v>183</v>
      </c>
      <c r="D3708" s="129" t="s">
        <v>19597</v>
      </c>
    </row>
    <row r="3709" spans="1:4">
      <c r="A3709" s="105">
        <v>89407</v>
      </c>
      <c r="B3709" s="104" t="s">
        <v>3779</v>
      </c>
      <c r="C3709" s="104" t="s">
        <v>183</v>
      </c>
      <c r="D3709" s="129" t="s">
        <v>14756</v>
      </c>
    </row>
    <row r="3710" spans="1:4">
      <c r="A3710" s="105">
        <v>89408</v>
      </c>
      <c r="B3710" s="104" t="s">
        <v>3780</v>
      </c>
      <c r="C3710" s="104" t="s">
        <v>183</v>
      </c>
      <c r="D3710" s="129" t="s">
        <v>18070</v>
      </c>
    </row>
    <row r="3711" spans="1:4">
      <c r="A3711" s="105">
        <v>89409</v>
      </c>
      <c r="B3711" s="104" t="s">
        <v>3781</v>
      </c>
      <c r="C3711" s="104" t="s">
        <v>183</v>
      </c>
      <c r="D3711" s="129" t="s">
        <v>19254</v>
      </c>
    </row>
    <row r="3712" spans="1:4">
      <c r="A3712" s="105">
        <v>89410</v>
      </c>
      <c r="B3712" s="104" t="s">
        <v>3782</v>
      </c>
      <c r="C3712" s="104" t="s">
        <v>183</v>
      </c>
      <c r="D3712" s="129" t="s">
        <v>17191</v>
      </c>
    </row>
    <row r="3713" spans="1:4">
      <c r="A3713" s="105">
        <v>89411</v>
      </c>
      <c r="B3713" s="104" t="s">
        <v>3783</v>
      </c>
      <c r="C3713" s="104" t="s">
        <v>183</v>
      </c>
      <c r="D3713" s="129" t="s">
        <v>17212</v>
      </c>
    </row>
    <row r="3714" spans="1:4">
      <c r="A3714" s="105">
        <v>89412</v>
      </c>
      <c r="B3714" s="104" t="s">
        <v>3784</v>
      </c>
      <c r="C3714" s="104" t="s">
        <v>183</v>
      </c>
      <c r="D3714" s="129" t="s">
        <v>18018</v>
      </c>
    </row>
    <row r="3715" spans="1:4">
      <c r="A3715" s="105">
        <v>89413</v>
      </c>
      <c r="B3715" s="104" t="s">
        <v>3785</v>
      </c>
      <c r="C3715" s="104" t="s">
        <v>183</v>
      </c>
      <c r="D3715" s="129" t="s">
        <v>22698</v>
      </c>
    </row>
    <row r="3716" spans="1:4">
      <c r="A3716" s="105">
        <v>89414</v>
      </c>
      <c r="B3716" s="104" t="s">
        <v>3786</v>
      </c>
      <c r="C3716" s="104" t="s">
        <v>183</v>
      </c>
      <c r="D3716" s="129" t="s">
        <v>22699</v>
      </c>
    </row>
    <row r="3717" spans="1:4">
      <c r="A3717" s="105">
        <v>89415</v>
      </c>
      <c r="B3717" s="104" t="s">
        <v>3787</v>
      </c>
      <c r="C3717" s="104" t="s">
        <v>183</v>
      </c>
      <c r="D3717" s="129" t="s">
        <v>21035</v>
      </c>
    </row>
    <row r="3718" spans="1:4">
      <c r="A3718" s="105">
        <v>89416</v>
      </c>
      <c r="B3718" s="104" t="s">
        <v>3788</v>
      </c>
      <c r="C3718" s="104" t="s">
        <v>183</v>
      </c>
      <c r="D3718" s="129" t="s">
        <v>22700</v>
      </c>
    </row>
    <row r="3719" spans="1:4">
      <c r="A3719" s="105">
        <v>89417</v>
      </c>
      <c r="B3719" s="104" t="s">
        <v>3789</v>
      </c>
      <c r="C3719" s="104" t="s">
        <v>183</v>
      </c>
      <c r="D3719" s="129" t="s">
        <v>15727</v>
      </c>
    </row>
    <row r="3720" spans="1:4">
      <c r="A3720" s="105">
        <v>89418</v>
      </c>
      <c r="B3720" s="104" t="s">
        <v>3790</v>
      </c>
      <c r="C3720" s="104" t="s">
        <v>183</v>
      </c>
      <c r="D3720" s="129" t="s">
        <v>22701</v>
      </c>
    </row>
    <row r="3721" spans="1:4">
      <c r="A3721" s="105">
        <v>89419</v>
      </c>
      <c r="B3721" s="104" t="s">
        <v>3791</v>
      </c>
      <c r="C3721" s="104" t="s">
        <v>183</v>
      </c>
      <c r="D3721" s="129" t="s">
        <v>18840</v>
      </c>
    </row>
    <row r="3722" spans="1:4">
      <c r="A3722" s="105">
        <v>89420</v>
      </c>
      <c r="B3722" s="104" t="s">
        <v>3792</v>
      </c>
      <c r="C3722" s="104" t="s">
        <v>183</v>
      </c>
      <c r="D3722" s="129" t="s">
        <v>18052</v>
      </c>
    </row>
    <row r="3723" spans="1:4">
      <c r="A3723" s="105">
        <v>89421</v>
      </c>
      <c r="B3723" s="104" t="s">
        <v>3793</v>
      </c>
      <c r="C3723" s="104" t="s">
        <v>183</v>
      </c>
      <c r="D3723" s="129" t="s">
        <v>19262</v>
      </c>
    </row>
    <row r="3724" spans="1:4">
      <c r="A3724" s="105">
        <v>89422</v>
      </c>
      <c r="B3724" s="104" t="s">
        <v>3794</v>
      </c>
      <c r="C3724" s="104" t="s">
        <v>183</v>
      </c>
      <c r="D3724" s="129" t="s">
        <v>22060</v>
      </c>
    </row>
    <row r="3725" spans="1:4">
      <c r="A3725" s="105">
        <v>89423</v>
      </c>
      <c r="B3725" s="104" t="s">
        <v>3795</v>
      </c>
      <c r="C3725" s="104" t="s">
        <v>183</v>
      </c>
      <c r="D3725" s="129" t="s">
        <v>22099</v>
      </c>
    </row>
    <row r="3726" spans="1:4">
      <c r="A3726" s="105">
        <v>89424</v>
      </c>
      <c r="B3726" s="104" t="s">
        <v>3796</v>
      </c>
      <c r="C3726" s="104" t="s">
        <v>183</v>
      </c>
      <c r="D3726" s="129" t="s">
        <v>15812</v>
      </c>
    </row>
    <row r="3727" spans="1:4">
      <c r="A3727" s="105">
        <v>89425</v>
      </c>
      <c r="B3727" s="104" t="s">
        <v>3797</v>
      </c>
      <c r="C3727" s="104" t="s">
        <v>183</v>
      </c>
      <c r="D3727" s="129" t="s">
        <v>19292</v>
      </c>
    </row>
    <row r="3728" spans="1:4">
      <c r="A3728" s="105">
        <v>89426</v>
      </c>
      <c r="B3728" s="104" t="s">
        <v>3798</v>
      </c>
      <c r="C3728" s="104" t="s">
        <v>183</v>
      </c>
      <c r="D3728" s="129" t="s">
        <v>22702</v>
      </c>
    </row>
    <row r="3729" spans="1:4">
      <c r="A3729" s="105">
        <v>89427</v>
      </c>
      <c r="B3729" s="104" t="s">
        <v>3799</v>
      </c>
      <c r="C3729" s="104" t="s">
        <v>183</v>
      </c>
      <c r="D3729" s="129" t="s">
        <v>22703</v>
      </c>
    </row>
    <row r="3730" spans="1:4">
      <c r="A3730" s="105">
        <v>89428</v>
      </c>
      <c r="B3730" s="104" t="s">
        <v>3800</v>
      </c>
      <c r="C3730" s="104" t="s">
        <v>183</v>
      </c>
      <c r="D3730" s="129" t="s">
        <v>19587</v>
      </c>
    </row>
    <row r="3731" spans="1:4">
      <c r="A3731" s="105">
        <v>89429</v>
      </c>
      <c r="B3731" s="104" t="s">
        <v>3801</v>
      </c>
      <c r="C3731" s="104" t="s">
        <v>183</v>
      </c>
      <c r="D3731" s="129" t="s">
        <v>22704</v>
      </c>
    </row>
    <row r="3732" spans="1:4">
      <c r="A3732" s="105">
        <v>89430</v>
      </c>
      <c r="B3732" s="104" t="s">
        <v>3802</v>
      </c>
      <c r="C3732" s="104" t="s">
        <v>183</v>
      </c>
      <c r="D3732" s="129" t="s">
        <v>22705</v>
      </c>
    </row>
    <row r="3733" spans="1:4">
      <c r="A3733" s="105">
        <v>89431</v>
      </c>
      <c r="B3733" s="104" t="s">
        <v>3803</v>
      </c>
      <c r="C3733" s="104" t="s">
        <v>183</v>
      </c>
      <c r="D3733" s="129" t="s">
        <v>17716</v>
      </c>
    </row>
    <row r="3734" spans="1:4">
      <c r="A3734" s="105">
        <v>89432</v>
      </c>
      <c r="B3734" s="104" t="s">
        <v>3804</v>
      </c>
      <c r="C3734" s="104" t="s">
        <v>183</v>
      </c>
      <c r="D3734" s="129" t="s">
        <v>18144</v>
      </c>
    </row>
    <row r="3735" spans="1:4">
      <c r="A3735" s="105">
        <v>89433</v>
      </c>
      <c r="B3735" s="104" t="s">
        <v>3805</v>
      </c>
      <c r="C3735" s="104" t="s">
        <v>183</v>
      </c>
      <c r="D3735" s="129" t="s">
        <v>22706</v>
      </c>
    </row>
    <row r="3736" spans="1:4">
      <c r="A3736" s="105">
        <v>89434</v>
      </c>
      <c r="B3736" s="104" t="s">
        <v>3806</v>
      </c>
      <c r="C3736" s="104" t="s">
        <v>183</v>
      </c>
      <c r="D3736" s="129" t="s">
        <v>17197</v>
      </c>
    </row>
    <row r="3737" spans="1:4">
      <c r="A3737" s="105">
        <v>89435</v>
      </c>
      <c r="B3737" s="104" t="s">
        <v>3807</v>
      </c>
      <c r="C3737" s="104" t="s">
        <v>183</v>
      </c>
      <c r="D3737" s="129" t="s">
        <v>19572</v>
      </c>
    </row>
    <row r="3738" spans="1:4">
      <c r="A3738" s="105">
        <v>89436</v>
      </c>
      <c r="B3738" s="104" t="s">
        <v>3808</v>
      </c>
      <c r="C3738" s="104" t="s">
        <v>183</v>
      </c>
      <c r="D3738" s="129" t="s">
        <v>17211</v>
      </c>
    </row>
    <row r="3739" spans="1:4">
      <c r="A3739" s="105">
        <v>89437</v>
      </c>
      <c r="B3739" s="104" t="s">
        <v>3809</v>
      </c>
      <c r="C3739" s="104" t="s">
        <v>183</v>
      </c>
      <c r="D3739" s="129" t="s">
        <v>22707</v>
      </c>
    </row>
    <row r="3740" spans="1:4">
      <c r="A3740" s="105">
        <v>89438</v>
      </c>
      <c r="B3740" s="104" t="s">
        <v>3810</v>
      </c>
      <c r="C3740" s="104" t="s">
        <v>183</v>
      </c>
      <c r="D3740" s="129" t="s">
        <v>17211</v>
      </c>
    </row>
    <row r="3741" spans="1:4">
      <c r="A3741" s="105">
        <v>89439</v>
      </c>
      <c r="B3741" s="104" t="s">
        <v>3811</v>
      </c>
      <c r="C3741" s="104" t="s">
        <v>183</v>
      </c>
      <c r="D3741" s="129" t="s">
        <v>15578</v>
      </c>
    </row>
    <row r="3742" spans="1:4">
      <c r="A3742" s="105">
        <v>89440</v>
      </c>
      <c r="B3742" s="104" t="s">
        <v>3812</v>
      </c>
      <c r="C3742" s="104" t="s">
        <v>183</v>
      </c>
      <c r="D3742" s="129" t="s">
        <v>22688</v>
      </c>
    </row>
    <row r="3743" spans="1:4">
      <c r="A3743" s="105">
        <v>89441</v>
      </c>
      <c r="B3743" s="104" t="s">
        <v>3813</v>
      </c>
      <c r="C3743" s="104" t="s">
        <v>183</v>
      </c>
      <c r="D3743" s="129" t="s">
        <v>21878</v>
      </c>
    </row>
    <row r="3744" spans="1:4">
      <c r="A3744" s="105">
        <v>89442</v>
      </c>
      <c r="B3744" s="104" t="s">
        <v>3814</v>
      </c>
      <c r="C3744" s="104" t="s">
        <v>183</v>
      </c>
      <c r="D3744" s="129" t="s">
        <v>20380</v>
      </c>
    </row>
    <row r="3745" spans="1:4">
      <c r="A3745" s="105">
        <v>89443</v>
      </c>
      <c r="B3745" s="104" t="s">
        <v>3815</v>
      </c>
      <c r="C3745" s="104" t="s">
        <v>183</v>
      </c>
      <c r="D3745" s="129" t="s">
        <v>17294</v>
      </c>
    </row>
    <row r="3746" spans="1:4">
      <c r="A3746" s="105">
        <v>89444</v>
      </c>
      <c r="B3746" s="104" t="s">
        <v>3816</v>
      </c>
      <c r="C3746" s="104" t="s">
        <v>183</v>
      </c>
      <c r="D3746" s="129" t="s">
        <v>22708</v>
      </c>
    </row>
    <row r="3747" spans="1:4">
      <c r="A3747" s="105">
        <v>89445</v>
      </c>
      <c r="B3747" s="104" t="s">
        <v>3817</v>
      </c>
      <c r="C3747" s="104" t="s">
        <v>183</v>
      </c>
      <c r="D3747" s="129" t="s">
        <v>16890</v>
      </c>
    </row>
    <row r="3748" spans="1:4">
      <c r="A3748" s="105">
        <v>89481</v>
      </c>
      <c r="B3748" s="104" t="s">
        <v>3818</v>
      </c>
      <c r="C3748" s="104" t="s">
        <v>183</v>
      </c>
      <c r="D3748" s="129" t="s">
        <v>22709</v>
      </c>
    </row>
    <row r="3749" spans="1:4">
      <c r="A3749" s="105">
        <v>89485</v>
      </c>
      <c r="B3749" s="104" t="s">
        <v>3819</v>
      </c>
      <c r="C3749" s="104" t="s">
        <v>183</v>
      </c>
      <c r="D3749" s="129" t="s">
        <v>18844</v>
      </c>
    </row>
    <row r="3750" spans="1:4">
      <c r="A3750" s="105">
        <v>89489</v>
      </c>
      <c r="B3750" s="104" t="s">
        <v>3820</v>
      </c>
      <c r="C3750" s="104" t="s">
        <v>183</v>
      </c>
      <c r="D3750" s="129" t="s">
        <v>15466</v>
      </c>
    </row>
    <row r="3751" spans="1:4">
      <c r="A3751" s="105">
        <v>89490</v>
      </c>
      <c r="B3751" s="104" t="s">
        <v>3821</v>
      </c>
      <c r="C3751" s="104" t="s">
        <v>183</v>
      </c>
      <c r="D3751" s="129" t="s">
        <v>22445</v>
      </c>
    </row>
    <row r="3752" spans="1:4">
      <c r="A3752" s="105">
        <v>89492</v>
      </c>
      <c r="B3752" s="104" t="s">
        <v>3822</v>
      </c>
      <c r="C3752" s="104" t="s">
        <v>183</v>
      </c>
      <c r="D3752" s="129" t="s">
        <v>17394</v>
      </c>
    </row>
    <row r="3753" spans="1:4">
      <c r="A3753" s="105">
        <v>89493</v>
      </c>
      <c r="B3753" s="104" t="s">
        <v>3823</v>
      </c>
      <c r="C3753" s="104" t="s">
        <v>183</v>
      </c>
      <c r="D3753" s="129" t="s">
        <v>22710</v>
      </c>
    </row>
    <row r="3754" spans="1:4">
      <c r="A3754" s="105">
        <v>89494</v>
      </c>
      <c r="B3754" s="104" t="s">
        <v>3824</v>
      </c>
      <c r="C3754" s="104" t="s">
        <v>183</v>
      </c>
      <c r="D3754" s="129" t="s">
        <v>16902</v>
      </c>
    </row>
    <row r="3755" spans="1:4">
      <c r="A3755" s="105">
        <v>89496</v>
      </c>
      <c r="B3755" s="104" t="s">
        <v>3825</v>
      </c>
      <c r="C3755" s="104" t="s">
        <v>183</v>
      </c>
      <c r="D3755" s="129" t="s">
        <v>19268</v>
      </c>
    </row>
    <row r="3756" spans="1:4">
      <c r="A3756" s="105">
        <v>89497</v>
      </c>
      <c r="B3756" s="104" t="s">
        <v>3826</v>
      </c>
      <c r="C3756" s="104" t="s">
        <v>183</v>
      </c>
      <c r="D3756" s="129" t="s">
        <v>18151</v>
      </c>
    </row>
    <row r="3757" spans="1:4">
      <c r="A3757" s="105">
        <v>89498</v>
      </c>
      <c r="B3757" s="104" t="s">
        <v>3827</v>
      </c>
      <c r="C3757" s="104" t="s">
        <v>183</v>
      </c>
      <c r="D3757" s="129" t="s">
        <v>22048</v>
      </c>
    </row>
    <row r="3758" spans="1:4">
      <c r="A3758" s="105">
        <v>89499</v>
      </c>
      <c r="B3758" s="104" t="s">
        <v>3828</v>
      </c>
      <c r="C3758" s="104" t="s">
        <v>183</v>
      </c>
      <c r="D3758" s="129" t="s">
        <v>17813</v>
      </c>
    </row>
    <row r="3759" spans="1:4">
      <c r="A3759" s="105">
        <v>89500</v>
      </c>
      <c r="B3759" s="104" t="s">
        <v>3829</v>
      </c>
      <c r="C3759" s="104" t="s">
        <v>183</v>
      </c>
      <c r="D3759" s="129" t="s">
        <v>16949</v>
      </c>
    </row>
    <row r="3760" spans="1:4">
      <c r="A3760" s="105">
        <v>89501</v>
      </c>
      <c r="B3760" s="104" t="s">
        <v>3830</v>
      </c>
      <c r="C3760" s="104" t="s">
        <v>183</v>
      </c>
      <c r="D3760" s="129" t="s">
        <v>22711</v>
      </c>
    </row>
    <row r="3761" spans="1:4">
      <c r="A3761" s="105">
        <v>89502</v>
      </c>
      <c r="B3761" s="104" t="s">
        <v>3831</v>
      </c>
      <c r="C3761" s="104" t="s">
        <v>183</v>
      </c>
      <c r="D3761" s="129" t="s">
        <v>19573</v>
      </c>
    </row>
    <row r="3762" spans="1:4">
      <c r="A3762" s="105">
        <v>89503</v>
      </c>
      <c r="B3762" s="104" t="s">
        <v>3832</v>
      </c>
      <c r="C3762" s="104" t="s">
        <v>183</v>
      </c>
      <c r="D3762" s="129" t="s">
        <v>17496</v>
      </c>
    </row>
    <row r="3763" spans="1:4">
      <c r="A3763" s="105">
        <v>89504</v>
      </c>
      <c r="B3763" s="104" t="s">
        <v>3833</v>
      </c>
      <c r="C3763" s="104" t="s">
        <v>183</v>
      </c>
      <c r="D3763" s="129" t="s">
        <v>18304</v>
      </c>
    </row>
    <row r="3764" spans="1:4">
      <c r="A3764" s="105">
        <v>89505</v>
      </c>
      <c r="B3764" s="104" t="s">
        <v>3834</v>
      </c>
      <c r="C3764" s="104" t="s">
        <v>183</v>
      </c>
      <c r="D3764" s="129" t="s">
        <v>18120</v>
      </c>
    </row>
    <row r="3765" spans="1:4">
      <c r="A3765" s="105">
        <v>89506</v>
      </c>
      <c r="B3765" s="104" t="s">
        <v>3835</v>
      </c>
      <c r="C3765" s="104" t="s">
        <v>183</v>
      </c>
      <c r="D3765" s="129" t="s">
        <v>22712</v>
      </c>
    </row>
    <row r="3766" spans="1:4">
      <c r="A3766" s="105">
        <v>89507</v>
      </c>
      <c r="B3766" s="104" t="s">
        <v>3836</v>
      </c>
      <c r="C3766" s="104" t="s">
        <v>183</v>
      </c>
      <c r="D3766" s="129" t="s">
        <v>20921</v>
      </c>
    </row>
    <row r="3767" spans="1:4">
      <c r="A3767" s="105">
        <v>89510</v>
      </c>
      <c r="B3767" s="104" t="s">
        <v>3837</v>
      </c>
      <c r="C3767" s="104" t="s">
        <v>183</v>
      </c>
      <c r="D3767" s="129" t="s">
        <v>18282</v>
      </c>
    </row>
    <row r="3768" spans="1:4">
      <c r="A3768" s="105">
        <v>89513</v>
      </c>
      <c r="B3768" s="104" t="s">
        <v>3838</v>
      </c>
      <c r="C3768" s="104" t="s">
        <v>183</v>
      </c>
      <c r="D3768" s="129" t="s">
        <v>22713</v>
      </c>
    </row>
    <row r="3769" spans="1:4">
      <c r="A3769" s="105">
        <v>89514</v>
      </c>
      <c r="B3769" s="104" t="s">
        <v>3839</v>
      </c>
      <c r="C3769" s="104" t="s">
        <v>183</v>
      </c>
      <c r="D3769" s="129" t="s">
        <v>18038</v>
      </c>
    </row>
    <row r="3770" spans="1:4">
      <c r="A3770" s="105">
        <v>89515</v>
      </c>
      <c r="B3770" s="104" t="s">
        <v>3840</v>
      </c>
      <c r="C3770" s="104" t="s">
        <v>183</v>
      </c>
      <c r="D3770" s="129" t="s">
        <v>22714</v>
      </c>
    </row>
    <row r="3771" spans="1:4">
      <c r="A3771" s="105">
        <v>89516</v>
      </c>
      <c r="B3771" s="104" t="s">
        <v>3841</v>
      </c>
      <c r="C3771" s="104" t="s">
        <v>183</v>
      </c>
      <c r="D3771" s="129" t="s">
        <v>17298</v>
      </c>
    </row>
    <row r="3772" spans="1:4">
      <c r="A3772" s="105">
        <v>89517</v>
      </c>
      <c r="B3772" s="104" t="s">
        <v>3842</v>
      </c>
      <c r="C3772" s="104" t="s">
        <v>183</v>
      </c>
      <c r="D3772" s="129" t="s">
        <v>22715</v>
      </c>
    </row>
    <row r="3773" spans="1:4">
      <c r="A3773" s="105">
        <v>89518</v>
      </c>
      <c r="B3773" s="104" t="s">
        <v>3843</v>
      </c>
      <c r="C3773" s="104" t="s">
        <v>183</v>
      </c>
      <c r="D3773" s="129" t="s">
        <v>22716</v>
      </c>
    </row>
    <row r="3774" spans="1:4">
      <c r="A3774" s="105">
        <v>89519</v>
      </c>
      <c r="B3774" s="104" t="s">
        <v>3844</v>
      </c>
      <c r="C3774" s="104" t="s">
        <v>183</v>
      </c>
      <c r="D3774" s="129" t="s">
        <v>22717</v>
      </c>
    </row>
    <row r="3775" spans="1:4">
      <c r="A3775" s="105">
        <v>89520</v>
      </c>
      <c r="B3775" s="104" t="s">
        <v>3845</v>
      </c>
      <c r="C3775" s="104" t="s">
        <v>183</v>
      </c>
      <c r="D3775" s="129" t="s">
        <v>15271</v>
      </c>
    </row>
    <row r="3776" spans="1:4">
      <c r="A3776" s="105">
        <v>89521</v>
      </c>
      <c r="B3776" s="104" t="s">
        <v>3846</v>
      </c>
      <c r="C3776" s="104" t="s">
        <v>183</v>
      </c>
      <c r="D3776" s="129" t="s">
        <v>22718</v>
      </c>
    </row>
    <row r="3777" spans="1:4">
      <c r="A3777" s="105">
        <v>89522</v>
      </c>
      <c r="B3777" s="104" t="s">
        <v>3847</v>
      </c>
      <c r="C3777" s="104" t="s">
        <v>183</v>
      </c>
      <c r="D3777" s="129" t="s">
        <v>22719</v>
      </c>
    </row>
    <row r="3778" spans="1:4">
      <c r="A3778" s="105">
        <v>89523</v>
      </c>
      <c r="B3778" s="104" t="s">
        <v>3848</v>
      </c>
      <c r="C3778" s="104" t="s">
        <v>183</v>
      </c>
      <c r="D3778" s="129" t="s">
        <v>22720</v>
      </c>
    </row>
    <row r="3779" spans="1:4">
      <c r="A3779" s="105">
        <v>89524</v>
      </c>
      <c r="B3779" s="104" t="s">
        <v>3849</v>
      </c>
      <c r="C3779" s="104" t="s">
        <v>183</v>
      </c>
      <c r="D3779" s="129" t="s">
        <v>17332</v>
      </c>
    </row>
    <row r="3780" spans="1:4">
      <c r="A3780" s="105">
        <v>89525</v>
      </c>
      <c r="B3780" s="104" t="s">
        <v>3850</v>
      </c>
      <c r="C3780" s="104" t="s">
        <v>183</v>
      </c>
      <c r="D3780" s="129" t="s">
        <v>22721</v>
      </c>
    </row>
    <row r="3781" spans="1:4">
      <c r="A3781" s="105">
        <v>89526</v>
      </c>
      <c r="B3781" s="104" t="s">
        <v>3851</v>
      </c>
      <c r="C3781" s="104" t="s">
        <v>183</v>
      </c>
      <c r="D3781" s="129" t="s">
        <v>18553</v>
      </c>
    </row>
    <row r="3782" spans="1:4">
      <c r="A3782" s="105">
        <v>89527</v>
      </c>
      <c r="B3782" s="104" t="s">
        <v>3852</v>
      </c>
      <c r="C3782" s="104" t="s">
        <v>183</v>
      </c>
      <c r="D3782" s="129" t="s">
        <v>22722</v>
      </c>
    </row>
    <row r="3783" spans="1:4">
      <c r="A3783" s="105">
        <v>89528</v>
      </c>
      <c r="B3783" s="104" t="s">
        <v>3853</v>
      </c>
      <c r="C3783" s="104" t="s">
        <v>183</v>
      </c>
      <c r="D3783" s="129" t="s">
        <v>14820</v>
      </c>
    </row>
    <row r="3784" spans="1:4">
      <c r="A3784" s="105">
        <v>89529</v>
      </c>
      <c r="B3784" s="104" t="s">
        <v>3854</v>
      </c>
      <c r="C3784" s="104" t="s">
        <v>183</v>
      </c>
      <c r="D3784" s="129" t="s">
        <v>22723</v>
      </c>
    </row>
    <row r="3785" spans="1:4">
      <c r="A3785" s="105">
        <v>89530</v>
      </c>
      <c r="B3785" s="104" t="s">
        <v>3855</v>
      </c>
      <c r="C3785" s="104" t="s">
        <v>183</v>
      </c>
      <c r="D3785" s="129" t="s">
        <v>19235</v>
      </c>
    </row>
    <row r="3786" spans="1:4">
      <c r="A3786" s="105">
        <v>89531</v>
      </c>
      <c r="B3786" s="104" t="s">
        <v>3856</v>
      </c>
      <c r="C3786" s="104" t="s">
        <v>183</v>
      </c>
      <c r="D3786" s="129" t="s">
        <v>22724</v>
      </c>
    </row>
    <row r="3787" spans="1:4">
      <c r="A3787" s="105">
        <v>89532</v>
      </c>
      <c r="B3787" s="104" t="s">
        <v>3857</v>
      </c>
      <c r="C3787" s="104" t="s">
        <v>183</v>
      </c>
      <c r="D3787" s="129" t="s">
        <v>22725</v>
      </c>
    </row>
    <row r="3788" spans="1:4">
      <c r="A3788" s="105">
        <v>89533</v>
      </c>
      <c r="B3788" s="104" t="s">
        <v>3858</v>
      </c>
      <c r="C3788" s="104" t="s">
        <v>183</v>
      </c>
      <c r="D3788" s="129" t="s">
        <v>22724</v>
      </c>
    </row>
    <row r="3789" spans="1:4">
      <c r="A3789" s="105">
        <v>89534</v>
      </c>
      <c r="B3789" s="104" t="s">
        <v>3859</v>
      </c>
      <c r="C3789" s="104" t="s">
        <v>183</v>
      </c>
      <c r="D3789" s="129" t="s">
        <v>22726</v>
      </c>
    </row>
    <row r="3790" spans="1:4">
      <c r="A3790" s="105">
        <v>89535</v>
      </c>
      <c r="B3790" s="104" t="s">
        <v>3860</v>
      </c>
      <c r="C3790" s="104" t="s">
        <v>183</v>
      </c>
      <c r="D3790" s="129" t="s">
        <v>15330</v>
      </c>
    </row>
    <row r="3791" spans="1:4">
      <c r="A3791" s="105">
        <v>89536</v>
      </c>
      <c r="B3791" s="104" t="s">
        <v>3861</v>
      </c>
      <c r="C3791" s="104" t="s">
        <v>183</v>
      </c>
      <c r="D3791" s="129" t="s">
        <v>22727</v>
      </c>
    </row>
    <row r="3792" spans="1:4">
      <c r="A3792" s="105">
        <v>89538</v>
      </c>
      <c r="B3792" s="104" t="s">
        <v>3862</v>
      </c>
      <c r="C3792" s="104" t="s">
        <v>183</v>
      </c>
      <c r="D3792" s="129" t="s">
        <v>17732</v>
      </c>
    </row>
    <row r="3793" spans="1:4">
      <c r="A3793" s="105">
        <v>89539</v>
      </c>
      <c r="B3793" s="104" t="s">
        <v>3863</v>
      </c>
      <c r="C3793" s="104" t="s">
        <v>183</v>
      </c>
      <c r="D3793" s="129" t="s">
        <v>22728</v>
      </c>
    </row>
    <row r="3794" spans="1:4">
      <c r="A3794" s="105">
        <v>89540</v>
      </c>
      <c r="B3794" s="104" t="s">
        <v>3864</v>
      </c>
      <c r="C3794" s="104" t="s">
        <v>183</v>
      </c>
      <c r="D3794" s="129" t="s">
        <v>22699</v>
      </c>
    </row>
    <row r="3795" spans="1:4">
      <c r="A3795" s="105">
        <v>89541</v>
      </c>
      <c r="B3795" s="104" t="s">
        <v>3865</v>
      </c>
      <c r="C3795" s="104" t="s">
        <v>183</v>
      </c>
      <c r="D3795" s="129" t="s">
        <v>20177</v>
      </c>
    </row>
    <row r="3796" spans="1:4">
      <c r="A3796" s="105">
        <v>89542</v>
      </c>
      <c r="B3796" s="104" t="s">
        <v>3866</v>
      </c>
      <c r="C3796" s="104" t="s">
        <v>183</v>
      </c>
      <c r="D3796" s="129" t="s">
        <v>20512</v>
      </c>
    </row>
    <row r="3797" spans="1:4">
      <c r="A3797" s="105">
        <v>89544</v>
      </c>
      <c r="B3797" s="104" t="s">
        <v>3867</v>
      </c>
      <c r="C3797" s="104" t="s">
        <v>183</v>
      </c>
      <c r="D3797" s="129" t="s">
        <v>22070</v>
      </c>
    </row>
    <row r="3798" spans="1:4">
      <c r="A3798" s="105">
        <v>89545</v>
      </c>
      <c r="B3798" s="104" t="s">
        <v>3868</v>
      </c>
      <c r="C3798" s="104" t="s">
        <v>183</v>
      </c>
      <c r="D3798" s="129" t="s">
        <v>22729</v>
      </c>
    </row>
    <row r="3799" spans="1:4">
      <c r="A3799" s="105">
        <v>89546</v>
      </c>
      <c r="B3799" s="104" t="s">
        <v>3869</v>
      </c>
      <c r="C3799" s="104" t="s">
        <v>183</v>
      </c>
      <c r="D3799" s="129" t="s">
        <v>16588</v>
      </c>
    </row>
    <row r="3800" spans="1:4">
      <c r="A3800" s="105">
        <v>89547</v>
      </c>
      <c r="B3800" s="104" t="s">
        <v>3870</v>
      </c>
      <c r="C3800" s="104" t="s">
        <v>183</v>
      </c>
      <c r="D3800" s="129" t="s">
        <v>22238</v>
      </c>
    </row>
    <row r="3801" spans="1:4">
      <c r="A3801" s="105">
        <v>89548</v>
      </c>
      <c r="B3801" s="104" t="s">
        <v>3871</v>
      </c>
      <c r="C3801" s="104" t="s">
        <v>183</v>
      </c>
      <c r="D3801" s="129" t="s">
        <v>18563</v>
      </c>
    </row>
    <row r="3802" spans="1:4">
      <c r="A3802" s="105">
        <v>89549</v>
      </c>
      <c r="B3802" s="104" t="s">
        <v>3872</v>
      </c>
      <c r="C3802" s="104" t="s">
        <v>183</v>
      </c>
      <c r="D3802" s="129" t="s">
        <v>22730</v>
      </c>
    </row>
    <row r="3803" spans="1:4">
      <c r="A3803" s="105">
        <v>89550</v>
      </c>
      <c r="B3803" s="104" t="s">
        <v>3873</v>
      </c>
      <c r="C3803" s="104" t="s">
        <v>183</v>
      </c>
      <c r="D3803" s="129" t="s">
        <v>21977</v>
      </c>
    </row>
    <row r="3804" spans="1:4">
      <c r="A3804" s="105">
        <v>89551</v>
      </c>
      <c r="B3804" s="104" t="s">
        <v>3874</v>
      </c>
      <c r="C3804" s="104" t="s">
        <v>183</v>
      </c>
      <c r="D3804" s="129" t="s">
        <v>19213</v>
      </c>
    </row>
    <row r="3805" spans="1:4">
      <c r="A3805" s="105">
        <v>89552</v>
      </c>
      <c r="B3805" s="104" t="s">
        <v>3875</v>
      </c>
      <c r="C3805" s="104" t="s">
        <v>183</v>
      </c>
      <c r="D3805" s="129" t="s">
        <v>15516</v>
      </c>
    </row>
    <row r="3806" spans="1:4">
      <c r="A3806" s="105">
        <v>89553</v>
      </c>
      <c r="B3806" s="104" t="s">
        <v>3876</v>
      </c>
      <c r="C3806" s="104" t="s">
        <v>183</v>
      </c>
      <c r="D3806" s="129" t="s">
        <v>15155</v>
      </c>
    </row>
    <row r="3807" spans="1:4">
      <c r="A3807" s="105">
        <v>89554</v>
      </c>
      <c r="B3807" s="104" t="s">
        <v>3877</v>
      </c>
      <c r="C3807" s="104" t="s">
        <v>183</v>
      </c>
      <c r="D3807" s="129" t="s">
        <v>22731</v>
      </c>
    </row>
    <row r="3808" spans="1:4">
      <c r="A3808" s="105">
        <v>89555</v>
      </c>
      <c r="B3808" s="104" t="s">
        <v>3878</v>
      </c>
      <c r="C3808" s="104" t="s">
        <v>183</v>
      </c>
      <c r="D3808" s="129" t="s">
        <v>22732</v>
      </c>
    </row>
    <row r="3809" spans="1:4">
      <c r="A3809" s="105">
        <v>89556</v>
      </c>
      <c r="B3809" s="104" t="s">
        <v>3879</v>
      </c>
      <c r="C3809" s="104" t="s">
        <v>183</v>
      </c>
      <c r="D3809" s="129" t="s">
        <v>15259</v>
      </c>
    </row>
    <row r="3810" spans="1:4">
      <c r="A3810" s="105">
        <v>89557</v>
      </c>
      <c r="B3810" s="104" t="s">
        <v>3880</v>
      </c>
      <c r="C3810" s="104" t="s">
        <v>183</v>
      </c>
      <c r="D3810" s="129" t="s">
        <v>16395</v>
      </c>
    </row>
    <row r="3811" spans="1:4">
      <c r="A3811" s="105">
        <v>89558</v>
      </c>
      <c r="B3811" s="104" t="s">
        <v>3881</v>
      </c>
      <c r="C3811" s="104" t="s">
        <v>183</v>
      </c>
      <c r="D3811" s="129" t="s">
        <v>20652</v>
      </c>
    </row>
    <row r="3812" spans="1:4">
      <c r="A3812" s="105">
        <v>89559</v>
      </c>
      <c r="B3812" s="104" t="s">
        <v>3882</v>
      </c>
      <c r="C3812" s="104" t="s">
        <v>183</v>
      </c>
      <c r="D3812" s="129" t="s">
        <v>22136</v>
      </c>
    </row>
    <row r="3813" spans="1:4">
      <c r="A3813" s="105">
        <v>89561</v>
      </c>
      <c r="B3813" s="104" t="s">
        <v>3883</v>
      </c>
      <c r="C3813" s="104" t="s">
        <v>183</v>
      </c>
      <c r="D3813" s="129" t="s">
        <v>17206</v>
      </c>
    </row>
    <row r="3814" spans="1:4">
      <c r="A3814" s="105">
        <v>89562</v>
      </c>
      <c r="B3814" s="104" t="s">
        <v>3884</v>
      </c>
      <c r="C3814" s="104" t="s">
        <v>183</v>
      </c>
      <c r="D3814" s="129" t="s">
        <v>14740</v>
      </c>
    </row>
    <row r="3815" spans="1:4">
      <c r="A3815" s="105">
        <v>89563</v>
      </c>
      <c r="B3815" s="104" t="s">
        <v>3885</v>
      </c>
      <c r="C3815" s="104" t="s">
        <v>183</v>
      </c>
      <c r="D3815" s="129" t="s">
        <v>22733</v>
      </c>
    </row>
    <row r="3816" spans="1:4">
      <c r="A3816" s="105">
        <v>89564</v>
      </c>
      <c r="B3816" s="104" t="s">
        <v>3886</v>
      </c>
      <c r="C3816" s="104" t="s">
        <v>183</v>
      </c>
      <c r="D3816" s="129" t="s">
        <v>15328</v>
      </c>
    </row>
    <row r="3817" spans="1:4">
      <c r="A3817" s="105">
        <v>89565</v>
      </c>
      <c r="B3817" s="104" t="s">
        <v>3887</v>
      </c>
      <c r="C3817" s="104" t="s">
        <v>183</v>
      </c>
      <c r="D3817" s="129" t="s">
        <v>22734</v>
      </c>
    </row>
    <row r="3818" spans="1:4">
      <c r="A3818" s="105">
        <v>89566</v>
      </c>
      <c r="B3818" s="104" t="s">
        <v>3888</v>
      </c>
      <c r="C3818" s="104" t="s">
        <v>183</v>
      </c>
      <c r="D3818" s="129" t="s">
        <v>22735</v>
      </c>
    </row>
    <row r="3819" spans="1:4">
      <c r="A3819" s="105">
        <v>89567</v>
      </c>
      <c r="B3819" s="104" t="s">
        <v>3889</v>
      </c>
      <c r="C3819" s="104" t="s">
        <v>183</v>
      </c>
      <c r="D3819" s="129" t="s">
        <v>22736</v>
      </c>
    </row>
    <row r="3820" spans="1:4">
      <c r="A3820" s="105">
        <v>89568</v>
      </c>
      <c r="B3820" s="104" t="s">
        <v>3890</v>
      </c>
      <c r="C3820" s="104" t="s">
        <v>183</v>
      </c>
      <c r="D3820" s="129" t="s">
        <v>17818</v>
      </c>
    </row>
    <row r="3821" spans="1:4">
      <c r="A3821" s="105">
        <v>89569</v>
      </c>
      <c r="B3821" s="104" t="s">
        <v>3891</v>
      </c>
      <c r="C3821" s="104" t="s">
        <v>183</v>
      </c>
      <c r="D3821" s="129" t="s">
        <v>22737</v>
      </c>
    </row>
    <row r="3822" spans="1:4">
      <c r="A3822" s="105">
        <v>89570</v>
      </c>
      <c r="B3822" s="104" t="s">
        <v>3892</v>
      </c>
      <c r="C3822" s="104" t="s">
        <v>183</v>
      </c>
      <c r="D3822" s="129" t="s">
        <v>18663</v>
      </c>
    </row>
    <row r="3823" spans="1:4">
      <c r="A3823" s="105">
        <v>89571</v>
      </c>
      <c r="B3823" s="104" t="s">
        <v>3893</v>
      </c>
      <c r="C3823" s="104" t="s">
        <v>183</v>
      </c>
      <c r="D3823" s="129" t="s">
        <v>22738</v>
      </c>
    </row>
    <row r="3824" spans="1:4">
      <c r="A3824" s="105">
        <v>89572</v>
      </c>
      <c r="B3824" s="104" t="s">
        <v>3894</v>
      </c>
      <c r="C3824" s="104" t="s">
        <v>183</v>
      </c>
      <c r="D3824" s="129" t="s">
        <v>15166</v>
      </c>
    </row>
    <row r="3825" spans="1:4">
      <c r="A3825" s="105">
        <v>89573</v>
      </c>
      <c r="B3825" s="104" t="s">
        <v>3895</v>
      </c>
      <c r="C3825" s="104" t="s">
        <v>183</v>
      </c>
      <c r="D3825" s="129" t="s">
        <v>22739</v>
      </c>
    </row>
    <row r="3826" spans="1:4">
      <c r="A3826" s="105">
        <v>89574</v>
      </c>
      <c r="B3826" s="104" t="s">
        <v>3896</v>
      </c>
      <c r="C3826" s="104" t="s">
        <v>183</v>
      </c>
      <c r="D3826" s="129" t="s">
        <v>22740</v>
      </c>
    </row>
    <row r="3827" spans="1:4">
      <c r="A3827" s="105">
        <v>89575</v>
      </c>
      <c r="B3827" s="104" t="s">
        <v>3897</v>
      </c>
      <c r="C3827" s="104" t="s">
        <v>183</v>
      </c>
      <c r="D3827" s="129" t="s">
        <v>21882</v>
      </c>
    </row>
    <row r="3828" spans="1:4">
      <c r="A3828" s="105">
        <v>89577</v>
      </c>
      <c r="B3828" s="104" t="s">
        <v>3898</v>
      </c>
      <c r="C3828" s="104" t="s">
        <v>183</v>
      </c>
      <c r="D3828" s="129" t="s">
        <v>17992</v>
      </c>
    </row>
    <row r="3829" spans="1:4">
      <c r="A3829" s="105">
        <v>89579</v>
      </c>
      <c r="B3829" s="104" t="s">
        <v>3899</v>
      </c>
      <c r="C3829" s="104" t="s">
        <v>183</v>
      </c>
      <c r="D3829" s="129" t="s">
        <v>17293</v>
      </c>
    </row>
    <row r="3830" spans="1:4">
      <c r="A3830" s="105">
        <v>89581</v>
      </c>
      <c r="B3830" s="104" t="s">
        <v>3900</v>
      </c>
      <c r="C3830" s="104" t="s">
        <v>183</v>
      </c>
      <c r="D3830" s="129" t="s">
        <v>22741</v>
      </c>
    </row>
    <row r="3831" spans="1:4">
      <c r="A3831" s="105">
        <v>89582</v>
      </c>
      <c r="B3831" s="104" t="s">
        <v>3901</v>
      </c>
      <c r="C3831" s="104" t="s">
        <v>183</v>
      </c>
      <c r="D3831" s="129" t="s">
        <v>22742</v>
      </c>
    </row>
    <row r="3832" spans="1:4">
      <c r="A3832" s="105">
        <v>89583</v>
      </c>
      <c r="B3832" s="104" t="s">
        <v>3902</v>
      </c>
      <c r="C3832" s="104" t="s">
        <v>183</v>
      </c>
      <c r="D3832" s="129" t="s">
        <v>22743</v>
      </c>
    </row>
    <row r="3833" spans="1:4">
      <c r="A3833" s="105">
        <v>89584</v>
      </c>
      <c r="B3833" s="104" t="s">
        <v>3903</v>
      </c>
      <c r="C3833" s="104" t="s">
        <v>183</v>
      </c>
      <c r="D3833" s="129" t="s">
        <v>15373</v>
      </c>
    </row>
    <row r="3834" spans="1:4">
      <c r="A3834" s="105">
        <v>89585</v>
      </c>
      <c r="B3834" s="104" t="s">
        <v>3904</v>
      </c>
      <c r="C3834" s="104" t="s">
        <v>183</v>
      </c>
      <c r="D3834" s="129" t="s">
        <v>22744</v>
      </c>
    </row>
    <row r="3835" spans="1:4">
      <c r="A3835" s="105">
        <v>89586</v>
      </c>
      <c r="B3835" s="104" t="s">
        <v>3905</v>
      </c>
      <c r="C3835" s="104" t="s">
        <v>183</v>
      </c>
      <c r="D3835" s="129" t="s">
        <v>22744</v>
      </c>
    </row>
    <row r="3836" spans="1:4">
      <c r="A3836" s="105">
        <v>89587</v>
      </c>
      <c r="B3836" s="104" t="s">
        <v>3906</v>
      </c>
      <c r="C3836" s="104" t="s">
        <v>183</v>
      </c>
      <c r="D3836" s="129" t="s">
        <v>22041</v>
      </c>
    </row>
    <row r="3837" spans="1:4">
      <c r="A3837" s="105">
        <v>89589</v>
      </c>
      <c r="B3837" s="104" t="s">
        <v>3907</v>
      </c>
      <c r="C3837" s="104" t="s">
        <v>183</v>
      </c>
      <c r="D3837" s="129" t="s">
        <v>22745</v>
      </c>
    </row>
    <row r="3838" spans="1:4">
      <c r="A3838" s="105">
        <v>89590</v>
      </c>
      <c r="B3838" s="104" t="s">
        <v>3908</v>
      </c>
      <c r="C3838" s="104" t="s">
        <v>183</v>
      </c>
      <c r="D3838" s="129" t="s">
        <v>22746</v>
      </c>
    </row>
    <row r="3839" spans="1:4">
      <c r="A3839" s="105">
        <v>89591</v>
      </c>
      <c r="B3839" s="104" t="s">
        <v>3909</v>
      </c>
      <c r="C3839" s="104" t="s">
        <v>183</v>
      </c>
      <c r="D3839" s="129" t="s">
        <v>22747</v>
      </c>
    </row>
    <row r="3840" spans="1:4">
      <c r="A3840" s="105">
        <v>89592</v>
      </c>
      <c r="B3840" s="104" t="s">
        <v>3910</v>
      </c>
      <c r="C3840" s="104" t="s">
        <v>183</v>
      </c>
      <c r="D3840" s="129" t="s">
        <v>22748</v>
      </c>
    </row>
    <row r="3841" spans="1:4">
      <c r="A3841" s="105">
        <v>89593</v>
      </c>
      <c r="B3841" s="104" t="s">
        <v>3911</v>
      </c>
      <c r="C3841" s="104" t="s">
        <v>183</v>
      </c>
      <c r="D3841" s="129" t="s">
        <v>22749</v>
      </c>
    </row>
    <row r="3842" spans="1:4">
      <c r="A3842" s="105">
        <v>89594</v>
      </c>
      <c r="B3842" s="104" t="s">
        <v>3912</v>
      </c>
      <c r="C3842" s="104" t="s">
        <v>183</v>
      </c>
      <c r="D3842" s="129" t="s">
        <v>22750</v>
      </c>
    </row>
    <row r="3843" spans="1:4">
      <c r="A3843" s="105">
        <v>89595</v>
      </c>
      <c r="B3843" s="104" t="s">
        <v>3913</v>
      </c>
      <c r="C3843" s="104" t="s">
        <v>183</v>
      </c>
      <c r="D3843" s="129" t="s">
        <v>18591</v>
      </c>
    </row>
    <row r="3844" spans="1:4">
      <c r="A3844" s="105">
        <v>89596</v>
      </c>
      <c r="B3844" s="104" t="s">
        <v>3914</v>
      </c>
      <c r="C3844" s="104" t="s">
        <v>183</v>
      </c>
      <c r="D3844" s="129" t="s">
        <v>19188</v>
      </c>
    </row>
    <row r="3845" spans="1:4">
      <c r="A3845" s="105">
        <v>89597</v>
      </c>
      <c r="B3845" s="104" t="s">
        <v>3915</v>
      </c>
      <c r="C3845" s="104" t="s">
        <v>183</v>
      </c>
      <c r="D3845" s="129" t="s">
        <v>17143</v>
      </c>
    </row>
    <row r="3846" spans="1:4">
      <c r="A3846" s="105">
        <v>89598</v>
      </c>
      <c r="B3846" s="104" t="s">
        <v>3916</v>
      </c>
      <c r="C3846" s="104" t="s">
        <v>183</v>
      </c>
      <c r="D3846" s="129" t="s">
        <v>22751</v>
      </c>
    </row>
    <row r="3847" spans="1:4">
      <c r="A3847" s="105">
        <v>89599</v>
      </c>
      <c r="B3847" s="104" t="s">
        <v>3917</v>
      </c>
      <c r="C3847" s="104" t="s">
        <v>183</v>
      </c>
      <c r="D3847" s="129" t="s">
        <v>16001</v>
      </c>
    </row>
    <row r="3848" spans="1:4">
      <c r="A3848" s="105">
        <v>89600</v>
      </c>
      <c r="B3848" s="104" t="s">
        <v>3918</v>
      </c>
      <c r="C3848" s="104" t="s">
        <v>183</v>
      </c>
      <c r="D3848" s="129" t="s">
        <v>18681</v>
      </c>
    </row>
    <row r="3849" spans="1:4">
      <c r="A3849" s="105">
        <v>89605</v>
      </c>
      <c r="B3849" s="104" t="s">
        <v>3919</v>
      </c>
      <c r="C3849" s="104" t="s">
        <v>183</v>
      </c>
      <c r="D3849" s="129" t="s">
        <v>22752</v>
      </c>
    </row>
    <row r="3850" spans="1:4">
      <c r="A3850" s="105">
        <v>89609</v>
      </c>
      <c r="B3850" s="104" t="s">
        <v>3920</v>
      </c>
      <c r="C3850" s="104" t="s">
        <v>183</v>
      </c>
      <c r="D3850" s="129" t="s">
        <v>22753</v>
      </c>
    </row>
    <row r="3851" spans="1:4">
      <c r="A3851" s="105">
        <v>89610</v>
      </c>
      <c r="B3851" s="104" t="s">
        <v>3921</v>
      </c>
      <c r="C3851" s="104" t="s">
        <v>183</v>
      </c>
      <c r="D3851" s="129" t="s">
        <v>22754</v>
      </c>
    </row>
    <row r="3852" spans="1:4">
      <c r="A3852" s="105">
        <v>89611</v>
      </c>
      <c r="B3852" s="104" t="s">
        <v>3922</v>
      </c>
      <c r="C3852" s="104" t="s">
        <v>183</v>
      </c>
      <c r="D3852" s="129" t="s">
        <v>22755</v>
      </c>
    </row>
    <row r="3853" spans="1:4">
      <c r="A3853" s="105">
        <v>89612</v>
      </c>
      <c r="B3853" s="104" t="s">
        <v>3923</v>
      </c>
      <c r="C3853" s="104" t="s">
        <v>183</v>
      </c>
      <c r="D3853" s="129" t="s">
        <v>22756</v>
      </c>
    </row>
    <row r="3854" spans="1:4">
      <c r="A3854" s="105">
        <v>89613</v>
      </c>
      <c r="B3854" s="104" t="s">
        <v>3924</v>
      </c>
      <c r="C3854" s="104" t="s">
        <v>183</v>
      </c>
      <c r="D3854" s="129" t="s">
        <v>19797</v>
      </c>
    </row>
    <row r="3855" spans="1:4">
      <c r="A3855" s="105">
        <v>89614</v>
      </c>
      <c r="B3855" s="104" t="s">
        <v>3925</v>
      </c>
      <c r="C3855" s="104" t="s">
        <v>183</v>
      </c>
      <c r="D3855" s="129" t="s">
        <v>22757</v>
      </c>
    </row>
    <row r="3856" spans="1:4">
      <c r="A3856" s="105">
        <v>89615</v>
      </c>
      <c r="B3856" s="104" t="s">
        <v>3926</v>
      </c>
      <c r="C3856" s="104" t="s">
        <v>183</v>
      </c>
      <c r="D3856" s="129" t="s">
        <v>22758</v>
      </c>
    </row>
    <row r="3857" spans="1:4">
      <c r="A3857" s="105">
        <v>89616</v>
      </c>
      <c r="B3857" s="104" t="s">
        <v>3927</v>
      </c>
      <c r="C3857" s="104" t="s">
        <v>183</v>
      </c>
      <c r="D3857" s="129" t="s">
        <v>22759</v>
      </c>
    </row>
    <row r="3858" spans="1:4">
      <c r="A3858" s="105">
        <v>89617</v>
      </c>
      <c r="B3858" s="104" t="s">
        <v>3928</v>
      </c>
      <c r="C3858" s="104" t="s">
        <v>183</v>
      </c>
      <c r="D3858" s="129" t="s">
        <v>20506</v>
      </c>
    </row>
    <row r="3859" spans="1:4">
      <c r="A3859" s="105">
        <v>89618</v>
      </c>
      <c r="B3859" s="104" t="s">
        <v>3929</v>
      </c>
      <c r="C3859" s="104" t="s">
        <v>183</v>
      </c>
      <c r="D3859" s="129" t="s">
        <v>20085</v>
      </c>
    </row>
    <row r="3860" spans="1:4">
      <c r="A3860" s="105">
        <v>89619</v>
      </c>
      <c r="B3860" s="104" t="s">
        <v>3930</v>
      </c>
      <c r="C3860" s="104" t="s">
        <v>183</v>
      </c>
      <c r="D3860" s="129" t="s">
        <v>14942</v>
      </c>
    </row>
    <row r="3861" spans="1:4">
      <c r="A3861" s="105">
        <v>89620</v>
      </c>
      <c r="B3861" s="104" t="s">
        <v>3931</v>
      </c>
      <c r="C3861" s="104" t="s">
        <v>183</v>
      </c>
      <c r="D3861" s="129" t="s">
        <v>22760</v>
      </c>
    </row>
    <row r="3862" spans="1:4">
      <c r="A3862" s="105">
        <v>89621</v>
      </c>
      <c r="B3862" s="104" t="s">
        <v>3932</v>
      </c>
      <c r="C3862" s="104" t="s">
        <v>183</v>
      </c>
      <c r="D3862" s="129" t="s">
        <v>18614</v>
      </c>
    </row>
    <row r="3863" spans="1:4">
      <c r="A3863" s="105">
        <v>89622</v>
      </c>
      <c r="B3863" s="104" t="s">
        <v>3933</v>
      </c>
      <c r="C3863" s="104" t="s">
        <v>183</v>
      </c>
      <c r="D3863" s="129" t="s">
        <v>16938</v>
      </c>
    </row>
    <row r="3864" spans="1:4">
      <c r="A3864" s="105">
        <v>89623</v>
      </c>
      <c r="B3864" s="104" t="s">
        <v>3934</v>
      </c>
      <c r="C3864" s="104" t="s">
        <v>183</v>
      </c>
      <c r="D3864" s="129" t="s">
        <v>22761</v>
      </c>
    </row>
    <row r="3865" spans="1:4">
      <c r="A3865" s="105">
        <v>89624</v>
      </c>
      <c r="B3865" s="104" t="s">
        <v>3935</v>
      </c>
      <c r="C3865" s="104" t="s">
        <v>183</v>
      </c>
      <c r="D3865" s="129" t="s">
        <v>14871</v>
      </c>
    </row>
    <row r="3866" spans="1:4">
      <c r="A3866" s="105">
        <v>89625</v>
      </c>
      <c r="B3866" s="104" t="s">
        <v>3936</v>
      </c>
      <c r="C3866" s="104" t="s">
        <v>183</v>
      </c>
      <c r="D3866" s="129" t="s">
        <v>22762</v>
      </c>
    </row>
    <row r="3867" spans="1:4">
      <c r="A3867" s="105">
        <v>89626</v>
      </c>
      <c r="B3867" s="104" t="s">
        <v>3937</v>
      </c>
      <c r="C3867" s="104" t="s">
        <v>183</v>
      </c>
      <c r="D3867" s="129" t="s">
        <v>22763</v>
      </c>
    </row>
    <row r="3868" spans="1:4">
      <c r="A3868" s="105">
        <v>89627</v>
      </c>
      <c r="B3868" s="104" t="s">
        <v>3938</v>
      </c>
      <c r="C3868" s="104" t="s">
        <v>183</v>
      </c>
      <c r="D3868" s="129" t="s">
        <v>22764</v>
      </c>
    </row>
    <row r="3869" spans="1:4">
      <c r="A3869" s="105">
        <v>89628</v>
      </c>
      <c r="B3869" s="104" t="s">
        <v>3939</v>
      </c>
      <c r="C3869" s="104" t="s">
        <v>183</v>
      </c>
      <c r="D3869" s="129" t="s">
        <v>22765</v>
      </c>
    </row>
    <row r="3870" spans="1:4">
      <c r="A3870" s="105">
        <v>89629</v>
      </c>
      <c r="B3870" s="104" t="s">
        <v>3940</v>
      </c>
      <c r="C3870" s="104" t="s">
        <v>183</v>
      </c>
      <c r="D3870" s="129" t="s">
        <v>22766</v>
      </c>
    </row>
    <row r="3871" spans="1:4">
      <c r="A3871" s="105">
        <v>89630</v>
      </c>
      <c r="B3871" s="104" t="s">
        <v>3941</v>
      </c>
      <c r="C3871" s="104" t="s">
        <v>183</v>
      </c>
      <c r="D3871" s="129" t="s">
        <v>22184</v>
      </c>
    </row>
    <row r="3872" spans="1:4">
      <c r="A3872" s="105">
        <v>89631</v>
      </c>
      <c r="B3872" s="104" t="s">
        <v>3942</v>
      </c>
      <c r="C3872" s="104" t="s">
        <v>183</v>
      </c>
      <c r="D3872" s="129" t="s">
        <v>22767</v>
      </c>
    </row>
    <row r="3873" spans="1:4">
      <c r="A3873" s="105">
        <v>89632</v>
      </c>
      <c r="B3873" s="104" t="s">
        <v>3943</v>
      </c>
      <c r="C3873" s="104" t="s">
        <v>183</v>
      </c>
      <c r="D3873" s="129" t="s">
        <v>22768</v>
      </c>
    </row>
    <row r="3874" spans="1:4">
      <c r="A3874" s="105">
        <v>89637</v>
      </c>
      <c r="B3874" s="104" t="s">
        <v>3944</v>
      </c>
      <c r="C3874" s="104" t="s">
        <v>183</v>
      </c>
      <c r="D3874" s="129" t="s">
        <v>15745</v>
      </c>
    </row>
    <row r="3875" spans="1:4">
      <c r="A3875" s="105">
        <v>89638</v>
      </c>
      <c r="B3875" s="104" t="s">
        <v>3945</v>
      </c>
      <c r="C3875" s="104" t="s">
        <v>183</v>
      </c>
      <c r="D3875" s="129" t="s">
        <v>15110</v>
      </c>
    </row>
    <row r="3876" spans="1:4">
      <c r="A3876" s="105">
        <v>89639</v>
      </c>
      <c r="B3876" s="104" t="s">
        <v>3946</v>
      </c>
      <c r="C3876" s="104" t="s">
        <v>183</v>
      </c>
      <c r="D3876" s="129" t="s">
        <v>18409</v>
      </c>
    </row>
    <row r="3877" spans="1:4">
      <c r="A3877" s="105">
        <v>89640</v>
      </c>
      <c r="B3877" s="104" t="s">
        <v>3947</v>
      </c>
      <c r="C3877" s="104" t="s">
        <v>183</v>
      </c>
      <c r="D3877" s="129" t="s">
        <v>22769</v>
      </c>
    </row>
    <row r="3878" spans="1:4">
      <c r="A3878" s="105">
        <v>89641</v>
      </c>
      <c r="B3878" s="104" t="s">
        <v>3948</v>
      </c>
      <c r="C3878" s="104" t="s">
        <v>183</v>
      </c>
      <c r="D3878" s="129" t="s">
        <v>20285</v>
      </c>
    </row>
    <row r="3879" spans="1:4">
      <c r="A3879" s="105">
        <v>89642</v>
      </c>
      <c r="B3879" s="104" t="s">
        <v>3949</v>
      </c>
      <c r="C3879" s="104" t="s">
        <v>183</v>
      </c>
      <c r="D3879" s="129" t="s">
        <v>20339</v>
      </c>
    </row>
    <row r="3880" spans="1:4">
      <c r="A3880" s="105">
        <v>89643</v>
      </c>
      <c r="B3880" s="104" t="s">
        <v>3950</v>
      </c>
      <c r="C3880" s="104" t="s">
        <v>183</v>
      </c>
      <c r="D3880" s="129" t="s">
        <v>15791</v>
      </c>
    </row>
    <row r="3881" spans="1:4">
      <c r="A3881" s="105">
        <v>89644</v>
      </c>
      <c r="B3881" s="104" t="s">
        <v>3951</v>
      </c>
      <c r="C3881" s="104" t="s">
        <v>183</v>
      </c>
      <c r="D3881" s="129" t="s">
        <v>22770</v>
      </c>
    </row>
    <row r="3882" spans="1:4">
      <c r="A3882" s="105">
        <v>89645</v>
      </c>
      <c r="B3882" s="104" t="s">
        <v>3952</v>
      </c>
      <c r="C3882" s="104" t="s">
        <v>183</v>
      </c>
      <c r="D3882" s="129" t="s">
        <v>22771</v>
      </c>
    </row>
    <row r="3883" spans="1:4">
      <c r="A3883" s="105">
        <v>89646</v>
      </c>
      <c r="B3883" s="104" t="s">
        <v>3953</v>
      </c>
      <c r="C3883" s="104" t="s">
        <v>183</v>
      </c>
      <c r="D3883" s="129" t="s">
        <v>22772</v>
      </c>
    </row>
    <row r="3884" spans="1:4">
      <c r="A3884" s="105">
        <v>89647</v>
      </c>
      <c r="B3884" s="104" t="s">
        <v>3954</v>
      </c>
      <c r="C3884" s="104" t="s">
        <v>183</v>
      </c>
      <c r="D3884" s="129" t="s">
        <v>17304</v>
      </c>
    </row>
    <row r="3885" spans="1:4">
      <c r="A3885" s="105">
        <v>89648</v>
      </c>
      <c r="B3885" s="104" t="s">
        <v>3955</v>
      </c>
      <c r="C3885" s="104" t="s">
        <v>183</v>
      </c>
      <c r="D3885" s="129" t="s">
        <v>19782</v>
      </c>
    </row>
    <row r="3886" spans="1:4">
      <c r="A3886" s="105">
        <v>89649</v>
      </c>
      <c r="B3886" s="104" t="s">
        <v>3956</v>
      </c>
      <c r="C3886" s="104" t="s">
        <v>183</v>
      </c>
      <c r="D3886" s="129" t="s">
        <v>19552</v>
      </c>
    </row>
    <row r="3887" spans="1:4">
      <c r="A3887" s="105">
        <v>89650</v>
      </c>
      <c r="B3887" s="104" t="s">
        <v>3957</v>
      </c>
      <c r="C3887" s="104" t="s">
        <v>183</v>
      </c>
      <c r="D3887" s="129" t="s">
        <v>19552</v>
      </c>
    </row>
    <row r="3888" spans="1:4">
      <c r="A3888" s="105">
        <v>89651</v>
      </c>
      <c r="B3888" s="104" t="s">
        <v>3958</v>
      </c>
      <c r="C3888" s="104" t="s">
        <v>183</v>
      </c>
      <c r="D3888" s="129" t="s">
        <v>22773</v>
      </c>
    </row>
    <row r="3889" spans="1:4">
      <c r="A3889" s="105">
        <v>89652</v>
      </c>
      <c r="B3889" s="104" t="s">
        <v>3959</v>
      </c>
      <c r="C3889" s="104" t="s">
        <v>183</v>
      </c>
      <c r="D3889" s="129" t="s">
        <v>16937</v>
      </c>
    </row>
    <row r="3890" spans="1:4">
      <c r="A3890" s="105">
        <v>89653</v>
      </c>
      <c r="B3890" s="104" t="s">
        <v>3960</v>
      </c>
      <c r="C3890" s="104" t="s">
        <v>183</v>
      </c>
      <c r="D3890" s="129" t="s">
        <v>22774</v>
      </c>
    </row>
    <row r="3891" spans="1:4">
      <c r="A3891" s="105">
        <v>89654</v>
      </c>
      <c r="B3891" s="104" t="s">
        <v>3961</v>
      </c>
      <c r="C3891" s="104" t="s">
        <v>183</v>
      </c>
      <c r="D3891" s="129" t="s">
        <v>17349</v>
      </c>
    </row>
    <row r="3892" spans="1:4">
      <c r="A3892" s="105">
        <v>89655</v>
      </c>
      <c r="B3892" s="104" t="s">
        <v>3962</v>
      </c>
      <c r="C3892" s="104" t="s">
        <v>183</v>
      </c>
      <c r="D3892" s="129" t="s">
        <v>16292</v>
      </c>
    </row>
    <row r="3893" spans="1:4">
      <c r="A3893" s="105">
        <v>89656</v>
      </c>
      <c r="B3893" s="104" t="s">
        <v>3963</v>
      </c>
      <c r="C3893" s="104" t="s">
        <v>183</v>
      </c>
      <c r="D3893" s="129" t="s">
        <v>22775</v>
      </c>
    </row>
    <row r="3894" spans="1:4">
      <c r="A3894" s="105">
        <v>89657</v>
      </c>
      <c r="B3894" s="104" t="s">
        <v>3964</v>
      </c>
      <c r="C3894" s="104" t="s">
        <v>183</v>
      </c>
      <c r="D3894" s="129" t="s">
        <v>22776</v>
      </c>
    </row>
    <row r="3895" spans="1:4">
      <c r="A3895" s="105">
        <v>89658</v>
      </c>
      <c r="B3895" s="104" t="s">
        <v>3965</v>
      </c>
      <c r="C3895" s="104" t="s">
        <v>183</v>
      </c>
      <c r="D3895" s="129" t="s">
        <v>15745</v>
      </c>
    </row>
    <row r="3896" spans="1:4">
      <c r="A3896" s="105">
        <v>89659</v>
      </c>
      <c r="B3896" s="104" t="s">
        <v>3966</v>
      </c>
      <c r="C3896" s="104" t="s">
        <v>183</v>
      </c>
      <c r="D3896" s="129" t="s">
        <v>22777</v>
      </c>
    </row>
    <row r="3897" spans="1:4">
      <c r="A3897" s="105">
        <v>89660</v>
      </c>
      <c r="B3897" s="104" t="s">
        <v>3967</v>
      </c>
      <c r="C3897" s="104" t="s">
        <v>183</v>
      </c>
      <c r="D3897" s="129" t="s">
        <v>17266</v>
      </c>
    </row>
    <row r="3898" spans="1:4">
      <c r="A3898" s="105">
        <v>89661</v>
      </c>
      <c r="B3898" s="104" t="s">
        <v>3968</v>
      </c>
      <c r="C3898" s="104" t="s">
        <v>183</v>
      </c>
      <c r="D3898" s="129" t="s">
        <v>22778</v>
      </c>
    </row>
    <row r="3899" spans="1:4">
      <c r="A3899" s="105">
        <v>89662</v>
      </c>
      <c r="B3899" s="104" t="s">
        <v>3969</v>
      </c>
      <c r="C3899" s="104" t="s">
        <v>183</v>
      </c>
      <c r="D3899" s="129" t="s">
        <v>22779</v>
      </c>
    </row>
    <row r="3900" spans="1:4">
      <c r="A3900" s="105">
        <v>89663</v>
      </c>
      <c r="B3900" s="104" t="s">
        <v>3970</v>
      </c>
      <c r="C3900" s="104" t="s">
        <v>183</v>
      </c>
      <c r="D3900" s="129" t="s">
        <v>22780</v>
      </c>
    </row>
    <row r="3901" spans="1:4">
      <c r="A3901" s="105">
        <v>89664</v>
      </c>
      <c r="B3901" s="104" t="s">
        <v>3971</v>
      </c>
      <c r="C3901" s="104" t="s">
        <v>183</v>
      </c>
      <c r="D3901" s="129" t="s">
        <v>22777</v>
      </c>
    </row>
    <row r="3902" spans="1:4">
      <c r="A3902" s="105">
        <v>89665</v>
      </c>
      <c r="B3902" s="104" t="s">
        <v>3972</v>
      </c>
      <c r="C3902" s="104" t="s">
        <v>183</v>
      </c>
      <c r="D3902" s="129" t="s">
        <v>16634</v>
      </c>
    </row>
    <row r="3903" spans="1:4">
      <c r="A3903" s="105">
        <v>89666</v>
      </c>
      <c r="B3903" s="104" t="s">
        <v>3973</v>
      </c>
      <c r="C3903" s="104" t="s">
        <v>183</v>
      </c>
      <c r="D3903" s="129" t="s">
        <v>16318</v>
      </c>
    </row>
    <row r="3904" spans="1:4">
      <c r="A3904" s="105">
        <v>89667</v>
      </c>
      <c r="B3904" s="104" t="s">
        <v>3974</v>
      </c>
      <c r="C3904" s="104" t="s">
        <v>183</v>
      </c>
      <c r="D3904" s="129" t="s">
        <v>22781</v>
      </c>
    </row>
    <row r="3905" spans="1:4">
      <c r="A3905" s="105">
        <v>89668</v>
      </c>
      <c r="B3905" s="104" t="s">
        <v>3975</v>
      </c>
      <c r="C3905" s="104" t="s">
        <v>183</v>
      </c>
      <c r="D3905" s="129" t="s">
        <v>22782</v>
      </c>
    </row>
    <row r="3906" spans="1:4">
      <c r="A3906" s="105">
        <v>89669</v>
      </c>
      <c r="B3906" s="104" t="s">
        <v>3976</v>
      </c>
      <c r="C3906" s="104" t="s">
        <v>183</v>
      </c>
      <c r="D3906" s="129" t="s">
        <v>19480</v>
      </c>
    </row>
    <row r="3907" spans="1:4">
      <c r="A3907" s="105">
        <v>89670</v>
      </c>
      <c r="B3907" s="104" t="s">
        <v>3977</v>
      </c>
      <c r="C3907" s="104" t="s">
        <v>183</v>
      </c>
      <c r="D3907" s="129" t="s">
        <v>15356</v>
      </c>
    </row>
    <row r="3908" spans="1:4">
      <c r="A3908" s="105">
        <v>89671</v>
      </c>
      <c r="B3908" s="104" t="s">
        <v>3978</v>
      </c>
      <c r="C3908" s="104" t="s">
        <v>183</v>
      </c>
      <c r="D3908" s="129" t="s">
        <v>22783</v>
      </c>
    </row>
    <row r="3909" spans="1:4">
      <c r="A3909" s="105">
        <v>89672</v>
      </c>
      <c r="B3909" s="104" t="s">
        <v>3979</v>
      </c>
      <c r="C3909" s="104" t="s">
        <v>183</v>
      </c>
      <c r="D3909" s="129" t="s">
        <v>19605</v>
      </c>
    </row>
    <row r="3910" spans="1:4">
      <c r="A3910" s="105">
        <v>89673</v>
      </c>
      <c r="B3910" s="104" t="s">
        <v>3980</v>
      </c>
      <c r="C3910" s="104" t="s">
        <v>183</v>
      </c>
      <c r="D3910" s="129" t="s">
        <v>22784</v>
      </c>
    </row>
    <row r="3911" spans="1:4">
      <c r="A3911" s="105">
        <v>89674</v>
      </c>
      <c r="B3911" s="104" t="s">
        <v>3981</v>
      </c>
      <c r="C3911" s="104" t="s">
        <v>183</v>
      </c>
      <c r="D3911" s="129" t="s">
        <v>22785</v>
      </c>
    </row>
    <row r="3912" spans="1:4">
      <c r="A3912" s="105">
        <v>89675</v>
      </c>
      <c r="B3912" s="104" t="s">
        <v>3982</v>
      </c>
      <c r="C3912" s="104" t="s">
        <v>183</v>
      </c>
      <c r="D3912" s="129" t="s">
        <v>22786</v>
      </c>
    </row>
    <row r="3913" spans="1:4">
      <c r="A3913" s="105">
        <v>89676</v>
      </c>
      <c r="B3913" s="104" t="s">
        <v>3983</v>
      </c>
      <c r="C3913" s="104" t="s">
        <v>183</v>
      </c>
      <c r="D3913" s="129" t="s">
        <v>22787</v>
      </c>
    </row>
    <row r="3914" spans="1:4">
      <c r="A3914" s="105">
        <v>89677</v>
      </c>
      <c r="B3914" s="104" t="s">
        <v>3984</v>
      </c>
      <c r="C3914" s="104" t="s">
        <v>183</v>
      </c>
      <c r="D3914" s="129" t="s">
        <v>20660</v>
      </c>
    </row>
    <row r="3915" spans="1:4">
      <c r="A3915" s="105">
        <v>89678</v>
      </c>
      <c r="B3915" s="104" t="s">
        <v>3985</v>
      </c>
      <c r="C3915" s="104" t="s">
        <v>183</v>
      </c>
      <c r="D3915" s="129" t="s">
        <v>20384</v>
      </c>
    </row>
    <row r="3916" spans="1:4">
      <c r="A3916" s="105">
        <v>89679</v>
      </c>
      <c r="B3916" s="104" t="s">
        <v>3986</v>
      </c>
      <c r="C3916" s="104" t="s">
        <v>183</v>
      </c>
      <c r="D3916" s="129" t="s">
        <v>22788</v>
      </c>
    </row>
    <row r="3917" spans="1:4">
      <c r="A3917" s="105">
        <v>89680</v>
      </c>
      <c r="B3917" s="104" t="s">
        <v>3987</v>
      </c>
      <c r="C3917" s="104" t="s">
        <v>183</v>
      </c>
      <c r="D3917" s="129" t="s">
        <v>18253</v>
      </c>
    </row>
    <row r="3918" spans="1:4">
      <c r="A3918" s="105">
        <v>89681</v>
      </c>
      <c r="B3918" s="104" t="s">
        <v>3988</v>
      </c>
      <c r="C3918" s="104" t="s">
        <v>183</v>
      </c>
      <c r="D3918" s="129" t="s">
        <v>22789</v>
      </c>
    </row>
    <row r="3919" spans="1:4">
      <c r="A3919" s="105">
        <v>89682</v>
      </c>
      <c r="B3919" s="104" t="s">
        <v>3989</v>
      </c>
      <c r="C3919" s="104" t="s">
        <v>183</v>
      </c>
      <c r="D3919" s="129" t="s">
        <v>17584</v>
      </c>
    </row>
    <row r="3920" spans="1:4">
      <c r="A3920" s="105">
        <v>89683</v>
      </c>
      <c r="B3920" s="104" t="s">
        <v>3990</v>
      </c>
      <c r="C3920" s="104" t="s">
        <v>183</v>
      </c>
      <c r="D3920" s="129" t="s">
        <v>22790</v>
      </c>
    </row>
    <row r="3921" spans="1:4">
      <c r="A3921" s="105">
        <v>89684</v>
      </c>
      <c r="B3921" s="104" t="s">
        <v>3991</v>
      </c>
      <c r="C3921" s="104" t="s">
        <v>183</v>
      </c>
      <c r="D3921" s="129" t="s">
        <v>15583</v>
      </c>
    </row>
    <row r="3922" spans="1:4">
      <c r="A3922" s="105">
        <v>89685</v>
      </c>
      <c r="B3922" s="104" t="s">
        <v>3992</v>
      </c>
      <c r="C3922" s="104" t="s">
        <v>183</v>
      </c>
      <c r="D3922" s="129" t="s">
        <v>22791</v>
      </c>
    </row>
    <row r="3923" spans="1:4">
      <c r="A3923" s="105">
        <v>89686</v>
      </c>
      <c r="B3923" s="104" t="s">
        <v>3993</v>
      </c>
      <c r="C3923" s="104" t="s">
        <v>183</v>
      </c>
      <c r="D3923" s="129" t="s">
        <v>22792</v>
      </c>
    </row>
    <row r="3924" spans="1:4">
      <c r="A3924" s="105">
        <v>89687</v>
      </c>
      <c r="B3924" s="104" t="s">
        <v>3994</v>
      </c>
      <c r="C3924" s="104" t="s">
        <v>183</v>
      </c>
      <c r="D3924" s="129" t="s">
        <v>22793</v>
      </c>
    </row>
    <row r="3925" spans="1:4">
      <c r="A3925" s="105">
        <v>89689</v>
      </c>
      <c r="B3925" s="104" t="s">
        <v>3995</v>
      </c>
      <c r="C3925" s="104" t="s">
        <v>183</v>
      </c>
      <c r="D3925" s="129" t="s">
        <v>21753</v>
      </c>
    </row>
    <row r="3926" spans="1:4">
      <c r="A3926" s="105">
        <v>89690</v>
      </c>
      <c r="B3926" s="104" t="s">
        <v>3996</v>
      </c>
      <c r="C3926" s="104" t="s">
        <v>183</v>
      </c>
      <c r="D3926" s="129" t="s">
        <v>22033</v>
      </c>
    </row>
    <row r="3927" spans="1:4">
      <c r="A3927" s="105">
        <v>89691</v>
      </c>
      <c r="B3927" s="104" t="s">
        <v>3997</v>
      </c>
      <c r="C3927" s="104" t="s">
        <v>183</v>
      </c>
      <c r="D3927" s="129" t="s">
        <v>16937</v>
      </c>
    </row>
    <row r="3928" spans="1:4">
      <c r="A3928" s="105">
        <v>89692</v>
      </c>
      <c r="B3928" s="104" t="s">
        <v>3998</v>
      </c>
      <c r="C3928" s="104" t="s">
        <v>183</v>
      </c>
      <c r="D3928" s="129" t="s">
        <v>22794</v>
      </c>
    </row>
    <row r="3929" spans="1:4">
      <c r="A3929" s="105">
        <v>89693</v>
      </c>
      <c r="B3929" s="104" t="s">
        <v>3999</v>
      </c>
      <c r="C3929" s="104" t="s">
        <v>183</v>
      </c>
      <c r="D3929" s="129" t="s">
        <v>22795</v>
      </c>
    </row>
    <row r="3930" spans="1:4">
      <c r="A3930" s="105">
        <v>89694</v>
      </c>
      <c r="B3930" s="104" t="s">
        <v>4000</v>
      </c>
      <c r="C3930" s="104" t="s">
        <v>183</v>
      </c>
      <c r="D3930" s="129" t="s">
        <v>15668</v>
      </c>
    </row>
    <row r="3931" spans="1:4">
      <c r="A3931" s="105">
        <v>89695</v>
      </c>
      <c r="B3931" s="104" t="s">
        <v>4001</v>
      </c>
      <c r="C3931" s="104" t="s">
        <v>183</v>
      </c>
      <c r="D3931" s="129" t="s">
        <v>20197</v>
      </c>
    </row>
    <row r="3932" spans="1:4">
      <c r="A3932" s="105">
        <v>89696</v>
      </c>
      <c r="B3932" s="104" t="s">
        <v>4002</v>
      </c>
      <c r="C3932" s="104" t="s">
        <v>183</v>
      </c>
      <c r="D3932" s="129" t="s">
        <v>17357</v>
      </c>
    </row>
    <row r="3933" spans="1:4">
      <c r="A3933" s="105">
        <v>89697</v>
      </c>
      <c r="B3933" s="104" t="s">
        <v>4003</v>
      </c>
      <c r="C3933" s="104" t="s">
        <v>183</v>
      </c>
      <c r="D3933" s="129" t="s">
        <v>20085</v>
      </c>
    </row>
    <row r="3934" spans="1:4">
      <c r="A3934" s="105">
        <v>89698</v>
      </c>
      <c r="B3934" s="104" t="s">
        <v>4004</v>
      </c>
      <c r="C3934" s="104" t="s">
        <v>183</v>
      </c>
      <c r="D3934" s="129" t="s">
        <v>22796</v>
      </c>
    </row>
    <row r="3935" spans="1:4">
      <c r="A3935" s="105">
        <v>89699</v>
      </c>
      <c r="B3935" s="104" t="s">
        <v>4005</v>
      </c>
      <c r="C3935" s="104" t="s">
        <v>183</v>
      </c>
      <c r="D3935" s="129" t="s">
        <v>22797</v>
      </c>
    </row>
    <row r="3936" spans="1:4">
      <c r="A3936" s="105">
        <v>89700</v>
      </c>
      <c r="B3936" s="104" t="s">
        <v>4006</v>
      </c>
      <c r="C3936" s="104" t="s">
        <v>183</v>
      </c>
      <c r="D3936" s="129" t="s">
        <v>22798</v>
      </c>
    </row>
    <row r="3937" spans="1:4">
      <c r="A3937" s="105">
        <v>89701</v>
      </c>
      <c r="B3937" s="104" t="s">
        <v>4007</v>
      </c>
      <c r="C3937" s="104" t="s">
        <v>183</v>
      </c>
      <c r="D3937" s="129" t="s">
        <v>22799</v>
      </c>
    </row>
    <row r="3938" spans="1:4">
      <c r="A3938" s="105">
        <v>89702</v>
      </c>
      <c r="B3938" s="104" t="s">
        <v>4008</v>
      </c>
      <c r="C3938" s="104" t="s">
        <v>183</v>
      </c>
      <c r="D3938" s="129" t="s">
        <v>22798</v>
      </c>
    </row>
    <row r="3939" spans="1:4">
      <c r="A3939" s="105">
        <v>89703</v>
      </c>
      <c r="B3939" s="104" t="s">
        <v>4009</v>
      </c>
      <c r="C3939" s="104" t="s">
        <v>183</v>
      </c>
      <c r="D3939" s="129" t="s">
        <v>17165</v>
      </c>
    </row>
    <row r="3940" spans="1:4">
      <c r="A3940" s="105">
        <v>89704</v>
      </c>
      <c r="B3940" s="104" t="s">
        <v>4010</v>
      </c>
      <c r="C3940" s="104" t="s">
        <v>183</v>
      </c>
      <c r="D3940" s="129" t="s">
        <v>22800</v>
      </c>
    </row>
    <row r="3941" spans="1:4">
      <c r="A3941" s="105">
        <v>89705</v>
      </c>
      <c r="B3941" s="104" t="s">
        <v>4011</v>
      </c>
      <c r="C3941" s="104" t="s">
        <v>183</v>
      </c>
      <c r="D3941" s="129" t="s">
        <v>22801</v>
      </c>
    </row>
    <row r="3942" spans="1:4">
      <c r="A3942" s="105">
        <v>89706</v>
      </c>
      <c r="B3942" s="104" t="s">
        <v>4012</v>
      </c>
      <c r="C3942" s="104" t="s">
        <v>183</v>
      </c>
      <c r="D3942" s="129" t="s">
        <v>22802</v>
      </c>
    </row>
    <row r="3943" spans="1:4">
      <c r="A3943" s="105">
        <v>89718</v>
      </c>
      <c r="B3943" s="104" t="s">
        <v>4013</v>
      </c>
      <c r="C3943" s="104" t="s">
        <v>40</v>
      </c>
      <c r="D3943" s="129" t="s">
        <v>18415</v>
      </c>
    </row>
    <row r="3944" spans="1:4">
      <c r="A3944" s="105">
        <v>89719</v>
      </c>
      <c r="B3944" s="104" t="s">
        <v>4014</v>
      </c>
      <c r="C3944" s="104" t="s">
        <v>183</v>
      </c>
      <c r="D3944" s="129" t="s">
        <v>22803</v>
      </c>
    </row>
    <row r="3945" spans="1:4">
      <c r="A3945" s="105">
        <v>89720</v>
      </c>
      <c r="B3945" s="104" t="s">
        <v>4015</v>
      </c>
      <c r="C3945" s="104" t="s">
        <v>183</v>
      </c>
      <c r="D3945" s="129" t="s">
        <v>18034</v>
      </c>
    </row>
    <row r="3946" spans="1:4">
      <c r="A3946" s="105">
        <v>89721</v>
      </c>
      <c r="B3946" s="104" t="s">
        <v>4016</v>
      </c>
      <c r="C3946" s="104" t="s">
        <v>183</v>
      </c>
      <c r="D3946" s="129" t="s">
        <v>18412</v>
      </c>
    </row>
    <row r="3947" spans="1:4">
      <c r="A3947" s="105">
        <v>89722</v>
      </c>
      <c r="B3947" s="104" t="s">
        <v>4017</v>
      </c>
      <c r="C3947" s="104" t="s">
        <v>183</v>
      </c>
      <c r="D3947" s="129" t="s">
        <v>22804</v>
      </c>
    </row>
    <row r="3948" spans="1:4">
      <c r="A3948" s="105">
        <v>89723</v>
      </c>
      <c r="B3948" s="104" t="s">
        <v>4018</v>
      </c>
      <c r="C3948" s="104" t="s">
        <v>183</v>
      </c>
      <c r="D3948" s="129" t="s">
        <v>22805</v>
      </c>
    </row>
    <row r="3949" spans="1:4">
      <c r="A3949" s="105">
        <v>89724</v>
      </c>
      <c r="B3949" s="104" t="s">
        <v>4019</v>
      </c>
      <c r="C3949" s="104" t="s">
        <v>183</v>
      </c>
      <c r="D3949" s="129" t="s">
        <v>19264</v>
      </c>
    </row>
    <row r="3950" spans="1:4">
      <c r="A3950" s="105">
        <v>89725</v>
      </c>
      <c r="B3950" s="104" t="s">
        <v>4020</v>
      </c>
      <c r="C3950" s="104" t="s">
        <v>183</v>
      </c>
      <c r="D3950" s="129" t="s">
        <v>22806</v>
      </c>
    </row>
    <row r="3951" spans="1:4">
      <c r="A3951" s="105">
        <v>89726</v>
      </c>
      <c r="B3951" s="104" t="s">
        <v>4021</v>
      </c>
      <c r="C3951" s="104" t="s">
        <v>183</v>
      </c>
      <c r="D3951" s="129" t="s">
        <v>17273</v>
      </c>
    </row>
    <row r="3952" spans="1:4">
      <c r="A3952" s="105">
        <v>89727</v>
      </c>
      <c r="B3952" s="104" t="s">
        <v>4022</v>
      </c>
      <c r="C3952" s="104" t="s">
        <v>183</v>
      </c>
      <c r="D3952" s="129" t="s">
        <v>20289</v>
      </c>
    </row>
    <row r="3953" spans="1:4">
      <c r="A3953" s="105">
        <v>89728</v>
      </c>
      <c r="B3953" s="104" t="s">
        <v>4023</v>
      </c>
      <c r="C3953" s="104" t="s">
        <v>183</v>
      </c>
      <c r="D3953" s="129" t="s">
        <v>17245</v>
      </c>
    </row>
    <row r="3954" spans="1:4">
      <c r="A3954" s="105">
        <v>89729</v>
      </c>
      <c r="B3954" s="104" t="s">
        <v>4024</v>
      </c>
      <c r="C3954" s="104" t="s">
        <v>183</v>
      </c>
      <c r="D3954" s="129" t="s">
        <v>22807</v>
      </c>
    </row>
    <row r="3955" spans="1:4">
      <c r="A3955" s="105">
        <v>89730</v>
      </c>
      <c r="B3955" s="104" t="s">
        <v>4025</v>
      </c>
      <c r="C3955" s="104" t="s">
        <v>183</v>
      </c>
      <c r="D3955" s="129" t="s">
        <v>17395</v>
      </c>
    </row>
    <row r="3956" spans="1:4">
      <c r="A3956" s="105">
        <v>89731</v>
      </c>
      <c r="B3956" s="104" t="s">
        <v>172</v>
      </c>
      <c r="C3956" s="104" t="s">
        <v>183</v>
      </c>
      <c r="D3956" s="129" t="s">
        <v>22808</v>
      </c>
    </row>
    <row r="3957" spans="1:4">
      <c r="A3957" s="105">
        <v>89732</v>
      </c>
      <c r="B3957" s="104" t="s">
        <v>173</v>
      </c>
      <c r="C3957" s="104" t="s">
        <v>183</v>
      </c>
      <c r="D3957" s="129" t="s">
        <v>22809</v>
      </c>
    </row>
    <row r="3958" spans="1:4">
      <c r="A3958" s="105">
        <v>89733</v>
      </c>
      <c r="B3958" s="104" t="s">
        <v>4026</v>
      </c>
      <c r="C3958" s="104" t="s">
        <v>183</v>
      </c>
      <c r="D3958" s="129" t="s">
        <v>16597</v>
      </c>
    </row>
    <row r="3959" spans="1:4">
      <c r="A3959" s="105">
        <v>89734</v>
      </c>
      <c r="B3959" s="104" t="s">
        <v>4027</v>
      </c>
      <c r="C3959" s="104" t="s">
        <v>183</v>
      </c>
      <c r="D3959" s="129" t="s">
        <v>22807</v>
      </c>
    </row>
    <row r="3960" spans="1:4">
      <c r="A3960" s="105">
        <v>89735</v>
      </c>
      <c r="B3960" s="104" t="s">
        <v>4028</v>
      </c>
      <c r="C3960" s="104" t="s">
        <v>183</v>
      </c>
      <c r="D3960" s="129" t="s">
        <v>18267</v>
      </c>
    </row>
    <row r="3961" spans="1:4">
      <c r="A3961" s="105">
        <v>89736</v>
      </c>
      <c r="B3961" s="104" t="s">
        <v>4029</v>
      </c>
      <c r="C3961" s="104" t="s">
        <v>183</v>
      </c>
      <c r="D3961" s="129" t="s">
        <v>19618</v>
      </c>
    </row>
    <row r="3962" spans="1:4">
      <c r="A3962" s="105">
        <v>89737</v>
      </c>
      <c r="B3962" s="104" t="s">
        <v>4030</v>
      </c>
      <c r="C3962" s="104" t="s">
        <v>183</v>
      </c>
      <c r="D3962" s="129" t="s">
        <v>17399</v>
      </c>
    </row>
    <row r="3963" spans="1:4">
      <c r="A3963" s="105">
        <v>89738</v>
      </c>
      <c r="B3963" s="104" t="s">
        <v>4031</v>
      </c>
      <c r="C3963" s="104" t="s">
        <v>183</v>
      </c>
      <c r="D3963" s="129" t="s">
        <v>18162</v>
      </c>
    </row>
    <row r="3964" spans="1:4">
      <c r="A3964" s="105">
        <v>89739</v>
      </c>
      <c r="B3964" s="104" t="s">
        <v>4032</v>
      </c>
      <c r="C3964" s="104" t="s">
        <v>183</v>
      </c>
      <c r="D3964" s="129" t="s">
        <v>18217</v>
      </c>
    </row>
    <row r="3965" spans="1:4">
      <c r="A3965" s="105">
        <v>89740</v>
      </c>
      <c r="B3965" s="104" t="s">
        <v>4033</v>
      </c>
      <c r="C3965" s="104" t="s">
        <v>183</v>
      </c>
      <c r="D3965" s="129" t="s">
        <v>17393</v>
      </c>
    </row>
    <row r="3966" spans="1:4">
      <c r="A3966" s="105">
        <v>89741</v>
      </c>
      <c r="B3966" s="104" t="s">
        <v>4034</v>
      </c>
      <c r="C3966" s="104" t="s">
        <v>183</v>
      </c>
      <c r="D3966" s="129" t="s">
        <v>15406</v>
      </c>
    </row>
    <row r="3967" spans="1:4">
      <c r="A3967" s="105">
        <v>89742</v>
      </c>
      <c r="B3967" s="104" t="s">
        <v>4035</v>
      </c>
      <c r="C3967" s="104" t="s">
        <v>183</v>
      </c>
      <c r="D3967" s="129" t="s">
        <v>22810</v>
      </c>
    </row>
    <row r="3968" spans="1:4">
      <c r="A3968" s="105">
        <v>89743</v>
      </c>
      <c r="B3968" s="104" t="s">
        <v>4036</v>
      </c>
      <c r="C3968" s="104" t="s">
        <v>183</v>
      </c>
      <c r="D3968" s="129" t="s">
        <v>22811</v>
      </c>
    </row>
    <row r="3969" spans="1:4">
      <c r="A3969" s="105">
        <v>89744</v>
      </c>
      <c r="B3969" s="104" t="s">
        <v>174</v>
      </c>
      <c r="C3969" s="104" t="s">
        <v>183</v>
      </c>
      <c r="D3969" s="129" t="s">
        <v>22812</v>
      </c>
    </row>
    <row r="3970" spans="1:4">
      <c r="A3970" s="105">
        <v>89745</v>
      </c>
      <c r="B3970" s="104" t="s">
        <v>4037</v>
      </c>
      <c r="C3970" s="104" t="s">
        <v>183</v>
      </c>
      <c r="D3970" s="129" t="s">
        <v>22813</v>
      </c>
    </row>
    <row r="3971" spans="1:4">
      <c r="A3971" s="105">
        <v>89746</v>
      </c>
      <c r="B3971" s="104" t="s">
        <v>175</v>
      </c>
      <c r="C3971" s="104" t="s">
        <v>183</v>
      </c>
      <c r="D3971" s="129" t="s">
        <v>22778</v>
      </c>
    </row>
    <row r="3972" spans="1:4">
      <c r="A3972" s="105">
        <v>89747</v>
      </c>
      <c r="B3972" s="104" t="s">
        <v>4038</v>
      </c>
      <c r="C3972" s="104" t="s">
        <v>183</v>
      </c>
      <c r="D3972" s="129" t="s">
        <v>22301</v>
      </c>
    </row>
    <row r="3973" spans="1:4">
      <c r="A3973" s="105">
        <v>89748</v>
      </c>
      <c r="B3973" s="104" t="s">
        <v>4039</v>
      </c>
      <c r="C3973" s="104" t="s">
        <v>183</v>
      </c>
      <c r="D3973" s="129" t="s">
        <v>22814</v>
      </c>
    </row>
    <row r="3974" spans="1:4">
      <c r="A3974" s="105">
        <v>89749</v>
      </c>
      <c r="B3974" s="104" t="s">
        <v>4040</v>
      </c>
      <c r="C3974" s="104" t="s">
        <v>183</v>
      </c>
      <c r="D3974" s="129" t="s">
        <v>18162</v>
      </c>
    </row>
    <row r="3975" spans="1:4">
      <c r="A3975" s="105">
        <v>89750</v>
      </c>
      <c r="B3975" s="104" t="s">
        <v>4041</v>
      </c>
      <c r="C3975" s="104" t="s">
        <v>183</v>
      </c>
      <c r="D3975" s="129" t="s">
        <v>19369</v>
      </c>
    </row>
    <row r="3976" spans="1:4">
      <c r="A3976" s="105">
        <v>89751</v>
      </c>
      <c r="B3976" s="104" t="s">
        <v>4042</v>
      </c>
      <c r="C3976" s="104" t="s">
        <v>183</v>
      </c>
      <c r="D3976" s="129" t="s">
        <v>15572</v>
      </c>
    </row>
    <row r="3977" spans="1:4">
      <c r="A3977" s="105">
        <v>89752</v>
      </c>
      <c r="B3977" s="104" t="s">
        <v>4043</v>
      </c>
      <c r="C3977" s="104" t="s">
        <v>183</v>
      </c>
      <c r="D3977" s="129" t="s">
        <v>15535</v>
      </c>
    </row>
    <row r="3978" spans="1:4">
      <c r="A3978" s="105">
        <v>89753</v>
      </c>
      <c r="B3978" s="104" t="s">
        <v>4044</v>
      </c>
      <c r="C3978" s="104" t="s">
        <v>183</v>
      </c>
      <c r="D3978" s="129" t="s">
        <v>16979</v>
      </c>
    </row>
    <row r="3979" spans="1:4">
      <c r="A3979" s="105">
        <v>89754</v>
      </c>
      <c r="B3979" s="104" t="s">
        <v>4045</v>
      </c>
      <c r="C3979" s="104" t="s">
        <v>183</v>
      </c>
      <c r="D3979" s="129" t="s">
        <v>22815</v>
      </c>
    </row>
    <row r="3980" spans="1:4">
      <c r="A3980" s="105">
        <v>89755</v>
      </c>
      <c r="B3980" s="104" t="s">
        <v>4046</v>
      </c>
      <c r="C3980" s="104" t="s">
        <v>183</v>
      </c>
      <c r="D3980" s="129" t="s">
        <v>22816</v>
      </c>
    </row>
    <row r="3981" spans="1:4">
      <c r="A3981" s="105">
        <v>89756</v>
      </c>
      <c r="B3981" s="104" t="s">
        <v>4047</v>
      </c>
      <c r="C3981" s="104" t="s">
        <v>183</v>
      </c>
      <c r="D3981" s="129" t="s">
        <v>22817</v>
      </c>
    </row>
    <row r="3982" spans="1:4">
      <c r="A3982" s="105">
        <v>89757</v>
      </c>
      <c r="B3982" s="104" t="s">
        <v>4048</v>
      </c>
      <c r="C3982" s="104" t="s">
        <v>183</v>
      </c>
      <c r="D3982" s="129" t="s">
        <v>22818</v>
      </c>
    </row>
    <row r="3983" spans="1:4">
      <c r="A3983" s="105">
        <v>89758</v>
      </c>
      <c r="B3983" s="104" t="s">
        <v>4049</v>
      </c>
      <c r="C3983" s="104" t="s">
        <v>183</v>
      </c>
      <c r="D3983" s="129" t="s">
        <v>22819</v>
      </c>
    </row>
    <row r="3984" spans="1:4">
      <c r="A3984" s="105">
        <v>89759</v>
      </c>
      <c r="B3984" s="104" t="s">
        <v>4050</v>
      </c>
      <c r="C3984" s="104" t="s">
        <v>183</v>
      </c>
      <c r="D3984" s="129" t="s">
        <v>20581</v>
      </c>
    </row>
    <row r="3985" spans="1:4">
      <c r="A3985" s="105">
        <v>89760</v>
      </c>
      <c r="B3985" s="104" t="s">
        <v>4051</v>
      </c>
      <c r="C3985" s="104" t="s">
        <v>183</v>
      </c>
      <c r="D3985" s="129" t="s">
        <v>22820</v>
      </c>
    </row>
    <row r="3986" spans="1:4">
      <c r="A3986" s="105">
        <v>89761</v>
      </c>
      <c r="B3986" s="104" t="s">
        <v>4052</v>
      </c>
      <c r="C3986" s="104" t="s">
        <v>183</v>
      </c>
      <c r="D3986" s="129" t="s">
        <v>17462</v>
      </c>
    </row>
    <row r="3987" spans="1:4">
      <c r="A3987" s="105">
        <v>89762</v>
      </c>
      <c r="B3987" s="104" t="s">
        <v>4053</v>
      </c>
      <c r="C3987" s="104" t="s">
        <v>183</v>
      </c>
      <c r="D3987" s="129" t="s">
        <v>22821</v>
      </c>
    </row>
    <row r="3988" spans="1:4">
      <c r="A3988" s="105">
        <v>89763</v>
      </c>
      <c r="B3988" s="104" t="s">
        <v>4054</v>
      </c>
      <c r="C3988" s="104" t="s">
        <v>183</v>
      </c>
      <c r="D3988" s="129" t="s">
        <v>22822</v>
      </c>
    </row>
    <row r="3989" spans="1:4">
      <c r="A3989" s="105">
        <v>89764</v>
      </c>
      <c r="B3989" s="104" t="s">
        <v>4055</v>
      </c>
      <c r="C3989" s="104" t="s">
        <v>183</v>
      </c>
      <c r="D3989" s="129" t="s">
        <v>18404</v>
      </c>
    </row>
    <row r="3990" spans="1:4">
      <c r="A3990" s="105">
        <v>89765</v>
      </c>
      <c r="B3990" s="104" t="s">
        <v>4056</v>
      </c>
      <c r="C3990" s="104" t="s">
        <v>183</v>
      </c>
      <c r="D3990" s="129" t="s">
        <v>18457</v>
      </c>
    </row>
    <row r="3991" spans="1:4">
      <c r="A3991" s="105">
        <v>89766</v>
      </c>
      <c r="B3991" s="104" t="s">
        <v>4057</v>
      </c>
      <c r="C3991" s="104" t="s">
        <v>183</v>
      </c>
      <c r="D3991" s="129" t="s">
        <v>22823</v>
      </c>
    </row>
    <row r="3992" spans="1:4">
      <c r="A3992" s="105">
        <v>89767</v>
      </c>
      <c r="B3992" s="104" t="s">
        <v>4058</v>
      </c>
      <c r="C3992" s="104" t="s">
        <v>183</v>
      </c>
      <c r="D3992" s="129" t="s">
        <v>22823</v>
      </c>
    </row>
    <row r="3993" spans="1:4">
      <c r="A3993" s="105">
        <v>89768</v>
      </c>
      <c r="B3993" s="104" t="s">
        <v>4059</v>
      </c>
      <c r="C3993" s="104" t="s">
        <v>183</v>
      </c>
      <c r="D3993" s="129" t="s">
        <v>22824</v>
      </c>
    </row>
    <row r="3994" spans="1:4">
      <c r="A3994" s="105">
        <v>89769</v>
      </c>
      <c r="B3994" s="104" t="s">
        <v>4060</v>
      </c>
      <c r="C3994" s="104" t="s">
        <v>183</v>
      </c>
      <c r="D3994" s="129" t="s">
        <v>22825</v>
      </c>
    </row>
    <row r="3995" spans="1:4">
      <c r="A3995" s="105">
        <v>89772</v>
      </c>
      <c r="B3995" s="104" t="s">
        <v>4061</v>
      </c>
      <c r="C3995" s="104" t="s">
        <v>40</v>
      </c>
      <c r="D3995" s="129" t="s">
        <v>22826</v>
      </c>
    </row>
    <row r="3996" spans="1:4">
      <c r="A3996" s="105">
        <v>89774</v>
      </c>
      <c r="B3996" s="104" t="s">
        <v>4062</v>
      </c>
      <c r="C3996" s="104" t="s">
        <v>183</v>
      </c>
      <c r="D3996" s="129" t="s">
        <v>15331</v>
      </c>
    </row>
    <row r="3997" spans="1:4">
      <c r="A3997" s="105">
        <v>89776</v>
      </c>
      <c r="B3997" s="104" t="s">
        <v>4063</v>
      </c>
      <c r="C3997" s="104" t="s">
        <v>183</v>
      </c>
      <c r="D3997" s="129" t="s">
        <v>22827</v>
      </c>
    </row>
    <row r="3998" spans="1:4">
      <c r="A3998" s="105">
        <v>89777</v>
      </c>
      <c r="B3998" s="104" t="s">
        <v>4064</v>
      </c>
      <c r="C3998" s="104" t="s">
        <v>183</v>
      </c>
      <c r="D3998" s="129" t="s">
        <v>22828</v>
      </c>
    </row>
    <row r="3999" spans="1:4">
      <c r="A3999" s="105">
        <v>89778</v>
      </c>
      <c r="B3999" s="104" t="s">
        <v>4065</v>
      </c>
      <c r="C3999" s="104" t="s">
        <v>183</v>
      </c>
      <c r="D3999" s="129" t="s">
        <v>18333</v>
      </c>
    </row>
    <row r="4000" spans="1:4">
      <c r="A4000" s="105">
        <v>89779</v>
      </c>
      <c r="B4000" s="104" t="s">
        <v>4066</v>
      </c>
      <c r="C4000" s="104" t="s">
        <v>183</v>
      </c>
      <c r="D4000" s="129" t="s">
        <v>22829</v>
      </c>
    </row>
    <row r="4001" spans="1:4">
      <c r="A4001" s="105">
        <v>89780</v>
      </c>
      <c r="B4001" s="104" t="s">
        <v>4067</v>
      </c>
      <c r="C4001" s="104" t="s">
        <v>183</v>
      </c>
      <c r="D4001" s="129" t="s">
        <v>22828</v>
      </c>
    </row>
    <row r="4002" spans="1:4">
      <c r="A4002" s="105">
        <v>89781</v>
      </c>
      <c r="B4002" s="104" t="s">
        <v>4068</v>
      </c>
      <c r="C4002" s="104" t="s">
        <v>183</v>
      </c>
      <c r="D4002" s="129" t="s">
        <v>22830</v>
      </c>
    </row>
    <row r="4003" spans="1:4">
      <c r="A4003" s="105">
        <v>89782</v>
      </c>
      <c r="B4003" s="104" t="s">
        <v>4069</v>
      </c>
      <c r="C4003" s="104" t="s">
        <v>183</v>
      </c>
      <c r="D4003" s="129" t="s">
        <v>15008</v>
      </c>
    </row>
    <row r="4004" spans="1:4">
      <c r="A4004" s="105">
        <v>89783</v>
      </c>
      <c r="B4004" s="104" t="s">
        <v>4070</v>
      </c>
      <c r="C4004" s="104" t="s">
        <v>183</v>
      </c>
      <c r="D4004" s="129" t="s">
        <v>22831</v>
      </c>
    </row>
    <row r="4005" spans="1:4">
      <c r="A4005" s="105">
        <v>89784</v>
      </c>
      <c r="B4005" s="104" t="s">
        <v>176</v>
      </c>
      <c r="C4005" s="104" t="s">
        <v>183</v>
      </c>
      <c r="D4005" s="129" t="s">
        <v>22774</v>
      </c>
    </row>
    <row r="4006" spans="1:4">
      <c r="A4006" s="105">
        <v>89785</v>
      </c>
      <c r="B4006" s="104" t="s">
        <v>177</v>
      </c>
      <c r="C4006" s="104" t="s">
        <v>183</v>
      </c>
      <c r="D4006" s="129" t="s">
        <v>22817</v>
      </c>
    </row>
    <row r="4007" spans="1:4">
      <c r="A4007" s="105">
        <v>89786</v>
      </c>
      <c r="B4007" s="104" t="s">
        <v>4071</v>
      </c>
      <c r="C4007" s="104" t="s">
        <v>183</v>
      </c>
      <c r="D4007" s="129" t="s">
        <v>15369</v>
      </c>
    </row>
    <row r="4008" spans="1:4">
      <c r="A4008" s="105">
        <v>89787</v>
      </c>
      <c r="B4008" s="104" t="s">
        <v>4072</v>
      </c>
      <c r="C4008" s="104" t="s">
        <v>183</v>
      </c>
      <c r="D4008" s="129" t="s">
        <v>22830</v>
      </c>
    </row>
    <row r="4009" spans="1:4">
      <c r="A4009" s="105">
        <v>89788</v>
      </c>
      <c r="B4009" s="104" t="s">
        <v>4073</v>
      </c>
      <c r="C4009" s="104" t="s">
        <v>183</v>
      </c>
      <c r="D4009" s="129" t="s">
        <v>22832</v>
      </c>
    </row>
    <row r="4010" spans="1:4">
      <c r="A4010" s="105">
        <v>89789</v>
      </c>
      <c r="B4010" s="104" t="s">
        <v>4074</v>
      </c>
      <c r="C4010" s="104" t="s">
        <v>183</v>
      </c>
      <c r="D4010" s="129" t="s">
        <v>22833</v>
      </c>
    </row>
    <row r="4011" spans="1:4">
      <c r="A4011" s="105">
        <v>89790</v>
      </c>
      <c r="B4011" s="104" t="s">
        <v>4075</v>
      </c>
      <c r="C4011" s="104" t="s">
        <v>183</v>
      </c>
      <c r="D4011" s="129" t="s">
        <v>22834</v>
      </c>
    </row>
    <row r="4012" spans="1:4">
      <c r="A4012" s="105">
        <v>89791</v>
      </c>
      <c r="B4012" s="104" t="s">
        <v>4076</v>
      </c>
      <c r="C4012" s="104" t="s">
        <v>183</v>
      </c>
      <c r="D4012" s="129" t="s">
        <v>22835</v>
      </c>
    </row>
    <row r="4013" spans="1:4">
      <c r="A4013" s="105">
        <v>89792</v>
      </c>
      <c r="B4013" s="104" t="s">
        <v>4077</v>
      </c>
      <c r="C4013" s="104" t="s">
        <v>183</v>
      </c>
      <c r="D4013" s="129" t="s">
        <v>22836</v>
      </c>
    </row>
    <row r="4014" spans="1:4">
      <c r="A4014" s="105">
        <v>89793</v>
      </c>
      <c r="B4014" s="104" t="s">
        <v>4078</v>
      </c>
      <c r="C4014" s="104" t="s">
        <v>183</v>
      </c>
      <c r="D4014" s="129" t="s">
        <v>22837</v>
      </c>
    </row>
    <row r="4015" spans="1:4">
      <c r="A4015" s="105">
        <v>89794</v>
      </c>
      <c r="B4015" s="104" t="s">
        <v>4079</v>
      </c>
      <c r="C4015" s="104" t="s">
        <v>183</v>
      </c>
      <c r="D4015" s="129" t="s">
        <v>18140</v>
      </c>
    </row>
    <row r="4016" spans="1:4">
      <c r="A4016" s="105">
        <v>89795</v>
      </c>
      <c r="B4016" s="104" t="s">
        <v>4080</v>
      </c>
      <c r="C4016" s="104" t="s">
        <v>183</v>
      </c>
      <c r="D4016" s="129" t="s">
        <v>22838</v>
      </c>
    </row>
    <row r="4017" spans="1:4">
      <c r="A4017" s="105">
        <v>89796</v>
      </c>
      <c r="B4017" s="104" t="s">
        <v>4081</v>
      </c>
      <c r="C4017" s="104" t="s">
        <v>183</v>
      </c>
      <c r="D4017" s="129" t="s">
        <v>19810</v>
      </c>
    </row>
    <row r="4018" spans="1:4">
      <c r="A4018" s="105">
        <v>89797</v>
      </c>
      <c r="B4018" s="104" t="s">
        <v>178</v>
      </c>
      <c r="C4018" s="104" t="s">
        <v>183</v>
      </c>
      <c r="D4018" s="129" t="s">
        <v>20966</v>
      </c>
    </row>
    <row r="4019" spans="1:4">
      <c r="A4019" s="105">
        <v>89801</v>
      </c>
      <c r="B4019" s="104" t="s">
        <v>4082</v>
      </c>
      <c r="C4019" s="104" t="s">
        <v>183</v>
      </c>
      <c r="D4019" s="129" t="s">
        <v>22839</v>
      </c>
    </row>
    <row r="4020" spans="1:4">
      <c r="A4020" s="105">
        <v>89802</v>
      </c>
      <c r="B4020" s="104" t="s">
        <v>4083</v>
      </c>
      <c r="C4020" s="104" t="s">
        <v>183</v>
      </c>
      <c r="D4020" s="129" t="s">
        <v>22446</v>
      </c>
    </row>
    <row r="4021" spans="1:4">
      <c r="A4021" s="105">
        <v>89803</v>
      </c>
      <c r="B4021" s="104" t="s">
        <v>4084</v>
      </c>
      <c r="C4021" s="104" t="s">
        <v>183</v>
      </c>
      <c r="D4021" s="129" t="s">
        <v>16889</v>
      </c>
    </row>
    <row r="4022" spans="1:4">
      <c r="A4022" s="105">
        <v>89804</v>
      </c>
      <c r="B4022" s="104" t="s">
        <v>4085</v>
      </c>
      <c r="C4022" s="104" t="s">
        <v>183</v>
      </c>
      <c r="D4022" s="129" t="s">
        <v>16394</v>
      </c>
    </row>
    <row r="4023" spans="1:4">
      <c r="A4023" s="105">
        <v>89805</v>
      </c>
      <c r="B4023" s="104" t="s">
        <v>4086</v>
      </c>
      <c r="C4023" s="104" t="s">
        <v>183</v>
      </c>
      <c r="D4023" s="129" t="s">
        <v>20837</v>
      </c>
    </row>
    <row r="4024" spans="1:4">
      <c r="A4024" s="105">
        <v>89806</v>
      </c>
      <c r="B4024" s="104" t="s">
        <v>4087</v>
      </c>
      <c r="C4024" s="104" t="s">
        <v>183</v>
      </c>
      <c r="D4024" s="129" t="s">
        <v>15328</v>
      </c>
    </row>
    <row r="4025" spans="1:4">
      <c r="A4025" s="105">
        <v>89807</v>
      </c>
      <c r="B4025" s="104" t="s">
        <v>4088</v>
      </c>
      <c r="C4025" s="104" t="s">
        <v>183</v>
      </c>
      <c r="D4025" s="129" t="s">
        <v>22840</v>
      </c>
    </row>
    <row r="4026" spans="1:4">
      <c r="A4026" s="105">
        <v>89808</v>
      </c>
      <c r="B4026" s="104" t="s">
        <v>4089</v>
      </c>
      <c r="C4026" s="104" t="s">
        <v>183</v>
      </c>
      <c r="D4026" s="129" t="s">
        <v>22841</v>
      </c>
    </row>
    <row r="4027" spans="1:4">
      <c r="A4027" s="105">
        <v>89809</v>
      </c>
      <c r="B4027" s="104" t="s">
        <v>4090</v>
      </c>
      <c r="C4027" s="104" t="s">
        <v>183</v>
      </c>
      <c r="D4027" s="129" t="s">
        <v>18619</v>
      </c>
    </row>
    <row r="4028" spans="1:4">
      <c r="A4028" s="105">
        <v>89810</v>
      </c>
      <c r="B4028" s="104" t="s">
        <v>4091</v>
      </c>
      <c r="C4028" s="104" t="s">
        <v>183</v>
      </c>
      <c r="D4028" s="129" t="s">
        <v>18138</v>
      </c>
    </row>
    <row r="4029" spans="1:4">
      <c r="A4029" s="105">
        <v>89811</v>
      </c>
      <c r="B4029" s="104" t="s">
        <v>4092</v>
      </c>
      <c r="C4029" s="104" t="s">
        <v>183</v>
      </c>
      <c r="D4029" s="129" t="s">
        <v>22842</v>
      </c>
    </row>
    <row r="4030" spans="1:4">
      <c r="A4030" s="105">
        <v>89812</v>
      </c>
      <c r="B4030" s="104" t="s">
        <v>4093</v>
      </c>
      <c r="C4030" s="104" t="s">
        <v>183</v>
      </c>
      <c r="D4030" s="129" t="s">
        <v>22843</v>
      </c>
    </row>
    <row r="4031" spans="1:4">
      <c r="A4031" s="105">
        <v>89813</v>
      </c>
      <c r="B4031" s="104" t="s">
        <v>4094</v>
      </c>
      <c r="C4031" s="104" t="s">
        <v>183</v>
      </c>
      <c r="D4031" s="129" t="s">
        <v>22437</v>
      </c>
    </row>
    <row r="4032" spans="1:4">
      <c r="A4032" s="105">
        <v>89814</v>
      </c>
      <c r="B4032" s="104" t="s">
        <v>4095</v>
      </c>
      <c r="C4032" s="104" t="s">
        <v>183</v>
      </c>
      <c r="D4032" s="129" t="s">
        <v>22507</v>
      </c>
    </row>
    <row r="4033" spans="1:4">
      <c r="A4033" s="105">
        <v>89815</v>
      </c>
      <c r="B4033" s="104" t="s">
        <v>4096</v>
      </c>
      <c r="C4033" s="104" t="s">
        <v>183</v>
      </c>
      <c r="D4033" s="129" t="s">
        <v>22844</v>
      </c>
    </row>
    <row r="4034" spans="1:4">
      <c r="A4034" s="105">
        <v>89816</v>
      </c>
      <c r="B4034" s="104" t="s">
        <v>4097</v>
      </c>
      <c r="C4034" s="104" t="s">
        <v>183</v>
      </c>
      <c r="D4034" s="129" t="s">
        <v>22845</v>
      </c>
    </row>
    <row r="4035" spans="1:4">
      <c r="A4035" s="105">
        <v>89817</v>
      </c>
      <c r="B4035" s="104" t="s">
        <v>4098</v>
      </c>
      <c r="C4035" s="104" t="s">
        <v>183</v>
      </c>
      <c r="D4035" s="129" t="s">
        <v>22776</v>
      </c>
    </row>
    <row r="4036" spans="1:4">
      <c r="A4036" s="105">
        <v>89818</v>
      </c>
      <c r="B4036" s="104" t="s">
        <v>4099</v>
      </c>
      <c r="C4036" s="104" t="s">
        <v>183</v>
      </c>
      <c r="D4036" s="129" t="s">
        <v>22846</v>
      </c>
    </row>
    <row r="4037" spans="1:4">
      <c r="A4037" s="105">
        <v>89819</v>
      </c>
      <c r="B4037" s="104" t="s">
        <v>4100</v>
      </c>
      <c r="C4037" s="104" t="s">
        <v>183</v>
      </c>
      <c r="D4037" s="129" t="s">
        <v>17917</v>
      </c>
    </row>
    <row r="4038" spans="1:4">
      <c r="A4038" s="105">
        <v>89820</v>
      </c>
      <c r="B4038" s="104" t="s">
        <v>4101</v>
      </c>
      <c r="C4038" s="104" t="s">
        <v>183</v>
      </c>
      <c r="D4038" s="129" t="s">
        <v>22847</v>
      </c>
    </row>
    <row r="4039" spans="1:4">
      <c r="A4039" s="105">
        <v>89821</v>
      </c>
      <c r="B4039" s="104" t="s">
        <v>4102</v>
      </c>
      <c r="C4039" s="104" t="s">
        <v>183</v>
      </c>
      <c r="D4039" s="129" t="s">
        <v>22509</v>
      </c>
    </row>
    <row r="4040" spans="1:4">
      <c r="A4040" s="105">
        <v>89822</v>
      </c>
      <c r="B4040" s="104" t="s">
        <v>4103</v>
      </c>
      <c r="C4040" s="104" t="s">
        <v>183</v>
      </c>
      <c r="D4040" s="129" t="s">
        <v>17311</v>
      </c>
    </row>
    <row r="4041" spans="1:4">
      <c r="A4041" s="105">
        <v>89823</v>
      </c>
      <c r="B4041" s="104" t="s">
        <v>4104</v>
      </c>
      <c r="C4041" s="104" t="s">
        <v>183</v>
      </c>
      <c r="D4041" s="129" t="s">
        <v>18804</v>
      </c>
    </row>
    <row r="4042" spans="1:4">
      <c r="A4042" s="105">
        <v>89824</v>
      </c>
      <c r="B4042" s="104" t="s">
        <v>4105</v>
      </c>
      <c r="C4042" s="104" t="s">
        <v>183</v>
      </c>
      <c r="D4042" s="129" t="s">
        <v>22848</v>
      </c>
    </row>
    <row r="4043" spans="1:4">
      <c r="A4043" s="105">
        <v>89825</v>
      </c>
      <c r="B4043" s="104" t="s">
        <v>4106</v>
      </c>
      <c r="C4043" s="104" t="s">
        <v>183</v>
      </c>
      <c r="D4043" s="129" t="s">
        <v>15508</v>
      </c>
    </row>
    <row r="4044" spans="1:4">
      <c r="A4044" s="105">
        <v>89826</v>
      </c>
      <c r="B4044" s="104" t="s">
        <v>4107</v>
      </c>
      <c r="C4044" s="104" t="s">
        <v>183</v>
      </c>
      <c r="D4044" s="129" t="s">
        <v>22849</v>
      </c>
    </row>
    <row r="4045" spans="1:4">
      <c r="A4045" s="105">
        <v>89827</v>
      </c>
      <c r="B4045" s="104" t="s">
        <v>4108</v>
      </c>
      <c r="C4045" s="104" t="s">
        <v>183</v>
      </c>
      <c r="D4045" s="129" t="s">
        <v>15506</v>
      </c>
    </row>
    <row r="4046" spans="1:4">
      <c r="A4046" s="105">
        <v>89828</v>
      </c>
      <c r="B4046" s="104" t="s">
        <v>4109</v>
      </c>
      <c r="C4046" s="104" t="s">
        <v>183</v>
      </c>
      <c r="D4046" s="129" t="s">
        <v>22850</v>
      </c>
    </row>
    <row r="4047" spans="1:4">
      <c r="A4047" s="105">
        <v>89829</v>
      </c>
      <c r="B4047" s="104" t="s">
        <v>4110</v>
      </c>
      <c r="C4047" s="104" t="s">
        <v>183</v>
      </c>
      <c r="D4047" s="129" t="s">
        <v>22851</v>
      </c>
    </row>
    <row r="4048" spans="1:4">
      <c r="A4048" s="105">
        <v>89830</v>
      </c>
      <c r="B4048" s="104" t="s">
        <v>4111</v>
      </c>
      <c r="C4048" s="104" t="s">
        <v>183</v>
      </c>
      <c r="D4048" s="129" t="s">
        <v>17434</v>
      </c>
    </row>
    <row r="4049" spans="1:4">
      <c r="A4049" s="105">
        <v>89831</v>
      </c>
      <c r="B4049" s="104" t="s">
        <v>4112</v>
      </c>
      <c r="C4049" s="104" t="s">
        <v>183</v>
      </c>
      <c r="D4049" s="129" t="s">
        <v>22852</v>
      </c>
    </row>
    <row r="4050" spans="1:4">
      <c r="A4050" s="105">
        <v>89832</v>
      </c>
      <c r="B4050" s="104" t="s">
        <v>4113</v>
      </c>
      <c r="C4050" s="104" t="s">
        <v>183</v>
      </c>
      <c r="D4050" s="129" t="s">
        <v>20877</v>
      </c>
    </row>
    <row r="4051" spans="1:4">
      <c r="A4051" s="105">
        <v>89833</v>
      </c>
      <c r="B4051" s="104" t="s">
        <v>4114</v>
      </c>
      <c r="C4051" s="104" t="s">
        <v>183</v>
      </c>
      <c r="D4051" s="129" t="s">
        <v>17421</v>
      </c>
    </row>
    <row r="4052" spans="1:4">
      <c r="A4052" s="105">
        <v>89834</v>
      </c>
      <c r="B4052" s="104" t="s">
        <v>4115</v>
      </c>
      <c r="C4052" s="104" t="s">
        <v>183</v>
      </c>
      <c r="D4052" s="129" t="s">
        <v>22765</v>
      </c>
    </row>
    <row r="4053" spans="1:4">
      <c r="A4053" s="105">
        <v>89835</v>
      </c>
      <c r="B4053" s="104" t="s">
        <v>4116</v>
      </c>
      <c r="C4053" s="104" t="s">
        <v>183</v>
      </c>
      <c r="D4053" s="129" t="s">
        <v>22853</v>
      </c>
    </row>
    <row r="4054" spans="1:4">
      <c r="A4054" s="105">
        <v>89836</v>
      </c>
      <c r="B4054" s="104" t="s">
        <v>4117</v>
      </c>
      <c r="C4054" s="104" t="s">
        <v>183</v>
      </c>
      <c r="D4054" s="129" t="s">
        <v>22854</v>
      </c>
    </row>
    <row r="4055" spans="1:4">
      <c r="A4055" s="105">
        <v>89837</v>
      </c>
      <c r="B4055" s="104" t="s">
        <v>4118</v>
      </c>
      <c r="C4055" s="104" t="s">
        <v>183</v>
      </c>
      <c r="D4055" s="129" t="s">
        <v>22855</v>
      </c>
    </row>
    <row r="4056" spans="1:4">
      <c r="A4056" s="105">
        <v>89838</v>
      </c>
      <c r="B4056" s="104" t="s">
        <v>4119</v>
      </c>
      <c r="C4056" s="104" t="s">
        <v>183</v>
      </c>
      <c r="D4056" s="129" t="s">
        <v>22856</v>
      </c>
    </row>
    <row r="4057" spans="1:4">
      <c r="A4057" s="105">
        <v>89839</v>
      </c>
      <c r="B4057" s="104" t="s">
        <v>4120</v>
      </c>
      <c r="C4057" s="104" t="s">
        <v>183</v>
      </c>
      <c r="D4057" s="129" t="s">
        <v>22857</v>
      </c>
    </row>
    <row r="4058" spans="1:4">
      <c r="A4058" s="105">
        <v>89840</v>
      </c>
      <c r="B4058" s="104" t="s">
        <v>4121</v>
      </c>
      <c r="C4058" s="104" t="s">
        <v>183</v>
      </c>
      <c r="D4058" s="129" t="s">
        <v>22858</v>
      </c>
    </row>
    <row r="4059" spans="1:4">
      <c r="A4059" s="105">
        <v>89841</v>
      </c>
      <c r="B4059" s="104" t="s">
        <v>4122</v>
      </c>
      <c r="C4059" s="104" t="s">
        <v>183</v>
      </c>
      <c r="D4059" s="129" t="s">
        <v>22859</v>
      </c>
    </row>
    <row r="4060" spans="1:4">
      <c r="A4060" s="105">
        <v>89842</v>
      </c>
      <c r="B4060" s="104" t="s">
        <v>4123</v>
      </c>
      <c r="C4060" s="104" t="s">
        <v>183</v>
      </c>
      <c r="D4060" s="129" t="s">
        <v>22860</v>
      </c>
    </row>
    <row r="4061" spans="1:4">
      <c r="A4061" s="105">
        <v>89844</v>
      </c>
      <c r="B4061" s="104" t="s">
        <v>4124</v>
      </c>
      <c r="C4061" s="104" t="s">
        <v>183</v>
      </c>
      <c r="D4061" s="129" t="s">
        <v>22569</v>
      </c>
    </row>
    <row r="4062" spans="1:4">
      <c r="A4062" s="105">
        <v>89845</v>
      </c>
      <c r="B4062" s="104" t="s">
        <v>4125</v>
      </c>
      <c r="C4062" s="104" t="s">
        <v>183</v>
      </c>
      <c r="D4062" s="129" t="s">
        <v>22861</v>
      </c>
    </row>
    <row r="4063" spans="1:4">
      <c r="A4063" s="105">
        <v>89846</v>
      </c>
      <c r="B4063" s="104" t="s">
        <v>4126</v>
      </c>
      <c r="C4063" s="104" t="s">
        <v>183</v>
      </c>
      <c r="D4063" s="129" t="s">
        <v>22862</v>
      </c>
    </row>
    <row r="4064" spans="1:4">
      <c r="A4064" s="105">
        <v>89847</v>
      </c>
      <c r="B4064" s="104" t="s">
        <v>4127</v>
      </c>
      <c r="C4064" s="104" t="s">
        <v>183</v>
      </c>
      <c r="D4064" s="129" t="s">
        <v>22863</v>
      </c>
    </row>
    <row r="4065" spans="1:4">
      <c r="A4065" s="105">
        <v>89850</v>
      </c>
      <c r="B4065" s="104" t="s">
        <v>4128</v>
      </c>
      <c r="C4065" s="104" t="s">
        <v>183</v>
      </c>
      <c r="D4065" s="129" t="s">
        <v>22864</v>
      </c>
    </row>
    <row r="4066" spans="1:4">
      <c r="A4066" s="105">
        <v>89851</v>
      </c>
      <c r="B4066" s="104" t="s">
        <v>4129</v>
      </c>
      <c r="C4066" s="104" t="s">
        <v>183</v>
      </c>
      <c r="D4066" s="129" t="s">
        <v>18191</v>
      </c>
    </row>
    <row r="4067" spans="1:4">
      <c r="A4067" s="105">
        <v>89852</v>
      </c>
      <c r="B4067" s="104" t="s">
        <v>4130</v>
      </c>
      <c r="C4067" s="104" t="s">
        <v>183</v>
      </c>
      <c r="D4067" s="129" t="s">
        <v>22865</v>
      </c>
    </row>
    <row r="4068" spans="1:4">
      <c r="A4068" s="105">
        <v>89853</v>
      </c>
      <c r="B4068" s="104" t="s">
        <v>4131</v>
      </c>
      <c r="C4068" s="104" t="s">
        <v>183</v>
      </c>
      <c r="D4068" s="129" t="s">
        <v>22866</v>
      </c>
    </row>
    <row r="4069" spans="1:4">
      <c r="A4069" s="105">
        <v>89854</v>
      </c>
      <c r="B4069" s="104" t="s">
        <v>4132</v>
      </c>
      <c r="C4069" s="104" t="s">
        <v>183</v>
      </c>
      <c r="D4069" s="129" t="s">
        <v>22867</v>
      </c>
    </row>
    <row r="4070" spans="1:4">
      <c r="A4070" s="105">
        <v>89855</v>
      </c>
      <c r="B4070" s="104" t="s">
        <v>4133</v>
      </c>
      <c r="C4070" s="104" t="s">
        <v>183</v>
      </c>
      <c r="D4070" s="129" t="s">
        <v>22868</v>
      </c>
    </row>
    <row r="4071" spans="1:4">
      <c r="A4071" s="105">
        <v>89856</v>
      </c>
      <c r="B4071" s="104" t="s">
        <v>4134</v>
      </c>
      <c r="C4071" s="104" t="s">
        <v>183</v>
      </c>
      <c r="D4071" s="129" t="s">
        <v>22869</v>
      </c>
    </row>
    <row r="4072" spans="1:4">
      <c r="A4072" s="105">
        <v>89857</v>
      </c>
      <c r="B4072" s="104" t="s">
        <v>4135</v>
      </c>
      <c r="C4072" s="104" t="s">
        <v>183</v>
      </c>
      <c r="D4072" s="129" t="s">
        <v>18112</v>
      </c>
    </row>
    <row r="4073" spans="1:4">
      <c r="A4073" s="105">
        <v>89859</v>
      </c>
      <c r="B4073" s="104" t="s">
        <v>4136</v>
      </c>
      <c r="C4073" s="104" t="s">
        <v>183</v>
      </c>
      <c r="D4073" s="129" t="s">
        <v>22870</v>
      </c>
    </row>
    <row r="4074" spans="1:4">
      <c r="A4074" s="105">
        <v>89860</v>
      </c>
      <c r="B4074" s="104" t="s">
        <v>4137</v>
      </c>
      <c r="C4074" s="104" t="s">
        <v>183</v>
      </c>
      <c r="D4074" s="129" t="s">
        <v>22871</v>
      </c>
    </row>
    <row r="4075" spans="1:4">
      <c r="A4075" s="105">
        <v>89861</v>
      </c>
      <c r="B4075" s="104" t="s">
        <v>4138</v>
      </c>
      <c r="C4075" s="104" t="s">
        <v>183</v>
      </c>
      <c r="D4075" s="129" t="s">
        <v>22872</v>
      </c>
    </row>
    <row r="4076" spans="1:4">
      <c r="A4076" s="105">
        <v>89862</v>
      </c>
      <c r="B4076" s="104" t="s">
        <v>4139</v>
      </c>
      <c r="C4076" s="104" t="s">
        <v>183</v>
      </c>
      <c r="D4076" s="129" t="s">
        <v>22873</v>
      </c>
    </row>
    <row r="4077" spans="1:4">
      <c r="A4077" s="105">
        <v>89863</v>
      </c>
      <c r="B4077" s="104" t="s">
        <v>4140</v>
      </c>
      <c r="C4077" s="104" t="s">
        <v>183</v>
      </c>
      <c r="D4077" s="129" t="s">
        <v>22874</v>
      </c>
    </row>
    <row r="4078" spans="1:4">
      <c r="A4078" s="105">
        <v>89866</v>
      </c>
      <c r="B4078" s="104" t="s">
        <v>4141</v>
      </c>
      <c r="C4078" s="104" t="s">
        <v>183</v>
      </c>
      <c r="D4078" s="129" t="s">
        <v>14755</v>
      </c>
    </row>
    <row r="4079" spans="1:4">
      <c r="A4079" s="105">
        <v>89867</v>
      </c>
      <c r="B4079" s="104" t="s">
        <v>4142</v>
      </c>
      <c r="C4079" s="104" t="s">
        <v>183</v>
      </c>
      <c r="D4079" s="129" t="s">
        <v>22875</v>
      </c>
    </row>
    <row r="4080" spans="1:4">
      <c r="A4080" s="105">
        <v>89868</v>
      </c>
      <c r="B4080" s="104" t="s">
        <v>4143</v>
      </c>
      <c r="C4080" s="104" t="s">
        <v>183</v>
      </c>
      <c r="D4080" s="129" t="s">
        <v>22876</v>
      </c>
    </row>
    <row r="4081" spans="1:4">
      <c r="A4081" s="105">
        <v>89869</v>
      </c>
      <c r="B4081" s="104" t="s">
        <v>4144</v>
      </c>
      <c r="C4081" s="104" t="s">
        <v>183</v>
      </c>
      <c r="D4081" s="129" t="s">
        <v>22877</v>
      </c>
    </row>
    <row r="4082" spans="1:4">
      <c r="A4082" s="105">
        <v>89979</v>
      </c>
      <c r="B4082" s="104" t="s">
        <v>4145</v>
      </c>
      <c r="C4082" s="104" t="s">
        <v>183</v>
      </c>
      <c r="D4082" s="129" t="s">
        <v>20368</v>
      </c>
    </row>
    <row r="4083" spans="1:4">
      <c r="A4083" s="105">
        <v>89980</v>
      </c>
      <c r="B4083" s="104" t="s">
        <v>4146</v>
      </c>
      <c r="C4083" s="104" t="s">
        <v>183</v>
      </c>
      <c r="D4083" s="129" t="s">
        <v>18028</v>
      </c>
    </row>
    <row r="4084" spans="1:4">
      <c r="A4084" s="105">
        <v>89981</v>
      </c>
      <c r="B4084" s="104" t="s">
        <v>4147</v>
      </c>
      <c r="C4084" s="104" t="s">
        <v>183</v>
      </c>
      <c r="D4084" s="129" t="s">
        <v>17350</v>
      </c>
    </row>
    <row r="4085" spans="1:4">
      <c r="A4085" s="105">
        <v>90373</v>
      </c>
      <c r="B4085" s="104" t="s">
        <v>4148</v>
      </c>
      <c r="C4085" s="104" t="s">
        <v>183</v>
      </c>
      <c r="D4085" s="129" t="s">
        <v>16951</v>
      </c>
    </row>
    <row r="4086" spans="1:4">
      <c r="A4086" s="105">
        <v>90374</v>
      </c>
      <c r="B4086" s="104" t="s">
        <v>4149</v>
      </c>
      <c r="C4086" s="104" t="s">
        <v>183</v>
      </c>
      <c r="D4086" s="129" t="s">
        <v>22878</v>
      </c>
    </row>
    <row r="4087" spans="1:4">
      <c r="A4087" s="105">
        <v>90375</v>
      </c>
      <c r="B4087" s="104" t="s">
        <v>4150</v>
      </c>
      <c r="C4087" s="104" t="s">
        <v>183</v>
      </c>
      <c r="D4087" s="129" t="s">
        <v>18018</v>
      </c>
    </row>
    <row r="4088" spans="1:4">
      <c r="A4088" s="105">
        <v>92287</v>
      </c>
      <c r="B4088" s="104" t="s">
        <v>4151</v>
      </c>
      <c r="C4088" s="104" t="s">
        <v>183</v>
      </c>
      <c r="D4088" s="129" t="s">
        <v>22879</v>
      </c>
    </row>
    <row r="4089" spans="1:4">
      <c r="A4089" s="105">
        <v>92288</v>
      </c>
      <c r="B4089" s="104" t="s">
        <v>4152</v>
      </c>
      <c r="C4089" s="104" t="s">
        <v>183</v>
      </c>
      <c r="D4089" s="129" t="s">
        <v>22880</v>
      </c>
    </row>
    <row r="4090" spans="1:4">
      <c r="A4090" s="105">
        <v>92289</v>
      </c>
      <c r="B4090" s="104" t="s">
        <v>4153</v>
      </c>
      <c r="C4090" s="104" t="s">
        <v>183</v>
      </c>
      <c r="D4090" s="129" t="s">
        <v>22881</v>
      </c>
    </row>
    <row r="4091" spans="1:4">
      <c r="A4091" s="105">
        <v>92290</v>
      </c>
      <c r="B4091" s="104" t="s">
        <v>4154</v>
      </c>
      <c r="C4091" s="104" t="s">
        <v>183</v>
      </c>
      <c r="D4091" s="129" t="s">
        <v>22882</v>
      </c>
    </row>
    <row r="4092" spans="1:4">
      <c r="A4092" s="105">
        <v>92291</v>
      </c>
      <c r="B4092" s="104" t="s">
        <v>4155</v>
      </c>
      <c r="C4092" s="104" t="s">
        <v>183</v>
      </c>
      <c r="D4092" s="129" t="s">
        <v>22883</v>
      </c>
    </row>
    <row r="4093" spans="1:4">
      <c r="A4093" s="105">
        <v>92292</v>
      </c>
      <c r="B4093" s="104" t="s">
        <v>4156</v>
      </c>
      <c r="C4093" s="104" t="s">
        <v>183</v>
      </c>
      <c r="D4093" s="129" t="s">
        <v>22884</v>
      </c>
    </row>
    <row r="4094" spans="1:4">
      <c r="A4094" s="105">
        <v>92293</v>
      </c>
      <c r="B4094" s="104" t="s">
        <v>4157</v>
      </c>
      <c r="C4094" s="104" t="s">
        <v>183</v>
      </c>
      <c r="D4094" s="129" t="s">
        <v>17246</v>
      </c>
    </row>
    <row r="4095" spans="1:4">
      <c r="A4095" s="105">
        <v>92294</v>
      </c>
      <c r="B4095" s="104" t="s">
        <v>4158</v>
      </c>
      <c r="C4095" s="104" t="s">
        <v>183</v>
      </c>
      <c r="D4095" s="129" t="s">
        <v>22885</v>
      </c>
    </row>
    <row r="4096" spans="1:4">
      <c r="A4096" s="105">
        <v>92295</v>
      </c>
      <c r="B4096" s="104" t="s">
        <v>4159</v>
      </c>
      <c r="C4096" s="104" t="s">
        <v>183</v>
      </c>
      <c r="D4096" s="129" t="s">
        <v>22886</v>
      </c>
    </row>
    <row r="4097" spans="1:4">
      <c r="A4097" s="105">
        <v>92296</v>
      </c>
      <c r="B4097" s="104" t="s">
        <v>4160</v>
      </c>
      <c r="C4097" s="104" t="s">
        <v>183</v>
      </c>
      <c r="D4097" s="129" t="s">
        <v>22887</v>
      </c>
    </row>
    <row r="4098" spans="1:4">
      <c r="A4098" s="105">
        <v>92297</v>
      </c>
      <c r="B4098" s="104" t="s">
        <v>4161</v>
      </c>
      <c r="C4098" s="104" t="s">
        <v>183</v>
      </c>
      <c r="D4098" s="129" t="s">
        <v>22888</v>
      </c>
    </row>
    <row r="4099" spans="1:4">
      <c r="A4099" s="105">
        <v>92298</v>
      </c>
      <c r="B4099" s="104" t="s">
        <v>4162</v>
      </c>
      <c r="C4099" s="104" t="s">
        <v>183</v>
      </c>
      <c r="D4099" s="129" t="s">
        <v>22889</v>
      </c>
    </row>
    <row r="4100" spans="1:4">
      <c r="A4100" s="105">
        <v>92299</v>
      </c>
      <c r="B4100" s="104" t="s">
        <v>4163</v>
      </c>
      <c r="C4100" s="104" t="s">
        <v>183</v>
      </c>
      <c r="D4100" s="129" t="s">
        <v>20554</v>
      </c>
    </row>
    <row r="4101" spans="1:4">
      <c r="A4101" s="105">
        <v>92300</v>
      </c>
      <c r="B4101" s="104" t="s">
        <v>4164</v>
      </c>
      <c r="C4101" s="104" t="s">
        <v>183</v>
      </c>
      <c r="D4101" s="129" t="s">
        <v>22890</v>
      </c>
    </row>
    <row r="4102" spans="1:4">
      <c r="A4102" s="105">
        <v>92301</v>
      </c>
      <c r="B4102" s="104" t="s">
        <v>4165</v>
      </c>
      <c r="C4102" s="104" t="s">
        <v>183</v>
      </c>
      <c r="D4102" s="129" t="s">
        <v>22891</v>
      </c>
    </row>
    <row r="4103" spans="1:4">
      <c r="A4103" s="105">
        <v>92302</v>
      </c>
      <c r="B4103" s="104" t="s">
        <v>4166</v>
      </c>
      <c r="C4103" s="104" t="s">
        <v>183</v>
      </c>
      <c r="D4103" s="129" t="s">
        <v>22892</v>
      </c>
    </row>
    <row r="4104" spans="1:4">
      <c r="A4104" s="105">
        <v>92303</v>
      </c>
      <c r="B4104" s="104" t="s">
        <v>4167</v>
      </c>
      <c r="C4104" s="104" t="s">
        <v>183</v>
      </c>
      <c r="D4104" s="129" t="s">
        <v>22893</v>
      </c>
    </row>
    <row r="4105" spans="1:4">
      <c r="A4105" s="105">
        <v>92304</v>
      </c>
      <c r="B4105" s="104" t="s">
        <v>4168</v>
      </c>
      <c r="C4105" s="104" t="s">
        <v>183</v>
      </c>
      <c r="D4105" s="129" t="s">
        <v>22894</v>
      </c>
    </row>
    <row r="4106" spans="1:4">
      <c r="A4106" s="105">
        <v>92311</v>
      </c>
      <c r="B4106" s="104" t="s">
        <v>4169</v>
      </c>
      <c r="C4106" s="104" t="s">
        <v>183</v>
      </c>
      <c r="D4106" s="129" t="s">
        <v>21858</v>
      </c>
    </row>
    <row r="4107" spans="1:4">
      <c r="A4107" s="105">
        <v>92312</v>
      </c>
      <c r="B4107" s="104" t="s">
        <v>4170</v>
      </c>
      <c r="C4107" s="104" t="s">
        <v>183</v>
      </c>
      <c r="D4107" s="129" t="s">
        <v>17809</v>
      </c>
    </row>
    <row r="4108" spans="1:4">
      <c r="A4108" s="105">
        <v>92313</v>
      </c>
      <c r="B4108" s="104" t="s">
        <v>4171</v>
      </c>
      <c r="C4108" s="104" t="s">
        <v>183</v>
      </c>
      <c r="D4108" s="129" t="s">
        <v>22895</v>
      </c>
    </row>
    <row r="4109" spans="1:4">
      <c r="A4109" s="105">
        <v>92314</v>
      </c>
      <c r="B4109" s="104" t="s">
        <v>4172</v>
      </c>
      <c r="C4109" s="104" t="s">
        <v>183</v>
      </c>
      <c r="D4109" s="129" t="s">
        <v>17174</v>
      </c>
    </row>
    <row r="4110" spans="1:4">
      <c r="A4110" s="105">
        <v>92315</v>
      </c>
      <c r="B4110" s="104" t="s">
        <v>4173</v>
      </c>
      <c r="C4110" s="104" t="s">
        <v>183</v>
      </c>
      <c r="D4110" s="129" t="s">
        <v>15403</v>
      </c>
    </row>
    <row r="4111" spans="1:4">
      <c r="A4111" s="105">
        <v>92316</v>
      </c>
      <c r="B4111" s="104" t="s">
        <v>4174</v>
      </c>
      <c r="C4111" s="104" t="s">
        <v>183</v>
      </c>
      <c r="D4111" s="129" t="s">
        <v>21612</v>
      </c>
    </row>
    <row r="4112" spans="1:4">
      <c r="A4112" s="105">
        <v>92317</v>
      </c>
      <c r="B4112" s="104" t="s">
        <v>4175</v>
      </c>
      <c r="C4112" s="104" t="s">
        <v>183</v>
      </c>
      <c r="D4112" s="129" t="s">
        <v>22192</v>
      </c>
    </row>
    <row r="4113" spans="1:4">
      <c r="A4113" s="105">
        <v>92318</v>
      </c>
      <c r="B4113" s="104" t="s">
        <v>4176</v>
      </c>
      <c r="C4113" s="104" t="s">
        <v>183</v>
      </c>
      <c r="D4113" s="129" t="s">
        <v>22896</v>
      </c>
    </row>
    <row r="4114" spans="1:4">
      <c r="A4114" s="105">
        <v>92319</v>
      </c>
      <c r="B4114" s="104" t="s">
        <v>4177</v>
      </c>
      <c r="C4114" s="104" t="s">
        <v>183</v>
      </c>
      <c r="D4114" s="129" t="s">
        <v>22897</v>
      </c>
    </row>
    <row r="4115" spans="1:4">
      <c r="A4115" s="105">
        <v>92326</v>
      </c>
      <c r="B4115" s="104" t="s">
        <v>4178</v>
      </c>
      <c r="C4115" s="104" t="s">
        <v>183</v>
      </c>
      <c r="D4115" s="129" t="s">
        <v>17327</v>
      </c>
    </row>
    <row r="4116" spans="1:4">
      <c r="A4116" s="105">
        <v>92327</v>
      </c>
      <c r="B4116" s="104" t="s">
        <v>4179</v>
      </c>
      <c r="C4116" s="104" t="s">
        <v>183</v>
      </c>
      <c r="D4116" s="129" t="s">
        <v>17824</v>
      </c>
    </row>
    <row r="4117" spans="1:4">
      <c r="A4117" s="105">
        <v>92328</v>
      </c>
      <c r="B4117" s="104" t="s">
        <v>4180</v>
      </c>
      <c r="C4117" s="104" t="s">
        <v>183</v>
      </c>
      <c r="D4117" s="129" t="s">
        <v>20188</v>
      </c>
    </row>
    <row r="4118" spans="1:4">
      <c r="A4118" s="105">
        <v>92329</v>
      </c>
      <c r="B4118" s="104" t="s">
        <v>4181</v>
      </c>
      <c r="C4118" s="104" t="s">
        <v>183</v>
      </c>
      <c r="D4118" s="129" t="s">
        <v>22898</v>
      </c>
    </row>
    <row r="4119" spans="1:4">
      <c r="A4119" s="105">
        <v>92330</v>
      </c>
      <c r="B4119" s="104" t="s">
        <v>4182</v>
      </c>
      <c r="C4119" s="104" t="s">
        <v>183</v>
      </c>
      <c r="D4119" s="129" t="s">
        <v>18875</v>
      </c>
    </row>
    <row r="4120" spans="1:4">
      <c r="A4120" s="105">
        <v>92331</v>
      </c>
      <c r="B4120" s="104" t="s">
        <v>4183</v>
      </c>
      <c r="C4120" s="104" t="s">
        <v>183</v>
      </c>
      <c r="D4120" s="129" t="s">
        <v>19212</v>
      </c>
    </row>
    <row r="4121" spans="1:4">
      <c r="A4121" s="105">
        <v>92332</v>
      </c>
      <c r="B4121" s="104" t="s">
        <v>4184</v>
      </c>
      <c r="C4121" s="104" t="s">
        <v>183</v>
      </c>
      <c r="D4121" s="129" t="s">
        <v>14744</v>
      </c>
    </row>
    <row r="4122" spans="1:4">
      <c r="A4122" s="105">
        <v>92333</v>
      </c>
      <c r="B4122" s="104" t="s">
        <v>4185</v>
      </c>
      <c r="C4122" s="104" t="s">
        <v>183</v>
      </c>
      <c r="D4122" s="129" t="s">
        <v>22899</v>
      </c>
    </row>
    <row r="4123" spans="1:4">
      <c r="A4123" s="105">
        <v>92334</v>
      </c>
      <c r="B4123" s="104" t="s">
        <v>4186</v>
      </c>
      <c r="C4123" s="104" t="s">
        <v>183</v>
      </c>
      <c r="D4123" s="129" t="s">
        <v>22900</v>
      </c>
    </row>
    <row r="4124" spans="1:4">
      <c r="A4124" s="105">
        <v>92344</v>
      </c>
      <c r="B4124" s="104" t="s">
        <v>4187</v>
      </c>
      <c r="C4124" s="104" t="s">
        <v>183</v>
      </c>
      <c r="D4124" s="129" t="s">
        <v>22901</v>
      </c>
    </row>
    <row r="4125" spans="1:4">
      <c r="A4125" s="105">
        <v>92345</v>
      </c>
      <c r="B4125" s="104" t="s">
        <v>4188</v>
      </c>
      <c r="C4125" s="104" t="s">
        <v>183</v>
      </c>
      <c r="D4125" s="129" t="s">
        <v>15438</v>
      </c>
    </row>
    <row r="4126" spans="1:4">
      <c r="A4126" s="105">
        <v>92346</v>
      </c>
      <c r="B4126" s="104" t="s">
        <v>260</v>
      </c>
      <c r="C4126" s="104" t="s">
        <v>183</v>
      </c>
      <c r="D4126" s="129" t="s">
        <v>22902</v>
      </c>
    </row>
    <row r="4127" spans="1:4">
      <c r="A4127" s="105">
        <v>92347</v>
      </c>
      <c r="B4127" s="104" t="s">
        <v>4189</v>
      </c>
      <c r="C4127" s="104" t="s">
        <v>183</v>
      </c>
      <c r="D4127" s="129" t="s">
        <v>18113</v>
      </c>
    </row>
    <row r="4128" spans="1:4">
      <c r="A4128" s="105">
        <v>92348</v>
      </c>
      <c r="B4128" s="104" t="s">
        <v>4190</v>
      </c>
      <c r="C4128" s="104" t="s">
        <v>183</v>
      </c>
      <c r="D4128" s="129" t="s">
        <v>17971</v>
      </c>
    </row>
    <row r="4129" spans="1:4">
      <c r="A4129" s="105">
        <v>92349</v>
      </c>
      <c r="B4129" s="104" t="s">
        <v>4191</v>
      </c>
      <c r="C4129" s="104" t="s">
        <v>183</v>
      </c>
      <c r="D4129" s="129" t="s">
        <v>22903</v>
      </c>
    </row>
    <row r="4130" spans="1:4">
      <c r="A4130" s="105">
        <v>92350</v>
      </c>
      <c r="B4130" s="104" t="s">
        <v>4192</v>
      </c>
      <c r="C4130" s="104" t="s">
        <v>183</v>
      </c>
      <c r="D4130" s="129" t="s">
        <v>16644</v>
      </c>
    </row>
    <row r="4131" spans="1:4">
      <c r="A4131" s="105">
        <v>92351</v>
      </c>
      <c r="B4131" s="104" t="s">
        <v>4193</v>
      </c>
      <c r="C4131" s="104" t="s">
        <v>183</v>
      </c>
      <c r="D4131" s="129" t="s">
        <v>22904</v>
      </c>
    </row>
    <row r="4132" spans="1:4">
      <c r="A4132" s="105">
        <v>92352</v>
      </c>
      <c r="B4132" s="104" t="s">
        <v>4194</v>
      </c>
      <c r="C4132" s="104" t="s">
        <v>183</v>
      </c>
      <c r="D4132" s="129" t="s">
        <v>22905</v>
      </c>
    </row>
    <row r="4133" spans="1:4">
      <c r="A4133" s="105">
        <v>92353</v>
      </c>
      <c r="B4133" s="104" t="s">
        <v>4195</v>
      </c>
      <c r="C4133" s="104" t="s">
        <v>183</v>
      </c>
      <c r="D4133" s="129" t="s">
        <v>22906</v>
      </c>
    </row>
    <row r="4134" spans="1:4">
      <c r="A4134" s="105">
        <v>92354</v>
      </c>
      <c r="B4134" s="104" t="s">
        <v>4196</v>
      </c>
      <c r="C4134" s="104" t="s">
        <v>183</v>
      </c>
      <c r="D4134" s="129" t="s">
        <v>22907</v>
      </c>
    </row>
    <row r="4135" spans="1:4">
      <c r="A4135" s="105">
        <v>92355</v>
      </c>
      <c r="B4135" s="104" t="s">
        <v>4197</v>
      </c>
      <c r="C4135" s="104" t="s">
        <v>183</v>
      </c>
      <c r="D4135" s="129" t="s">
        <v>22908</v>
      </c>
    </row>
    <row r="4136" spans="1:4">
      <c r="A4136" s="105">
        <v>92356</v>
      </c>
      <c r="B4136" s="104" t="s">
        <v>4198</v>
      </c>
      <c r="C4136" s="104" t="s">
        <v>183</v>
      </c>
      <c r="D4136" s="129" t="s">
        <v>22909</v>
      </c>
    </row>
    <row r="4137" spans="1:4">
      <c r="A4137" s="105">
        <v>92357</v>
      </c>
      <c r="B4137" s="104" t="s">
        <v>261</v>
      </c>
      <c r="C4137" s="104" t="s">
        <v>183</v>
      </c>
      <c r="D4137" s="129" t="s">
        <v>22910</v>
      </c>
    </row>
    <row r="4138" spans="1:4">
      <c r="A4138" s="105">
        <v>92358</v>
      </c>
      <c r="B4138" s="104" t="s">
        <v>4199</v>
      </c>
      <c r="C4138" s="104" t="s">
        <v>183</v>
      </c>
      <c r="D4138" s="129" t="s">
        <v>22911</v>
      </c>
    </row>
    <row r="4139" spans="1:4">
      <c r="A4139" s="105">
        <v>92369</v>
      </c>
      <c r="B4139" s="104" t="s">
        <v>4200</v>
      </c>
      <c r="C4139" s="104" t="s">
        <v>183</v>
      </c>
      <c r="D4139" s="129" t="s">
        <v>18231</v>
      </c>
    </row>
    <row r="4140" spans="1:4">
      <c r="A4140" s="105">
        <v>92370</v>
      </c>
      <c r="B4140" s="104" t="s">
        <v>4201</v>
      </c>
      <c r="C4140" s="104" t="s">
        <v>183</v>
      </c>
      <c r="D4140" s="129" t="s">
        <v>18496</v>
      </c>
    </row>
    <row r="4141" spans="1:4">
      <c r="A4141" s="105">
        <v>92371</v>
      </c>
      <c r="B4141" s="104" t="s">
        <v>4202</v>
      </c>
      <c r="C4141" s="104" t="s">
        <v>183</v>
      </c>
      <c r="D4141" s="129" t="s">
        <v>22912</v>
      </c>
    </row>
    <row r="4142" spans="1:4">
      <c r="A4142" s="105">
        <v>92372</v>
      </c>
      <c r="B4142" s="104" t="s">
        <v>4203</v>
      </c>
      <c r="C4142" s="104" t="s">
        <v>183</v>
      </c>
      <c r="D4142" s="129" t="s">
        <v>22913</v>
      </c>
    </row>
    <row r="4143" spans="1:4">
      <c r="A4143" s="105">
        <v>92373</v>
      </c>
      <c r="B4143" s="104" t="s">
        <v>4204</v>
      </c>
      <c r="C4143" s="104" t="s">
        <v>183</v>
      </c>
      <c r="D4143" s="129" t="s">
        <v>22914</v>
      </c>
    </row>
    <row r="4144" spans="1:4">
      <c r="A4144" s="105">
        <v>92374</v>
      </c>
      <c r="B4144" s="104" t="s">
        <v>4205</v>
      </c>
      <c r="C4144" s="104" t="s">
        <v>183</v>
      </c>
      <c r="D4144" s="129" t="s">
        <v>22915</v>
      </c>
    </row>
    <row r="4145" spans="1:4">
      <c r="A4145" s="105">
        <v>92375</v>
      </c>
      <c r="B4145" s="104" t="s">
        <v>4206</v>
      </c>
      <c r="C4145" s="104" t="s">
        <v>183</v>
      </c>
      <c r="D4145" s="129" t="s">
        <v>22916</v>
      </c>
    </row>
    <row r="4146" spans="1:4">
      <c r="A4146" s="105">
        <v>92376</v>
      </c>
      <c r="B4146" s="104" t="s">
        <v>4207</v>
      </c>
      <c r="C4146" s="104" t="s">
        <v>183</v>
      </c>
      <c r="D4146" s="129" t="s">
        <v>22917</v>
      </c>
    </row>
    <row r="4147" spans="1:4">
      <c r="A4147" s="105">
        <v>92377</v>
      </c>
      <c r="B4147" s="104" t="s">
        <v>4208</v>
      </c>
      <c r="C4147" s="104" t="s">
        <v>183</v>
      </c>
      <c r="D4147" s="129" t="s">
        <v>22918</v>
      </c>
    </row>
    <row r="4148" spans="1:4">
      <c r="A4148" s="105">
        <v>92378</v>
      </c>
      <c r="B4148" s="104" t="s">
        <v>4209</v>
      </c>
      <c r="C4148" s="104" t="s">
        <v>183</v>
      </c>
      <c r="D4148" s="129" t="s">
        <v>22919</v>
      </c>
    </row>
    <row r="4149" spans="1:4">
      <c r="A4149" s="105">
        <v>92379</v>
      </c>
      <c r="B4149" s="104" t="s">
        <v>4210</v>
      </c>
      <c r="C4149" s="104" t="s">
        <v>183</v>
      </c>
      <c r="D4149" s="129" t="s">
        <v>22920</v>
      </c>
    </row>
    <row r="4150" spans="1:4">
      <c r="A4150" s="105">
        <v>92380</v>
      </c>
      <c r="B4150" s="104" t="s">
        <v>4211</v>
      </c>
      <c r="C4150" s="104" t="s">
        <v>183</v>
      </c>
      <c r="D4150" s="129" t="s">
        <v>22921</v>
      </c>
    </row>
    <row r="4151" spans="1:4">
      <c r="A4151" s="105">
        <v>92381</v>
      </c>
      <c r="B4151" s="104" t="s">
        <v>4212</v>
      </c>
      <c r="C4151" s="104" t="s">
        <v>183</v>
      </c>
      <c r="D4151" s="129" t="s">
        <v>22922</v>
      </c>
    </row>
    <row r="4152" spans="1:4">
      <c r="A4152" s="105">
        <v>92382</v>
      </c>
      <c r="B4152" s="104" t="s">
        <v>4213</v>
      </c>
      <c r="C4152" s="104" t="s">
        <v>183</v>
      </c>
      <c r="D4152" s="129" t="s">
        <v>14881</v>
      </c>
    </row>
    <row r="4153" spans="1:4">
      <c r="A4153" s="105">
        <v>92383</v>
      </c>
      <c r="B4153" s="104" t="s">
        <v>4214</v>
      </c>
      <c r="C4153" s="104" t="s">
        <v>183</v>
      </c>
      <c r="D4153" s="129" t="s">
        <v>20116</v>
      </c>
    </row>
    <row r="4154" spans="1:4">
      <c r="A4154" s="105">
        <v>92384</v>
      </c>
      <c r="B4154" s="104" t="s">
        <v>4215</v>
      </c>
      <c r="C4154" s="104" t="s">
        <v>183</v>
      </c>
      <c r="D4154" s="129" t="s">
        <v>22923</v>
      </c>
    </row>
    <row r="4155" spans="1:4">
      <c r="A4155" s="105">
        <v>92385</v>
      </c>
      <c r="B4155" s="104" t="s">
        <v>4216</v>
      </c>
      <c r="C4155" s="104" t="s">
        <v>183</v>
      </c>
      <c r="D4155" s="129" t="s">
        <v>22924</v>
      </c>
    </row>
    <row r="4156" spans="1:4">
      <c r="A4156" s="105">
        <v>92386</v>
      </c>
      <c r="B4156" s="104" t="s">
        <v>4217</v>
      </c>
      <c r="C4156" s="104" t="s">
        <v>183</v>
      </c>
      <c r="D4156" s="129" t="s">
        <v>22925</v>
      </c>
    </row>
    <row r="4157" spans="1:4">
      <c r="A4157" s="105">
        <v>92387</v>
      </c>
      <c r="B4157" s="104" t="s">
        <v>4218</v>
      </c>
      <c r="C4157" s="104" t="s">
        <v>183</v>
      </c>
      <c r="D4157" s="129" t="s">
        <v>22926</v>
      </c>
    </row>
    <row r="4158" spans="1:4">
      <c r="A4158" s="105">
        <v>92388</v>
      </c>
      <c r="B4158" s="104" t="s">
        <v>4219</v>
      </c>
      <c r="C4158" s="104" t="s">
        <v>183</v>
      </c>
      <c r="D4158" s="129" t="s">
        <v>22927</v>
      </c>
    </row>
    <row r="4159" spans="1:4">
      <c r="A4159" s="105">
        <v>92389</v>
      </c>
      <c r="B4159" s="104" t="s">
        <v>262</v>
      </c>
      <c r="C4159" s="104" t="s">
        <v>183</v>
      </c>
      <c r="D4159" s="129" t="s">
        <v>22928</v>
      </c>
    </row>
    <row r="4160" spans="1:4">
      <c r="A4160" s="105">
        <v>92390</v>
      </c>
      <c r="B4160" s="104" t="s">
        <v>4220</v>
      </c>
      <c r="C4160" s="104" t="s">
        <v>183</v>
      </c>
      <c r="D4160" s="129" t="s">
        <v>22929</v>
      </c>
    </row>
    <row r="4161" spans="1:4">
      <c r="A4161" s="105">
        <v>92635</v>
      </c>
      <c r="B4161" s="104" t="s">
        <v>4221</v>
      </c>
      <c r="C4161" s="104" t="s">
        <v>183</v>
      </c>
      <c r="D4161" s="129" t="s">
        <v>22930</v>
      </c>
    </row>
    <row r="4162" spans="1:4">
      <c r="A4162" s="105">
        <v>92636</v>
      </c>
      <c r="B4162" s="104" t="s">
        <v>4222</v>
      </c>
      <c r="C4162" s="104" t="s">
        <v>183</v>
      </c>
      <c r="D4162" s="129" t="s">
        <v>22931</v>
      </c>
    </row>
    <row r="4163" spans="1:4">
      <c r="A4163" s="105">
        <v>92637</v>
      </c>
      <c r="B4163" s="104" t="s">
        <v>4223</v>
      </c>
      <c r="C4163" s="104" t="s">
        <v>183</v>
      </c>
      <c r="D4163" s="129" t="s">
        <v>22932</v>
      </c>
    </row>
    <row r="4164" spans="1:4">
      <c r="A4164" s="105">
        <v>92638</v>
      </c>
      <c r="B4164" s="104" t="s">
        <v>4224</v>
      </c>
      <c r="C4164" s="104" t="s">
        <v>183</v>
      </c>
      <c r="D4164" s="129" t="s">
        <v>22933</v>
      </c>
    </row>
    <row r="4165" spans="1:4">
      <c r="A4165" s="105">
        <v>92639</v>
      </c>
      <c r="B4165" s="104" t="s">
        <v>4225</v>
      </c>
      <c r="C4165" s="104" t="s">
        <v>183</v>
      </c>
      <c r="D4165" s="129" t="s">
        <v>22934</v>
      </c>
    </row>
    <row r="4166" spans="1:4">
      <c r="A4166" s="105">
        <v>92640</v>
      </c>
      <c r="B4166" s="104" t="s">
        <v>4226</v>
      </c>
      <c r="C4166" s="104" t="s">
        <v>183</v>
      </c>
      <c r="D4166" s="129" t="s">
        <v>22935</v>
      </c>
    </row>
    <row r="4167" spans="1:4">
      <c r="A4167" s="105">
        <v>92642</v>
      </c>
      <c r="B4167" s="104" t="s">
        <v>4227</v>
      </c>
      <c r="C4167" s="104" t="s">
        <v>183</v>
      </c>
      <c r="D4167" s="129" t="s">
        <v>22936</v>
      </c>
    </row>
    <row r="4168" spans="1:4">
      <c r="A4168" s="105">
        <v>92644</v>
      </c>
      <c r="B4168" s="104" t="s">
        <v>4228</v>
      </c>
      <c r="C4168" s="104" t="s">
        <v>183</v>
      </c>
      <c r="D4168" s="129" t="s">
        <v>22937</v>
      </c>
    </row>
    <row r="4169" spans="1:4">
      <c r="A4169" s="105">
        <v>92657</v>
      </c>
      <c r="B4169" s="104" t="s">
        <v>4229</v>
      </c>
      <c r="C4169" s="104" t="s">
        <v>183</v>
      </c>
      <c r="D4169" s="129" t="s">
        <v>18161</v>
      </c>
    </row>
    <row r="4170" spans="1:4">
      <c r="A4170" s="105">
        <v>92658</v>
      </c>
      <c r="B4170" s="104" t="s">
        <v>4230</v>
      </c>
      <c r="C4170" s="104" t="s">
        <v>183</v>
      </c>
      <c r="D4170" s="129" t="s">
        <v>22938</v>
      </c>
    </row>
    <row r="4171" spans="1:4">
      <c r="A4171" s="105">
        <v>92659</v>
      </c>
      <c r="B4171" s="104" t="s">
        <v>4231</v>
      </c>
      <c r="C4171" s="104" t="s">
        <v>183</v>
      </c>
      <c r="D4171" s="129" t="s">
        <v>22939</v>
      </c>
    </row>
    <row r="4172" spans="1:4">
      <c r="A4172" s="105">
        <v>92660</v>
      </c>
      <c r="B4172" s="104" t="s">
        <v>4232</v>
      </c>
      <c r="C4172" s="104" t="s">
        <v>183</v>
      </c>
      <c r="D4172" s="129" t="s">
        <v>19788</v>
      </c>
    </row>
    <row r="4173" spans="1:4">
      <c r="A4173" s="105">
        <v>92661</v>
      </c>
      <c r="B4173" s="104" t="s">
        <v>4233</v>
      </c>
      <c r="C4173" s="104" t="s">
        <v>183</v>
      </c>
      <c r="D4173" s="129" t="s">
        <v>18101</v>
      </c>
    </row>
    <row r="4174" spans="1:4">
      <c r="A4174" s="105">
        <v>92662</v>
      </c>
      <c r="B4174" s="104" t="s">
        <v>4234</v>
      </c>
      <c r="C4174" s="104" t="s">
        <v>183</v>
      </c>
      <c r="D4174" s="129" t="s">
        <v>22940</v>
      </c>
    </row>
    <row r="4175" spans="1:4">
      <c r="A4175" s="105">
        <v>92663</v>
      </c>
      <c r="B4175" s="104" t="s">
        <v>4235</v>
      </c>
      <c r="C4175" s="104" t="s">
        <v>183</v>
      </c>
      <c r="D4175" s="129" t="s">
        <v>22783</v>
      </c>
    </row>
    <row r="4176" spans="1:4">
      <c r="A4176" s="105">
        <v>92664</v>
      </c>
      <c r="B4176" s="104" t="s">
        <v>4236</v>
      </c>
      <c r="C4176" s="104" t="s">
        <v>183</v>
      </c>
      <c r="D4176" s="129" t="s">
        <v>16695</v>
      </c>
    </row>
    <row r="4177" spans="1:4">
      <c r="A4177" s="105">
        <v>92665</v>
      </c>
      <c r="B4177" s="104" t="s">
        <v>4237</v>
      </c>
      <c r="C4177" s="104" t="s">
        <v>183</v>
      </c>
      <c r="D4177" s="129" t="s">
        <v>22941</v>
      </c>
    </row>
    <row r="4178" spans="1:4">
      <c r="A4178" s="105">
        <v>92666</v>
      </c>
      <c r="B4178" s="104" t="s">
        <v>4238</v>
      </c>
      <c r="C4178" s="104" t="s">
        <v>183</v>
      </c>
      <c r="D4178" s="129" t="s">
        <v>22942</v>
      </c>
    </row>
    <row r="4179" spans="1:4">
      <c r="A4179" s="105">
        <v>92667</v>
      </c>
      <c r="B4179" s="104" t="s">
        <v>4239</v>
      </c>
      <c r="C4179" s="104" t="s">
        <v>183</v>
      </c>
      <c r="D4179" s="129" t="s">
        <v>22943</v>
      </c>
    </row>
    <row r="4180" spans="1:4">
      <c r="A4180" s="105">
        <v>92668</v>
      </c>
      <c r="B4180" s="104" t="s">
        <v>4240</v>
      </c>
      <c r="C4180" s="104" t="s">
        <v>183</v>
      </c>
      <c r="D4180" s="129" t="s">
        <v>22944</v>
      </c>
    </row>
    <row r="4181" spans="1:4">
      <c r="A4181" s="105">
        <v>92669</v>
      </c>
      <c r="B4181" s="104" t="s">
        <v>4241</v>
      </c>
      <c r="C4181" s="104" t="s">
        <v>183</v>
      </c>
      <c r="D4181" s="129" t="s">
        <v>17162</v>
      </c>
    </row>
    <row r="4182" spans="1:4">
      <c r="A4182" s="105">
        <v>92670</v>
      </c>
      <c r="B4182" s="104" t="s">
        <v>4242</v>
      </c>
      <c r="C4182" s="104" t="s">
        <v>183</v>
      </c>
      <c r="D4182" s="129" t="s">
        <v>22945</v>
      </c>
    </row>
    <row r="4183" spans="1:4">
      <c r="A4183" s="105">
        <v>92671</v>
      </c>
      <c r="B4183" s="104" t="s">
        <v>4243</v>
      </c>
      <c r="C4183" s="104" t="s">
        <v>183</v>
      </c>
      <c r="D4183" s="129" t="s">
        <v>22946</v>
      </c>
    </row>
    <row r="4184" spans="1:4">
      <c r="A4184" s="105">
        <v>92672</v>
      </c>
      <c r="B4184" s="104" t="s">
        <v>4244</v>
      </c>
      <c r="C4184" s="104" t="s">
        <v>183</v>
      </c>
      <c r="D4184" s="129" t="s">
        <v>22947</v>
      </c>
    </row>
    <row r="4185" spans="1:4">
      <c r="A4185" s="105">
        <v>92673</v>
      </c>
      <c r="B4185" s="104" t="s">
        <v>4245</v>
      </c>
      <c r="C4185" s="104" t="s">
        <v>183</v>
      </c>
      <c r="D4185" s="129" t="s">
        <v>22948</v>
      </c>
    </row>
    <row r="4186" spans="1:4">
      <c r="A4186" s="105">
        <v>92674</v>
      </c>
      <c r="B4186" s="104" t="s">
        <v>4246</v>
      </c>
      <c r="C4186" s="104" t="s">
        <v>183</v>
      </c>
      <c r="D4186" s="129" t="s">
        <v>22871</v>
      </c>
    </row>
    <row r="4187" spans="1:4">
      <c r="A4187" s="105">
        <v>92675</v>
      </c>
      <c r="B4187" s="104" t="s">
        <v>4247</v>
      </c>
      <c r="C4187" s="104" t="s">
        <v>183</v>
      </c>
      <c r="D4187" s="129" t="s">
        <v>18246</v>
      </c>
    </row>
    <row r="4188" spans="1:4">
      <c r="A4188" s="105">
        <v>92676</v>
      </c>
      <c r="B4188" s="104" t="s">
        <v>4248</v>
      </c>
      <c r="C4188" s="104" t="s">
        <v>183</v>
      </c>
      <c r="D4188" s="129" t="s">
        <v>22949</v>
      </c>
    </row>
    <row r="4189" spans="1:4">
      <c r="A4189" s="105">
        <v>92677</v>
      </c>
      <c r="B4189" s="104" t="s">
        <v>4249</v>
      </c>
      <c r="C4189" s="104" t="s">
        <v>183</v>
      </c>
      <c r="D4189" s="129" t="s">
        <v>22950</v>
      </c>
    </row>
    <row r="4190" spans="1:4">
      <c r="A4190" s="105">
        <v>92678</v>
      </c>
      <c r="B4190" s="104" t="s">
        <v>4250</v>
      </c>
      <c r="C4190" s="104" t="s">
        <v>183</v>
      </c>
      <c r="D4190" s="129" t="s">
        <v>14791</v>
      </c>
    </row>
    <row r="4191" spans="1:4">
      <c r="A4191" s="105">
        <v>92679</v>
      </c>
      <c r="B4191" s="104" t="s">
        <v>4251</v>
      </c>
      <c r="C4191" s="104" t="s">
        <v>183</v>
      </c>
      <c r="D4191" s="129" t="s">
        <v>22001</v>
      </c>
    </row>
    <row r="4192" spans="1:4">
      <c r="A4192" s="105">
        <v>92680</v>
      </c>
      <c r="B4192" s="104" t="s">
        <v>4252</v>
      </c>
      <c r="C4192" s="104" t="s">
        <v>183</v>
      </c>
      <c r="D4192" s="129" t="s">
        <v>22951</v>
      </c>
    </row>
    <row r="4193" spans="1:4">
      <c r="A4193" s="105">
        <v>92681</v>
      </c>
      <c r="B4193" s="104" t="s">
        <v>4253</v>
      </c>
      <c r="C4193" s="104" t="s">
        <v>183</v>
      </c>
      <c r="D4193" s="129" t="s">
        <v>22952</v>
      </c>
    </row>
    <row r="4194" spans="1:4">
      <c r="A4194" s="105">
        <v>92682</v>
      </c>
      <c r="B4194" s="104" t="s">
        <v>4254</v>
      </c>
      <c r="C4194" s="104" t="s">
        <v>183</v>
      </c>
      <c r="D4194" s="129" t="s">
        <v>22953</v>
      </c>
    </row>
    <row r="4195" spans="1:4">
      <c r="A4195" s="105">
        <v>92683</v>
      </c>
      <c r="B4195" s="104" t="s">
        <v>4255</v>
      </c>
      <c r="C4195" s="104" t="s">
        <v>183</v>
      </c>
      <c r="D4195" s="129" t="s">
        <v>17285</v>
      </c>
    </row>
    <row r="4196" spans="1:4">
      <c r="A4196" s="105">
        <v>92684</v>
      </c>
      <c r="B4196" s="104" t="s">
        <v>4256</v>
      </c>
      <c r="C4196" s="104" t="s">
        <v>183</v>
      </c>
      <c r="D4196" s="129" t="s">
        <v>22954</v>
      </c>
    </row>
    <row r="4197" spans="1:4">
      <c r="A4197" s="105">
        <v>92685</v>
      </c>
      <c r="B4197" s="104" t="s">
        <v>4257</v>
      </c>
      <c r="C4197" s="104" t="s">
        <v>183</v>
      </c>
      <c r="D4197" s="129" t="s">
        <v>22955</v>
      </c>
    </row>
    <row r="4198" spans="1:4">
      <c r="A4198" s="105">
        <v>92686</v>
      </c>
      <c r="B4198" s="104" t="s">
        <v>4258</v>
      </c>
      <c r="C4198" s="104" t="s">
        <v>183</v>
      </c>
      <c r="D4198" s="129" t="s">
        <v>22956</v>
      </c>
    </row>
    <row r="4199" spans="1:4">
      <c r="A4199" s="105">
        <v>92692</v>
      </c>
      <c r="B4199" s="104" t="s">
        <v>4259</v>
      </c>
      <c r="C4199" s="104" t="s">
        <v>183</v>
      </c>
      <c r="D4199" s="129" t="s">
        <v>17205</v>
      </c>
    </row>
    <row r="4200" spans="1:4">
      <c r="A4200" s="105">
        <v>92693</v>
      </c>
      <c r="B4200" s="104" t="s">
        <v>4260</v>
      </c>
      <c r="C4200" s="104" t="s">
        <v>183</v>
      </c>
      <c r="D4200" s="129" t="s">
        <v>18650</v>
      </c>
    </row>
    <row r="4201" spans="1:4">
      <c r="A4201" s="105">
        <v>92694</v>
      </c>
      <c r="B4201" s="104" t="s">
        <v>4261</v>
      </c>
      <c r="C4201" s="104" t="s">
        <v>183</v>
      </c>
      <c r="D4201" s="129" t="s">
        <v>22957</v>
      </c>
    </row>
    <row r="4202" spans="1:4">
      <c r="A4202" s="105">
        <v>92695</v>
      </c>
      <c r="B4202" s="104" t="s">
        <v>4262</v>
      </c>
      <c r="C4202" s="104" t="s">
        <v>183</v>
      </c>
      <c r="D4202" s="129" t="s">
        <v>22958</v>
      </c>
    </row>
    <row r="4203" spans="1:4">
      <c r="A4203" s="105">
        <v>92696</v>
      </c>
      <c r="B4203" s="104" t="s">
        <v>4263</v>
      </c>
      <c r="C4203" s="104" t="s">
        <v>183</v>
      </c>
      <c r="D4203" s="129" t="s">
        <v>19796</v>
      </c>
    </row>
    <row r="4204" spans="1:4">
      <c r="A4204" s="105">
        <v>92697</v>
      </c>
      <c r="B4204" s="104" t="s">
        <v>4264</v>
      </c>
      <c r="C4204" s="104" t="s">
        <v>183</v>
      </c>
      <c r="D4204" s="129" t="s">
        <v>18541</v>
      </c>
    </row>
    <row r="4205" spans="1:4">
      <c r="A4205" s="105">
        <v>92698</v>
      </c>
      <c r="B4205" s="104" t="s">
        <v>4265</v>
      </c>
      <c r="C4205" s="104" t="s">
        <v>183</v>
      </c>
      <c r="D4205" s="129" t="s">
        <v>18412</v>
      </c>
    </row>
    <row r="4206" spans="1:4">
      <c r="A4206" s="105">
        <v>92699</v>
      </c>
      <c r="B4206" s="104" t="s">
        <v>4266</v>
      </c>
      <c r="C4206" s="104" t="s">
        <v>183</v>
      </c>
      <c r="D4206" s="129" t="s">
        <v>18114</v>
      </c>
    </row>
    <row r="4207" spans="1:4">
      <c r="A4207" s="105">
        <v>92700</v>
      </c>
      <c r="B4207" s="104" t="s">
        <v>4267</v>
      </c>
      <c r="C4207" s="104" t="s">
        <v>183</v>
      </c>
      <c r="D4207" s="129" t="s">
        <v>22959</v>
      </c>
    </row>
    <row r="4208" spans="1:4">
      <c r="A4208" s="105">
        <v>92701</v>
      </c>
      <c r="B4208" s="104" t="s">
        <v>4268</v>
      </c>
      <c r="C4208" s="104" t="s">
        <v>183</v>
      </c>
      <c r="D4208" s="129" t="s">
        <v>22960</v>
      </c>
    </row>
    <row r="4209" spans="1:4">
      <c r="A4209" s="105">
        <v>92702</v>
      </c>
      <c r="B4209" s="104" t="s">
        <v>4269</v>
      </c>
      <c r="C4209" s="104" t="s">
        <v>183</v>
      </c>
      <c r="D4209" s="129" t="s">
        <v>22961</v>
      </c>
    </row>
    <row r="4210" spans="1:4">
      <c r="A4210" s="105">
        <v>92703</v>
      </c>
      <c r="B4210" s="104" t="s">
        <v>4270</v>
      </c>
      <c r="C4210" s="104" t="s">
        <v>183</v>
      </c>
      <c r="D4210" s="129" t="s">
        <v>22962</v>
      </c>
    </row>
    <row r="4211" spans="1:4">
      <c r="A4211" s="105">
        <v>92704</v>
      </c>
      <c r="B4211" s="104" t="s">
        <v>4271</v>
      </c>
      <c r="C4211" s="104" t="s">
        <v>183</v>
      </c>
      <c r="D4211" s="129" t="s">
        <v>17399</v>
      </c>
    </row>
    <row r="4212" spans="1:4">
      <c r="A4212" s="105">
        <v>92705</v>
      </c>
      <c r="B4212" s="104" t="s">
        <v>4272</v>
      </c>
      <c r="C4212" s="104" t="s">
        <v>183</v>
      </c>
      <c r="D4212" s="129" t="s">
        <v>22963</v>
      </c>
    </row>
    <row r="4213" spans="1:4">
      <c r="A4213" s="105">
        <v>92706</v>
      </c>
      <c r="B4213" s="104" t="s">
        <v>4273</v>
      </c>
      <c r="C4213" s="104" t="s">
        <v>183</v>
      </c>
      <c r="D4213" s="129" t="s">
        <v>22964</v>
      </c>
    </row>
    <row r="4214" spans="1:4">
      <c r="A4214" s="105">
        <v>92889</v>
      </c>
      <c r="B4214" s="104" t="s">
        <v>4274</v>
      </c>
      <c r="C4214" s="104" t="s">
        <v>183</v>
      </c>
      <c r="D4214" s="129" t="s">
        <v>22965</v>
      </c>
    </row>
    <row r="4215" spans="1:4">
      <c r="A4215" s="105">
        <v>92890</v>
      </c>
      <c r="B4215" s="104" t="s">
        <v>263</v>
      </c>
      <c r="C4215" s="104" t="s">
        <v>183</v>
      </c>
      <c r="D4215" s="129" t="s">
        <v>22966</v>
      </c>
    </row>
    <row r="4216" spans="1:4">
      <c r="A4216" s="105">
        <v>92891</v>
      </c>
      <c r="B4216" s="104" t="s">
        <v>4275</v>
      </c>
      <c r="C4216" s="104" t="s">
        <v>183</v>
      </c>
      <c r="D4216" s="129" t="s">
        <v>22967</v>
      </c>
    </row>
    <row r="4217" spans="1:4">
      <c r="A4217" s="105">
        <v>92892</v>
      </c>
      <c r="B4217" s="104" t="s">
        <v>4276</v>
      </c>
      <c r="C4217" s="104" t="s">
        <v>183</v>
      </c>
      <c r="D4217" s="129" t="s">
        <v>22968</v>
      </c>
    </row>
    <row r="4218" spans="1:4">
      <c r="A4218" s="105">
        <v>92893</v>
      </c>
      <c r="B4218" s="104" t="s">
        <v>4277</v>
      </c>
      <c r="C4218" s="104" t="s">
        <v>183</v>
      </c>
      <c r="D4218" s="129" t="s">
        <v>22969</v>
      </c>
    </row>
    <row r="4219" spans="1:4">
      <c r="A4219" s="105">
        <v>92894</v>
      </c>
      <c r="B4219" s="104" t="s">
        <v>4278</v>
      </c>
      <c r="C4219" s="104" t="s">
        <v>183</v>
      </c>
      <c r="D4219" s="129" t="s">
        <v>22970</v>
      </c>
    </row>
    <row r="4220" spans="1:4">
      <c r="A4220" s="105">
        <v>92895</v>
      </c>
      <c r="B4220" s="104" t="s">
        <v>4279</v>
      </c>
      <c r="C4220" s="104" t="s">
        <v>183</v>
      </c>
      <c r="D4220" s="129" t="s">
        <v>22971</v>
      </c>
    </row>
    <row r="4221" spans="1:4">
      <c r="A4221" s="105">
        <v>92896</v>
      </c>
      <c r="B4221" s="104" t="s">
        <v>4280</v>
      </c>
      <c r="C4221" s="104" t="s">
        <v>183</v>
      </c>
      <c r="D4221" s="129" t="s">
        <v>22972</v>
      </c>
    </row>
    <row r="4222" spans="1:4">
      <c r="A4222" s="105">
        <v>92897</v>
      </c>
      <c r="B4222" s="104" t="s">
        <v>4281</v>
      </c>
      <c r="C4222" s="104" t="s">
        <v>183</v>
      </c>
      <c r="D4222" s="129" t="s">
        <v>22973</v>
      </c>
    </row>
    <row r="4223" spans="1:4">
      <c r="A4223" s="105">
        <v>92898</v>
      </c>
      <c r="B4223" s="104" t="s">
        <v>4282</v>
      </c>
      <c r="C4223" s="104" t="s">
        <v>183</v>
      </c>
      <c r="D4223" s="129" t="s">
        <v>19824</v>
      </c>
    </row>
    <row r="4224" spans="1:4">
      <c r="A4224" s="105">
        <v>92899</v>
      </c>
      <c r="B4224" s="104" t="s">
        <v>4283</v>
      </c>
      <c r="C4224" s="104" t="s">
        <v>183</v>
      </c>
      <c r="D4224" s="129" t="s">
        <v>22974</v>
      </c>
    </row>
    <row r="4225" spans="1:4">
      <c r="A4225" s="105">
        <v>92900</v>
      </c>
      <c r="B4225" s="104" t="s">
        <v>4284</v>
      </c>
      <c r="C4225" s="104" t="s">
        <v>183</v>
      </c>
      <c r="D4225" s="129" t="s">
        <v>22975</v>
      </c>
    </row>
    <row r="4226" spans="1:4">
      <c r="A4226" s="105">
        <v>92901</v>
      </c>
      <c r="B4226" s="104" t="s">
        <v>4285</v>
      </c>
      <c r="C4226" s="104" t="s">
        <v>183</v>
      </c>
      <c r="D4226" s="129" t="s">
        <v>22976</v>
      </c>
    </row>
    <row r="4227" spans="1:4">
      <c r="A4227" s="105">
        <v>92902</v>
      </c>
      <c r="B4227" s="104" t="s">
        <v>4286</v>
      </c>
      <c r="C4227" s="104" t="s">
        <v>183</v>
      </c>
      <c r="D4227" s="129" t="s">
        <v>22977</v>
      </c>
    </row>
    <row r="4228" spans="1:4">
      <c r="A4228" s="105">
        <v>92903</v>
      </c>
      <c r="B4228" s="104" t="s">
        <v>4287</v>
      </c>
      <c r="C4228" s="104" t="s">
        <v>183</v>
      </c>
      <c r="D4228" s="129" t="s">
        <v>22978</v>
      </c>
    </row>
    <row r="4229" spans="1:4">
      <c r="A4229" s="105">
        <v>92904</v>
      </c>
      <c r="B4229" s="104" t="s">
        <v>4288</v>
      </c>
      <c r="C4229" s="104" t="s">
        <v>183</v>
      </c>
      <c r="D4229" s="129" t="s">
        <v>22979</v>
      </c>
    </row>
    <row r="4230" spans="1:4">
      <c r="A4230" s="105">
        <v>92905</v>
      </c>
      <c r="B4230" s="104" t="s">
        <v>4289</v>
      </c>
      <c r="C4230" s="104" t="s">
        <v>183</v>
      </c>
      <c r="D4230" s="129" t="s">
        <v>21572</v>
      </c>
    </row>
    <row r="4231" spans="1:4">
      <c r="A4231" s="105">
        <v>92906</v>
      </c>
      <c r="B4231" s="104" t="s">
        <v>4290</v>
      </c>
      <c r="C4231" s="104" t="s">
        <v>183</v>
      </c>
      <c r="D4231" s="129" t="s">
        <v>21134</v>
      </c>
    </row>
    <row r="4232" spans="1:4">
      <c r="A4232" s="105">
        <v>92907</v>
      </c>
      <c r="B4232" s="104" t="s">
        <v>4291</v>
      </c>
      <c r="C4232" s="104" t="s">
        <v>183</v>
      </c>
      <c r="D4232" s="129" t="s">
        <v>22206</v>
      </c>
    </row>
    <row r="4233" spans="1:4">
      <c r="A4233" s="105">
        <v>92908</v>
      </c>
      <c r="B4233" s="104" t="s">
        <v>4292</v>
      </c>
      <c r="C4233" s="104" t="s">
        <v>183</v>
      </c>
      <c r="D4233" s="129" t="s">
        <v>22206</v>
      </c>
    </row>
    <row r="4234" spans="1:4">
      <c r="A4234" s="105">
        <v>92909</v>
      </c>
      <c r="B4234" s="104" t="s">
        <v>4293</v>
      </c>
      <c r="C4234" s="104" t="s">
        <v>183</v>
      </c>
      <c r="D4234" s="129" t="s">
        <v>22206</v>
      </c>
    </row>
    <row r="4235" spans="1:4">
      <c r="A4235" s="105">
        <v>92910</v>
      </c>
      <c r="B4235" s="104" t="s">
        <v>4294</v>
      </c>
      <c r="C4235" s="104" t="s">
        <v>183</v>
      </c>
      <c r="D4235" s="129" t="s">
        <v>22980</v>
      </c>
    </row>
    <row r="4236" spans="1:4">
      <c r="A4236" s="105">
        <v>92911</v>
      </c>
      <c r="B4236" s="104" t="s">
        <v>4295</v>
      </c>
      <c r="C4236" s="104" t="s">
        <v>183</v>
      </c>
      <c r="D4236" s="129" t="s">
        <v>22980</v>
      </c>
    </row>
    <row r="4237" spans="1:4">
      <c r="A4237" s="105">
        <v>92912</v>
      </c>
      <c r="B4237" s="104" t="s">
        <v>4296</v>
      </c>
      <c r="C4237" s="104" t="s">
        <v>183</v>
      </c>
      <c r="D4237" s="129" t="s">
        <v>22981</v>
      </c>
    </row>
    <row r="4238" spans="1:4">
      <c r="A4238" s="105">
        <v>92913</v>
      </c>
      <c r="B4238" s="104" t="s">
        <v>4297</v>
      </c>
      <c r="C4238" s="104" t="s">
        <v>183</v>
      </c>
      <c r="D4238" s="129" t="s">
        <v>22982</v>
      </c>
    </row>
    <row r="4239" spans="1:4">
      <c r="A4239" s="105">
        <v>92914</v>
      </c>
      <c r="B4239" s="104" t="s">
        <v>4298</v>
      </c>
      <c r="C4239" s="104" t="s">
        <v>183</v>
      </c>
      <c r="D4239" s="129" t="s">
        <v>22982</v>
      </c>
    </row>
    <row r="4240" spans="1:4">
      <c r="A4240" s="105">
        <v>92918</v>
      </c>
      <c r="B4240" s="104" t="s">
        <v>4299</v>
      </c>
      <c r="C4240" s="104" t="s">
        <v>183</v>
      </c>
      <c r="D4240" s="129" t="s">
        <v>18698</v>
      </c>
    </row>
    <row r="4241" spans="1:4">
      <c r="A4241" s="105">
        <v>92920</v>
      </c>
      <c r="B4241" s="104" t="s">
        <v>4300</v>
      </c>
      <c r="C4241" s="104" t="s">
        <v>183</v>
      </c>
      <c r="D4241" s="129" t="s">
        <v>19482</v>
      </c>
    </row>
    <row r="4242" spans="1:4">
      <c r="A4242" s="105">
        <v>92925</v>
      </c>
      <c r="B4242" s="104" t="s">
        <v>4301</v>
      </c>
      <c r="C4242" s="104" t="s">
        <v>183</v>
      </c>
      <c r="D4242" s="129" t="s">
        <v>17997</v>
      </c>
    </row>
    <row r="4243" spans="1:4">
      <c r="A4243" s="105">
        <v>92926</v>
      </c>
      <c r="B4243" s="104" t="s">
        <v>4302</v>
      </c>
      <c r="C4243" s="104" t="s">
        <v>183</v>
      </c>
      <c r="D4243" s="129" t="s">
        <v>22983</v>
      </c>
    </row>
    <row r="4244" spans="1:4">
      <c r="A4244" s="105">
        <v>92927</v>
      </c>
      <c r="B4244" s="104" t="s">
        <v>4303</v>
      </c>
      <c r="C4244" s="104" t="s">
        <v>183</v>
      </c>
      <c r="D4244" s="129" t="s">
        <v>22983</v>
      </c>
    </row>
    <row r="4245" spans="1:4">
      <c r="A4245" s="105">
        <v>92928</v>
      </c>
      <c r="B4245" s="104" t="s">
        <v>4304</v>
      </c>
      <c r="C4245" s="104" t="s">
        <v>183</v>
      </c>
      <c r="D4245" s="129" t="s">
        <v>22984</v>
      </c>
    </row>
    <row r="4246" spans="1:4">
      <c r="A4246" s="105">
        <v>92929</v>
      </c>
      <c r="B4246" s="104" t="s">
        <v>4305</v>
      </c>
      <c r="C4246" s="104" t="s">
        <v>183</v>
      </c>
      <c r="D4246" s="129" t="s">
        <v>22984</v>
      </c>
    </row>
    <row r="4247" spans="1:4">
      <c r="A4247" s="105">
        <v>92930</v>
      </c>
      <c r="B4247" s="104" t="s">
        <v>4306</v>
      </c>
      <c r="C4247" s="104" t="s">
        <v>183</v>
      </c>
      <c r="D4247" s="129" t="s">
        <v>22984</v>
      </c>
    </row>
    <row r="4248" spans="1:4">
      <c r="A4248" s="105">
        <v>92931</v>
      </c>
      <c r="B4248" s="104" t="s">
        <v>4307</v>
      </c>
      <c r="C4248" s="104" t="s">
        <v>183</v>
      </c>
      <c r="D4248" s="129" t="s">
        <v>20573</v>
      </c>
    </row>
    <row r="4249" spans="1:4">
      <c r="A4249" s="105">
        <v>92932</v>
      </c>
      <c r="B4249" s="104" t="s">
        <v>4308</v>
      </c>
      <c r="C4249" s="104" t="s">
        <v>183</v>
      </c>
      <c r="D4249" s="129" t="s">
        <v>20573</v>
      </c>
    </row>
    <row r="4250" spans="1:4">
      <c r="A4250" s="105">
        <v>92933</v>
      </c>
      <c r="B4250" s="104" t="s">
        <v>4309</v>
      </c>
      <c r="C4250" s="104" t="s">
        <v>183</v>
      </c>
      <c r="D4250" s="129" t="s">
        <v>20573</v>
      </c>
    </row>
    <row r="4251" spans="1:4">
      <c r="A4251" s="105">
        <v>92934</v>
      </c>
      <c r="B4251" s="104" t="s">
        <v>4310</v>
      </c>
      <c r="C4251" s="104" t="s">
        <v>183</v>
      </c>
      <c r="D4251" s="129" t="s">
        <v>22985</v>
      </c>
    </row>
    <row r="4252" spans="1:4">
      <c r="A4252" s="105">
        <v>92935</v>
      </c>
      <c r="B4252" s="104" t="s">
        <v>4311</v>
      </c>
      <c r="C4252" s="104" t="s">
        <v>183</v>
      </c>
      <c r="D4252" s="129" t="s">
        <v>22985</v>
      </c>
    </row>
    <row r="4253" spans="1:4">
      <c r="A4253" s="105">
        <v>92936</v>
      </c>
      <c r="B4253" s="104" t="s">
        <v>4312</v>
      </c>
      <c r="C4253" s="104" t="s">
        <v>183</v>
      </c>
      <c r="D4253" s="129" t="s">
        <v>22986</v>
      </c>
    </row>
    <row r="4254" spans="1:4">
      <c r="A4254" s="105">
        <v>92937</v>
      </c>
      <c r="B4254" s="104" t="s">
        <v>4313</v>
      </c>
      <c r="C4254" s="104" t="s">
        <v>183</v>
      </c>
      <c r="D4254" s="129" t="s">
        <v>22986</v>
      </c>
    </row>
    <row r="4255" spans="1:4">
      <c r="A4255" s="105">
        <v>92938</v>
      </c>
      <c r="B4255" s="104" t="s">
        <v>4314</v>
      </c>
      <c r="C4255" s="104" t="s">
        <v>183</v>
      </c>
      <c r="D4255" s="129" t="s">
        <v>22196</v>
      </c>
    </row>
    <row r="4256" spans="1:4">
      <c r="A4256" s="105">
        <v>92939</v>
      </c>
      <c r="B4256" s="104" t="s">
        <v>4315</v>
      </c>
      <c r="C4256" s="104" t="s">
        <v>183</v>
      </c>
      <c r="D4256" s="129" t="s">
        <v>18657</v>
      </c>
    </row>
    <row r="4257" spans="1:4">
      <c r="A4257" s="105">
        <v>92940</v>
      </c>
      <c r="B4257" s="104" t="s">
        <v>4316</v>
      </c>
      <c r="C4257" s="104" t="s">
        <v>183</v>
      </c>
      <c r="D4257" s="129" t="s">
        <v>22987</v>
      </c>
    </row>
    <row r="4258" spans="1:4">
      <c r="A4258" s="105">
        <v>92941</v>
      </c>
      <c r="B4258" s="104" t="s">
        <v>4317</v>
      </c>
      <c r="C4258" s="104" t="s">
        <v>183</v>
      </c>
      <c r="D4258" s="129" t="s">
        <v>22106</v>
      </c>
    </row>
    <row r="4259" spans="1:4">
      <c r="A4259" s="105">
        <v>92942</v>
      </c>
      <c r="B4259" s="104" t="s">
        <v>4318</v>
      </c>
      <c r="C4259" s="104" t="s">
        <v>183</v>
      </c>
      <c r="D4259" s="129" t="s">
        <v>22106</v>
      </c>
    </row>
    <row r="4260" spans="1:4">
      <c r="A4260" s="105">
        <v>92943</v>
      </c>
      <c r="B4260" s="104" t="s">
        <v>4319</v>
      </c>
      <c r="C4260" s="104" t="s">
        <v>183</v>
      </c>
      <c r="D4260" s="129" t="s">
        <v>18386</v>
      </c>
    </row>
    <row r="4261" spans="1:4">
      <c r="A4261" s="105">
        <v>92944</v>
      </c>
      <c r="B4261" s="104" t="s">
        <v>4320</v>
      </c>
      <c r="C4261" s="104" t="s">
        <v>183</v>
      </c>
      <c r="D4261" s="129" t="s">
        <v>18386</v>
      </c>
    </row>
    <row r="4262" spans="1:4">
      <c r="A4262" s="105">
        <v>92945</v>
      </c>
      <c r="B4262" s="104" t="s">
        <v>4321</v>
      </c>
      <c r="C4262" s="104" t="s">
        <v>183</v>
      </c>
      <c r="D4262" s="129" t="s">
        <v>18386</v>
      </c>
    </row>
    <row r="4263" spans="1:4">
      <c r="A4263" s="105">
        <v>92946</v>
      </c>
      <c r="B4263" s="104" t="s">
        <v>4322</v>
      </c>
      <c r="C4263" s="104" t="s">
        <v>183</v>
      </c>
      <c r="D4263" s="129" t="s">
        <v>22759</v>
      </c>
    </row>
    <row r="4264" spans="1:4">
      <c r="A4264" s="105">
        <v>92947</v>
      </c>
      <c r="B4264" s="104" t="s">
        <v>4323</v>
      </c>
      <c r="C4264" s="104" t="s">
        <v>183</v>
      </c>
      <c r="D4264" s="129" t="s">
        <v>22759</v>
      </c>
    </row>
    <row r="4265" spans="1:4">
      <c r="A4265" s="105">
        <v>92948</v>
      </c>
      <c r="B4265" s="104" t="s">
        <v>4324</v>
      </c>
      <c r="C4265" s="104" t="s">
        <v>183</v>
      </c>
      <c r="D4265" s="129" t="s">
        <v>22759</v>
      </c>
    </row>
    <row r="4266" spans="1:4">
      <c r="A4266" s="105">
        <v>92949</v>
      </c>
      <c r="B4266" s="104" t="s">
        <v>4325</v>
      </c>
      <c r="C4266" s="104" t="s">
        <v>183</v>
      </c>
      <c r="D4266" s="129" t="s">
        <v>22988</v>
      </c>
    </row>
    <row r="4267" spans="1:4">
      <c r="A4267" s="105">
        <v>92950</v>
      </c>
      <c r="B4267" s="104" t="s">
        <v>4326</v>
      </c>
      <c r="C4267" s="104" t="s">
        <v>183</v>
      </c>
      <c r="D4267" s="129" t="s">
        <v>22988</v>
      </c>
    </row>
    <row r="4268" spans="1:4">
      <c r="A4268" s="105">
        <v>92951</v>
      </c>
      <c r="B4268" s="104" t="s">
        <v>4327</v>
      </c>
      <c r="C4268" s="104" t="s">
        <v>183</v>
      </c>
      <c r="D4268" s="129" t="s">
        <v>22989</v>
      </c>
    </row>
    <row r="4269" spans="1:4">
      <c r="A4269" s="105">
        <v>92952</v>
      </c>
      <c r="B4269" s="104" t="s">
        <v>4328</v>
      </c>
      <c r="C4269" s="104" t="s">
        <v>183</v>
      </c>
      <c r="D4269" s="129" t="s">
        <v>22989</v>
      </c>
    </row>
    <row r="4270" spans="1:4">
      <c r="A4270" s="105">
        <v>92953</v>
      </c>
      <c r="B4270" s="104" t="s">
        <v>4329</v>
      </c>
      <c r="C4270" s="104" t="s">
        <v>183</v>
      </c>
      <c r="D4270" s="129" t="s">
        <v>22990</v>
      </c>
    </row>
    <row r="4271" spans="1:4">
      <c r="A4271" s="105">
        <v>93050</v>
      </c>
      <c r="B4271" s="104" t="s">
        <v>4330</v>
      </c>
      <c r="C4271" s="104" t="s">
        <v>183</v>
      </c>
      <c r="D4271" s="129" t="s">
        <v>16954</v>
      </c>
    </row>
    <row r="4272" spans="1:4">
      <c r="A4272" s="105">
        <v>93051</v>
      </c>
      <c r="B4272" s="104" t="s">
        <v>4331</v>
      </c>
      <c r="C4272" s="104" t="s">
        <v>183</v>
      </c>
      <c r="D4272" s="129" t="s">
        <v>21879</v>
      </c>
    </row>
    <row r="4273" spans="1:4">
      <c r="A4273" s="105">
        <v>93052</v>
      </c>
      <c r="B4273" s="104" t="s">
        <v>4332</v>
      </c>
      <c r="C4273" s="104" t="s">
        <v>183</v>
      </c>
      <c r="D4273" s="129" t="s">
        <v>22991</v>
      </c>
    </row>
    <row r="4274" spans="1:4">
      <c r="A4274" s="105">
        <v>93054</v>
      </c>
      <c r="B4274" s="104" t="s">
        <v>4333</v>
      </c>
      <c r="C4274" s="104" t="s">
        <v>183</v>
      </c>
      <c r="D4274" s="129" t="s">
        <v>19481</v>
      </c>
    </row>
    <row r="4275" spans="1:4">
      <c r="A4275" s="105">
        <v>93055</v>
      </c>
      <c r="B4275" s="104" t="s">
        <v>4334</v>
      </c>
      <c r="C4275" s="104" t="s">
        <v>183</v>
      </c>
      <c r="D4275" s="129" t="s">
        <v>20116</v>
      </c>
    </row>
    <row r="4276" spans="1:4">
      <c r="A4276" s="105">
        <v>93056</v>
      </c>
      <c r="B4276" s="104" t="s">
        <v>4335</v>
      </c>
      <c r="C4276" s="104" t="s">
        <v>183</v>
      </c>
      <c r="D4276" s="129" t="s">
        <v>22885</v>
      </c>
    </row>
    <row r="4277" spans="1:4">
      <c r="A4277" s="105">
        <v>93057</v>
      </c>
      <c r="B4277" s="104" t="s">
        <v>4336</v>
      </c>
      <c r="C4277" s="104" t="s">
        <v>183</v>
      </c>
      <c r="D4277" s="129" t="s">
        <v>18412</v>
      </c>
    </row>
    <row r="4278" spans="1:4">
      <c r="A4278" s="105">
        <v>93058</v>
      </c>
      <c r="B4278" s="104" t="s">
        <v>4337</v>
      </c>
      <c r="C4278" s="104" t="s">
        <v>183</v>
      </c>
      <c r="D4278" s="129" t="s">
        <v>22992</v>
      </c>
    </row>
    <row r="4279" spans="1:4">
      <c r="A4279" s="105">
        <v>93059</v>
      </c>
      <c r="B4279" s="104" t="s">
        <v>4338</v>
      </c>
      <c r="C4279" s="104" t="s">
        <v>183</v>
      </c>
      <c r="D4279" s="129" t="s">
        <v>22993</v>
      </c>
    </row>
    <row r="4280" spans="1:4">
      <c r="A4280" s="105">
        <v>93060</v>
      </c>
      <c r="B4280" s="104" t="s">
        <v>4339</v>
      </c>
      <c r="C4280" s="104" t="s">
        <v>183</v>
      </c>
      <c r="D4280" s="129" t="s">
        <v>22994</v>
      </c>
    </row>
    <row r="4281" spans="1:4">
      <c r="A4281" s="105">
        <v>93061</v>
      </c>
      <c r="B4281" s="104" t="s">
        <v>4340</v>
      </c>
      <c r="C4281" s="104" t="s">
        <v>183</v>
      </c>
      <c r="D4281" s="129" t="s">
        <v>17818</v>
      </c>
    </row>
    <row r="4282" spans="1:4">
      <c r="A4282" s="105">
        <v>93062</v>
      </c>
      <c r="B4282" s="104" t="s">
        <v>4341</v>
      </c>
      <c r="C4282" s="104" t="s">
        <v>183</v>
      </c>
      <c r="D4282" s="129" t="s">
        <v>17807</v>
      </c>
    </row>
    <row r="4283" spans="1:4">
      <c r="A4283" s="105">
        <v>93063</v>
      </c>
      <c r="B4283" s="104" t="s">
        <v>4342</v>
      </c>
      <c r="C4283" s="104" t="s">
        <v>183</v>
      </c>
      <c r="D4283" s="129" t="s">
        <v>22995</v>
      </c>
    </row>
    <row r="4284" spans="1:4">
      <c r="A4284" s="105">
        <v>93064</v>
      </c>
      <c r="B4284" s="104" t="s">
        <v>4343</v>
      </c>
      <c r="C4284" s="104" t="s">
        <v>183</v>
      </c>
      <c r="D4284" s="129" t="s">
        <v>22996</v>
      </c>
    </row>
    <row r="4285" spans="1:4">
      <c r="A4285" s="105">
        <v>93065</v>
      </c>
      <c r="B4285" s="104" t="s">
        <v>4344</v>
      </c>
      <c r="C4285" s="104" t="s">
        <v>183</v>
      </c>
      <c r="D4285" s="129" t="s">
        <v>22997</v>
      </c>
    </row>
    <row r="4286" spans="1:4">
      <c r="A4286" s="105">
        <v>93066</v>
      </c>
      <c r="B4286" s="104" t="s">
        <v>4345</v>
      </c>
      <c r="C4286" s="104" t="s">
        <v>183</v>
      </c>
      <c r="D4286" s="129" t="s">
        <v>22998</v>
      </c>
    </row>
    <row r="4287" spans="1:4">
      <c r="A4287" s="105">
        <v>93067</v>
      </c>
      <c r="B4287" s="104" t="s">
        <v>4346</v>
      </c>
      <c r="C4287" s="104" t="s">
        <v>183</v>
      </c>
      <c r="D4287" s="129" t="s">
        <v>22999</v>
      </c>
    </row>
    <row r="4288" spans="1:4">
      <c r="A4288" s="105">
        <v>93068</v>
      </c>
      <c r="B4288" s="104" t="s">
        <v>4347</v>
      </c>
      <c r="C4288" s="104" t="s">
        <v>183</v>
      </c>
      <c r="D4288" s="129" t="s">
        <v>23000</v>
      </c>
    </row>
    <row r="4289" spans="1:4">
      <c r="A4289" s="105">
        <v>93069</v>
      </c>
      <c r="B4289" s="104" t="s">
        <v>4348</v>
      </c>
      <c r="C4289" s="104" t="s">
        <v>183</v>
      </c>
      <c r="D4289" s="129" t="s">
        <v>23001</v>
      </c>
    </row>
    <row r="4290" spans="1:4">
      <c r="A4290" s="105">
        <v>93070</v>
      </c>
      <c r="B4290" s="104" t="s">
        <v>4349</v>
      </c>
      <c r="C4290" s="104" t="s">
        <v>183</v>
      </c>
      <c r="D4290" s="129" t="s">
        <v>22889</v>
      </c>
    </row>
    <row r="4291" spans="1:4">
      <c r="A4291" s="105">
        <v>93071</v>
      </c>
      <c r="B4291" s="104" t="s">
        <v>4350</v>
      </c>
      <c r="C4291" s="104" t="s">
        <v>183</v>
      </c>
      <c r="D4291" s="129" t="s">
        <v>23002</v>
      </c>
    </row>
    <row r="4292" spans="1:4">
      <c r="A4292" s="105">
        <v>93072</v>
      </c>
      <c r="B4292" s="104" t="s">
        <v>4351</v>
      </c>
      <c r="C4292" s="104" t="s">
        <v>183</v>
      </c>
      <c r="D4292" s="129" t="s">
        <v>23003</v>
      </c>
    </row>
    <row r="4293" spans="1:4">
      <c r="A4293" s="105">
        <v>93073</v>
      </c>
      <c r="B4293" s="104" t="s">
        <v>4352</v>
      </c>
      <c r="C4293" s="104" t="s">
        <v>183</v>
      </c>
      <c r="D4293" s="129" t="s">
        <v>14791</v>
      </c>
    </row>
    <row r="4294" spans="1:4">
      <c r="A4294" s="105">
        <v>93074</v>
      </c>
      <c r="B4294" s="104" t="s">
        <v>4353</v>
      </c>
      <c r="C4294" s="104" t="s">
        <v>183</v>
      </c>
      <c r="D4294" s="129" t="s">
        <v>15185</v>
      </c>
    </row>
    <row r="4295" spans="1:4">
      <c r="A4295" s="105">
        <v>93075</v>
      </c>
      <c r="B4295" s="104" t="s">
        <v>4354</v>
      </c>
      <c r="C4295" s="104" t="s">
        <v>183</v>
      </c>
      <c r="D4295" s="129" t="s">
        <v>22621</v>
      </c>
    </row>
    <row r="4296" spans="1:4">
      <c r="A4296" s="105">
        <v>93076</v>
      </c>
      <c r="B4296" s="104" t="s">
        <v>4355</v>
      </c>
      <c r="C4296" s="104" t="s">
        <v>183</v>
      </c>
      <c r="D4296" s="129" t="s">
        <v>17082</v>
      </c>
    </row>
    <row r="4297" spans="1:4">
      <c r="A4297" s="105">
        <v>93077</v>
      </c>
      <c r="B4297" s="104" t="s">
        <v>4356</v>
      </c>
      <c r="C4297" s="104" t="s">
        <v>183</v>
      </c>
      <c r="D4297" s="129" t="s">
        <v>23004</v>
      </c>
    </row>
    <row r="4298" spans="1:4">
      <c r="A4298" s="105">
        <v>93078</v>
      </c>
      <c r="B4298" s="104" t="s">
        <v>4357</v>
      </c>
      <c r="C4298" s="104" t="s">
        <v>183</v>
      </c>
      <c r="D4298" s="129" t="s">
        <v>23005</v>
      </c>
    </row>
    <row r="4299" spans="1:4">
      <c r="A4299" s="105">
        <v>93079</v>
      </c>
      <c r="B4299" s="104" t="s">
        <v>4358</v>
      </c>
      <c r="C4299" s="104" t="s">
        <v>183</v>
      </c>
      <c r="D4299" s="129" t="s">
        <v>23006</v>
      </c>
    </row>
    <row r="4300" spans="1:4">
      <c r="A4300" s="105">
        <v>93080</v>
      </c>
      <c r="B4300" s="104" t="s">
        <v>4359</v>
      </c>
      <c r="C4300" s="104" t="s">
        <v>183</v>
      </c>
      <c r="D4300" s="129" t="s">
        <v>23007</v>
      </c>
    </row>
    <row r="4301" spans="1:4">
      <c r="A4301" s="105">
        <v>93081</v>
      </c>
      <c r="B4301" s="104" t="s">
        <v>4360</v>
      </c>
      <c r="C4301" s="104" t="s">
        <v>183</v>
      </c>
      <c r="D4301" s="129" t="s">
        <v>17143</v>
      </c>
    </row>
    <row r="4302" spans="1:4">
      <c r="A4302" s="105">
        <v>93082</v>
      </c>
      <c r="B4302" s="104" t="s">
        <v>4361</v>
      </c>
      <c r="C4302" s="104" t="s">
        <v>183</v>
      </c>
      <c r="D4302" s="129" t="s">
        <v>23008</v>
      </c>
    </row>
    <row r="4303" spans="1:4">
      <c r="A4303" s="105">
        <v>93083</v>
      </c>
      <c r="B4303" s="104" t="s">
        <v>4362</v>
      </c>
      <c r="C4303" s="104" t="s">
        <v>183</v>
      </c>
      <c r="D4303" s="129" t="s">
        <v>23009</v>
      </c>
    </row>
    <row r="4304" spans="1:4">
      <c r="A4304" s="105">
        <v>93084</v>
      </c>
      <c r="B4304" s="104" t="s">
        <v>4363</v>
      </c>
      <c r="C4304" s="104" t="s">
        <v>183</v>
      </c>
      <c r="D4304" s="129" t="s">
        <v>16945</v>
      </c>
    </row>
    <row r="4305" spans="1:4">
      <c r="A4305" s="105">
        <v>93085</v>
      </c>
      <c r="B4305" s="104" t="s">
        <v>4364</v>
      </c>
      <c r="C4305" s="104" t="s">
        <v>183</v>
      </c>
      <c r="D4305" s="129" t="s">
        <v>19546</v>
      </c>
    </row>
    <row r="4306" spans="1:4">
      <c r="A4306" s="105">
        <v>93086</v>
      </c>
      <c r="B4306" s="104" t="s">
        <v>4365</v>
      </c>
      <c r="C4306" s="104" t="s">
        <v>183</v>
      </c>
      <c r="D4306" s="129" t="s">
        <v>23010</v>
      </c>
    </row>
    <row r="4307" spans="1:4">
      <c r="A4307" s="105">
        <v>93087</v>
      </c>
      <c r="B4307" s="104" t="s">
        <v>4366</v>
      </c>
      <c r="C4307" s="104" t="s">
        <v>183</v>
      </c>
      <c r="D4307" s="129" t="s">
        <v>19212</v>
      </c>
    </row>
    <row r="4308" spans="1:4">
      <c r="A4308" s="105">
        <v>93088</v>
      </c>
      <c r="B4308" s="104" t="s">
        <v>4367</v>
      </c>
      <c r="C4308" s="104" t="s">
        <v>183</v>
      </c>
      <c r="D4308" s="129" t="s">
        <v>23011</v>
      </c>
    </row>
    <row r="4309" spans="1:4">
      <c r="A4309" s="105">
        <v>93089</v>
      </c>
      <c r="B4309" s="104" t="s">
        <v>4368</v>
      </c>
      <c r="C4309" s="104" t="s">
        <v>183</v>
      </c>
      <c r="D4309" s="129" t="s">
        <v>23012</v>
      </c>
    </row>
    <row r="4310" spans="1:4">
      <c r="A4310" s="105">
        <v>93090</v>
      </c>
      <c r="B4310" s="104" t="s">
        <v>4369</v>
      </c>
      <c r="C4310" s="104" t="s">
        <v>183</v>
      </c>
      <c r="D4310" s="129" t="s">
        <v>21612</v>
      </c>
    </row>
    <row r="4311" spans="1:4">
      <c r="A4311" s="105">
        <v>93091</v>
      </c>
      <c r="B4311" s="104" t="s">
        <v>4370</v>
      </c>
      <c r="C4311" s="104" t="s">
        <v>183</v>
      </c>
      <c r="D4311" s="129" t="s">
        <v>19625</v>
      </c>
    </row>
    <row r="4312" spans="1:4">
      <c r="A4312" s="105">
        <v>93092</v>
      </c>
      <c r="B4312" s="104" t="s">
        <v>4371</v>
      </c>
      <c r="C4312" s="104" t="s">
        <v>183</v>
      </c>
      <c r="D4312" s="129" t="s">
        <v>23013</v>
      </c>
    </row>
    <row r="4313" spans="1:4">
      <c r="A4313" s="105">
        <v>93093</v>
      </c>
      <c r="B4313" s="104" t="s">
        <v>4372</v>
      </c>
      <c r="C4313" s="104" t="s">
        <v>183</v>
      </c>
      <c r="D4313" s="129" t="s">
        <v>20111</v>
      </c>
    </row>
    <row r="4314" spans="1:4">
      <c r="A4314" s="105">
        <v>93094</v>
      </c>
      <c r="B4314" s="104" t="s">
        <v>4373</v>
      </c>
      <c r="C4314" s="104" t="s">
        <v>183</v>
      </c>
      <c r="D4314" s="129" t="s">
        <v>23014</v>
      </c>
    </row>
    <row r="4315" spans="1:4">
      <c r="A4315" s="105">
        <v>93095</v>
      </c>
      <c r="B4315" s="104" t="s">
        <v>4374</v>
      </c>
      <c r="C4315" s="104" t="s">
        <v>183</v>
      </c>
      <c r="D4315" s="129" t="s">
        <v>23015</v>
      </c>
    </row>
    <row r="4316" spans="1:4">
      <c r="A4316" s="105">
        <v>93096</v>
      </c>
      <c r="B4316" s="104" t="s">
        <v>4375</v>
      </c>
      <c r="C4316" s="104" t="s">
        <v>183</v>
      </c>
      <c r="D4316" s="129" t="s">
        <v>23016</v>
      </c>
    </row>
    <row r="4317" spans="1:4">
      <c r="A4317" s="105">
        <v>93097</v>
      </c>
      <c r="B4317" s="104" t="s">
        <v>4376</v>
      </c>
      <c r="C4317" s="104" t="s">
        <v>183</v>
      </c>
      <c r="D4317" s="129" t="s">
        <v>17294</v>
      </c>
    </row>
    <row r="4318" spans="1:4">
      <c r="A4318" s="105">
        <v>93098</v>
      </c>
      <c r="B4318" s="104" t="s">
        <v>4377</v>
      </c>
      <c r="C4318" s="104" t="s">
        <v>183</v>
      </c>
      <c r="D4318" s="129" t="s">
        <v>23017</v>
      </c>
    </row>
    <row r="4319" spans="1:4">
      <c r="A4319" s="105">
        <v>93099</v>
      </c>
      <c r="B4319" s="104" t="s">
        <v>4378</v>
      </c>
      <c r="C4319" s="104" t="s">
        <v>183</v>
      </c>
      <c r="D4319" s="129" t="s">
        <v>23018</v>
      </c>
    </row>
    <row r="4320" spans="1:4">
      <c r="A4320" s="105">
        <v>93100</v>
      </c>
      <c r="B4320" s="104" t="s">
        <v>4379</v>
      </c>
      <c r="C4320" s="104" t="s">
        <v>183</v>
      </c>
      <c r="D4320" s="129" t="s">
        <v>23019</v>
      </c>
    </row>
    <row r="4321" spans="1:4">
      <c r="A4321" s="105">
        <v>93101</v>
      </c>
      <c r="B4321" s="104" t="s">
        <v>4380</v>
      </c>
      <c r="C4321" s="104" t="s">
        <v>183</v>
      </c>
      <c r="D4321" s="129" t="s">
        <v>15877</v>
      </c>
    </row>
    <row r="4322" spans="1:4">
      <c r="A4322" s="105">
        <v>93102</v>
      </c>
      <c r="B4322" s="104" t="s">
        <v>4381</v>
      </c>
      <c r="C4322" s="104" t="s">
        <v>183</v>
      </c>
      <c r="D4322" s="129" t="s">
        <v>22172</v>
      </c>
    </row>
    <row r="4323" spans="1:4">
      <c r="A4323" s="105">
        <v>93103</v>
      </c>
      <c r="B4323" s="104" t="s">
        <v>4382</v>
      </c>
      <c r="C4323" s="104" t="s">
        <v>183</v>
      </c>
      <c r="D4323" s="129" t="s">
        <v>20383</v>
      </c>
    </row>
    <row r="4324" spans="1:4">
      <c r="A4324" s="105">
        <v>93104</v>
      </c>
      <c r="B4324" s="104" t="s">
        <v>4383</v>
      </c>
      <c r="C4324" s="104" t="s">
        <v>183</v>
      </c>
      <c r="D4324" s="129" t="s">
        <v>20387</v>
      </c>
    </row>
    <row r="4325" spans="1:4">
      <c r="A4325" s="105">
        <v>93105</v>
      </c>
      <c r="B4325" s="104" t="s">
        <v>4384</v>
      </c>
      <c r="C4325" s="104" t="s">
        <v>183</v>
      </c>
      <c r="D4325" s="129" t="s">
        <v>21420</v>
      </c>
    </row>
    <row r="4326" spans="1:4">
      <c r="A4326" s="105">
        <v>93106</v>
      </c>
      <c r="B4326" s="104" t="s">
        <v>4385</v>
      </c>
      <c r="C4326" s="104" t="s">
        <v>183</v>
      </c>
      <c r="D4326" s="129" t="s">
        <v>23020</v>
      </c>
    </row>
    <row r="4327" spans="1:4">
      <c r="A4327" s="105">
        <v>93107</v>
      </c>
      <c r="B4327" s="104" t="s">
        <v>4386</v>
      </c>
      <c r="C4327" s="104" t="s">
        <v>183</v>
      </c>
      <c r="D4327" s="129" t="s">
        <v>18022</v>
      </c>
    </row>
    <row r="4328" spans="1:4">
      <c r="A4328" s="105">
        <v>93108</v>
      </c>
      <c r="B4328" s="104" t="s">
        <v>4387</v>
      </c>
      <c r="C4328" s="104" t="s">
        <v>183</v>
      </c>
      <c r="D4328" s="129" t="s">
        <v>19194</v>
      </c>
    </row>
    <row r="4329" spans="1:4">
      <c r="A4329" s="105">
        <v>93109</v>
      </c>
      <c r="B4329" s="104" t="s">
        <v>4388</v>
      </c>
      <c r="C4329" s="104" t="s">
        <v>183</v>
      </c>
      <c r="D4329" s="129" t="s">
        <v>23021</v>
      </c>
    </row>
    <row r="4330" spans="1:4">
      <c r="A4330" s="105">
        <v>93110</v>
      </c>
      <c r="B4330" s="104" t="s">
        <v>4389</v>
      </c>
      <c r="C4330" s="104" t="s">
        <v>183</v>
      </c>
      <c r="D4330" s="129" t="s">
        <v>23022</v>
      </c>
    </row>
    <row r="4331" spans="1:4">
      <c r="A4331" s="105">
        <v>93111</v>
      </c>
      <c r="B4331" s="104" t="s">
        <v>4390</v>
      </c>
      <c r="C4331" s="104" t="s">
        <v>183</v>
      </c>
      <c r="D4331" s="129" t="s">
        <v>17993</v>
      </c>
    </row>
    <row r="4332" spans="1:4">
      <c r="A4332" s="105">
        <v>93112</v>
      </c>
      <c r="B4332" s="104" t="s">
        <v>4391</v>
      </c>
      <c r="C4332" s="104" t="s">
        <v>183</v>
      </c>
      <c r="D4332" s="129" t="s">
        <v>23023</v>
      </c>
    </row>
    <row r="4333" spans="1:4">
      <c r="A4333" s="105">
        <v>93113</v>
      </c>
      <c r="B4333" s="104" t="s">
        <v>4392</v>
      </c>
      <c r="C4333" s="104" t="s">
        <v>183</v>
      </c>
      <c r="D4333" s="129" t="s">
        <v>19212</v>
      </c>
    </row>
    <row r="4334" spans="1:4">
      <c r="A4334" s="105">
        <v>93114</v>
      </c>
      <c r="B4334" s="104" t="s">
        <v>4393</v>
      </c>
      <c r="C4334" s="104" t="s">
        <v>183</v>
      </c>
      <c r="D4334" s="129" t="s">
        <v>23024</v>
      </c>
    </row>
    <row r="4335" spans="1:4">
      <c r="A4335" s="105">
        <v>93115</v>
      </c>
      <c r="B4335" s="104" t="s">
        <v>4394</v>
      </c>
      <c r="C4335" s="104" t="s">
        <v>183</v>
      </c>
      <c r="D4335" s="129" t="s">
        <v>23025</v>
      </c>
    </row>
    <row r="4336" spans="1:4">
      <c r="A4336" s="105">
        <v>93116</v>
      </c>
      <c r="B4336" s="104" t="s">
        <v>4395</v>
      </c>
      <c r="C4336" s="104" t="s">
        <v>183</v>
      </c>
      <c r="D4336" s="129" t="s">
        <v>23026</v>
      </c>
    </row>
    <row r="4337" spans="1:4">
      <c r="A4337" s="105">
        <v>93117</v>
      </c>
      <c r="B4337" s="104" t="s">
        <v>4396</v>
      </c>
      <c r="C4337" s="104" t="s">
        <v>183</v>
      </c>
      <c r="D4337" s="129" t="s">
        <v>19032</v>
      </c>
    </row>
    <row r="4338" spans="1:4">
      <c r="A4338" s="105">
        <v>93118</v>
      </c>
      <c r="B4338" s="104" t="s">
        <v>4397</v>
      </c>
      <c r="C4338" s="104" t="s">
        <v>183</v>
      </c>
      <c r="D4338" s="129" t="s">
        <v>23027</v>
      </c>
    </row>
    <row r="4339" spans="1:4">
      <c r="A4339" s="105">
        <v>93119</v>
      </c>
      <c r="B4339" s="104" t="s">
        <v>4398</v>
      </c>
      <c r="C4339" s="104" t="s">
        <v>183</v>
      </c>
      <c r="D4339" s="129" t="s">
        <v>23028</v>
      </c>
    </row>
    <row r="4340" spans="1:4">
      <c r="A4340" s="105">
        <v>93120</v>
      </c>
      <c r="B4340" s="104" t="s">
        <v>4399</v>
      </c>
      <c r="C4340" s="104" t="s">
        <v>183</v>
      </c>
      <c r="D4340" s="129" t="s">
        <v>21037</v>
      </c>
    </row>
    <row r="4341" spans="1:4">
      <c r="A4341" s="105">
        <v>93121</v>
      </c>
      <c r="B4341" s="104" t="s">
        <v>4400</v>
      </c>
      <c r="C4341" s="104" t="s">
        <v>183</v>
      </c>
      <c r="D4341" s="129" t="s">
        <v>18135</v>
      </c>
    </row>
    <row r="4342" spans="1:4">
      <c r="A4342" s="105">
        <v>93122</v>
      </c>
      <c r="B4342" s="104" t="s">
        <v>4401</v>
      </c>
      <c r="C4342" s="104" t="s">
        <v>183</v>
      </c>
      <c r="D4342" s="129" t="s">
        <v>23029</v>
      </c>
    </row>
    <row r="4343" spans="1:4">
      <c r="A4343" s="105">
        <v>93123</v>
      </c>
      <c r="B4343" s="104" t="s">
        <v>4402</v>
      </c>
      <c r="C4343" s="104" t="s">
        <v>183</v>
      </c>
      <c r="D4343" s="129" t="s">
        <v>23030</v>
      </c>
    </row>
    <row r="4344" spans="1:4">
      <c r="A4344" s="105">
        <v>93124</v>
      </c>
      <c r="B4344" s="104" t="s">
        <v>4403</v>
      </c>
      <c r="C4344" s="104" t="s">
        <v>183</v>
      </c>
      <c r="D4344" s="129" t="s">
        <v>23031</v>
      </c>
    </row>
    <row r="4345" spans="1:4">
      <c r="A4345" s="105">
        <v>93125</v>
      </c>
      <c r="B4345" s="104" t="s">
        <v>4404</v>
      </c>
      <c r="C4345" s="104" t="s">
        <v>183</v>
      </c>
      <c r="D4345" s="129" t="s">
        <v>23032</v>
      </c>
    </row>
    <row r="4346" spans="1:4">
      <c r="A4346" s="105">
        <v>93126</v>
      </c>
      <c r="B4346" s="104" t="s">
        <v>4405</v>
      </c>
      <c r="C4346" s="104" t="s">
        <v>183</v>
      </c>
      <c r="D4346" s="129" t="s">
        <v>23033</v>
      </c>
    </row>
    <row r="4347" spans="1:4">
      <c r="A4347" s="105">
        <v>93133</v>
      </c>
      <c r="B4347" s="104" t="s">
        <v>4406</v>
      </c>
      <c r="C4347" s="104" t="s">
        <v>183</v>
      </c>
      <c r="D4347" s="129" t="s">
        <v>23034</v>
      </c>
    </row>
    <row r="4348" spans="1:4">
      <c r="A4348" s="105">
        <v>94465</v>
      </c>
      <c r="B4348" s="104" t="s">
        <v>4407</v>
      </c>
      <c r="C4348" s="104" t="s">
        <v>183</v>
      </c>
      <c r="D4348" s="129" t="s">
        <v>23035</v>
      </c>
    </row>
    <row r="4349" spans="1:4">
      <c r="A4349" s="105">
        <v>94466</v>
      </c>
      <c r="B4349" s="104" t="s">
        <v>4408</v>
      </c>
      <c r="C4349" s="104" t="s">
        <v>183</v>
      </c>
      <c r="D4349" s="129" t="s">
        <v>23036</v>
      </c>
    </row>
    <row r="4350" spans="1:4">
      <c r="A4350" s="105">
        <v>94467</v>
      </c>
      <c r="B4350" s="104" t="s">
        <v>4409</v>
      </c>
      <c r="C4350" s="104" t="s">
        <v>183</v>
      </c>
      <c r="D4350" s="129" t="s">
        <v>20904</v>
      </c>
    </row>
    <row r="4351" spans="1:4">
      <c r="A4351" s="105">
        <v>94468</v>
      </c>
      <c r="B4351" s="104" t="s">
        <v>4410</v>
      </c>
      <c r="C4351" s="104" t="s">
        <v>183</v>
      </c>
      <c r="D4351" s="129" t="s">
        <v>23037</v>
      </c>
    </row>
    <row r="4352" spans="1:4">
      <c r="A4352" s="105">
        <v>94469</v>
      </c>
      <c r="B4352" s="104" t="s">
        <v>4411</v>
      </c>
      <c r="C4352" s="104" t="s">
        <v>183</v>
      </c>
      <c r="D4352" s="129" t="s">
        <v>22167</v>
      </c>
    </row>
    <row r="4353" spans="1:4">
      <c r="A4353" s="105">
        <v>94470</v>
      </c>
      <c r="B4353" s="104" t="s">
        <v>4412</v>
      </c>
      <c r="C4353" s="104" t="s">
        <v>183</v>
      </c>
      <c r="D4353" s="129" t="s">
        <v>23038</v>
      </c>
    </row>
    <row r="4354" spans="1:4">
      <c r="A4354" s="105">
        <v>94471</v>
      </c>
      <c r="B4354" s="104" t="s">
        <v>4413</v>
      </c>
      <c r="C4354" s="104" t="s">
        <v>183</v>
      </c>
      <c r="D4354" s="129" t="s">
        <v>23039</v>
      </c>
    </row>
    <row r="4355" spans="1:4">
      <c r="A4355" s="105">
        <v>94472</v>
      </c>
      <c r="B4355" s="104" t="s">
        <v>4414</v>
      </c>
      <c r="C4355" s="104" t="s">
        <v>183</v>
      </c>
      <c r="D4355" s="129" t="s">
        <v>17470</v>
      </c>
    </row>
    <row r="4356" spans="1:4">
      <c r="A4356" s="105">
        <v>94473</v>
      </c>
      <c r="B4356" s="104" t="s">
        <v>4415</v>
      </c>
      <c r="C4356" s="104" t="s">
        <v>183</v>
      </c>
      <c r="D4356" s="129" t="s">
        <v>23040</v>
      </c>
    </row>
    <row r="4357" spans="1:4">
      <c r="A4357" s="105">
        <v>94474</v>
      </c>
      <c r="B4357" s="104" t="s">
        <v>4416</v>
      </c>
      <c r="C4357" s="104" t="s">
        <v>183</v>
      </c>
      <c r="D4357" s="129" t="s">
        <v>23041</v>
      </c>
    </row>
    <row r="4358" spans="1:4">
      <c r="A4358" s="105">
        <v>94475</v>
      </c>
      <c r="B4358" s="104" t="s">
        <v>4417</v>
      </c>
      <c r="C4358" s="104" t="s">
        <v>183</v>
      </c>
      <c r="D4358" s="129" t="s">
        <v>23042</v>
      </c>
    </row>
    <row r="4359" spans="1:4">
      <c r="A4359" s="105">
        <v>94476</v>
      </c>
      <c r="B4359" s="104" t="s">
        <v>4418</v>
      </c>
      <c r="C4359" s="104" t="s">
        <v>183</v>
      </c>
      <c r="D4359" s="129" t="s">
        <v>23043</v>
      </c>
    </row>
    <row r="4360" spans="1:4">
      <c r="A4360" s="105">
        <v>94477</v>
      </c>
      <c r="B4360" s="104" t="s">
        <v>4419</v>
      </c>
      <c r="C4360" s="104" t="s">
        <v>183</v>
      </c>
      <c r="D4360" s="129" t="s">
        <v>22578</v>
      </c>
    </row>
    <row r="4361" spans="1:4">
      <c r="A4361" s="105">
        <v>94478</v>
      </c>
      <c r="B4361" s="104" t="s">
        <v>4420</v>
      </c>
      <c r="C4361" s="104" t="s">
        <v>183</v>
      </c>
      <c r="D4361" s="129" t="s">
        <v>23044</v>
      </c>
    </row>
    <row r="4362" spans="1:4">
      <c r="A4362" s="105">
        <v>94479</v>
      </c>
      <c r="B4362" s="104" t="s">
        <v>4421</v>
      </c>
      <c r="C4362" s="104" t="s">
        <v>183</v>
      </c>
      <c r="D4362" s="129" t="s">
        <v>23045</v>
      </c>
    </row>
    <row r="4363" spans="1:4">
      <c r="A4363" s="105">
        <v>94606</v>
      </c>
      <c r="B4363" s="104" t="s">
        <v>4422</v>
      </c>
      <c r="C4363" s="104" t="s">
        <v>183</v>
      </c>
      <c r="D4363" s="129" t="s">
        <v>23046</v>
      </c>
    </row>
    <row r="4364" spans="1:4">
      <c r="A4364" s="105">
        <v>94608</v>
      </c>
      <c r="B4364" s="104" t="s">
        <v>4423</v>
      </c>
      <c r="C4364" s="104" t="s">
        <v>183</v>
      </c>
      <c r="D4364" s="129" t="s">
        <v>23047</v>
      </c>
    </row>
    <row r="4365" spans="1:4">
      <c r="A4365" s="105">
        <v>94610</v>
      </c>
      <c r="B4365" s="104" t="s">
        <v>4424</v>
      </c>
      <c r="C4365" s="104" t="s">
        <v>183</v>
      </c>
      <c r="D4365" s="129" t="s">
        <v>23048</v>
      </c>
    </row>
    <row r="4366" spans="1:4">
      <c r="A4366" s="105">
        <v>94612</v>
      </c>
      <c r="B4366" s="104" t="s">
        <v>4425</v>
      </c>
      <c r="C4366" s="104" t="s">
        <v>183</v>
      </c>
      <c r="D4366" s="129" t="s">
        <v>23049</v>
      </c>
    </row>
    <row r="4367" spans="1:4">
      <c r="A4367" s="105">
        <v>94614</v>
      </c>
      <c r="B4367" s="104" t="s">
        <v>4426</v>
      </c>
      <c r="C4367" s="104" t="s">
        <v>183</v>
      </c>
      <c r="D4367" s="129" t="s">
        <v>23050</v>
      </c>
    </row>
    <row r="4368" spans="1:4">
      <c r="A4368" s="105">
        <v>94615</v>
      </c>
      <c r="B4368" s="104" t="s">
        <v>4427</v>
      </c>
      <c r="C4368" s="104" t="s">
        <v>183</v>
      </c>
      <c r="D4368" s="129" t="s">
        <v>21089</v>
      </c>
    </row>
    <row r="4369" spans="1:4">
      <c r="A4369" s="105">
        <v>94616</v>
      </c>
      <c r="B4369" s="104" t="s">
        <v>4428</v>
      </c>
      <c r="C4369" s="104" t="s">
        <v>183</v>
      </c>
      <c r="D4369" s="129" t="s">
        <v>23051</v>
      </c>
    </row>
    <row r="4370" spans="1:4">
      <c r="A4370" s="105">
        <v>94617</v>
      </c>
      <c r="B4370" s="104" t="s">
        <v>4429</v>
      </c>
      <c r="C4370" s="104" t="s">
        <v>183</v>
      </c>
      <c r="D4370" s="129" t="s">
        <v>23052</v>
      </c>
    </row>
    <row r="4371" spans="1:4">
      <c r="A4371" s="105">
        <v>94618</v>
      </c>
      <c r="B4371" s="104" t="s">
        <v>4430</v>
      </c>
      <c r="C4371" s="104" t="s">
        <v>183</v>
      </c>
      <c r="D4371" s="129" t="s">
        <v>23053</v>
      </c>
    </row>
    <row r="4372" spans="1:4">
      <c r="A4372" s="105">
        <v>94620</v>
      </c>
      <c r="B4372" s="104" t="s">
        <v>4431</v>
      </c>
      <c r="C4372" s="104" t="s">
        <v>183</v>
      </c>
      <c r="D4372" s="129" t="s">
        <v>23054</v>
      </c>
    </row>
    <row r="4373" spans="1:4">
      <c r="A4373" s="105">
        <v>94622</v>
      </c>
      <c r="B4373" s="104" t="s">
        <v>4432</v>
      </c>
      <c r="C4373" s="104" t="s">
        <v>183</v>
      </c>
      <c r="D4373" s="129" t="s">
        <v>23055</v>
      </c>
    </row>
    <row r="4374" spans="1:4">
      <c r="A4374" s="105">
        <v>94623</v>
      </c>
      <c r="B4374" s="104" t="s">
        <v>4433</v>
      </c>
      <c r="C4374" s="104" t="s">
        <v>183</v>
      </c>
      <c r="D4374" s="129" t="s">
        <v>23056</v>
      </c>
    </row>
    <row r="4375" spans="1:4">
      <c r="A4375" s="105">
        <v>94624</v>
      </c>
      <c r="B4375" s="104" t="s">
        <v>4434</v>
      </c>
      <c r="C4375" s="104" t="s">
        <v>183</v>
      </c>
      <c r="D4375" s="129" t="s">
        <v>23057</v>
      </c>
    </row>
    <row r="4376" spans="1:4">
      <c r="A4376" s="105">
        <v>94625</v>
      </c>
      <c r="B4376" s="104" t="s">
        <v>4435</v>
      </c>
      <c r="C4376" s="104" t="s">
        <v>183</v>
      </c>
      <c r="D4376" s="129" t="s">
        <v>23058</v>
      </c>
    </row>
    <row r="4377" spans="1:4">
      <c r="A4377" s="105">
        <v>94656</v>
      </c>
      <c r="B4377" s="104" t="s">
        <v>4436</v>
      </c>
      <c r="C4377" s="104" t="s">
        <v>183</v>
      </c>
      <c r="D4377" s="129" t="s">
        <v>15630</v>
      </c>
    </row>
    <row r="4378" spans="1:4">
      <c r="A4378" s="105">
        <v>94657</v>
      </c>
      <c r="B4378" s="104" t="s">
        <v>4437</v>
      </c>
      <c r="C4378" s="104" t="s">
        <v>183</v>
      </c>
      <c r="D4378" s="129" t="s">
        <v>23059</v>
      </c>
    </row>
    <row r="4379" spans="1:4">
      <c r="A4379" s="105">
        <v>94658</v>
      </c>
      <c r="B4379" s="104" t="s">
        <v>4438</v>
      </c>
      <c r="C4379" s="104" t="s">
        <v>183</v>
      </c>
      <c r="D4379" s="129" t="s">
        <v>22059</v>
      </c>
    </row>
    <row r="4380" spans="1:4">
      <c r="A4380" s="105">
        <v>94659</v>
      </c>
      <c r="B4380" s="104" t="s">
        <v>4439</v>
      </c>
      <c r="C4380" s="104" t="s">
        <v>183</v>
      </c>
      <c r="D4380" s="129" t="s">
        <v>15547</v>
      </c>
    </row>
    <row r="4381" spans="1:4">
      <c r="A4381" s="105">
        <v>94660</v>
      </c>
      <c r="B4381" s="104" t="s">
        <v>4440</v>
      </c>
      <c r="C4381" s="104" t="s">
        <v>183</v>
      </c>
      <c r="D4381" s="129" t="s">
        <v>18063</v>
      </c>
    </row>
    <row r="4382" spans="1:4">
      <c r="A4382" s="105">
        <v>94661</v>
      </c>
      <c r="B4382" s="104" t="s">
        <v>4441</v>
      </c>
      <c r="C4382" s="104" t="s">
        <v>183</v>
      </c>
      <c r="D4382" s="129" t="s">
        <v>23060</v>
      </c>
    </row>
    <row r="4383" spans="1:4">
      <c r="A4383" s="105">
        <v>94662</v>
      </c>
      <c r="B4383" s="104" t="s">
        <v>4442</v>
      </c>
      <c r="C4383" s="104" t="s">
        <v>183</v>
      </c>
      <c r="D4383" s="129" t="s">
        <v>15660</v>
      </c>
    </row>
    <row r="4384" spans="1:4">
      <c r="A4384" s="105">
        <v>94663</v>
      </c>
      <c r="B4384" s="104" t="s">
        <v>4443</v>
      </c>
      <c r="C4384" s="104" t="s">
        <v>183</v>
      </c>
      <c r="D4384" s="129" t="s">
        <v>16590</v>
      </c>
    </row>
    <row r="4385" spans="1:4">
      <c r="A4385" s="105">
        <v>94664</v>
      </c>
      <c r="B4385" s="104" t="s">
        <v>4444</v>
      </c>
      <c r="C4385" s="104" t="s">
        <v>183</v>
      </c>
      <c r="D4385" s="129" t="s">
        <v>20718</v>
      </c>
    </row>
    <row r="4386" spans="1:4">
      <c r="A4386" s="105">
        <v>94665</v>
      </c>
      <c r="B4386" s="104" t="s">
        <v>4445</v>
      </c>
      <c r="C4386" s="104" t="s">
        <v>183</v>
      </c>
      <c r="D4386" s="129" t="s">
        <v>23061</v>
      </c>
    </row>
    <row r="4387" spans="1:4">
      <c r="A4387" s="105">
        <v>94666</v>
      </c>
      <c r="B4387" s="104" t="s">
        <v>4446</v>
      </c>
      <c r="C4387" s="104" t="s">
        <v>183</v>
      </c>
      <c r="D4387" s="129" t="s">
        <v>19591</v>
      </c>
    </row>
    <row r="4388" spans="1:4">
      <c r="A4388" s="105">
        <v>94667</v>
      </c>
      <c r="B4388" s="104" t="s">
        <v>4447</v>
      </c>
      <c r="C4388" s="104" t="s">
        <v>183</v>
      </c>
      <c r="D4388" s="129" t="s">
        <v>17209</v>
      </c>
    </row>
    <row r="4389" spans="1:4">
      <c r="A4389" s="105">
        <v>94668</v>
      </c>
      <c r="B4389" s="104" t="s">
        <v>4448</v>
      </c>
      <c r="C4389" s="104" t="s">
        <v>183</v>
      </c>
      <c r="D4389" s="129" t="s">
        <v>15918</v>
      </c>
    </row>
    <row r="4390" spans="1:4">
      <c r="A4390" s="105">
        <v>94669</v>
      </c>
      <c r="B4390" s="104" t="s">
        <v>4449</v>
      </c>
      <c r="C4390" s="104" t="s">
        <v>183</v>
      </c>
      <c r="D4390" s="129" t="s">
        <v>19320</v>
      </c>
    </row>
    <row r="4391" spans="1:4">
      <c r="A4391" s="105">
        <v>94670</v>
      </c>
      <c r="B4391" s="104" t="s">
        <v>4450</v>
      </c>
      <c r="C4391" s="104" t="s">
        <v>183</v>
      </c>
      <c r="D4391" s="129" t="s">
        <v>22786</v>
      </c>
    </row>
    <row r="4392" spans="1:4">
      <c r="A4392" s="105">
        <v>94671</v>
      </c>
      <c r="B4392" s="104" t="s">
        <v>4451</v>
      </c>
      <c r="C4392" s="104" t="s">
        <v>183</v>
      </c>
      <c r="D4392" s="129" t="s">
        <v>23062</v>
      </c>
    </row>
    <row r="4393" spans="1:4">
      <c r="A4393" s="105">
        <v>94672</v>
      </c>
      <c r="B4393" s="104" t="s">
        <v>4452</v>
      </c>
      <c r="C4393" s="104" t="s">
        <v>183</v>
      </c>
      <c r="D4393" s="129" t="s">
        <v>20380</v>
      </c>
    </row>
    <row r="4394" spans="1:4">
      <c r="A4394" s="105">
        <v>94673</v>
      </c>
      <c r="B4394" s="104" t="s">
        <v>4453</v>
      </c>
      <c r="C4394" s="104" t="s">
        <v>183</v>
      </c>
      <c r="D4394" s="129" t="s">
        <v>15650</v>
      </c>
    </row>
    <row r="4395" spans="1:4">
      <c r="A4395" s="105">
        <v>94674</v>
      </c>
      <c r="B4395" s="104" t="s">
        <v>4454</v>
      </c>
      <c r="C4395" s="104" t="s">
        <v>183</v>
      </c>
      <c r="D4395" s="129" t="s">
        <v>19268</v>
      </c>
    </row>
    <row r="4396" spans="1:4">
      <c r="A4396" s="105">
        <v>94675</v>
      </c>
      <c r="B4396" s="104" t="s">
        <v>4455</v>
      </c>
      <c r="C4396" s="104" t="s">
        <v>183</v>
      </c>
      <c r="D4396" s="129" t="s">
        <v>18074</v>
      </c>
    </row>
    <row r="4397" spans="1:4">
      <c r="A4397" s="105">
        <v>94676</v>
      </c>
      <c r="B4397" s="104" t="s">
        <v>4456</v>
      </c>
      <c r="C4397" s="104" t="s">
        <v>183</v>
      </c>
      <c r="D4397" s="129" t="s">
        <v>16956</v>
      </c>
    </row>
    <row r="4398" spans="1:4">
      <c r="A4398" s="105">
        <v>94677</v>
      </c>
      <c r="B4398" s="104" t="s">
        <v>4457</v>
      </c>
      <c r="C4398" s="104" t="s">
        <v>183</v>
      </c>
      <c r="D4398" s="129" t="s">
        <v>21667</v>
      </c>
    </row>
    <row r="4399" spans="1:4">
      <c r="A4399" s="105">
        <v>94678</v>
      </c>
      <c r="B4399" s="104" t="s">
        <v>4458</v>
      </c>
      <c r="C4399" s="104" t="s">
        <v>183</v>
      </c>
      <c r="D4399" s="129" t="s">
        <v>15271</v>
      </c>
    </row>
    <row r="4400" spans="1:4">
      <c r="A4400" s="105">
        <v>94679</v>
      </c>
      <c r="B4400" s="104" t="s">
        <v>4459</v>
      </c>
      <c r="C4400" s="104" t="s">
        <v>183</v>
      </c>
      <c r="D4400" s="129" t="s">
        <v>23063</v>
      </c>
    </row>
    <row r="4401" spans="1:4">
      <c r="A4401" s="105">
        <v>94680</v>
      </c>
      <c r="B4401" s="104" t="s">
        <v>4460</v>
      </c>
      <c r="C4401" s="104" t="s">
        <v>183</v>
      </c>
      <c r="D4401" s="129" t="s">
        <v>17465</v>
      </c>
    </row>
    <row r="4402" spans="1:4">
      <c r="A4402" s="105">
        <v>94681</v>
      </c>
      <c r="B4402" s="104" t="s">
        <v>4461</v>
      </c>
      <c r="C4402" s="104" t="s">
        <v>183</v>
      </c>
      <c r="D4402" s="129" t="s">
        <v>18240</v>
      </c>
    </row>
    <row r="4403" spans="1:4">
      <c r="A4403" s="105">
        <v>94682</v>
      </c>
      <c r="B4403" s="104" t="s">
        <v>4462</v>
      </c>
      <c r="C4403" s="104" t="s">
        <v>183</v>
      </c>
      <c r="D4403" s="129" t="s">
        <v>23064</v>
      </c>
    </row>
    <row r="4404" spans="1:4">
      <c r="A4404" s="105">
        <v>94683</v>
      </c>
      <c r="B4404" s="104" t="s">
        <v>4463</v>
      </c>
      <c r="C4404" s="104" t="s">
        <v>183</v>
      </c>
      <c r="D4404" s="129" t="s">
        <v>23065</v>
      </c>
    </row>
    <row r="4405" spans="1:4">
      <c r="A4405" s="105">
        <v>94684</v>
      </c>
      <c r="B4405" s="104" t="s">
        <v>4464</v>
      </c>
      <c r="C4405" s="104" t="s">
        <v>183</v>
      </c>
      <c r="D4405" s="129" t="s">
        <v>23066</v>
      </c>
    </row>
    <row r="4406" spans="1:4">
      <c r="A4406" s="105">
        <v>94685</v>
      </c>
      <c r="B4406" s="104" t="s">
        <v>4465</v>
      </c>
      <c r="C4406" s="104" t="s">
        <v>183</v>
      </c>
      <c r="D4406" s="129" t="s">
        <v>23067</v>
      </c>
    </row>
    <row r="4407" spans="1:4">
      <c r="A4407" s="105">
        <v>94686</v>
      </c>
      <c r="B4407" s="104" t="s">
        <v>4466</v>
      </c>
      <c r="C4407" s="104" t="s">
        <v>183</v>
      </c>
      <c r="D4407" s="129" t="s">
        <v>18926</v>
      </c>
    </row>
    <row r="4408" spans="1:4">
      <c r="A4408" s="105">
        <v>94687</v>
      </c>
      <c r="B4408" s="104" t="s">
        <v>4467</v>
      </c>
      <c r="C4408" s="104" t="s">
        <v>183</v>
      </c>
      <c r="D4408" s="129" t="s">
        <v>20844</v>
      </c>
    </row>
    <row r="4409" spans="1:4">
      <c r="A4409" s="105">
        <v>94688</v>
      </c>
      <c r="B4409" s="104" t="s">
        <v>4468</v>
      </c>
      <c r="C4409" s="104" t="s">
        <v>183</v>
      </c>
      <c r="D4409" s="129" t="s">
        <v>22700</v>
      </c>
    </row>
    <row r="4410" spans="1:4">
      <c r="A4410" s="105">
        <v>94689</v>
      </c>
      <c r="B4410" s="104" t="s">
        <v>4469</v>
      </c>
      <c r="C4410" s="104" t="s">
        <v>183</v>
      </c>
      <c r="D4410" s="129" t="s">
        <v>23068</v>
      </c>
    </row>
    <row r="4411" spans="1:4">
      <c r="A4411" s="105">
        <v>94690</v>
      </c>
      <c r="B4411" s="104" t="s">
        <v>4470</v>
      </c>
      <c r="C4411" s="104" t="s">
        <v>183</v>
      </c>
      <c r="D4411" s="129" t="s">
        <v>21874</v>
      </c>
    </row>
    <row r="4412" spans="1:4">
      <c r="A4412" s="105">
        <v>94691</v>
      </c>
      <c r="B4412" s="104" t="s">
        <v>4471</v>
      </c>
      <c r="C4412" s="104" t="s">
        <v>183</v>
      </c>
      <c r="D4412" s="129" t="s">
        <v>17250</v>
      </c>
    </row>
    <row r="4413" spans="1:4">
      <c r="A4413" s="105">
        <v>94692</v>
      </c>
      <c r="B4413" s="104" t="s">
        <v>4472</v>
      </c>
      <c r="C4413" s="104" t="s">
        <v>183</v>
      </c>
      <c r="D4413" s="129" t="s">
        <v>23069</v>
      </c>
    </row>
    <row r="4414" spans="1:4">
      <c r="A4414" s="105">
        <v>94693</v>
      </c>
      <c r="B4414" s="104" t="s">
        <v>4473</v>
      </c>
      <c r="C4414" s="104" t="s">
        <v>183</v>
      </c>
      <c r="D4414" s="129" t="s">
        <v>23070</v>
      </c>
    </row>
    <row r="4415" spans="1:4">
      <c r="A4415" s="105">
        <v>94694</v>
      </c>
      <c r="B4415" s="104" t="s">
        <v>4474</v>
      </c>
      <c r="C4415" s="104" t="s">
        <v>183</v>
      </c>
      <c r="D4415" s="129" t="s">
        <v>19228</v>
      </c>
    </row>
    <row r="4416" spans="1:4">
      <c r="A4416" s="105">
        <v>94695</v>
      </c>
      <c r="B4416" s="104" t="s">
        <v>4475</v>
      </c>
      <c r="C4416" s="104" t="s">
        <v>183</v>
      </c>
      <c r="D4416" s="129" t="s">
        <v>22634</v>
      </c>
    </row>
    <row r="4417" spans="1:4">
      <c r="A4417" s="105">
        <v>94696</v>
      </c>
      <c r="B4417" s="104" t="s">
        <v>4476</v>
      </c>
      <c r="C4417" s="104" t="s">
        <v>183</v>
      </c>
      <c r="D4417" s="129" t="s">
        <v>18512</v>
      </c>
    </row>
    <row r="4418" spans="1:4">
      <c r="A4418" s="105">
        <v>94697</v>
      </c>
      <c r="B4418" s="104" t="s">
        <v>4477</v>
      </c>
      <c r="C4418" s="104" t="s">
        <v>183</v>
      </c>
      <c r="D4418" s="129" t="s">
        <v>23071</v>
      </c>
    </row>
    <row r="4419" spans="1:4">
      <c r="A4419" s="105">
        <v>94698</v>
      </c>
      <c r="B4419" s="104" t="s">
        <v>4478</v>
      </c>
      <c r="C4419" s="104" t="s">
        <v>183</v>
      </c>
      <c r="D4419" s="129" t="s">
        <v>23072</v>
      </c>
    </row>
    <row r="4420" spans="1:4">
      <c r="A4420" s="105">
        <v>94699</v>
      </c>
      <c r="B4420" s="104" t="s">
        <v>4479</v>
      </c>
      <c r="C4420" s="104" t="s">
        <v>183</v>
      </c>
      <c r="D4420" s="129" t="s">
        <v>23073</v>
      </c>
    </row>
    <row r="4421" spans="1:4">
      <c r="A4421" s="105">
        <v>94700</v>
      </c>
      <c r="B4421" s="104" t="s">
        <v>4480</v>
      </c>
      <c r="C4421" s="104" t="s">
        <v>183</v>
      </c>
      <c r="D4421" s="129" t="s">
        <v>23074</v>
      </c>
    </row>
    <row r="4422" spans="1:4">
      <c r="A4422" s="105">
        <v>94701</v>
      </c>
      <c r="B4422" s="104" t="s">
        <v>4481</v>
      </c>
      <c r="C4422" s="104" t="s">
        <v>183</v>
      </c>
      <c r="D4422" s="129" t="s">
        <v>23075</v>
      </c>
    </row>
    <row r="4423" spans="1:4">
      <c r="A4423" s="105">
        <v>94702</v>
      </c>
      <c r="B4423" s="104" t="s">
        <v>4482</v>
      </c>
      <c r="C4423" s="104" t="s">
        <v>183</v>
      </c>
      <c r="D4423" s="129" t="s">
        <v>23076</v>
      </c>
    </row>
    <row r="4424" spans="1:4">
      <c r="A4424" s="105">
        <v>94703</v>
      </c>
      <c r="B4424" s="104" t="s">
        <v>4483</v>
      </c>
      <c r="C4424" s="104" t="s">
        <v>183</v>
      </c>
      <c r="D4424" s="129" t="s">
        <v>23077</v>
      </c>
    </row>
    <row r="4425" spans="1:4">
      <c r="A4425" s="105">
        <v>94704</v>
      </c>
      <c r="B4425" s="104" t="s">
        <v>4484</v>
      </c>
      <c r="C4425" s="104" t="s">
        <v>183</v>
      </c>
      <c r="D4425" s="129" t="s">
        <v>22131</v>
      </c>
    </row>
    <row r="4426" spans="1:4">
      <c r="A4426" s="105">
        <v>94705</v>
      </c>
      <c r="B4426" s="104" t="s">
        <v>4485</v>
      </c>
      <c r="C4426" s="104" t="s">
        <v>183</v>
      </c>
      <c r="D4426" s="129" t="s">
        <v>18647</v>
      </c>
    </row>
    <row r="4427" spans="1:4">
      <c r="A4427" s="105">
        <v>94706</v>
      </c>
      <c r="B4427" s="104" t="s">
        <v>4486</v>
      </c>
      <c r="C4427" s="104" t="s">
        <v>183</v>
      </c>
      <c r="D4427" s="129" t="s">
        <v>23078</v>
      </c>
    </row>
    <row r="4428" spans="1:4">
      <c r="A4428" s="105">
        <v>94707</v>
      </c>
      <c r="B4428" s="104" t="s">
        <v>4487</v>
      </c>
      <c r="C4428" s="104" t="s">
        <v>183</v>
      </c>
      <c r="D4428" s="129" t="s">
        <v>23079</v>
      </c>
    </row>
    <row r="4429" spans="1:4">
      <c r="A4429" s="105">
        <v>94708</v>
      </c>
      <c r="B4429" s="104" t="s">
        <v>4488</v>
      </c>
      <c r="C4429" s="104" t="s">
        <v>183</v>
      </c>
      <c r="D4429" s="129" t="s">
        <v>22817</v>
      </c>
    </row>
    <row r="4430" spans="1:4">
      <c r="A4430" s="105">
        <v>94709</v>
      </c>
      <c r="B4430" s="104" t="s">
        <v>4489</v>
      </c>
      <c r="C4430" s="104" t="s">
        <v>183</v>
      </c>
      <c r="D4430" s="129" t="s">
        <v>23080</v>
      </c>
    </row>
    <row r="4431" spans="1:4">
      <c r="A4431" s="105">
        <v>94710</v>
      </c>
      <c r="B4431" s="104" t="s">
        <v>4490</v>
      </c>
      <c r="C4431" s="104" t="s">
        <v>183</v>
      </c>
      <c r="D4431" s="129" t="s">
        <v>23081</v>
      </c>
    </row>
    <row r="4432" spans="1:4">
      <c r="A4432" s="105">
        <v>94711</v>
      </c>
      <c r="B4432" s="104" t="s">
        <v>4491</v>
      </c>
      <c r="C4432" s="104" t="s">
        <v>183</v>
      </c>
      <c r="D4432" s="129" t="s">
        <v>19440</v>
      </c>
    </row>
    <row r="4433" spans="1:4">
      <c r="A4433" s="105">
        <v>94712</v>
      </c>
      <c r="B4433" s="104" t="s">
        <v>4492</v>
      </c>
      <c r="C4433" s="104" t="s">
        <v>183</v>
      </c>
      <c r="D4433" s="129" t="s">
        <v>23082</v>
      </c>
    </row>
    <row r="4434" spans="1:4">
      <c r="A4434" s="105">
        <v>94713</v>
      </c>
      <c r="B4434" s="104" t="s">
        <v>4493</v>
      </c>
      <c r="C4434" s="104" t="s">
        <v>183</v>
      </c>
      <c r="D4434" s="129" t="s">
        <v>23083</v>
      </c>
    </row>
    <row r="4435" spans="1:4">
      <c r="A4435" s="105">
        <v>94714</v>
      </c>
      <c r="B4435" s="104" t="s">
        <v>4494</v>
      </c>
      <c r="C4435" s="104" t="s">
        <v>183</v>
      </c>
      <c r="D4435" s="129" t="s">
        <v>23084</v>
      </c>
    </row>
    <row r="4436" spans="1:4">
      <c r="A4436" s="105">
        <v>94715</v>
      </c>
      <c r="B4436" s="104" t="s">
        <v>4495</v>
      </c>
      <c r="C4436" s="104" t="s">
        <v>183</v>
      </c>
      <c r="D4436" s="129" t="s">
        <v>23085</v>
      </c>
    </row>
    <row r="4437" spans="1:4">
      <c r="A4437" s="105">
        <v>94724</v>
      </c>
      <c r="B4437" s="104" t="s">
        <v>4496</v>
      </c>
      <c r="C4437" s="104" t="s">
        <v>183</v>
      </c>
      <c r="D4437" s="129" t="s">
        <v>23086</v>
      </c>
    </row>
    <row r="4438" spans="1:4">
      <c r="A4438" s="105">
        <v>94725</v>
      </c>
      <c r="B4438" s="104" t="s">
        <v>4497</v>
      </c>
      <c r="C4438" s="104" t="s">
        <v>183</v>
      </c>
      <c r="D4438" s="129" t="s">
        <v>19265</v>
      </c>
    </row>
    <row r="4439" spans="1:4">
      <c r="A4439" s="105">
        <v>94726</v>
      </c>
      <c r="B4439" s="104" t="s">
        <v>4498</v>
      </c>
      <c r="C4439" s="104" t="s">
        <v>183</v>
      </c>
      <c r="D4439" s="129" t="s">
        <v>23087</v>
      </c>
    </row>
    <row r="4440" spans="1:4">
      <c r="A4440" s="105">
        <v>94727</v>
      </c>
      <c r="B4440" s="104" t="s">
        <v>4499</v>
      </c>
      <c r="C4440" s="104" t="s">
        <v>183</v>
      </c>
      <c r="D4440" s="129" t="s">
        <v>15222</v>
      </c>
    </row>
    <row r="4441" spans="1:4">
      <c r="A4441" s="105">
        <v>94728</v>
      </c>
      <c r="B4441" s="104" t="s">
        <v>4500</v>
      </c>
      <c r="C4441" s="104" t="s">
        <v>183</v>
      </c>
      <c r="D4441" s="129" t="s">
        <v>23088</v>
      </c>
    </row>
    <row r="4442" spans="1:4">
      <c r="A4442" s="105">
        <v>94729</v>
      </c>
      <c r="B4442" s="104" t="s">
        <v>4501</v>
      </c>
      <c r="C4442" s="104" t="s">
        <v>183</v>
      </c>
      <c r="D4442" s="129" t="s">
        <v>19142</v>
      </c>
    </row>
    <row r="4443" spans="1:4">
      <c r="A4443" s="105">
        <v>94730</v>
      </c>
      <c r="B4443" s="104" t="s">
        <v>4502</v>
      </c>
      <c r="C4443" s="104" t="s">
        <v>183</v>
      </c>
      <c r="D4443" s="129" t="s">
        <v>23089</v>
      </c>
    </row>
    <row r="4444" spans="1:4">
      <c r="A4444" s="105">
        <v>94731</v>
      </c>
      <c r="B4444" s="104" t="s">
        <v>4503</v>
      </c>
      <c r="C4444" s="104" t="s">
        <v>183</v>
      </c>
      <c r="D4444" s="129" t="s">
        <v>22316</v>
      </c>
    </row>
    <row r="4445" spans="1:4">
      <c r="A4445" s="105">
        <v>94733</v>
      </c>
      <c r="B4445" s="104" t="s">
        <v>4504</v>
      </c>
      <c r="C4445" s="104" t="s">
        <v>183</v>
      </c>
      <c r="D4445" s="129" t="s">
        <v>21746</v>
      </c>
    </row>
    <row r="4446" spans="1:4">
      <c r="A4446" s="105">
        <v>94737</v>
      </c>
      <c r="B4446" s="104" t="s">
        <v>4505</v>
      </c>
      <c r="C4446" s="104" t="s">
        <v>183</v>
      </c>
      <c r="D4446" s="129" t="s">
        <v>23090</v>
      </c>
    </row>
    <row r="4447" spans="1:4">
      <c r="A4447" s="105">
        <v>94740</v>
      </c>
      <c r="B4447" s="104" t="s">
        <v>4506</v>
      </c>
      <c r="C4447" s="104" t="s">
        <v>183</v>
      </c>
      <c r="D4447" s="129" t="s">
        <v>22705</v>
      </c>
    </row>
    <row r="4448" spans="1:4">
      <c r="A4448" s="105">
        <v>94741</v>
      </c>
      <c r="B4448" s="104" t="s">
        <v>4507</v>
      </c>
      <c r="C4448" s="104" t="s">
        <v>183</v>
      </c>
      <c r="D4448" s="129" t="s">
        <v>23091</v>
      </c>
    </row>
    <row r="4449" spans="1:4">
      <c r="A4449" s="105">
        <v>94742</v>
      </c>
      <c r="B4449" s="104" t="s">
        <v>4508</v>
      </c>
      <c r="C4449" s="104" t="s">
        <v>183</v>
      </c>
      <c r="D4449" s="129" t="s">
        <v>23092</v>
      </c>
    </row>
    <row r="4450" spans="1:4">
      <c r="A4450" s="105">
        <v>94743</v>
      </c>
      <c r="B4450" s="104" t="s">
        <v>4509</v>
      </c>
      <c r="C4450" s="104" t="s">
        <v>183</v>
      </c>
      <c r="D4450" s="129" t="s">
        <v>23093</v>
      </c>
    </row>
    <row r="4451" spans="1:4">
      <c r="A4451" s="105">
        <v>94744</v>
      </c>
      <c r="B4451" s="104" t="s">
        <v>4510</v>
      </c>
      <c r="C4451" s="104" t="s">
        <v>183</v>
      </c>
      <c r="D4451" s="129" t="s">
        <v>19487</v>
      </c>
    </row>
    <row r="4452" spans="1:4">
      <c r="A4452" s="105">
        <v>94746</v>
      </c>
      <c r="B4452" s="104" t="s">
        <v>4511</v>
      </c>
      <c r="C4452" s="104" t="s">
        <v>183</v>
      </c>
      <c r="D4452" s="129" t="s">
        <v>23094</v>
      </c>
    </row>
    <row r="4453" spans="1:4">
      <c r="A4453" s="105">
        <v>94748</v>
      </c>
      <c r="B4453" s="104" t="s">
        <v>4512</v>
      </c>
      <c r="C4453" s="104" t="s">
        <v>183</v>
      </c>
      <c r="D4453" s="129" t="s">
        <v>23095</v>
      </c>
    </row>
    <row r="4454" spans="1:4">
      <c r="A4454" s="105">
        <v>94750</v>
      </c>
      <c r="B4454" s="104" t="s">
        <v>4513</v>
      </c>
      <c r="C4454" s="104" t="s">
        <v>183</v>
      </c>
      <c r="D4454" s="129" t="s">
        <v>23096</v>
      </c>
    </row>
    <row r="4455" spans="1:4">
      <c r="A4455" s="105">
        <v>94752</v>
      </c>
      <c r="B4455" s="104" t="s">
        <v>4514</v>
      </c>
      <c r="C4455" s="104" t="s">
        <v>183</v>
      </c>
      <c r="D4455" s="129" t="s">
        <v>23097</v>
      </c>
    </row>
    <row r="4456" spans="1:4">
      <c r="A4456" s="105">
        <v>94756</v>
      </c>
      <c r="B4456" s="104" t="s">
        <v>4515</v>
      </c>
      <c r="C4456" s="104" t="s">
        <v>183</v>
      </c>
      <c r="D4456" s="129" t="s">
        <v>18636</v>
      </c>
    </row>
    <row r="4457" spans="1:4">
      <c r="A4457" s="105">
        <v>94757</v>
      </c>
      <c r="B4457" s="104" t="s">
        <v>4516</v>
      </c>
      <c r="C4457" s="104" t="s">
        <v>183</v>
      </c>
      <c r="D4457" s="129" t="s">
        <v>17146</v>
      </c>
    </row>
    <row r="4458" spans="1:4">
      <c r="A4458" s="105">
        <v>94758</v>
      </c>
      <c r="B4458" s="104" t="s">
        <v>4517</v>
      </c>
      <c r="C4458" s="104" t="s">
        <v>183</v>
      </c>
      <c r="D4458" s="129" t="s">
        <v>23098</v>
      </c>
    </row>
    <row r="4459" spans="1:4">
      <c r="A4459" s="105">
        <v>94759</v>
      </c>
      <c r="B4459" s="104" t="s">
        <v>4518</v>
      </c>
      <c r="C4459" s="104" t="s">
        <v>183</v>
      </c>
      <c r="D4459" s="129" t="s">
        <v>23099</v>
      </c>
    </row>
    <row r="4460" spans="1:4">
      <c r="A4460" s="105">
        <v>94760</v>
      </c>
      <c r="B4460" s="104" t="s">
        <v>4519</v>
      </c>
      <c r="C4460" s="104" t="s">
        <v>183</v>
      </c>
      <c r="D4460" s="129" t="s">
        <v>23100</v>
      </c>
    </row>
    <row r="4461" spans="1:4">
      <c r="A4461" s="105">
        <v>94761</v>
      </c>
      <c r="B4461" s="104" t="s">
        <v>4520</v>
      </c>
      <c r="C4461" s="104" t="s">
        <v>183</v>
      </c>
      <c r="D4461" s="129" t="s">
        <v>23101</v>
      </c>
    </row>
    <row r="4462" spans="1:4">
      <c r="A4462" s="105">
        <v>94762</v>
      </c>
      <c r="B4462" s="104" t="s">
        <v>4521</v>
      </c>
      <c r="C4462" s="104" t="s">
        <v>183</v>
      </c>
      <c r="D4462" s="129" t="s">
        <v>23102</v>
      </c>
    </row>
    <row r="4463" spans="1:4">
      <c r="A4463" s="105">
        <v>94783</v>
      </c>
      <c r="B4463" s="104" t="s">
        <v>4522</v>
      </c>
      <c r="C4463" s="104" t="s">
        <v>183</v>
      </c>
      <c r="D4463" s="129" t="s">
        <v>22452</v>
      </c>
    </row>
    <row r="4464" spans="1:4">
      <c r="A4464" s="105">
        <v>94785</v>
      </c>
      <c r="B4464" s="104" t="s">
        <v>4523</v>
      </c>
      <c r="C4464" s="104" t="s">
        <v>183</v>
      </c>
      <c r="D4464" s="129" t="s">
        <v>16000</v>
      </c>
    </row>
    <row r="4465" spans="1:4">
      <c r="A4465" s="105">
        <v>94786</v>
      </c>
      <c r="B4465" s="104" t="s">
        <v>4524</v>
      </c>
      <c r="C4465" s="104" t="s">
        <v>183</v>
      </c>
      <c r="D4465" s="129" t="s">
        <v>23103</v>
      </c>
    </row>
    <row r="4466" spans="1:4">
      <c r="A4466" s="105">
        <v>94787</v>
      </c>
      <c r="B4466" s="104" t="s">
        <v>4525</v>
      </c>
      <c r="C4466" s="104" t="s">
        <v>183</v>
      </c>
      <c r="D4466" s="129" t="s">
        <v>23104</v>
      </c>
    </row>
    <row r="4467" spans="1:4">
      <c r="A4467" s="105">
        <v>94788</v>
      </c>
      <c r="B4467" s="104" t="s">
        <v>4526</v>
      </c>
      <c r="C4467" s="104" t="s">
        <v>183</v>
      </c>
      <c r="D4467" s="129" t="s">
        <v>23105</v>
      </c>
    </row>
    <row r="4468" spans="1:4">
      <c r="A4468" s="105">
        <v>94789</v>
      </c>
      <c r="B4468" s="104" t="s">
        <v>4527</v>
      </c>
      <c r="C4468" s="104" t="s">
        <v>183</v>
      </c>
      <c r="D4468" s="129" t="s">
        <v>23106</v>
      </c>
    </row>
    <row r="4469" spans="1:4">
      <c r="A4469" s="105">
        <v>94790</v>
      </c>
      <c r="B4469" s="104" t="s">
        <v>4528</v>
      </c>
      <c r="C4469" s="104" t="s">
        <v>183</v>
      </c>
      <c r="D4469" s="129" t="s">
        <v>23107</v>
      </c>
    </row>
    <row r="4470" spans="1:4">
      <c r="A4470" s="105">
        <v>94791</v>
      </c>
      <c r="B4470" s="104" t="s">
        <v>4529</v>
      </c>
      <c r="C4470" s="104" t="s">
        <v>183</v>
      </c>
      <c r="D4470" s="129" t="s">
        <v>23108</v>
      </c>
    </row>
    <row r="4471" spans="1:4">
      <c r="A4471" s="105">
        <v>94863</v>
      </c>
      <c r="B4471" s="104" t="s">
        <v>4530</v>
      </c>
      <c r="C4471" s="104" t="s">
        <v>183</v>
      </c>
      <c r="D4471" s="129" t="s">
        <v>23109</v>
      </c>
    </row>
    <row r="4472" spans="1:4">
      <c r="A4472" s="105">
        <v>95141</v>
      </c>
      <c r="B4472" s="104" t="s">
        <v>4531</v>
      </c>
      <c r="C4472" s="104" t="s">
        <v>183</v>
      </c>
      <c r="D4472" s="129" t="s">
        <v>23110</v>
      </c>
    </row>
    <row r="4473" spans="1:4">
      <c r="A4473" s="105">
        <v>95237</v>
      </c>
      <c r="B4473" s="104" t="s">
        <v>4532</v>
      </c>
      <c r="C4473" s="104" t="s">
        <v>183</v>
      </c>
      <c r="D4473" s="129" t="s">
        <v>23111</v>
      </c>
    </row>
    <row r="4474" spans="1:4">
      <c r="A4474" s="105">
        <v>95693</v>
      </c>
      <c r="B4474" s="104" t="s">
        <v>4533</v>
      </c>
      <c r="C4474" s="104" t="s">
        <v>183</v>
      </c>
      <c r="D4474" s="129" t="s">
        <v>23112</v>
      </c>
    </row>
    <row r="4475" spans="1:4">
      <c r="A4475" s="105">
        <v>95694</v>
      </c>
      <c r="B4475" s="104" t="s">
        <v>4534</v>
      </c>
      <c r="C4475" s="104" t="s">
        <v>183</v>
      </c>
      <c r="D4475" s="129" t="s">
        <v>23113</v>
      </c>
    </row>
    <row r="4476" spans="1:4">
      <c r="A4476" s="105">
        <v>95695</v>
      </c>
      <c r="B4476" s="104" t="s">
        <v>4535</v>
      </c>
      <c r="C4476" s="104" t="s">
        <v>183</v>
      </c>
      <c r="D4476" s="129" t="s">
        <v>23114</v>
      </c>
    </row>
    <row r="4477" spans="1:4">
      <c r="A4477" s="105">
        <v>95696</v>
      </c>
      <c r="B4477" s="104" t="s">
        <v>4536</v>
      </c>
      <c r="C4477" s="104" t="s">
        <v>183</v>
      </c>
      <c r="D4477" s="129" t="s">
        <v>23115</v>
      </c>
    </row>
    <row r="4478" spans="1:4">
      <c r="A4478" s="105">
        <v>96637</v>
      </c>
      <c r="B4478" s="104" t="s">
        <v>4537</v>
      </c>
      <c r="C4478" s="104" t="s">
        <v>183</v>
      </c>
      <c r="D4478" s="129" t="s">
        <v>14857</v>
      </c>
    </row>
    <row r="4479" spans="1:4">
      <c r="A4479" s="105">
        <v>96638</v>
      </c>
      <c r="B4479" s="104" t="s">
        <v>4538</v>
      </c>
      <c r="C4479" s="104" t="s">
        <v>183</v>
      </c>
      <c r="D4479" s="129" t="s">
        <v>16910</v>
      </c>
    </row>
    <row r="4480" spans="1:4">
      <c r="A4480" s="105">
        <v>96639</v>
      </c>
      <c r="B4480" s="104" t="s">
        <v>4539</v>
      </c>
      <c r="C4480" s="104" t="s">
        <v>183</v>
      </c>
      <c r="D4480" s="129" t="s">
        <v>23116</v>
      </c>
    </row>
    <row r="4481" spans="1:4">
      <c r="A4481" s="105">
        <v>96640</v>
      </c>
      <c r="B4481" s="104" t="s">
        <v>4540</v>
      </c>
      <c r="C4481" s="104" t="s">
        <v>183</v>
      </c>
      <c r="D4481" s="129" t="s">
        <v>23117</v>
      </c>
    </row>
    <row r="4482" spans="1:4">
      <c r="A4482" s="105">
        <v>96641</v>
      </c>
      <c r="B4482" s="104" t="s">
        <v>4541</v>
      </c>
      <c r="C4482" s="104" t="s">
        <v>183</v>
      </c>
      <c r="D4482" s="129" t="s">
        <v>15982</v>
      </c>
    </row>
    <row r="4483" spans="1:4">
      <c r="A4483" s="105">
        <v>96642</v>
      </c>
      <c r="B4483" s="104" t="s">
        <v>4542</v>
      </c>
      <c r="C4483" s="104" t="s">
        <v>183</v>
      </c>
      <c r="D4483" s="129" t="s">
        <v>20390</v>
      </c>
    </row>
    <row r="4484" spans="1:4">
      <c r="A4484" s="105">
        <v>96643</v>
      </c>
      <c r="B4484" s="104" t="s">
        <v>4543</v>
      </c>
      <c r="C4484" s="104" t="s">
        <v>183</v>
      </c>
      <c r="D4484" s="129" t="s">
        <v>23118</v>
      </c>
    </row>
    <row r="4485" spans="1:4">
      <c r="A4485" s="105">
        <v>96650</v>
      </c>
      <c r="B4485" s="104" t="s">
        <v>4544</v>
      </c>
      <c r="C4485" s="104" t="s">
        <v>183</v>
      </c>
      <c r="D4485" s="129" t="s">
        <v>14759</v>
      </c>
    </row>
    <row r="4486" spans="1:4">
      <c r="A4486" s="105">
        <v>96651</v>
      </c>
      <c r="B4486" s="104" t="s">
        <v>4545</v>
      </c>
      <c r="C4486" s="104" t="s">
        <v>183</v>
      </c>
      <c r="D4486" s="129" t="s">
        <v>17195</v>
      </c>
    </row>
    <row r="4487" spans="1:4">
      <c r="A4487" s="105">
        <v>96652</v>
      </c>
      <c r="B4487" s="104" t="s">
        <v>4546</v>
      </c>
      <c r="C4487" s="104" t="s">
        <v>183</v>
      </c>
      <c r="D4487" s="129" t="s">
        <v>22448</v>
      </c>
    </row>
    <row r="4488" spans="1:4">
      <c r="A4488" s="105">
        <v>96653</v>
      </c>
      <c r="B4488" s="104" t="s">
        <v>4547</v>
      </c>
      <c r="C4488" s="104" t="s">
        <v>183</v>
      </c>
      <c r="D4488" s="129" t="s">
        <v>22957</v>
      </c>
    </row>
    <row r="4489" spans="1:4">
      <c r="A4489" s="105">
        <v>96654</v>
      </c>
      <c r="B4489" s="104" t="s">
        <v>4548</v>
      </c>
      <c r="C4489" s="104" t="s">
        <v>183</v>
      </c>
      <c r="D4489" s="129" t="s">
        <v>17302</v>
      </c>
    </row>
    <row r="4490" spans="1:4">
      <c r="A4490" s="105">
        <v>96655</v>
      </c>
      <c r="B4490" s="104" t="s">
        <v>4549</v>
      </c>
      <c r="C4490" s="104" t="s">
        <v>183</v>
      </c>
      <c r="D4490" s="129" t="s">
        <v>21774</v>
      </c>
    </row>
    <row r="4491" spans="1:4">
      <c r="A4491" s="105">
        <v>96656</v>
      </c>
      <c r="B4491" s="104" t="s">
        <v>4550</v>
      </c>
      <c r="C4491" s="104" t="s">
        <v>183</v>
      </c>
      <c r="D4491" s="129" t="s">
        <v>15466</v>
      </c>
    </row>
    <row r="4492" spans="1:4">
      <c r="A4492" s="105">
        <v>96657</v>
      </c>
      <c r="B4492" s="104" t="s">
        <v>4551</v>
      </c>
      <c r="C4492" s="104" t="s">
        <v>183</v>
      </c>
      <c r="D4492" s="129" t="s">
        <v>23119</v>
      </c>
    </row>
    <row r="4493" spans="1:4">
      <c r="A4493" s="105">
        <v>96658</v>
      </c>
      <c r="B4493" s="104" t="s">
        <v>4552</v>
      </c>
      <c r="C4493" s="104" t="s">
        <v>183</v>
      </c>
      <c r="D4493" s="129" t="s">
        <v>16919</v>
      </c>
    </row>
    <row r="4494" spans="1:4">
      <c r="A4494" s="105">
        <v>96659</v>
      </c>
      <c r="B4494" s="104" t="s">
        <v>4553</v>
      </c>
      <c r="C4494" s="104" t="s">
        <v>183</v>
      </c>
      <c r="D4494" s="129" t="s">
        <v>18082</v>
      </c>
    </row>
    <row r="4495" spans="1:4">
      <c r="A4495" s="105">
        <v>96660</v>
      </c>
      <c r="B4495" s="104" t="s">
        <v>4554</v>
      </c>
      <c r="C4495" s="104" t="s">
        <v>183</v>
      </c>
      <c r="D4495" s="129" t="s">
        <v>23120</v>
      </c>
    </row>
    <row r="4496" spans="1:4">
      <c r="A4496" s="105">
        <v>96661</v>
      </c>
      <c r="B4496" s="104" t="s">
        <v>4555</v>
      </c>
      <c r="C4496" s="104" t="s">
        <v>183</v>
      </c>
      <c r="D4496" s="129" t="s">
        <v>16619</v>
      </c>
    </row>
    <row r="4497" spans="1:4">
      <c r="A4497" s="105">
        <v>96662</v>
      </c>
      <c r="B4497" s="104" t="s">
        <v>4556</v>
      </c>
      <c r="C4497" s="104" t="s">
        <v>183</v>
      </c>
      <c r="D4497" s="129" t="s">
        <v>16902</v>
      </c>
    </row>
    <row r="4498" spans="1:4">
      <c r="A4498" s="105">
        <v>96663</v>
      </c>
      <c r="B4498" s="104" t="s">
        <v>4557</v>
      </c>
      <c r="C4498" s="104" t="s">
        <v>183</v>
      </c>
      <c r="D4498" s="129" t="s">
        <v>23121</v>
      </c>
    </row>
    <row r="4499" spans="1:4">
      <c r="A4499" s="105">
        <v>96664</v>
      </c>
      <c r="B4499" s="104" t="s">
        <v>4558</v>
      </c>
      <c r="C4499" s="104" t="s">
        <v>183</v>
      </c>
      <c r="D4499" s="129" t="s">
        <v>15406</v>
      </c>
    </row>
    <row r="4500" spans="1:4">
      <c r="A4500" s="105">
        <v>96665</v>
      </c>
      <c r="B4500" s="104" t="s">
        <v>4559</v>
      </c>
      <c r="C4500" s="104" t="s">
        <v>183</v>
      </c>
      <c r="D4500" s="129" t="s">
        <v>22048</v>
      </c>
    </row>
    <row r="4501" spans="1:4">
      <c r="A4501" s="105">
        <v>96666</v>
      </c>
      <c r="B4501" s="104" t="s">
        <v>4560</v>
      </c>
      <c r="C4501" s="104" t="s">
        <v>183</v>
      </c>
      <c r="D4501" s="129" t="s">
        <v>21984</v>
      </c>
    </row>
    <row r="4502" spans="1:4">
      <c r="A4502" s="105">
        <v>96667</v>
      </c>
      <c r="B4502" s="104" t="s">
        <v>4561</v>
      </c>
      <c r="C4502" s="104" t="s">
        <v>183</v>
      </c>
      <c r="D4502" s="129" t="s">
        <v>23122</v>
      </c>
    </row>
    <row r="4503" spans="1:4">
      <c r="A4503" s="105">
        <v>96684</v>
      </c>
      <c r="B4503" s="104" t="s">
        <v>4562</v>
      </c>
      <c r="C4503" s="104" t="s">
        <v>183</v>
      </c>
      <c r="D4503" s="129" t="s">
        <v>18070</v>
      </c>
    </row>
    <row r="4504" spans="1:4">
      <c r="A4504" s="105">
        <v>96685</v>
      </c>
      <c r="B4504" s="104" t="s">
        <v>4563</v>
      </c>
      <c r="C4504" s="104" t="s">
        <v>183</v>
      </c>
      <c r="D4504" s="129" t="s">
        <v>20561</v>
      </c>
    </row>
    <row r="4505" spans="1:4">
      <c r="A4505" s="105">
        <v>96686</v>
      </c>
      <c r="B4505" s="104" t="s">
        <v>4564</v>
      </c>
      <c r="C4505" s="104" t="s">
        <v>183</v>
      </c>
      <c r="D4505" s="129" t="s">
        <v>23123</v>
      </c>
    </row>
    <row r="4506" spans="1:4">
      <c r="A4506" s="105">
        <v>96687</v>
      </c>
      <c r="B4506" s="104" t="s">
        <v>4565</v>
      </c>
      <c r="C4506" s="104" t="s">
        <v>183</v>
      </c>
      <c r="D4506" s="129" t="s">
        <v>23124</v>
      </c>
    </row>
    <row r="4507" spans="1:4">
      <c r="A4507" s="105">
        <v>96688</v>
      </c>
      <c r="B4507" s="104" t="s">
        <v>4566</v>
      </c>
      <c r="C4507" s="104" t="s">
        <v>183</v>
      </c>
      <c r="D4507" s="129" t="s">
        <v>19915</v>
      </c>
    </row>
    <row r="4508" spans="1:4">
      <c r="A4508" s="105">
        <v>96689</v>
      </c>
      <c r="B4508" s="104" t="s">
        <v>4567</v>
      </c>
      <c r="C4508" s="104" t="s">
        <v>183</v>
      </c>
      <c r="D4508" s="129" t="s">
        <v>23125</v>
      </c>
    </row>
    <row r="4509" spans="1:4">
      <c r="A4509" s="105">
        <v>96690</v>
      </c>
      <c r="B4509" s="104" t="s">
        <v>4568</v>
      </c>
      <c r="C4509" s="104" t="s">
        <v>183</v>
      </c>
      <c r="D4509" s="129" t="s">
        <v>18478</v>
      </c>
    </row>
    <row r="4510" spans="1:4">
      <c r="A4510" s="105">
        <v>96691</v>
      </c>
      <c r="B4510" s="104" t="s">
        <v>4569</v>
      </c>
      <c r="C4510" s="104" t="s">
        <v>183</v>
      </c>
      <c r="D4510" s="129" t="s">
        <v>18385</v>
      </c>
    </row>
    <row r="4511" spans="1:4">
      <c r="A4511" s="105">
        <v>96692</v>
      </c>
      <c r="B4511" s="104" t="s">
        <v>4570</v>
      </c>
      <c r="C4511" s="104" t="s">
        <v>183</v>
      </c>
      <c r="D4511" s="129" t="s">
        <v>23126</v>
      </c>
    </row>
    <row r="4512" spans="1:4">
      <c r="A4512" s="105">
        <v>96693</v>
      </c>
      <c r="B4512" s="104" t="s">
        <v>4571</v>
      </c>
      <c r="C4512" s="104" t="s">
        <v>183</v>
      </c>
      <c r="D4512" s="129" t="s">
        <v>17096</v>
      </c>
    </row>
    <row r="4513" spans="1:4">
      <c r="A4513" s="105">
        <v>96694</v>
      </c>
      <c r="B4513" s="104" t="s">
        <v>4572</v>
      </c>
      <c r="C4513" s="104" t="s">
        <v>183</v>
      </c>
      <c r="D4513" s="129" t="s">
        <v>22944</v>
      </c>
    </row>
    <row r="4514" spans="1:4">
      <c r="A4514" s="105">
        <v>96695</v>
      </c>
      <c r="B4514" s="104" t="s">
        <v>4573</v>
      </c>
      <c r="C4514" s="104" t="s">
        <v>183</v>
      </c>
      <c r="D4514" s="129" t="s">
        <v>23127</v>
      </c>
    </row>
    <row r="4515" spans="1:4">
      <c r="A4515" s="105">
        <v>96696</v>
      </c>
      <c r="B4515" s="104" t="s">
        <v>4574</v>
      </c>
      <c r="C4515" s="104" t="s">
        <v>183</v>
      </c>
      <c r="D4515" s="129" t="s">
        <v>23128</v>
      </c>
    </row>
    <row r="4516" spans="1:4">
      <c r="A4516" s="105">
        <v>96697</v>
      </c>
      <c r="B4516" s="104" t="s">
        <v>4575</v>
      </c>
      <c r="C4516" s="104" t="s">
        <v>183</v>
      </c>
      <c r="D4516" s="129" t="s">
        <v>23129</v>
      </c>
    </row>
    <row r="4517" spans="1:4">
      <c r="A4517" s="105">
        <v>96698</v>
      </c>
      <c r="B4517" s="104" t="s">
        <v>4576</v>
      </c>
      <c r="C4517" s="104" t="s">
        <v>183</v>
      </c>
      <c r="D4517" s="129" t="s">
        <v>20650</v>
      </c>
    </row>
    <row r="4518" spans="1:4">
      <c r="A4518" s="105">
        <v>96699</v>
      </c>
      <c r="B4518" s="104" t="s">
        <v>4577</v>
      </c>
      <c r="C4518" s="104" t="s">
        <v>183</v>
      </c>
      <c r="D4518" s="129" t="s">
        <v>22107</v>
      </c>
    </row>
    <row r="4519" spans="1:4">
      <c r="A4519" s="105">
        <v>96700</v>
      </c>
      <c r="B4519" s="104" t="s">
        <v>4578</v>
      </c>
      <c r="C4519" s="104" t="s">
        <v>183</v>
      </c>
      <c r="D4519" s="129" t="s">
        <v>22154</v>
      </c>
    </row>
    <row r="4520" spans="1:4">
      <c r="A4520" s="105">
        <v>96701</v>
      </c>
      <c r="B4520" s="104" t="s">
        <v>4579</v>
      </c>
      <c r="C4520" s="104" t="s">
        <v>183</v>
      </c>
      <c r="D4520" s="129" t="s">
        <v>23130</v>
      </c>
    </row>
    <row r="4521" spans="1:4">
      <c r="A4521" s="105">
        <v>96702</v>
      </c>
      <c r="B4521" s="104" t="s">
        <v>4580</v>
      </c>
      <c r="C4521" s="104" t="s">
        <v>183</v>
      </c>
      <c r="D4521" s="129" t="s">
        <v>23131</v>
      </c>
    </row>
    <row r="4522" spans="1:4">
      <c r="A4522" s="105">
        <v>96703</v>
      </c>
      <c r="B4522" s="104" t="s">
        <v>4581</v>
      </c>
      <c r="C4522" s="104" t="s">
        <v>183</v>
      </c>
      <c r="D4522" s="129" t="s">
        <v>17565</v>
      </c>
    </row>
    <row r="4523" spans="1:4">
      <c r="A4523" s="105">
        <v>96704</v>
      </c>
      <c r="B4523" s="104" t="s">
        <v>4582</v>
      </c>
      <c r="C4523" s="104" t="s">
        <v>183</v>
      </c>
      <c r="D4523" s="129" t="s">
        <v>20285</v>
      </c>
    </row>
    <row r="4524" spans="1:4">
      <c r="A4524" s="105">
        <v>96705</v>
      </c>
      <c r="B4524" s="104" t="s">
        <v>4583</v>
      </c>
      <c r="C4524" s="104" t="s">
        <v>183</v>
      </c>
      <c r="D4524" s="129" t="s">
        <v>23132</v>
      </c>
    </row>
    <row r="4525" spans="1:4">
      <c r="A4525" s="105">
        <v>96706</v>
      </c>
      <c r="B4525" s="104" t="s">
        <v>4584</v>
      </c>
      <c r="C4525" s="104" t="s">
        <v>183</v>
      </c>
      <c r="D4525" s="129" t="s">
        <v>22106</v>
      </c>
    </row>
    <row r="4526" spans="1:4">
      <c r="A4526" s="105">
        <v>96707</v>
      </c>
      <c r="B4526" s="104" t="s">
        <v>4585</v>
      </c>
      <c r="C4526" s="104" t="s">
        <v>183</v>
      </c>
      <c r="D4526" s="129" t="s">
        <v>23133</v>
      </c>
    </row>
    <row r="4527" spans="1:4">
      <c r="A4527" s="105">
        <v>96708</v>
      </c>
      <c r="B4527" s="104" t="s">
        <v>4586</v>
      </c>
      <c r="C4527" s="104" t="s">
        <v>183</v>
      </c>
      <c r="D4527" s="129" t="s">
        <v>23134</v>
      </c>
    </row>
    <row r="4528" spans="1:4">
      <c r="A4528" s="105">
        <v>96709</v>
      </c>
      <c r="B4528" s="104" t="s">
        <v>4587</v>
      </c>
      <c r="C4528" s="104" t="s">
        <v>183</v>
      </c>
      <c r="D4528" s="129" t="s">
        <v>23135</v>
      </c>
    </row>
    <row r="4529" spans="1:4">
      <c r="A4529" s="105">
        <v>96710</v>
      </c>
      <c r="B4529" s="104" t="s">
        <v>4588</v>
      </c>
      <c r="C4529" s="104" t="s">
        <v>183</v>
      </c>
      <c r="D4529" s="129" t="s">
        <v>19265</v>
      </c>
    </row>
    <row r="4530" spans="1:4">
      <c r="A4530" s="105">
        <v>96711</v>
      </c>
      <c r="B4530" s="104" t="s">
        <v>4589</v>
      </c>
      <c r="C4530" s="104" t="s">
        <v>183</v>
      </c>
      <c r="D4530" s="129" t="s">
        <v>21417</v>
      </c>
    </row>
    <row r="4531" spans="1:4">
      <c r="A4531" s="105">
        <v>96712</v>
      </c>
      <c r="B4531" s="104" t="s">
        <v>4590</v>
      </c>
      <c r="C4531" s="104" t="s">
        <v>183</v>
      </c>
      <c r="D4531" s="129" t="s">
        <v>23136</v>
      </c>
    </row>
    <row r="4532" spans="1:4">
      <c r="A4532" s="105">
        <v>96713</v>
      </c>
      <c r="B4532" s="104" t="s">
        <v>4591</v>
      </c>
      <c r="C4532" s="104" t="s">
        <v>183</v>
      </c>
      <c r="D4532" s="129" t="s">
        <v>20202</v>
      </c>
    </row>
    <row r="4533" spans="1:4">
      <c r="A4533" s="105">
        <v>96714</v>
      </c>
      <c r="B4533" s="104" t="s">
        <v>4592</v>
      </c>
      <c r="C4533" s="104" t="s">
        <v>183</v>
      </c>
      <c r="D4533" s="129" t="s">
        <v>23137</v>
      </c>
    </row>
    <row r="4534" spans="1:4">
      <c r="A4534" s="105">
        <v>96715</v>
      </c>
      <c r="B4534" s="104" t="s">
        <v>4593</v>
      </c>
      <c r="C4534" s="104" t="s">
        <v>183</v>
      </c>
      <c r="D4534" s="129" t="s">
        <v>23138</v>
      </c>
    </row>
    <row r="4535" spans="1:4">
      <c r="A4535" s="105">
        <v>96716</v>
      </c>
      <c r="B4535" s="104" t="s">
        <v>4594</v>
      </c>
      <c r="C4535" s="104" t="s">
        <v>183</v>
      </c>
      <c r="D4535" s="129" t="s">
        <v>23139</v>
      </c>
    </row>
    <row r="4536" spans="1:4">
      <c r="A4536" s="105">
        <v>96717</v>
      </c>
      <c r="B4536" s="104" t="s">
        <v>4595</v>
      </c>
      <c r="C4536" s="104" t="s">
        <v>183</v>
      </c>
      <c r="D4536" s="129" t="s">
        <v>23140</v>
      </c>
    </row>
    <row r="4537" spans="1:4">
      <c r="A4537" s="105">
        <v>96736</v>
      </c>
      <c r="B4537" s="104" t="s">
        <v>4596</v>
      </c>
      <c r="C4537" s="104" t="s">
        <v>183</v>
      </c>
      <c r="D4537" s="129" t="s">
        <v>15293</v>
      </c>
    </row>
    <row r="4538" spans="1:4">
      <c r="A4538" s="105">
        <v>96737</v>
      </c>
      <c r="B4538" s="104" t="s">
        <v>4597</v>
      </c>
      <c r="C4538" s="104" t="s">
        <v>183</v>
      </c>
      <c r="D4538" s="129" t="s">
        <v>23141</v>
      </c>
    </row>
    <row r="4539" spans="1:4">
      <c r="A4539" s="105">
        <v>96738</v>
      </c>
      <c r="B4539" s="104" t="s">
        <v>4598</v>
      </c>
      <c r="C4539" s="104" t="s">
        <v>183</v>
      </c>
      <c r="D4539" s="129" t="s">
        <v>23142</v>
      </c>
    </row>
    <row r="4540" spans="1:4">
      <c r="A4540" s="105">
        <v>96739</v>
      </c>
      <c r="B4540" s="104" t="s">
        <v>4599</v>
      </c>
      <c r="C4540" s="104" t="s">
        <v>183</v>
      </c>
      <c r="D4540" s="129" t="s">
        <v>19606</v>
      </c>
    </row>
    <row r="4541" spans="1:4">
      <c r="A4541" s="105">
        <v>96740</v>
      </c>
      <c r="B4541" s="104" t="s">
        <v>4600</v>
      </c>
      <c r="C4541" s="104" t="s">
        <v>183</v>
      </c>
      <c r="D4541" s="129" t="s">
        <v>17828</v>
      </c>
    </row>
    <row r="4542" spans="1:4">
      <c r="A4542" s="105">
        <v>96741</v>
      </c>
      <c r="B4542" s="104" t="s">
        <v>4601</v>
      </c>
      <c r="C4542" s="104" t="s">
        <v>183</v>
      </c>
      <c r="D4542" s="129" t="s">
        <v>16945</v>
      </c>
    </row>
    <row r="4543" spans="1:4">
      <c r="A4543" s="105">
        <v>96742</v>
      </c>
      <c r="B4543" s="104" t="s">
        <v>4602</v>
      </c>
      <c r="C4543" s="104" t="s">
        <v>183</v>
      </c>
      <c r="D4543" s="129" t="s">
        <v>23143</v>
      </c>
    </row>
    <row r="4544" spans="1:4">
      <c r="A4544" s="105">
        <v>96743</v>
      </c>
      <c r="B4544" s="104" t="s">
        <v>4603</v>
      </c>
      <c r="C4544" s="104" t="s">
        <v>183</v>
      </c>
      <c r="D4544" s="129" t="s">
        <v>23144</v>
      </c>
    </row>
    <row r="4545" spans="1:4">
      <c r="A4545" s="105">
        <v>96744</v>
      </c>
      <c r="B4545" s="104" t="s">
        <v>4604</v>
      </c>
      <c r="C4545" s="104" t="s">
        <v>183</v>
      </c>
      <c r="D4545" s="129" t="s">
        <v>23145</v>
      </c>
    </row>
    <row r="4546" spans="1:4">
      <c r="A4546" s="105">
        <v>96745</v>
      </c>
      <c r="B4546" s="104" t="s">
        <v>4605</v>
      </c>
      <c r="C4546" s="104" t="s">
        <v>183</v>
      </c>
      <c r="D4546" s="129" t="s">
        <v>23146</v>
      </c>
    </row>
    <row r="4547" spans="1:4">
      <c r="A4547" s="105">
        <v>96746</v>
      </c>
      <c r="B4547" s="104" t="s">
        <v>4606</v>
      </c>
      <c r="C4547" s="104" t="s">
        <v>183</v>
      </c>
      <c r="D4547" s="129" t="s">
        <v>15103</v>
      </c>
    </row>
    <row r="4548" spans="1:4">
      <c r="A4548" s="105">
        <v>96747</v>
      </c>
      <c r="B4548" s="104" t="s">
        <v>4607</v>
      </c>
      <c r="C4548" s="104" t="s">
        <v>183</v>
      </c>
      <c r="D4548" s="129" t="s">
        <v>18234</v>
      </c>
    </row>
    <row r="4549" spans="1:4">
      <c r="A4549" s="105">
        <v>96748</v>
      </c>
      <c r="B4549" s="104" t="s">
        <v>4608</v>
      </c>
      <c r="C4549" s="104" t="s">
        <v>183</v>
      </c>
      <c r="D4549" s="129" t="s">
        <v>23147</v>
      </c>
    </row>
    <row r="4550" spans="1:4">
      <c r="A4550" s="105">
        <v>96749</v>
      </c>
      <c r="B4550" s="104" t="s">
        <v>4609</v>
      </c>
      <c r="C4550" s="104" t="s">
        <v>183</v>
      </c>
      <c r="D4550" s="129" t="s">
        <v>15110</v>
      </c>
    </row>
    <row r="4551" spans="1:4">
      <c r="A4551" s="105">
        <v>96750</v>
      </c>
      <c r="B4551" s="104" t="s">
        <v>4610</v>
      </c>
      <c r="C4551" s="104" t="s">
        <v>183</v>
      </c>
      <c r="D4551" s="129" t="s">
        <v>20275</v>
      </c>
    </row>
    <row r="4552" spans="1:4">
      <c r="A4552" s="105">
        <v>96751</v>
      </c>
      <c r="B4552" s="104" t="s">
        <v>4611</v>
      </c>
      <c r="C4552" s="104" t="s">
        <v>183</v>
      </c>
      <c r="D4552" s="129" t="s">
        <v>17807</v>
      </c>
    </row>
    <row r="4553" spans="1:4">
      <c r="A4553" s="105">
        <v>96752</v>
      </c>
      <c r="B4553" s="104" t="s">
        <v>4612</v>
      </c>
      <c r="C4553" s="104" t="s">
        <v>183</v>
      </c>
      <c r="D4553" s="129" t="s">
        <v>23148</v>
      </c>
    </row>
    <row r="4554" spans="1:4">
      <c r="A4554" s="105">
        <v>96753</v>
      </c>
      <c r="B4554" s="104" t="s">
        <v>4613</v>
      </c>
      <c r="C4554" s="104" t="s">
        <v>183</v>
      </c>
      <c r="D4554" s="129" t="s">
        <v>23149</v>
      </c>
    </row>
    <row r="4555" spans="1:4">
      <c r="A4555" s="105">
        <v>96754</v>
      </c>
      <c r="B4555" s="104" t="s">
        <v>4614</v>
      </c>
      <c r="C4555" s="104" t="s">
        <v>183</v>
      </c>
      <c r="D4555" s="129" t="s">
        <v>23150</v>
      </c>
    </row>
    <row r="4556" spans="1:4">
      <c r="A4556" s="105">
        <v>96755</v>
      </c>
      <c r="B4556" s="104" t="s">
        <v>4615</v>
      </c>
      <c r="C4556" s="104" t="s">
        <v>183</v>
      </c>
      <c r="D4556" s="129" t="s">
        <v>23151</v>
      </c>
    </row>
    <row r="4557" spans="1:4">
      <c r="A4557" s="105">
        <v>96756</v>
      </c>
      <c r="B4557" s="104" t="s">
        <v>4616</v>
      </c>
      <c r="C4557" s="104" t="s">
        <v>183</v>
      </c>
      <c r="D4557" s="129" t="s">
        <v>23152</v>
      </c>
    </row>
    <row r="4558" spans="1:4">
      <c r="A4558" s="105">
        <v>96757</v>
      </c>
      <c r="B4558" s="104" t="s">
        <v>4617</v>
      </c>
      <c r="C4558" s="104" t="s">
        <v>183</v>
      </c>
      <c r="D4558" s="129" t="s">
        <v>16957</v>
      </c>
    </row>
    <row r="4559" spans="1:4">
      <c r="A4559" s="105">
        <v>96758</v>
      </c>
      <c r="B4559" s="104" t="s">
        <v>4618</v>
      </c>
      <c r="C4559" s="104" t="s">
        <v>183</v>
      </c>
      <c r="D4559" s="129" t="s">
        <v>20961</v>
      </c>
    </row>
    <row r="4560" spans="1:4">
      <c r="A4560" s="105">
        <v>96759</v>
      </c>
      <c r="B4560" s="104" t="s">
        <v>4619</v>
      </c>
      <c r="C4560" s="104" t="s">
        <v>183</v>
      </c>
      <c r="D4560" s="129" t="s">
        <v>23153</v>
      </c>
    </row>
    <row r="4561" spans="1:4">
      <c r="A4561" s="105">
        <v>96760</v>
      </c>
      <c r="B4561" s="104" t="s">
        <v>4620</v>
      </c>
      <c r="C4561" s="104" t="s">
        <v>183</v>
      </c>
      <c r="D4561" s="129" t="s">
        <v>17908</v>
      </c>
    </row>
    <row r="4562" spans="1:4">
      <c r="A4562" s="105">
        <v>96761</v>
      </c>
      <c r="B4562" s="104" t="s">
        <v>4621</v>
      </c>
      <c r="C4562" s="104" t="s">
        <v>183</v>
      </c>
      <c r="D4562" s="129" t="s">
        <v>23154</v>
      </c>
    </row>
    <row r="4563" spans="1:4">
      <c r="A4563" s="105">
        <v>96762</v>
      </c>
      <c r="B4563" s="104" t="s">
        <v>4622</v>
      </c>
      <c r="C4563" s="104" t="s">
        <v>183</v>
      </c>
      <c r="D4563" s="129" t="s">
        <v>23155</v>
      </c>
    </row>
    <row r="4564" spans="1:4">
      <c r="A4564" s="105">
        <v>96763</v>
      </c>
      <c r="B4564" s="104" t="s">
        <v>4623</v>
      </c>
      <c r="C4564" s="104" t="s">
        <v>183</v>
      </c>
      <c r="D4564" s="129" t="s">
        <v>23156</v>
      </c>
    </row>
    <row r="4565" spans="1:4">
      <c r="A4565" s="105">
        <v>96764</v>
      </c>
      <c r="B4565" s="104" t="s">
        <v>4624</v>
      </c>
      <c r="C4565" s="104" t="s">
        <v>183</v>
      </c>
      <c r="D4565" s="129" t="s">
        <v>23157</v>
      </c>
    </row>
    <row r="4566" spans="1:4">
      <c r="A4566" s="105">
        <v>96802</v>
      </c>
      <c r="B4566" s="104" t="s">
        <v>4625</v>
      </c>
      <c r="C4566" s="104" t="s">
        <v>183</v>
      </c>
      <c r="D4566" s="129" t="s">
        <v>23158</v>
      </c>
    </row>
    <row r="4567" spans="1:4">
      <c r="A4567" s="105">
        <v>96803</v>
      </c>
      <c r="B4567" s="104" t="s">
        <v>4626</v>
      </c>
      <c r="C4567" s="104" t="s">
        <v>183</v>
      </c>
      <c r="D4567" s="129" t="s">
        <v>23159</v>
      </c>
    </row>
    <row r="4568" spans="1:4">
      <c r="A4568" s="105">
        <v>96804</v>
      </c>
      <c r="B4568" s="104" t="s">
        <v>4627</v>
      </c>
      <c r="C4568" s="104" t="s">
        <v>183</v>
      </c>
      <c r="D4568" s="129" t="s">
        <v>23160</v>
      </c>
    </row>
    <row r="4569" spans="1:4">
      <c r="A4569" s="105">
        <v>96805</v>
      </c>
      <c r="B4569" s="104" t="s">
        <v>4628</v>
      </c>
      <c r="C4569" s="104" t="s">
        <v>183</v>
      </c>
      <c r="D4569" s="129" t="s">
        <v>23161</v>
      </c>
    </row>
    <row r="4570" spans="1:4">
      <c r="A4570" s="105">
        <v>96806</v>
      </c>
      <c r="B4570" s="104" t="s">
        <v>4629</v>
      </c>
      <c r="C4570" s="104" t="s">
        <v>183</v>
      </c>
      <c r="D4570" s="129" t="s">
        <v>23162</v>
      </c>
    </row>
    <row r="4571" spans="1:4">
      <c r="A4571" s="105">
        <v>96807</v>
      </c>
      <c r="B4571" s="104" t="s">
        <v>4630</v>
      </c>
      <c r="C4571" s="104" t="s">
        <v>183</v>
      </c>
      <c r="D4571" s="129" t="s">
        <v>23163</v>
      </c>
    </row>
    <row r="4572" spans="1:4">
      <c r="A4572" s="105">
        <v>96808</v>
      </c>
      <c r="B4572" s="104" t="s">
        <v>4631</v>
      </c>
      <c r="C4572" s="104" t="s">
        <v>183</v>
      </c>
      <c r="D4572" s="129" t="s">
        <v>16918</v>
      </c>
    </row>
    <row r="4573" spans="1:4">
      <c r="A4573" s="105">
        <v>96809</v>
      </c>
      <c r="B4573" s="104" t="s">
        <v>4632</v>
      </c>
      <c r="C4573" s="104" t="s">
        <v>183</v>
      </c>
      <c r="D4573" s="129" t="s">
        <v>23164</v>
      </c>
    </row>
    <row r="4574" spans="1:4">
      <c r="A4574" s="105">
        <v>96810</v>
      </c>
      <c r="B4574" s="104" t="s">
        <v>4633</v>
      </c>
      <c r="C4574" s="104" t="s">
        <v>183</v>
      </c>
      <c r="D4574" s="129" t="s">
        <v>22024</v>
      </c>
    </row>
    <row r="4575" spans="1:4">
      <c r="A4575" s="105">
        <v>96811</v>
      </c>
      <c r="B4575" s="104" t="s">
        <v>4634</v>
      </c>
      <c r="C4575" s="104" t="s">
        <v>183</v>
      </c>
      <c r="D4575" s="129" t="s">
        <v>18480</v>
      </c>
    </row>
    <row r="4576" spans="1:4">
      <c r="A4576" s="105">
        <v>96812</v>
      </c>
      <c r="B4576" s="104" t="s">
        <v>4635</v>
      </c>
      <c r="C4576" s="104" t="s">
        <v>183</v>
      </c>
      <c r="D4576" s="129" t="s">
        <v>18248</v>
      </c>
    </row>
    <row r="4577" spans="1:4">
      <c r="A4577" s="105">
        <v>96813</v>
      </c>
      <c r="B4577" s="104" t="s">
        <v>4636</v>
      </c>
      <c r="C4577" s="104" t="s">
        <v>183</v>
      </c>
      <c r="D4577" s="129" t="s">
        <v>22110</v>
      </c>
    </row>
    <row r="4578" spans="1:4">
      <c r="A4578" s="105">
        <v>96814</v>
      </c>
      <c r="B4578" s="104" t="s">
        <v>4637</v>
      </c>
      <c r="C4578" s="104" t="s">
        <v>183</v>
      </c>
      <c r="D4578" s="129" t="s">
        <v>22729</v>
      </c>
    </row>
    <row r="4579" spans="1:4">
      <c r="A4579" s="105">
        <v>96815</v>
      </c>
      <c r="B4579" s="104" t="s">
        <v>4638</v>
      </c>
      <c r="C4579" s="104" t="s">
        <v>183</v>
      </c>
      <c r="D4579" s="129" t="s">
        <v>17734</v>
      </c>
    </row>
    <row r="4580" spans="1:4">
      <c r="A4580" s="105">
        <v>96816</v>
      </c>
      <c r="B4580" s="104" t="s">
        <v>4639</v>
      </c>
      <c r="C4580" s="104" t="s">
        <v>183</v>
      </c>
      <c r="D4580" s="129" t="s">
        <v>18203</v>
      </c>
    </row>
    <row r="4581" spans="1:4">
      <c r="A4581" s="105">
        <v>96817</v>
      </c>
      <c r="B4581" s="104" t="s">
        <v>4640</v>
      </c>
      <c r="C4581" s="104" t="s">
        <v>183</v>
      </c>
      <c r="D4581" s="129" t="s">
        <v>23165</v>
      </c>
    </row>
    <row r="4582" spans="1:4">
      <c r="A4582" s="105">
        <v>96818</v>
      </c>
      <c r="B4582" s="104" t="s">
        <v>4641</v>
      </c>
      <c r="C4582" s="104" t="s">
        <v>183</v>
      </c>
      <c r="D4582" s="129" t="s">
        <v>23166</v>
      </c>
    </row>
    <row r="4583" spans="1:4">
      <c r="A4583" s="105">
        <v>96819</v>
      </c>
      <c r="B4583" s="104" t="s">
        <v>4642</v>
      </c>
      <c r="C4583" s="104" t="s">
        <v>183</v>
      </c>
      <c r="D4583" s="129" t="s">
        <v>23166</v>
      </c>
    </row>
    <row r="4584" spans="1:4">
      <c r="A4584" s="105">
        <v>96820</v>
      </c>
      <c r="B4584" s="104" t="s">
        <v>4643</v>
      </c>
      <c r="C4584" s="104" t="s">
        <v>183</v>
      </c>
      <c r="D4584" s="129" t="s">
        <v>23167</v>
      </c>
    </row>
    <row r="4585" spans="1:4">
      <c r="A4585" s="105">
        <v>96821</v>
      </c>
      <c r="B4585" s="104" t="s">
        <v>4644</v>
      </c>
      <c r="C4585" s="104" t="s">
        <v>183</v>
      </c>
      <c r="D4585" s="129" t="s">
        <v>23168</v>
      </c>
    </row>
    <row r="4586" spans="1:4">
      <c r="A4586" s="105">
        <v>96822</v>
      </c>
      <c r="B4586" s="104" t="s">
        <v>4645</v>
      </c>
      <c r="C4586" s="104" t="s">
        <v>183</v>
      </c>
      <c r="D4586" s="129" t="s">
        <v>23169</v>
      </c>
    </row>
    <row r="4587" spans="1:4">
      <c r="A4587" s="105">
        <v>96823</v>
      </c>
      <c r="B4587" s="104" t="s">
        <v>4646</v>
      </c>
      <c r="C4587" s="104" t="s">
        <v>183</v>
      </c>
      <c r="D4587" s="129" t="s">
        <v>23170</v>
      </c>
    </row>
    <row r="4588" spans="1:4">
      <c r="A4588" s="105">
        <v>96824</v>
      </c>
      <c r="B4588" s="104" t="s">
        <v>4647</v>
      </c>
      <c r="C4588" s="104" t="s">
        <v>183</v>
      </c>
      <c r="D4588" s="129" t="s">
        <v>23171</v>
      </c>
    </row>
    <row r="4589" spans="1:4">
      <c r="A4589" s="105">
        <v>96825</v>
      </c>
      <c r="B4589" s="104" t="s">
        <v>4648</v>
      </c>
      <c r="C4589" s="104" t="s">
        <v>183</v>
      </c>
      <c r="D4589" s="129" t="s">
        <v>23172</v>
      </c>
    </row>
    <row r="4590" spans="1:4">
      <c r="A4590" s="105">
        <v>96826</v>
      </c>
      <c r="B4590" s="104" t="s">
        <v>4649</v>
      </c>
      <c r="C4590" s="104" t="s">
        <v>183</v>
      </c>
      <c r="D4590" s="129" t="s">
        <v>17902</v>
      </c>
    </row>
    <row r="4591" spans="1:4">
      <c r="A4591" s="105">
        <v>96827</v>
      </c>
      <c r="B4591" s="104" t="s">
        <v>4650</v>
      </c>
      <c r="C4591" s="104" t="s">
        <v>183</v>
      </c>
      <c r="D4591" s="129" t="s">
        <v>22817</v>
      </c>
    </row>
    <row r="4592" spans="1:4">
      <c r="A4592" s="105">
        <v>96828</v>
      </c>
      <c r="B4592" s="104" t="s">
        <v>4651</v>
      </c>
      <c r="C4592" s="104" t="s">
        <v>183</v>
      </c>
      <c r="D4592" s="129" t="s">
        <v>17162</v>
      </c>
    </row>
    <row r="4593" spans="1:4">
      <c r="A4593" s="105">
        <v>96829</v>
      </c>
      <c r="B4593" s="104" t="s">
        <v>4652</v>
      </c>
      <c r="C4593" s="104" t="s">
        <v>183</v>
      </c>
      <c r="D4593" s="129" t="s">
        <v>23173</v>
      </c>
    </row>
    <row r="4594" spans="1:4">
      <c r="A4594" s="105">
        <v>96830</v>
      </c>
      <c r="B4594" s="104" t="s">
        <v>4653</v>
      </c>
      <c r="C4594" s="104" t="s">
        <v>183</v>
      </c>
      <c r="D4594" s="129" t="s">
        <v>23174</v>
      </c>
    </row>
    <row r="4595" spans="1:4">
      <c r="A4595" s="105">
        <v>96831</v>
      </c>
      <c r="B4595" s="104" t="s">
        <v>4654</v>
      </c>
      <c r="C4595" s="104" t="s">
        <v>183</v>
      </c>
      <c r="D4595" s="129" t="s">
        <v>19575</v>
      </c>
    </row>
    <row r="4596" spans="1:4">
      <c r="A4596" s="105">
        <v>96832</v>
      </c>
      <c r="B4596" s="104" t="s">
        <v>4655</v>
      </c>
      <c r="C4596" s="104" t="s">
        <v>183</v>
      </c>
      <c r="D4596" s="129" t="s">
        <v>15567</v>
      </c>
    </row>
    <row r="4597" spans="1:4">
      <c r="A4597" s="105">
        <v>96833</v>
      </c>
      <c r="B4597" s="104" t="s">
        <v>4656</v>
      </c>
      <c r="C4597" s="104" t="s">
        <v>183</v>
      </c>
      <c r="D4597" s="129" t="s">
        <v>19487</v>
      </c>
    </row>
    <row r="4598" spans="1:4">
      <c r="A4598" s="105">
        <v>96834</v>
      </c>
      <c r="B4598" s="104" t="s">
        <v>4657</v>
      </c>
      <c r="C4598" s="104" t="s">
        <v>183</v>
      </c>
      <c r="D4598" s="129" t="s">
        <v>23175</v>
      </c>
    </row>
    <row r="4599" spans="1:4">
      <c r="A4599" s="105">
        <v>96835</v>
      </c>
      <c r="B4599" s="104" t="s">
        <v>4658</v>
      </c>
      <c r="C4599" s="104" t="s">
        <v>183</v>
      </c>
      <c r="D4599" s="129" t="s">
        <v>15261</v>
      </c>
    </row>
    <row r="4600" spans="1:4">
      <c r="A4600" s="105">
        <v>96836</v>
      </c>
      <c r="B4600" s="104" t="s">
        <v>4659</v>
      </c>
      <c r="C4600" s="104" t="s">
        <v>183</v>
      </c>
      <c r="D4600" s="129" t="s">
        <v>23176</v>
      </c>
    </row>
    <row r="4601" spans="1:4">
      <c r="A4601" s="105">
        <v>96837</v>
      </c>
      <c r="B4601" s="104" t="s">
        <v>4660</v>
      </c>
      <c r="C4601" s="104" t="s">
        <v>183</v>
      </c>
      <c r="D4601" s="129" t="s">
        <v>20289</v>
      </c>
    </row>
    <row r="4602" spans="1:4">
      <c r="A4602" s="105">
        <v>96838</v>
      </c>
      <c r="B4602" s="104" t="s">
        <v>4661</v>
      </c>
      <c r="C4602" s="104" t="s">
        <v>183</v>
      </c>
      <c r="D4602" s="129" t="s">
        <v>17809</v>
      </c>
    </row>
    <row r="4603" spans="1:4">
      <c r="A4603" s="105">
        <v>96839</v>
      </c>
      <c r="B4603" s="104" t="s">
        <v>4662</v>
      </c>
      <c r="C4603" s="104" t="s">
        <v>183</v>
      </c>
      <c r="D4603" s="129" t="s">
        <v>23177</v>
      </c>
    </row>
    <row r="4604" spans="1:4">
      <c r="A4604" s="105">
        <v>96840</v>
      </c>
      <c r="B4604" s="104" t="s">
        <v>4663</v>
      </c>
      <c r="C4604" s="104" t="s">
        <v>183</v>
      </c>
      <c r="D4604" s="129" t="s">
        <v>19575</v>
      </c>
    </row>
    <row r="4605" spans="1:4">
      <c r="A4605" s="105">
        <v>96841</v>
      </c>
      <c r="B4605" s="104" t="s">
        <v>4664</v>
      </c>
      <c r="C4605" s="104" t="s">
        <v>183</v>
      </c>
      <c r="D4605" s="129" t="s">
        <v>18687</v>
      </c>
    </row>
    <row r="4606" spans="1:4">
      <c r="A4606" s="105">
        <v>96842</v>
      </c>
      <c r="B4606" s="104" t="s">
        <v>4665</v>
      </c>
      <c r="C4606" s="104" t="s">
        <v>183</v>
      </c>
      <c r="D4606" s="129" t="s">
        <v>22899</v>
      </c>
    </row>
    <row r="4607" spans="1:4">
      <c r="A4607" s="105">
        <v>96843</v>
      </c>
      <c r="B4607" s="104" t="s">
        <v>4666</v>
      </c>
      <c r="C4607" s="104" t="s">
        <v>183</v>
      </c>
      <c r="D4607" s="129" t="s">
        <v>23178</v>
      </c>
    </row>
    <row r="4608" spans="1:4">
      <c r="A4608" s="105">
        <v>96844</v>
      </c>
      <c r="B4608" s="104" t="s">
        <v>4667</v>
      </c>
      <c r="C4608" s="104" t="s">
        <v>183</v>
      </c>
      <c r="D4608" s="129" t="s">
        <v>23179</v>
      </c>
    </row>
    <row r="4609" spans="1:4">
      <c r="A4609" s="105">
        <v>96845</v>
      </c>
      <c r="B4609" s="104" t="s">
        <v>4668</v>
      </c>
      <c r="C4609" s="104" t="s">
        <v>183</v>
      </c>
      <c r="D4609" s="129" t="s">
        <v>23180</v>
      </c>
    </row>
    <row r="4610" spans="1:4">
      <c r="A4610" s="105">
        <v>96846</v>
      </c>
      <c r="B4610" s="104" t="s">
        <v>4669</v>
      </c>
      <c r="C4610" s="104" t="s">
        <v>183</v>
      </c>
      <c r="D4610" s="129" t="s">
        <v>22108</v>
      </c>
    </row>
    <row r="4611" spans="1:4">
      <c r="A4611" s="105">
        <v>96847</v>
      </c>
      <c r="B4611" s="104" t="s">
        <v>4670</v>
      </c>
      <c r="C4611" s="104" t="s">
        <v>183</v>
      </c>
      <c r="D4611" s="129" t="s">
        <v>23181</v>
      </c>
    </row>
    <row r="4612" spans="1:4">
      <c r="A4612" s="105">
        <v>96848</v>
      </c>
      <c r="B4612" s="104" t="s">
        <v>4671</v>
      </c>
      <c r="C4612" s="104" t="s">
        <v>183</v>
      </c>
      <c r="D4612" s="129" t="s">
        <v>23182</v>
      </c>
    </row>
    <row r="4613" spans="1:4">
      <c r="A4613" s="105">
        <v>96849</v>
      </c>
      <c r="B4613" s="104" t="s">
        <v>4672</v>
      </c>
      <c r="C4613" s="104" t="s">
        <v>183</v>
      </c>
      <c r="D4613" s="129" t="s">
        <v>23183</v>
      </c>
    </row>
    <row r="4614" spans="1:4">
      <c r="A4614" s="105">
        <v>96850</v>
      </c>
      <c r="B4614" s="104" t="s">
        <v>4673</v>
      </c>
      <c r="C4614" s="104" t="s">
        <v>183</v>
      </c>
      <c r="D4614" s="129" t="s">
        <v>23184</v>
      </c>
    </row>
    <row r="4615" spans="1:4">
      <c r="A4615" s="105">
        <v>96851</v>
      </c>
      <c r="B4615" s="104" t="s">
        <v>4674</v>
      </c>
      <c r="C4615" s="104" t="s">
        <v>183</v>
      </c>
      <c r="D4615" s="129" t="s">
        <v>23185</v>
      </c>
    </row>
    <row r="4616" spans="1:4">
      <c r="A4616" s="105">
        <v>96852</v>
      </c>
      <c r="B4616" s="104" t="s">
        <v>4675</v>
      </c>
      <c r="C4616" s="104" t="s">
        <v>183</v>
      </c>
      <c r="D4616" s="129" t="s">
        <v>23186</v>
      </c>
    </row>
    <row r="4617" spans="1:4">
      <c r="A4617" s="105">
        <v>96853</v>
      </c>
      <c r="B4617" s="104" t="s">
        <v>4676</v>
      </c>
      <c r="C4617" s="104" t="s">
        <v>183</v>
      </c>
      <c r="D4617" s="129" t="s">
        <v>23187</v>
      </c>
    </row>
    <row r="4618" spans="1:4">
      <c r="A4618" s="105">
        <v>96854</v>
      </c>
      <c r="B4618" s="104" t="s">
        <v>4677</v>
      </c>
      <c r="C4618" s="104" t="s">
        <v>183</v>
      </c>
      <c r="D4618" s="129" t="s">
        <v>23188</v>
      </c>
    </row>
    <row r="4619" spans="1:4">
      <c r="A4619" s="105">
        <v>96855</v>
      </c>
      <c r="B4619" s="104" t="s">
        <v>4678</v>
      </c>
      <c r="C4619" s="104" t="s">
        <v>183</v>
      </c>
      <c r="D4619" s="129" t="s">
        <v>15263</v>
      </c>
    </row>
    <row r="4620" spans="1:4">
      <c r="A4620" s="105">
        <v>96856</v>
      </c>
      <c r="B4620" s="104" t="s">
        <v>4679</v>
      </c>
      <c r="C4620" s="104" t="s">
        <v>183</v>
      </c>
      <c r="D4620" s="129" t="s">
        <v>19791</v>
      </c>
    </row>
    <row r="4621" spans="1:4">
      <c r="A4621" s="105">
        <v>96857</v>
      </c>
      <c r="B4621" s="104" t="s">
        <v>4680</v>
      </c>
      <c r="C4621" s="104" t="s">
        <v>183</v>
      </c>
      <c r="D4621" s="129" t="s">
        <v>23189</v>
      </c>
    </row>
    <row r="4622" spans="1:4">
      <c r="A4622" s="105">
        <v>96858</v>
      </c>
      <c r="B4622" s="104" t="s">
        <v>4681</v>
      </c>
      <c r="C4622" s="104" t="s">
        <v>183</v>
      </c>
      <c r="D4622" s="129" t="s">
        <v>23189</v>
      </c>
    </row>
    <row r="4623" spans="1:4">
      <c r="A4623" s="105">
        <v>96859</v>
      </c>
      <c r="B4623" s="104" t="s">
        <v>4682</v>
      </c>
      <c r="C4623" s="104" t="s">
        <v>183</v>
      </c>
      <c r="D4623" s="129" t="s">
        <v>22539</v>
      </c>
    </row>
    <row r="4624" spans="1:4">
      <c r="A4624" s="105">
        <v>96860</v>
      </c>
      <c r="B4624" s="104" t="s">
        <v>4683</v>
      </c>
      <c r="C4624" s="104" t="s">
        <v>183</v>
      </c>
      <c r="D4624" s="129" t="s">
        <v>15538</v>
      </c>
    </row>
    <row r="4625" spans="1:4">
      <c r="A4625" s="105">
        <v>96861</v>
      </c>
      <c r="B4625" s="104" t="s">
        <v>4684</v>
      </c>
      <c r="C4625" s="104" t="s">
        <v>183</v>
      </c>
      <c r="D4625" s="129" t="s">
        <v>23190</v>
      </c>
    </row>
    <row r="4626" spans="1:4">
      <c r="A4626" s="105">
        <v>96862</v>
      </c>
      <c r="B4626" s="104" t="s">
        <v>4685</v>
      </c>
      <c r="C4626" s="104" t="s">
        <v>183</v>
      </c>
      <c r="D4626" s="129" t="s">
        <v>19715</v>
      </c>
    </row>
    <row r="4627" spans="1:4">
      <c r="A4627" s="105">
        <v>96863</v>
      </c>
      <c r="B4627" s="104" t="s">
        <v>4686</v>
      </c>
      <c r="C4627" s="104" t="s">
        <v>183</v>
      </c>
      <c r="D4627" s="129" t="s">
        <v>15567</v>
      </c>
    </row>
    <row r="4628" spans="1:4">
      <c r="A4628" s="105">
        <v>96864</v>
      </c>
      <c r="B4628" s="104" t="s">
        <v>4687</v>
      </c>
      <c r="C4628" s="104" t="s">
        <v>183</v>
      </c>
      <c r="D4628" s="129" t="s">
        <v>18405</v>
      </c>
    </row>
    <row r="4629" spans="1:4">
      <c r="A4629" s="105">
        <v>96865</v>
      </c>
      <c r="B4629" s="104" t="s">
        <v>4688</v>
      </c>
      <c r="C4629" s="104" t="s">
        <v>183</v>
      </c>
      <c r="D4629" s="129" t="s">
        <v>23191</v>
      </c>
    </row>
    <row r="4630" spans="1:4">
      <c r="A4630" s="105">
        <v>96866</v>
      </c>
      <c r="B4630" s="104" t="s">
        <v>4689</v>
      </c>
      <c r="C4630" s="104" t="s">
        <v>183</v>
      </c>
      <c r="D4630" s="129" t="s">
        <v>16530</v>
      </c>
    </row>
    <row r="4631" spans="1:4">
      <c r="A4631" s="105">
        <v>96867</v>
      </c>
      <c r="B4631" s="104" t="s">
        <v>4690</v>
      </c>
      <c r="C4631" s="104" t="s">
        <v>183</v>
      </c>
      <c r="D4631" s="129" t="s">
        <v>23192</v>
      </c>
    </row>
    <row r="4632" spans="1:4">
      <c r="A4632" s="105">
        <v>96868</v>
      </c>
      <c r="B4632" s="104" t="s">
        <v>4691</v>
      </c>
      <c r="C4632" s="104" t="s">
        <v>183</v>
      </c>
      <c r="D4632" s="129" t="s">
        <v>23193</v>
      </c>
    </row>
    <row r="4633" spans="1:4">
      <c r="A4633" s="105">
        <v>96869</v>
      </c>
      <c r="B4633" s="104" t="s">
        <v>4692</v>
      </c>
      <c r="C4633" s="104" t="s">
        <v>183</v>
      </c>
      <c r="D4633" s="129" t="s">
        <v>17948</v>
      </c>
    </row>
    <row r="4634" spans="1:4">
      <c r="A4634" s="105">
        <v>96870</v>
      </c>
      <c r="B4634" s="104" t="s">
        <v>4693</v>
      </c>
      <c r="C4634" s="104" t="s">
        <v>183</v>
      </c>
      <c r="D4634" s="129" t="s">
        <v>23194</v>
      </c>
    </row>
    <row r="4635" spans="1:4">
      <c r="A4635" s="105">
        <v>96871</v>
      </c>
      <c r="B4635" s="104" t="s">
        <v>4694</v>
      </c>
      <c r="C4635" s="104" t="s">
        <v>183</v>
      </c>
      <c r="D4635" s="129" t="s">
        <v>23195</v>
      </c>
    </row>
    <row r="4636" spans="1:4">
      <c r="A4636" s="105">
        <v>96872</v>
      </c>
      <c r="B4636" s="104" t="s">
        <v>4695</v>
      </c>
      <c r="C4636" s="104" t="s">
        <v>183</v>
      </c>
      <c r="D4636" s="129" t="s">
        <v>18372</v>
      </c>
    </row>
    <row r="4637" spans="1:4">
      <c r="A4637" s="105">
        <v>96873</v>
      </c>
      <c r="B4637" s="104" t="s">
        <v>4696</v>
      </c>
      <c r="C4637" s="104" t="s">
        <v>183</v>
      </c>
      <c r="D4637" s="129" t="s">
        <v>23196</v>
      </c>
    </row>
    <row r="4638" spans="1:4">
      <c r="A4638" s="105">
        <v>96874</v>
      </c>
      <c r="B4638" s="104" t="s">
        <v>4697</v>
      </c>
      <c r="C4638" s="104" t="s">
        <v>183</v>
      </c>
      <c r="D4638" s="129" t="s">
        <v>23197</v>
      </c>
    </row>
    <row r="4639" spans="1:4">
      <c r="A4639" s="105">
        <v>96875</v>
      </c>
      <c r="B4639" s="104" t="s">
        <v>4698</v>
      </c>
      <c r="C4639" s="104" t="s">
        <v>183</v>
      </c>
      <c r="D4639" s="129" t="s">
        <v>23198</v>
      </c>
    </row>
    <row r="4640" spans="1:4">
      <c r="A4640" s="105">
        <v>96876</v>
      </c>
      <c r="B4640" s="104" t="s">
        <v>4699</v>
      </c>
      <c r="C4640" s="104" t="s">
        <v>183</v>
      </c>
      <c r="D4640" s="129" t="s">
        <v>23199</v>
      </c>
    </row>
    <row r="4641" spans="1:4">
      <c r="A4641" s="105">
        <v>96877</v>
      </c>
      <c r="B4641" s="104" t="s">
        <v>4700</v>
      </c>
      <c r="C4641" s="104" t="s">
        <v>183</v>
      </c>
      <c r="D4641" s="129" t="s">
        <v>23200</v>
      </c>
    </row>
    <row r="4642" spans="1:4">
      <c r="A4642" s="105">
        <v>96878</v>
      </c>
      <c r="B4642" s="104" t="s">
        <v>4701</v>
      </c>
      <c r="C4642" s="104" t="s">
        <v>183</v>
      </c>
      <c r="D4642" s="129" t="s">
        <v>23201</v>
      </c>
    </row>
    <row r="4643" spans="1:4">
      <c r="A4643" s="105">
        <v>96879</v>
      </c>
      <c r="B4643" s="104" t="s">
        <v>4702</v>
      </c>
      <c r="C4643" s="104" t="s">
        <v>183</v>
      </c>
      <c r="D4643" s="129" t="s">
        <v>23202</v>
      </c>
    </row>
    <row r="4644" spans="1:4">
      <c r="A4644" s="105">
        <v>96880</v>
      </c>
      <c r="B4644" s="104" t="s">
        <v>4703</v>
      </c>
      <c r="C4644" s="104" t="s">
        <v>183</v>
      </c>
      <c r="D4644" s="129" t="s">
        <v>23203</v>
      </c>
    </row>
    <row r="4645" spans="1:4">
      <c r="A4645" s="105">
        <v>96881</v>
      </c>
      <c r="B4645" s="104" t="s">
        <v>4704</v>
      </c>
      <c r="C4645" s="104" t="s">
        <v>183</v>
      </c>
      <c r="D4645" s="129" t="s">
        <v>23204</v>
      </c>
    </row>
    <row r="4646" spans="1:4">
      <c r="A4646" s="105">
        <v>97425</v>
      </c>
      <c r="B4646" s="104" t="s">
        <v>4705</v>
      </c>
      <c r="C4646" s="104" t="s">
        <v>183</v>
      </c>
      <c r="D4646" s="129" t="s">
        <v>16399</v>
      </c>
    </row>
    <row r="4647" spans="1:4">
      <c r="A4647" s="105">
        <v>97426</v>
      </c>
      <c r="B4647" s="104" t="s">
        <v>4706</v>
      </c>
      <c r="C4647" s="104" t="s">
        <v>183</v>
      </c>
      <c r="D4647" s="129" t="s">
        <v>23205</v>
      </c>
    </row>
    <row r="4648" spans="1:4">
      <c r="A4648" s="105">
        <v>97427</v>
      </c>
      <c r="B4648" s="104" t="s">
        <v>4707</v>
      </c>
      <c r="C4648" s="104" t="s">
        <v>183</v>
      </c>
      <c r="D4648" s="129" t="s">
        <v>22108</v>
      </c>
    </row>
    <row r="4649" spans="1:4">
      <c r="A4649" s="105">
        <v>97428</v>
      </c>
      <c r="B4649" s="104" t="s">
        <v>4708</v>
      </c>
      <c r="C4649" s="104" t="s">
        <v>183</v>
      </c>
      <c r="D4649" s="129" t="s">
        <v>23206</v>
      </c>
    </row>
    <row r="4650" spans="1:4">
      <c r="A4650" s="105">
        <v>97429</v>
      </c>
      <c r="B4650" s="104" t="s">
        <v>4709</v>
      </c>
      <c r="C4650" s="104" t="s">
        <v>183</v>
      </c>
      <c r="D4650" s="129" t="s">
        <v>23207</v>
      </c>
    </row>
    <row r="4651" spans="1:4">
      <c r="A4651" s="105">
        <v>97430</v>
      </c>
      <c r="B4651" s="104" t="s">
        <v>4710</v>
      </c>
      <c r="C4651" s="104" t="s">
        <v>183</v>
      </c>
      <c r="D4651" s="129" t="s">
        <v>23208</v>
      </c>
    </row>
    <row r="4652" spans="1:4">
      <c r="A4652" s="105">
        <v>97431</v>
      </c>
      <c r="B4652" s="104" t="s">
        <v>4711</v>
      </c>
      <c r="C4652" s="104" t="s">
        <v>183</v>
      </c>
      <c r="D4652" s="129" t="s">
        <v>23209</v>
      </c>
    </row>
    <row r="4653" spans="1:4">
      <c r="A4653" s="105">
        <v>97432</v>
      </c>
      <c r="B4653" s="104" t="s">
        <v>4712</v>
      </c>
      <c r="C4653" s="104" t="s">
        <v>183</v>
      </c>
      <c r="D4653" s="129" t="s">
        <v>19279</v>
      </c>
    </row>
    <row r="4654" spans="1:4">
      <c r="A4654" s="105">
        <v>97433</v>
      </c>
      <c r="B4654" s="104" t="s">
        <v>4713</v>
      </c>
      <c r="C4654" s="104" t="s">
        <v>183</v>
      </c>
      <c r="D4654" s="129" t="s">
        <v>23210</v>
      </c>
    </row>
    <row r="4655" spans="1:4">
      <c r="A4655" s="105">
        <v>97434</v>
      </c>
      <c r="B4655" s="104" t="s">
        <v>4714</v>
      </c>
      <c r="C4655" s="104" t="s">
        <v>183</v>
      </c>
      <c r="D4655" s="129" t="s">
        <v>22566</v>
      </c>
    </row>
    <row r="4656" spans="1:4">
      <c r="A4656" s="105">
        <v>97435</v>
      </c>
      <c r="B4656" s="104" t="s">
        <v>4715</v>
      </c>
      <c r="C4656" s="104" t="s">
        <v>183</v>
      </c>
      <c r="D4656" s="129" t="s">
        <v>23211</v>
      </c>
    </row>
    <row r="4657" spans="1:4">
      <c r="A4657" s="105">
        <v>97436</v>
      </c>
      <c r="B4657" s="104" t="s">
        <v>4716</v>
      </c>
      <c r="C4657" s="104" t="s">
        <v>183</v>
      </c>
      <c r="D4657" s="129" t="s">
        <v>23212</v>
      </c>
    </row>
    <row r="4658" spans="1:4">
      <c r="A4658" s="105">
        <v>97437</v>
      </c>
      <c r="B4658" s="104" t="s">
        <v>4717</v>
      </c>
      <c r="C4658" s="104" t="s">
        <v>183</v>
      </c>
      <c r="D4658" s="129" t="s">
        <v>23213</v>
      </c>
    </row>
    <row r="4659" spans="1:4">
      <c r="A4659" s="105">
        <v>97438</v>
      </c>
      <c r="B4659" s="104" t="s">
        <v>4718</v>
      </c>
      <c r="C4659" s="104" t="s">
        <v>183</v>
      </c>
      <c r="D4659" s="129" t="s">
        <v>23214</v>
      </c>
    </row>
    <row r="4660" spans="1:4">
      <c r="A4660" s="105">
        <v>97439</v>
      </c>
      <c r="B4660" s="104" t="s">
        <v>4719</v>
      </c>
      <c r="C4660" s="104" t="s">
        <v>183</v>
      </c>
      <c r="D4660" s="129" t="s">
        <v>23215</v>
      </c>
    </row>
    <row r="4661" spans="1:4">
      <c r="A4661" s="105">
        <v>97440</v>
      </c>
      <c r="B4661" s="104" t="s">
        <v>4720</v>
      </c>
      <c r="C4661" s="104" t="s">
        <v>183</v>
      </c>
      <c r="D4661" s="129" t="s">
        <v>23216</v>
      </c>
    </row>
    <row r="4662" spans="1:4">
      <c r="A4662" s="105">
        <v>97442</v>
      </c>
      <c r="B4662" s="104" t="s">
        <v>4721</v>
      </c>
      <c r="C4662" s="104" t="s">
        <v>183</v>
      </c>
      <c r="D4662" s="129" t="s">
        <v>23217</v>
      </c>
    </row>
    <row r="4663" spans="1:4">
      <c r="A4663" s="105">
        <v>97443</v>
      </c>
      <c r="B4663" s="104" t="s">
        <v>4722</v>
      </c>
      <c r="C4663" s="104" t="s">
        <v>183</v>
      </c>
      <c r="D4663" s="129" t="s">
        <v>16746</v>
      </c>
    </row>
    <row r="4664" spans="1:4">
      <c r="A4664" s="105">
        <v>97444</v>
      </c>
      <c r="B4664" s="104" t="s">
        <v>4723</v>
      </c>
      <c r="C4664" s="104" t="s">
        <v>183</v>
      </c>
      <c r="D4664" s="129" t="s">
        <v>23218</v>
      </c>
    </row>
    <row r="4665" spans="1:4">
      <c r="A4665" s="105">
        <v>97446</v>
      </c>
      <c r="B4665" s="104" t="s">
        <v>4724</v>
      </c>
      <c r="C4665" s="104" t="s">
        <v>183</v>
      </c>
      <c r="D4665" s="129" t="s">
        <v>23219</v>
      </c>
    </row>
    <row r="4666" spans="1:4">
      <c r="A4666" s="105">
        <v>97447</v>
      </c>
      <c r="B4666" s="104" t="s">
        <v>4725</v>
      </c>
      <c r="C4666" s="104" t="s">
        <v>183</v>
      </c>
      <c r="D4666" s="129" t="s">
        <v>23219</v>
      </c>
    </row>
    <row r="4667" spans="1:4">
      <c r="A4667" s="105">
        <v>97449</v>
      </c>
      <c r="B4667" s="104" t="s">
        <v>4726</v>
      </c>
      <c r="C4667" s="104" t="s">
        <v>183</v>
      </c>
      <c r="D4667" s="129" t="s">
        <v>23220</v>
      </c>
    </row>
    <row r="4668" spans="1:4">
      <c r="A4668" s="105">
        <v>97450</v>
      </c>
      <c r="B4668" s="104" t="s">
        <v>4727</v>
      </c>
      <c r="C4668" s="104" t="s">
        <v>183</v>
      </c>
      <c r="D4668" s="129" t="s">
        <v>23221</v>
      </c>
    </row>
    <row r="4669" spans="1:4">
      <c r="A4669" s="105">
        <v>97452</v>
      </c>
      <c r="B4669" s="104" t="s">
        <v>4728</v>
      </c>
      <c r="C4669" s="104" t="s">
        <v>183</v>
      </c>
      <c r="D4669" s="129" t="s">
        <v>23222</v>
      </c>
    </row>
    <row r="4670" spans="1:4">
      <c r="A4670" s="105">
        <v>97453</v>
      </c>
      <c r="B4670" s="104" t="s">
        <v>4729</v>
      </c>
      <c r="C4670" s="104" t="s">
        <v>183</v>
      </c>
      <c r="D4670" s="129" t="s">
        <v>23223</v>
      </c>
    </row>
    <row r="4671" spans="1:4">
      <c r="A4671" s="105">
        <v>97454</v>
      </c>
      <c r="B4671" s="104" t="s">
        <v>4730</v>
      </c>
      <c r="C4671" s="104" t="s">
        <v>183</v>
      </c>
      <c r="D4671" s="129" t="s">
        <v>23224</v>
      </c>
    </row>
    <row r="4672" spans="1:4">
      <c r="A4672" s="105">
        <v>97455</v>
      </c>
      <c r="B4672" s="104" t="s">
        <v>4731</v>
      </c>
      <c r="C4672" s="104" t="s">
        <v>183</v>
      </c>
      <c r="D4672" s="129" t="s">
        <v>23225</v>
      </c>
    </row>
    <row r="4673" spans="1:4">
      <c r="A4673" s="105">
        <v>97456</v>
      </c>
      <c r="B4673" s="104" t="s">
        <v>4732</v>
      </c>
      <c r="C4673" s="104" t="s">
        <v>183</v>
      </c>
      <c r="D4673" s="129" t="s">
        <v>23226</v>
      </c>
    </row>
    <row r="4674" spans="1:4">
      <c r="A4674" s="105">
        <v>97457</v>
      </c>
      <c r="B4674" s="104" t="s">
        <v>4733</v>
      </c>
      <c r="C4674" s="104" t="s">
        <v>183</v>
      </c>
      <c r="D4674" s="129" t="s">
        <v>23227</v>
      </c>
    </row>
    <row r="4675" spans="1:4">
      <c r="A4675" s="105">
        <v>97458</v>
      </c>
      <c r="B4675" s="104" t="s">
        <v>4734</v>
      </c>
      <c r="C4675" s="104" t="s">
        <v>183</v>
      </c>
      <c r="D4675" s="129" t="s">
        <v>23228</v>
      </c>
    </row>
    <row r="4676" spans="1:4">
      <c r="A4676" s="105">
        <v>97459</v>
      </c>
      <c r="B4676" s="104" t="s">
        <v>4735</v>
      </c>
      <c r="C4676" s="104" t="s">
        <v>183</v>
      </c>
      <c r="D4676" s="129" t="s">
        <v>23229</v>
      </c>
    </row>
    <row r="4677" spans="1:4">
      <c r="A4677" s="105">
        <v>97460</v>
      </c>
      <c r="B4677" s="104" t="s">
        <v>4736</v>
      </c>
      <c r="C4677" s="104" t="s">
        <v>183</v>
      </c>
      <c r="D4677" s="129" t="s">
        <v>23230</v>
      </c>
    </row>
    <row r="4678" spans="1:4">
      <c r="A4678" s="105">
        <v>97461</v>
      </c>
      <c r="B4678" s="104" t="s">
        <v>4737</v>
      </c>
      <c r="C4678" s="104" t="s">
        <v>183</v>
      </c>
      <c r="D4678" s="129" t="s">
        <v>23231</v>
      </c>
    </row>
    <row r="4679" spans="1:4">
      <c r="A4679" s="105">
        <v>97462</v>
      </c>
      <c r="B4679" s="104" t="s">
        <v>4738</v>
      </c>
      <c r="C4679" s="104" t="s">
        <v>183</v>
      </c>
      <c r="D4679" s="129" t="s">
        <v>23232</v>
      </c>
    </row>
    <row r="4680" spans="1:4">
      <c r="A4680" s="105">
        <v>97464</v>
      </c>
      <c r="B4680" s="104" t="s">
        <v>4739</v>
      </c>
      <c r="C4680" s="104" t="s">
        <v>183</v>
      </c>
      <c r="D4680" s="129" t="s">
        <v>18086</v>
      </c>
    </row>
    <row r="4681" spans="1:4">
      <c r="A4681" s="105">
        <v>97465</v>
      </c>
      <c r="B4681" s="104" t="s">
        <v>4740</v>
      </c>
      <c r="C4681" s="104" t="s">
        <v>183</v>
      </c>
      <c r="D4681" s="129" t="s">
        <v>23233</v>
      </c>
    </row>
    <row r="4682" spans="1:4">
      <c r="A4682" s="105">
        <v>97467</v>
      </c>
      <c r="B4682" s="104" t="s">
        <v>4741</v>
      </c>
      <c r="C4682" s="104" t="s">
        <v>183</v>
      </c>
      <c r="D4682" s="129" t="s">
        <v>23234</v>
      </c>
    </row>
    <row r="4683" spans="1:4">
      <c r="A4683" s="105">
        <v>97468</v>
      </c>
      <c r="B4683" s="104" t="s">
        <v>4742</v>
      </c>
      <c r="C4683" s="104" t="s">
        <v>183</v>
      </c>
      <c r="D4683" s="129" t="s">
        <v>23235</v>
      </c>
    </row>
    <row r="4684" spans="1:4">
      <c r="A4684" s="105">
        <v>97470</v>
      </c>
      <c r="B4684" s="104" t="s">
        <v>4743</v>
      </c>
      <c r="C4684" s="104" t="s">
        <v>183</v>
      </c>
      <c r="D4684" s="129" t="s">
        <v>23236</v>
      </c>
    </row>
    <row r="4685" spans="1:4">
      <c r="A4685" s="105">
        <v>97471</v>
      </c>
      <c r="B4685" s="104" t="s">
        <v>4744</v>
      </c>
      <c r="C4685" s="104" t="s">
        <v>183</v>
      </c>
      <c r="D4685" s="129" t="s">
        <v>23237</v>
      </c>
    </row>
    <row r="4686" spans="1:4">
      <c r="A4686" s="105">
        <v>97474</v>
      </c>
      <c r="B4686" s="104" t="s">
        <v>4745</v>
      </c>
      <c r="C4686" s="104" t="s">
        <v>183</v>
      </c>
      <c r="D4686" s="129" t="s">
        <v>23238</v>
      </c>
    </row>
    <row r="4687" spans="1:4">
      <c r="A4687" s="105">
        <v>97475</v>
      </c>
      <c r="B4687" s="104" t="s">
        <v>4746</v>
      </c>
      <c r="C4687" s="104" t="s">
        <v>183</v>
      </c>
      <c r="D4687" s="129" t="s">
        <v>23239</v>
      </c>
    </row>
    <row r="4688" spans="1:4">
      <c r="A4688" s="105">
        <v>97477</v>
      </c>
      <c r="B4688" s="104" t="s">
        <v>4747</v>
      </c>
      <c r="C4688" s="104" t="s">
        <v>183</v>
      </c>
      <c r="D4688" s="129" t="s">
        <v>15228</v>
      </c>
    </row>
    <row r="4689" spans="1:4">
      <c r="A4689" s="105">
        <v>97478</v>
      </c>
      <c r="B4689" s="104" t="s">
        <v>4748</v>
      </c>
      <c r="C4689" s="104" t="s">
        <v>183</v>
      </c>
      <c r="D4689" s="129" t="s">
        <v>23240</v>
      </c>
    </row>
    <row r="4690" spans="1:4">
      <c r="A4690" s="105">
        <v>97479</v>
      </c>
      <c r="B4690" s="104" t="s">
        <v>4749</v>
      </c>
      <c r="C4690" s="104" t="s">
        <v>183</v>
      </c>
      <c r="D4690" s="129" t="s">
        <v>23241</v>
      </c>
    </row>
    <row r="4691" spans="1:4">
      <c r="A4691" s="105">
        <v>97480</v>
      </c>
      <c r="B4691" s="104" t="s">
        <v>4750</v>
      </c>
      <c r="C4691" s="104" t="s">
        <v>183</v>
      </c>
      <c r="D4691" s="129" t="s">
        <v>23241</v>
      </c>
    </row>
    <row r="4692" spans="1:4">
      <c r="A4692" s="105">
        <v>97481</v>
      </c>
      <c r="B4692" s="104" t="s">
        <v>4751</v>
      </c>
      <c r="C4692" s="104" t="s">
        <v>183</v>
      </c>
      <c r="D4692" s="129" t="s">
        <v>23242</v>
      </c>
    </row>
    <row r="4693" spans="1:4">
      <c r="A4693" s="105">
        <v>97482</v>
      </c>
      <c r="B4693" s="104" t="s">
        <v>4752</v>
      </c>
      <c r="C4693" s="104" t="s">
        <v>183</v>
      </c>
      <c r="D4693" s="129" t="s">
        <v>23242</v>
      </c>
    </row>
    <row r="4694" spans="1:4">
      <c r="A4694" s="105">
        <v>97483</v>
      </c>
      <c r="B4694" s="104" t="s">
        <v>4753</v>
      </c>
      <c r="C4694" s="104" t="s">
        <v>183</v>
      </c>
      <c r="D4694" s="129" t="s">
        <v>23243</v>
      </c>
    </row>
    <row r="4695" spans="1:4">
      <c r="A4695" s="105">
        <v>97484</v>
      </c>
      <c r="B4695" s="104" t="s">
        <v>4754</v>
      </c>
      <c r="C4695" s="104" t="s">
        <v>183</v>
      </c>
      <c r="D4695" s="129" t="s">
        <v>23243</v>
      </c>
    </row>
    <row r="4696" spans="1:4">
      <c r="A4696" s="105">
        <v>97485</v>
      </c>
      <c r="B4696" s="104" t="s">
        <v>4755</v>
      </c>
      <c r="C4696" s="104" t="s">
        <v>183</v>
      </c>
      <c r="D4696" s="129" t="s">
        <v>23244</v>
      </c>
    </row>
    <row r="4697" spans="1:4">
      <c r="A4697" s="105">
        <v>97486</v>
      </c>
      <c r="B4697" s="104" t="s">
        <v>4756</v>
      </c>
      <c r="C4697" s="104" t="s">
        <v>183</v>
      </c>
      <c r="D4697" s="129" t="s">
        <v>23245</v>
      </c>
    </row>
    <row r="4698" spans="1:4">
      <c r="A4698" s="105">
        <v>97487</v>
      </c>
      <c r="B4698" s="104" t="s">
        <v>4757</v>
      </c>
      <c r="C4698" s="104" t="s">
        <v>183</v>
      </c>
      <c r="D4698" s="129" t="s">
        <v>23246</v>
      </c>
    </row>
    <row r="4699" spans="1:4">
      <c r="A4699" s="105">
        <v>97488</v>
      </c>
      <c r="B4699" s="104" t="s">
        <v>4758</v>
      </c>
      <c r="C4699" s="104" t="s">
        <v>183</v>
      </c>
      <c r="D4699" s="129" t="s">
        <v>23247</v>
      </c>
    </row>
    <row r="4700" spans="1:4">
      <c r="A4700" s="105">
        <v>97489</v>
      </c>
      <c r="B4700" s="104" t="s">
        <v>4759</v>
      </c>
      <c r="C4700" s="104" t="s">
        <v>183</v>
      </c>
      <c r="D4700" s="129" t="s">
        <v>23248</v>
      </c>
    </row>
    <row r="4701" spans="1:4">
      <c r="A4701" s="105">
        <v>97490</v>
      </c>
      <c r="B4701" s="104" t="s">
        <v>4760</v>
      </c>
      <c r="C4701" s="104" t="s">
        <v>183</v>
      </c>
      <c r="D4701" s="129" t="s">
        <v>23249</v>
      </c>
    </row>
    <row r="4702" spans="1:4">
      <c r="A4702" s="105">
        <v>97491</v>
      </c>
      <c r="B4702" s="104" t="s">
        <v>4761</v>
      </c>
      <c r="C4702" s="104" t="s">
        <v>183</v>
      </c>
      <c r="D4702" s="129" t="s">
        <v>23250</v>
      </c>
    </row>
    <row r="4703" spans="1:4">
      <c r="A4703" s="105">
        <v>97492</v>
      </c>
      <c r="B4703" s="104" t="s">
        <v>4762</v>
      </c>
      <c r="C4703" s="104" t="s">
        <v>183</v>
      </c>
      <c r="D4703" s="129" t="s">
        <v>23251</v>
      </c>
    </row>
    <row r="4704" spans="1:4">
      <c r="A4704" s="105">
        <v>97493</v>
      </c>
      <c r="B4704" s="104" t="s">
        <v>4763</v>
      </c>
      <c r="C4704" s="104" t="s">
        <v>183</v>
      </c>
      <c r="D4704" s="129" t="s">
        <v>23252</v>
      </c>
    </row>
    <row r="4705" spans="1:4">
      <c r="A4705" s="105">
        <v>97494</v>
      </c>
      <c r="B4705" s="104" t="s">
        <v>4764</v>
      </c>
      <c r="C4705" s="104" t="s">
        <v>183</v>
      </c>
      <c r="D4705" s="129" t="s">
        <v>23253</v>
      </c>
    </row>
    <row r="4706" spans="1:4">
      <c r="A4706" s="105">
        <v>97495</v>
      </c>
      <c r="B4706" s="104" t="s">
        <v>4765</v>
      </c>
      <c r="C4706" s="104" t="s">
        <v>183</v>
      </c>
      <c r="D4706" s="129" t="s">
        <v>23254</v>
      </c>
    </row>
    <row r="4707" spans="1:4">
      <c r="A4707" s="105">
        <v>97496</v>
      </c>
      <c r="B4707" s="104" t="s">
        <v>4766</v>
      </c>
      <c r="C4707" s="104" t="s">
        <v>183</v>
      </c>
      <c r="D4707" s="129" t="s">
        <v>23255</v>
      </c>
    </row>
    <row r="4708" spans="1:4">
      <c r="A4708" s="105">
        <v>97499</v>
      </c>
      <c r="B4708" s="104" t="s">
        <v>4767</v>
      </c>
      <c r="C4708" s="104" t="s">
        <v>183</v>
      </c>
      <c r="D4708" s="129" t="s">
        <v>23256</v>
      </c>
    </row>
    <row r="4709" spans="1:4">
      <c r="A4709" s="105">
        <v>97500</v>
      </c>
      <c r="B4709" s="104" t="s">
        <v>4768</v>
      </c>
      <c r="C4709" s="104" t="s">
        <v>183</v>
      </c>
      <c r="D4709" s="129" t="s">
        <v>17586</v>
      </c>
    </row>
    <row r="4710" spans="1:4">
      <c r="A4710" s="105">
        <v>97502</v>
      </c>
      <c r="B4710" s="104" t="s">
        <v>4769</v>
      </c>
      <c r="C4710" s="104" t="s">
        <v>183</v>
      </c>
      <c r="D4710" s="129" t="s">
        <v>23257</v>
      </c>
    </row>
    <row r="4711" spans="1:4">
      <c r="A4711" s="105">
        <v>97503</v>
      </c>
      <c r="B4711" s="104" t="s">
        <v>4770</v>
      </c>
      <c r="C4711" s="104" t="s">
        <v>183</v>
      </c>
      <c r="D4711" s="129" t="s">
        <v>17949</v>
      </c>
    </row>
    <row r="4712" spans="1:4">
      <c r="A4712" s="105">
        <v>97505</v>
      </c>
      <c r="B4712" s="104" t="s">
        <v>4771</v>
      </c>
      <c r="C4712" s="104" t="s">
        <v>183</v>
      </c>
      <c r="D4712" s="129" t="s">
        <v>23258</v>
      </c>
    </row>
    <row r="4713" spans="1:4">
      <c r="A4713" s="105">
        <v>97506</v>
      </c>
      <c r="B4713" s="104" t="s">
        <v>4772</v>
      </c>
      <c r="C4713" s="104" t="s">
        <v>183</v>
      </c>
      <c r="D4713" s="129" t="s">
        <v>15847</v>
      </c>
    </row>
    <row r="4714" spans="1:4">
      <c r="A4714" s="105">
        <v>97508</v>
      </c>
      <c r="B4714" s="104" t="s">
        <v>4773</v>
      </c>
      <c r="C4714" s="104" t="s">
        <v>183</v>
      </c>
      <c r="D4714" s="129" t="s">
        <v>23259</v>
      </c>
    </row>
    <row r="4715" spans="1:4">
      <c r="A4715" s="105">
        <v>97509</v>
      </c>
      <c r="B4715" s="104" t="s">
        <v>4774</v>
      </c>
      <c r="C4715" s="104" t="s">
        <v>183</v>
      </c>
      <c r="D4715" s="129" t="s">
        <v>22003</v>
      </c>
    </row>
    <row r="4716" spans="1:4">
      <c r="A4716" s="105">
        <v>97511</v>
      </c>
      <c r="B4716" s="104" t="s">
        <v>4775</v>
      </c>
      <c r="C4716" s="104" t="s">
        <v>183</v>
      </c>
      <c r="D4716" s="129" t="s">
        <v>23260</v>
      </c>
    </row>
    <row r="4717" spans="1:4">
      <c r="A4717" s="105">
        <v>97512</v>
      </c>
      <c r="B4717" s="104" t="s">
        <v>4776</v>
      </c>
      <c r="C4717" s="104" t="s">
        <v>183</v>
      </c>
      <c r="D4717" s="129" t="s">
        <v>23261</v>
      </c>
    </row>
    <row r="4718" spans="1:4">
      <c r="A4718" s="105">
        <v>97514</v>
      </c>
      <c r="B4718" s="104" t="s">
        <v>4777</v>
      </c>
      <c r="C4718" s="104" t="s">
        <v>183</v>
      </c>
      <c r="D4718" s="129" t="s">
        <v>23262</v>
      </c>
    </row>
    <row r="4719" spans="1:4">
      <c r="A4719" s="105">
        <v>97515</v>
      </c>
      <c r="B4719" s="104" t="s">
        <v>4778</v>
      </c>
      <c r="C4719" s="104" t="s">
        <v>183</v>
      </c>
      <c r="D4719" s="129" t="s">
        <v>23263</v>
      </c>
    </row>
    <row r="4720" spans="1:4">
      <c r="A4720" s="105">
        <v>97517</v>
      </c>
      <c r="B4720" s="104" t="s">
        <v>4779</v>
      </c>
      <c r="C4720" s="104" t="s">
        <v>183</v>
      </c>
      <c r="D4720" s="129" t="s">
        <v>22916</v>
      </c>
    </row>
    <row r="4721" spans="1:4">
      <c r="A4721" s="105">
        <v>97518</v>
      </c>
      <c r="B4721" s="104" t="s">
        <v>4780</v>
      </c>
      <c r="C4721" s="104" t="s">
        <v>183</v>
      </c>
      <c r="D4721" s="129" t="s">
        <v>22916</v>
      </c>
    </row>
    <row r="4722" spans="1:4">
      <c r="A4722" s="105">
        <v>97519</v>
      </c>
      <c r="B4722" s="104" t="s">
        <v>4781</v>
      </c>
      <c r="C4722" s="104" t="s">
        <v>183</v>
      </c>
      <c r="D4722" s="129" t="s">
        <v>17494</v>
      </c>
    </row>
    <row r="4723" spans="1:4">
      <c r="A4723" s="105">
        <v>97520</v>
      </c>
      <c r="B4723" s="104" t="s">
        <v>4782</v>
      </c>
      <c r="C4723" s="104" t="s">
        <v>183</v>
      </c>
      <c r="D4723" s="129" t="s">
        <v>17494</v>
      </c>
    </row>
    <row r="4724" spans="1:4">
      <c r="A4724" s="105">
        <v>97521</v>
      </c>
      <c r="B4724" s="104" t="s">
        <v>4783</v>
      </c>
      <c r="C4724" s="104" t="s">
        <v>183</v>
      </c>
      <c r="D4724" s="129" t="s">
        <v>23264</v>
      </c>
    </row>
    <row r="4725" spans="1:4">
      <c r="A4725" s="105">
        <v>97522</v>
      </c>
      <c r="B4725" s="104" t="s">
        <v>4784</v>
      </c>
      <c r="C4725" s="104" t="s">
        <v>183</v>
      </c>
      <c r="D4725" s="129" t="s">
        <v>23264</v>
      </c>
    </row>
    <row r="4726" spans="1:4">
      <c r="A4726" s="105">
        <v>97523</v>
      </c>
      <c r="B4726" s="104" t="s">
        <v>4785</v>
      </c>
      <c r="C4726" s="104" t="s">
        <v>183</v>
      </c>
      <c r="D4726" s="129" t="s">
        <v>23265</v>
      </c>
    </row>
    <row r="4727" spans="1:4">
      <c r="A4727" s="105">
        <v>97524</v>
      </c>
      <c r="B4727" s="104" t="s">
        <v>4786</v>
      </c>
      <c r="C4727" s="104" t="s">
        <v>183</v>
      </c>
      <c r="D4727" s="129" t="s">
        <v>23266</v>
      </c>
    </row>
    <row r="4728" spans="1:4">
      <c r="A4728" s="105">
        <v>97525</v>
      </c>
      <c r="B4728" s="104" t="s">
        <v>4787</v>
      </c>
      <c r="C4728" s="104" t="s">
        <v>183</v>
      </c>
      <c r="D4728" s="129" t="s">
        <v>23267</v>
      </c>
    </row>
    <row r="4729" spans="1:4">
      <c r="A4729" s="105">
        <v>97526</v>
      </c>
      <c r="B4729" s="104" t="s">
        <v>4788</v>
      </c>
      <c r="C4729" s="104" t="s">
        <v>183</v>
      </c>
      <c r="D4729" s="129" t="s">
        <v>23268</v>
      </c>
    </row>
    <row r="4730" spans="1:4">
      <c r="A4730" s="105">
        <v>97527</v>
      </c>
      <c r="B4730" s="104" t="s">
        <v>4789</v>
      </c>
      <c r="C4730" s="104" t="s">
        <v>183</v>
      </c>
      <c r="D4730" s="129" t="s">
        <v>23269</v>
      </c>
    </row>
    <row r="4731" spans="1:4">
      <c r="A4731" s="105">
        <v>97528</v>
      </c>
      <c r="B4731" s="104" t="s">
        <v>4790</v>
      </c>
      <c r="C4731" s="104" t="s">
        <v>183</v>
      </c>
      <c r="D4731" s="129" t="s">
        <v>23270</v>
      </c>
    </row>
    <row r="4732" spans="1:4">
      <c r="A4732" s="105">
        <v>97529</v>
      </c>
      <c r="B4732" s="104" t="s">
        <v>4791</v>
      </c>
      <c r="C4732" s="104" t="s">
        <v>183</v>
      </c>
      <c r="D4732" s="129" t="s">
        <v>19319</v>
      </c>
    </row>
    <row r="4733" spans="1:4">
      <c r="A4733" s="105">
        <v>97530</v>
      </c>
      <c r="B4733" s="104" t="s">
        <v>4792</v>
      </c>
      <c r="C4733" s="104" t="s">
        <v>183</v>
      </c>
      <c r="D4733" s="129" t="s">
        <v>23271</v>
      </c>
    </row>
    <row r="4734" spans="1:4">
      <c r="A4734" s="105">
        <v>97531</v>
      </c>
      <c r="B4734" s="104" t="s">
        <v>4793</v>
      </c>
      <c r="C4734" s="104" t="s">
        <v>183</v>
      </c>
      <c r="D4734" s="129" t="s">
        <v>23272</v>
      </c>
    </row>
    <row r="4735" spans="1:4">
      <c r="A4735" s="105">
        <v>97532</v>
      </c>
      <c r="B4735" s="104" t="s">
        <v>4794</v>
      </c>
      <c r="C4735" s="104" t="s">
        <v>183</v>
      </c>
      <c r="D4735" s="129" t="s">
        <v>23273</v>
      </c>
    </row>
    <row r="4736" spans="1:4">
      <c r="A4736" s="105">
        <v>97533</v>
      </c>
      <c r="B4736" s="104" t="s">
        <v>4795</v>
      </c>
      <c r="C4736" s="104" t="s">
        <v>183</v>
      </c>
      <c r="D4736" s="129" t="s">
        <v>23274</v>
      </c>
    </row>
    <row r="4737" spans="1:4">
      <c r="A4737" s="105">
        <v>97534</v>
      </c>
      <c r="B4737" s="104" t="s">
        <v>4796</v>
      </c>
      <c r="C4737" s="104" t="s">
        <v>183</v>
      </c>
      <c r="D4737" s="129" t="s">
        <v>23275</v>
      </c>
    </row>
    <row r="4738" spans="1:4">
      <c r="A4738" s="105">
        <v>97537</v>
      </c>
      <c r="B4738" s="104" t="s">
        <v>4797</v>
      </c>
      <c r="C4738" s="104" t="s">
        <v>183</v>
      </c>
      <c r="D4738" s="129" t="s">
        <v>23276</v>
      </c>
    </row>
    <row r="4739" spans="1:4">
      <c r="A4739" s="105">
        <v>97540</v>
      </c>
      <c r="B4739" s="104" t="s">
        <v>4798</v>
      </c>
      <c r="C4739" s="104" t="s">
        <v>183</v>
      </c>
      <c r="D4739" s="129" t="s">
        <v>23277</v>
      </c>
    </row>
    <row r="4740" spans="1:4">
      <c r="A4740" s="105">
        <v>97541</v>
      </c>
      <c r="B4740" s="104" t="s">
        <v>4799</v>
      </c>
      <c r="C4740" s="104" t="s">
        <v>183</v>
      </c>
      <c r="D4740" s="129" t="s">
        <v>22063</v>
      </c>
    </row>
    <row r="4741" spans="1:4">
      <c r="A4741" s="105">
        <v>97543</v>
      </c>
      <c r="B4741" s="104" t="s">
        <v>4800</v>
      </c>
      <c r="C4741" s="104" t="s">
        <v>183</v>
      </c>
      <c r="D4741" s="129" t="s">
        <v>21977</v>
      </c>
    </row>
    <row r="4742" spans="1:4">
      <c r="A4742" s="105">
        <v>97544</v>
      </c>
      <c r="B4742" s="104" t="s">
        <v>4801</v>
      </c>
      <c r="C4742" s="104" t="s">
        <v>183</v>
      </c>
      <c r="D4742" s="129" t="s">
        <v>23278</v>
      </c>
    </row>
    <row r="4743" spans="1:4">
      <c r="A4743" s="105">
        <v>97546</v>
      </c>
      <c r="B4743" s="104" t="s">
        <v>4802</v>
      </c>
      <c r="C4743" s="104" t="s">
        <v>183</v>
      </c>
      <c r="D4743" s="129" t="s">
        <v>19673</v>
      </c>
    </row>
    <row r="4744" spans="1:4">
      <c r="A4744" s="105">
        <v>97547</v>
      </c>
      <c r="B4744" s="104" t="s">
        <v>4803</v>
      </c>
      <c r="C4744" s="104" t="s">
        <v>183</v>
      </c>
      <c r="D4744" s="129" t="s">
        <v>19673</v>
      </c>
    </row>
    <row r="4745" spans="1:4">
      <c r="A4745" s="105">
        <v>97548</v>
      </c>
      <c r="B4745" s="104" t="s">
        <v>4804</v>
      </c>
      <c r="C4745" s="104" t="s">
        <v>183</v>
      </c>
      <c r="D4745" s="129" t="s">
        <v>18091</v>
      </c>
    </row>
    <row r="4746" spans="1:4">
      <c r="A4746" s="105">
        <v>97549</v>
      </c>
      <c r="B4746" s="104" t="s">
        <v>4805</v>
      </c>
      <c r="C4746" s="104" t="s">
        <v>183</v>
      </c>
      <c r="D4746" s="129" t="s">
        <v>18091</v>
      </c>
    </row>
    <row r="4747" spans="1:4">
      <c r="A4747" s="105">
        <v>97550</v>
      </c>
      <c r="B4747" s="104" t="s">
        <v>4806</v>
      </c>
      <c r="C4747" s="104" t="s">
        <v>183</v>
      </c>
      <c r="D4747" s="129" t="s">
        <v>23279</v>
      </c>
    </row>
    <row r="4748" spans="1:4">
      <c r="A4748" s="105">
        <v>97551</v>
      </c>
      <c r="B4748" s="104" t="s">
        <v>4807</v>
      </c>
      <c r="C4748" s="104" t="s">
        <v>183</v>
      </c>
      <c r="D4748" s="129" t="s">
        <v>23279</v>
      </c>
    </row>
    <row r="4749" spans="1:4">
      <c r="A4749" s="105">
        <v>97552</v>
      </c>
      <c r="B4749" s="104" t="s">
        <v>4808</v>
      </c>
      <c r="C4749" s="104" t="s">
        <v>183</v>
      </c>
      <c r="D4749" s="129" t="s">
        <v>18156</v>
      </c>
    </row>
    <row r="4750" spans="1:4">
      <c r="A4750" s="105">
        <v>97553</v>
      </c>
      <c r="B4750" s="104" t="s">
        <v>4809</v>
      </c>
      <c r="C4750" s="104" t="s">
        <v>183</v>
      </c>
      <c r="D4750" s="129" t="s">
        <v>23280</v>
      </c>
    </row>
    <row r="4751" spans="1:4">
      <c r="A4751" s="105">
        <v>97554</v>
      </c>
      <c r="B4751" s="104" t="s">
        <v>4810</v>
      </c>
      <c r="C4751" s="104" t="s">
        <v>183</v>
      </c>
      <c r="D4751" s="129" t="s">
        <v>16535</v>
      </c>
    </row>
    <row r="4752" spans="1:4">
      <c r="A4752" s="105">
        <v>98602</v>
      </c>
      <c r="B4752" s="104" t="s">
        <v>4811</v>
      </c>
      <c r="C4752" s="104" t="s">
        <v>183</v>
      </c>
      <c r="D4752" s="129" t="s">
        <v>23281</v>
      </c>
    </row>
    <row r="4753" spans="1:4">
      <c r="A4753" s="105">
        <v>97895</v>
      </c>
      <c r="B4753" s="104" t="s">
        <v>4812</v>
      </c>
      <c r="C4753" s="104" t="s">
        <v>183</v>
      </c>
      <c r="D4753" s="129" t="s">
        <v>23282</v>
      </c>
    </row>
    <row r="4754" spans="1:4">
      <c r="A4754" s="105">
        <v>97896</v>
      </c>
      <c r="B4754" s="104" t="s">
        <v>4813</v>
      </c>
      <c r="C4754" s="104" t="s">
        <v>183</v>
      </c>
      <c r="D4754" s="129" t="s">
        <v>23283</v>
      </c>
    </row>
    <row r="4755" spans="1:4">
      <c r="A4755" s="105">
        <v>97897</v>
      </c>
      <c r="B4755" s="104" t="s">
        <v>4814</v>
      </c>
      <c r="C4755" s="104" t="s">
        <v>183</v>
      </c>
      <c r="D4755" s="129" t="s">
        <v>23284</v>
      </c>
    </row>
    <row r="4756" spans="1:4">
      <c r="A4756" s="105">
        <v>97898</v>
      </c>
      <c r="B4756" s="104" t="s">
        <v>4815</v>
      </c>
      <c r="C4756" s="104" t="s">
        <v>183</v>
      </c>
      <c r="D4756" s="129" t="s">
        <v>23285</v>
      </c>
    </row>
    <row r="4757" spans="1:4">
      <c r="A4757" s="105">
        <v>97900</v>
      </c>
      <c r="B4757" s="104" t="s">
        <v>4816</v>
      </c>
      <c r="C4757" s="104" t="s">
        <v>183</v>
      </c>
      <c r="D4757" s="129" t="s">
        <v>23286</v>
      </c>
    </row>
    <row r="4758" spans="1:4">
      <c r="A4758" s="105">
        <v>97901</v>
      </c>
      <c r="B4758" s="104" t="s">
        <v>4817</v>
      </c>
      <c r="C4758" s="104" t="s">
        <v>183</v>
      </c>
      <c r="D4758" s="129" t="s">
        <v>23287</v>
      </c>
    </row>
    <row r="4759" spans="1:4">
      <c r="A4759" s="105">
        <v>97902</v>
      </c>
      <c r="B4759" s="104" t="s">
        <v>4818</v>
      </c>
      <c r="C4759" s="104" t="s">
        <v>183</v>
      </c>
      <c r="D4759" s="129" t="s">
        <v>23288</v>
      </c>
    </row>
    <row r="4760" spans="1:4">
      <c r="A4760" s="105">
        <v>97903</v>
      </c>
      <c r="B4760" s="104" t="s">
        <v>4819</v>
      </c>
      <c r="C4760" s="104" t="s">
        <v>183</v>
      </c>
      <c r="D4760" s="129" t="s">
        <v>23289</v>
      </c>
    </row>
    <row r="4761" spans="1:4">
      <c r="A4761" s="105">
        <v>97904</v>
      </c>
      <c r="B4761" s="104" t="s">
        <v>4820</v>
      </c>
      <c r="C4761" s="104" t="s">
        <v>183</v>
      </c>
      <c r="D4761" s="129" t="s">
        <v>23290</v>
      </c>
    </row>
    <row r="4762" spans="1:4">
      <c r="A4762" s="105">
        <v>97905</v>
      </c>
      <c r="B4762" s="104" t="s">
        <v>4821</v>
      </c>
      <c r="C4762" s="104" t="s">
        <v>183</v>
      </c>
      <c r="D4762" s="129" t="s">
        <v>23291</v>
      </c>
    </row>
    <row r="4763" spans="1:4">
      <c r="A4763" s="105">
        <v>97906</v>
      </c>
      <c r="B4763" s="104" t="s">
        <v>4822</v>
      </c>
      <c r="C4763" s="104" t="s">
        <v>183</v>
      </c>
      <c r="D4763" s="129" t="s">
        <v>23292</v>
      </c>
    </row>
    <row r="4764" spans="1:4">
      <c r="A4764" s="105">
        <v>97907</v>
      </c>
      <c r="B4764" s="104" t="s">
        <v>4823</v>
      </c>
      <c r="C4764" s="104" t="s">
        <v>183</v>
      </c>
      <c r="D4764" s="129" t="s">
        <v>23293</v>
      </c>
    </row>
    <row r="4765" spans="1:4">
      <c r="A4765" s="105">
        <v>97908</v>
      </c>
      <c r="B4765" s="104" t="s">
        <v>4824</v>
      </c>
      <c r="C4765" s="104" t="s">
        <v>183</v>
      </c>
      <c r="D4765" s="129" t="s">
        <v>23294</v>
      </c>
    </row>
    <row r="4766" spans="1:4">
      <c r="A4766" s="105">
        <v>98102</v>
      </c>
      <c r="B4766" s="104" t="s">
        <v>4825</v>
      </c>
      <c r="C4766" s="104" t="s">
        <v>183</v>
      </c>
      <c r="D4766" s="129" t="s">
        <v>23295</v>
      </c>
    </row>
    <row r="4767" spans="1:4">
      <c r="A4767" s="105">
        <v>98104</v>
      </c>
      <c r="B4767" s="104" t="s">
        <v>4826</v>
      </c>
      <c r="C4767" s="104" t="s">
        <v>183</v>
      </c>
      <c r="D4767" s="129" t="s">
        <v>23296</v>
      </c>
    </row>
    <row r="4768" spans="1:4">
      <c r="A4768" s="105">
        <v>98105</v>
      </c>
      <c r="B4768" s="104" t="s">
        <v>4827</v>
      </c>
      <c r="C4768" s="104" t="s">
        <v>183</v>
      </c>
      <c r="D4768" s="129" t="s">
        <v>23297</v>
      </c>
    </row>
    <row r="4769" spans="1:4">
      <c r="A4769" s="105">
        <v>98106</v>
      </c>
      <c r="B4769" s="104" t="s">
        <v>4828</v>
      </c>
      <c r="C4769" s="104" t="s">
        <v>183</v>
      </c>
      <c r="D4769" s="129" t="s">
        <v>23298</v>
      </c>
    </row>
    <row r="4770" spans="1:4">
      <c r="A4770" s="105">
        <v>98107</v>
      </c>
      <c r="B4770" s="104" t="s">
        <v>4829</v>
      </c>
      <c r="C4770" s="104" t="s">
        <v>183</v>
      </c>
      <c r="D4770" s="129" t="s">
        <v>23299</v>
      </c>
    </row>
    <row r="4771" spans="1:4">
      <c r="A4771" s="105">
        <v>98108</v>
      </c>
      <c r="B4771" s="104" t="s">
        <v>4830</v>
      </c>
      <c r="C4771" s="104" t="s">
        <v>183</v>
      </c>
      <c r="D4771" s="129" t="s">
        <v>23300</v>
      </c>
    </row>
    <row r="4772" spans="1:4">
      <c r="A4772" s="105">
        <v>99250</v>
      </c>
      <c r="B4772" s="104" t="s">
        <v>4831</v>
      </c>
      <c r="C4772" s="104" t="s">
        <v>183</v>
      </c>
      <c r="D4772" s="129" t="s">
        <v>17884</v>
      </c>
    </row>
    <row r="4773" spans="1:4">
      <c r="A4773" s="105">
        <v>99251</v>
      </c>
      <c r="B4773" s="104" t="s">
        <v>4832</v>
      </c>
      <c r="C4773" s="104" t="s">
        <v>183</v>
      </c>
      <c r="D4773" s="129" t="s">
        <v>23301</v>
      </c>
    </row>
    <row r="4774" spans="1:4">
      <c r="A4774" s="105">
        <v>99253</v>
      </c>
      <c r="B4774" s="104" t="s">
        <v>4833</v>
      </c>
      <c r="C4774" s="104" t="s">
        <v>183</v>
      </c>
      <c r="D4774" s="129" t="s">
        <v>23302</v>
      </c>
    </row>
    <row r="4775" spans="1:4">
      <c r="A4775" s="105">
        <v>99255</v>
      </c>
      <c r="B4775" s="104" t="s">
        <v>4834</v>
      </c>
      <c r="C4775" s="104" t="s">
        <v>183</v>
      </c>
      <c r="D4775" s="129" t="s">
        <v>23303</v>
      </c>
    </row>
    <row r="4776" spans="1:4">
      <c r="A4776" s="105">
        <v>99257</v>
      </c>
      <c r="B4776" s="104" t="s">
        <v>4835</v>
      </c>
      <c r="C4776" s="104" t="s">
        <v>183</v>
      </c>
      <c r="D4776" s="129" t="s">
        <v>23304</v>
      </c>
    </row>
    <row r="4777" spans="1:4">
      <c r="A4777" s="105">
        <v>99258</v>
      </c>
      <c r="B4777" s="104" t="s">
        <v>4836</v>
      </c>
      <c r="C4777" s="104" t="s">
        <v>183</v>
      </c>
      <c r="D4777" s="129" t="s">
        <v>23305</v>
      </c>
    </row>
    <row r="4778" spans="1:4">
      <c r="A4778" s="105">
        <v>99260</v>
      </c>
      <c r="B4778" s="104" t="s">
        <v>4837</v>
      </c>
      <c r="C4778" s="104" t="s">
        <v>183</v>
      </c>
      <c r="D4778" s="129" t="s">
        <v>23306</v>
      </c>
    </row>
    <row r="4779" spans="1:4">
      <c r="A4779" s="105">
        <v>99262</v>
      </c>
      <c r="B4779" s="104" t="s">
        <v>4838</v>
      </c>
      <c r="C4779" s="104" t="s">
        <v>183</v>
      </c>
      <c r="D4779" s="129" t="s">
        <v>23307</v>
      </c>
    </row>
    <row r="4780" spans="1:4">
      <c r="A4780" s="105">
        <v>99264</v>
      </c>
      <c r="B4780" s="104" t="s">
        <v>4839</v>
      </c>
      <c r="C4780" s="104" t="s">
        <v>183</v>
      </c>
      <c r="D4780" s="129" t="s">
        <v>23308</v>
      </c>
    </row>
    <row r="4781" spans="1:4">
      <c r="A4781" s="105">
        <v>102587</v>
      </c>
      <c r="B4781" s="104" t="s">
        <v>4840</v>
      </c>
      <c r="C4781" s="104" t="s">
        <v>183</v>
      </c>
      <c r="D4781" s="129" t="s">
        <v>20163</v>
      </c>
    </row>
    <row r="4782" spans="1:4">
      <c r="A4782" s="105">
        <v>102588</v>
      </c>
      <c r="B4782" s="104" t="s">
        <v>4841</v>
      </c>
      <c r="C4782" s="104" t="s">
        <v>183</v>
      </c>
      <c r="D4782" s="129" t="s">
        <v>23309</v>
      </c>
    </row>
    <row r="4783" spans="1:4">
      <c r="A4783" s="105">
        <v>102589</v>
      </c>
      <c r="B4783" s="104" t="s">
        <v>4842</v>
      </c>
      <c r="C4783" s="104" t="s">
        <v>183</v>
      </c>
      <c r="D4783" s="129" t="s">
        <v>20139</v>
      </c>
    </row>
    <row r="4784" spans="1:4">
      <c r="A4784" s="105">
        <v>102590</v>
      </c>
      <c r="B4784" s="104" t="s">
        <v>4843</v>
      </c>
      <c r="C4784" s="104" t="s">
        <v>183</v>
      </c>
      <c r="D4784" s="129" t="s">
        <v>15774</v>
      </c>
    </row>
    <row r="4785" spans="1:4">
      <c r="A4785" s="105">
        <v>102591</v>
      </c>
      <c r="B4785" s="104" t="s">
        <v>4844</v>
      </c>
      <c r="C4785" s="104" t="s">
        <v>183</v>
      </c>
      <c r="D4785" s="129" t="s">
        <v>20166</v>
      </c>
    </row>
    <row r="4786" spans="1:4">
      <c r="A4786" s="105">
        <v>102592</v>
      </c>
      <c r="B4786" s="104" t="s">
        <v>4845</v>
      </c>
      <c r="C4786" s="104" t="s">
        <v>183</v>
      </c>
      <c r="D4786" s="129" t="s">
        <v>14754</v>
      </c>
    </row>
    <row r="4787" spans="1:4">
      <c r="A4787" s="105">
        <v>102593</v>
      </c>
      <c r="B4787" s="104" t="s">
        <v>4846</v>
      </c>
      <c r="C4787" s="104" t="s">
        <v>183</v>
      </c>
      <c r="D4787" s="129" t="s">
        <v>23310</v>
      </c>
    </row>
    <row r="4788" spans="1:4">
      <c r="A4788" s="105">
        <v>102594</v>
      </c>
      <c r="B4788" s="104" t="s">
        <v>4847</v>
      </c>
      <c r="C4788" s="104" t="s">
        <v>183</v>
      </c>
      <c r="D4788" s="129" t="s">
        <v>20563</v>
      </c>
    </row>
    <row r="4789" spans="1:4">
      <c r="A4789" s="105">
        <v>102595</v>
      </c>
      <c r="B4789" s="104" t="s">
        <v>4848</v>
      </c>
      <c r="C4789" s="104" t="s">
        <v>183</v>
      </c>
      <c r="D4789" s="129" t="s">
        <v>15774</v>
      </c>
    </row>
    <row r="4790" spans="1:4">
      <c r="A4790" s="105">
        <v>102596</v>
      </c>
      <c r="B4790" s="104" t="s">
        <v>4849</v>
      </c>
      <c r="C4790" s="104" t="s">
        <v>183</v>
      </c>
      <c r="D4790" s="129" t="s">
        <v>15143</v>
      </c>
    </row>
    <row r="4791" spans="1:4">
      <c r="A4791" s="105">
        <v>102597</v>
      </c>
      <c r="B4791" s="104" t="s">
        <v>4850</v>
      </c>
      <c r="C4791" s="104" t="s">
        <v>183</v>
      </c>
      <c r="D4791" s="129" t="s">
        <v>22704</v>
      </c>
    </row>
    <row r="4792" spans="1:4">
      <c r="A4792" s="105">
        <v>102598</v>
      </c>
      <c r="B4792" s="104" t="s">
        <v>4851</v>
      </c>
      <c r="C4792" s="104" t="s">
        <v>183</v>
      </c>
      <c r="D4792" s="129" t="s">
        <v>23311</v>
      </c>
    </row>
    <row r="4793" spans="1:4">
      <c r="A4793" s="105">
        <v>102599</v>
      </c>
      <c r="B4793" s="104" t="s">
        <v>4852</v>
      </c>
      <c r="C4793" s="104" t="s">
        <v>183</v>
      </c>
      <c r="D4793" s="129" t="s">
        <v>15143</v>
      </c>
    </row>
    <row r="4794" spans="1:4">
      <c r="A4794" s="105">
        <v>102600</v>
      </c>
      <c r="B4794" s="104" t="s">
        <v>4853</v>
      </c>
      <c r="C4794" s="104" t="s">
        <v>183</v>
      </c>
      <c r="D4794" s="129" t="s">
        <v>18538</v>
      </c>
    </row>
    <row r="4795" spans="1:4">
      <c r="A4795" s="105">
        <v>102601</v>
      </c>
      <c r="B4795" s="104" t="s">
        <v>4854</v>
      </c>
      <c r="C4795" s="104" t="s">
        <v>183</v>
      </c>
      <c r="D4795" s="129" t="s">
        <v>23312</v>
      </c>
    </row>
    <row r="4796" spans="1:4">
      <c r="A4796" s="105">
        <v>102602</v>
      </c>
      <c r="B4796" s="104" t="s">
        <v>4855</v>
      </c>
      <c r="C4796" s="104" t="s">
        <v>183</v>
      </c>
      <c r="D4796" s="129" t="s">
        <v>19253</v>
      </c>
    </row>
    <row r="4797" spans="1:4">
      <c r="A4797" s="105">
        <v>102603</v>
      </c>
      <c r="B4797" s="104" t="s">
        <v>4856</v>
      </c>
      <c r="C4797" s="104" t="s">
        <v>183</v>
      </c>
      <c r="D4797" s="129" t="s">
        <v>15611</v>
      </c>
    </row>
    <row r="4798" spans="1:4">
      <c r="A4798" s="105">
        <v>102604</v>
      </c>
      <c r="B4798" s="104" t="s">
        <v>4857</v>
      </c>
      <c r="C4798" s="104" t="s">
        <v>183</v>
      </c>
      <c r="D4798" s="129" t="s">
        <v>17231</v>
      </c>
    </row>
    <row r="4799" spans="1:4">
      <c r="A4799" s="105">
        <v>102605</v>
      </c>
      <c r="B4799" s="104" t="s">
        <v>4858</v>
      </c>
      <c r="C4799" s="104" t="s">
        <v>183</v>
      </c>
      <c r="D4799" s="129" t="s">
        <v>23313</v>
      </c>
    </row>
    <row r="4800" spans="1:4">
      <c r="A4800" s="105">
        <v>102606</v>
      </c>
      <c r="B4800" s="104" t="s">
        <v>4859</v>
      </c>
      <c r="C4800" s="104" t="s">
        <v>183</v>
      </c>
      <c r="D4800" s="129" t="s">
        <v>23314</v>
      </c>
    </row>
    <row r="4801" spans="1:4">
      <c r="A4801" s="105">
        <v>102607</v>
      </c>
      <c r="B4801" s="104" t="s">
        <v>4860</v>
      </c>
      <c r="C4801" s="104" t="s">
        <v>183</v>
      </c>
      <c r="D4801" s="129" t="s">
        <v>23315</v>
      </c>
    </row>
    <row r="4802" spans="1:4">
      <c r="A4802" s="105">
        <v>102608</v>
      </c>
      <c r="B4802" s="104" t="s">
        <v>4861</v>
      </c>
      <c r="C4802" s="104" t="s">
        <v>183</v>
      </c>
      <c r="D4802" s="129" t="s">
        <v>23316</v>
      </c>
    </row>
    <row r="4803" spans="1:4">
      <c r="A4803" s="105">
        <v>102609</v>
      </c>
      <c r="B4803" s="104" t="s">
        <v>4862</v>
      </c>
      <c r="C4803" s="104" t="s">
        <v>183</v>
      </c>
      <c r="D4803" s="129" t="s">
        <v>23317</v>
      </c>
    </row>
    <row r="4804" spans="1:4">
      <c r="A4804" s="105">
        <v>102611</v>
      </c>
      <c r="B4804" s="104" t="s">
        <v>4863</v>
      </c>
      <c r="C4804" s="104" t="s">
        <v>183</v>
      </c>
      <c r="D4804" s="129" t="s">
        <v>23318</v>
      </c>
    </row>
    <row r="4805" spans="1:4">
      <c r="A4805" s="105">
        <v>102613</v>
      </c>
      <c r="B4805" s="104" t="s">
        <v>4864</v>
      </c>
      <c r="C4805" s="104" t="s">
        <v>183</v>
      </c>
      <c r="D4805" s="129" t="s">
        <v>23319</v>
      </c>
    </row>
    <row r="4806" spans="1:4">
      <c r="A4806" s="105">
        <v>102614</v>
      </c>
      <c r="B4806" s="104" t="s">
        <v>4865</v>
      </c>
      <c r="C4806" s="104" t="s">
        <v>183</v>
      </c>
      <c r="D4806" s="129" t="s">
        <v>21467</v>
      </c>
    </row>
    <row r="4807" spans="1:4">
      <c r="A4807" s="105">
        <v>102615</v>
      </c>
      <c r="B4807" s="104" t="s">
        <v>4866</v>
      </c>
      <c r="C4807" s="104" t="s">
        <v>183</v>
      </c>
      <c r="D4807" s="129" t="s">
        <v>23320</v>
      </c>
    </row>
    <row r="4808" spans="1:4">
      <c r="A4808" s="105">
        <v>102617</v>
      </c>
      <c r="B4808" s="104" t="s">
        <v>4867</v>
      </c>
      <c r="C4808" s="104" t="s">
        <v>183</v>
      </c>
      <c r="D4808" s="129" t="s">
        <v>23321</v>
      </c>
    </row>
    <row r="4809" spans="1:4">
      <c r="A4809" s="105">
        <v>102619</v>
      </c>
      <c r="B4809" s="104" t="s">
        <v>4868</v>
      </c>
      <c r="C4809" s="104" t="s">
        <v>183</v>
      </c>
      <c r="D4809" s="129" t="s">
        <v>23322</v>
      </c>
    </row>
    <row r="4810" spans="1:4">
      <c r="A4810" s="105">
        <v>102622</v>
      </c>
      <c r="B4810" s="104" t="s">
        <v>4869</v>
      </c>
      <c r="C4810" s="104" t="s">
        <v>183</v>
      </c>
      <c r="D4810" s="129" t="s">
        <v>23323</v>
      </c>
    </row>
    <row r="4811" spans="1:4">
      <c r="A4811" s="105">
        <v>102623</v>
      </c>
      <c r="B4811" s="104" t="s">
        <v>4870</v>
      </c>
      <c r="C4811" s="104" t="s">
        <v>183</v>
      </c>
      <c r="D4811" s="129" t="s">
        <v>23324</v>
      </c>
    </row>
    <row r="4812" spans="1:4">
      <c r="A4812" s="105">
        <v>89482</v>
      </c>
      <c r="B4812" s="104" t="s">
        <v>179</v>
      </c>
      <c r="C4812" s="104" t="s">
        <v>183</v>
      </c>
      <c r="D4812" s="129" t="s">
        <v>23325</v>
      </c>
    </row>
    <row r="4813" spans="1:4">
      <c r="A4813" s="105">
        <v>89491</v>
      </c>
      <c r="B4813" s="104" t="s">
        <v>4871</v>
      </c>
      <c r="C4813" s="104" t="s">
        <v>183</v>
      </c>
      <c r="D4813" s="129" t="s">
        <v>18083</v>
      </c>
    </row>
    <row r="4814" spans="1:4">
      <c r="A4814" s="105">
        <v>89495</v>
      </c>
      <c r="B4814" s="104" t="s">
        <v>4872</v>
      </c>
      <c r="C4814" s="104" t="s">
        <v>183</v>
      </c>
      <c r="D4814" s="129" t="s">
        <v>19423</v>
      </c>
    </row>
    <row r="4815" spans="1:4">
      <c r="A4815" s="105">
        <v>89707</v>
      </c>
      <c r="B4815" s="104" t="s">
        <v>4873</v>
      </c>
      <c r="C4815" s="104" t="s">
        <v>183</v>
      </c>
      <c r="D4815" s="129" t="s">
        <v>19785</v>
      </c>
    </row>
    <row r="4816" spans="1:4">
      <c r="A4816" s="105">
        <v>89708</v>
      </c>
      <c r="B4816" s="104" t="s">
        <v>4874</v>
      </c>
      <c r="C4816" s="104" t="s">
        <v>183</v>
      </c>
      <c r="D4816" s="129" t="s">
        <v>23326</v>
      </c>
    </row>
    <row r="4817" spans="1:4">
      <c r="A4817" s="105">
        <v>89709</v>
      </c>
      <c r="B4817" s="104" t="s">
        <v>4875</v>
      </c>
      <c r="C4817" s="104" t="s">
        <v>183</v>
      </c>
      <c r="D4817" s="129" t="s">
        <v>23327</v>
      </c>
    </row>
    <row r="4818" spans="1:4">
      <c r="A4818" s="105">
        <v>89710</v>
      </c>
      <c r="B4818" s="104" t="s">
        <v>4876</v>
      </c>
      <c r="C4818" s="104" t="s">
        <v>183</v>
      </c>
      <c r="D4818" s="129" t="s">
        <v>23328</v>
      </c>
    </row>
    <row r="4819" spans="1:4">
      <c r="A4819" s="105">
        <v>86872</v>
      </c>
      <c r="B4819" s="104" t="s">
        <v>4877</v>
      </c>
      <c r="C4819" s="104" t="s">
        <v>183</v>
      </c>
      <c r="D4819" s="129" t="s">
        <v>23329</v>
      </c>
    </row>
    <row r="4820" spans="1:4">
      <c r="A4820" s="105">
        <v>86874</v>
      </c>
      <c r="B4820" s="104" t="s">
        <v>4878</v>
      </c>
      <c r="C4820" s="104" t="s">
        <v>183</v>
      </c>
      <c r="D4820" s="129" t="s">
        <v>23330</v>
      </c>
    </row>
    <row r="4821" spans="1:4">
      <c r="A4821" s="105">
        <v>86875</v>
      </c>
      <c r="B4821" s="104" t="s">
        <v>4879</v>
      </c>
      <c r="C4821" s="104" t="s">
        <v>183</v>
      </c>
      <c r="D4821" s="129" t="s">
        <v>23331</v>
      </c>
    </row>
    <row r="4822" spans="1:4">
      <c r="A4822" s="105">
        <v>86876</v>
      </c>
      <c r="B4822" s="104" t="s">
        <v>4880</v>
      </c>
      <c r="C4822" s="104" t="s">
        <v>183</v>
      </c>
      <c r="D4822" s="129" t="s">
        <v>23332</v>
      </c>
    </row>
    <row r="4823" spans="1:4">
      <c r="A4823" s="105">
        <v>86877</v>
      </c>
      <c r="B4823" s="104" t="s">
        <v>4881</v>
      </c>
      <c r="C4823" s="104" t="s">
        <v>183</v>
      </c>
      <c r="D4823" s="129" t="s">
        <v>22932</v>
      </c>
    </row>
    <row r="4824" spans="1:4">
      <c r="A4824" s="105">
        <v>86878</v>
      </c>
      <c r="B4824" s="104" t="s">
        <v>4882</v>
      </c>
      <c r="C4824" s="104" t="s">
        <v>183</v>
      </c>
      <c r="D4824" s="129" t="s">
        <v>23333</v>
      </c>
    </row>
    <row r="4825" spans="1:4">
      <c r="A4825" s="105">
        <v>86879</v>
      </c>
      <c r="B4825" s="104" t="s">
        <v>4883</v>
      </c>
      <c r="C4825" s="104" t="s">
        <v>183</v>
      </c>
      <c r="D4825" s="129" t="s">
        <v>22079</v>
      </c>
    </row>
    <row r="4826" spans="1:4">
      <c r="A4826" s="105">
        <v>86880</v>
      </c>
      <c r="B4826" s="104" t="s">
        <v>4884</v>
      </c>
      <c r="C4826" s="104" t="s">
        <v>183</v>
      </c>
      <c r="D4826" s="129" t="s">
        <v>23334</v>
      </c>
    </row>
    <row r="4827" spans="1:4">
      <c r="A4827" s="105">
        <v>86881</v>
      </c>
      <c r="B4827" s="104" t="s">
        <v>4885</v>
      </c>
      <c r="C4827" s="104" t="s">
        <v>183</v>
      </c>
      <c r="D4827" s="129" t="s">
        <v>23335</v>
      </c>
    </row>
    <row r="4828" spans="1:4">
      <c r="A4828" s="105">
        <v>86882</v>
      </c>
      <c r="B4828" s="104" t="s">
        <v>4886</v>
      </c>
      <c r="C4828" s="104" t="s">
        <v>183</v>
      </c>
      <c r="D4828" s="129" t="s">
        <v>19114</v>
      </c>
    </row>
    <row r="4829" spans="1:4">
      <c r="A4829" s="105">
        <v>86883</v>
      </c>
      <c r="B4829" s="104" t="s">
        <v>4887</v>
      </c>
      <c r="C4829" s="104" t="s">
        <v>183</v>
      </c>
      <c r="D4829" s="129" t="s">
        <v>17178</v>
      </c>
    </row>
    <row r="4830" spans="1:4">
      <c r="A4830" s="105">
        <v>86884</v>
      </c>
      <c r="B4830" s="104" t="s">
        <v>4888</v>
      </c>
      <c r="C4830" s="104" t="s">
        <v>183</v>
      </c>
      <c r="D4830" s="129" t="s">
        <v>22446</v>
      </c>
    </row>
    <row r="4831" spans="1:4">
      <c r="A4831" s="105">
        <v>86885</v>
      </c>
      <c r="B4831" s="104" t="s">
        <v>4889</v>
      </c>
      <c r="C4831" s="104" t="s">
        <v>183</v>
      </c>
      <c r="D4831" s="129" t="s">
        <v>16931</v>
      </c>
    </row>
    <row r="4832" spans="1:4">
      <c r="A4832" s="105">
        <v>86886</v>
      </c>
      <c r="B4832" s="104" t="s">
        <v>4890</v>
      </c>
      <c r="C4832" s="104" t="s">
        <v>183</v>
      </c>
      <c r="D4832" s="129" t="s">
        <v>14881</v>
      </c>
    </row>
    <row r="4833" spans="1:4">
      <c r="A4833" s="105">
        <v>86887</v>
      </c>
      <c r="B4833" s="104" t="s">
        <v>4891</v>
      </c>
      <c r="C4833" s="104" t="s">
        <v>183</v>
      </c>
      <c r="D4833" s="129" t="s">
        <v>23336</v>
      </c>
    </row>
    <row r="4834" spans="1:4">
      <c r="A4834" s="105">
        <v>86888</v>
      </c>
      <c r="B4834" s="104" t="s">
        <v>4892</v>
      </c>
      <c r="C4834" s="104" t="s">
        <v>183</v>
      </c>
      <c r="D4834" s="129" t="s">
        <v>23337</v>
      </c>
    </row>
    <row r="4835" spans="1:4">
      <c r="A4835" s="105">
        <v>86889</v>
      </c>
      <c r="B4835" s="104" t="s">
        <v>4893</v>
      </c>
      <c r="C4835" s="104" t="s">
        <v>183</v>
      </c>
      <c r="D4835" s="129" t="s">
        <v>23338</v>
      </c>
    </row>
    <row r="4836" spans="1:4">
      <c r="A4836" s="105">
        <v>86893</v>
      </c>
      <c r="B4836" s="104" t="s">
        <v>416</v>
      </c>
      <c r="C4836" s="104" t="s">
        <v>183</v>
      </c>
      <c r="D4836" s="129" t="s">
        <v>23339</v>
      </c>
    </row>
    <row r="4837" spans="1:4">
      <c r="A4837" s="105">
        <v>86894</v>
      </c>
      <c r="B4837" s="104" t="s">
        <v>4894</v>
      </c>
      <c r="C4837" s="104" t="s">
        <v>183</v>
      </c>
      <c r="D4837" s="129" t="s">
        <v>23340</v>
      </c>
    </row>
    <row r="4838" spans="1:4">
      <c r="A4838" s="105">
        <v>86895</v>
      </c>
      <c r="B4838" s="104" t="s">
        <v>4895</v>
      </c>
      <c r="C4838" s="104" t="s">
        <v>183</v>
      </c>
      <c r="D4838" s="129" t="s">
        <v>23341</v>
      </c>
    </row>
    <row r="4839" spans="1:4">
      <c r="A4839" s="105">
        <v>86899</v>
      </c>
      <c r="B4839" s="104" t="s">
        <v>4896</v>
      </c>
      <c r="C4839" s="104" t="s">
        <v>183</v>
      </c>
      <c r="D4839" s="129" t="s">
        <v>23342</v>
      </c>
    </row>
    <row r="4840" spans="1:4">
      <c r="A4840" s="105">
        <v>86900</v>
      </c>
      <c r="B4840" s="104" t="s">
        <v>4897</v>
      </c>
      <c r="C4840" s="104" t="s">
        <v>183</v>
      </c>
      <c r="D4840" s="129" t="s">
        <v>23343</v>
      </c>
    </row>
    <row r="4841" spans="1:4">
      <c r="A4841" s="105">
        <v>86901</v>
      </c>
      <c r="B4841" s="104" t="s">
        <v>4898</v>
      </c>
      <c r="C4841" s="104" t="s">
        <v>183</v>
      </c>
      <c r="D4841" s="129" t="s">
        <v>23344</v>
      </c>
    </row>
    <row r="4842" spans="1:4">
      <c r="A4842" s="105">
        <v>86902</v>
      </c>
      <c r="B4842" s="104" t="s">
        <v>4899</v>
      </c>
      <c r="C4842" s="104" t="s">
        <v>183</v>
      </c>
      <c r="D4842" s="129" t="s">
        <v>23345</v>
      </c>
    </row>
    <row r="4843" spans="1:4">
      <c r="A4843" s="105">
        <v>86903</v>
      </c>
      <c r="B4843" s="104" t="s">
        <v>4900</v>
      </c>
      <c r="C4843" s="104" t="s">
        <v>183</v>
      </c>
      <c r="D4843" s="129" t="s">
        <v>23346</v>
      </c>
    </row>
    <row r="4844" spans="1:4">
      <c r="A4844" s="105">
        <v>86904</v>
      </c>
      <c r="B4844" s="104" t="s">
        <v>4901</v>
      </c>
      <c r="C4844" s="104" t="s">
        <v>183</v>
      </c>
      <c r="D4844" s="129" t="s">
        <v>23347</v>
      </c>
    </row>
    <row r="4845" spans="1:4">
      <c r="A4845" s="105">
        <v>86905</v>
      </c>
      <c r="B4845" s="104" t="s">
        <v>4902</v>
      </c>
      <c r="C4845" s="104" t="s">
        <v>183</v>
      </c>
      <c r="D4845" s="129" t="s">
        <v>23348</v>
      </c>
    </row>
    <row r="4846" spans="1:4">
      <c r="A4846" s="105">
        <v>86906</v>
      </c>
      <c r="B4846" s="104" t="s">
        <v>4903</v>
      </c>
      <c r="C4846" s="104" t="s">
        <v>183</v>
      </c>
      <c r="D4846" s="129" t="s">
        <v>23349</v>
      </c>
    </row>
    <row r="4847" spans="1:4">
      <c r="A4847" s="105">
        <v>86908</v>
      </c>
      <c r="B4847" s="104" t="s">
        <v>4904</v>
      </c>
      <c r="C4847" s="104" t="s">
        <v>183</v>
      </c>
      <c r="D4847" s="129" t="s">
        <v>23350</v>
      </c>
    </row>
    <row r="4848" spans="1:4">
      <c r="A4848" s="105">
        <v>86909</v>
      </c>
      <c r="B4848" s="104" t="s">
        <v>4905</v>
      </c>
      <c r="C4848" s="104" t="s">
        <v>183</v>
      </c>
      <c r="D4848" s="129" t="s">
        <v>23351</v>
      </c>
    </row>
    <row r="4849" spans="1:4">
      <c r="A4849" s="105">
        <v>86910</v>
      </c>
      <c r="B4849" s="104" t="s">
        <v>4906</v>
      </c>
      <c r="C4849" s="104" t="s">
        <v>183</v>
      </c>
      <c r="D4849" s="129" t="s">
        <v>23352</v>
      </c>
    </row>
    <row r="4850" spans="1:4">
      <c r="A4850" s="105">
        <v>86911</v>
      </c>
      <c r="B4850" s="104" t="s">
        <v>4907</v>
      </c>
      <c r="C4850" s="104" t="s">
        <v>183</v>
      </c>
      <c r="D4850" s="129" t="s">
        <v>22850</v>
      </c>
    </row>
    <row r="4851" spans="1:4">
      <c r="A4851" s="105">
        <v>86913</v>
      </c>
      <c r="B4851" s="104" t="s">
        <v>4908</v>
      </c>
      <c r="C4851" s="104" t="s">
        <v>183</v>
      </c>
      <c r="D4851" s="129" t="s">
        <v>23353</v>
      </c>
    </row>
    <row r="4852" spans="1:4">
      <c r="A4852" s="105">
        <v>86914</v>
      </c>
      <c r="B4852" s="104" t="s">
        <v>4909</v>
      </c>
      <c r="C4852" s="104" t="s">
        <v>183</v>
      </c>
      <c r="D4852" s="129" t="s">
        <v>23354</v>
      </c>
    </row>
    <row r="4853" spans="1:4">
      <c r="A4853" s="105">
        <v>86915</v>
      </c>
      <c r="B4853" s="104" t="s">
        <v>4910</v>
      </c>
      <c r="C4853" s="104" t="s">
        <v>183</v>
      </c>
      <c r="D4853" s="129" t="s">
        <v>23355</v>
      </c>
    </row>
    <row r="4854" spans="1:4">
      <c r="A4854" s="105">
        <v>86916</v>
      </c>
      <c r="B4854" s="104" t="s">
        <v>4911</v>
      </c>
      <c r="C4854" s="104" t="s">
        <v>183</v>
      </c>
      <c r="D4854" s="129" t="s">
        <v>22551</v>
      </c>
    </row>
    <row r="4855" spans="1:4">
      <c r="A4855" s="105">
        <v>86919</v>
      </c>
      <c r="B4855" s="104" t="s">
        <v>4912</v>
      </c>
      <c r="C4855" s="104" t="s">
        <v>183</v>
      </c>
      <c r="D4855" s="129" t="s">
        <v>23356</v>
      </c>
    </row>
    <row r="4856" spans="1:4">
      <c r="A4856" s="105">
        <v>86920</v>
      </c>
      <c r="B4856" s="104" t="s">
        <v>4913</v>
      </c>
      <c r="C4856" s="104" t="s">
        <v>183</v>
      </c>
      <c r="D4856" s="129" t="s">
        <v>23357</v>
      </c>
    </row>
    <row r="4857" spans="1:4">
      <c r="A4857" s="105">
        <v>86921</v>
      </c>
      <c r="B4857" s="104" t="s">
        <v>4914</v>
      </c>
      <c r="C4857" s="104" t="s">
        <v>183</v>
      </c>
      <c r="D4857" s="129" t="s">
        <v>23358</v>
      </c>
    </row>
    <row r="4858" spans="1:4">
      <c r="A4858" s="105">
        <v>86922</v>
      </c>
      <c r="B4858" s="104" t="s">
        <v>4915</v>
      </c>
      <c r="C4858" s="104" t="s">
        <v>183</v>
      </c>
      <c r="D4858" s="129" t="s">
        <v>23359</v>
      </c>
    </row>
    <row r="4859" spans="1:4">
      <c r="A4859" s="105">
        <v>86923</v>
      </c>
      <c r="B4859" s="104" t="s">
        <v>4916</v>
      </c>
      <c r="C4859" s="104" t="s">
        <v>183</v>
      </c>
      <c r="D4859" s="129" t="s">
        <v>23360</v>
      </c>
    </row>
    <row r="4860" spans="1:4">
      <c r="A4860" s="105">
        <v>86924</v>
      </c>
      <c r="B4860" s="104" t="s">
        <v>4917</v>
      </c>
      <c r="C4860" s="104" t="s">
        <v>183</v>
      </c>
      <c r="D4860" s="129" t="s">
        <v>23361</v>
      </c>
    </row>
    <row r="4861" spans="1:4">
      <c r="A4861" s="105">
        <v>86925</v>
      </c>
      <c r="B4861" s="104" t="s">
        <v>4918</v>
      </c>
      <c r="C4861" s="104" t="s">
        <v>183</v>
      </c>
      <c r="D4861" s="129" t="s">
        <v>23362</v>
      </c>
    </row>
    <row r="4862" spans="1:4">
      <c r="A4862" s="105">
        <v>86926</v>
      </c>
      <c r="B4862" s="104" t="s">
        <v>4919</v>
      </c>
      <c r="C4862" s="104" t="s">
        <v>183</v>
      </c>
      <c r="D4862" s="129" t="s">
        <v>23363</v>
      </c>
    </row>
    <row r="4863" spans="1:4">
      <c r="A4863" s="105">
        <v>86927</v>
      </c>
      <c r="B4863" s="104" t="s">
        <v>4920</v>
      </c>
      <c r="C4863" s="104" t="s">
        <v>183</v>
      </c>
      <c r="D4863" s="129" t="s">
        <v>23364</v>
      </c>
    </row>
    <row r="4864" spans="1:4">
      <c r="A4864" s="105">
        <v>86928</v>
      </c>
      <c r="B4864" s="104" t="s">
        <v>4921</v>
      </c>
      <c r="C4864" s="104" t="s">
        <v>183</v>
      </c>
      <c r="D4864" s="129" t="s">
        <v>23365</v>
      </c>
    </row>
    <row r="4865" spans="1:4">
      <c r="A4865" s="105">
        <v>86929</v>
      </c>
      <c r="B4865" s="104" t="s">
        <v>4922</v>
      </c>
      <c r="C4865" s="104" t="s">
        <v>183</v>
      </c>
      <c r="D4865" s="129" t="s">
        <v>23366</v>
      </c>
    </row>
    <row r="4866" spans="1:4">
      <c r="A4866" s="105">
        <v>86930</v>
      </c>
      <c r="B4866" s="104" t="s">
        <v>4923</v>
      </c>
      <c r="C4866" s="104" t="s">
        <v>183</v>
      </c>
      <c r="D4866" s="129" t="s">
        <v>23367</v>
      </c>
    </row>
    <row r="4867" spans="1:4">
      <c r="A4867" s="105">
        <v>86931</v>
      </c>
      <c r="B4867" s="104" t="s">
        <v>4924</v>
      </c>
      <c r="C4867" s="104" t="s">
        <v>183</v>
      </c>
      <c r="D4867" s="129" t="s">
        <v>23368</v>
      </c>
    </row>
    <row r="4868" spans="1:4">
      <c r="A4868" s="105">
        <v>86932</v>
      </c>
      <c r="B4868" s="104" t="s">
        <v>4925</v>
      </c>
      <c r="C4868" s="104" t="s">
        <v>183</v>
      </c>
      <c r="D4868" s="129" t="s">
        <v>23369</v>
      </c>
    </row>
    <row r="4869" spans="1:4">
      <c r="A4869" s="105">
        <v>86933</v>
      </c>
      <c r="B4869" s="104" t="s">
        <v>4926</v>
      </c>
      <c r="C4869" s="104" t="s">
        <v>183</v>
      </c>
      <c r="D4869" s="129" t="s">
        <v>19920</v>
      </c>
    </row>
    <row r="4870" spans="1:4">
      <c r="A4870" s="105">
        <v>86934</v>
      </c>
      <c r="B4870" s="104" t="s">
        <v>4927</v>
      </c>
      <c r="C4870" s="104" t="s">
        <v>183</v>
      </c>
      <c r="D4870" s="129" t="s">
        <v>16999</v>
      </c>
    </row>
    <row r="4871" spans="1:4">
      <c r="A4871" s="105">
        <v>86935</v>
      </c>
      <c r="B4871" s="104" t="s">
        <v>4928</v>
      </c>
      <c r="C4871" s="104" t="s">
        <v>183</v>
      </c>
      <c r="D4871" s="129" t="s">
        <v>23370</v>
      </c>
    </row>
    <row r="4872" spans="1:4">
      <c r="A4872" s="105">
        <v>86936</v>
      </c>
      <c r="B4872" s="104" t="s">
        <v>4929</v>
      </c>
      <c r="C4872" s="104" t="s">
        <v>183</v>
      </c>
      <c r="D4872" s="129" t="s">
        <v>23371</v>
      </c>
    </row>
    <row r="4873" spans="1:4">
      <c r="A4873" s="105">
        <v>86937</v>
      </c>
      <c r="B4873" s="104" t="s">
        <v>4930</v>
      </c>
      <c r="C4873" s="104" t="s">
        <v>183</v>
      </c>
      <c r="D4873" s="129" t="s">
        <v>23372</v>
      </c>
    </row>
    <row r="4874" spans="1:4">
      <c r="A4874" s="105">
        <v>86938</v>
      </c>
      <c r="B4874" s="104" t="s">
        <v>4931</v>
      </c>
      <c r="C4874" s="104" t="s">
        <v>183</v>
      </c>
      <c r="D4874" s="129" t="s">
        <v>23373</v>
      </c>
    </row>
    <row r="4875" spans="1:4">
      <c r="A4875" s="105">
        <v>86939</v>
      </c>
      <c r="B4875" s="104" t="s">
        <v>4932</v>
      </c>
      <c r="C4875" s="104" t="s">
        <v>183</v>
      </c>
      <c r="D4875" s="129" t="s">
        <v>23374</v>
      </c>
    </row>
    <row r="4876" spans="1:4">
      <c r="A4876" s="105">
        <v>86940</v>
      </c>
      <c r="B4876" s="104" t="s">
        <v>4933</v>
      </c>
      <c r="C4876" s="104" t="s">
        <v>183</v>
      </c>
      <c r="D4876" s="129" t="s">
        <v>23375</v>
      </c>
    </row>
    <row r="4877" spans="1:4">
      <c r="A4877" s="105">
        <v>86941</v>
      </c>
      <c r="B4877" s="104" t="s">
        <v>4934</v>
      </c>
      <c r="C4877" s="104" t="s">
        <v>183</v>
      </c>
      <c r="D4877" s="129" t="s">
        <v>23376</v>
      </c>
    </row>
    <row r="4878" spans="1:4">
      <c r="A4878" s="105">
        <v>86942</v>
      </c>
      <c r="B4878" s="104" t="s">
        <v>4935</v>
      </c>
      <c r="C4878" s="104" t="s">
        <v>183</v>
      </c>
      <c r="D4878" s="129" t="s">
        <v>23377</v>
      </c>
    </row>
    <row r="4879" spans="1:4">
      <c r="A4879" s="105">
        <v>86943</v>
      </c>
      <c r="B4879" s="104" t="s">
        <v>4936</v>
      </c>
      <c r="C4879" s="104" t="s">
        <v>183</v>
      </c>
      <c r="D4879" s="129" t="s">
        <v>23378</v>
      </c>
    </row>
    <row r="4880" spans="1:4">
      <c r="A4880" s="105">
        <v>86947</v>
      </c>
      <c r="B4880" s="104" t="s">
        <v>4937</v>
      </c>
      <c r="C4880" s="104" t="s">
        <v>183</v>
      </c>
      <c r="D4880" s="129" t="s">
        <v>23379</v>
      </c>
    </row>
    <row r="4881" spans="1:4">
      <c r="A4881" s="105">
        <v>93396</v>
      </c>
      <c r="B4881" s="104" t="s">
        <v>4938</v>
      </c>
      <c r="C4881" s="104" t="s">
        <v>183</v>
      </c>
      <c r="D4881" s="129" t="s">
        <v>23380</v>
      </c>
    </row>
    <row r="4882" spans="1:4">
      <c r="A4882" s="105">
        <v>93441</v>
      </c>
      <c r="B4882" s="104" t="s">
        <v>4939</v>
      </c>
      <c r="C4882" s="104" t="s">
        <v>183</v>
      </c>
      <c r="D4882" s="129" t="s">
        <v>23381</v>
      </c>
    </row>
    <row r="4883" spans="1:4">
      <c r="A4883" s="105">
        <v>93442</v>
      </c>
      <c r="B4883" s="104" t="s">
        <v>4940</v>
      </c>
      <c r="C4883" s="104" t="s">
        <v>183</v>
      </c>
      <c r="D4883" s="129" t="s">
        <v>23382</v>
      </c>
    </row>
    <row r="4884" spans="1:4">
      <c r="A4884" s="105">
        <v>95469</v>
      </c>
      <c r="B4884" s="104" t="s">
        <v>4941</v>
      </c>
      <c r="C4884" s="104" t="s">
        <v>183</v>
      </c>
      <c r="D4884" s="129" t="s">
        <v>23383</v>
      </c>
    </row>
    <row r="4885" spans="1:4">
      <c r="A4885" s="105">
        <v>95470</v>
      </c>
      <c r="B4885" s="104" t="s">
        <v>353</v>
      </c>
      <c r="C4885" s="104" t="s">
        <v>183</v>
      </c>
      <c r="D4885" s="129" t="s">
        <v>23384</v>
      </c>
    </row>
    <row r="4886" spans="1:4">
      <c r="A4886" s="105">
        <v>95471</v>
      </c>
      <c r="B4886" s="104" t="s">
        <v>4942</v>
      </c>
      <c r="C4886" s="104" t="s">
        <v>183</v>
      </c>
      <c r="D4886" s="129" t="s">
        <v>23385</v>
      </c>
    </row>
    <row r="4887" spans="1:4">
      <c r="A4887" s="105">
        <v>95472</v>
      </c>
      <c r="B4887" s="104" t="s">
        <v>4943</v>
      </c>
      <c r="C4887" s="104" t="s">
        <v>183</v>
      </c>
      <c r="D4887" s="129" t="s">
        <v>23386</v>
      </c>
    </row>
    <row r="4888" spans="1:4">
      <c r="A4888" s="105">
        <v>95542</v>
      </c>
      <c r="B4888" s="104" t="s">
        <v>4944</v>
      </c>
      <c r="C4888" s="104" t="s">
        <v>183</v>
      </c>
      <c r="D4888" s="129" t="s">
        <v>22895</v>
      </c>
    </row>
    <row r="4889" spans="1:4">
      <c r="A4889" s="105">
        <v>95543</v>
      </c>
      <c r="B4889" s="104" t="s">
        <v>4945</v>
      </c>
      <c r="C4889" s="104" t="s">
        <v>183</v>
      </c>
      <c r="D4889" s="129" t="s">
        <v>18479</v>
      </c>
    </row>
    <row r="4890" spans="1:4">
      <c r="A4890" s="105">
        <v>95544</v>
      </c>
      <c r="B4890" s="104" t="s">
        <v>4946</v>
      </c>
      <c r="C4890" s="104" t="s">
        <v>183</v>
      </c>
      <c r="D4890" s="129" t="s">
        <v>23387</v>
      </c>
    </row>
    <row r="4891" spans="1:4">
      <c r="A4891" s="105">
        <v>95545</v>
      </c>
      <c r="B4891" s="104" t="s">
        <v>4947</v>
      </c>
      <c r="C4891" s="104" t="s">
        <v>183</v>
      </c>
      <c r="D4891" s="129" t="s">
        <v>23388</v>
      </c>
    </row>
    <row r="4892" spans="1:4">
      <c r="A4892" s="105">
        <v>95546</v>
      </c>
      <c r="B4892" s="104" t="s">
        <v>4948</v>
      </c>
      <c r="C4892" s="104" t="s">
        <v>183</v>
      </c>
      <c r="D4892" s="129" t="s">
        <v>23389</v>
      </c>
    </row>
    <row r="4893" spans="1:4">
      <c r="A4893" s="105">
        <v>95547</v>
      </c>
      <c r="B4893" s="104" t="s">
        <v>4949</v>
      </c>
      <c r="C4893" s="104" t="s">
        <v>183</v>
      </c>
      <c r="D4893" s="129" t="s">
        <v>23390</v>
      </c>
    </row>
    <row r="4894" spans="1:4">
      <c r="A4894" s="105">
        <v>100848</v>
      </c>
      <c r="B4894" s="104" t="s">
        <v>4950</v>
      </c>
      <c r="C4894" s="104" t="s">
        <v>183</v>
      </c>
      <c r="D4894" s="129" t="s">
        <v>23391</v>
      </c>
    </row>
    <row r="4895" spans="1:4">
      <c r="A4895" s="105">
        <v>100849</v>
      </c>
      <c r="B4895" s="104" t="s">
        <v>167</v>
      </c>
      <c r="C4895" s="104" t="s">
        <v>183</v>
      </c>
      <c r="D4895" s="129" t="s">
        <v>17369</v>
      </c>
    </row>
    <row r="4896" spans="1:4">
      <c r="A4896" s="105">
        <v>100851</v>
      </c>
      <c r="B4896" s="104" t="s">
        <v>4951</v>
      </c>
      <c r="C4896" s="104" t="s">
        <v>183</v>
      </c>
      <c r="D4896" s="129" t="s">
        <v>23392</v>
      </c>
    </row>
    <row r="4897" spans="1:4">
      <c r="A4897" s="105">
        <v>100852</v>
      </c>
      <c r="B4897" s="104" t="s">
        <v>4952</v>
      </c>
      <c r="C4897" s="104" t="s">
        <v>183</v>
      </c>
      <c r="D4897" s="129" t="s">
        <v>23393</v>
      </c>
    </row>
    <row r="4898" spans="1:4">
      <c r="A4898" s="105">
        <v>100853</v>
      </c>
      <c r="B4898" s="104" t="s">
        <v>12888</v>
      </c>
      <c r="C4898" s="104" t="s">
        <v>183</v>
      </c>
      <c r="D4898" s="129" t="s">
        <v>23394</v>
      </c>
    </row>
    <row r="4899" spans="1:4">
      <c r="A4899" s="105">
        <v>100854</v>
      </c>
      <c r="B4899" s="104" t="s">
        <v>4953</v>
      </c>
      <c r="C4899" s="104" t="s">
        <v>183</v>
      </c>
      <c r="D4899" s="129" t="s">
        <v>23395</v>
      </c>
    </row>
    <row r="4900" spans="1:4">
      <c r="A4900" s="105">
        <v>100855</v>
      </c>
      <c r="B4900" s="104" t="s">
        <v>4954</v>
      </c>
      <c r="C4900" s="104" t="s">
        <v>183</v>
      </c>
      <c r="D4900" s="129" t="s">
        <v>23388</v>
      </c>
    </row>
    <row r="4901" spans="1:4">
      <c r="A4901" s="105">
        <v>100856</v>
      </c>
      <c r="B4901" s="104" t="s">
        <v>4955</v>
      </c>
      <c r="C4901" s="104" t="s">
        <v>183</v>
      </c>
      <c r="D4901" s="129" t="s">
        <v>23396</v>
      </c>
    </row>
    <row r="4902" spans="1:4">
      <c r="A4902" s="105">
        <v>100857</v>
      </c>
      <c r="B4902" s="104" t="s">
        <v>4956</v>
      </c>
      <c r="C4902" s="104" t="s">
        <v>183</v>
      </c>
      <c r="D4902" s="129" t="s">
        <v>23397</v>
      </c>
    </row>
    <row r="4903" spans="1:4">
      <c r="A4903" s="105">
        <v>100858</v>
      </c>
      <c r="B4903" s="104" t="s">
        <v>4957</v>
      </c>
      <c r="C4903" s="104" t="s">
        <v>183</v>
      </c>
      <c r="D4903" s="129" t="s">
        <v>23398</v>
      </c>
    </row>
    <row r="4904" spans="1:4">
      <c r="A4904" s="105">
        <v>100859</v>
      </c>
      <c r="B4904" s="104" t="s">
        <v>4958</v>
      </c>
      <c r="C4904" s="104" t="s">
        <v>183</v>
      </c>
      <c r="D4904" s="129" t="s">
        <v>23399</v>
      </c>
    </row>
    <row r="4905" spans="1:4">
      <c r="A4905" s="105">
        <v>100860</v>
      </c>
      <c r="B4905" s="104" t="s">
        <v>4959</v>
      </c>
      <c r="C4905" s="104" t="s">
        <v>183</v>
      </c>
      <c r="D4905" s="129" t="s">
        <v>23400</v>
      </c>
    </row>
    <row r="4906" spans="1:4">
      <c r="A4906" s="105">
        <v>100861</v>
      </c>
      <c r="B4906" s="104" t="s">
        <v>4960</v>
      </c>
      <c r="C4906" s="104" t="s">
        <v>183</v>
      </c>
      <c r="D4906" s="129" t="s">
        <v>17997</v>
      </c>
    </row>
    <row r="4907" spans="1:4">
      <c r="A4907" s="105">
        <v>100862</v>
      </c>
      <c r="B4907" s="104" t="s">
        <v>4961</v>
      </c>
      <c r="C4907" s="104" t="s">
        <v>183</v>
      </c>
      <c r="D4907" s="129" t="s">
        <v>22199</v>
      </c>
    </row>
    <row r="4908" spans="1:4">
      <c r="A4908" s="105">
        <v>100863</v>
      </c>
      <c r="B4908" s="104" t="s">
        <v>4962</v>
      </c>
      <c r="C4908" s="104" t="s">
        <v>183</v>
      </c>
      <c r="D4908" s="129" t="s">
        <v>23401</v>
      </c>
    </row>
    <row r="4909" spans="1:4">
      <c r="A4909" s="105">
        <v>100864</v>
      </c>
      <c r="B4909" s="104" t="s">
        <v>4963</v>
      </c>
      <c r="C4909" s="104" t="s">
        <v>183</v>
      </c>
      <c r="D4909" s="129" t="s">
        <v>23402</v>
      </c>
    </row>
    <row r="4910" spans="1:4">
      <c r="A4910" s="105">
        <v>100865</v>
      </c>
      <c r="B4910" s="104" t="s">
        <v>4964</v>
      </c>
      <c r="C4910" s="104" t="s">
        <v>183</v>
      </c>
      <c r="D4910" s="129" t="s">
        <v>23403</v>
      </c>
    </row>
    <row r="4911" spans="1:4">
      <c r="A4911" s="105">
        <v>100866</v>
      </c>
      <c r="B4911" s="104" t="s">
        <v>4965</v>
      </c>
      <c r="C4911" s="104" t="s">
        <v>183</v>
      </c>
      <c r="D4911" s="129" t="s">
        <v>23404</v>
      </c>
    </row>
    <row r="4912" spans="1:4">
      <c r="A4912" s="105">
        <v>100867</v>
      </c>
      <c r="B4912" s="104" t="s">
        <v>4966</v>
      </c>
      <c r="C4912" s="104" t="s">
        <v>183</v>
      </c>
      <c r="D4912" s="129" t="s">
        <v>23405</v>
      </c>
    </row>
    <row r="4913" spans="1:4">
      <c r="A4913" s="105">
        <v>100868</v>
      </c>
      <c r="B4913" s="104" t="s">
        <v>4967</v>
      </c>
      <c r="C4913" s="104" t="s">
        <v>183</v>
      </c>
      <c r="D4913" s="129" t="s">
        <v>23406</v>
      </c>
    </row>
    <row r="4914" spans="1:4">
      <c r="A4914" s="105">
        <v>100869</v>
      </c>
      <c r="B4914" s="104" t="s">
        <v>4968</v>
      </c>
      <c r="C4914" s="104" t="s">
        <v>183</v>
      </c>
      <c r="D4914" s="129" t="s">
        <v>23407</v>
      </c>
    </row>
    <row r="4915" spans="1:4">
      <c r="A4915" s="105">
        <v>100870</v>
      </c>
      <c r="B4915" s="104" t="s">
        <v>4969</v>
      </c>
      <c r="C4915" s="104" t="s">
        <v>183</v>
      </c>
      <c r="D4915" s="129" t="s">
        <v>23408</v>
      </c>
    </row>
    <row r="4916" spans="1:4">
      <c r="A4916" s="105">
        <v>100871</v>
      </c>
      <c r="B4916" s="104" t="s">
        <v>4970</v>
      </c>
      <c r="C4916" s="104" t="s">
        <v>183</v>
      </c>
      <c r="D4916" s="129" t="s">
        <v>23409</v>
      </c>
    </row>
    <row r="4917" spans="1:4">
      <c r="A4917" s="105">
        <v>100872</v>
      </c>
      <c r="B4917" s="104" t="s">
        <v>4971</v>
      </c>
      <c r="C4917" s="104" t="s">
        <v>183</v>
      </c>
      <c r="D4917" s="129" t="s">
        <v>23410</v>
      </c>
    </row>
    <row r="4918" spans="1:4">
      <c r="A4918" s="105">
        <v>100873</v>
      </c>
      <c r="B4918" s="104" t="s">
        <v>4972</v>
      </c>
      <c r="C4918" s="104" t="s">
        <v>183</v>
      </c>
      <c r="D4918" s="129" t="s">
        <v>23411</v>
      </c>
    </row>
    <row r="4919" spans="1:4">
      <c r="A4919" s="105">
        <v>100874</v>
      </c>
      <c r="B4919" s="104" t="s">
        <v>236</v>
      </c>
      <c r="C4919" s="104" t="s">
        <v>183</v>
      </c>
      <c r="D4919" s="129" t="s">
        <v>23404</v>
      </c>
    </row>
    <row r="4920" spans="1:4">
      <c r="A4920" s="105">
        <v>100875</v>
      </c>
      <c r="B4920" s="104" t="s">
        <v>4973</v>
      </c>
      <c r="C4920" s="104" t="s">
        <v>183</v>
      </c>
      <c r="D4920" s="129" t="s">
        <v>23412</v>
      </c>
    </row>
    <row r="4921" spans="1:4">
      <c r="A4921" s="105">
        <v>100878</v>
      </c>
      <c r="B4921" s="104" t="s">
        <v>4974</v>
      </c>
      <c r="C4921" s="104" t="s">
        <v>183</v>
      </c>
      <c r="D4921" s="129" t="s">
        <v>23413</v>
      </c>
    </row>
    <row r="4922" spans="1:4">
      <c r="A4922" s="105">
        <v>98052</v>
      </c>
      <c r="B4922" s="104" t="s">
        <v>4975</v>
      </c>
      <c r="C4922" s="104" t="s">
        <v>183</v>
      </c>
      <c r="D4922" s="129" t="s">
        <v>23414</v>
      </c>
    </row>
    <row r="4923" spans="1:4">
      <c r="A4923" s="105">
        <v>98053</v>
      </c>
      <c r="B4923" s="104" t="s">
        <v>4976</v>
      </c>
      <c r="C4923" s="104" t="s">
        <v>183</v>
      </c>
      <c r="D4923" s="129" t="s">
        <v>23415</v>
      </c>
    </row>
    <row r="4924" spans="1:4">
      <c r="A4924" s="105">
        <v>98054</v>
      </c>
      <c r="B4924" s="104" t="s">
        <v>4977</v>
      </c>
      <c r="C4924" s="104" t="s">
        <v>183</v>
      </c>
      <c r="D4924" s="129" t="s">
        <v>23416</v>
      </c>
    </row>
    <row r="4925" spans="1:4">
      <c r="A4925" s="105">
        <v>98055</v>
      </c>
      <c r="B4925" s="104" t="s">
        <v>4978</v>
      </c>
      <c r="C4925" s="104" t="s">
        <v>183</v>
      </c>
      <c r="D4925" s="129" t="s">
        <v>23417</v>
      </c>
    </row>
    <row r="4926" spans="1:4">
      <c r="A4926" s="105">
        <v>98056</v>
      </c>
      <c r="B4926" s="104" t="s">
        <v>4979</v>
      </c>
      <c r="C4926" s="104" t="s">
        <v>183</v>
      </c>
      <c r="D4926" s="129" t="s">
        <v>23418</v>
      </c>
    </row>
    <row r="4927" spans="1:4">
      <c r="A4927" s="105">
        <v>98057</v>
      </c>
      <c r="B4927" s="104" t="s">
        <v>4980</v>
      </c>
      <c r="C4927" s="104" t="s">
        <v>183</v>
      </c>
      <c r="D4927" s="129" t="s">
        <v>23419</v>
      </c>
    </row>
    <row r="4928" spans="1:4">
      <c r="A4928" s="105">
        <v>98058</v>
      </c>
      <c r="B4928" s="104" t="s">
        <v>4981</v>
      </c>
      <c r="C4928" s="104" t="s">
        <v>183</v>
      </c>
      <c r="D4928" s="129" t="s">
        <v>23420</v>
      </c>
    </row>
    <row r="4929" spans="1:4">
      <c r="A4929" s="105">
        <v>98059</v>
      </c>
      <c r="B4929" s="104" t="s">
        <v>4982</v>
      </c>
      <c r="C4929" s="104" t="s">
        <v>183</v>
      </c>
      <c r="D4929" s="129" t="s">
        <v>23421</v>
      </c>
    </row>
    <row r="4930" spans="1:4">
      <c r="A4930" s="105">
        <v>98060</v>
      </c>
      <c r="B4930" s="104" t="s">
        <v>4983</v>
      </c>
      <c r="C4930" s="104" t="s">
        <v>183</v>
      </c>
      <c r="D4930" s="129" t="s">
        <v>23422</v>
      </c>
    </row>
    <row r="4931" spans="1:4">
      <c r="A4931" s="105">
        <v>98061</v>
      </c>
      <c r="B4931" s="104" t="s">
        <v>4984</v>
      </c>
      <c r="C4931" s="104" t="s">
        <v>183</v>
      </c>
      <c r="D4931" s="129" t="s">
        <v>23423</v>
      </c>
    </row>
    <row r="4932" spans="1:4">
      <c r="A4932" s="105">
        <v>98062</v>
      </c>
      <c r="B4932" s="104" t="s">
        <v>4985</v>
      </c>
      <c r="C4932" s="104" t="s">
        <v>183</v>
      </c>
      <c r="D4932" s="129" t="s">
        <v>23424</v>
      </c>
    </row>
    <row r="4933" spans="1:4">
      <c r="A4933" s="105">
        <v>98063</v>
      </c>
      <c r="B4933" s="104" t="s">
        <v>4986</v>
      </c>
      <c r="C4933" s="104" t="s">
        <v>183</v>
      </c>
      <c r="D4933" s="129" t="s">
        <v>23425</v>
      </c>
    </row>
    <row r="4934" spans="1:4">
      <c r="A4934" s="105">
        <v>98064</v>
      </c>
      <c r="B4934" s="104" t="s">
        <v>4987</v>
      </c>
      <c r="C4934" s="104" t="s">
        <v>183</v>
      </c>
      <c r="D4934" s="129" t="s">
        <v>23426</v>
      </c>
    </row>
    <row r="4935" spans="1:4">
      <c r="A4935" s="105">
        <v>98065</v>
      </c>
      <c r="B4935" s="104" t="s">
        <v>4988</v>
      </c>
      <c r="C4935" s="104" t="s">
        <v>183</v>
      </c>
      <c r="D4935" s="129" t="s">
        <v>23427</v>
      </c>
    </row>
    <row r="4936" spans="1:4">
      <c r="A4936" s="105">
        <v>98066</v>
      </c>
      <c r="B4936" s="104" t="s">
        <v>4989</v>
      </c>
      <c r="C4936" s="104" t="s">
        <v>183</v>
      </c>
      <c r="D4936" s="129" t="s">
        <v>23428</v>
      </c>
    </row>
    <row r="4937" spans="1:4">
      <c r="A4937" s="105">
        <v>98067</v>
      </c>
      <c r="B4937" s="104" t="s">
        <v>4990</v>
      </c>
      <c r="C4937" s="104" t="s">
        <v>183</v>
      </c>
      <c r="D4937" s="129" t="s">
        <v>23429</v>
      </c>
    </row>
    <row r="4938" spans="1:4">
      <c r="A4938" s="105">
        <v>98068</v>
      </c>
      <c r="B4938" s="104" t="s">
        <v>4991</v>
      </c>
      <c r="C4938" s="104" t="s">
        <v>183</v>
      </c>
      <c r="D4938" s="129" t="s">
        <v>23430</v>
      </c>
    </row>
    <row r="4939" spans="1:4">
      <c r="A4939" s="105">
        <v>98069</v>
      </c>
      <c r="B4939" s="104" t="s">
        <v>4992</v>
      </c>
      <c r="C4939" s="104" t="s">
        <v>183</v>
      </c>
      <c r="D4939" s="129" t="s">
        <v>23431</v>
      </c>
    </row>
    <row r="4940" spans="1:4">
      <c r="A4940" s="105">
        <v>98070</v>
      </c>
      <c r="B4940" s="104" t="s">
        <v>4993</v>
      </c>
      <c r="C4940" s="104" t="s">
        <v>183</v>
      </c>
      <c r="D4940" s="129" t="s">
        <v>23432</v>
      </c>
    </row>
    <row r="4941" spans="1:4">
      <c r="A4941" s="105">
        <v>98071</v>
      </c>
      <c r="B4941" s="104" t="s">
        <v>4994</v>
      </c>
      <c r="C4941" s="104" t="s">
        <v>183</v>
      </c>
      <c r="D4941" s="129" t="s">
        <v>23433</v>
      </c>
    </row>
    <row r="4942" spans="1:4">
      <c r="A4942" s="105">
        <v>98072</v>
      </c>
      <c r="B4942" s="104" t="s">
        <v>4995</v>
      </c>
      <c r="C4942" s="104" t="s">
        <v>183</v>
      </c>
      <c r="D4942" s="129" t="s">
        <v>23434</v>
      </c>
    </row>
    <row r="4943" spans="1:4">
      <c r="A4943" s="105">
        <v>98073</v>
      </c>
      <c r="B4943" s="104" t="s">
        <v>4996</v>
      </c>
      <c r="C4943" s="104" t="s">
        <v>183</v>
      </c>
      <c r="D4943" s="129" t="s">
        <v>23435</v>
      </c>
    </row>
    <row r="4944" spans="1:4">
      <c r="A4944" s="105">
        <v>98074</v>
      </c>
      <c r="B4944" s="104" t="s">
        <v>4997</v>
      </c>
      <c r="C4944" s="104" t="s">
        <v>183</v>
      </c>
      <c r="D4944" s="129" t="s">
        <v>23436</v>
      </c>
    </row>
    <row r="4945" spans="1:4">
      <c r="A4945" s="105">
        <v>98075</v>
      </c>
      <c r="B4945" s="104" t="s">
        <v>4998</v>
      </c>
      <c r="C4945" s="104" t="s">
        <v>183</v>
      </c>
      <c r="D4945" s="129" t="s">
        <v>23437</v>
      </c>
    </row>
    <row r="4946" spans="1:4">
      <c r="A4946" s="105">
        <v>98076</v>
      </c>
      <c r="B4946" s="104" t="s">
        <v>4999</v>
      </c>
      <c r="C4946" s="104" t="s">
        <v>183</v>
      </c>
      <c r="D4946" s="129" t="s">
        <v>23438</v>
      </c>
    </row>
    <row r="4947" spans="1:4">
      <c r="A4947" s="105">
        <v>98077</v>
      </c>
      <c r="B4947" s="104" t="s">
        <v>5000</v>
      </c>
      <c r="C4947" s="104" t="s">
        <v>183</v>
      </c>
      <c r="D4947" s="129" t="s">
        <v>23439</v>
      </c>
    </row>
    <row r="4948" spans="1:4">
      <c r="A4948" s="105">
        <v>98078</v>
      </c>
      <c r="B4948" s="104" t="s">
        <v>5001</v>
      </c>
      <c r="C4948" s="104" t="s">
        <v>183</v>
      </c>
      <c r="D4948" s="129" t="s">
        <v>23440</v>
      </c>
    </row>
    <row r="4949" spans="1:4">
      <c r="A4949" s="105">
        <v>98079</v>
      </c>
      <c r="B4949" s="104" t="s">
        <v>5002</v>
      </c>
      <c r="C4949" s="104" t="s">
        <v>183</v>
      </c>
      <c r="D4949" s="129" t="s">
        <v>23441</v>
      </c>
    </row>
    <row r="4950" spans="1:4">
      <c r="A4950" s="105">
        <v>98080</v>
      </c>
      <c r="B4950" s="104" t="s">
        <v>5003</v>
      </c>
      <c r="C4950" s="104" t="s">
        <v>183</v>
      </c>
      <c r="D4950" s="129" t="s">
        <v>23442</v>
      </c>
    </row>
    <row r="4951" spans="1:4">
      <c r="A4951" s="105">
        <v>98081</v>
      </c>
      <c r="B4951" s="104" t="s">
        <v>5004</v>
      </c>
      <c r="C4951" s="104" t="s">
        <v>183</v>
      </c>
      <c r="D4951" s="129" t="s">
        <v>23443</v>
      </c>
    </row>
    <row r="4952" spans="1:4">
      <c r="A4952" s="105">
        <v>98082</v>
      </c>
      <c r="B4952" s="104" t="s">
        <v>5005</v>
      </c>
      <c r="C4952" s="104" t="s">
        <v>183</v>
      </c>
      <c r="D4952" s="129" t="s">
        <v>23444</v>
      </c>
    </row>
    <row r="4953" spans="1:4">
      <c r="A4953" s="105">
        <v>98083</v>
      </c>
      <c r="B4953" s="104" t="s">
        <v>5006</v>
      </c>
      <c r="C4953" s="104" t="s">
        <v>183</v>
      </c>
      <c r="D4953" s="129" t="s">
        <v>23445</v>
      </c>
    </row>
    <row r="4954" spans="1:4">
      <c r="A4954" s="105">
        <v>98084</v>
      </c>
      <c r="B4954" s="104" t="s">
        <v>5007</v>
      </c>
      <c r="C4954" s="104" t="s">
        <v>183</v>
      </c>
      <c r="D4954" s="129" t="s">
        <v>23446</v>
      </c>
    </row>
    <row r="4955" spans="1:4">
      <c r="A4955" s="105">
        <v>98085</v>
      </c>
      <c r="B4955" s="104" t="s">
        <v>5008</v>
      </c>
      <c r="C4955" s="104" t="s">
        <v>183</v>
      </c>
      <c r="D4955" s="129" t="s">
        <v>23447</v>
      </c>
    </row>
    <row r="4956" spans="1:4">
      <c r="A4956" s="105">
        <v>98086</v>
      </c>
      <c r="B4956" s="104" t="s">
        <v>5009</v>
      </c>
      <c r="C4956" s="104" t="s">
        <v>183</v>
      </c>
      <c r="D4956" s="129" t="s">
        <v>23448</v>
      </c>
    </row>
    <row r="4957" spans="1:4">
      <c r="A4957" s="105">
        <v>98087</v>
      </c>
      <c r="B4957" s="104" t="s">
        <v>5010</v>
      </c>
      <c r="C4957" s="104" t="s">
        <v>183</v>
      </c>
      <c r="D4957" s="129" t="s">
        <v>23449</v>
      </c>
    </row>
    <row r="4958" spans="1:4">
      <c r="A4958" s="105">
        <v>98088</v>
      </c>
      <c r="B4958" s="104" t="s">
        <v>5011</v>
      </c>
      <c r="C4958" s="104" t="s">
        <v>183</v>
      </c>
      <c r="D4958" s="129" t="s">
        <v>23450</v>
      </c>
    </row>
    <row r="4959" spans="1:4">
      <c r="A4959" s="105">
        <v>98089</v>
      </c>
      <c r="B4959" s="104" t="s">
        <v>5012</v>
      </c>
      <c r="C4959" s="104" t="s">
        <v>183</v>
      </c>
      <c r="D4959" s="129" t="s">
        <v>23451</v>
      </c>
    </row>
    <row r="4960" spans="1:4">
      <c r="A4960" s="105">
        <v>98090</v>
      </c>
      <c r="B4960" s="104" t="s">
        <v>5013</v>
      </c>
      <c r="C4960" s="104" t="s">
        <v>183</v>
      </c>
      <c r="D4960" s="129" t="s">
        <v>23452</v>
      </c>
    </row>
    <row r="4961" spans="1:4">
      <c r="A4961" s="105">
        <v>98091</v>
      </c>
      <c r="B4961" s="104" t="s">
        <v>5014</v>
      </c>
      <c r="C4961" s="104" t="s">
        <v>183</v>
      </c>
      <c r="D4961" s="129" t="s">
        <v>23453</v>
      </c>
    </row>
    <row r="4962" spans="1:4">
      <c r="A4962" s="105">
        <v>98092</v>
      </c>
      <c r="B4962" s="104" t="s">
        <v>5015</v>
      </c>
      <c r="C4962" s="104" t="s">
        <v>183</v>
      </c>
      <c r="D4962" s="129" t="s">
        <v>23454</v>
      </c>
    </row>
    <row r="4963" spans="1:4">
      <c r="A4963" s="105">
        <v>98093</v>
      </c>
      <c r="B4963" s="104" t="s">
        <v>5016</v>
      </c>
      <c r="C4963" s="104" t="s">
        <v>183</v>
      </c>
      <c r="D4963" s="129" t="s">
        <v>23455</v>
      </c>
    </row>
    <row r="4964" spans="1:4">
      <c r="A4964" s="105">
        <v>98094</v>
      </c>
      <c r="B4964" s="104" t="s">
        <v>5017</v>
      </c>
      <c r="C4964" s="104" t="s">
        <v>183</v>
      </c>
      <c r="D4964" s="129" t="s">
        <v>23456</v>
      </c>
    </row>
    <row r="4965" spans="1:4">
      <c r="A4965" s="105">
        <v>98099</v>
      </c>
      <c r="B4965" s="104" t="s">
        <v>5018</v>
      </c>
      <c r="C4965" s="104" t="s">
        <v>183</v>
      </c>
      <c r="D4965" s="129" t="s">
        <v>23457</v>
      </c>
    </row>
    <row r="4966" spans="1:4">
      <c r="A4966" s="105">
        <v>98100</v>
      </c>
      <c r="B4966" s="104" t="s">
        <v>5019</v>
      </c>
      <c r="C4966" s="104" t="s">
        <v>183</v>
      </c>
      <c r="D4966" s="129" t="s">
        <v>23458</v>
      </c>
    </row>
    <row r="4967" spans="1:4">
      <c r="A4967" s="105">
        <v>98101</v>
      </c>
      <c r="B4967" s="104" t="s">
        <v>5020</v>
      </c>
      <c r="C4967" s="104" t="s">
        <v>183</v>
      </c>
      <c r="D4967" s="129" t="s">
        <v>23459</v>
      </c>
    </row>
    <row r="4968" spans="1:4">
      <c r="A4968" s="105">
        <v>98109</v>
      </c>
      <c r="B4968" s="104" t="s">
        <v>5021</v>
      </c>
      <c r="C4968" s="104" t="s">
        <v>183</v>
      </c>
      <c r="D4968" s="129" t="s">
        <v>23460</v>
      </c>
    </row>
    <row r="4969" spans="1:4">
      <c r="A4969" s="105">
        <v>98110</v>
      </c>
      <c r="B4969" s="104" t="s">
        <v>5022</v>
      </c>
      <c r="C4969" s="104" t="s">
        <v>183</v>
      </c>
      <c r="D4969" s="129" t="s">
        <v>23461</v>
      </c>
    </row>
    <row r="4970" spans="1:4">
      <c r="A4970" s="105">
        <v>98111</v>
      </c>
      <c r="B4970" s="104" t="s">
        <v>5023</v>
      </c>
      <c r="C4970" s="104" t="s">
        <v>183</v>
      </c>
      <c r="D4970" s="129" t="s">
        <v>16514</v>
      </c>
    </row>
    <row r="4971" spans="1:4">
      <c r="A4971" s="105">
        <v>98112</v>
      </c>
      <c r="B4971" s="104" t="s">
        <v>5024</v>
      </c>
      <c r="C4971" s="104" t="s">
        <v>183</v>
      </c>
      <c r="D4971" s="129" t="s">
        <v>23462</v>
      </c>
    </row>
    <row r="4972" spans="1:4">
      <c r="A4972" s="105">
        <v>98114</v>
      </c>
      <c r="B4972" s="104" t="s">
        <v>5025</v>
      </c>
      <c r="C4972" s="104" t="s">
        <v>183</v>
      </c>
      <c r="D4972" s="129" t="s">
        <v>23463</v>
      </c>
    </row>
    <row r="4973" spans="1:4">
      <c r="A4973" s="105">
        <v>98115</v>
      </c>
      <c r="B4973" s="104" t="s">
        <v>5026</v>
      </c>
      <c r="C4973" s="104" t="s">
        <v>183</v>
      </c>
      <c r="D4973" s="129" t="s">
        <v>23464</v>
      </c>
    </row>
    <row r="4974" spans="1:4">
      <c r="A4974" s="105">
        <v>89957</v>
      </c>
      <c r="B4974" s="104" t="s">
        <v>5027</v>
      </c>
      <c r="C4974" s="104" t="s">
        <v>183</v>
      </c>
      <c r="D4974" s="129" t="s">
        <v>23465</v>
      </c>
    </row>
    <row r="4975" spans="1:4">
      <c r="A4975" s="105">
        <v>89959</v>
      </c>
      <c r="B4975" s="104" t="s">
        <v>5028</v>
      </c>
      <c r="C4975" s="104" t="s">
        <v>183</v>
      </c>
      <c r="D4975" s="129" t="s">
        <v>23466</v>
      </c>
    </row>
    <row r="4976" spans="1:4">
      <c r="A4976" s="105">
        <v>89349</v>
      </c>
      <c r="B4976" s="104" t="s">
        <v>5029</v>
      </c>
      <c r="C4976" s="104" t="s">
        <v>183</v>
      </c>
      <c r="D4976" s="129" t="s">
        <v>17809</v>
      </c>
    </row>
    <row r="4977" spans="1:4">
      <c r="A4977" s="105">
        <v>89351</v>
      </c>
      <c r="B4977" s="104" t="s">
        <v>5030</v>
      </c>
      <c r="C4977" s="104" t="s">
        <v>183</v>
      </c>
      <c r="D4977" s="129" t="s">
        <v>19204</v>
      </c>
    </row>
    <row r="4978" spans="1:4">
      <c r="A4978" s="105">
        <v>89352</v>
      </c>
      <c r="B4978" s="104" t="s">
        <v>5031</v>
      </c>
      <c r="C4978" s="104" t="s">
        <v>183</v>
      </c>
      <c r="D4978" s="129" t="s">
        <v>22038</v>
      </c>
    </row>
    <row r="4979" spans="1:4">
      <c r="A4979" s="105">
        <v>89353</v>
      </c>
      <c r="B4979" s="104" t="s">
        <v>5032</v>
      </c>
      <c r="C4979" s="104" t="s">
        <v>183</v>
      </c>
      <c r="D4979" s="129" t="s">
        <v>19177</v>
      </c>
    </row>
    <row r="4980" spans="1:4">
      <c r="A4980" s="105">
        <v>89354</v>
      </c>
      <c r="B4980" s="104" t="s">
        <v>5033</v>
      </c>
      <c r="C4980" s="104" t="s">
        <v>183</v>
      </c>
      <c r="D4980" s="129" t="s">
        <v>23467</v>
      </c>
    </row>
    <row r="4981" spans="1:4">
      <c r="A4981" s="105">
        <v>89969</v>
      </c>
      <c r="B4981" s="104" t="s">
        <v>5034</v>
      </c>
      <c r="C4981" s="104" t="s">
        <v>183</v>
      </c>
      <c r="D4981" s="129" t="s">
        <v>17908</v>
      </c>
    </row>
    <row r="4982" spans="1:4">
      <c r="A4982" s="105">
        <v>89970</v>
      </c>
      <c r="B4982" s="104" t="s">
        <v>5035</v>
      </c>
      <c r="C4982" s="104" t="s">
        <v>183</v>
      </c>
      <c r="D4982" s="129" t="s">
        <v>23468</v>
      </c>
    </row>
    <row r="4983" spans="1:4">
      <c r="A4983" s="105">
        <v>89971</v>
      </c>
      <c r="B4983" s="104" t="s">
        <v>5036</v>
      </c>
      <c r="C4983" s="104" t="s">
        <v>183</v>
      </c>
      <c r="D4983" s="129" t="s">
        <v>23469</v>
      </c>
    </row>
    <row r="4984" spans="1:4">
      <c r="A4984" s="105">
        <v>89972</v>
      </c>
      <c r="B4984" s="104" t="s">
        <v>5037</v>
      </c>
      <c r="C4984" s="104" t="s">
        <v>183</v>
      </c>
      <c r="D4984" s="129" t="s">
        <v>23470</v>
      </c>
    </row>
    <row r="4985" spans="1:4">
      <c r="A4985" s="105">
        <v>89973</v>
      </c>
      <c r="B4985" s="104" t="s">
        <v>5038</v>
      </c>
      <c r="C4985" s="104" t="s">
        <v>183</v>
      </c>
      <c r="D4985" s="129" t="s">
        <v>23471</v>
      </c>
    </row>
    <row r="4986" spans="1:4">
      <c r="A4986" s="105">
        <v>89974</v>
      </c>
      <c r="B4986" s="104" t="s">
        <v>5039</v>
      </c>
      <c r="C4986" s="104" t="s">
        <v>183</v>
      </c>
      <c r="D4986" s="129" t="s">
        <v>23472</v>
      </c>
    </row>
    <row r="4987" spans="1:4">
      <c r="A4987" s="105">
        <v>89984</v>
      </c>
      <c r="B4987" s="104" t="s">
        <v>5040</v>
      </c>
      <c r="C4987" s="104" t="s">
        <v>183</v>
      </c>
      <c r="D4987" s="129" t="s">
        <v>23473</v>
      </c>
    </row>
    <row r="4988" spans="1:4">
      <c r="A4988" s="105">
        <v>89985</v>
      </c>
      <c r="B4988" s="104" t="s">
        <v>5041</v>
      </c>
      <c r="C4988" s="104" t="s">
        <v>183</v>
      </c>
      <c r="D4988" s="129" t="s">
        <v>23474</v>
      </c>
    </row>
    <row r="4989" spans="1:4">
      <c r="A4989" s="105">
        <v>89986</v>
      </c>
      <c r="B4989" s="104" t="s">
        <v>5042</v>
      </c>
      <c r="C4989" s="104" t="s">
        <v>183</v>
      </c>
      <c r="D4989" s="129" t="s">
        <v>22040</v>
      </c>
    </row>
    <row r="4990" spans="1:4">
      <c r="A4990" s="105">
        <v>89987</v>
      </c>
      <c r="B4990" s="104" t="s">
        <v>5043</v>
      </c>
      <c r="C4990" s="104" t="s">
        <v>183</v>
      </c>
      <c r="D4990" s="129" t="s">
        <v>23475</v>
      </c>
    </row>
    <row r="4991" spans="1:4">
      <c r="A4991" s="105">
        <v>90371</v>
      </c>
      <c r="B4991" s="104" t="s">
        <v>5044</v>
      </c>
      <c r="C4991" s="104" t="s">
        <v>183</v>
      </c>
      <c r="D4991" s="129" t="s">
        <v>23476</v>
      </c>
    </row>
    <row r="4992" spans="1:4">
      <c r="A4992" s="105">
        <v>94489</v>
      </c>
      <c r="B4992" s="104" t="s">
        <v>5045</v>
      </c>
      <c r="C4992" s="104" t="s">
        <v>183</v>
      </c>
      <c r="D4992" s="129" t="s">
        <v>14765</v>
      </c>
    </row>
    <row r="4993" spans="1:4">
      <c r="A4993" s="105">
        <v>94490</v>
      </c>
      <c r="B4993" s="104" t="s">
        <v>5046</v>
      </c>
      <c r="C4993" s="104" t="s">
        <v>183</v>
      </c>
      <c r="D4993" s="129" t="s">
        <v>23231</v>
      </c>
    </row>
    <row r="4994" spans="1:4">
      <c r="A4994" s="105">
        <v>94491</v>
      </c>
      <c r="B4994" s="104" t="s">
        <v>5047</v>
      </c>
      <c r="C4994" s="104" t="s">
        <v>183</v>
      </c>
      <c r="D4994" s="129" t="s">
        <v>23477</v>
      </c>
    </row>
    <row r="4995" spans="1:4">
      <c r="A4995" s="105">
        <v>94492</v>
      </c>
      <c r="B4995" s="104" t="s">
        <v>5048</v>
      </c>
      <c r="C4995" s="104" t="s">
        <v>183</v>
      </c>
      <c r="D4995" s="129" t="s">
        <v>22203</v>
      </c>
    </row>
    <row r="4996" spans="1:4">
      <c r="A4996" s="105">
        <v>94493</v>
      </c>
      <c r="B4996" s="104" t="s">
        <v>5049</v>
      </c>
      <c r="C4996" s="104" t="s">
        <v>183</v>
      </c>
      <c r="D4996" s="129" t="s">
        <v>23478</v>
      </c>
    </row>
    <row r="4997" spans="1:4">
      <c r="A4997" s="105">
        <v>94495</v>
      </c>
      <c r="B4997" s="104" t="s">
        <v>5050</v>
      </c>
      <c r="C4997" s="104" t="s">
        <v>183</v>
      </c>
      <c r="D4997" s="129" t="s">
        <v>14951</v>
      </c>
    </row>
    <row r="4998" spans="1:4">
      <c r="A4998" s="105">
        <v>94496</v>
      </c>
      <c r="B4998" s="104" t="s">
        <v>5051</v>
      </c>
      <c r="C4998" s="104" t="s">
        <v>183</v>
      </c>
      <c r="D4998" s="129" t="s">
        <v>23479</v>
      </c>
    </row>
    <row r="4999" spans="1:4">
      <c r="A4999" s="105">
        <v>94497</v>
      </c>
      <c r="B4999" s="104" t="s">
        <v>5052</v>
      </c>
      <c r="C4999" s="104" t="s">
        <v>183</v>
      </c>
      <c r="D4999" s="129" t="s">
        <v>23480</v>
      </c>
    </row>
    <row r="5000" spans="1:4">
      <c r="A5000" s="105">
        <v>94498</v>
      </c>
      <c r="B5000" s="104" t="s">
        <v>5053</v>
      </c>
      <c r="C5000" s="104" t="s">
        <v>183</v>
      </c>
      <c r="D5000" s="129" t="s">
        <v>21673</v>
      </c>
    </row>
    <row r="5001" spans="1:4">
      <c r="A5001" s="105">
        <v>94499</v>
      </c>
      <c r="B5001" s="104" t="s">
        <v>5054</v>
      </c>
      <c r="C5001" s="104" t="s">
        <v>183</v>
      </c>
      <c r="D5001" s="129" t="s">
        <v>23481</v>
      </c>
    </row>
    <row r="5002" spans="1:4">
      <c r="A5002" s="105">
        <v>94500</v>
      </c>
      <c r="B5002" s="104" t="s">
        <v>5055</v>
      </c>
      <c r="C5002" s="104" t="s">
        <v>183</v>
      </c>
      <c r="D5002" s="129" t="s">
        <v>23482</v>
      </c>
    </row>
    <row r="5003" spans="1:4">
      <c r="A5003" s="105">
        <v>94501</v>
      </c>
      <c r="B5003" s="104" t="s">
        <v>5056</v>
      </c>
      <c r="C5003" s="104" t="s">
        <v>183</v>
      </c>
      <c r="D5003" s="129" t="s">
        <v>16016</v>
      </c>
    </row>
    <row r="5004" spans="1:4">
      <c r="A5004" s="105">
        <v>94792</v>
      </c>
      <c r="B5004" s="104" t="s">
        <v>5057</v>
      </c>
      <c r="C5004" s="104" t="s">
        <v>183</v>
      </c>
      <c r="D5004" s="129" t="s">
        <v>16464</v>
      </c>
    </row>
    <row r="5005" spans="1:4">
      <c r="A5005" s="105">
        <v>94793</v>
      </c>
      <c r="B5005" s="104" t="s">
        <v>5058</v>
      </c>
      <c r="C5005" s="104" t="s">
        <v>183</v>
      </c>
      <c r="D5005" s="129" t="s">
        <v>23483</v>
      </c>
    </row>
    <row r="5006" spans="1:4">
      <c r="A5006" s="105">
        <v>94794</v>
      </c>
      <c r="B5006" s="104" t="s">
        <v>5059</v>
      </c>
      <c r="C5006" s="104" t="s">
        <v>183</v>
      </c>
      <c r="D5006" s="129" t="s">
        <v>23484</v>
      </c>
    </row>
    <row r="5007" spans="1:4">
      <c r="A5007" s="105">
        <v>94795</v>
      </c>
      <c r="B5007" s="104" t="s">
        <v>5060</v>
      </c>
      <c r="C5007" s="104" t="s">
        <v>183</v>
      </c>
      <c r="D5007" s="129" t="s">
        <v>15665</v>
      </c>
    </row>
    <row r="5008" spans="1:4">
      <c r="A5008" s="105">
        <v>94796</v>
      </c>
      <c r="B5008" s="104" t="s">
        <v>5061</v>
      </c>
      <c r="C5008" s="104" t="s">
        <v>183</v>
      </c>
      <c r="D5008" s="129" t="s">
        <v>23485</v>
      </c>
    </row>
    <row r="5009" spans="1:4">
      <c r="A5009" s="105">
        <v>94797</v>
      </c>
      <c r="B5009" s="104" t="s">
        <v>5062</v>
      </c>
      <c r="C5009" s="104" t="s">
        <v>183</v>
      </c>
      <c r="D5009" s="129" t="s">
        <v>23486</v>
      </c>
    </row>
    <row r="5010" spans="1:4">
      <c r="A5010" s="105">
        <v>94798</v>
      </c>
      <c r="B5010" s="104" t="s">
        <v>5063</v>
      </c>
      <c r="C5010" s="104" t="s">
        <v>183</v>
      </c>
      <c r="D5010" s="129" t="s">
        <v>23487</v>
      </c>
    </row>
    <row r="5011" spans="1:4">
      <c r="A5011" s="105">
        <v>94799</v>
      </c>
      <c r="B5011" s="104" t="s">
        <v>5064</v>
      </c>
      <c r="C5011" s="104" t="s">
        <v>183</v>
      </c>
      <c r="D5011" s="129" t="s">
        <v>23488</v>
      </c>
    </row>
    <row r="5012" spans="1:4">
      <c r="A5012" s="105">
        <v>94800</v>
      </c>
      <c r="B5012" s="104" t="s">
        <v>5065</v>
      </c>
      <c r="C5012" s="104" t="s">
        <v>183</v>
      </c>
      <c r="D5012" s="129" t="s">
        <v>23489</v>
      </c>
    </row>
    <row r="5013" spans="1:4">
      <c r="A5013" s="105">
        <v>95248</v>
      </c>
      <c r="B5013" s="104" t="s">
        <v>5066</v>
      </c>
      <c r="C5013" s="104" t="s">
        <v>183</v>
      </c>
      <c r="D5013" s="129" t="s">
        <v>19825</v>
      </c>
    </row>
    <row r="5014" spans="1:4">
      <c r="A5014" s="105">
        <v>95249</v>
      </c>
      <c r="B5014" s="104" t="s">
        <v>5067</v>
      </c>
      <c r="C5014" s="104" t="s">
        <v>183</v>
      </c>
      <c r="D5014" s="129" t="s">
        <v>23490</v>
      </c>
    </row>
    <row r="5015" spans="1:4">
      <c r="A5015" s="105">
        <v>95250</v>
      </c>
      <c r="B5015" s="104" t="s">
        <v>5068</v>
      </c>
      <c r="C5015" s="104" t="s">
        <v>183</v>
      </c>
      <c r="D5015" s="129" t="s">
        <v>23491</v>
      </c>
    </row>
    <row r="5016" spans="1:4">
      <c r="A5016" s="105">
        <v>95251</v>
      </c>
      <c r="B5016" s="104" t="s">
        <v>5069</v>
      </c>
      <c r="C5016" s="104" t="s">
        <v>183</v>
      </c>
      <c r="D5016" s="129" t="s">
        <v>23492</v>
      </c>
    </row>
    <row r="5017" spans="1:4">
      <c r="A5017" s="105">
        <v>95252</v>
      </c>
      <c r="B5017" s="104" t="s">
        <v>5070</v>
      </c>
      <c r="C5017" s="104" t="s">
        <v>183</v>
      </c>
      <c r="D5017" s="129" t="s">
        <v>19104</v>
      </c>
    </row>
    <row r="5018" spans="1:4">
      <c r="A5018" s="105">
        <v>95253</v>
      </c>
      <c r="B5018" s="104" t="s">
        <v>5071</v>
      </c>
      <c r="C5018" s="104" t="s">
        <v>183</v>
      </c>
      <c r="D5018" s="129" t="s">
        <v>23493</v>
      </c>
    </row>
    <row r="5019" spans="1:4">
      <c r="A5019" s="105">
        <v>99619</v>
      </c>
      <c r="B5019" s="104" t="s">
        <v>5072</v>
      </c>
      <c r="C5019" s="104" t="s">
        <v>183</v>
      </c>
      <c r="D5019" s="129" t="s">
        <v>23494</v>
      </c>
    </row>
    <row r="5020" spans="1:4">
      <c r="A5020" s="105">
        <v>99620</v>
      </c>
      <c r="B5020" s="104" t="s">
        <v>5073</v>
      </c>
      <c r="C5020" s="104" t="s">
        <v>183</v>
      </c>
      <c r="D5020" s="129" t="s">
        <v>22614</v>
      </c>
    </row>
    <row r="5021" spans="1:4">
      <c r="A5021" s="105">
        <v>99621</v>
      </c>
      <c r="B5021" s="104" t="s">
        <v>5074</v>
      </c>
      <c r="C5021" s="104" t="s">
        <v>183</v>
      </c>
      <c r="D5021" s="129" t="s">
        <v>23495</v>
      </c>
    </row>
    <row r="5022" spans="1:4">
      <c r="A5022" s="105">
        <v>99622</v>
      </c>
      <c r="B5022" s="104" t="s">
        <v>5075</v>
      </c>
      <c r="C5022" s="104" t="s">
        <v>183</v>
      </c>
      <c r="D5022" s="129" t="s">
        <v>23496</v>
      </c>
    </row>
    <row r="5023" spans="1:4">
      <c r="A5023" s="105">
        <v>99623</v>
      </c>
      <c r="B5023" s="104" t="s">
        <v>5076</v>
      </c>
      <c r="C5023" s="104" t="s">
        <v>183</v>
      </c>
      <c r="D5023" s="129" t="s">
        <v>23497</v>
      </c>
    </row>
    <row r="5024" spans="1:4">
      <c r="A5024" s="105">
        <v>99624</v>
      </c>
      <c r="B5024" s="104" t="s">
        <v>5077</v>
      </c>
      <c r="C5024" s="104" t="s">
        <v>183</v>
      </c>
      <c r="D5024" s="129" t="s">
        <v>23498</v>
      </c>
    </row>
    <row r="5025" spans="1:4">
      <c r="A5025" s="105">
        <v>99625</v>
      </c>
      <c r="B5025" s="104" t="s">
        <v>5078</v>
      </c>
      <c r="C5025" s="104" t="s">
        <v>183</v>
      </c>
      <c r="D5025" s="129" t="s">
        <v>23499</v>
      </c>
    </row>
    <row r="5026" spans="1:4">
      <c r="A5026" s="105">
        <v>99626</v>
      </c>
      <c r="B5026" s="104" t="s">
        <v>5079</v>
      </c>
      <c r="C5026" s="104" t="s">
        <v>183</v>
      </c>
      <c r="D5026" s="129" t="s">
        <v>23500</v>
      </c>
    </row>
    <row r="5027" spans="1:4">
      <c r="A5027" s="105">
        <v>99627</v>
      </c>
      <c r="B5027" s="104" t="s">
        <v>5080</v>
      </c>
      <c r="C5027" s="104" t="s">
        <v>183</v>
      </c>
      <c r="D5027" s="129" t="s">
        <v>23501</v>
      </c>
    </row>
    <row r="5028" spans="1:4">
      <c r="A5028" s="105">
        <v>99628</v>
      </c>
      <c r="B5028" s="104" t="s">
        <v>5081</v>
      </c>
      <c r="C5028" s="104" t="s">
        <v>183</v>
      </c>
      <c r="D5028" s="129" t="s">
        <v>23502</v>
      </c>
    </row>
    <row r="5029" spans="1:4">
      <c r="A5029" s="105">
        <v>99629</v>
      </c>
      <c r="B5029" s="104" t="s">
        <v>5082</v>
      </c>
      <c r="C5029" s="104" t="s">
        <v>183</v>
      </c>
      <c r="D5029" s="129" t="s">
        <v>23503</v>
      </c>
    </row>
    <row r="5030" spans="1:4">
      <c r="A5030" s="105">
        <v>99630</v>
      </c>
      <c r="B5030" s="104" t="s">
        <v>5083</v>
      </c>
      <c r="C5030" s="104" t="s">
        <v>183</v>
      </c>
      <c r="D5030" s="129" t="s">
        <v>23504</v>
      </c>
    </row>
    <row r="5031" spans="1:4">
      <c r="A5031" s="105">
        <v>99631</v>
      </c>
      <c r="B5031" s="104" t="s">
        <v>5084</v>
      </c>
      <c r="C5031" s="104" t="s">
        <v>183</v>
      </c>
      <c r="D5031" s="129" t="s">
        <v>23505</v>
      </c>
    </row>
    <row r="5032" spans="1:4">
      <c r="A5032" s="105">
        <v>99632</v>
      </c>
      <c r="B5032" s="104" t="s">
        <v>5085</v>
      </c>
      <c r="C5032" s="104" t="s">
        <v>183</v>
      </c>
      <c r="D5032" s="129" t="s">
        <v>22564</v>
      </c>
    </row>
    <row r="5033" spans="1:4">
      <c r="A5033" s="105">
        <v>99633</v>
      </c>
      <c r="B5033" s="104" t="s">
        <v>5086</v>
      </c>
      <c r="C5033" s="104" t="s">
        <v>183</v>
      </c>
      <c r="D5033" s="129" t="s">
        <v>23506</v>
      </c>
    </row>
    <row r="5034" spans="1:4">
      <c r="A5034" s="105">
        <v>99634</v>
      </c>
      <c r="B5034" s="104" t="s">
        <v>5087</v>
      </c>
      <c r="C5034" s="104" t="s">
        <v>183</v>
      </c>
      <c r="D5034" s="129" t="s">
        <v>23507</v>
      </c>
    </row>
    <row r="5035" spans="1:4">
      <c r="A5035" s="105">
        <v>99635</v>
      </c>
      <c r="B5035" s="104" t="s">
        <v>5088</v>
      </c>
      <c r="C5035" s="104" t="s">
        <v>183</v>
      </c>
      <c r="D5035" s="129" t="s">
        <v>23508</v>
      </c>
    </row>
    <row r="5036" spans="1:4">
      <c r="A5036" s="105">
        <v>103008</v>
      </c>
      <c r="B5036" s="104" t="s">
        <v>5089</v>
      </c>
      <c r="C5036" s="104" t="s">
        <v>183</v>
      </c>
      <c r="D5036" s="129" t="s">
        <v>22919</v>
      </c>
    </row>
    <row r="5037" spans="1:4">
      <c r="A5037" s="105">
        <v>103009</v>
      </c>
      <c r="B5037" s="104" t="s">
        <v>5090</v>
      </c>
      <c r="C5037" s="104" t="s">
        <v>183</v>
      </c>
      <c r="D5037" s="129" t="s">
        <v>23509</v>
      </c>
    </row>
    <row r="5038" spans="1:4">
      <c r="A5038" s="105">
        <v>103010</v>
      </c>
      <c r="B5038" s="104" t="s">
        <v>5091</v>
      </c>
      <c r="C5038" s="104" t="s">
        <v>183</v>
      </c>
      <c r="D5038" s="129" t="s">
        <v>15453</v>
      </c>
    </row>
    <row r="5039" spans="1:4">
      <c r="A5039" s="105">
        <v>103011</v>
      </c>
      <c r="B5039" s="104" t="s">
        <v>5092</v>
      </c>
      <c r="C5039" s="104" t="s">
        <v>183</v>
      </c>
      <c r="D5039" s="129" t="s">
        <v>23510</v>
      </c>
    </row>
    <row r="5040" spans="1:4">
      <c r="A5040" s="105">
        <v>103012</v>
      </c>
      <c r="B5040" s="104" t="s">
        <v>5093</v>
      </c>
      <c r="C5040" s="104" t="s">
        <v>183</v>
      </c>
      <c r="D5040" s="129" t="s">
        <v>23511</v>
      </c>
    </row>
    <row r="5041" spans="1:4">
      <c r="A5041" s="105">
        <v>103013</v>
      </c>
      <c r="B5041" s="104" t="s">
        <v>5094</v>
      </c>
      <c r="C5041" s="104" t="s">
        <v>183</v>
      </c>
      <c r="D5041" s="129" t="s">
        <v>23512</v>
      </c>
    </row>
    <row r="5042" spans="1:4">
      <c r="A5042" s="105">
        <v>103014</v>
      </c>
      <c r="B5042" s="104" t="s">
        <v>5095</v>
      </c>
      <c r="C5042" s="104" t="s">
        <v>183</v>
      </c>
      <c r="D5042" s="129" t="s">
        <v>23513</v>
      </c>
    </row>
    <row r="5043" spans="1:4">
      <c r="A5043" s="105">
        <v>103015</v>
      </c>
      <c r="B5043" s="104" t="s">
        <v>5096</v>
      </c>
      <c r="C5043" s="104" t="s">
        <v>183</v>
      </c>
      <c r="D5043" s="129" t="s">
        <v>23514</v>
      </c>
    </row>
    <row r="5044" spans="1:4">
      <c r="A5044" s="105">
        <v>103016</v>
      </c>
      <c r="B5044" s="104" t="s">
        <v>5097</v>
      </c>
      <c r="C5044" s="104" t="s">
        <v>183</v>
      </c>
      <c r="D5044" s="129" t="s">
        <v>23515</v>
      </c>
    </row>
    <row r="5045" spans="1:4">
      <c r="A5045" s="105">
        <v>103017</v>
      </c>
      <c r="B5045" s="104" t="s">
        <v>5098</v>
      </c>
      <c r="C5045" s="104" t="s">
        <v>183</v>
      </c>
      <c r="D5045" s="129" t="s">
        <v>23516</v>
      </c>
    </row>
    <row r="5046" spans="1:4">
      <c r="A5046" s="105">
        <v>103018</v>
      </c>
      <c r="B5046" s="104" t="s">
        <v>5099</v>
      </c>
      <c r="C5046" s="104" t="s">
        <v>183</v>
      </c>
      <c r="D5046" s="129" t="s">
        <v>23517</v>
      </c>
    </row>
    <row r="5047" spans="1:4">
      <c r="A5047" s="105">
        <v>103019</v>
      </c>
      <c r="B5047" s="104" t="s">
        <v>5100</v>
      </c>
      <c r="C5047" s="104" t="s">
        <v>183</v>
      </c>
      <c r="D5047" s="129" t="s">
        <v>23518</v>
      </c>
    </row>
    <row r="5048" spans="1:4">
      <c r="A5048" s="105">
        <v>103029</v>
      </c>
      <c r="B5048" s="104" t="s">
        <v>5101</v>
      </c>
      <c r="C5048" s="104" t="s">
        <v>183</v>
      </c>
      <c r="D5048" s="129" t="s">
        <v>18168</v>
      </c>
    </row>
    <row r="5049" spans="1:4">
      <c r="A5049" s="105">
        <v>103036</v>
      </c>
      <c r="B5049" s="104" t="s">
        <v>5102</v>
      </c>
      <c r="C5049" s="104" t="s">
        <v>183</v>
      </c>
      <c r="D5049" s="129" t="s">
        <v>22507</v>
      </c>
    </row>
    <row r="5050" spans="1:4">
      <c r="A5050" s="105">
        <v>103037</v>
      </c>
      <c r="B5050" s="104" t="s">
        <v>5103</v>
      </c>
      <c r="C5050" s="104" t="s">
        <v>183</v>
      </c>
      <c r="D5050" s="129" t="s">
        <v>18691</v>
      </c>
    </row>
    <row r="5051" spans="1:4">
      <c r="A5051" s="105">
        <v>103038</v>
      </c>
      <c r="B5051" s="104" t="s">
        <v>5104</v>
      </c>
      <c r="C5051" s="104" t="s">
        <v>183</v>
      </c>
      <c r="D5051" s="129" t="s">
        <v>20689</v>
      </c>
    </row>
    <row r="5052" spans="1:4">
      <c r="A5052" s="105">
        <v>103039</v>
      </c>
      <c r="B5052" s="104" t="s">
        <v>5105</v>
      </c>
      <c r="C5052" s="104" t="s">
        <v>183</v>
      </c>
      <c r="D5052" s="129" t="s">
        <v>23519</v>
      </c>
    </row>
    <row r="5053" spans="1:4">
      <c r="A5053" s="105">
        <v>103040</v>
      </c>
      <c r="B5053" s="104" t="s">
        <v>5106</v>
      </c>
      <c r="C5053" s="104" t="s">
        <v>183</v>
      </c>
      <c r="D5053" s="129" t="s">
        <v>23520</v>
      </c>
    </row>
    <row r="5054" spans="1:4">
      <c r="A5054" s="105">
        <v>103041</v>
      </c>
      <c r="B5054" s="104" t="s">
        <v>5107</v>
      </c>
      <c r="C5054" s="104" t="s">
        <v>183</v>
      </c>
      <c r="D5054" s="129" t="s">
        <v>17823</v>
      </c>
    </row>
    <row r="5055" spans="1:4">
      <c r="A5055" s="105">
        <v>103042</v>
      </c>
      <c r="B5055" s="104" t="s">
        <v>5108</v>
      </c>
      <c r="C5055" s="104" t="s">
        <v>183</v>
      </c>
      <c r="D5055" s="129" t="s">
        <v>20260</v>
      </c>
    </row>
    <row r="5056" spans="1:4">
      <c r="A5056" s="105">
        <v>103043</v>
      </c>
      <c r="B5056" s="104" t="s">
        <v>5109</v>
      </c>
      <c r="C5056" s="104" t="s">
        <v>183</v>
      </c>
      <c r="D5056" s="129" t="s">
        <v>23521</v>
      </c>
    </row>
    <row r="5057" spans="1:4">
      <c r="A5057" s="105">
        <v>103044</v>
      </c>
      <c r="B5057" s="104" t="s">
        <v>5110</v>
      </c>
      <c r="C5057" s="104" t="s">
        <v>183</v>
      </c>
      <c r="D5057" s="129" t="s">
        <v>23522</v>
      </c>
    </row>
    <row r="5058" spans="1:4">
      <c r="A5058" s="105">
        <v>103045</v>
      </c>
      <c r="B5058" s="104" t="s">
        <v>5111</v>
      </c>
      <c r="C5058" s="104" t="s">
        <v>183</v>
      </c>
      <c r="D5058" s="129" t="s">
        <v>15309</v>
      </c>
    </row>
    <row r="5059" spans="1:4">
      <c r="A5059" s="105">
        <v>103046</v>
      </c>
      <c r="B5059" s="104" t="s">
        <v>5112</v>
      </c>
      <c r="C5059" s="104" t="s">
        <v>183</v>
      </c>
      <c r="D5059" s="129" t="s">
        <v>16964</v>
      </c>
    </row>
    <row r="5060" spans="1:4">
      <c r="A5060" s="105">
        <v>103047</v>
      </c>
      <c r="B5060" s="104" t="s">
        <v>5113</v>
      </c>
      <c r="C5060" s="104" t="s">
        <v>183</v>
      </c>
      <c r="D5060" s="129" t="s">
        <v>23523</v>
      </c>
    </row>
    <row r="5061" spans="1:4">
      <c r="A5061" s="105">
        <v>103048</v>
      </c>
      <c r="B5061" s="104" t="s">
        <v>5114</v>
      </c>
      <c r="C5061" s="104" t="s">
        <v>183</v>
      </c>
      <c r="D5061" s="129" t="s">
        <v>17242</v>
      </c>
    </row>
    <row r="5062" spans="1:4">
      <c r="A5062" s="105">
        <v>103049</v>
      </c>
      <c r="B5062" s="104" t="s">
        <v>5115</v>
      </c>
      <c r="C5062" s="104" t="s">
        <v>183</v>
      </c>
      <c r="D5062" s="129" t="s">
        <v>17929</v>
      </c>
    </row>
    <row r="5063" spans="1:4">
      <c r="A5063" s="105">
        <v>103050</v>
      </c>
      <c r="B5063" s="104" t="s">
        <v>5116</v>
      </c>
      <c r="C5063" s="104" t="s">
        <v>183</v>
      </c>
      <c r="D5063" s="129" t="s">
        <v>22110</v>
      </c>
    </row>
    <row r="5064" spans="1:4">
      <c r="A5064" s="105">
        <v>103051</v>
      </c>
      <c r="B5064" s="104" t="s">
        <v>5117</v>
      </c>
      <c r="C5064" s="104" t="s">
        <v>183</v>
      </c>
      <c r="D5064" s="129" t="s">
        <v>23524</v>
      </c>
    </row>
    <row r="5065" spans="1:4">
      <c r="A5065" s="105">
        <v>103052</v>
      </c>
      <c r="B5065" s="104" t="s">
        <v>5118</v>
      </c>
      <c r="C5065" s="104" t="s">
        <v>183</v>
      </c>
      <c r="D5065" s="129" t="s">
        <v>23525</v>
      </c>
    </row>
    <row r="5066" spans="1:4">
      <c r="A5066" s="105">
        <v>95634</v>
      </c>
      <c r="B5066" s="104" t="s">
        <v>5119</v>
      </c>
      <c r="C5066" s="104" t="s">
        <v>183</v>
      </c>
      <c r="D5066" s="129" t="s">
        <v>23526</v>
      </c>
    </row>
    <row r="5067" spans="1:4">
      <c r="A5067" s="105">
        <v>95635</v>
      </c>
      <c r="B5067" s="104" t="s">
        <v>5120</v>
      </c>
      <c r="C5067" s="104" t="s">
        <v>183</v>
      </c>
      <c r="D5067" s="129" t="s">
        <v>23527</v>
      </c>
    </row>
    <row r="5068" spans="1:4">
      <c r="A5068" s="105">
        <v>95636</v>
      </c>
      <c r="B5068" s="104" t="s">
        <v>5121</v>
      </c>
      <c r="C5068" s="104" t="s">
        <v>183</v>
      </c>
      <c r="D5068" s="129" t="s">
        <v>23528</v>
      </c>
    </row>
    <row r="5069" spans="1:4">
      <c r="A5069" s="105">
        <v>95637</v>
      </c>
      <c r="B5069" s="104" t="s">
        <v>5122</v>
      </c>
      <c r="C5069" s="104" t="s">
        <v>183</v>
      </c>
      <c r="D5069" s="129" t="s">
        <v>23529</v>
      </c>
    </row>
    <row r="5070" spans="1:4">
      <c r="A5070" s="105">
        <v>95638</v>
      </c>
      <c r="B5070" s="104" t="s">
        <v>5123</v>
      </c>
      <c r="C5070" s="104" t="s">
        <v>183</v>
      </c>
      <c r="D5070" s="129" t="s">
        <v>23530</v>
      </c>
    </row>
    <row r="5071" spans="1:4">
      <c r="A5071" s="105">
        <v>95639</v>
      </c>
      <c r="B5071" s="104" t="s">
        <v>5124</v>
      </c>
      <c r="C5071" s="104" t="s">
        <v>183</v>
      </c>
      <c r="D5071" s="129" t="s">
        <v>23531</v>
      </c>
    </row>
    <row r="5072" spans="1:4">
      <c r="A5072" s="105">
        <v>95641</v>
      </c>
      <c r="B5072" s="104" t="s">
        <v>5125</v>
      </c>
      <c r="C5072" s="104" t="s">
        <v>183</v>
      </c>
      <c r="D5072" s="129" t="s">
        <v>23532</v>
      </c>
    </row>
    <row r="5073" spans="1:4">
      <c r="A5073" s="105">
        <v>95642</v>
      </c>
      <c r="B5073" s="104" t="s">
        <v>5126</v>
      </c>
      <c r="C5073" s="104" t="s">
        <v>183</v>
      </c>
      <c r="D5073" s="129" t="s">
        <v>23533</v>
      </c>
    </row>
    <row r="5074" spans="1:4">
      <c r="A5074" s="105">
        <v>95643</v>
      </c>
      <c r="B5074" s="104" t="s">
        <v>5127</v>
      </c>
      <c r="C5074" s="104" t="s">
        <v>183</v>
      </c>
      <c r="D5074" s="129" t="s">
        <v>23534</v>
      </c>
    </row>
    <row r="5075" spans="1:4">
      <c r="A5075" s="105">
        <v>95644</v>
      </c>
      <c r="B5075" s="104" t="s">
        <v>5128</v>
      </c>
      <c r="C5075" s="104" t="s">
        <v>183</v>
      </c>
      <c r="D5075" s="129" t="s">
        <v>22023</v>
      </c>
    </row>
    <row r="5076" spans="1:4">
      <c r="A5076" s="105">
        <v>95645</v>
      </c>
      <c r="B5076" s="104" t="s">
        <v>5129</v>
      </c>
      <c r="C5076" s="104" t="s">
        <v>183</v>
      </c>
      <c r="D5076" s="129" t="s">
        <v>23535</v>
      </c>
    </row>
    <row r="5077" spans="1:4">
      <c r="A5077" s="105">
        <v>95646</v>
      </c>
      <c r="B5077" s="104" t="s">
        <v>5130</v>
      </c>
      <c r="C5077" s="104" t="s">
        <v>183</v>
      </c>
      <c r="D5077" s="129" t="s">
        <v>23536</v>
      </c>
    </row>
    <row r="5078" spans="1:4">
      <c r="A5078" s="105">
        <v>95647</v>
      </c>
      <c r="B5078" s="104" t="s">
        <v>5131</v>
      </c>
      <c r="C5078" s="104" t="s">
        <v>183</v>
      </c>
      <c r="D5078" s="129" t="s">
        <v>23537</v>
      </c>
    </row>
    <row r="5079" spans="1:4">
      <c r="A5079" s="105">
        <v>95673</v>
      </c>
      <c r="B5079" s="104" t="s">
        <v>5132</v>
      </c>
      <c r="C5079" s="104" t="s">
        <v>183</v>
      </c>
      <c r="D5079" s="129" t="s">
        <v>23538</v>
      </c>
    </row>
    <row r="5080" spans="1:4">
      <c r="A5080" s="105">
        <v>95674</v>
      </c>
      <c r="B5080" s="104" t="s">
        <v>5133</v>
      </c>
      <c r="C5080" s="104" t="s">
        <v>183</v>
      </c>
      <c r="D5080" s="129" t="s">
        <v>23539</v>
      </c>
    </row>
    <row r="5081" spans="1:4">
      <c r="A5081" s="105">
        <v>95675</v>
      </c>
      <c r="B5081" s="104" t="s">
        <v>5134</v>
      </c>
      <c r="C5081" s="104" t="s">
        <v>183</v>
      </c>
      <c r="D5081" s="129" t="s">
        <v>23540</v>
      </c>
    </row>
    <row r="5082" spans="1:4">
      <c r="A5082" s="105">
        <v>95676</v>
      </c>
      <c r="B5082" s="104" t="s">
        <v>5135</v>
      </c>
      <c r="C5082" s="104" t="s">
        <v>183</v>
      </c>
      <c r="D5082" s="129" t="s">
        <v>23541</v>
      </c>
    </row>
    <row r="5083" spans="1:4">
      <c r="A5083" s="105">
        <v>97741</v>
      </c>
      <c r="B5083" s="104" t="s">
        <v>5136</v>
      </c>
      <c r="C5083" s="104" t="s">
        <v>183</v>
      </c>
      <c r="D5083" s="129" t="s">
        <v>23542</v>
      </c>
    </row>
    <row r="5084" spans="1:4">
      <c r="A5084" s="105">
        <v>90436</v>
      </c>
      <c r="B5084" s="104" t="s">
        <v>5137</v>
      </c>
      <c r="C5084" s="104" t="s">
        <v>183</v>
      </c>
      <c r="D5084" s="129" t="s">
        <v>23543</v>
      </c>
    </row>
    <row r="5085" spans="1:4">
      <c r="A5085" s="105">
        <v>90437</v>
      </c>
      <c r="B5085" s="104" t="s">
        <v>5138</v>
      </c>
      <c r="C5085" s="104" t="s">
        <v>183</v>
      </c>
      <c r="D5085" s="129" t="s">
        <v>15519</v>
      </c>
    </row>
    <row r="5086" spans="1:4">
      <c r="A5086" s="105">
        <v>90438</v>
      </c>
      <c r="B5086" s="104" t="s">
        <v>5139</v>
      </c>
      <c r="C5086" s="104" t="s">
        <v>183</v>
      </c>
      <c r="D5086" s="129" t="s">
        <v>23544</v>
      </c>
    </row>
    <row r="5087" spans="1:4">
      <c r="A5087" s="105">
        <v>90439</v>
      </c>
      <c r="B5087" s="104" t="s">
        <v>5140</v>
      </c>
      <c r="C5087" s="104" t="s">
        <v>183</v>
      </c>
      <c r="D5087" s="129" t="s">
        <v>15703</v>
      </c>
    </row>
    <row r="5088" spans="1:4">
      <c r="A5088" s="105">
        <v>90440</v>
      </c>
      <c r="B5088" s="104" t="s">
        <v>5141</v>
      </c>
      <c r="C5088" s="104" t="s">
        <v>183</v>
      </c>
      <c r="D5088" s="129" t="s">
        <v>23545</v>
      </c>
    </row>
    <row r="5089" spans="1:4">
      <c r="A5089" s="105">
        <v>90441</v>
      </c>
      <c r="B5089" s="104" t="s">
        <v>5142</v>
      </c>
      <c r="C5089" s="104" t="s">
        <v>183</v>
      </c>
      <c r="D5089" s="129" t="s">
        <v>23546</v>
      </c>
    </row>
    <row r="5090" spans="1:4">
      <c r="A5090" s="105">
        <v>90443</v>
      </c>
      <c r="B5090" s="104" t="s">
        <v>5143</v>
      </c>
      <c r="C5090" s="104" t="s">
        <v>40</v>
      </c>
      <c r="D5090" s="129" t="s">
        <v>20179</v>
      </c>
    </row>
    <row r="5091" spans="1:4">
      <c r="A5091" s="105">
        <v>90444</v>
      </c>
      <c r="B5091" s="104" t="s">
        <v>5144</v>
      </c>
      <c r="C5091" s="104" t="s">
        <v>40</v>
      </c>
      <c r="D5091" s="129" t="s">
        <v>23547</v>
      </c>
    </row>
    <row r="5092" spans="1:4">
      <c r="A5092" s="105">
        <v>90445</v>
      </c>
      <c r="B5092" s="104" t="s">
        <v>5145</v>
      </c>
      <c r="C5092" s="104" t="s">
        <v>40</v>
      </c>
      <c r="D5092" s="129" t="s">
        <v>23548</v>
      </c>
    </row>
    <row r="5093" spans="1:4">
      <c r="A5093" s="105">
        <v>90446</v>
      </c>
      <c r="B5093" s="104" t="s">
        <v>5146</v>
      </c>
      <c r="C5093" s="104" t="s">
        <v>40</v>
      </c>
      <c r="D5093" s="129" t="s">
        <v>15502</v>
      </c>
    </row>
    <row r="5094" spans="1:4">
      <c r="A5094" s="105">
        <v>90447</v>
      </c>
      <c r="B5094" s="104" t="s">
        <v>5147</v>
      </c>
      <c r="C5094" s="104" t="s">
        <v>40</v>
      </c>
      <c r="D5094" s="129" t="s">
        <v>15272</v>
      </c>
    </row>
    <row r="5095" spans="1:4">
      <c r="A5095" s="105">
        <v>90451</v>
      </c>
      <c r="B5095" s="104" t="s">
        <v>5148</v>
      </c>
      <c r="C5095" s="104" t="s">
        <v>183</v>
      </c>
      <c r="D5095" s="129" t="s">
        <v>15655</v>
      </c>
    </row>
    <row r="5096" spans="1:4">
      <c r="A5096" s="105">
        <v>90452</v>
      </c>
      <c r="B5096" s="104" t="s">
        <v>5149</v>
      </c>
      <c r="C5096" s="104" t="s">
        <v>183</v>
      </c>
      <c r="D5096" s="129" t="s">
        <v>16965</v>
      </c>
    </row>
    <row r="5097" spans="1:4">
      <c r="A5097" s="105">
        <v>90453</v>
      </c>
      <c r="B5097" s="104" t="s">
        <v>5150</v>
      </c>
      <c r="C5097" s="104" t="s">
        <v>183</v>
      </c>
      <c r="D5097" s="129" t="s">
        <v>15802</v>
      </c>
    </row>
    <row r="5098" spans="1:4">
      <c r="A5098" s="105">
        <v>90454</v>
      </c>
      <c r="B5098" s="104" t="s">
        <v>5151</v>
      </c>
      <c r="C5098" s="104" t="s">
        <v>183</v>
      </c>
      <c r="D5098" s="129" t="s">
        <v>20096</v>
      </c>
    </row>
    <row r="5099" spans="1:4">
      <c r="A5099" s="105">
        <v>90455</v>
      </c>
      <c r="B5099" s="104" t="s">
        <v>5152</v>
      </c>
      <c r="C5099" s="104" t="s">
        <v>183</v>
      </c>
      <c r="D5099" s="129" t="s">
        <v>17722</v>
      </c>
    </row>
    <row r="5100" spans="1:4">
      <c r="A5100" s="105">
        <v>90456</v>
      </c>
      <c r="B5100" s="104" t="s">
        <v>5153</v>
      </c>
      <c r="C5100" s="104" t="s">
        <v>183</v>
      </c>
      <c r="D5100" s="129" t="s">
        <v>23549</v>
      </c>
    </row>
    <row r="5101" spans="1:4">
      <c r="A5101" s="105">
        <v>90457</v>
      </c>
      <c r="B5101" s="104" t="s">
        <v>5154</v>
      </c>
      <c r="C5101" s="104" t="s">
        <v>183</v>
      </c>
      <c r="D5101" s="129" t="s">
        <v>15599</v>
      </c>
    </row>
    <row r="5102" spans="1:4">
      <c r="A5102" s="105">
        <v>90458</v>
      </c>
      <c r="B5102" s="104" t="s">
        <v>5155</v>
      </c>
      <c r="C5102" s="104" t="s">
        <v>183</v>
      </c>
      <c r="D5102" s="129" t="s">
        <v>20271</v>
      </c>
    </row>
    <row r="5103" spans="1:4">
      <c r="A5103" s="105">
        <v>90459</v>
      </c>
      <c r="B5103" s="104" t="s">
        <v>5156</v>
      </c>
      <c r="C5103" s="104" t="s">
        <v>183</v>
      </c>
      <c r="D5103" s="129" t="s">
        <v>18647</v>
      </c>
    </row>
    <row r="5104" spans="1:4">
      <c r="A5104" s="105">
        <v>90460</v>
      </c>
      <c r="B5104" s="104" t="s">
        <v>5157</v>
      </c>
      <c r="C5104" s="104" t="s">
        <v>40</v>
      </c>
      <c r="D5104" s="129" t="s">
        <v>17186</v>
      </c>
    </row>
    <row r="5105" spans="1:4">
      <c r="A5105" s="105">
        <v>90461</v>
      </c>
      <c r="B5105" s="104" t="s">
        <v>5158</v>
      </c>
      <c r="C5105" s="104" t="s">
        <v>40</v>
      </c>
      <c r="D5105" s="129" t="s">
        <v>17212</v>
      </c>
    </row>
    <row r="5106" spans="1:4">
      <c r="A5106" s="105">
        <v>90462</v>
      </c>
      <c r="B5106" s="104" t="s">
        <v>5159</v>
      </c>
      <c r="C5106" s="104" t="s">
        <v>40</v>
      </c>
      <c r="D5106" s="129" t="s">
        <v>20574</v>
      </c>
    </row>
    <row r="5107" spans="1:4">
      <c r="A5107" s="105">
        <v>90463</v>
      </c>
      <c r="B5107" s="104" t="s">
        <v>5160</v>
      </c>
      <c r="C5107" s="104" t="s">
        <v>40</v>
      </c>
      <c r="D5107" s="129" t="s">
        <v>20103</v>
      </c>
    </row>
    <row r="5108" spans="1:4">
      <c r="A5108" s="105">
        <v>90466</v>
      </c>
      <c r="B5108" s="104" t="s">
        <v>5161</v>
      </c>
      <c r="C5108" s="104" t="s">
        <v>40</v>
      </c>
      <c r="D5108" s="129" t="s">
        <v>23550</v>
      </c>
    </row>
    <row r="5109" spans="1:4">
      <c r="A5109" s="105">
        <v>90467</v>
      </c>
      <c r="B5109" s="104" t="s">
        <v>5162</v>
      </c>
      <c r="C5109" s="104" t="s">
        <v>40</v>
      </c>
      <c r="D5109" s="129" t="s">
        <v>23551</v>
      </c>
    </row>
    <row r="5110" spans="1:4">
      <c r="A5110" s="105">
        <v>90468</v>
      </c>
      <c r="B5110" s="104" t="s">
        <v>5163</v>
      </c>
      <c r="C5110" s="104" t="s">
        <v>40</v>
      </c>
      <c r="D5110" s="129" t="s">
        <v>23552</v>
      </c>
    </row>
    <row r="5111" spans="1:4">
      <c r="A5111" s="105">
        <v>90469</v>
      </c>
      <c r="B5111" s="104" t="s">
        <v>5164</v>
      </c>
      <c r="C5111" s="104" t="s">
        <v>40</v>
      </c>
      <c r="D5111" s="129" t="s">
        <v>23553</v>
      </c>
    </row>
    <row r="5112" spans="1:4">
      <c r="A5112" s="105">
        <v>90470</v>
      </c>
      <c r="B5112" s="104" t="s">
        <v>5165</v>
      </c>
      <c r="C5112" s="104" t="s">
        <v>40</v>
      </c>
      <c r="D5112" s="129" t="s">
        <v>16929</v>
      </c>
    </row>
    <row r="5113" spans="1:4">
      <c r="A5113" s="105">
        <v>91166</v>
      </c>
      <c r="B5113" s="104" t="s">
        <v>5166</v>
      </c>
      <c r="C5113" s="104" t="s">
        <v>40</v>
      </c>
      <c r="D5113" s="129" t="s">
        <v>22876</v>
      </c>
    </row>
    <row r="5114" spans="1:4">
      <c r="A5114" s="105">
        <v>91167</v>
      </c>
      <c r="B5114" s="104" t="s">
        <v>5167</v>
      </c>
      <c r="C5114" s="104" t="s">
        <v>40</v>
      </c>
      <c r="D5114" s="129" t="s">
        <v>19123</v>
      </c>
    </row>
    <row r="5115" spans="1:4">
      <c r="A5115" s="105">
        <v>91168</v>
      </c>
      <c r="B5115" s="104" t="s">
        <v>5168</v>
      </c>
      <c r="C5115" s="104" t="s">
        <v>40</v>
      </c>
      <c r="D5115" s="129" t="s">
        <v>23554</v>
      </c>
    </row>
    <row r="5116" spans="1:4">
      <c r="A5116" s="105">
        <v>91169</v>
      </c>
      <c r="B5116" s="104" t="s">
        <v>5169</v>
      </c>
      <c r="C5116" s="104" t="s">
        <v>40</v>
      </c>
      <c r="D5116" s="129" t="s">
        <v>23550</v>
      </c>
    </row>
    <row r="5117" spans="1:4">
      <c r="A5117" s="105">
        <v>91170</v>
      </c>
      <c r="B5117" s="104" t="s">
        <v>5170</v>
      </c>
      <c r="C5117" s="104" t="s">
        <v>40</v>
      </c>
      <c r="D5117" s="129" t="s">
        <v>14826</v>
      </c>
    </row>
    <row r="5118" spans="1:4">
      <c r="A5118" s="105">
        <v>91171</v>
      </c>
      <c r="B5118" s="104" t="s">
        <v>5171</v>
      </c>
      <c r="C5118" s="104" t="s">
        <v>40</v>
      </c>
      <c r="D5118" s="129" t="s">
        <v>14815</v>
      </c>
    </row>
    <row r="5119" spans="1:4">
      <c r="A5119" s="105">
        <v>91172</v>
      </c>
      <c r="B5119" s="104" t="s">
        <v>5172</v>
      </c>
      <c r="C5119" s="104" t="s">
        <v>40</v>
      </c>
      <c r="D5119" s="129" t="s">
        <v>15142</v>
      </c>
    </row>
    <row r="5120" spans="1:4">
      <c r="A5120" s="105">
        <v>91173</v>
      </c>
      <c r="B5120" s="104" t="s">
        <v>5173</v>
      </c>
      <c r="C5120" s="104" t="s">
        <v>40</v>
      </c>
      <c r="D5120" s="129" t="s">
        <v>15781</v>
      </c>
    </row>
    <row r="5121" spans="1:4">
      <c r="A5121" s="105">
        <v>91174</v>
      </c>
      <c r="B5121" s="104" t="s">
        <v>5174</v>
      </c>
      <c r="C5121" s="104" t="s">
        <v>40</v>
      </c>
      <c r="D5121" s="129" t="s">
        <v>20069</v>
      </c>
    </row>
    <row r="5122" spans="1:4">
      <c r="A5122" s="105">
        <v>91175</v>
      </c>
      <c r="B5122" s="104" t="s">
        <v>5175</v>
      </c>
      <c r="C5122" s="104" t="s">
        <v>40</v>
      </c>
      <c r="D5122" s="129" t="s">
        <v>23555</v>
      </c>
    </row>
    <row r="5123" spans="1:4">
      <c r="A5123" s="105">
        <v>91176</v>
      </c>
      <c r="B5123" s="104" t="s">
        <v>5176</v>
      </c>
      <c r="C5123" s="104" t="s">
        <v>40</v>
      </c>
      <c r="D5123" s="129" t="s">
        <v>17603</v>
      </c>
    </row>
    <row r="5124" spans="1:4">
      <c r="A5124" s="105">
        <v>91177</v>
      </c>
      <c r="B5124" s="104" t="s">
        <v>5177</v>
      </c>
      <c r="C5124" s="104" t="s">
        <v>40</v>
      </c>
      <c r="D5124" s="129" t="s">
        <v>14761</v>
      </c>
    </row>
    <row r="5125" spans="1:4">
      <c r="A5125" s="105">
        <v>91178</v>
      </c>
      <c r="B5125" s="104" t="s">
        <v>5178</v>
      </c>
      <c r="C5125" s="104" t="s">
        <v>40</v>
      </c>
      <c r="D5125" s="129" t="s">
        <v>18314</v>
      </c>
    </row>
    <row r="5126" spans="1:4">
      <c r="A5126" s="105">
        <v>91179</v>
      </c>
      <c r="B5126" s="104" t="s">
        <v>5179</v>
      </c>
      <c r="C5126" s="104" t="s">
        <v>40</v>
      </c>
      <c r="D5126" s="129" t="s">
        <v>20152</v>
      </c>
    </row>
    <row r="5127" spans="1:4">
      <c r="A5127" s="105">
        <v>91180</v>
      </c>
      <c r="B5127" s="104" t="s">
        <v>5180</v>
      </c>
      <c r="C5127" s="104" t="s">
        <v>40</v>
      </c>
      <c r="D5127" s="129" t="s">
        <v>23556</v>
      </c>
    </row>
    <row r="5128" spans="1:4">
      <c r="A5128" s="105">
        <v>91181</v>
      </c>
      <c r="B5128" s="104" t="s">
        <v>5181</v>
      </c>
      <c r="C5128" s="104" t="s">
        <v>40</v>
      </c>
      <c r="D5128" s="129" t="s">
        <v>14940</v>
      </c>
    </row>
    <row r="5129" spans="1:4">
      <c r="A5129" s="105">
        <v>91182</v>
      </c>
      <c r="B5129" s="104" t="s">
        <v>5182</v>
      </c>
      <c r="C5129" s="104" t="s">
        <v>40</v>
      </c>
      <c r="D5129" s="129" t="s">
        <v>19212</v>
      </c>
    </row>
    <row r="5130" spans="1:4">
      <c r="A5130" s="105">
        <v>91183</v>
      </c>
      <c r="B5130" s="104" t="s">
        <v>5183</v>
      </c>
      <c r="C5130" s="104" t="s">
        <v>40</v>
      </c>
      <c r="D5130" s="129" t="s">
        <v>23557</v>
      </c>
    </row>
    <row r="5131" spans="1:4">
      <c r="A5131" s="105">
        <v>91184</v>
      </c>
      <c r="B5131" s="104" t="s">
        <v>5184</v>
      </c>
      <c r="C5131" s="104" t="s">
        <v>40</v>
      </c>
      <c r="D5131" s="129" t="s">
        <v>23558</v>
      </c>
    </row>
    <row r="5132" spans="1:4">
      <c r="A5132" s="105">
        <v>91185</v>
      </c>
      <c r="B5132" s="104" t="s">
        <v>5185</v>
      </c>
      <c r="C5132" s="104" t="s">
        <v>40</v>
      </c>
      <c r="D5132" s="129" t="s">
        <v>15756</v>
      </c>
    </row>
    <row r="5133" spans="1:4">
      <c r="A5133" s="105">
        <v>91186</v>
      </c>
      <c r="B5133" s="104" t="s">
        <v>5186</v>
      </c>
      <c r="C5133" s="104" t="s">
        <v>40</v>
      </c>
      <c r="D5133" s="129" t="s">
        <v>18048</v>
      </c>
    </row>
    <row r="5134" spans="1:4">
      <c r="A5134" s="105">
        <v>91187</v>
      </c>
      <c r="B5134" s="104" t="s">
        <v>5187</v>
      </c>
      <c r="C5134" s="104" t="s">
        <v>40</v>
      </c>
      <c r="D5134" s="129" t="s">
        <v>23559</v>
      </c>
    </row>
    <row r="5135" spans="1:4">
      <c r="A5135" s="105">
        <v>91188</v>
      </c>
      <c r="B5135" s="104" t="s">
        <v>5188</v>
      </c>
      <c r="C5135" s="104" t="s">
        <v>183</v>
      </c>
      <c r="D5135" s="129" t="s">
        <v>17722</v>
      </c>
    </row>
    <row r="5136" spans="1:4">
      <c r="A5136" s="105">
        <v>91189</v>
      </c>
      <c r="B5136" s="104" t="s">
        <v>5189</v>
      </c>
      <c r="C5136" s="104" t="s">
        <v>183</v>
      </c>
      <c r="D5136" s="129" t="s">
        <v>23560</v>
      </c>
    </row>
    <row r="5137" spans="1:4">
      <c r="A5137" s="105">
        <v>91190</v>
      </c>
      <c r="B5137" s="104" t="s">
        <v>5190</v>
      </c>
      <c r="C5137" s="104" t="s">
        <v>183</v>
      </c>
      <c r="D5137" s="129" t="s">
        <v>23561</v>
      </c>
    </row>
    <row r="5138" spans="1:4">
      <c r="A5138" s="105">
        <v>91191</v>
      </c>
      <c r="B5138" s="104" t="s">
        <v>5191</v>
      </c>
      <c r="C5138" s="104" t="s">
        <v>183</v>
      </c>
      <c r="D5138" s="129" t="s">
        <v>17156</v>
      </c>
    </row>
    <row r="5139" spans="1:4">
      <c r="A5139" s="105">
        <v>91192</v>
      </c>
      <c r="B5139" s="104" t="s">
        <v>5192</v>
      </c>
      <c r="C5139" s="104" t="s">
        <v>183</v>
      </c>
      <c r="D5139" s="129" t="s">
        <v>23562</v>
      </c>
    </row>
    <row r="5140" spans="1:4">
      <c r="A5140" s="105">
        <v>91222</v>
      </c>
      <c r="B5140" s="104" t="s">
        <v>5193</v>
      </c>
      <c r="C5140" s="104" t="s">
        <v>40</v>
      </c>
      <c r="D5140" s="129" t="s">
        <v>14760</v>
      </c>
    </row>
    <row r="5141" spans="1:4">
      <c r="A5141" s="105">
        <v>94480</v>
      </c>
      <c r="B5141" s="104" t="s">
        <v>5194</v>
      </c>
      <c r="C5141" s="104" t="s">
        <v>183</v>
      </c>
      <c r="D5141" s="129" t="s">
        <v>23563</v>
      </c>
    </row>
    <row r="5142" spans="1:4">
      <c r="A5142" s="105">
        <v>94481</v>
      </c>
      <c r="B5142" s="104" t="s">
        <v>5195</v>
      </c>
      <c r="C5142" s="104" t="s">
        <v>183</v>
      </c>
      <c r="D5142" s="129" t="s">
        <v>23564</v>
      </c>
    </row>
    <row r="5143" spans="1:4">
      <c r="A5143" s="105">
        <v>94482</v>
      </c>
      <c r="B5143" s="104" t="s">
        <v>5196</v>
      </c>
      <c r="C5143" s="104" t="s">
        <v>183</v>
      </c>
      <c r="D5143" s="129" t="s">
        <v>23565</v>
      </c>
    </row>
    <row r="5144" spans="1:4">
      <c r="A5144" s="105">
        <v>94483</v>
      </c>
      <c r="B5144" s="104" t="s">
        <v>5197</v>
      </c>
      <c r="C5144" s="104" t="s">
        <v>183</v>
      </c>
      <c r="D5144" s="129" t="s">
        <v>23566</v>
      </c>
    </row>
    <row r="5145" spans="1:4">
      <c r="A5145" s="105">
        <v>95541</v>
      </c>
      <c r="B5145" s="104" t="s">
        <v>5198</v>
      </c>
      <c r="C5145" s="104" t="s">
        <v>183</v>
      </c>
      <c r="D5145" s="129" t="s">
        <v>15664</v>
      </c>
    </row>
    <row r="5146" spans="1:4">
      <c r="A5146" s="105">
        <v>96559</v>
      </c>
      <c r="B5146" s="104" t="s">
        <v>5199</v>
      </c>
      <c r="C5146" s="104" t="s">
        <v>12</v>
      </c>
      <c r="D5146" s="129" t="s">
        <v>19797</v>
      </c>
    </row>
    <row r="5147" spans="1:4">
      <c r="A5147" s="105">
        <v>96560</v>
      </c>
      <c r="B5147" s="104" t="s">
        <v>5200</v>
      </c>
      <c r="C5147" s="104" t="s">
        <v>12</v>
      </c>
      <c r="D5147" s="129" t="s">
        <v>19477</v>
      </c>
    </row>
    <row r="5148" spans="1:4">
      <c r="A5148" s="105">
        <v>96561</v>
      </c>
      <c r="B5148" s="104" t="s">
        <v>5201</v>
      </c>
      <c r="C5148" s="104" t="s">
        <v>12</v>
      </c>
      <c r="D5148" s="129" t="s">
        <v>16948</v>
      </c>
    </row>
    <row r="5149" spans="1:4">
      <c r="A5149" s="105">
        <v>96562</v>
      </c>
      <c r="B5149" s="104" t="s">
        <v>5202</v>
      </c>
      <c r="C5149" s="104" t="s">
        <v>40</v>
      </c>
      <c r="D5149" s="129" t="s">
        <v>19622</v>
      </c>
    </row>
    <row r="5150" spans="1:4">
      <c r="A5150" s="105">
        <v>96563</v>
      </c>
      <c r="B5150" s="104" t="s">
        <v>5203</v>
      </c>
      <c r="C5150" s="104" t="s">
        <v>40</v>
      </c>
      <c r="D5150" s="129" t="s">
        <v>23567</v>
      </c>
    </row>
    <row r="5151" spans="1:4">
      <c r="A5151" s="105">
        <v>101802</v>
      </c>
      <c r="B5151" s="104" t="s">
        <v>5204</v>
      </c>
      <c r="C5151" s="104" t="s">
        <v>183</v>
      </c>
      <c r="D5151" s="129" t="s">
        <v>23568</v>
      </c>
    </row>
    <row r="5152" spans="1:4">
      <c r="A5152" s="105">
        <v>101803</v>
      </c>
      <c r="B5152" s="104" t="s">
        <v>5205</v>
      </c>
      <c r="C5152" s="104" t="s">
        <v>183</v>
      </c>
      <c r="D5152" s="129" t="s">
        <v>23569</v>
      </c>
    </row>
    <row r="5153" spans="1:4">
      <c r="A5153" s="105">
        <v>101804</v>
      </c>
      <c r="B5153" s="104" t="s">
        <v>5206</v>
      </c>
      <c r="C5153" s="104" t="s">
        <v>183</v>
      </c>
      <c r="D5153" s="129" t="s">
        <v>23570</v>
      </c>
    </row>
    <row r="5154" spans="1:4">
      <c r="A5154" s="105">
        <v>101805</v>
      </c>
      <c r="B5154" s="104" t="s">
        <v>5207</v>
      </c>
      <c r="C5154" s="104" t="s">
        <v>183</v>
      </c>
      <c r="D5154" s="129" t="s">
        <v>23571</v>
      </c>
    </row>
    <row r="5155" spans="1:4">
      <c r="A5155" s="105">
        <v>102111</v>
      </c>
      <c r="B5155" s="104" t="s">
        <v>5208</v>
      </c>
      <c r="C5155" s="104" t="s">
        <v>183</v>
      </c>
      <c r="D5155" s="129" t="s">
        <v>23572</v>
      </c>
    </row>
    <row r="5156" spans="1:4">
      <c r="A5156" s="105">
        <v>102112</v>
      </c>
      <c r="B5156" s="104" t="s">
        <v>5209</v>
      </c>
      <c r="C5156" s="104" t="s">
        <v>183</v>
      </c>
      <c r="D5156" s="129" t="s">
        <v>23573</v>
      </c>
    </row>
    <row r="5157" spans="1:4">
      <c r="A5157" s="105">
        <v>102113</v>
      </c>
      <c r="B5157" s="104" t="s">
        <v>5210</v>
      </c>
      <c r="C5157" s="104" t="s">
        <v>183</v>
      </c>
      <c r="D5157" s="129" t="s">
        <v>23574</v>
      </c>
    </row>
    <row r="5158" spans="1:4">
      <c r="A5158" s="105">
        <v>102114</v>
      </c>
      <c r="B5158" s="104" t="s">
        <v>5211</v>
      </c>
      <c r="C5158" s="104" t="s">
        <v>183</v>
      </c>
      <c r="D5158" s="129" t="s">
        <v>23575</v>
      </c>
    </row>
    <row r="5159" spans="1:4">
      <c r="A5159" s="105">
        <v>102115</v>
      </c>
      <c r="B5159" s="104" t="s">
        <v>5212</v>
      </c>
      <c r="C5159" s="104" t="s">
        <v>183</v>
      </c>
      <c r="D5159" s="129" t="s">
        <v>23576</v>
      </c>
    </row>
    <row r="5160" spans="1:4">
      <c r="A5160" s="105">
        <v>102116</v>
      </c>
      <c r="B5160" s="104" t="s">
        <v>5213</v>
      </c>
      <c r="C5160" s="104" t="s">
        <v>183</v>
      </c>
      <c r="D5160" s="129" t="s">
        <v>23577</v>
      </c>
    </row>
    <row r="5161" spans="1:4">
      <c r="A5161" s="105">
        <v>102117</v>
      </c>
      <c r="B5161" s="104" t="s">
        <v>5214</v>
      </c>
      <c r="C5161" s="104" t="s">
        <v>183</v>
      </c>
      <c r="D5161" s="129" t="s">
        <v>23578</v>
      </c>
    </row>
    <row r="5162" spans="1:4">
      <c r="A5162" s="105">
        <v>102118</v>
      </c>
      <c r="B5162" s="104" t="s">
        <v>5215</v>
      </c>
      <c r="C5162" s="104" t="s">
        <v>183</v>
      </c>
      <c r="D5162" s="129" t="s">
        <v>23579</v>
      </c>
    </row>
    <row r="5163" spans="1:4">
      <c r="A5163" s="105">
        <v>102119</v>
      </c>
      <c r="B5163" s="104" t="s">
        <v>5216</v>
      </c>
      <c r="C5163" s="104" t="s">
        <v>183</v>
      </c>
      <c r="D5163" s="129" t="s">
        <v>23580</v>
      </c>
    </row>
    <row r="5164" spans="1:4">
      <c r="A5164" s="105">
        <v>102121</v>
      </c>
      <c r="B5164" s="104" t="s">
        <v>5217</v>
      </c>
      <c r="C5164" s="104" t="s">
        <v>183</v>
      </c>
      <c r="D5164" s="129" t="s">
        <v>23581</v>
      </c>
    </row>
    <row r="5165" spans="1:4">
      <c r="A5165" s="105">
        <v>102122</v>
      </c>
      <c r="B5165" s="104" t="s">
        <v>5218</v>
      </c>
      <c r="C5165" s="104" t="s">
        <v>183</v>
      </c>
      <c r="D5165" s="129" t="s">
        <v>23582</v>
      </c>
    </row>
    <row r="5166" spans="1:4">
      <c r="A5166" s="105">
        <v>102123</v>
      </c>
      <c r="B5166" s="104" t="s">
        <v>5219</v>
      </c>
      <c r="C5166" s="104" t="s">
        <v>183</v>
      </c>
      <c r="D5166" s="129" t="s">
        <v>23583</v>
      </c>
    </row>
    <row r="5167" spans="1:4">
      <c r="A5167" s="105">
        <v>102136</v>
      </c>
      <c r="B5167" s="104" t="s">
        <v>5220</v>
      </c>
      <c r="C5167" s="104" t="s">
        <v>183</v>
      </c>
      <c r="D5167" s="129" t="s">
        <v>18694</v>
      </c>
    </row>
    <row r="5168" spans="1:4">
      <c r="A5168" s="105">
        <v>102137</v>
      </c>
      <c r="B5168" s="104" t="s">
        <v>5221</v>
      </c>
      <c r="C5168" s="104" t="s">
        <v>183</v>
      </c>
      <c r="D5168" s="129" t="s">
        <v>16709</v>
      </c>
    </row>
    <row r="5169" spans="1:4">
      <c r="A5169" s="105">
        <v>102138</v>
      </c>
      <c r="B5169" s="104" t="s">
        <v>5222</v>
      </c>
      <c r="C5169" s="104" t="s">
        <v>183</v>
      </c>
      <c r="D5169" s="129" t="s">
        <v>23584</v>
      </c>
    </row>
    <row r="5170" spans="1:4">
      <c r="A5170" s="105">
        <v>103517</v>
      </c>
      <c r="B5170" s="104" t="s">
        <v>13771</v>
      </c>
      <c r="C5170" s="104" t="s">
        <v>183</v>
      </c>
      <c r="D5170" s="129" t="s">
        <v>23585</v>
      </c>
    </row>
    <row r="5171" spans="1:4">
      <c r="A5171" s="105">
        <v>103519</v>
      </c>
      <c r="B5171" s="104" t="s">
        <v>13772</v>
      </c>
      <c r="C5171" s="104" t="s">
        <v>183</v>
      </c>
      <c r="D5171" s="129" t="s">
        <v>23586</v>
      </c>
    </row>
    <row r="5172" spans="1:4">
      <c r="A5172" s="105">
        <v>103520</v>
      </c>
      <c r="B5172" s="104" t="s">
        <v>13773</v>
      </c>
      <c r="C5172" s="104" t="s">
        <v>183</v>
      </c>
      <c r="D5172" s="129" t="s">
        <v>23587</v>
      </c>
    </row>
    <row r="5173" spans="1:4">
      <c r="A5173" s="105">
        <v>103521</v>
      </c>
      <c r="B5173" s="104" t="s">
        <v>13774</v>
      </c>
      <c r="C5173" s="104" t="s">
        <v>183</v>
      </c>
      <c r="D5173" s="129" t="s">
        <v>23588</v>
      </c>
    </row>
    <row r="5174" spans="1:4">
      <c r="A5174" s="105">
        <v>103522</v>
      </c>
      <c r="B5174" s="104" t="s">
        <v>13775</v>
      </c>
      <c r="C5174" s="104" t="s">
        <v>183</v>
      </c>
      <c r="D5174" s="129" t="s">
        <v>23589</v>
      </c>
    </row>
    <row r="5175" spans="1:4">
      <c r="A5175" s="105">
        <v>103523</v>
      </c>
      <c r="B5175" s="104" t="s">
        <v>13776</v>
      </c>
      <c r="C5175" s="104" t="s">
        <v>183</v>
      </c>
      <c r="D5175" s="129" t="s">
        <v>23590</v>
      </c>
    </row>
    <row r="5176" spans="1:4">
      <c r="A5176" s="105">
        <v>93350</v>
      </c>
      <c r="B5176" s="104" t="s">
        <v>5223</v>
      </c>
      <c r="C5176" s="104" t="s">
        <v>183</v>
      </c>
      <c r="D5176" s="129" t="s">
        <v>23591</v>
      </c>
    </row>
    <row r="5177" spans="1:4">
      <c r="A5177" s="105">
        <v>93351</v>
      </c>
      <c r="B5177" s="104" t="s">
        <v>5224</v>
      </c>
      <c r="C5177" s="104" t="s">
        <v>183</v>
      </c>
      <c r="D5177" s="129" t="s">
        <v>23592</v>
      </c>
    </row>
    <row r="5178" spans="1:4">
      <c r="A5178" s="105">
        <v>93352</v>
      </c>
      <c r="B5178" s="104" t="s">
        <v>5225</v>
      </c>
      <c r="C5178" s="104" t="s">
        <v>183</v>
      </c>
      <c r="D5178" s="129" t="s">
        <v>23593</v>
      </c>
    </row>
    <row r="5179" spans="1:4">
      <c r="A5179" s="105">
        <v>93353</v>
      </c>
      <c r="B5179" s="104" t="s">
        <v>5226</v>
      </c>
      <c r="C5179" s="104" t="s">
        <v>183</v>
      </c>
      <c r="D5179" s="129" t="s">
        <v>23594</v>
      </c>
    </row>
    <row r="5180" spans="1:4">
      <c r="A5180" s="105">
        <v>93354</v>
      </c>
      <c r="B5180" s="104" t="s">
        <v>5227</v>
      </c>
      <c r="C5180" s="104" t="s">
        <v>183</v>
      </c>
      <c r="D5180" s="129" t="s">
        <v>23595</v>
      </c>
    </row>
    <row r="5181" spans="1:4">
      <c r="A5181" s="105">
        <v>93355</v>
      </c>
      <c r="B5181" s="104" t="s">
        <v>5228</v>
      </c>
      <c r="C5181" s="104" t="s">
        <v>183</v>
      </c>
      <c r="D5181" s="129" t="s">
        <v>23596</v>
      </c>
    </row>
    <row r="5182" spans="1:4">
      <c r="A5182" s="105">
        <v>93356</v>
      </c>
      <c r="B5182" s="104" t="s">
        <v>5229</v>
      </c>
      <c r="C5182" s="104" t="s">
        <v>183</v>
      </c>
      <c r="D5182" s="129" t="s">
        <v>23597</v>
      </c>
    </row>
    <row r="5183" spans="1:4">
      <c r="A5183" s="105">
        <v>93357</v>
      </c>
      <c r="B5183" s="104" t="s">
        <v>5230</v>
      </c>
      <c r="C5183" s="104" t="s">
        <v>183</v>
      </c>
      <c r="D5183" s="129" t="s">
        <v>23598</v>
      </c>
    </row>
    <row r="5184" spans="1:4">
      <c r="A5184" s="105">
        <v>96520</v>
      </c>
      <c r="B5184" s="104" t="s">
        <v>5231</v>
      </c>
      <c r="C5184" s="104" t="s">
        <v>28</v>
      </c>
      <c r="D5184" s="129" t="s">
        <v>23599</v>
      </c>
    </row>
    <row r="5185" spans="1:4">
      <c r="A5185" s="105">
        <v>96521</v>
      </c>
      <c r="B5185" s="104" t="s">
        <v>5232</v>
      </c>
      <c r="C5185" s="104" t="s">
        <v>28</v>
      </c>
      <c r="D5185" s="129" t="s">
        <v>19643</v>
      </c>
    </row>
    <row r="5186" spans="1:4">
      <c r="A5186" s="105">
        <v>96522</v>
      </c>
      <c r="B5186" s="104" t="s">
        <v>5233</v>
      </c>
      <c r="C5186" s="104" t="s">
        <v>28</v>
      </c>
      <c r="D5186" s="129" t="s">
        <v>23600</v>
      </c>
    </row>
    <row r="5187" spans="1:4">
      <c r="A5187" s="105">
        <v>96523</v>
      </c>
      <c r="B5187" s="104" t="s">
        <v>5234</v>
      </c>
      <c r="C5187" s="104" t="s">
        <v>28</v>
      </c>
      <c r="D5187" s="129" t="s">
        <v>15984</v>
      </c>
    </row>
    <row r="5188" spans="1:4">
      <c r="A5188" s="105">
        <v>96524</v>
      </c>
      <c r="B5188" s="104" t="s">
        <v>5235</v>
      </c>
      <c r="C5188" s="104" t="s">
        <v>28</v>
      </c>
      <c r="D5188" s="129" t="s">
        <v>23601</v>
      </c>
    </row>
    <row r="5189" spans="1:4">
      <c r="A5189" s="105">
        <v>96525</v>
      </c>
      <c r="B5189" s="104" t="s">
        <v>5236</v>
      </c>
      <c r="C5189" s="104" t="s">
        <v>28</v>
      </c>
      <c r="D5189" s="129" t="s">
        <v>23602</v>
      </c>
    </row>
    <row r="5190" spans="1:4">
      <c r="A5190" s="105">
        <v>96526</v>
      </c>
      <c r="B5190" s="104" t="s">
        <v>5237</v>
      </c>
      <c r="C5190" s="104" t="s">
        <v>28</v>
      </c>
      <c r="D5190" s="129" t="s">
        <v>23603</v>
      </c>
    </row>
    <row r="5191" spans="1:4">
      <c r="A5191" s="105">
        <v>96527</v>
      </c>
      <c r="B5191" s="104" t="s">
        <v>5238</v>
      </c>
      <c r="C5191" s="104" t="s">
        <v>28</v>
      </c>
      <c r="D5191" s="129" t="s">
        <v>23604</v>
      </c>
    </row>
    <row r="5192" spans="1:4">
      <c r="A5192" s="105">
        <v>96528</v>
      </c>
      <c r="B5192" s="104" t="s">
        <v>5239</v>
      </c>
      <c r="C5192" s="104" t="s">
        <v>12</v>
      </c>
      <c r="D5192" s="129" t="s">
        <v>23605</v>
      </c>
    </row>
    <row r="5193" spans="1:4">
      <c r="A5193" s="105">
        <v>101114</v>
      </c>
      <c r="B5193" s="104" t="s">
        <v>5240</v>
      </c>
      <c r="C5193" s="104" t="s">
        <v>28</v>
      </c>
      <c r="D5193" s="129" t="s">
        <v>15450</v>
      </c>
    </row>
    <row r="5194" spans="1:4">
      <c r="A5194" s="105">
        <v>101115</v>
      </c>
      <c r="B5194" s="104" t="s">
        <v>5241</v>
      </c>
      <c r="C5194" s="104" t="s">
        <v>28</v>
      </c>
      <c r="D5194" s="129" t="s">
        <v>15569</v>
      </c>
    </row>
    <row r="5195" spans="1:4">
      <c r="A5195" s="105">
        <v>101116</v>
      </c>
      <c r="B5195" s="104" t="s">
        <v>5242</v>
      </c>
      <c r="C5195" s="104" t="s">
        <v>28</v>
      </c>
      <c r="D5195" s="129" t="s">
        <v>15481</v>
      </c>
    </row>
    <row r="5196" spans="1:4">
      <c r="A5196" s="105">
        <v>101117</v>
      </c>
      <c r="B5196" s="104" t="s">
        <v>5243</v>
      </c>
      <c r="C5196" s="104" t="s">
        <v>28</v>
      </c>
      <c r="D5196" s="129" t="s">
        <v>23606</v>
      </c>
    </row>
    <row r="5197" spans="1:4">
      <c r="A5197" s="105">
        <v>101118</v>
      </c>
      <c r="B5197" s="104" t="s">
        <v>5244</v>
      </c>
      <c r="C5197" s="104" t="s">
        <v>28</v>
      </c>
      <c r="D5197" s="129" t="s">
        <v>20097</v>
      </c>
    </row>
    <row r="5198" spans="1:4">
      <c r="A5198" s="105">
        <v>101119</v>
      </c>
      <c r="B5198" s="104" t="s">
        <v>5245</v>
      </c>
      <c r="C5198" s="104" t="s">
        <v>28</v>
      </c>
      <c r="D5198" s="129" t="s">
        <v>15586</v>
      </c>
    </row>
    <row r="5199" spans="1:4">
      <c r="A5199" s="105">
        <v>101120</v>
      </c>
      <c r="B5199" s="104" t="s">
        <v>5246</v>
      </c>
      <c r="C5199" s="104" t="s">
        <v>28</v>
      </c>
      <c r="D5199" s="129" t="s">
        <v>15681</v>
      </c>
    </row>
    <row r="5200" spans="1:4">
      <c r="A5200" s="105">
        <v>101121</v>
      </c>
      <c r="B5200" s="104" t="s">
        <v>5247</v>
      </c>
      <c r="C5200" s="104" t="s">
        <v>28</v>
      </c>
      <c r="D5200" s="129" t="s">
        <v>20068</v>
      </c>
    </row>
    <row r="5201" spans="1:4">
      <c r="A5201" s="105">
        <v>101122</v>
      </c>
      <c r="B5201" s="104" t="s">
        <v>5248</v>
      </c>
      <c r="C5201" s="104" t="s">
        <v>28</v>
      </c>
      <c r="D5201" s="129" t="s">
        <v>15770</v>
      </c>
    </row>
    <row r="5202" spans="1:4">
      <c r="A5202" s="105">
        <v>101123</v>
      </c>
      <c r="B5202" s="104" t="s">
        <v>5249</v>
      </c>
      <c r="C5202" s="104" t="s">
        <v>28</v>
      </c>
      <c r="D5202" s="129" t="s">
        <v>15252</v>
      </c>
    </row>
    <row r="5203" spans="1:4">
      <c r="A5203" s="105">
        <v>101124</v>
      </c>
      <c r="B5203" s="104" t="s">
        <v>5250</v>
      </c>
      <c r="C5203" s="104" t="s">
        <v>28</v>
      </c>
      <c r="D5203" s="129" t="s">
        <v>21882</v>
      </c>
    </row>
    <row r="5204" spans="1:4">
      <c r="A5204" s="105">
        <v>101125</v>
      </c>
      <c r="B5204" s="104" t="s">
        <v>5251</v>
      </c>
      <c r="C5204" s="104" t="s">
        <v>28</v>
      </c>
      <c r="D5204" s="129" t="s">
        <v>17215</v>
      </c>
    </row>
    <row r="5205" spans="1:4">
      <c r="A5205" s="105">
        <v>101126</v>
      </c>
      <c r="B5205" s="104" t="s">
        <v>5252</v>
      </c>
      <c r="C5205" s="104" t="s">
        <v>28</v>
      </c>
      <c r="D5205" s="129" t="s">
        <v>18107</v>
      </c>
    </row>
    <row r="5206" spans="1:4">
      <c r="A5206" s="105">
        <v>101127</v>
      </c>
      <c r="B5206" s="104" t="s">
        <v>5253</v>
      </c>
      <c r="C5206" s="104" t="s">
        <v>28</v>
      </c>
      <c r="D5206" s="129" t="s">
        <v>16976</v>
      </c>
    </row>
    <row r="5207" spans="1:4">
      <c r="A5207" s="105">
        <v>101128</v>
      </c>
      <c r="B5207" s="104" t="s">
        <v>5254</v>
      </c>
      <c r="C5207" s="104" t="s">
        <v>28</v>
      </c>
      <c r="D5207" s="129" t="s">
        <v>17177</v>
      </c>
    </row>
    <row r="5208" spans="1:4">
      <c r="A5208" s="105">
        <v>101129</v>
      </c>
      <c r="B5208" s="104" t="s">
        <v>5255</v>
      </c>
      <c r="C5208" s="104" t="s">
        <v>28</v>
      </c>
      <c r="D5208" s="129" t="s">
        <v>15880</v>
      </c>
    </row>
    <row r="5209" spans="1:4">
      <c r="A5209" s="105">
        <v>101130</v>
      </c>
      <c r="B5209" s="104" t="s">
        <v>5256</v>
      </c>
      <c r="C5209" s="104" t="s">
        <v>28</v>
      </c>
      <c r="D5209" s="129" t="s">
        <v>21866</v>
      </c>
    </row>
    <row r="5210" spans="1:4">
      <c r="A5210" s="105">
        <v>101131</v>
      </c>
      <c r="B5210" s="104" t="s">
        <v>5257</v>
      </c>
      <c r="C5210" s="104" t="s">
        <v>28</v>
      </c>
      <c r="D5210" s="129" t="s">
        <v>17306</v>
      </c>
    </row>
    <row r="5211" spans="1:4">
      <c r="A5211" s="105">
        <v>101132</v>
      </c>
      <c r="B5211" s="104" t="s">
        <v>5258</v>
      </c>
      <c r="C5211" s="104" t="s">
        <v>28</v>
      </c>
      <c r="D5211" s="129" t="s">
        <v>21874</v>
      </c>
    </row>
    <row r="5212" spans="1:4">
      <c r="A5212" s="105">
        <v>101133</v>
      </c>
      <c r="B5212" s="104" t="s">
        <v>5259</v>
      </c>
      <c r="C5212" s="104" t="s">
        <v>28</v>
      </c>
      <c r="D5212" s="129" t="s">
        <v>23607</v>
      </c>
    </row>
    <row r="5213" spans="1:4">
      <c r="A5213" s="105">
        <v>101134</v>
      </c>
      <c r="B5213" s="104" t="s">
        <v>5260</v>
      </c>
      <c r="C5213" s="104" t="s">
        <v>28</v>
      </c>
      <c r="D5213" s="129" t="s">
        <v>20386</v>
      </c>
    </row>
    <row r="5214" spans="1:4">
      <c r="A5214" s="105">
        <v>101135</v>
      </c>
      <c r="B5214" s="104" t="s">
        <v>5261</v>
      </c>
      <c r="C5214" s="104" t="s">
        <v>28</v>
      </c>
      <c r="D5214" s="129" t="s">
        <v>22705</v>
      </c>
    </row>
    <row r="5215" spans="1:4">
      <c r="A5215" s="105">
        <v>101136</v>
      </c>
      <c r="B5215" s="104" t="s">
        <v>5262</v>
      </c>
      <c r="C5215" s="104" t="s">
        <v>28</v>
      </c>
      <c r="D5215" s="129" t="s">
        <v>23608</v>
      </c>
    </row>
    <row r="5216" spans="1:4">
      <c r="A5216" s="105">
        <v>101137</v>
      </c>
      <c r="B5216" s="104" t="s">
        <v>5263</v>
      </c>
      <c r="C5216" s="104" t="s">
        <v>28</v>
      </c>
      <c r="D5216" s="129" t="s">
        <v>21417</v>
      </c>
    </row>
    <row r="5217" spans="1:5">
      <c r="A5217" s="105">
        <v>101138</v>
      </c>
      <c r="B5217" s="104" t="s">
        <v>5264</v>
      </c>
      <c r="C5217" s="104" t="s">
        <v>28</v>
      </c>
      <c r="D5217" s="129" t="s">
        <v>18151</v>
      </c>
    </row>
    <row r="5218" spans="1:5">
      <c r="A5218" s="105">
        <v>101139</v>
      </c>
      <c r="B5218" s="104" t="s">
        <v>5265</v>
      </c>
      <c r="C5218" s="104" t="s">
        <v>28</v>
      </c>
      <c r="D5218" s="129" t="s">
        <v>18864</v>
      </c>
    </row>
    <row r="5219" spans="1:5">
      <c r="A5219" s="105">
        <v>101140</v>
      </c>
      <c r="B5219" s="104" t="s">
        <v>5266</v>
      </c>
      <c r="C5219" s="104" t="s">
        <v>28</v>
      </c>
      <c r="D5219" s="129" t="s">
        <v>22816</v>
      </c>
    </row>
    <row r="5220" spans="1:5">
      <c r="A5220" s="105">
        <v>101141</v>
      </c>
      <c r="B5220" s="104" t="s">
        <v>5267</v>
      </c>
      <c r="C5220" s="104" t="s">
        <v>28</v>
      </c>
      <c r="D5220" s="129" t="s">
        <v>21865</v>
      </c>
    </row>
    <row r="5221" spans="1:5">
      <c r="A5221" s="105">
        <v>101142</v>
      </c>
      <c r="B5221" s="104" t="s">
        <v>5268</v>
      </c>
      <c r="C5221" s="104" t="s">
        <v>28</v>
      </c>
      <c r="D5221" s="129" t="s">
        <v>17178</v>
      </c>
    </row>
    <row r="5222" spans="1:5">
      <c r="A5222" s="105">
        <v>101143</v>
      </c>
      <c r="B5222" s="104" t="s">
        <v>5269</v>
      </c>
      <c r="C5222" s="104" t="s">
        <v>28</v>
      </c>
      <c r="D5222" s="129" t="s">
        <v>15568</v>
      </c>
    </row>
    <row r="5223" spans="1:5">
      <c r="A5223" s="105">
        <v>101144</v>
      </c>
      <c r="B5223" s="104" t="s">
        <v>5270</v>
      </c>
      <c r="C5223" s="104" t="s">
        <v>28</v>
      </c>
      <c r="D5223" s="129" t="s">
        <v>21861</v>
      </c>
      <c r="E5223" s="9"/>
    </row>
    <row r="5224" spans="1:5">
      <c r="A5224" s="105">
        <v>101145</v>
      </c>
      <c r="B5224" s="104" t="s">
        <v>5271</v>
      </c>
      <c r="C5224" s="104" t="s">
        <v>28</v>
      </c>
      <c r="D5224" s="129" t="s">
        <v>16590</v>
      </c>
    </row>
    <row r="5225" spans="1:5">
      <c r="A5225" s="105">
        <v>101146</v>
      </c>
      <c r="B5225" s="104" t="s">
        <v>5272</v>
      </c>
      <c r="C5225" s="104" t="s">
        <v>28</v>
      </c>
      <c r="D5225" s="129" t="s">
        <v>20386</v>
      </c>
    </row>
    <row r="5226" spans="1:5">
      <c r="A5226" s="105">
        <v>101147</v>
      </c>
      <c r="B5226" s="104" t="s">
        <v>5273</v>
      </c>
      <c r="C5226" s="104" t="s">
        <v>28</v>
      </c>
      <c r="D5226" s="129" t="s">
        <v>23609</v>
      </c>
    </row>
    <row r="5227" spans="1:5">
      <c r="A5227" s="105">
        <v>101148</v>
      </c>
      <c r="B5227" s="104" t="s">
        <v>5274</v>
      </c>
      <c r="C5227" s="104" t="s">
        <v>28</v>
      </c>
      <c r="D5227" s="129" t="s">
        <v>18626</v>
      </c>
    </row>
    <row r="5228" spans="1:5">
      <c r="A5228" s="105">
        <v>101149</v>
      </c>
      <c r="B5228" s="104" t="s">
        <v>5275</v>
      </c>
      <c r="C5228" s="104" t="s">
        <v>28</v>
      </c>
      <c r="D5228" s="129" t="s">
        <v>15048</v>
      </c>
    </row>
    <row r="5229" spans="1:5">
      <c r="A5229" s="105">
        <v>101150</v>
      </c>
      <c r="B5229" s="104" t="s">
        <v>5276</v>
      </c>
      <c r="C5229" s="104" t="s">
        <v>28</v>
      </c>
      <c r="D5229" s="129" t="s">
        <v>15168</v>
      </c>
    </row>
    <row r="5230" spans="1:5">
      <c r="A5230" s="105">
        <v>101151</v>
      </c>
      <c r="B5230" s="104" t="s">
        <v>5277</v>
      </c>
      <c r="C5230" s="104" t="s">
        <v>28</v>
      </c>
      <c r="D5230" s="129" t="s">
        <v>23610</v>
      </c>
    </row>
    <row r="5231" spans="1:5">
      <c r="A5231" s="105">
        <v>101152</v>
      </c>
      <c r="B5231" s="104" t="s">
        <v>5278</v>
      </c>
      <c r="C5231" s="104" t="s">
        <v>28</v>
      </c>
      <c r="D5231" s="129" t="s">
        <v>16969</v>
      </c>
    </row>
    <row r="5232" spans="1:5">
      <c r="A5232" s="105">
        <v>101153</v>
      </c>
      <c r="B5232" s="104" t="s">
        <v>5279</v>
      </c>
      <c r="C5232" s="104" t="s">
        <v>28</v>
      </c>
      <c r="D5232" s="129" t="s">
        <v>20117</v>
      </c>
    </row>
    <row r="5233" spans="1:4">
      <c r="A5233" s="105">
        <v>101206</v>
      </c>
      <c r="B5233" s="104" t="s">
        <v>5280</v>
      </c>
      <c r="C5233" s="104" t="s">
        <v>28</v>
      </c>
      <c r="D5233" s="129" t="s">
        <v>23557</v>
      </c>
    </row>
    <row r="5234" spans="1:4">
      <c r="A5234" s="105">
        <v>101207</v>
      </c>
      <c r="B5234" s="104" t="s">
        <v>5281</v>
      </c>
      <c r="C5234" s="104" t="s">
        <v>28</v>
      </c>
      <c r="D5234" s="129" t="s">
        <v>18176</v>
      </c>
    </row>
    <row r="5235" spans="1:4">
      <c r="A5235" s="105">
        <v>101208</v>
      </c>
      <c r="B5235" s="104" t="s">
        <v>5282</v>
      </c>
      <c r="C5235" s="104" t="s">
        <v>28</v>
      </c>
      <c r="D5235" s="129" t="s">
        <v>19213</v>
      </c>
    </row>
    <row r="5236" spans="1:4">
      <c r="A5236" s="105">
        <v>101209</v>
      </c>
      <c r="B5236" s="104" t="s">
        <v>5283</v>
      </c>
      <c r="C5236" s="104" t="s">
        <v>28</v>
      </c>
      <c r="D5236" s="129" t="s">
        <v>23611</v>
      </c>
    </row>
    <row r="5237" spans="1:4">
      <c r="A5237" s="105">
        <v>101210</v>
      </c>
      <c r="B5237" s="104" t="s">
        <v>5284</v>
      </c>
      <c r="C5237" s="104" t="s">
        <v>28</v>
      </c>
      <c r="D5237" s="129" t="s">
        <v>19267</v>
      </c>
    </row>
    <row r="5238" spans="1:4">
      <c r="A5238" s="105">
        <v>101211</v>
      </c>
      <c r="B5238" s="104" t="s">
        <v>5285</v>
      </c>
      <c r="C5238" s="104" t="s">
        <v>28</v>
      </c>
      <c r="D5238" s="129" t="s">
        <v>20272</v>
      </c>
    </row>
    <row r="5239" spans="1:4">
      <c r="A5239" s="105">
        <v>101212</v>
      </c>
      <c r="B5239" s="104" t="s">
        <v>5286</v>
      </c>
      <c r="C5239" s="104" t="s">
        <v>28</v>
      </c>
      <c r="D5239" s="129" t="s">
        <v>18175</v>
      </c>
    </row>
    <row r="5240" spans="1:4">
      <c r="A5240" s="105">
        <v>101213</v>
      </c>
      <c r="B5240" s="104" t="s">
        <v>5287</v>
      </c>
      <c r="C5240" s="104" t="s">
        <v>28</v>
      </c>
      <c r="D5240" s="129" t="s">
        <v>18416</v>
      </c>
    </row>
    <row r="5241" spans="1:4">
      <c r="A5241" s="105">
        <v>101214</v>
      </c>
      <c r="B5241" s="104" t="s">
        <v>5288</v>
      </c>
      <c r="C5241" s="104" t="s">
        <v>28</v>
      </c>
      <c r="D5241" s="129" t="s">
        <v>23612</v>
      </c>
    </row>
    <row r="5242" spans="1:4">
      <c r="A5242" s="105">
        <v>101215</v>
      </c>
      <c r="B5242" s="104" t="s">
        <v>5289</v>
      </c>
      <c r="C5242" s="104" t="s">
        <v>28</v>
      </c>
      <c r="D5242" s="129" t="s">
        <v>20297</v>
      </c>
    </row>
    <row r="5243" spans="1:4">
      <c r="A5243" s="105">
        <v>101216</v>
      </c>
      <c r="B5243" s="104" t="s">
        <v>5290</v>
      </c>
      <c r="C5243" s="104" t="s">
        <v>28</v>
      </c>
      <c r="D5243" s="129" t="s">
        <v>19087</v>
      </c>
    </row>
    <row r="5244" spans="1:4">
      <c r="A5244" s="105">
        <v>101217</v>
      </c>
      <c r="B5244" s="104" t="s">
        <v>5291</v>
      </c>
      <c r="C5244" s="104" t="s">
        <v>28</v>
      </c>
      <c r="D5244" s="129" t="s">
        <v>20260</v>
      </c>
    </row>
    <row r="5245" spans="1:4">
      <c r="A5245" s="105">
        <v>101218</v>
      </c>
      <c r="B5245" s="104" t="s">
        <v>5292</v>
      </c>
      <c r="C5245" s="104" t="s">
        <v>28</v>
      </c>
      <c r="D5245" s="129" t="s">
        <v>23613</v>
      </c>
    </row>
    <row r="5246" spans="1:4">
      <c r="A5246" s="105">
        <v>101219</v>
      </c>
      <c r="B5246" s="104" t="s">
        <v>5293</v>
      </c>
      <c r="C5246" s="104" t="s">
        <v>28</v>
      </c>
      <c r="D5246" s="129" t="s">
        <v>20289</v>
      </c>
    </row>
    <row r="5247" spans="1:4">
      <c r="A5247" s="105">
        <v>101220</v>
      </c>
      <c r="B5247" s="104" t="s">
        <v>5294</v>
      </c>
      <c r="C5247" s="104" t="s">
        <v>28</v>
      </c>
      <c r="D5247" s="129" t="s">
        <v>17206</v>
      </c>
    </row>
    <row r="5248" spans="1:4">
      <c r="A5248" s="105">
        <v>101221</v>
      </c>
      <c r="B5248" s="104" t="s">
        <v>5295</v>
      </c>
      <c r="C5248" s="104" t="s">
        <v>28</v>
      </c>
      <c r="D5248" s="129" t="s">
        <v>19267</v>
      </c>
    </row>
    <row r="5249" spans="1:4">
      <c r="A5249" s="105">
        <v>101222</v>
      </c>
      <c r="B5249" s="104" t="s">
        <v>5296</v>
      </c>
      <c r="C5249" s="104" t="s">
        <v>28</v>
      </c>
      <c r="D5249" s="129" t="s">
        <v>23614</v>
      </c>
    </row>
    <row r="5250" spans="1:4">
      <c r="A5250" s="105">
        <v>101223</v>
      </c>
      <c r="B5250" s="104" t="s">
        <v>5297</v>
      </c>
      <c r="C5250" s="104" t="s">
        <v>28</v>
      </c>
      <c r="D5250" s="129" t="s">
        <v>22764</v>
      </c>
    </row>
    <row r="5251" spans="1:4">
      <c r="A5251" s="105">
        <v>101224</v>
      </c>
      <c r="B5251" s="104" t="s">
        <v>5298</v>
      </c>
      <c r="C5251" s="104" t="s">
        <v>28</v>
      </c>
      <c r="D5251" s="129" t="s">
        <v>23615</v>
      </c>
    </row>
    <row r="5252" spans="1:4">
      <c r="A5252" s="105">
        <v>101225</v>
      </c>
      <c r="B5252" s="104" t="s">
        <v>5299</v>
      </c>
      <c r="C5252" s="104" t="s">
        <v>28</v>
      </c>
      <c r="D5252" s="129" t="s">
        <v>19604</v>
      </c>
    </row>
    <row r="5253" spans="1:4">
      <c r="A5253" s="105">
        <v>101226</v>
      </c>
      <c r="B5253" s="104" t="s">
        <v>5300</v>
      </c>
      <c r="C5253" s="104" t="s">
        <v>28</v>
      </c>
      <c r="D5253" s="129" t="s">
        <v>16922</v>
      </c>
    </row>
    <row r="5254" spans="1:4">
      <c r="A5254" s="105">
        <v>101227</v>
      </c>
      <c r="B5254" s="104" t="s">
        <v>5301</v>
      </c>
      <c r="C5254" s="104" t="s">
        <v>28</v>
      </c>
      <c r="D5254" s="129" t="s">
        <v>16634</v>
      </c>
    </row>
    <row r="5255" spans="1:4">
      <c r="A5255" s="105">
        <v>101228</v>
      </c>
      <c r="B5255" s="104" t="s">
        <v>5302</v>
      </c>
      <c r="C5255" s="104" t="s">
        <v>28</v>
      </c>
      <c r="D5255" s="129" t="s">
        <v>18162</v>
      </c>
    </row>
    <row r="5256" spans="1:4">
      <c r="A5256" s="105">
        <v>101229</v>
      </c>
      <c r="B5256" s="104" t="s">
        <v>5303</v>
      </c>
      <c r="C5256" s="104" t="s">
        <v>28</v>
      </c>
      <c r="D5256" s="129" t="s">
        <v>20283</v>
      </c>
    </row>
    <row r="5257" spans="1:4">
      <c r="A5257" s="105">
        <v>101230</v>
      </c>
      <c r="B5257" s="104" t="s">
        <v>5304</v>
      </c>
      <c r="C5257" s="104" t="s">
        <v>28</v>
      </c>
      <c r="D5257" s="129" t="s">
        <v>19225</v>
      </c>
    </row>
    <row r="5258" spans="1:4">
      <c r="A5258" s="105">
        <v>101231</v>
      </c>
      <c r="B5258" s="104" t="s">
        <v>5305</v>
      </c>
      <c r="C5258" s="104" t="s">
        <v>28</v>
      </c>
      <c r="D5258" s="129" t="s">
        <v>23616</v>
      </c>
    </row>
    <row r="5259" spans="1:4">
      <c r="A5259" s="105">
        <v>101232</v>
      </c>
      <c r="B5259" s="104" t="s">
        <v>5306</v>
      </c>
      <c r="C5259" s="104" t="s">
        <v>28</v>
      </c>
      <c r="D5259" s="129" t="s">
        <v>14942</v>
      </c>
    </row>
    <row r="5260" spans="1:4">
      <c r="A5260" s="105">
        <v>101233</v>
      </c>
      <c r="B5260" s="104" t="s">
        <v>5307</v>
      </c>
      <c r="C5260" s="104" t="s">
        <v>28</v>
      </c>
      <c r="D5260" s="129" t="s">
        <v>17264</v>
      </c>
    </row>
    <row r="5261" spans="1:4">
      <c r="A5261" s="105">
        <v>101234</v>
      </c>
      <c r="B5261" s="104" t="s">
        <v>5308</v>
      </c>
      <c r="C5261" s="104" t="s">
        <v>28</v>
      </c>
      <c r="D5261" s="129" t="s">
        <v>21351</v>
      </c>
    </row>
    <row r="5262" spans="1:4">
      <c r="A5262" s="105">
        <v>101235</v>
      </c>
      <c r="B5262" s="104" t="s">
        <v>5309</v>
      </c>
      <c r="C5262" s="104" t="s">
        <v>28</v>
      </c>
      <c r="D5262" s="129" t="s">
        <v>22780</v>
      </c>
    </row>
    <row r="5263" spans="1:4">
      <c r="A5263" s="105">
        <v>101236</v>
      </c>
      <c r="B5263" s="104" t="s">
        <v>5310</v>
      </c>
      <c r="C5263" s="104" t="s">
        <v>28</v>
      </c>
      <c r="D5263" s="129" t="s">
        <v>20370</v>
      </c>
    </row>
    <row r="5264" spans="1:4">
      <c r="A5264" s="105">
        <v>101237</v>
      </c>
      <c r="B5264" s="104" t="s">
        <v>5311</v>
      </c>
      <c r="C5264" s="104" t="s">
        <v>28</v>
      </c>
      <c r="D5264" s="129" t="s">
        <v>23617</v>
      </c>
    </row>
    <row r="5265" spans="1:4">
      <c r="A5265" s="105">
        <v>101238</v>
      </c>
      <c r="B5265" s="104" t="s">
        <v>5312</v>
      </c>
      <c r="C5265" s="104" t="s">
        <v>28</v>
      </c>
      <c r="D5265" s="129" t="s">
        <v>18576</v>
      </c>
    </row>
    <row r="5266" spans="1:4">
      <c r="A5266" s="105">
        <v>101239</v>
      </c>
      <c r="B5266" s="104" t="s">
        <v>5313</v>
      </c>
      <c r="C5266" s="104" t="s">
        <v>28</v>
      </c>
      <c r="D5266" s="129" t="s">
        <v>21862</v>
      </c>
    </row>
    <row r="5267" spans="1:4">
      <c r="A5267" s="105">
        <v>101240</v>
      </c>
      <c r="B5267" s="104" t="s">
        <v>5314</v>
      </c>
      <c r="C5267" s="104" t="s">
        <v>28</v>
      </c>
      <c r="D5267" s="129" t="s">
        <v>23618</v>
      </c>
    </row>
    <row r="5268" spans="1:4">
      <c r="A5268" s="105">
        <v>101241</v>
      </c>
      <c r="B5268" s="104" t="s">
        <v>5315</v>
      </c>
      <c r="C5268" s="104" t="s">
        <v>28</v>
      </c>
      <c r="D5268" s="129" t="s">
        <v>23619</v>
      </c>
    </row>
    <row r="5269" spans="1:4">
      <c r="A5269" s="105">
        <v>101242</v>
      </c>
      <c r="B5269" s="104" t="s">
        <v>5316</v>
      </c>
      <c r="C5269" s="104" t="s">
        <v>28</v>
      </c>
      <c r="D5269" s="129" t="s">
        <v>23620</v>
      </c>
    </row>
    <row r="5270" spans="1:4">
      <c r="A5270" s="105">
        <v>101243</v>
      </c>
      <c r="B5270" s="104" t="s">
        <v>5317</v>
      </c>
      <c r="C5270" s="104" t="s">
        <v>28</v>
      </c>
      <c r="D5270" s="129" t="s">
        <v>23621</v>
      </c>
    </row>
    <row r="5271" spans="1:4">
      <c r="A5271" s="105">
        <v>101244</v>
      </c>
      <c r="B5271" s="104" t="s">
        <v>5318</v>
      </c>
      <c r="C5271" s="104" t="s">
        <v>28</v>
      </c>
      <c r="D5271" s="129" t="s">
        <v>21877</v>
      </c>
    </row>
    <row r="5272" spans="1:4">
      <c r="A5272" s="105">
        <v>101245</v>
      </c>
      <c r="B5272" s="104" t="s">
        <v>5319</v>
      </c>
      <c r="C5272" s="104" t="s">
        <v>28</v>
      </c>
      <c r="D5272" s="129" t="s">
        <v>16896</v>
      </c>
    </row>
    <row r="5273" spans="1:4">
      <c r="A5273" s="105">
        <v>101246</v>
      </c>
      <c r="B5273" s="104" t="s">
        <v>5320</v>
      </c>
      <c r="C5273" s="104" t="s">
        <v>28</v>
      </c>
      <c r="D5273" s="129" t="s">
        <v>16889</v>
      </c>
    </row>
    <row r="5274" spans="1:4">
      <c r="A5274" s="105">
        <v>101247</v>
      </c>
      <c r="B5274" s="104" t="s">
        <v>5321</v>
      </c>
      <c r="C5274" s="104" t="s">
        <v>28</v>
      </c>
      <c r="D5274" s="129" t="s">
        <v>18686</v>
      </c>
    </row>
    <row r="5275" spans="1:4">
      <c r="A5275" s="105">
        <v>101248</v>
      </c>
      <c r="B5275" s="104" t="s">
        <v>5322</v>
      </c>
      <c r="C5275" s="104" t="s">
        <v>28</v>
      </c>
      <c r="D5275" s="129" t="s">
        <v>23622</v>
      </c>
    </row>
    <row r="5276" spans="1:4">
      <c r="A5276" s="105">
        <v>101249</v>
      </c>
      <c r="B5276" s="104" t="s">
        <v>5323</v>
      </c>
      <c r="C5276" s="104" t="s">
        <v>28</v>
      </c>
      <c r="D5276" s="129" t="s">
        <v>17294</v>
      </c>
    </row>
    <row r="5277" spans="1:4">
      <c r="A5277" s="105">
        <v>101250</v>
      </c>
      <c r="B5277" s="104" t="s">
        <v>5324</v>
      </c>
      <c r="C5277" s="104" t="s">
        <v>28</v>
      </c>
      <c r="D5277" s="129" t="s">
        <v>23068</v>
      </c>
    </row>
    <row r="5278" spans="1:4">
      <c r="A5278" s="105">
        <v>101251</v>
      </c>
      <c r="B5278" s="104" t="s">
        <v>5325</v>
      </c>
      <c r="C5278" s="104" t="s">
        <v>28</v>
      </c>
      <c r="D5278" s="129" t="s">
        <v>19806</v>
      </c>
    </row>
    <row r="5279" spans="1:4">
      <c r="A5279" s="105">
        <v>101252</v>
      </c>
      <c r="B5279" s="104" t="s">
        <v>5326</v>
      </c>
      <c r="C5279" s="104" t="s">
        <v>28</v>
      </c>
      <c r="D5279" s="129" t="s">
        <v>16914</v>
      </c>
    </row>
    <row r="5280" spans="1:4">
      <c r="A5280" s="105">
        <v>101253</v>
      </c>
      <c r="B5280" s="104" t="s">
        <v>5327</v>
      </c>
      <c r="C5280" s="104" t="s">
        <v>28</v>
      </c>
      <c r="D5280" s="129" t="s">
        <v>15502</v>
      </c>
    </row>
    <row r="5281" spans="1:4">
      <c r="A5281" s="105">
        <v>101254</v>
      </c>
      <c r="B5281" s="104" t="s">
        <v>5328</v>
      </c>
      <c r="C5281" s="104" t="s">
        <v>28</v>
      </c>
      <c r="D5281" s="129" t="s">
        <v>18107</v>
      </c>
    </row>
    <row r="5282" spans="1:4">
      <c r="A5282" s="105">
        <v>101255</v>
      </c>
      <c r="B5282" s="104" t="s">
        <v>5329</v>
      </c>
      <c r="C5282" s="104" t="s">
        <v>28</v>
      </c>
      <c r="D5282" s="129" t="s">
        <v>18041</v>
      </c>
    </row>
    <row r="5283" spans="1:4">
      <c r="A5283" s="105">
        <v>101256</v>
      </c>
      <c r="B5283" s="104" t="s">
        <v>5330</v>
      </c>
      <c r="C5283" s="104" t="s">
        <v>28</v>
      </c>
      <c r="D5283" s="129" t="s">
        <v>18598</v>
      </c>
    </row>
    <row r="5284" spans="1:4">
      <c r="A5284" s="105">
        <v>101257</v>
      </c>
      <c r="B5284" s="104" t="s">
        <v>5331</v>
      </c>
      <c r="C5284" s="104" t="s">
        <v>28</v>
      </c>
      <c r="D5284" s="129" t="s">
        <v>23623</v>
      </c>
    </row>
    <row r="5285" spans="1:4">
      <c r="A5285" s="105">
        <v>101258</v>
      </c>
      <c r="B5285" s="104" t="s">
        <v>5332</v>
      </c>
      <c r="C5285" s="104" t="s">
        <v>28</v>
      </c>
      <c r="D5285" s="129" t="s">
        <v>22761</v>
      </c>
    </row>
    <row r="5286" spans="1:4">
      <c r="A5286" s="105">
        <v>101259</v>
      </c>
      <c r="B5286" s="104" t="s">
        <v>5333</v>
      </c>
      <c r="C5286" s="104" t="s">
        <v>28</v>
      </c>
      <c r="D5286" s="129" t="s">
        <v>19221</v>
      </c>
    </row>
    <row r="5287" spans="1:4">
      <c r="A5287" s="105">
        <v>101260</v>
      </c>
      <c r="B5287" s="104" t="s">
        <v>5334</v>
      </c>
      <c r="C5287" s="104" t="s">
        <v>28</v>
      </c>
      <c r="D5287" s="129" t="s">
        <v>20345</v>
      </c>
    </row>
    <row r="5288" spans="1:4">
      <c r="A5288" s="105">
        <v>101261</v>
      </c>
      <c r="B5288" s="104" t="s">
        <v>5335</v>
      </c>
      <c r="C5288" s="104" t="s">
        <v>28</v>
      </c>
      <c r="D5288" s="129" t="s">
        <v>18023</v>
      </c>
    </row>
    <row r="5289" spans="1:4">
      <c r="A5289" s="105">
        <v>101262</v>
      </c>
      <c r="B5289" s="104" t="s">
        <v>5336</v>
      </c>
      <c r="C5289" s="104" t="s">
        <v>28</v>
      </c>
      <c r="D5289" s="129" t="s">
        <v>15146</v>
      </c>
    </row>
    <row r="5290" spans="1:4">
      <c r="A5290" s="105">
        <v>101263</v>
      </c>
      <c r="B5290" s="104" t="s">
        <v>5337</v>
      </c>
      <c r="C5290" s="104" t="s">
        <v>28</v>
      </c>
      <c r="D5290" s="129" t="s">
        <v>20290</v>
      </c>
    </row>
    <row r="5291" spans="1:4">
      <c r="A5291" s="105">
        <v>101264</v>
      </c>
      <c r="B5291" s="104" t="s">
        <v>5338</v>
      </c>
      <c r="C5291" s="104" t="s">
        <v>28</v>
      </c>
      <c r="D5291" s="129" t="s">
        <v>19636</v>
      </c>
    </row>
    <row r="5292" spans="1:4">
      <c r="A5292" s="105">
        <v>101265</v>
      </c>
      <c r="B5292" s="104" t="s">
        <v>5339</v>
      </c>
      <c r="C5292" s="104" t="s">
        <v>28</v>
      </c>
      <c r="D5292" s="129" t="s">
        <v>23624</v>
      </c>
    </row>
    <row r="5293" spans="1:4">
      <c r="A5293" s="105">
        <v>101266</v>
      </c>
      <c r="B5293" s="104" t="s">
        <v>5340</v>
      </c>
      <c r="C5293" s="104" t="s">
        <v>28</v>
      </c>
      <c r="D5293" s="129" t="s">
        <v>15638</v>
      </c>
    </row>
    <row r="5294" spans="1:4">
      <c r="A5294" s="105">
        <v>101267</v>
      </c>
      <c r="B5294" s="104" t="s">
        <v>5341</v>
      </c>
      <c r="C5294" s="104" t="s">
        <v>28</v>
      </c>
      <c r="D5294" s="129" t="s">
        <v>14825</v>
      </c>
    </row>
    <row r="5295" spans="1:4">
      <c r="A5295" s="105">
        <v>101268</v>
      </c>
      <c r="B5295" s="104" t="s">
        <v>5342</v>
      </c>
      <c r="C5295" s="104" t="s">
        <v>28</v>
      </c>
      <c r="D5295" s="129" t="s">
        <v>23625</v>
      </c>
    </row>
    <row r="5296" spans="1:4">
      <c r="A5296" s="105">
        <v>101269</v>
      </c>
      <c r="B5296" s="104" t="s">
        <v>5343</v>
      </c>
      <c r="C5296" s="104" t="s">
        <v>28</v>
      </c>
      <c r="D5296" s="129" t="s">
        <v>15633</v>
      </c>
    </row>
    <row r="5297" spans="1:4">
      <c r="A5297" s="105">
        <v>101270</v>
      </c>
      <c r="B5297" s="104" t="s">
        <v>5344</v>
      </c>
      <c r="C5297" s="104" t="s">
        <v>28</v>
      </c>
      <c r="D5297" s="129" t="s">
        <v>17145</v>
      </c>
    </row>
    <row r="5298" spans="1:4">
      <c r="A5298" s="105">
        <v>101271</v>
      </c>
      <c r="B5298" s="104" t="s">
        <v>5345</v>
      </c>
      <c r="C5298" s="104" t="s">
        <v>28</v>
      </c>
      <c r="D5298" s="129" t="s">
        <v>23626</v>
      </c>
    </row>
    <row r="5299" spans="1:4">
      <c r="A5299" s="105">
        <v>101272</v>
      </c>
      <c r="B5299" s="104" t="s">
        <v>5346</v>
      </c>
      <c r="C5299" s="104" t="s">
        <v>28</v>
      </c>
      <c r="D5299" s="129" t="s">
        <v>18471</v>
      </c>
    </row>
    <row r="5300" spans="1:4">
      <c r="A5300" s="105">
        <v>101273</v>
      </c>
      <c r="B5300" s="104" t="s">
        <v>5347</v>
      </c>
      <c r="C5300" s="104" t="s">
        <v>28</v>
      </c>
      <c r="D5300" s="129" t="s">
        <v>16590</v>
      </c>
    </row>
    <row r="5301" spans="1:4">
      <c r="A5301" s="105">
        <v>101274</v>
      </c>
      <c r="B5301" s="104" t="s">
        <v>5348</v>
      </c>
      <c r="C5301" s="104" t="s">
        <v>28</v>
      </c>
      <c r="D5301" s="129" t="s">
        <v>20121</v>
      </c>
    </row>
    <row r="5302" spans="1:4">
      <c r="A5302" s="105">
        <v>101275</v>
      </c>
      <c r="B5302" s="104" t="s">
        <v>5349</v>
      </c>
      <c r="C5302" s="104" t="s">
        <v>28</v>
      </c>
      <c r="D5302" s="129" t="s">
        <v>17243</v>
      </c>
    </row>
    <row r="5303" spans="1:4">
      <c r="A5303" s="105">
        <v>101276</v>
      </c>
      <c r="B5303" s="104" t="s">
        <v>5350</v>
      </c>
      <c r="C5303" s="104" t="s">
        <v>28</v>
      </c>
      <c r="D5303" s="129" t="s">
        <v>23627</v>
      </c>
    </row>
    <row r="5304" spans="1:4">
      <c r="A5304" s="105">
        <v>101277</v>
      </c>
      <c r="B5304" s="104" t="s">
        <v>5351</v>
      </c>
      <c r="C5304" s="104" t="s">
        <v>28</v>
      </c>
      <c r="D5304" s="129" t="s">
        <v>23628</v>
      </c>
    </row>
    <row r="5305" spans="1:4">
      <c r="A5305" s="105">
        <v>102354</v>
      </c>
      <c r="B5305" s="104" t="s">
        <v>5352</v>
      </c>
      <c r="C5305" s="104" t="s">
        <v>28</v>
      </c>
      <c r="D5305" s="129" t="s">
        <v>23629</v>
      </c>
    </row>
    <row r="5306" spans="1:4">
      <c r="A5306" s="105">
        <v>102355</v>
      </c>
      <c r="B5306" s="104" t="s">
        <v>5353</v>
      </c>
      <c r="C5306" s="104" t="s">
        <v>28</v>
      </c>
      <c r="D5306" s="129" t="s">
        <v>23630</v>
      </c>
    </row>
    <row r="5307" spans="1:4">
      <c r="A5307" s="105">
        <v>102360</v>
      </c>
      <c r="B5307" s="104" t="s">
        <v>5354</v>
      </c>
      <c r="C5307" s="104" t="s">
        <v>28</v>
      </c>
      <c r="D5307" s="129" t="s">
        <v>23631</v>
      </c>
    </row>
    <row r="5308" spans="1:4">
      <c r="A5308" s="105">
        <v>102361</v>
      </c>
      <c r="B5308" s="104" t="s">
        <v>5355</v>
      </c>
      <c r="C5308" s="104" t="s">
        <v>28</v>
      </c>
      <c r="D5308" s="129" t="s">
        <v>23615</v>
      </c>
    </row>
    <row r="5309" spans="1:4">
      <c r="A5309" s="105">
        <v>90082</v>
      </c>
      <c r="B5309" s="104" t="s">
        <v>12889</v>
      </c>
      <c r="C5309" s="104" t="s">
        <v>28</v>
      </c>
      <c r="D5309" s="129" t="s">
        <v>23632</v>
      </c>
    </row>
    <row r="5310" spans="1:4">
      <c r="A5310" s="105">
        <v>90084</v>
      </c>
      <c r="B5310" s="104" t="s">
        <v>12890</v>
      </c>
      <c r="C5310" s="104" t="s">
        <v>28</v>
      </c>
      <c r="D5310" s="129" t="s">
        <v>20581</v>
      </c>
    </row>
    <row r="5311" spans="1:4">
      <c r="A5311" s="105">
        <v>90086</v>
      </c>
      <c r="B5311" s="104" t="s">
        <v>12891</v>
      </c>
      <c r="C5311" s="104" t="s">
        <v>28</v>
      </c>
      <c r="D5311" s="129" t="s">
        <v>17179</v>
      </c>
    </row>
    <row r="5312" spans="1:4">
      <c r="A5312" s="105">
        <v>90087</v>
      </c>
      <c r="B5312" s="104" t="s">
        <v>12892</v>
      </c>
      <c r="C5312" s="104" t="s">
        <v>28</v>
      </c>
      <c r="D5312" s="129" t="s">
        <v>18051</v>
      </c>
    </row>
    <row r="5313" spans="1:4">
      <c r="A5313" s="105">
        <v>90090</v>
      </c>
      <c r="B5313" s="104" t="s">
        <v>12893</v>
      </c>
      <c r="C5313" s="104" t="s">
        <v>28</v>
      </c>
      <c r="D5313" s="129" t="s">
        <v>23633</v>
      </c>
    </row>
    <row r="5314" spans="1:4">
      <c r="A5314" s="105">
        <v>90091</v>
      </c>
      <c r="B5314" s="104" t="s">
        <v>12894</v>
      </c>
      <c r="C5314" s="104" t="s">
        <v>28</v>
      </c>
      <c r="D5314" s="129" t="s">
        <v>22077</v>
      </c>
    </row>
    <row r="5315" spans="1:4">
      <c r="A5315" s="105">
        <v>90092</v>
      </c>
      <c r="B5315" s="104" t="s">
        <v>12895</v>
      </c>
      <c r="C5315" s="104" t="s">
        <v>28</v>
      </c>
      <c r="D5315" s="129" t="s">
        <v>18026</v>
      </c>
    </row>
    <row r="5316" spans="1:4">
      <c r="A5316" s="105">
        <v>90094</v>
      </c>
      <c r="B5316" s="104" t="s">
        <v>12896</v>
      </c>
      <c r="C5316" s="104" t="s">
        <v>28</v>
      </c>
      <c r="D5316" s="129" t="s">
        <v>23634</v>
      </c>
    </row>
    <row r="5317" spans="1:4">
      <c r="A5317" s="105">
        <v>90095</v>
      </c>
      <c r="B5317" s="104" t="s">
        <v>12897</v>
      </c>
      <c r="C5317" s="104" t="s">
        <v>28</v>
      </c>
      <c r="D5317" s="129" t="s">
        <v>20183</v>
      </c>
    </row>
    <row r="5318" spans="1:4">
      <c r="A5318" s="105">
        <v>90098</v>
      </c>
      <c r="B5318" s="104" t="s">
        <v>12898</v>
      </c>
      <c r="C5318" s="104" t="s">
        <v>28</v>
      </c>
      <c r="D5318" s="129" t="s">
        <v>23635</v>
      </c>
    </row>
    <row r="5319" spans="1:4">
      <c r="A5319" s="105">
        <v>90099</v>
      </c>
      <c r="B5319" s="104" t="s">
        <v>12899</v>
      </c>
      <c r="C5319" s="104" t="s">
        <v>28</v>
      </c>
      <c r="D5319" s="129" t="s">
        <v>20134</v>
      </c>
    </row>
    <row r="5320" spans="1:4">
      <c r="A5320" s="105">
        <v>90100</v>
      </c>
      <c r="B5320" s="104" t="s">
        <v>12900</v>
      </c>
      <c r="C5320" s="104" t="s">
        <v>28</v>
      </c>
      <c r="D5320" s="129" t="s">
        <v>23636</v>
      </c>
    </row>
    <row r="5321" spans="1:4">
      <c r="A5321" s="105">
        <v>90101</v>
      </c>
      <c r="B5321" s="104" t="s">
        <v>12901</v>
      </c>
      <c r="C5321" s="104" t="s">
        <v>28</v>
      </c>
      <c r="D5321" s="129" t="s">
        <v>18084</v>
      </c>
    </row>
    <row r="5322" spans="1:4">
      <c r="A5322" s="105">
        <v>90102</v>
      </c>
      <c r="B5322" s="104" t="s">
        <v>12902</v>
      </c>
      <c r="C5322" s="104" t="s">
        <v>28</v>
      </c>
      <c r="D5322" s="129" t="s">
        <v>15604</v>
      </c>
    </row>
    <row r="5323" spans="1:4">
      <c r="A5323" s="105">
        <v>90105</v>
      </c>
      <c r="B5323" s="104" t="s">
        <v>12903</v>
      </c>
      <c r="C5323" s="104" t="s">
        <v>28</v>
      </c>
      <c r="D5323" s="129" t="s">
        <v>22066</v>
      </c>
    </row>
    <row r="5324" spans="1:4">
      <c r="A5324" s="105">
        <v>90106</v>
      </c>
      <c r="B5324" s="104" t="s">
        <v>12904</v>
      </c>
      <c r="C5324" s="104" t="s">
        <v>28</v>
      </c>
      <c r="D5324" s="129" t="s">
        <v>23637</v>
      </c>
    </row>
    <row r="5325" spans="1:4">
      <c r="A5325" s="105">
        <v>90107</v>
      </c>
      <c r="B5325" s="104" t="s">
        <v>12905</v>
      </c>
      <c r="C5325" s="104" t="s">
        <v>28</v>
      </c>
      <c r="D5325" s="129" t="s">
        <v>14824</v>
      </c>
    </row>
    <row r="5326" spans="1:4">
      <c r="A5326" s="105">
        <v>90108</v>
      </c>
      <c r="B5326" s="104" t="s">
        <v>12906</v>
      </c>
      <c r="C5326" s="104" t="s">
        <v>28</v>
      </c>
      <c r="D5326" s="129" t="s">
        <v>15293</v>
      </c>
    </row>
    <row r="5327" spans="1:4">
      <c r="A5327" s="105">
        <v>93358</v>
      </c>
      <c r="B5327" s="104" t="s">
        <v>5356</v>
      </c>
      <c r="C5327" s="104" t="s">
        <v>28</v>
      </c>
      <c r="D5327" s="129" t="s">
        <v>23638</v>
      </c>
    </row>
    <row r="5328" spans="1:4">
      <c r="A5328" s="105">
        <v>102276</v>
      </c>
      <c r="B5328" s="104" t="s">
        <v>12907</v>
      </c>
      <c r="C5328" s="104" t="s">
        <v>28</v>
      </c>
      <c r="D5328" s="129" t="s">
        <v>19112</v>
      </c>
    </row>
    <row r="5329" spans="1:4">
      <c r="A5329" s="105">
        <v>102277</v>
      </c>
      <c r="B5329" s="104" t="s">
        <v>12908</v>
      </c>
      <c r="C5329" s="104" t="s">
        <v>28</v>
      </c>
      <c r="D5329" s="129" t="s">
        <v>20652</v>
      </c>
    </row>
    <row r="5330" spans="1:4">
      <c r="A5330" s="105">
        <v>102278</v>
      </c>
      <c r="B5330" s="104" t="s">
        <v>12909</v>
      </c>
      <c r="C5330" s="104" t="s">
        <v>28</v>
      </c>
      <c r="D5330" s="129" t="s">
        <v>19232</v>
      </c>
    </row>
    <row r="5331" spans="1:4">
      <c r="A5331" s="105">
        <v>102279</v>
      </c>
      <c r="B5331" s="104" t="s">
        <v>12910</v>
      </c>
      <c r="C5331" s="104" t="s">
        <v>28</v>
      </c>
      <c r="D5331" s="129" t="s">
        <v>23141</v>
      </c>
    </row>
    <row r="5332" spans="1:4">
      <c r="A5332" s="105">
        <v>102280</v>
      </c>
      <c r="B5332" s="104" t="s">
        <v>12911</v>
      </c>
      <c r="C5332" s="104" t="s">
        <v>28</v>
      </c>
      <c r="D5332" s="129" t="s">
        <v>20096</v>
      </c>
    </row>
    <row r="5333" spans="1:4">
      <c r="A5333" s="105">
        <v>102281</v>
      </c>
      <c r="B5333" s="104" t="s">
        <v>12912</v>
      </c>
      <c r="C5333" s="104" t="s">
        <v>28</v>
      </c>
      <c r="D5333" s="129" t="s">
        <v>22697</v>
      </c>
    </row>
    <row r="5334" spans="1:4">
      <c r="A5334" s="105">
        <v>102282</v>
      </c>
      <c r="B5334" s="104" t="s">
        <v>12913</v>
      </c>
      <c r="C5334" s="104" t="s">
        <v>28</v>
      </c>
      <c r="D5334" s="129" t="s">
        <v>15717</v>
      </c>
    </row>
    <row r="5335" spans="1:4">
      <c r="A5335" s="105">
        <v>102283</v>
      </c>
      <c r="B5335" s="104" t="s">
        <v>12914</v>
      </c>
      <c r="C5335" s="104" t="s">
        <v>28</v>
      </c>
      <c r="D5335" s="129" t="s">
        <v>17728</v>
      </c>
    </row>
    <row r="5336" spans="1:4">
      <c r="A5336" s="105">
        <v>102284</v>
      </c>
      <c r="B5336" s="104" t="s">
        <v>12915</v>
      </c>
      <c r="C5336" s="104" t="s">
        <v>28</v>
      </c>
      <c r="D5336" s="129" t="s">
        <v>16934</v>
      </c>
    </row>
    <row r="5337" spans="1:4">
      <c r="A5337" s="105">
        <v>102285</v>
      </c>
      <c r="B5337" s="104" t="s">
        <v>12916</v>
      </c>
      <c r="C5337" s="104" t="s">
        <v>28</v>
      </c>
      <c r="D5337" s="129" t="s">
        <v>18021</v>
      </c>
    </row>
    <row r="5338" spans="1:4">
      <c r="A5338" s="105">
        <v>102286</v>
      </c>
      <c r="B5338" s="104" t="s">
        <v>12917</v>
      </c>
      <c r="C5338" s="104" t="s">
        <v>28</v>
      </c>
      <c r="D5338" s="129" t="s">
        <v>23639</v>
      </c>
    </row>
    <row r="5339" spans="1:4">
      <c r="A5339" s="105">
        <v>102287</v>
      </c>
      <c r="B5339" s="104" t="s">
        <v>12918</v>
      </c>
      <c r="C5339" s="104" t="s">
        <v>28</v>
      </c>
      <c r="D5339" s="129" t="s">
        <v>15366</v>
      </c>
    </row>
    <row r="5340" spans="1:4">
      <c r="A5340" s="105">
        <v>102288</v>
      </c>
      <c r="B5340" s="104" t="s">
        <v>12919</v>
      </c>
      <c r="C5340" s="104" t="s">
        <v>28</v>
      </c>
      <c r="D5340" s="129" t="s">
        <v>19252</v>
      </c>
    </row>
    <row r="5341" spans="1:4">
      <c r="A5341" s="105">
        <v>102289</v>
      </c>
      <c r="B5341" s="104" t="s">
        <v>12920</v>
      </c>
      <c r="C5341" s="104" t="s">
        <v>28</v>
      </c>
      <c r="D5341" s="129" t="s">
        <v>20329</v>
      </c>
    </row>
    <row r="5342" spans="1:4">
      <c r="A5342" s="105">
        <v>102290</v>
      </c>
      <c r="B5342" s="104" t="s">
        <v>12921</v>
      </c>
      <c r="C5342" s="104" t="s">
        <v>28</v>
      </c>
      <c r="D5342" s="129" t="s">
        <v>15332</v>
      </c>
    </row>
    <row r="5343" spans="1:4">
      <c r="A5343" s="105">
        <v>102291</v>
      </c>
      <c r="B5343" s="104" t="s">
        <v>12922</v>
      </c>
      <c r="C5343" s="104" t="s">
        <v>28</v>
      </c>
      <c r="D5343" s="129" t="s">
        <v>15124</v>
      </c>
    </row>
    <row r="5344" spans="1:4">
      <c r="A5344" s="105">
        <v>102292</v>
      </c>
      <c r="B5344" s="104" t="s">
        <v>12923</v>
      </c>
      <c r="C5344" s="104" t="s">
        <v>28</v>
      </c>
      <c r="D5344" s="129" t="s">
        <v>15756</v>
      </c>
    </row>
    <row r="5345" spans="1:4">
      <c r="A5345" s="105">
        <v>102293</v>
      </c>
      <c r="B5345" s="104" t="s">
        <v>12924</v>
      </c>
      <c r="C5345" s="104" t="s">
        <v>28</v>
      </c>
      <c r="D5345" s="129" t="s">
        <v>18632</v>
      </c>
    </row>
    <row r="5346" spans="1:4">
      <c r="A5346" s="105">
        <v>102294</v>
      </c>
      <c r="B5346" s="104" t="s">
        <v>12925</v>
      </c>
      <c r="C5346" s="104" t="s">
        <v>28</v>
      </c>
      <c r="D5346" s="129" t="s">
        <v>16493</v>
      </c>
    </row>
    <row r="5347" spans="1:4">
      <c r="A5347" s="105">
        <v>102295</v>
      </c>
      <c r="B5347" s="104" t="s">
        <v>12926</v>
      </c>
      <c r="C5347" s="104" t="s">
        <v>28</v>
      </c>
      <c r="D5347" s="129" t="s">
        <v>18029</v>
      </c>
    </row>
    <row r="5348" spans="1:4">
      <c r="A5348" s="105">
        <v>102296</v>
      </c>
      <c r="B5348" s="104" t="s">
        <v>12927</v>
      </c>
      <c r="C5348" s="104" t="s">
        <v>28</v>
      </c>
      <c r="D5348" s="129" t="s">
        <v>15707</v>
      </c>
    </row>
    <row r="5349" spans="1:4">
      <c r="A5349" s="105">
        <v>102297</v>
      </c>
      <c r="B5349" s="104" t="s">
        <v>12928</v>
      </c>
      <c r="C5349" s="104" t="s">
        <v>28</v>
      </c>
      <c r="D5349" s="129" t="s">
        <v>19184</v>
      </c>
    </row>
    <row r="5350" spans="1:4">
      <c r="A5350" s="105">
        <v>102298</v>
      </c>
      <c r="B5350" s="104" t="s">
        <v>12929</v>
      </c>
      <c r="C5350" s="104" t="s">
        <v>28</v>
      </c>
      <c r="D5350" s="129" t="s">
        <v>16939</v>
      </c>
    </row>
    <row r="5351" spans="1:4">
      <c r="A5351" s="105">
        <v>102299</v>
      </c>
      <c r="B5351" s="104" t="s">
        <v>12930</v>
      </c>
      <c r="C5351" s="104" t="s">
        <v>28</v>
      </c>
      <c r="D5351" s="129" t="s">
        <v>22808</v>
      </c>
    </row>
    <row r="5352" spans="1:4">
      <c r="A5352" s="105">
        <v>102300</v>
      </c>
      <c r="B5352" s="104" t="s">
        <v>12931</v>
      </c>
      <c r="C5352" s="104" t="s">
        <v>28</v>
      </c>
      <c r="D5352" s="129" t="s">
        <v>16970</v>
      </c>
    </row>
    <row r="5353" spans="1:4">
      <c r="A5353" s="105">
        <v>102301</v>
      </c>
      <c r="B5353" s="104" t="s">
        <v>12932</v>
      </c>
      <c r="C5353" s="104" t="s">
        <v>28</v>
      </c>
      <c r="D5353" s="129" t="s">
        <v>15745</v>
      </c>
    </row>
    <row r="5354" spans="1:4">
      <c r="A5354" s="105">
        <v>102302</v>
      </c>
      <c r="B5354" s="104" t="s">
        <v>12933</v>
      </c>
      <c r="C5354" s="104" t="s">
        <v>28</v>
      </c>
      <c r="D5354" s="129" t="s">
        <v>15309</v>
      </c>
    </row>
    <row r="5355" spans="1:4">
      <c r="A5355" s="105">
        <v>102303</v>
      </c>
      <c r="B5355" s="104" t="s">
        <v>12934</v>
      </c>
      <c r="C5355" s="104" t="s">
        <v>28</v>
      </c>
      <c r="D5355" s="129" t="s">
        <v>23640</v>
      </c>
    </row>
    <row r="5356" spans="1:4">
      <c r="A5356" s="105">
        <v>102304</v>
      </c>
      <c r="B5356" s="104" t="s">
        <v>12935</v>
      </c>
      <c r="C5356" s="104" t="s">
        <v>28</v>
      </c>
      <c r="D5356" s="129" t="s">
        <v>22047</v>
      </c>
    </row>
    <row r="5357" spans="1:4">
      <c r="A5357" s="105">
        <v>102305</v>
      </c>
      <c r="B5357" s="104" t="s">
        <v>12936</v>
      </c>
      <c r="C5357" s="104" t="s">
        <v>28</v>
      </c>
      <c r="D5357" s="129" t="s">
        <v>22083</v>
      </c>
    </row>
    <row r="5358" spans="1:4">
      <c r="A5358" s="105">
        <v>102306</v>
      </c>
      <c r="B5358" s="104" t="s">
        <v>12937</v>
      </c>
      <c r="C5358" s="104" t="s">
        <v>28</v>
      </c>
      <c r="D5358" s="129" t="s">
        <v>15531</v>
      </c>
    </row>
    <row r="5359" spans="1:4">
      <c r="A5359" s="105">
        <v>102307</v>
      </c>
      <c r="B5359" s="104" t="s">
        <v>12938</v>
      </c>
      <c r="C5359" s="104" t="s">
        <v>28</v>
      </c>
      <c r="D5359" s="129" t="s">
        <v>15717</v>
      </c>
    </row>
    <row r="5360" spans="1:4">
      <c r="A5360" s="105">
        <v>102308</v>
      </c>
      <c r="B5360" s="104" t="s">
        <v>12939</v>
      </c>
      <c r="C5360" s="104" t="s">
        <v>28</v>
      </c>
      <c r="D5360" s="129" t="s">
        <v>23641</v>
      </c>
    </row>
    <row r="5361" spans="1:4">
      <c r="A5361" s="105">
        <v>102309</v>
      </c>
      <c r="B5361" s="104" t="s">
        <v>12940</v>
      </c>
      <c r="C5361" s="104" t="s">
        <v>28</v>
      </c>
      <c r="D5361" s="129" t="s">
        <v>14741</v>
      </c>
    </row>
    <row r="5362" spans="1:4">
      <c r="A5362" s="105">
        <v>102310</v>
      </c>
      <c r="B5362" s="104" t="s">
        <v>12941</v>
      </c>
      <c r="C5362" s="104" t="s">
        <v>28</v>
      </c>
      <c r="D5362" s="129" t="s">
        <v>21417</v>
      </c>
    </row>
    <row r="5363" spans="1:4">
      <c r="A5363" s="105">
        <v>102311</v>
      </c>
      <c r="B5363" s="104" t="s">
        <v>12942</v>
      </c>
      <c r="C5363" s="104" t="s">
        <v>28</v>
      </c>
      <c r="D5363" s="129" t="s">
        <v>23642</v>
      </c>
    </row>
    <row r="5364" spans="1:4">
      <c r="A5364" s="105">
        <v>102312</v>
      </c>
      <c r="B5364" s="104" t="s">
        <v>12943</v>
      </c>
      <c r="C5364" s="104" t="s">
        <v>28</v>
      </c>
      <c r="D5364" s="129" t="s">
        <v>20653</v>
      </c>
    </row>
    <row r="5365" spans="1:4">
      <c r="A5365" s="105">
        <v>102313</v>
      </c>
      <c r="B5365" s="104" t="s">
        <v>12944</v>
      </c>
      <c r="C5365" s="104" t="s">
        <v>28</v>
      </c>
      <c r="D5365" s="129" t="s">
        <v>23643</v>
      </c>
    </row>
    <row r="5366" spans="1:4">
      <c r="A5366" s="105">
        <v>102314</v>
      </c>
      <c r="B5366" s="104" t="s">
        <v>12945</v>
      </c>
      <c r="C5366" s="104" t="s">
        <v>28</v>
      </c>
      <c r="D5366" s="129" t="s">
        <v>15810</v>
      </c>
    </row>
    <row r="5367" spans="1:4">
      <c r="A5367" s="105">
        <v>102315</v>
      </c>
      <c r="B5367" s="104" t="s">
        <v>12946</v>
      </c>
      <c r="C5367" s="104" t="s">
        <v>28</v>
      </c>
      <c r="D5367" s="129" t="s">
        <v>15332</v>
      </c>
    </row>
    <row r="5368" spans="1:4">
      <c r="A5368" s="105">
        <v>102316</v>
      </c>
      <c r="B5368" s="104" t="s">
        <v>12947</v>
      </c>
      <c r="C5368" s="104" t="s">
        <v>28</v>
      </c>
      <c r="D5368" s="129" t="s">
        <v>18148</v>
      </c>
    </row>
    <row r="5369" spans="1:4">
      <c r="A5369" s="105">
        <v>102317</v>
      </c>
      <c r="B5369" s="104" t="s">
        <v>12948</v>
      </c>
      <c r="C5369" s="104" t="s">
        <v>28</v>
      </c>
      <c r="D5369" s="129" t="s">
        <v>15530</v>
      </c>
    </row>
    <row r="5370" spans="1:4">
      <c r="A5370" s="105">
        <v>102318</v>
      </c>
      <c r="B5370" s="104" t="s">
        <v>12949</v>
      </c>
      <c r="C5370" s="104" t="s">
        <v>28</v>
      </c>
      <c r="D5370" s="129" t="s">
        <v>23644</v>
      </c>
    </row>
    <row r="5371" spans="1:4">
      <c r="A5371" s="105">
        <v>102319</v>
      </c>
      <c r="B5371" s="104" t="s">
        <v>12950</v>
      </c>
      <c r="C5371" s="104" t="s">
        <v>28</v>
      </c>
      <c r="D5371" s="129" t="s">
        <v>19255</v>
      </c>
    </row>
    <row r="5372" spans="1:4">
      <c r="A5372" s="105">
        <v>102320</v>
      </c>
      <c r="B5372" s="104" t="s">
        <v>12951</v>
      </c>
      <c r="C5372" s="104" t="s">
        <v>28</v>
      </c>
      <c r="D5372" s="129" t="s">
        <v>17260</v>
      </c>
    </row>
    <row r="5373" spans="1:4">
      <c r="A5373" s="105">
        <v>102321</v>
      </c>
      <c r="B5373" s="104" t="s">
        <v>12952</v>
      </c>
      <c r="C5373" s="104" t="s">
        <v>28</v>
      </c>
      <c r="D5373" s="129" t="s">
        <v>22083</v>
      </c>
    </row>
    <row r="5374" spans="1:4">
      <c r="A5374" s="105">
        <v>102322</v>
      </c>
      <c r="B5374" s="104" t="s">
        <v>12953</v>
      </c>
      <c r="C5374" s="104" t="s">
        <v>28</v>
      </c>
      <c r="D5374" s="129" t="s">
        <v>15885</v>
      </c>
    </row>
    <row r="5375" spans="1:4">
      <c r="A5375" s="105">
        <v>102323</v>
      </c>
      <c r="B5375" s="104" t="s">
        <v>12954</v>
      </c>
      <c r="C5375" s="104" t="s">
        <v>28</v>
      </c>
      <c r="D5375" s="129" t="s">
        <v>19297</v>
      </c>
    </row>
    <row r="5376" spans="1:4">
      <c r="A5376" s="105">
        <v>102324</v>
      </c>
      <c r="B5376" s="104" t="s">
        <v>12955</v>
      </c>
      <c r="C5376" s="104" t="s">
        <v>28</v>
      </c>
      <c r="D5376" s="129" t="s">
        <v>19249</v>
      </c>
    </row>
    <row r="5377" spans="1:4">
      <c r="A5377" s="105">
        <v>102325</v>
      </c>
      <c r="B5377" s="104" t="s">
        <v>12956</v>
      </c>
      <c r="C5377" s="104" t="s">
        <v>28</v>
      </c>
      <c r="D5377" s="129" t="s">
        <v>23645</v>
      </c>
    </row>
    <row r="5378" spans="1:4">
      <c r="A5378" s="105">
        <v>102326</v>
      </c>
      <c r="B5378" s="104" t="s">
        <v>12957</v>
      </c>
      <c r="C5378" s="104" t="s">
        <v>28</v>
      </c>
      <c r="D5378" s="129" t="s">
        <v>18060</v>
      </c>
    </row>
    <row r="5379" spans="1:4">
      <c r="A5379" s="105">
        <v>102327</v>
      </c>
      <c r="B5379" s="104" t="s">
        <v>12958</v>
      </c>
      <c r="C5379" s="104" t="s">
        <v>28</v>
      </c>
      <c r="D5379" s="129" t="s">
        <v>15414</v>
      </c>
    </row>
    <row r="5380" spans="1:4">
      <c r="A5380" s="105">
        <v>102328</v>
      </c>
      <c r="B5380" s="104" t="s">
        <v>12959</v>
      </c>
      <c r="C5380" s="104" t="s">
        <v>28</v>
      </c>
      <c r="D5380" s="129" t="s">
        <v>19265</v>
      </c>
    </row>
    <row r="5381" spans="1:4">
      <c r="A5381" s="105">
        <v>102329</v>
      </c>
      <c r="B5381" s="104" t="s">
        <v>12960</v>
      </c>
      <c r="C5381" s="104" t="s">
        <v>28</v>
      </c>
      <c r="D5381" s="129" t="s">
        <v>19128</v>
      </c>
    </row>
    <row r="5382" spans="1:4">
      <c r="A5382" s="105">
        <v>94304</v>
      </c>
      <c r="B5382" s="104" t="s">
        <v>5357</v>
      </c>
      <c r="C5382" s="104" t="s">
        <v>28</v>
      </c>
      <c r="D5382" s="129" t="s">
        <v>23646</v>
      </c>
    </row>
    <row r="5383" spans="1:4">
      <c r="A5383" s="105">
        <v>94305</v>
      </c>
      <c r="B5383" s="104" t="s">
        <v>5358</v>
      </c>
      <c r="C5383" s="104" t="s">
        <v>28</v>
      </c>
      <c r="D5383" s="129" t="s">
        <v>23647</v>
      </c>
    </row>
    <row r="5384" spans="1:4">
      <c r="A5384" s="105">
        <v>94306</v>
      </c>
      <c r="B5384" s="104" t="s">
        <v>5359</v>
      </c>
      <c r="C5384" s="104" t="s">
        <v>28</v>
      </c>
      <c r="D5384" s="129" t="s">
        <v>23648</v>
      </c>
    </row>
    <row r="5385" spans="1:4">
      <c r="A5385" s="105">
        <v>94307</v>
      </c>
      <c r="B5385" s="104" t="s">
        <v>5360</v>
      </c>
      <c r="C5385" s="104" t="s">
        <v>28</v>
      </c>
      <c r="D5385" s="129" t="s">
        <v>23649</v>
      </c>
    </row>
    <row r="5386" spans="1:4">
      <c r="A5386" s="105">
        <v>94308</v>
      </c>
      <c r="B5386" s="104" t="s">
        <v>5361</v>
      </c>
      <c r="C5386" s="104" t="s">
        <v>28</v>
      </c>
      <c r="D5386" s="129" t="s">
        <v>23650</v>
      </c>
    </row>
    <row r="5387" spans="1:4">
      <c r="A5387" s="105">
        <v>94309</v>
      </c>
      <c r="B5387" s="104" t="s">
        <v>5362</v>
      </c>
      <c r="C5387" s="104" t="s">
        <v>28</v>
      </c>
      <c r="D5387" s="129" t="s">
        <v>23651</v>
      </c>
    </row>
    <row r="5388" spans="1:4">
      <c r="A5388" s="105">
        <v>94310</v>
      </c>
      <c r="B5388" s="104" t="s">
        <v>5363</v>
      </c>
      <c r="C5388" s="104" t="s">
        <v>28</v>
      </c>
      <c r="D5388" s="129" t="s">
        <v>23652</v>
      </c>
    </row>
    <row r="5389" spans="1:4">
      <c r="A5389" s="105">
        <v>94315</v>
      </c>
      <c r="B5389" s="104" t="s">
        <v>5364</v>
      </c>
      <c r="C5389" s="104" t="s">
        <v>28</v>
      </c>
      <c r="D5389" s="129" t="s">
        <v>23653</v>
      </c>
    </row>
    <row r="5390" spans="1:4">
      <c r="A5390" s="105">
        <v>94316</v>
      </c>
      <c r="B5390" s="104" t="s">
        <v>5365</v>
      </c>
      <c r="C5390" s="104" t="s">
        <v>28</v>
      </c>
      <c r="D5390" s="129" t="s">
        <v>23654</v>
      </c>
    </row>
    <row r="5391" spans="1:4">
      <c r="A5391" s="105">
        <v>94317</v>
      </c>
      <c r="B5391" s="104" t="s">
        <v>5366</v>
      </c>
      <c r="C5391" s="104" t="s">
        <v>28</v>
      </c>
      <c r="D5391" s="129" t="s">
        <v>23655</v>
      </c>
    </row>
    <row r="5392" spans="1:4">
      <c r="A5392" s="105">
        <v>94318</v>
      </c>
      <c r="B5392" s="104" t="s">
        <v>5367</v>
      </c>
      <c r="C5392" s="104" t="s">
        <v>28</v>
      </c>
      <c r="D5392" s="129" t="s">
        <v>23656</v>
      </c>
    </row>
    <row r="5393" spans="1:4">
      <c r="A5393" s="105">
        <v>94319</v>
      </c>
      <c r="B5393" s="104" t="s">
        <v>5368</v>
      </c>
      <c r="C5393" s="104" t="s">
        <v>28</v>
      </c>
      <c r="D5393" s="129" t="s">
        <v>15282</v>
      </c>
    </row>
    <row r="5394" spans="1:4">
      <c r="A5394" s="105">
        <v>94327</v>
      </c>
      <c r="B5394" s="104" t="s">
        <v>5369</v>
      </c>
      <c r="C5394" s="104" t="s">
        <v>28</v>
      </c>
      <c r="D5394" s="129" t="s">
        <v>23657</v>
      </c>
    </row>
    <row r="5395" spans="1:4">
      <c r="A5395" s="105">
        <v>94328</v>
      </c>
      <c r="B5395" s="104" t="s">
        <v>5370</v>
      </c>
      <c r="C5395" s="104" t="s">
        <v>28</v>
      </c>
      <c r="D5395" s="129" t="s">
        <v>23658</v>
      </c>
    </row>
    <row r="5396" spans="1:4">
      <c r="A5396" s="105">
        <v>94329</v>
      </c>
      <c r="B5396" s="104" t="s">
        <v>5371</v>
      </c>
      <c r="C5396" s="104" t="s">
        <v>28</v>
      </c>
      <c r="D5396" s="129" t="s">
        <v>23659</v>
      </c>
    </row>
    <row r="5397" spans="1:4">
      <c r="A5397" s="105">
        <v>94330</v>
      </c>
      <c r="B5397" s="104" t="s">
        <v>5372</v>
      </c>
      <c r="C5397" s="104" t="s">
        <v>28</v>
      </c>
      <c r="D5397" s="129" t="s">
        <v>23660</v>
      </c>
    </row>
    <row r="5398" spans="1:4">
      <c r="A5398" s="105">
        <v>94331</v>
      </c>
      <c r="B5398" s="104" t="s">
        <v>5373</v>
      </c>
      <c r="C5398" s="104" t="s">
        <v>28</v>
      </c>
      <c r="D5398" s="129" t="s">
        <v>23661</v>
      </c>
    </row>
    <row r="5399" spans="1:4">
      <c r="A5399" s="105">
        <v>94332</v>
      </c>
      <c r="B5399" s="104" t="s">
        <v>5374</v>
      </c>
      <c r="C5399" s="104" t="s">
        <v>28</v>
      </c>
      <c r="D5399" s="129" t="s">
        <v>23662</v>
      </c>
    </row>
    <row r="5400" spans="1:4">
      <c r="A5400" s="105">
        <v>94333</v>
      </c>
      <c r="B5400" s="104" t="s">
        <v>5375</v>
      </c>
      <c r="C5400" s="104" t="s">
        <v>28</v>
      </c>
      <c r="D5400" s="129" t="s">
        <v>23663</v>
      </c>
    </row>
    <row r="5401" spans="1:4">
      <c r="A5401" s="105">
        <v>94338</v>
      </c>
      <c r="B5401" s="104" t="s">
        <v>5376</v>
      </c>
      <c r="C5401" s="104" t="s">
        <v>28</v>
      </c>
      <c r="D5401" s="129" t="s">
        <v>23664</v>
      </c>
    </row>
    <row r="5402" spans="1:4">
      <c r="A5402" s="105">
        <v>94339</v>
      </c>
      <c r="B5402" s="104" t="s">
        <v>5377</v>
      </c>
      <c r="C5402" s="104" t="s">
        <v>28</v>
      </c>
      <c r="D5402" s="129" t="s">
        <v>23665</v>
      </c>
    </row>
    <row r="5403" spans="1:4">
      <c r="A5403" s="105">
        <v>94340</v>
      </c>
      <c r="B5403" s="104" t="s">
        <v>5378</v>
      </c>
      <c r="C5403" s="104" t="s">
        <v>28</v>
      </c>
      <c r="D5403" s="129" t="s">
        <v>23666</v>
      </c>
    </row>
    <row r="5404" spans="1:4">
      <c r="A5404" s="105">
        <v>94341</v>
      </c>
      <c r="B5404" s="104" t="s">
        <v>5379</v>
      </c>
      <c r="C5404" s="104" t="s">
        <v>28</v>
      </c>
      <c r="D5404" s="129" t="s">
        <v>23667</v>
      </c>
    </row>
    <row r="5405" spans="1:4">
      <c r="A5405" s="105">
        <v>94342</v>
      </c>
      <c r="B5405" s="104" t="s">
        <v>5380</v>
      </c>
      <c r="C5405" s="104" t="s">
        <v>28</v>
      </c>
      <c r="D5405" s="129" t="s">
        <v>23668</v>
      </c>
    </row>
    <row r="5406" spans="1:4">
      <c r="A5406" s="105">
        <v>96385</v>
      </c>
      <c r="B5406" s="104" t="s">
        <v>5381</v>
      </c>
      <c r="C5406" s="104" t="s">
        <v>28</v>
      </c>
      <c r="D5406" s="129" t="s">
        <v>17957</v>
      </c>
    </row>
    <row r="5407" spans="1:4">
      <c r="A5407" s="105">
        <v>96386</v>
      </c>
      <c r="B5407" s="104" t="s">
        <v>5382</v>
      </c>
      <c r="C5407" s="104" t="s">
        <v>28</v>
      </c>
      <c r="D5407" s="129" t="s">
        <v>15768</v>
      </c>
    </row>
    <row r="5408" spans="1:4">
      <c r="A5408" s="105">
        <v>93360</v>
      </c>
      <c r="B5408" s="104" t="s">
        <v>5383</v>
      </c>
      <c r="C5408" s="104" t="s">
        <v>28</v>
      </c>
      <c r="D5408" s="129" t="s">
        <v>16891</v>
      </c>
    </row>
    <row r="5409" spans="1:4">
      <c r="A5409" s="105">
        <v>93361</v>
      </c>
      <c r="B5409" s="104" t="s">
        <v>5384</v>
      </c>
      <c r="C5409" s="104" t="s">
        <v>28</v>
      </c>
      <c r="D5409" s="129" t="s">
        <v>19806</v>
      </c>
    </row>
    <row r="5410" spans="1:4">
      <c r="A5410" s="105">
        <v>93362</v>
      </c>
      <c r="B5410" s="104" t="s">
        <v>5385</v>
      </c>
      <c r="C5410" s="104" t="s">
        <v>28</v>
      </c>
      <c r="D5410" s="129" t="s">
        <v>16980</v>
      </c>
    </row>
    <row r="5411" spans="1:4">
      <c r="A5411" s="105">
        <v>93363</v>
      </c>
      <c r="B5411" s="104" t="s">
        <v>5386</v>
      </c>
      <c r="C5411" s="104" t="s">
        <v>28</v>
      </c>
      <c r="D5411" s="129" t="s">
        <v>22803</v>
      </c>
    </row>
    <row r="5412" spans="1:4">
      <c r="A5412" s="105">
        <v>93364</v>
      </c>
      <c r="B5412" s="104" t="s">
        <v>5387</v>
      </c>
      <c r="C5412" s="104" t="s">
        <v>28</v>
      </c>
      <c r="D5412" s="129" t="s">
        <v>22054</v>
      </c>
    </row>
    <row r="5413" spans="1:4">
      <c r="A5413" s="105">
        <v>93365</v>
      </c>
      <c r="B5413" s="104" t="s">
        <v>5388</v>
      </c>
      <c r="C5413" s="104" t="s">
        <v>28</v>
      </c>
      <c r="D5413" s="129" t="s">
        <v>22808</v>
      </c>
    </row>
    <row r="5414" spans="1:4">
      <c r="A5414" s="105">
        <v>93366</v>
      </c>
      <c r="B5414" s="104" t="s">
        <v>5389</v>
      </c>
      <c r="C5414" s="104" t="s">
        <v>28</v>
      </c>
      <c r="D5414" s="129" t="s">
        <v>19288</v>
      </c>
    </row>
    <row r="5415" spans="1:4">
      <c r="A5415" s="105">
        <v>93367</v>
      </c>
      <c r="B5415" s="104" t="s">
        <v>5390</v>
      </c>
      <c r="C5415" s="104" t="s">
        <v>28</v>
      </c>
      <c r="D5415" s="129" t="s">
        <v>18679</v>
      </c>
    </row>
    <row r="5416" spans="1:4">
      <c r="A5416" s="105">
        <v>93368</v>
      </c>
      <c r="B5416" s="104" t="s">
        <v>5391</v>
      </c>
      <c r="C5416" s="104" t="s">
        <v>28</v>
      </c>
      <c r="D5416" s="129" t="s">
        <v>20341</v>
      </c>
    </row>
    <row r="5417" spans="1:4">
      <c r="A5417" s="105">
        <v>93369</v>
      </c>
      <c r="B5417" s="104" t="s">
        <v>5392</v>
      </c>
      <c r="C5417" s="104" t="s">
        <v>28</v>
      </c>
      <c r="D5417" s="129" t="s">
        <v>17181</v>
      </c>
    </row>
    <row r="5418" spans="1:4">
      <c r="A5418" s="105">
        <v>93370</v>
      </c>
      <c r="B5418" s="104" t="s">
        <v>5393</v>
      </c>
      <c r="C5418" s="104" t="s">
        <v>28</v>
      </c>
      <c r="D5418" s="129" t="s">
        <v>18045</v>
      </c>
    </row>
    <row r="5419" spans="1:4">
      <c r="A5419" s="105">
        <v>93371</v>
      </c>
      <c r="B5419" s="104" t="s">
        <v>5394</v>
      </c>
      <c r="C5419" s="104" t="s">
        <v>28</v>
      </c>
      <c r="D5419" s="129" t="s">
        <v>23669</v>
      </c>
    </row>
    <row r="5420" spans="1:4">
      <c r="A5420" s="105">
        <v>93372</v>
      </c>
      <c r="B5420" s="104" t="s">
        <v>5395</v>
      </c>
      <c r="C5420" s="104" t="s">
        <v>28</v>
      </c>
      <c r="D5420" s="129" t="s">
        <v>19583</v>
      </c>
    </row>
    <row r="5421" spans="1:4">
      <c r="A5421" s="105">
        <v>93373</v>
      </c>
      <c r="B5421" s="104" t="s">
        <v>5396</v>
      </c>
      <c r="C5421" s="104" t="s">
        <v>28</v>
      </c>
      <c r="D5421" s="129" t="s">
        <v>18066</v>
      </c>
    </row>
    <row r="5422" spans="1:4">
      <c r="A5422" s="105">
        <v>93374</v>
      </c>
      <c r="B5422" s="104" t="s">
        <v>5397</v>
      </c>
      <c r="C5422" s="104" t="s">
        <v>28</v>
      </c>
      <c r="D5422" s="129" t="s">
        <v>20734</v>
      </c>
    </row>
    <row r="5423" spans="1:4">
      <c r="A5423" s="105">
        <v>93375</v>
      </c>
      <c r="B5423" s="104" t="s">
        <v>5398</v>
      </c>
      <c r="C5423" s="104" t="s">
        <v>28</v>
      </c>
      <c r="D5423" s="129" t="s">
        <v>19580</v>
      </c>
    </row>
    <row r="5424" spans="1:4">
      <c r="A5424" s="105">
        <v>93376</v>
      </c>
      <c r="B5424" s="104" t="s">
        <v>5399</v>
      </c>
      <c r="C5424" s="104" t="s">
        <v>28</v>
      </c>
      <c r="D5424" s="129" t="s">
        <v>14857</v>
      </c>
    </row>
    <row r="5425" spans="1:4">
      <c r="A5425" s="105">
        <v>93377</v>
      </c>
      <c r="B5425" s="104" t="s">
        <v>5400</v>
      </c>
      <c r="C5425" s="104" t="s">
        <v>28</v>
      </c>
      <c r="D5425" s="129" t="s">
        <v>19616</v>
      </c>
    </row>
    <row r="5426" spans="1:4">
      <c r="A5426" s="105">
        <v>93378</v>
      </c>
      <c r="B5426" s="104" t="s">
        <v>5401</v>
      </c>
      <c r="C5426" s="104" t="s">
        <v>28</v>
      </c>
      <c r="D5426" s="129" t="s">
        <v>20357</v>
      </c>
    </row>
    <row r="5427" spans="1:4">
      <c r="A5427" s="105">
        <v>93379</v>
      </c>
      <c r="B5427" s="104" t="s">
        <v>5402</v>
      </c>
      <c r="C5427" s="104" t="s">
        <v>28</v>
      </c>
      <c r="D5427" s="129" t="s">
        <v>23610</v>
      </c>
    </row>
    <row r="5428" spans="1:4">
      <c r="A5428" s="105">
        <v>93380</v>
      </c>
      <c r="B5428" s="104" t="s">
        <v>5403</v>
      </c>
      <c r="C5428" s="104" t="s">
        <v>28</v>
      </c>
      <c r="D5428" s="129" t="s">
        <v>19123</v>
      </c>
    </row>
    <row r="5429" spans="1:4">
      <c r="A5429" s="105">
        <v>93381</v>
      </c>
      <c r="B5429" s="104" t="s">
        <v>5404</v>
      </c>
      <c r="C5429" s="104" t="s">
        <v>28</v>
      </c>
      <c r="D5429" s="129" t="s">
        <v>23670</v>
      </c>
    </row>
    <row r="5430" spans="1:4">
      <c r="A5430" s="105">
        <v>93382</v>
      </c>
      <c r="B5430" s="104" t="s">
        <v>297</v>
      </c>
      <c r="C5430" s="104" t="s">
        <v>28</v>
      </c>
      <c r="D5430" s="129" t="s">
        <v>20071</v>
      </c>
    </row>
    <row r="5431" spans="1:4">
      <c r="A5431" s="105">
        <v>96995</v>
      </c>
      <c r="B5431" s="104" t="s">
        <v>5405</v>
      </c>
      <c r="C5431" s="104" t="s">
        <v>28</v>
      </c>
      <c r="D5431" s="129" t="s">
        <v>23671</v>
      </c>
    </row>
    <row r="5432" spans="1:4">
      <c r="A5432" s="105">
        <v>97916</v>
      </c>
      <c r="B5432" s="104" t="s">
        <v>5406</v>
      </c>
      <c r="C5432" s="104" t="s">
        <v>5407</v>
      </c>
      <c r="D5432" s="129" t="s">
        <v>23672</v>
      </c>
    </row>
    <row r="5433" spans="1:4">
      <c r="A5433" s="105">
        <v>97917</v>
      </c>
      <c r="B5433" s="104" t="s">
        <v>5408</v>
      </c>
      <c r="C5433" s="104" t="s">
        <v>5407</v>
      </c>
      <c r="D5433" s="129" t="s">
        <v>20160</v>
      </c>
    </row>
    <row r="5434" spans="1:4">
      <c r="A5434" s="105">
        <v>97918</v>
      </c>
      <c r="B5434" s="104" t="s">
        <v>5409</v>
      </c>
      <c r="C5434" s="104" t="s">
        <v>5407</v>
      </c>
      <c r="D5434" s="129" t="s">
        <v>23673</v>
      </c>
    </row>
    <row r="5435" spans="1:4">
      <c r="A5435" s="105">
        <v>97919</v>
      </c>
      <c r="B5435" s="104" t="s">
        <v>5410</v>
      </c>
      <c r="C5435" s="104" t="s">
        <v>5407</v>
      </c>
      <c r="D5435" s="129" t="s">
        <v>15646</v>
      </c>
    </row>
    <row r="5436" spans="1:4">
      <c r="A5436" s="105">
        <v>101616</v>
      </c>
      <c r="B5436" s="104" t="s">
        <v>296</v>
      </c>
      <c r="C5436" s="104" t="s">
        <v>12</v>
      </c>
      <c r="D5436" s="129" t="s">
        <v>20563</v>
      </c>
    </row>
    <row r="5437" spans="1:4">
      <c r="A5437" s="105">
        <v>101617</v>
      </c>
      <c r="B5437" s="104" t="s">
        <v>5411</v>
      </c>
      <c r="C5437" s="104" t="s">
        <v>12</v>
      </c>
      <c r="D5437" s="129" t="s">
        <v>15591</v>
      </c>
    </row>
    <row r="5438" spans="1:4">
      <c r="A5438" s="105">
        <v>101618</v>
      </c>
      <c r="B5438" s="104" t="s">
        <v>5412</v>
      </c>
      <c r="C5438" s="104" t="s">
        <v>28</v>
      </c>
      <c r="D5438" s="129" t="s">
        <v>23674</v>
      </c>
    </row>
    <row r="5439" spans="1:4">
      <c r="A5439" s="105">
        <v>101619</v>
      </c>
      <c r="B5439" s="104" t="s">
        <v>5413</v>
      </c>
      <c r="C5439" s="104" t="s">
        <v>28</v>
      </c>
      <c r="D5439" s="129" t="s">
        <v>23675</v>
      </c>
    </row>
    <row r="5440" spans="1:4">
      <c r="A5440" s="105">
        <v>101620</v>
      </c>
      <c r="B5440" s="104" t="s">
        <v>5414</v>
      </c>
      <c r="C5440" s="104" t="s">
        <v>28</v>
      </c>
      <c r="D5440" s="129" t="s">
        <v>23676</v>
      </c>
    </row>
    <row r="5441" spans="1:4">
      <c r="A5441" s="105">
        <v>101621</v>
      </c>
      <c r="B5441" s="104" t="s">
        <v>5415</v>
      </c>
      <c r="C5441" s="104" t="s">
        <v>28</v>
      </c>
      <c r="D5441" s="129" t="s">
        <v>23677</v>
      </c>
    </row>
    <row r="5442" spans="1:4">
      <c r="A5442" s="105">
        <v>101622</v>
      </c>
      <c r="B5442" s="104" t="s">
        <v>5416</v>
      </c>
      <c r="C5442" s="104" t="s">
        <v>28</v>
      </c>
      <c r="D5442" s="129" t="s">
        <v>15733</v>
      </c>
    </row>
    <row r="5443" spans="1:4">
      <c r="A5443" s="105">
        <v>101623</v>
      </c>
      <c r="B5443" s="104" t="s">
        <v>5417</v>
      </c>
      <c r="C5443" s="104" t="s">
        <v>28</v>
      </c>
      <c r="D5443" s="129" t="s">
        <v>23678</v>
      </c>
    </row>
    <row r="5444" spans="1:4">
      <c r="A5444" s="105">
        <v>101624</v>
      </c>
      <c r="B5444" s="104" t="s">
        <v>5418</v>
      </c>
      <c r="C5444" s="104" t="s">
        <v>28</v>
      </c>
      <c r="D5444" s="129" t="s">
        <v>23679</v>
      </c>
    </row>
    <row r="5445" spans="1:4">
      <c r="A5445" s="105">
        <v>101625</v>
      </c>
      <c r="B5445" s="104" t="s">
        <v>5419</v>
      </c>
      <c r="C5445" s="104" t="s">
        <v>28</v>
      </c>
      <c r="D5445" s="129" t="s">
        <v>23680</v>
      </c>
    </row>
    <row r="5446" spans="1:4">
      <c r="A5446" s="105">
        <v>95606</v>
      </c>
      <c r="B5446" s="104" t="s">
        <v>5420</v>
      </c>
      <c r="C5446" s="104" t="s">
        <v>28</v>
      </c>
      <c r="D5446" s="129" t="s">
        <v>23681</v>
      </c>
    </row>
    <row r="5447" spans="1:4">
      <c r="A5447" s="105">
        <v>101159</v>
      </c>
      <c r="B5447" s="104" t="s">
        <v>5421</v>
      </c>
      <c r="C5447" s="104" t="s">
        <v>12</v>
      </c>
      <c r="D5447" s="129" t="s">
        <v>23682</v>
      </c>
    </row>
    <row r="5448" spans="1:4">
      <c r="A5448" s="105">
        <v>103322</v>
      </c>
      <c r="B5448" s="104" t="s">
        <v>13777</v>
      </c>
      <c r="C5448" s="104" t="s">
        <v>12</v>
      </c>
      <c r="D5448" s="129" t="s">
        <v>23683</v>
      </c>
    </row>
    <row r="5449" spans="1:4">
      <c r="A5449" s="105">
        <v>103323</v>
      </c>
      <c r="B5449" s="104" t="s">
        <v>13778</v>
      </c>
      <c r="C5449" s="104" t="s">
        <v>12</v>
      </c>
      <c r="D5449" s="129" t="s">
        <v>23684</v>
      </c>
    </row>
    <row r="5450" spans="1:4">
      <c r="A5450" s="105">
        <v>103324</v>
      </c>
      <c r="B5450" s="104" t="s">
        <v>13779</v>
      </c>
      <c r="C5450" s="104" t="s">
        <v>12</v>
      </c>
      <c r="D5450" s="129" t="s">
        <v>21975</v>
      </c>
    </row>
    <row r="5451" spans="1:4">
      <c r="A5451" s="105">
        <v>103325</v>
      </c>
      <c r="B5451" s="104" t="s">
        <v>13780</v>
      </c>
      <c r="C5451" s="104" t="s">
        <v>12</v>
      </c>
      <c r="D5451" s="129" t="s">
        <v>23685</v>
      </c>
    </row>
    <row r="5452" spans="1:4">
      <c r="A5452" s="105">
        <v>103326</v>
      </c>
      <c r="B5452" s="104" t="s">
        <v>13781</v>
      </c>
      <c r="C5452" s="104" t="s">
        <v>12</v>
      </c>
      <c r="D5452" s="129" t="s">
        <v>23686</v>
      </c>
    </row>
    <row r="5453" spans="1:4">
      <c r="A5453" s="105">
        <v>103327</v>
      </c>
      <c r="B5453" s="104" t="s">
        <v>13782</v>
      </c>
      <c r="C5453" s="104" t="s">
        <v>12</v>
      </c>
      <c r="D5453" s="129" t="s">
        <v>23687</v>
      </c>
    </row>
    <row r="5454" spans="1:4">
      <c r="A5454" s="105">
        <v>103328</v>
      </c>
      <c r="B5454" s="104" t="s">
        <v>13783</v>
      </c>
      <c r="C5454" s="104" t="s">
        <v>12</v>
      </c>
      <c r="D5454" s="129" t="s">
        <v>23688</v>
      </c>
    </row>
    <row r="5455" spans="1:4">
      <c r="A5455" s="105">
        <v>103329</v>
      </c>
      <c r="B5455" s="104" t="s">
        <v>13784</v>
      </c>
      <c r="C5455" s="104" t="s">
        <v>12</v>
      </c>
      <c r="D5455" s="129" t="s">
        <v>23689</v>
      </c>
    </row>
    <row r="5456" spans="1:4">
      <c r="A5456" s="105">
        <v>103330</v>
      </c>
      <c r="B5456" s="104" t="s">
        <v>13785</v>
      </c>
      <c r="C5456" s="104" t="s">
        <v>12</v>
      </c>
      <c r="D5456" s="129" t="s">
        <v>23690</v>
      </c>
    </row>
    <row r="5457" spans="1:4">
      <c r="A5457" s="105">
        <v>103331</v>
      </c>
      <c r="B5457" s="104" t="s">
        <v>13786</v>
      </c>
      <c r="C5457" s="104" t="s">
        <v>12</v>
      </c>
      <c r="D5457" s="129" t="s">
        <v>21053</v>
      </c>
    </row>
    <row r="5458" spans="1:4">
      <c r="A5458" s="105">
        <v>103332</v>
      </c>
      <c r="B5458" s="104" t="s">
        <v>13787</v>
      </c>
      <c r="C5458" s="104" t="s">
        <v>12</v>
      </c>
      <c r="D5458" s="129" t="s">
        <v>23691</v>
      </c>
    </row>
    <row r="5459" spans="1:4">
      <c r="A5459" s="105">
        <v>103333</v>
      </c>
      <c r="B5459" s="104" t="s">
        <v>13788</v>
      </c>
      <c r="C5459" s="104" t="s">
        <v>12</v>
      </c>
      <c r="D5459" s="129" t="s">
        <v>16703</v>
      </c>
    </row>
    <row r="5460" spans="1:4">
      <c r="A5460" s="105">
        <v>103334</v>
      </c>
      <c r="B5460" s="104" t="s">
        <v>13789</v>
      </c>
      <c r="C5460" s="104" t="s">
        <v>12</v>
      </c>
      <c r="D5460" s="129" t="s">
        <v>23692</v>
      </c>
    </row>
    <row r="5461" spans="1:4">
      <c r="A5461" s="105">
        <v>103335</v>
      </c>
      <c r="B5461" s="104" t="s">
        <v>13790</v>
      </c>
      <c r="C5461" s="104" t="s">
        <v>12</v>
      </c>
      <c r="D5461" s="129" t="s">
        <v>23693</v>
      </c>
    </row>
    <row r="5462" spans="1:4">
      <c r="A5462" s="105">
        <v>103350</v>
      </c>
      <c r="B5462" s="104" t="s">
        <v>13791</v>
      </c>
      <c r="C5462" s="104" t="s">
        <v>12</v>
      </c>
      <c r="D5462" s="129" t="s">
        <v>23694</v>
      </c>
    </row>
    <row r="5463" spans="1:4">
      <c r="A5463" s="105">
        <v>103351</v>
      </c>
      <c r="B5463" s="104" t="s">
        <v>13792</v>
      </c>
      <c r="C5463" s="104" t="s">
        <v>12</v>
      </c>
      <c r="D5463" s="129" t="s">
        <v>23695</v>
      </c>
    </row>
    <row r="5464" spans="1:4">
      <c r="A5464" s="105">
        <v>103356</v>
      </c>
      <c r="B5464" s="104" t="s">
        <v>13793</v>
      </c>
      <c r="C5464" s="104" t="s">
        <v>12</v>
      </c>
      <c r="D5464" s="129" t="s">
        <v>23696</v>
      </c>
    </row>
    <row r="5465" spans="1:4">
      <c r="A5465" s="105">
        <v>103357</v>
      </c>
      <c r="B5465" s="104" t="s">
        <v>13794</v>
      </c>
      <c r="C5465" s="104" t="s">
        <v>12</v>
      </c>
      <c r="D5465" s="129" t="s">
        <v>19134</v>
      </c>
    </row>
    <row r="5466" spans="1:4">
      <c r="A5466" s="105">
        <v>89282</v>
      </c>
      <c r="B5466" s="104" t="s">
        <v>5422</v>
      </c>
      <c r="C5466" s="104" t="s">
        <v>12</v>
      </c>
      <c r="D5466" s="129" t="s">
        <v>23697</v>
      </c>
    </row>
    <row r="5467" spans="1:4">
      <c r="A5467" s="105">
        <v>89283</v>
      </c>
      <c r="B5467" s="104" t="s">
        <v>5423</v>
      </c>
      <c r="C5467" s="104" t="s">
        <v>12</v>
      </c>
      <c r="D5467" s="129" t="s">
        <v>23698</v>
      </c>
    </row>
    <row r="5468" spans="1:4">
      <c r="A5468" s="105">
        <v>89284</v>
      </c>
      <c r="B5468" s="104" t="s">
        <v>5424</v>
      </c>
      <c r="C5468" s="104" t="s">
        <v>12</v>
      </c>
      <c r="D5468" s="129" t="s">
        <v>16748</v>
      </c>
    </row>
    <row r="5469" spans="1:4">
      <c r="A5469" s="105">
        <v>89285</v>
      </c>
      <c r="B5469" s="104" t="s">
        <v>5425</v>
      </c>
      <c r="C5469" s="104" t="s">
        <v>12</v>
      </c>
      <c r="D5469" s="129" t="s">
        <v>23699</v>
      </c>
    </row>
    <row r="5470" spans="1:4">
      <c r="A5470" s="105">
        <v>89286</v>
      </c>
      <c r="B5470" s="104" t="s">
        <v>5426</v>
      </c>
      <c r="C5470" s="104" t="s">
        <v>12</v>
      </c>
      <c r="D5470" s="129" t="s">
        <v>23700</v>
      </c>
    </row>
    <row r="5471" spans="1:4">
      <c r="A5471" s="105">
        <v>89287</v>
      </c>
      <c r="B5471" s="104" t="s">
        <v>5427</v>
      </c>
      <c r="C5471" s="104" t="s">
        <v>12</v>
      </c>
      <c r="D5471" s="129" t="s">
        <v>22540</v>
      </c>
    </row>
    <row r="5472" spans="1:4">
      <c r="A5472" s="105">
        <v>89288</v>
      </c>
      <c r="B5472" s="104" t="s">
        <v>5428</v>
      </c>
      <c r="C5472" s="104" t="s">
        <v>12</v>
      </c>
      <c r="D5472" s="129" t="s">
        <v>23701</v>
      </c>
    </row>
    <row r="5473" spans="1:4">
      <c r="A5473" s="105">
        <v>89289</v>
      </c>
      <c r="B5473" s="104" t="s">
        <v>5429</v>
      </c>
      <c r="C5473" s="104" t="s">
        <v>12</v>
      </c>
      <c r="D5473" s="129" t="s">
        <v>19818</v>
      </c>
    </row>
    <row r="5474" spans="1:4">
      <c r="A5474" s="105">
        <v>89290</v>
      </c>
      <c r="B5474" s="104" t="s">
        <v>5430</v>
      </c>
      <c r="C5474" s="104" t="s">
        <v>12</v>
      </c>
      <c r="D5474" s="129" t="s">
        <v>23702</v>
      </c>
    </row>
    <row r="5475" spans="1:4">
      <c r="A5475" s="105">
        <v>89291</v>
      </c>
      <c r="B5475" s="104" t="s">
        <v>5431</v>
      </c>
      <c r="C5475" s="104" t="s">
        <v>12</v>
      </c>
      <c r="D5475" s="129" t="s">
        <v>23703</v>
      </c>
    </row>
    <row r="5476" spans="1:4">
      <c r="A5476" s="105">
        <v>89292</v>
      </c>
      <c r="B5476" s="104" t="s">
        <v>5432</v>
      </c>
      <c r="C5476" s="104" t="s">
        <v>12</v>
      </c>
      <c r="D5476" s="129" t="s">
        <v>20338</v>
      </c>
    </row>
    <row r="5477" spans="1:4">
      <c r="A5477" s="105">
        <v>89293</v>
      </c>
      <c r="B5477" s="104" t="s">
        <v>5433</v>
      </c>
      <c r="C5477" s="104" t="s">
        <v>12</v>
      </c>
      <c r="D5477" s="129" t="s">
        <v>22891</v>
      </c>
    </row>
    <row r="5478" spans="1:4">
      <c r="A5478" s="105">
        <v>89294</v>
      </c>
      <c r="B5478" s="104" t="s">
        <v>5434</v>
      </c>
      <c r="C5478" s="104" t="s">
        <v>12</v>
      </c>
      <c r="D5478" s="129" t="s">
        <v>23704</v>
      </c>
    </row>
    <row r="5479" spans="1:4">
      <c r="A5479" s="105">
        <v>89295</v>
      </c>
      <c r="B5479" s="104" t="s">
        <v>5435</v>
      </c>
      <c r="C5479" s="104" t="s">
        <v>12</v>
      </c>
      <c r="D5479" s="129" t="s">
        <v>23705</v>
      </c>
    </row>
    <row r="5480" spans="1:4">
      <c r="A5480" s="105">
        <v>89296</v>
      </c>
      <c r="B5480" s="104" t="s">
        <v>5436</v>
      </c>
      <c r="C5480" s="104" t="s">
        <v>12</v>
      </c>
      <c r="D5480" s="129" t="s">
        <v>23706</v>
      </c>
    </row>
    <row r="5481" spans="1:4">
      <c r="A5481" s="105">
        <v>89297</v>
      </c>
      <c r="B5481" s="104" t="s">
        <v>5437</v>
      </c>
      <c r="C5481" s="104" t="s">
        <v>12</v>
      </c>
      <c r="D5481" s="129" t="s">
        <v>23707</v>
      </c>
    </row>
    <row r="5482" spans="1:4">
      <c r="A5482" s="105">
        <v>89298</v>
      </c>
      <c r="B5482" s="104" t="s">
        <v>5438</v>
      </c>
      <c r="C5482" s="104" t="s">
        <v>12</v>
      </c>
      <c r="D5482" s="129" t="s">
        <v>16694</v>
      </c>
    </row>
    <row r="5483" spans="1:4">
      <c r="A5483" s="105">
        <v>89299</v>
      </c>
      <c r="B5483" s="104" t="s">
        <v>5439</v>
      </c>
      <c r="C5483" s="104" t="s">
        <v>12</v>
      </c>
      <c r="D5483" s="129" t="s">
        <v>15904</v>
      </c>
    </row>
    <row r="5484" spans="1:4">
      <c r="A5484" s="105">
        <v>89300</v>
      </c>
      <c r="B5484" s="104" t="s">
        <v>5440</v>
      </c>
      <c r="C5484" s="104" t="s">
        <v>12</v>
      </c>
      <c r="D5484" s="129" t="s">
        <v>19330</v>
      </c>
    </row>
    <row r="5485" spans="1:4">
      <c r="A5485" s="105">
        <v>89301</v>
      </c>
      <c r="B5485" s="104" t="s">
        <v>5441</v>
      </c>
      <c r="C5485" s="104" t="s">
        <v>12</v>
      </c>
      <c r="D5485" s="129" t="s">
        <v>20839</v>
      </c>
    </row>
    <row r="5486" spans="1:4">
      <c r="A5486" s="105">
        <v>89302</v>
      </c>
      <c r="B5486" s="104" t="s">
        <v>5442</v>
      </c>
      <c r="C5486" s="104" t="s">
        <v>12</v>
      </c>
      <c r="D5486" s="129" t="s">
        <v>23708</v>
      </c>
    </row>
    <row r="5487" spans="1:4">
      <c r="A5487" s="105">
        <v>89303</v>
      </c>
      <c r="B5487" s="104" t="s">
        <v>5443</v>
      </c>
      <c r="C5487" s="104" t="s">
        <v>12</v>
      </c>
      <c r="D5487" s="129" t="s">
        <v>23709</v>
      </c>
    </row>
    <row r="5488" spans="1:4">
      <c r="A5488" s="105">
        <v>89304</v>
      </c>
      <c r="B5488" s="104" t="s">
        <v>5444</v>
      </c>
      <c r="C5488" s="104" t="s">
        <v>12</v>
      </c>
      <c r="D5488" s="129" t="s">
        <v>23710</v>
      </c>
    </row>
    <row r="5489" spans="1:4">
      <c r="A5489" s="105">
        <v>89305</v>
      </c>
      <c r="B5489" s="104" t="s">
        <v>5445</v>
      </c>
      <c r="C5489" s="104" t="s">
        <v>12</v>
      </c>
      <c r="D5489" s="129" t="s">
        <v>23711</v>
      </c>
    </row>
    <row r="5490" spans="1:4">
      <c r="A5490" s="105">
        <v>89306</v>
      </c>
      <c r="B5490" s="104" t="s">
        <v>5446</v>
      </c>
      <c r="C5490" s="104" t="s">
        <v>12</v>
      </c>
      <c r="D5490" s="129" t="s">
        <v>22231</v>
      </c>
    </row>
    <row r="5491" spans="1:4">
      <c r="A5491" s="105">
        <v>89307</v>
      </c>
      <c r="B5491" s="104" t="s">
        <v>5447</v>
      </c>
      <c r="C5491" s="104" t="s">
        <v>12</v>
      </c>
      <c r="D5491" s="129" t="s">
        <v>23712</v>
      </c>
    </row>
    <row r="5492" spans="1:4">
      <c r="A5492" s="105">
        <v>89308</v>
      </c>
      <c r="B5492" s="104" t="s">
        <v>5448</v>
      </c>
      <c r="C5492" s="104" t="s">
        <v>12</v>
      </c>
      <c r="D5492" s="129" t="s">
        <v>23713</v>
      </c>
    </row>
    <row r="5493" spans="1:4">
      <c r="A5493" s="105">
        <v>89309</v>
      </c>
      <c r="B5493" s="104" t="s">
        <v>5449</v>
      </c>
      <c r="C5493" s="104" t="s">
        <v>12</v>
      </c>
      <c r="D5493" s="129" t="s">
        <v>19837</v>
      </c>
    </row>
    <row r="5494" spans="1:4">
      <c r="A5494" s="105">
        <v>89310</v>
      </c>
      <c r="B5494" s="104" t="s">
        <v>5450</v>
      </c>
      <c r="C5494" s="104" t="s">
        <v>12</v>
      </c>
      <c r="D5494" s="129" t="s">
        <v>23714</v>
      </c>
    </row>
    <row r="5495" spans="1:4">
      <c r="A5495" s="105">
        <v>89311</v>
      </c>
      <c r="B5495" s="104" t="s">
        <v>5451</v>
      </c>
      <c r="C5495" s="104" t="s">
        <v>12</v>
      </c>
      <c r="D5495" s="129" t="s">
        <v>23715</v>
      </c>
    </row>
    <row r="5496" spans="1:4">
      <c r="A5496" s="105">
        <v>89312</v>
      </c>
      <c r="B5496" s="104" t="s">
        <v>5452</v>
      </c>
      <c r="C5496" s="104" t="s">
        <v>12</v>
      </c>
      <c r="D5496" s="129" t="s">
        <v>23716</v>
      </c>
    </row>
    <row r="5497" spans="1:4">
      <c r="A5497" s="105">
        <v>89313</v>
      </c>
      <c r="B5497" s="104" t="s">
        <v>5453</v>
      </c>
      <c r="C5497" s="104" t="s">
        <v>12</v>
      </c>
      <c r="D5497" s="129" t="s">
        <v>23717</v>
      </c>
    </row>
    <row r="5498" spans="1:4">
      <c r="A5498" s="105">
        <v>101157</v>
      </c>
      <c r="B5498" s="104" t="s">
        <v>12961</v>
      </c>
      <c r="C5498" s="104" t="s">
        <v>12</v>
      </c>
      <c r="D5498" s="129" t="s">
        <v>20964</v>
      </c>
    </row>
    <row r="5499" spans="1:4">
      <c r="A5499" s="105">
        <v>101158</v>
      </c>
      <c r="B5499" s="104" t="s">
        <v>12962</v>
      </c>
      <c r="C5499" s="104" t="s">
        <v>12</v>
      </c>
      <c r="D5499" s="129" t="s">
        <v>16406</v>
      </c>
    </row>
    <row r="5500" spans="1:4">
      <c r="A5500" s="105">
        <v>101162</v>
      </c>
      <c r="B5500" s="104" t="s">
        <v>5454</v>
      </c>
      <c r="C5500" s="104" t="s">
        <v>12</v>
      </c>
      <c r="D5500" s="129" t="s">
        <v>23718</v>
      </c>
    </row>
    <row r="5501" spans="1:4">
      <c r="A5501" s="105">
        <v>103316</v>
      </c>
      <c r="B5501" s="104" t="s">
        <v>13795</v>
      </c>
      <c r="C5501" s="104" t="s">
        <v>12</v>
      </c>
      <c r="D5501" s="129" t="s">
        <v>23719</v>
      </c>
    </row>
    <row r="5502" spans="1:4">
      <c r="A5502" s="105">
        <v>103317</v>
      </c>
      <c r="B5502" s="104" t="s">
        <v>13796</v>
      </c>
      <c r="C5502" s="104" t="s">
        <v>12</v>
      </c>
      <c r="D5502" s="129" t="s">
        <v>23720</v>
      </c>
    </row>
    <row r="5503" spans="1:4">
      <c r="A5503" s="105">
        <v>103318</v>
      </c>
      <c r="B5503" s="104" t="s">
        <v>13797</v>
      </c>
      <c r="C5503" s="104" t="s">
        <v>12</v>
      </c>
      <c r="D5503" s="129" t="s">
        <v>23721</v>
      </c>
    </row>
    <row r="5504" spans="1:4">
      <c r="A5504" s="105">
        <v>103319</v>
      </c>
      <c r="B5504" s="104" t="s">
        <v>13798</v>
      </c>
      <c r="C5504" s="104" t="s">
        <v>12</v>
      </c>
      <c r="D5504" s="129" t="s">
        <v>23722</v>
      </c>
    </row>
    <row r="5505" spans="1:4">
      <c r="A5505" s="105">
        <v>103320</v>
      </c>
      <c r="B5505" s="104" t="s">
        <v>13799</v>
      </c>
      <c r="C5505" s="104" t="s">
        <v>12</v>
      </c>
      <c r="D5505" s="129" t="s">
        <v>23723</v>
      </c>
    </row>
    <row r="5506" spans="1:4">
      <c r="A5506" s="105">
        <v>103321</v>
      </c>
      <c r="B5506" s="104" t="s">
        <v>13800</v>
      </c>
      <c r="C5506" s="104" t="s">
        <v>12</v>
      </c>
      <c r="D5506" s="129" t="s">
        <v>23724</v>
      </c>
    </row>
    <row r="5507" spans="1:4">
      <c r="A5507" s="105">
        <v>103336</v>
      </c>
      <c r="B5507" s="104" t="s">
        <v>13801</v>
      </c>
      <c r="C5507" s="104" t="s">
        <v>12</v>
      </c>
      <c r="D5507" s="129" t="s">
        <v>23725</v>
      </c>
    </row>
    <row r="5508" spans="1:4">
      <c r="A5508" s="105">
        <v>103337</v>
      </c>
      <c r="B5508" s="104" t="s">
        <v>13802</v>
      </c>
      <c r="C5508" s="104" t="s">
        <v>12</v>
      </c>
      <c r="D5508" s="129" t="s">
        <v>19514</v>
      </c>
    </row>
    <row r="5509" spans="1:4">
      <c r="A5509" s="105">
        <v>103338</v>
      </c>
      <c r="B5509" s="104" t="s">
        <v>13803</v>
      </c>
      <c r="C5509" s="104" t="s">
        <v>12</v>
      </c>
      <c r="D5509" s="129" t="s">
        <v>23726</v>
      </c>
    </row>
    <row r="5510" spans="1:4">
      <c r="A5510" s="105">
        <v>103339</v>
      </c>
      <c r="B5510" s="104" t="s">
        <v>13804</v>
      </c>
      <c r="C5510" s="104" t="s">
        <v>12</v>
      </c>
      <c r="D5510" s="129" t="s">
        <v>23727</v>
      </c>
    </row>
    <row r="5511" spans="1:4">
      <c r="A5511" s="105">
        <v>103340</v>
      </c>
      <c r="B5511" s="104" t="s">
        <v>13805</v>
      </c>
      <c r="C5511" s="104" t="s">
        <v>12</v>
      </c>
      <c r="D5511" s="129" t="s">
        <v>23728</v>
      </c>
    </row>
    <row r="5512" spans="1:4">
      <c r="A5512" s="105">
        <v>103341</v>
      </c>
      <c r="B5512" s="104" t="s">
        <v>13806</v>
      </c>
      <c r="C5512" s="104" t="s">
        <v>12</v>
      </c>
      <c r="D5512" s="129" t="s">
        <v>23729</v>
      </c>
    </row>
    <row r="5513" spans="1:4">
      <c r="A5513" s="105">
        <v>103342</v>
      </c>
      <c r="B5513" s="104" t="s">
        <v>13807</v>
      </c>
      <c r="C5513" s="104" t="s">
        <v>12</v>
      </c>
      <c r="D5513" s="129" t="s">
        <v>18720</v>
      </c>
    </row>
    <row r="5514" spans="1:4">
      <c r="A5514" s="105">
        <v>103343</v>
      </c>
      <c r="B5514" s="104" t="s">
        <v>13808</v>
      </c>
      <c r="C5514" s="104" t="s">
        <v>12</v>
      </c>
      <c r="D5514" s="129" t="s">
        <v>23730</v>
      </c>
    </row>
    <row r="5515" spans="1:4">
      <c r="A5515" s="105">
        <v>89453</v>
      </c>
      <c r="B5515" s="104" t="s">
        <v>5455</v>
      </c>
      <c r="C5515" s="104" t="s">
        <v>12</v>
      </c>
      <c r="D5515" s="129" t="s">
        <v>23731</v>
      </c>
    </row>
    <row r="5516" spans="1:4">
      <c r="A5516" s="105">
        <v>89454</v>
      </c>
      <c r="B5516" s="104" t="s">
        <v>5456</v>
      </c>
      <c r="C5516" s="104" t="s">
        <v>12</v>
      </c>
      <c r="D5516" s="129" t="s">
        <v>22888</v>
      </c>
    </row>
    <row r="5517" spans="1:4">
      <c r="A5517" s="105">
        <v>89455</v>
      </c>
      <c r="B5517" s="104" t="s">
        <v>5457</v>
      </c>
      <c r="C5517" s="104" t="s">
        <v>12</v>
      </c>
      <c r="D5517" s="129" t="s">
        <v>19352</v>
      </c>
    </row>
    <row r="5518" spans="1:4">
      <c r="A5518" s="105">
        <v>89456</v>
      </c>
      <c r="B5518" s="104" t="s">
        <v>5458</v>
      </c>
      <c r="C5518" s="104" t="s">
        <v>12</v>
      </c>
      <c r="D5518" s="129" t="s">
        <v>23732</v>
      </c>
    </row>
    <row r="5519" spans="1:4">
      <c r="A5519" s="105">
        <v>89457</v>
      </c>
      <c r="B5519" s="104" t="s">
        <v>5459</v>
      </c>
      <c r="C5519" s="104" t="s">
        <v>12</v>
      </c>
      <c r="D5519" s="129" t="s">
        <v>23733</v>
      </c>
    </row>
    <row r="5520" spans="1:4">
      <c r="A5520" s="105">
        <v>89458</v>
      </c>
      <c r="B5520" s="104" t="s">
        <v>5460</v>
      </c>
      <c r="C5520" s="104" t="s">
        <v>12</v>
      </c>
      <c r="D5520" s="129" t="s">
        <v>16647</v>
      </c>
    </row>
    <row r="5521" spans="1:4">
      <c r="A5521" s="105">
        <v>89459</v>
      </c>
      <c r="B5521" s="104" t="s">
        <v>5461</v>
      </c>
      <c r="C5521" s="104" t="s">
        <v>12</v>
      </c>
      <c r="D5521" s="129" t="s">
        <v>23734</v>
      </c>
    </row>
    <row r="5522" spans="1:4">
      <c r="A5522" s="105">
        <v>89460</v>
      </c>
      <c r="B5522" s="104" t="s">
        <v>5462</v>
      </c>
      <c r="C5522" s="104" t="s">
        <v>12</v>
      </c>
      <c r="D5522" s="129" t="s">
        <v>21723</v>
      </c>
    </row>
    <row r="5523" spans="1:4">
      <c r="A5523" s="105">
        <v>89462</v>
      </c>
      <c r="B5523" s="104" t="s">
        <v>5463</v>
      </c>
      <c r="C5523" s="104" t="s">
        <v>12</v>
      </c>
      <c r="D5523" s="129" t="s">
        <v>23735</v>
      </c>
    </row>
    <row r="5524" spans="1:4">
      <c r="A5524" s="105">
        <v>89463</v>
      </c>
      <c r="B5524" s="104" t="s">
        <v>5464</v>
      </c>
      <c r="C5524" s="104" t="s">
        <v>12</v>
      </c>
      <c r="D5524" s="129" t="s">
        <v>23736</v>
      </c>
    </row>
    <row r="5525" spans="1:4">
      <c r="A5525" s="105">
        <v>89464</v>
      </c>
      <c r="B5525" s="104" t="s">
        <v>5465</v>
      </c>
      <c r="C5525" s="104" t="s">
        <v>12</v>
      </c>
      <c r="D5525" s="129" t="s">
        <v>23737</v>
      </c>
    </row>
    <row r="5526" spans="1:4">
      <c r="A5526" s="105">
        <v>89465</v>
      </c>
      <c r="B5526" s="104" t="s">
        <v>5466</v>
      </c>
      <c r="C5526" s="104" t="s">
        <v>12</v>
      </c>
      <c r="D5526" s="129" t="s">
        <v>23738</v>
      </c>
    </row>
    <row r="5527" spans="1:4">
      <c r="A5527" s="105">
        <v>89466</v>
      </c>
      <c r="B5527" s="104" t="s">
        <v>5467</v>
      </c>
      <c r="C5527" s="104" t="s">
        <v>12</v>
      </c>
      <c r="D5527" s="129" t="s">
        <v>23739</v>
      </c>
    </row>
    <row r="5528" spans="1:4">
      <c r="A5528" s="105">
        <v>89467</v>
      </c>
      <c r="B5528" s="104" t="s">
        <v>5468</v>
      </c>
      <c r="C5528" s="104" t="s">
        <v>12</v>
      </c>
      <c r="D5528" s="129" t="s">
        <v>23740</v>
      </c>
    </row>
    <row r="5529" spans="1:4">
      <c r="A5529" s="105">
        <v>89468</v>
      </c>
      <c r="B5529" s="104" t="s">
        <v>5469</v>
      </c>
      <c r="C5529" s="104" t="s">
        <v>12</v>
      </c>
      <c r="D5529" s="129" t="s">
        <v>19401</v>
      </c>
    </row>
    <row r="5530" spans="1:4">
      <c r="A5530" s="105">
        <v>89469</v>
      </c>
      <c r="B5530" s="104" t="s">
        <v>5470</v>
      </c>
      <c r="C5530" s="104" t="s">
        <v>12</v>
      </c>
      <c r="D5530" s="129" t="s">
        <v>23741</v>
      </c>
    </row>
    <row r="5531" spans="1:4">
      <c r="A5531" s="105">
        <v>89470</v>
      </c>
      <c r="B5531" s="104" t="s">
        <v>5471</v>
      </c>
      <c r="C5531" s="104" t="s">
        <v>12</v>
      </c>
      <c r="D5531" s="129" t="s">
        <v>19354</v>
      </c>
    </row>
    <row r="5532" spans="1:4">
      <c r="A5532" s="105">
        <v>89471</v>
      </c>
      <c r="B5532" s="104" t="s">
        <v>5472</v>
      </c>
      <c r="C5532" s="104" t="s">
        <v>12</v>
      </c>
      <c r="D5532" s="129" t="s">
        <v>22579</v>
      </c>
    </row>
    <row r="5533" spans="1:4">
      <c r="A5533" s="105">
        <v>89472</v>
      </c>
      <c r="B5533" s="104" t="s">
        <v>5473</v>
      </c>
      <c r="C5533" s="104" t="s">
        <v>12</v>
      </c>
      <c r="D5533" s="129" t="s">
        <v>23742</v>
      </c>
    </row>
    <row r="5534" spans="1:4">
      <c r="A5534" s="105">
        <v>89473</v>
      </c>
      <c r="B5534" s="104" t="s">
        <v>5474</v>
      </c>
      <c r="C5534" s="104" t="s">
        <v>12</v>
      </c>
      <c r="D5534" s="129" t="s">
        <v>19657</v>
      </c>
    </row>
    <row r="5535" spans="1:4">
      <c r="A5535" s="105">
        <v>89474</v>
      </c>
      <c r="B5535" s="104" t="s">
        <v>5475</v>
      </c>
      <c r="C5535" s="104" t="s">
        <v>12</v>
      </c>
      <c r="D5535" s="129" t="s">
        <v>23743</v>
      </c>
    </row>
    <row r="5536" spans="1:4">
      <c r="A5536" s="105">
        <v>89475</v>
      </c>
      <c r="B5536" s="104" t="s">
        <v>5476</v>
      </c>
      <c r="C5536" s="104" t="s">
        <v>12</v>
      </c>
      <c r="D5536" s="129" t="s">
        <v>23744</v>
      </c>
    </row>
    <row r="5537" spans="1:4">
      <c r="A5537" s="105">
        <v>89476</v>
      </c>
      <c r="B5537" s="104" t="s">
        <v>5477</v>
      </c>
      <c r="C5537" s="104" t="s">
        <v>12</v>
      </c>
      <c r="D5537" s="129" t="s">
        <v>23745</v>
      </c>
    </row>
    <row r="5538" spans="1:4">
      <c r="A5538" s="105">
        <v>89477</v>
      </c>
      <c r="B5538" s="104" t="s">
        <v>5478</v>
      </c>
      <c r="C5538" s="104" t="s">
        <v>12</v>
      </c>
      <c r="D5538" s="129" t="s">
        <v>23746</v>
      </c>
    </row>
    <row r="5539" spans="1:4">
      <c r="A5539" s="105">
        <v>89478</v>
      </c>
      <c r="B5539" s="104" t="s">
        <v>5479</v>
      </c>
      <c r="C5539" s="104" t="s">
        <v>12</v>
      </c>
      <c r="D5539" s="129" t="s">
        <v>23747</v>
      </c>
    </row>
    <row r="5540" spans="1:4">
      <c r="A5540" s="105">
        <v>89479</v>
      </c>
      <c r="B5540" s="104" t="s">
        <v>5480</v>
      </c>
      <c r="C5540" s="104" t="s">
        <v>12</v>
      </c>
      <c r="D5540" s="129" t="s">
        <v>23748</v>
      </c>
    </row>
    <row r="5541" spans="1:4">
      <c r="A5541" s="105">
        <v>89480</v>
      </c>
      <c r="B5541" s="104" t="s">
        <v>5481</v>
      </c>
      <c r="C5541" s="104" t="s">
        <v>12</v>
      </c>
      <c r="D5541" s="129" t="s">
        <v>23749</v>
      </c>
    </row>
    <row r="5542" spans="1:4">
      <c r="A5542" s="105">
        <v>89483</v>
      </c>
      <c r="B5542" s="104" t="s">
        <v>5482</v>
      </c>
      <c r="C5542" s="104" t="s">
        <v>12</v>
      </c>
      <c r="D5542" s="129" t="s">
        <v>23750</v>
      </c>
    </row>
    <row r="5543" spans="1:4">
      <c r="A5543" s="105">
        <v>89484</v>
      </c>
      <c r="B5543" s="104" t="s">
        <v>5483</v>
      </c>
      <c r="C5543" s="104" t="s">
        <v>12</v>
      </c>
      <c r="D5543" s="129" t="s">
        <v>23751</v>
      </c>
    </row>
    <row r="5544" spans="1:4">
      <c r="A5544" s="105">
        <v>89486</v>
      </c>
      <c r="B5544" s="104" t="s">
        <v>5484</v>
      </c>
      <c r="C5544" s="104" t="s">
        <v>12</v>
      </c>
      <c r="D5544" s="129" t="s">
        <v>15301</v>
      </c>
    </row>
    <row r="5545" spans="1:4">
      <c r="A5545" s="105">
        <v>89487</v>
      </c>
      <c r="B5545" s="104" t="s">
        <v>5485</v>
      </c>
      <c r="C5545" s="104" t="s">
        <v>12</v>
      </c>
      <c r="D5545" s="129" t="s">
        <v>23752</v>
      </c>
    </row>
    <row r="5546" spans="1:4">
      <c r="A5546" s="105">
        <v>89488</v>
      </c>
      <c r="B5546" s="104" t="s">
        <v>5486</v>
      </c>
      <c r="C5546" s="104" t="s">
        <v>12</v>
      </c>
      <c r="D5546" s="129" t="s">
        <v>23539</v>
      </c>
    </row>
    <row r="5547" spans="1:4">
      <c r="A5547" s="105">
        <v>91815</v>
      </c>
      <c r="B5547" s="104" t="s">
        <v>5487</v>
      </c>
      <c r="C5547" s="104" t="s">
        <v>12</v>
      </c>
      <c r="D5547" s="129" t="s">
        <v>23753</v>
      </c>
    </row>
    <row r="5548" spans="1:4">
      <c r="A5548" s="105">
        <v>91816</v>
      </c>
      <c r="B5548" s="104" t="s">
        <v>5488</v>
      </c>
      <c r="C5548" s="104" t="s">
        <v>12</v>
      </c>
      <c r="D5548" s="129" t="s">
        <v>23754</v>
      </c>
    </row>
    <row r="5549" spans="1:4">
      <c r="A5549" s="105">
        <v>101161</v>
      </c>
      <c r="B5549" s="104" t="s">
        <v>5489</v>
      </c>
      <c r="C5549" s="104" t="s">
        <v>12</v>
      </c>
      <c r="D5549" s="129" t="s">
        <v>23755</v>
      </c>
    </row>
    <row r="5550" spans="1:4">
      <c r="A5550" s="105">
        <v>101163</v>
      </c>
      <c r="B5550" s="104" t="s">
        <v>5490</v>
      </c>
      <c r="C5550" s="104" t="s">
        <v>12</v>
      </c>
      <c r="D5550" s="129" t="s">
        <v>23756</v>
      </c>
    </row>
    <row r="5551" spans="1:4">
      <c r="A5551" s="105">
        <v>101164</v>
      </c>
      <c r="B5551" s="104" t="s">
        <v>5491</v>
      </c>
      <c r="C5551" s="104" t="s">
        <v>12</v>
      </c>
      <c r="D5551" s="129" t="s">
        <v>23757</v>
      </c>
    </row>
    <row r="5552" spans="1:4">
      <c r="A5552" s="105">
        <v>96358</v>
      </c>
      <c r="B5552" s="104" t="s">
        <v>5492</v>
      </c>
      <c r="C5552" s="104" t="s">
        <v>12</v>
      </c>
      <c r="D5552" s="129" t="s">
        <v>23758</v>
      </c>
    </row>
    <row r="5553" spans="1:4">
      <c r="A5553" s="105">
        <v>96359</v>
      </c>
      <c r="B5553" s="104" t="s">
        <v>5493</v>
      </c>
      <c r="C5553" s="104" t="s">
        <v>12</v>
      </c>
      <c r="D5553" s="129" t="s">
        <v>23759</v>
      </c>
    </row>
    <row r="5554" spans="1:4">
      <c r="A5554" s="105">
        <v>96360</v>
      </c>
      <c r="B5554" s="104" t="s">
        <v>5494</v>
      </c>
      <c r="C5554" s="104" t="s">
        <v>12</v>
      </c>
      <c r="D5554" s="129" t="s">
        <v>23760</v>
      </c>
    </row>
    <row r="5555" spans="1:4">
      <c r="A5555" s="105">
        <v>96361</v>
      </c>
      <c r="B5555" s="104" t="s">
        <v>5495</v>
      </c>
      <c r="C5555" s="104" t="s">
        <v>12</v>
      </c>
      <c r="D5555" s="129" t="s">
        <v>23761</v>
      </c>
    </row>
    <row r="5556" spans="1:4">
      <c r="A5556" s="105">
        <v>96362</v>
      </c>
      <c r="B5556" s="104" t="s">
        <v>5496</v>
      </c>
      <c r="C5556" s="104" t="s">
        <v>12</v>
      </c>
      <c r="D5556" s="129" t="s">
        <v>23762</v>
      </c>
    </row>
    <row r="5557" spans="1:4">
      <c r="A5557" s="105">
        <v>96363</v>
      </c>
      <c r="B5557" s="104" t="s">
        <v>5497</v>
      </c>
      <c r="C5557" s="104" t="s">
        <v>12</v>
      </c>
      <c r="D5557" s="129" t="s">
        <v>14929</v>
      </c>
    </row>
    <row r="5558" spans="1:4">
      <c r="A5558" s="105">
        <v>96364</v>
      </c>
      <c r="B5558" s="104" t="s">
        <v>5498</v>
      </c>
      <c r="C5558" s="104" t="s">
        <v>12</v>
      </c>
      <c r="D5558" s="129" t="s">
        <v>23763</v>
      </c>
    </row>
    <row r="5559" spans="1:4">
      <c r="A5559" s="105">
        <v>96365</v>
      </c>
      <c r="B5559" s="104" t="s">
        <v>5499</v>
      </c>
      <c r="C5559" s="104" t="s">
        <v>12</v>
      </c>
      <c r="D5559" s="129" t="s">
        <v>23764</v>
      </c>
    </row>
    <row r="5560" spans="1:4">
      <c r="A5560" s="105">
        <v>96366</v>
      </c>
      <c r="B5560" s="104" t="s">
        <v>5500</v>
      </c>
      <c r="C5560" s="104" t="s">
        <v>12</v>
      </c>
      <c r="D5560" s="129" t="s">
        <v>23162</v>
      </c>
    </row>
    <row r="5561" spans="1:4">
      <c r="A5561" s="105">
        <v>96367</v>
      </c>
      <c r="B5561" s="104" t="s">
        <v>5501</v>
      </c>
      <c r="C5561" s="104" t="s">
        <v>12</v>
      </c>
      <c r="D5561" s="129" t="s">
        <v>23765</v>
      </c>
    </row>
    <row r="5562" spans="1:4">
      <c r="A5562" s="105">
        <v>96368</v>
      </c>
      <c r="B5562" s="104" t="s">
        <v>5502</v>
      </c>
      <c r="C5562" s="104" t="s">
        <v>12</v>
      </c>
      <c r="D5562" s="129" t="s">
        <v>23766</v>
      </c>
    </row>
    <row r="5563" spans="1:4">
      <c r="A5563" s="105">
        <v>96369</v>
      </c>
      <c r="B5563" s="104" t="s">
        <v>5503</v>
      </c>
      <c r="C5563" s="104" t="s">
        <v>12</v>
      </c>
      <c r="D5563" s="129" t="s">
        <v>23767</v>
      </c>
    </row>
    <row r="5564" spans="1:4">
      <c r="A5564" s="105">
        <v>96370</v>
      </c>
      <c r="B5564" s="104" t="s">
        <v>5504</v>
      </c>
      <c r="C5564" s="104" t="s">
        <v>12</v>
      </c>
      <c r="D5564" s="129" t="s">
        <v>23768</v>
      </c>
    </row>
    <row r="5565" spans="1:4">
      <c r="A5565" s="105">
        <v>96371</v>
      </c>
      <c r="B5565" s="104" t="s">
        <v>5505</v>
      </c>
      <c r="C5565" s="104" t="s">
        <v>12</v>
      </c>
      <c r="D5565" s="129" t="s">
        <v>23769</v>
      </c>
    </row>
    <row r="5566" spans="1:4">
      <c r="A5566" s="105">
        <v>96373</v>
      </c>
      <c r="B5566" s="104" t="s">
        <v>5506</v>
      </c>
      <c r="C5566" s="104" t="s">
        <v>40</v>
      </c>
      <c r="D5566" s="129" t="s">
        <v>20085</v>
      </c>
    </row>
    <row r="5567" spans="1:4">
      <c r="A5567" s="105">
        <v>96374</v>
      </c>
      <c r="B5567" s="104" t="s">
        <v>5507</v>
      </c>
      <c r="C5567" s="104" t="s">
        <v>40</v>
      </c>
      <c r="D5567" s="129" t="s">
        <v>18167</v>
      </c>
    </row>
    <row r="5568" spans="1:4">
      <c r="A5568" s="105">
        <v>102235</v>
      </c>
      <c r="B5568" s="104" t="s">
        <v>5508</v>
      </c>
      <c r="C5568" s="104" t="s">
        <v>12</v>
      </c>
      <c r="D5568" s="129" t="s">
        <v>23770</v>
      </c>
    </row>
    <row r="5569" spans="1:4">
      <c r="A5569" s="105">
        <v>102253</v>
      </c>
      <c r="B5569" s="104" t="s">
        <v>5509</v>
      </c>
      <c r="C5569" s="104" t="s">
        <v>12</v>
      </c>
      <c r="D5569" s="129" t="s">
        <v>23771</v>
      </c>
    </row>
    <row r="5570" spans="1:4">
      <c r="A5570" s="105">
        <v>102254</v>
      </c>
      <c r="B5570" s="104" t="s">
        <v>235</v>
      </c>
      <c r="C5570" s="104" t="s">
        <v>12</v>
      </c>
      <c r="D5570" s="129" t="s">
        <v>23772</v>
      </c>
    </row>
    <row r="5571" spans="1:4">
      <c r="A5571" s="105">
        <v>102255</v>
      </c>
      <c r="B5571" s="104" t="s">
        <v>166</v>
      </c>
      <c r="C5571" s="104" t="s">
        <v>12</v>
      </c>
      <c r="D5571" s="129" t="s">
        <v>23773</v>
      </c>
    </row>
    <row r="5572" spans="1:4">
      <c r="A5572" s="105">
        <v>102256</v>
      </c>
      <c r="B5572" s="104" t="s">
        <v>5510</v>
      </c>
      <c r="C5572" s="104" t="s">
        <v>12</v>
      </c>
      <c r="D5572" s="129" t="s">
        <v>23774</v>
      </c>
    </row>
    <row r="5573" spans="1:4">
      <c r="A5573" s="105">
        <v>102257</v>
      </c>
      <c r="B5573" s="104" t="s">
        <v>5511</v>
      </c>
      <c r="C5573" s="104" t="s">
        <v>12</v>
      </c>
      <c r="D5573" s="129" t="s">
        <v>23775</v>
      </c>
    </row>
    <row r="5574" spans="1:4">
      <c r="A5574" s="105">
        <v>102258</v>
      </c>
      <c r="B5574" s="104" t="s">
        <v>5512</v>
      </c>
      <c r="C5574" s="104" t="s">
        <v>12</v>
      </c>
      <c r="D5574" s="129" t="s">
        <v>23776</v>
      </c>
    </row>
    <row r="5575" spans="1:4">
      <c r="A5575" s="105">
        <v>101154</v>
      </c>
      <c r="B5575" s="104" t="s">
        <v>5513</v>
      </c>
      <c r="C5575" s="104" t="s">
        <v>12</v>
      </c>
      <c r="D5575" s="129" t="s">
        <v>23777</v>
      </c>
    </row>
    <row r="5576" spans="1:4">
      <c r="A5576" s="105">
        <v>101155</v>
      </c>
      <c r="B5576" s="104" t="s">
        <v>5514</v>
      </c>
      <c r="C5576" s="104" t="s">
        <v>12</v>
      </c>
      <c r="D5576" s="129" t="s">
        <v>23778</v>
      </c>
    </row>
    <row r="5577" spans="1:4">
      <c r="A5577" s="105">
        <v>101156</v>
      </c>
      <c r="B5577" s="104" t="s">
        <v>5515</v>
      </c>
      <c r="C5577" s="104" t="s">
        <v>12</v>
      </c>
      <c r="D5577" s="129" t="s">
        <v>23779</v>
      </c>
    </row>
    <row r="5578" spans="1:4">
      <c r="A5578" s="105">
        <v>101810</v>
      </c>
      <c r="B5578" s="104" t="s">
        <v>5516</v>
      </c>
      <c r="C5578" s="104" t="s">
        <v>28</v>
      </c>
      <c r="D5578" s="129" t="s">
        <v>23780</v>
      </c>
    </row>
    <row r="5579" spans="1:4">
      <c r="A5579" s="105">
        <v>101811</v>
      </c>
      <c r="B5579" s="104" t="s">
        <v>5517</v>
      </c>
      <c r="C5579" s="104" t="s">
        <v>28</v>
      </c>
      <c r="D5579" s="129" t="s">
        <v>23781</v>
      </c>
    </row>
    <row r="5580" spans="1:4">
      <c r="A5580" s="105">
        <v>101812</v>
      </c>
      <c r="B5580" s="104" t="s">
        <v>5518</v>
      </c>
      <c r="C5580" s="104" t="s">
        <v>28</v>
      </c>
      <c r="D5580" s="129" t="s">
        <v>23782</v>
      </c>
    </row>
    <row r="5581" spans="1:4">
      <c r="A5581" s="105">
        <v>101813</v>
      </c>
      <c r="B5581" s="104" t="s">
        <v>5519</v>
      </c>
      <c r="C5581" s="104" t="s">
        <v>28</v>
      </c>
      <c r="D5581" s="129" t="s">
        <v>23783</v>
      </c>
    </row>
    <row r="5582" spans="1:4">
      <c r="A5582" s="105">
        <v>101814</v>
      </c>
      <c r="B5582" s="104" t="s">
        <v>5520</v>
      </c>
      <c r="C5582" s="104" t="s">
        <v>12</v>
      </c>
      <c r="D5582" s="129" t="s">
        <v>23784</v>
      </c>
    </row>
    <row r="5583" spans="1:4">
      <c r="A5583" s="105">
        <v>101815</v>
      </c>
      <c r="B5583" s="104" t="s">
        <v>5521</v>
      </c>
      <c r="C5583" s="104" t="s">
        <v>12</v>
      </c>
      <c r="D5583" s="129" t="s">
        <v>23785</v>
      </c>
    </row>
    <row r="5584" spans="1:4">
      <c r="A5584" s="105">
        <v>101816</v>
      </c>
      <c r="B5584" s="104" t="s">
        <v>5522</v>
      </c>
      <c r="C5584" s="104" t="s">
        <v>12</v>
      </c>
      <c r="D5584" s="129" t="s">
        <v>17099</v>
      </c>
    </row>
    <row r="5585" spans="1:4">
      <c r="A5585" s="105">
        <v>101817</v>
      </c>
      <c r="B5585" s="104" t="s">
        <v>5523</v>
      </c>
      <c r="C5585" s="104" t="s">
        <v>12</v>
      </c>
      <c r="D5585" s="129" t="s">
        <v>23786</v>
      </c>
    </row>
    <row r="5586" spans="1:4">
      <c r="A5586" s="105">
        <v>101818</v>
      </c>
      <c r="B5586" s="104" t="s">
        <v>5524</v>
      </c>
      <c r="C5586" s="104" t="s">
        <v>12</v>
      </c>
      <c r="D5586" s="129" t="s">
        <v>23787</v>
      </c>
    </row>
    <row r="5587" spans="1:4">
      <c r="A5587" s="105">
        <v>101819</v>
      </c>
      <c r="B5587" s="104" t="s">
        <v>5525</v>
      </c>
      <c r="C5587" s="104" t="s">
        <v>12</v>
      </c>
      <c r="D5587" s="129" t="s">
        <v>23788</v>
      </c>
    </row>
    <row r="5588" spans="1:4">
      <c r="A5588" s="105">
        <v>101820</v>
      </c>
      <c r="B5588" s="104" t="s">
        <v>5526</v>
      </c>
      <c r="C5588" s="104" t="s">
        <v>12</v>
      </c>
      <c r="D5588" s="129" t="s">
        <v>21037</v>
      </c>
    </row>
    <row r="5589" spans="1:4">
      <c r="A5589" s="105">
        <v>101822</v>
      </c>
      <c r="B5589" s="104" t="s">
        <v>5527</v>
      </c>
      <c r="C5589" s="104" t="s">
        <v>28</v>
      </c>
      <c r="D5589" s="129" t="s">
        <v>23789</v>
      </c>
    </row>
    <row r="5590" spans="1:4">
      <c r="A5590" s="105">
        <v>101823</v>
      </c>
      <c r="B5590" s="104" t="s">
        <v>5528</v>
      </c>
      <c r="C5590" s="104" t="s">
        <v>28</v>
      </c>
      <c r="D5590" s="129" t="s">
        <v>23790</v>
      </c>
    </row>
    <row r="5591" spans="1:4">
      <c r="A5591" s="105">
        <v>101824</v>
      </c>
      <c r="B5591" s="104" t="s">
        <v>5529</v>
      </c>
      <c r="C5591" s="104" t="s">
        <v>28</v>
      </c>
      <c r="D5591" s="129" t="s">
        <v>23791</v>
      </c>
    </row>
    <row r="5592" spans="1:4">
      <c r="A5592" s="105">
        <v>101825</v>
      </c>
      <c r="B5592" s="104" t="s">
        <v>5530</v>
      </c>
      <c r="C5592" s="104" t="s">
        <v>28</v>
      </c>
      <c r="D5592" s="129" t="s">
        <v>23792</v>
      </c>
    </row>
    <row r="5593" spans="1:4">
      <c r="A5593" s="105">
        <v>101826</v>
      </c>
      <c r="B5593" s="104" t="s">
        <v>5531</v>
      </c>
      <c r="C5593" s="104" t="s">
        <v>28</v>
      </c>
      <c r="D5593" s="129" t="s">
        <v>23793</v>
      </c>
    </row>
    <row r="5594" spans="1:4">
      <c r="A5594" s="105">
        <v>101827</v>
      </c>
      <c r="B5594" s="104" t="s">
        <v>5532</v>
      </c>
      <c r="C5594" s="104" t="s">
        <v>28</v>
      </c>
      <c r="D5594" s="129" t="s">
        <v>23794</v>
      </c>
    </row>
    <row r="5595" spans="1:4">
      <c r="A5595" s="105">
        <v>101828</v>
      </c>
      <c r="B5595" s="104" t="s">
        <v>5533</v>
      </c>
      <c r="C5595" s="104" t="s">
        <v>28</v>
      </c>
      <c r="D5595" s="129" t="s">
        <v>23795</v>
      </c>
    </row>
    <row r="5596" spans="1:4">
      <c r="A5596" s="105">
        <v>101829</v>
      </c>
      <c r="B5596" s="104" t="s">
        <v>13809</v>
      </c>
      <c r="C5596" s="104" t="s">
        <v>28</v>
      </c>
      <c r="D5596" s="129" t="s">
        <v>23796</v>
      </c>
    </row>
    <row r="5597" spans="1:4">
      <c r="A5597" s="105">
        <v>101830</v>
      </c>
      <c r="B5597" s="104" t="s">
        <v>13810</v>
      </c>
      <c r="C5597" s="104" t="s">
        <v>28</v>
      </c>
      <c r="D5597" s="129" t="s">
        <v>23797</v>
      </c>
    </row>
    <row r="5598" spans="1:4">
      <c r="A5598" s="105">
        <v>101831</v>
      </c>
      <c r="B5598" s="104" t="s">
        <v>13811</v>
      </c>
      <c r="C5598" s="104" t="s">
        <v>28</v>
      </c>
      <c r="D5598" s="129" t="s">
        <v>23798</v>
      </c>
    </row>
    <row r="5599" spans="1:4">
      <c r="A5599" s="105">
        <v>101832</v>
      </c>
      <c r="B5599" s="104" t="s">
        <v>5534</v>
      </c>
      <c r="C5599" s="104" t="s">
        <v>28</v>
      </c>
      <c r="D5599" s="129" t="s">
        <v>23799</v>
      </c>
    </row>
    <row r="5600" spans="1:4">
      <c r="A5600" s="105">
        <v>101833</v>
      </c>
      <c r="B5600" s="104" t="s">
        <v>5535</v>
      </c>
      <c r="C5600" s="104" t="s">
        <v>28</v>
      </c>
      <c r="D5600" s="129" t="s">
        <v>23800</v>
      </c>
    </row>
    <row r="5601" spans="1:4">
      <c r="A5601" s="105">
        <v>101834</v>
      </c>
      <c r="B5601" s="104" t="s">
        <v>5536</v>
      </c>
      <c r="C5601" s="104" t="s">
        <v>28</v>
      </c>
      <c r="D5601" s="129" t="s">
        <v>23801</v>
      </c>
    </row>
    <row r="5602" spans="1:4">
      <c r="A5602" s="105">
        <v>101835</v>
      </c>
      <c r="B5602" s="104" t="s">
        <v>5537</v>
      </c>
      <c r="C5602" s="104" t="s">
        <v>28</v>
      </c>
      <c r="D5602" s="129" t="s">
        <v>23802</v>
      </c>
    </row>
    <row r="5603" spans="1:4">
      <c r="A5603" s="105">
        <v>101836</v>
      </c>
      <c r="B5603" s="104" t="s">
        <v>5538</v>
      </c>
      <c r="C5603" s="104" t="s">
        <v>28</v>
      </c>
      <c r="D5603" s="129" t="s">
        <v>23803</v>
      </c>
    </row>
    <row r="5604" spans="1:4">
      <c r="A5604" s="105">
        <v>101837</v>
      </c>
      <c r="B5604" s="104" t="s">
        <v>5539</v>
      </c>
      <c r="C5604" s="104" t="s">
        <v>28</v>
      </c>
      <c r="D5604" s="129" t="s">
        <v>18463</v>
      </c>
    </row>
    <row r="5605" spans="1:4">
      <c r="A5605" s="105">
        <v>101838</v>
      </c>
      <c r="B5605" s="104" t="s">
        <v>5540</v>
      </c>
      <c r="C5605" s="104" t="s">
        <v>28</v>
      </c>
      <c r="D5605" s="129" t="s">
        <v>23804</v>
      </c>
    </row>
    <row r="5606" spans="1:4">
      <c r="A5606" s="105">
        <v>101839</v>
      </c>
      <c r="B5606" s="104" t="s">
        <v>5541</v>
      </c>
      <c r="C5606" s="104" t="s">
        <v>28</v>
      </c>
      <c r="D5606" s="129" t="s">
        <v>23805</v>
      </c>
    </row>
    <row r="5607" spans="1:4">
      <c r="A5607" s="105">
        <v>101840</v>
      </c>
      <c r="B5607" s="104" t="s">
        <v>5542</v>
      </c>
      <c r="C5607" s="104" t="s">
        <v>28</v>
      </c>
      <c r="D5607" s="129" t="s">
        <v>21114</v>
      </c>
    </row>
    <row r="5608" spans="1:4">
      <c r="A5608" s="105">
        <v>101841</v>
      </c>
      <c r="B5608" s="104" t="s">
        <v>5543</v>
      </c>
      <c r="C5608" s="104" t="s">
        <v>28</v>
      </c>
      <c r="D5608" s="129" t="s">
        <v>23806</v>
      </c>
    </row>
    <row r="5609" spans="1:4">
      <c r="A5609" s="105">
        <v>101842</v>
      </c>
      <c r="B5609" s="104" t="s">
        <v>5544</v>
      </c>
      <c r="C5609" s="104" t="s">
        <v>28</v>
      </c>
      <c r="D5609" s="129" t="s">
        <v>23807</v>
      </c>
    </row>
    <row r="5610" spans="1:4">
      <c r="A5610" s="105">
        <v>101843</v>
      </c>
      <c r="B5610" s="104" t="s">
        <v>13812</v>
      </c>
      <c r="C5610" s="104" t="s">
        <v>28</v>
      </c>
      <c r="D5610" s="129" t="s">
        <v>23808</v>
      </c>
    </row>
    <row r="5611" spans="1:4">
      <c r="A5611" s="105">
        <v>101844</v>
      </c>
      <c r="B5611" s="104" t="s">
        <v>13813</v>
      </c>
      <c r="C5611" s="104" t="s">
        <v>28</v>
      </c>
      <c r="D5611" s="129" t="s">
        <v>23809</v>
      </c>
    </row>
    <row r="5612" spans="1:4">
      <c r="A5612" s="105">
        <v>101845</v>
      </c>
      <c r="B5612" s="104" t="s">
        <v>13814</v>
      </c>
      <c r="C5612" s="104" t="s">
        <v>28</v>
      </c>
      <c r="D5612" s="129" t="s">
        <v>23810</v>
      </c>
    </row>
    <row r="5613" spans="1:4">
      <c r="A5613" s="105">
        <v>101846</v>
      </c>
      <c r="B5613" s="104" t="s">
        <v>5545</v>
      </c>
      <c r="C5613" s="104" t="s">
        <v>28</v>
      </c>
      <c r="D5613" s="129" t="s">
        <v>23811</v>
      </c>
    </row>
    <row r="5614" spans="1:4">
      <c r="A5614" s="105">
        <v>101847</v>
      </c>
      <c r="B5614" s="104" t="s">
        <v>5546</v>
      </c>
      <c r="C5614" s="104" t="s">
        <v>28</v>
      </c>
      <c r="D5614" s="129" t="s">
        <v>17680</v>
      </c>
    </row>
    <row r="5615" spans="1:4">
      <c r="A5615" s="105">
        <v>101848</v>
      </c>
      <c r="B5615" s="104" t="s">
        <v>5547</v>
      </c>
      <c r="C5615" s="104" t="s">
        <v>28</v>
      </c>
      <c r="D5615" s="129" t="s">
        <v>23812</v>
      </c>
    </row>
    <row r="5616" spans="1:4">
      <c r="A5616" s="105">
        <v>101849</v>
      </c>
      <c r="B5616" s="104" t="s">
        <v>5548</v>
      </c>
      <c r="C5616" s="104" t="s">
        <v>28</v>
      </c>
      <c r="D5616" s="129" t="s">
        <v>23813</v>
      </c>
    </row>
    <row r="5617" spans="1:4">
      <c r="A5617" s="105">
        <v>101850</v>
      </c>
      <c r="B5617" s="104" t="s">
        <v>5549</v>
      </c>
      <c r="C5617" s="104" t="s">
        <v>12</v>
      </c>
      <c r="D5617" s="129" t="s">
        <v>23814</v>
      </c>
    </row>
    <row r="5618" spans="1:4">
      <c r="A5618" s="105">
        <v>101851</v>
      </c>
      <c r="B5618" s="104" t="s">
        <v>5550</v>
      </c>
      <c r="C5618" s="104" t="s">
        <v>12</v>
      </c>
      <c r="D5618" s="129" t="s">
        <v>23815</v>
      </c>
    </row>
    <row r="5619" spans="1:4">
      <c r="A5619" s="105">
        <v>101852</v>
      </c>
      <c r="B5619" s="104" t="s">
        <v>5551</v>
      </c>
      <c r="C5619" s="104" t="s">
        <v>12</v>
      </c>
      <c r="D5619" s="129" t="s">
        <v>19058</v>
      </c>
    </row>
    <row r="5620" spans="1:4">
      <c r="A5620" s="105">
        <v>101853</v>
      </c>
      <c r="B5620" s="104" t="s">
        <v>5552</v>
      </c>
      <c r="C5620" s="104" t="s">
        <v>12</v>
      </c>
      <c r="D5620" s="129" t="s">
        <v>22214</v>
      </c>
    </row>
    <row r="5621" spans="1:4">
      <c r="A5621" s="105">
        <v>101854</v>
      </c>
      <c r="B5621" s="104" t="s">
        <v>5553</v>
      </c>
      <c r="C5621" s="104" t="s">
        <v>12</v>
      </c>
      <c r="D5621" s="129" t="s">
        <v>23816</v>
      </c>
    </row>
    <row r="5622" spans="1:4">
      <c r="A5622" s="105">
        <v>101855</v>
      </c>
      <c r="B5622" s="104" t="s">
        <v>5554</v>
      </c>
      <c r="C5622" s="104" t="s">
        <v>12</v>
      </c>
      <c r="D5622" s="129" t="s">
        <v>23662</v>
      </c>
    </row>
    <row r="5623" spans="1:4">
      <c r="A5623" s="105">
        <v>101856</v>
      </c>
      <c r="B5623" s="104" t="s">
        <v>5555</v>
      </c>
      <c r="C5623" s="104" t="s">
        <v>12</v>
      </c>
      <c r="D5623" s="129" t="s">
        <v>19622</v>
      </c>
    </row>
    <row r="5624" spans="1:4">
      <c r="A5624" s="105">
        <v>101857</v>
      </c>
      <c r="B5624" s="104" t="s">
        <v>5556</v>
      </c>
      <c r="C5624" s="104" t="s">
        <v>12</v>
      </c>
      <c r="D5624" s="129" t="s">
        <v>23022</v>
      </c>
    </row>
    <row r="5625" spans="1:4">
      <c r="A5625" s="105">
        <v>101858</v>
      </c>
      <c r="B5625" s="104" t="s">
        <v>5557</v>
      </c>
      <c r="C5625" s="104" t="s">
        <v>12</v>
      </c>
      <c r="D5625" s="129" t="s">
        <v>23817</v>
      </c>
    </row>
    <row r="5626" spans="1:4">
      <c r="A5626" s="105">
        <v>101859</v>
      </c>
      <c r="B5626" s="104" t="s">
        <v>5558</v>
      </c>
      <c r="C5626" s="104" t="s">
        <v>12</v>
      </c>
      <c r="D5626" s="129" t="s">
        <v>18384</v>
      </c>
    </row>
    <row r="5627" spans="1:4">
      <c r="A5627" s="105">
        <v>101860</v>
      </c>
      <c r="B5627" s="104" t="s">
        <v>5559</v>
      </c>
      <c r="C5627" s="104" t="s">
        <v>12</v>
      </c>
      <c r="D5627" s="129" t="s">
        <v>23818</v>
      </c>
    </row>
    <row r="5628" spans="1:4">
      <c r="A5628" s="105">
        <v>101861</v>
      </c>
      <c r="B5628" s="104" t="s">
        <v>5560</v>
      </c>
      <c r="C5628" s="104" t="s">
        <v>12</v>
      </c>
      <c r="D5628" s="129" t="s">
        <v>18447</v>
      </c>
    </row>
    <row r="5629" spans="1:4">
      <c r="A5629" s="105">
        <v>101862</v>
      </c>
      <c r="B5629" s="104" t="s">
        <v>5561</v>
      </c>
      <c r="C5629" s="104" t="s">
        <v>12</v>
      </c>
      <c r="D5629" s="129" t="s">
        <v>23819</v>
      </c>
    </row>
    <row r="5630" spans="1:4">
      <c r="A5630" s="105">
        <v>101863</v>
      </c>
      <c r="B5630" s="104" t="s">
        <v>5562</v>
      </c>
      <c r="C5630" s="104" t="s">
        <v>12</v>
      </c>
      <c r="D5630" s="129" t="s">
        <v>18108</v>
      </c>
    </row>
    <row r="5631" spans="1:4">
      <c r="A5631" s="105">
        <v>101864</v>
      </c>
      <c r="B5631" s="104" t="s">
        <v>5563</v>
      </c>
      <c r="C5631" s="104" t="s">
        <v>12</v>
      </c>
      <c r="D5631" s="129" t="s">
        <v>22131</v>
      </c>
    </row>
    <row r="5632" spans="1:4">
      <c r="A5632" s="105">
        <v>101865</v>
      </c>
      <c r="B5632" s="104" t="s">
        <v>5564</v>
      </c>
      <c r="C5632" s="104" t="s">
        <v>12</v>
      </c>
      <c r="D5632" s="129" t="s">
        <v>23820</v>
      </c>
    </row>
    <row r="5633" spans="1:4">
      <c r="A5633" s="105">
        <v>101866</v>
      </c>
      <c r="B5633" s="104" t="s">
        <v>5565</v>
      </c>
      <c r="C5633" s="104" t="s">
        <v>12</v>
      </c>
      <c r="D5633" s="129" t="s">
        <v>17723</v>
      </c>
    </row>
    <row r="5634" spans="1:4">
      <c r="A5634" s="105">
        <v>101867</v>
      </c>
      <c r="B5634" s="104" t="s">
        <v>5566</v>
      </c>
      <c r="C5634" s="104" t="s">
        <v>12</v>
      </c>
      <c r="D5634" s="129" t="s">
        <v>16651</v>
      </c>
    </row>
    <row r="5635" spans="1:4">
      <c r="A5635" s="105">
        <v>101868</v>
      </c>
      <c r="B5635" s="104" t="s">
        <v>5567</v>
      </c>
      <c r="C5635" s="104" t="s">
        <v>12</v>
      </c>
      <c r="D5635" s="129" t="s">
        <v>23821</v>
      </c>
    </row>
    <row r="5636" spans="1:4">
      <c r="A5636" s="105">
        <v>101869</v>
      </c>
      <c r="B5636" s="104" t="s">
        <v>5568</v>
      </c>
      <c r="C5636" s="104" t="s">
        <v>12</v>
      </c>
      <c r="D5636" s="129" t="s">
        <v>22194</v>
      </c>
    </row>
    <row r="5637" spans="1:4">
      <c r="A5637" s="105">
        <v>101870</v>
      </c>
      <c r="B5637" s="104" t="s">
        <v>5569</v>
      </c>
      <c r="C5637" s="104" t="s">
        <v>12</v>
      </c>
      <c r="D5637" s="129" t="s">
        <v>17795</v>
      </c>
    </row>
    <row r="5638" spans="1:4">
      <c r="A5638" s="105">
        <v>102096</v>
      </c>
      <c r="B5638" s="104" t="s">
        <v>5570</v>
      </c>
      <c r="C5638" s="104" t="s">
        <v>28</v>
      </c>
      <c r="D5638" s="129" t="s">
        <v>23822</v>
      </c>
    </row>
    <row r="5639" spans="1:4">
      <c r="A5639" s="105">
        <v>102098</v>
      </c>
      <c r="B5639" s="104" t="s">
        <v>5571</v>
      </c>
      <c r="C5639" s="104" t="s">
        <v>28</v>
      </c>
      <c r="D5639" s="129" t="s">
        <v>23823</v>
      </c>
    </row>
    <row r="5640" spans="1:4">
      <c r="A5640" s="105">
        <v>102101</v>
      </c>
      <c r="B5640" s="104" t="s">
        <v>5572</v>
      </c>
      <c r="C5640" s="104" t="s">
        <v>12</v>
      </c>
      <c r="D5640" s="129" t="s">
        <v>23824</v>
      </c>
    </row>
    <row r="5641" spans="1:4">
      <c r="A5641" s="105">
        <v>102988</v>
      </c>
      <c r="B5641" s="104" t="s">
        <v>5573</v>
      </c>
      <c r="C5641" s="104" t="s">
        <v>12</v>
      </c>
      <c r="D5641" s="129" t="s">
        <v>22961</v>
      </c>
    </row>
    <row r="5642" spans="1:4">
      <c r="A5642" s="105">
        <v>100576</v>
      </c>
      <c r="B5642" s="104" t="s">
        <v>5574</v>
      </c>
      <c r="C5642" s="104" t="s">
        <v>12</v>
      </c>
      <c r="D5642" s="129" t="s">
        <v>14829</v>
      </c>
    </row>
    <row r="5643" spans="1:4">
      <c r="A5643" s="105">
        <v>100577</v>
      </c>
      <c r="B5643" s="104" t="s">
        <v>5575</v>
      </c>
      <c r="C5643" s="104" t="s">
        <v>12</v>
      </c>
      <c r="D5643" s="129" t="s">
        <v>15286</v>
      </c>
    </row>
    <row r="5644" spans="1:4">
      <c r="A5644" s="105">
        <v>96388</v>
      </c>
      <c r="B5644" s="104" t="s">
        <v>5576</v>
      </c>
      <c r="C5644" s="104" t="s">
        <v>28</v>
      </c>
      <c r="D5644" s="129" t="s">
        <v>15024</v>
      </c>
    </row>
    <row r="5645" spans="1:4">
      <c r="A5645" s="105">
        <v>96389</v>
      </c>
      <c r="B5645" s="104" t="s">
        <v>5577</v>
      </c>
      <c r="C5645" s="104" t="s">
        <v>28</v>
      </c>
      <c r="D5645" s="129" t="s">
        <v>19762</v>
      </c>
    </row>
    <row r="5646" spans="1:4">
      <c r="A5646" s="105">
        <v>96390</v>
      </c>
      <c r="B5646" s="104" t="s">
        <v>5578</v>
      </c>
      <c r="C5646" s="104" t="s">
        <v>28</v>
      </c>
      <c r="D5646" s="129" t="s">
        <v>17834</v>
      </c>
    </row>
    <row r="5647" spans="1:4">
      <c r="A5647" s="105">
        <v>96391</v>
      </c>
      <c r="B5647" s="104" t="s">
        <v>5579</v>
      </c>
      <c r="C5647" s="104" t="s">
        <v>28</v>
      </c>
      <c r="D5647" s="129" t="s">
        <v>23825</v>
      </c>
    </row>
    <row r="5648" spans="1:4">
      <c r="A5648" s="105">
        <v>96392</v>
      </c>
      <c r="B5648" s="104" t="s">
        <v>5580</v>
      </c>
      <c r="C5648" s="104" t="s">
        <v>28</v>
      </c>
      <c r="D5648" s="129" t="s">
        <v>23826</v>
      </c>
    </row>
    <row r="5649" spans="1:4">
      <c r="A5649" s="105">
        <v>96396</v>
      </c>
      <c r="B5649" s="104" t="s">
        <v>5581</v>
      </c>
      <c r="C5649" s="104" t="s">
        <v>28</v>
      </c>
      <c r="D5649" s="129" t="s">
        <v>23827</v>
      </c>
    </row>
    <row r="5650" spans="1:4">
      <c r="A5650" s="105">
        <v>96397</v>
      </c>
      <c r="B5650" s="104" t="s">
        <v>5582</v>
      </c>
      <c r="C5650" s="104" t="s">
        <v>28</v>
      </c>
      <c r="D5650" s="129" t="s">
        <v>19306</v>
      </c>
    </row>
    <row r="5651" spans="1:4">
      <c r="A5651" s="105">
        <v>96398</v>
      </c>
      <c r="B5651" s="104" t="s">
        <v>5583</v>
      </c>
      <c r="C5651" s="104" t="s">
        <v>28</v>
      </c>
      <c r="D5651" s="129" t="s">
        <v>23828</v>
      </c>
    </row>
    <row r="5652" spans="1:4">
      <c r="A5652" s="105">
        <v>96399</v>
      </c>
      <c r="B5652" s="104" t="s">
        <v>5584</v>
      </c>
      <c r="C5652" s="104" t="s">
        <v>28</v>
      </c>
      <c r="D5652" s="129" t="s">
        <v>23829</v>
      </c>
    </row>
    <row r="5653" spans="1:4">
      <c r="A5653" s="105">
        <v>96400</v>
      </c>
      <c r="B5653" s="104" t="s">
        <v>5585</v>
      </c>
      <c r="C5653" s="104" t="s">
        <v>28</v>
      </c>
      <c r="D5653" s="129" t="s">
        <v>23830</v>
      </c>
    </row>
    <row r="5654" spans="1:4">
      <c r="A5654" s="105">
        <v>96402</v>
      </c>
      <c r="B5654" s="104" t="s">
        <v>5586</v>
      </c>
      <c r="C5654" s="104" t="s">
        <v>12</v>
      </c>
      <c r="D5654" s="129" t="s">
        <v>20169</v>
      </c>
    </row>
    <row r="5655" spans="1:4">
      <c r="A5655" s="105">
        <v>100564</v>
      </c>
      <c r="B5655" s="104" t="s">
        <v>5587</v>
      </c>
      <c r="C5655" s="104" t="s">
        <v>28</v>
      </c>
      <c r="D5655" s="129" t="s">
        <v>17485</v>
      </c>
    </row>
    <row r="5656" spans="1:4">
      <c r="A5656" s="105">
        <v>100565</v>
      </c>
      <c r="B5656" s="104" t="s">
        <v>5588</v>
      </c>
      <c r="C5656" s="104" t="s">
        <v>28</v>
      </c>
      <c r="D5656" s="129" t="s">
        <v>23831</v>
      </c>
    </row>
    <row r="5657" spans="1:4">
      <c r="A5657" s="105">
        <v>100566</v>
      </c>
      <c r="B5657" s="104" t="s">
        <v>5589</v>
      </c>
      <c r="C5657" s="104" t="s">
        <v>28</v>
      </c>
      <c r="D5657" s="129" t="s">
        <v>23832</v>
      </c>
    </row>
    <row r="5658" spans="1:4">
      <c r="A5658" s="105">
        <v>100567</v>
      </c>
      <c r="B5658" s="104" t="s">
        <v>5590</v>
      </c>
      <c r="C5658" s="104" t="s">
        <v>28</v>
      </c>
      <c r="D5658" s="129" t="s">
        <v>23833</v>
      </c>
    </row>
    <row r="5659" spans="1:4">
      <c r="A5659" s="105">
        <v>100568</v>
      </c>
      <c r="B5659" s="104" t="s">
        <v>5591</v>
      </c>
      <c r="C5659" s="104" t="s">
        <v>28</v>
      </c>
      <c r="D5659" s="129" t="s">
        <v>18666</v>
      </c>
    </row>
    <row r="5660" spans="1:4">
      <c r="A5660" s="105">
        <v>100569</v>
      </c>
      <c r="B5660" s="104" t="s">
        <v>5592</v>
      </c>
      <c r="C5660" s="104" t="s">
        <v>28</v>
      </c>
      <c r="D5660" s="129" t="s">
        <v>23834</v>
      </c>
    </row>
    <row r="5661" spans="1:4">
      <c r="A5661" s="105">
        <v>100570</v>
      </c>
      <c r="B5661" s="104" t="s">
        <v>5593</v>
      </c>
      <c r="C5661" s="104" t="s">
        <v>28</v>
      </c>
      <c r="D5661" s="129" t="s">
        <v>23835</v>
      </c>
    </row>
    <row r="5662" spans="1:4">
      <c r="A5662" s="105">
        <v>100571</v>
      </c>
      <c r="B5662" s="104" t="s">
        <v>5594</v>
      </c>
      <c r="C5662" s="104" t="s">
        <v>28</v>
      </c>
      <c r="D5662" s="129" t="s">
        <v>23836</v>
      </c>
    </row>
    <row r="5663" spans="1:4">
      <c r="A5663" s="105">
        <v>100572</v>
      </c>
      <c r="B5663" s="104" t="s">
        <v>5595</v>
      </c>
      <c r="C5663" s="104" t="s">
        <v>28</v>
      </c>
      <c r="D5663" s="129" t="s">
        <v>20661</v>
      </c>
    </row>
    <row r="5664" spans="1:4">
      <c r="A5664" s="105">
        <v>100573</v>
      </c>
      <c r="B5664" s="104" t="s">
        <v>5596</v>
      </c>
      <c r="C5664" s="104" t="s">
        <v>28</v>
      </c>
      <c r="D5664" s="129" t="s">
        <v>23837</v>
      </c>
    </row>
    <row r="5665" spans="1:4">
      <c r="A5665" s="105">
        <v>100574</v>
      </c>
      <c r="B5665" s="104" t="s">
        <v>5597</v>
      </c>
      <c r="C5665" s="104" t="s">
        <v>28</v>
      </c>
      <c r="D5665" s="129" t="s">
        <v>19607</v>
      </c>
    </row>
    <row r="5666" spans="1:4">
      <c r="A5666" s="105">
        <v>100575</v>
      </c>
      <c r="B5666" s="104" t="s">
        <v>5598</v>
      </c>
      <c r="C5666" s="104" t="s">
        <v>12</v>
      </c>
      <c r="D5666" s="129" t="s">
        <v>19512</v>
      </c>
    </row>
    <row r="5667" spans="1:4">
      <c r="A5667" s="105">
        <v>101767</v>
      </c>
      <c r="B5667" s="104" t="s">
        <v>5599</v>
      </c>
      <c r="C5667" s="104" t="s">
        <v>28</v>
      </c>
      <c r="D5667" s="129" t="s">
        <v>23838</v>
      </c>
    </row>
    <row r="5668" spans="1:4">
      <c r="A5668" s="105">
        <v>101768</v>
      </c>
      <c r="B5668" s="104" t="s">
        <v>5600</v>
      </c>
      <c r="C5668" s="104" t="s">
        <v>28</v>
      </c>
      <c r="D5668" s="129" t="s">
        <v>23839</v>
      </c>
    </row>
    <row r="5669" spans="1:4">
      <c r="A5669" s="105">
        <v>92391</v>
      </c>
      <c r="B5669" s="104" t="s">
        <v>5601</v>
      </c>
      <c r="C5669" s="104" t="s">
        <v>12</v>
      </c>
      <c r="D5669" s="129" t="s">
        <v>23840</v>
      </c>
    </row>
    <row r="5670" spans="1:4">
      <c r="A5670" s="105">
        <v>92392</v>
      </c>
      <c r="B5670" s="104" t="s">
        <v>5602</v>
      </c>
      <c r="C5670" s="104" t="s">
        <v>12</v>
      </c>
      <c r="D5670" s="129" t="s">
        <v>23841</v>
      </c>
    </row>
    <row r="5671" spans="1:4">
      <c r="A5671" s="105">
        <v>92393</v>
      </c>
      <c r="B5671" s="104" t="s">
        <v>5603</v>
      </c>
      <c r="C5671" s="104" t="s">
        <v>12</v>
      </c>
      <c r="D5671" s="129" t="s">
        <v>23503</v>
      </c>
    </row>
    <row r="5672" spans="1:4">
      <c r="A5672" s="105">
        <v>92394</v>
      </c>
      <c r="B5672" s="104" t="s">
        <v>5604</v>
      </c>
      <c r="C5672" s="104" t="s">
        <v>12</v>
      </c>
      <c r="D5672" s="129" t="s">
        <v>23713</v>
      </c>
    </row>
    <row r="5673" spans="1:4">
      <c r="A5673" s="105">
        <v>92395</v>
      </c>
      <c r="B5673" s="104" t="s">
        <v>5605</v>
      </c>
      <c r="C5673" s="104" t="s">
        <v>12</v>
      </c>
      <c r="D5673" s="129" t="s">
        <v>23842</v>
      </c>
    </row>
    <row r="5674" spans="1:4">
      <c r="A5674" s="105">
        <v>92396</v>
      </c>
      <c r="B5674" s="104" t="s">
        <v>5606</v>
      </c>
      <c r="C5674" s="104" t="s">
        <v>12</v>
      </c>
      <c r="D5674" s="129" t="s">
        <v>23843</v>
      </c>
    </row>
    <row r="5675" spans="1:4">
      <c r="A5675" s="105">
        <v>92397</v>
      </c>
      <c r="B5675" s="104" t="s">
        <v>5607</v>
      </c>
      <c r="C5675" s="104" t="s">
        <v>12</v>
      </c>
      <c r="D5675" s="129" t="s">
        <v>23844</v>
      </c>
    </row>
    <row r="5676" spans="1:4">
      <c r="A5676" s="105">
        <v>92398</v>
      </c>
      <c r="B5676" s="104" t="s">
        <v>5608</v>
      </c>
      <c r="C5676" s="104" t="s">
        <v>12</v>
      </c>
      <c r="D5676" s="129" t="s">
        <v>23845</v>
      </c>
    </row>
    <row r="5677" spans="1:4">
      <c r="A5677" s="105">
        <v>92399</v>
      </c>
      <c r="B5677" s="104" t="s">
        <v>5609</v>
      </c>
      <c r="C5677" s="104" t="s">
        <v>12</v>
      </c>
      <c r="D5677" s="129" t="s">
        <v>23846</v>
      </c>
    </row>
    <row r="5678" spans="1:4">
      <c r="A5678" s="105">
        <v>92400</v>
      </c>
      <c r="B5678" s="104" t="s">
        <v>5610</v>
      </c>
      <c r="C5678" s="104" t="s">
        <v>12</v>
      </c>
      <c r="D5678" s="129" t="s">
        <v>23847</v>
      </c>
    </row>
    <row r="5679" spans="1:4">
      <c r="A5679" s="105">
        <v>92401</v>
      </c>
      <c r="B5679" s="104" t="s">
        <v>5611</v>
      </c>
      <c r="C5679" s="104" t="s">
        <v>12</v>
      </c>
      <c r="D5679" s="129" t="s">
        <v>23848</v>
      </c>
    </row>
    <row r="5680" spans="1:4">
      <c r="A5680" s="105">
        <v>92402</v>
      </c>
      <c r="B5680" s="104" t="s">
        <v>5612</v>
      </c>
      <c r="C5680" s="104" t="s">
        <v>12</v>
      </c>
      <c r="D5680" s="129" t="s">
        <v>23849</v>
      </c>
    </row>
    <row r="5681" spans="1:4">
      <c r="A5681" s="105">
        <v>92403</v>
      </c>
      <c r="B5681" s="104" t="s">
        <v>5613</v>
      </c>
      <c r="C5681" s="104" t="s">
        <v>12</v>
      </c>
      <c r="D5681" s="129" t="s">
        <v>19677</v>
      </c>
    </row>
    <row r="5682" spans="1:4">
      <c r="A5682" s="105">
        <v>92404</v>
      </c>
      <c r="B5682" s="104" t="s">
        <v>5614</v>
      </c>
      <c r="C5682" s="104" t="s">
        <v>12</v>
      </c>
      <c r="D5682" s="129" t="s">
        <v>23850</v>
      </c>
    </row>
    <row r="5683" spans="1:4">
      <c r="A5683" s="105">
        <v>92405</v>
      </c>
      <c r="B5683" s="104" t="s">
        <v>5615</v>
      </c>
      <c r="C5683" s="104" t="s">
        <v>12</v>
      </c>
      <c r="D5683" s="129" t="s">
        <v>23851</v>
      </c>
    </row>
    <row r="5684" spans="1:4">
      <c r="A5684" s="105">
        <v>92406</v>
      </c>
      <c r="B5684" s="104" t="s">
        <v>5616</v>
      </c>
      <c r="C5684" s="104" t="s">
        <v>12</v>
      </c>
      <c r="D5684" s="129" t="s">
        <v>23852</v>
      </c>
    </row>
    <row r="5685" spans="1:4">
      <c r="A5685" s="105">
        <v>92407</v>
      </c>
      <c r="B5685" s="104" t="s">
        <v>5617</v>
      </c>
      <c r="C5685" s="104" t="s">
        <v>12</v>
      </c>
      <c r="D5685" s="129" t="s">
        <v>19523</v>
      </c>
    </row>
    <row r="5686" spans="1:4">
      <c r="A5686" s="105">
        <v>93679</v>
      </c>
      <c r="B5686" s="104" t="s">
        <v>5618</v>
      </c>
      <c r="C5686" s="104" t="s">
        <v>12</v>
      </c>
      <c r="D5686" s="129" t="s">
        <v>23853</v>
      </c>
    </row>
    <row r="5687" spans="1:4">
      <c r="A5687" s="105">
        <v>93680</v>
      </c>
      <c r="B5687" s="104" t="s">
        <v>5619</v>
      </c>
      <c r="C5687" s="104" t="s">
        <v>12</v>
      </c>
      <c r="D5687" s="129" t="s">
        <v>17886</v>
      </c>
    </row>
    <row r="5688" spans="1:4">
      <c r="A5688" s="105">
        <v>93681</v>
      </c>
      <c r="B5688" s="104" t="s">
        <v>5620</v>
      </c>
      <c r="C5688" s="104" t="s">
        <v>12</v>
      </c>
      <c r="D5688" s="129" t="s">
        <v>23854</v>
      </c>
    </row>
    <row r="5689" spans="1:4">
      <c r="A5689" s="105">
        <v>93682</v>
      </c>
      <c r="B5689" s="104" t="s">
        <v>5621</v>
      </c>
      <c r="C5689" s="104" t="s">
        <v>12</v>
      </c>
      <c r="D5689" s="129" t="s">
        <v>23855</v>
      </c>
    </row>
    <row r="5690" spans="1:4">
      <c r="A5690" s="105">
        <v>97104</v>
      </c>
      <c r="B5690" s="104" t="s">
        <v>5622</v>
      </c>
      <c r="C5690" s="104" t="s">
        <v>12</v>
      </c>
      <c r="D5690" s="129" t="s">
        <v>23856</v>
      </c>
    </row>
    <row r="5691" spans="1:4">
      <c r="A5691" s="105">
        <v>97105</v>
      </c>
      <c r="B5691" s="104" t="s">
        <v>5623</v>
      </c>
      <c r="C5691" s="104" t="s">
        <v>12</v>
      </c>
      <c r="D5691" s="129" t="s">
        <v>23857</v>
      </c>
    </row>
    <row r="5692" spans="1:4">
      <c r="A5692" s="105">
        <v>97106</v>
      </c>
      <c r="B5692" s="104" t="s">
        <v>5624</v>
      </c>
      <c r="C5692" s="104" t="s">
        <v>12</v>
      </c>
      <c r="D5692" s="129" t="s">
        <v>23858</v>
      </c>
    </row>
    <row r="5693" spans="1:4">
      <c r="A5693" s="105">
        <v>97107</v>
      </c>
      <c r="B5693" s="104" t="s">
        <v>5625</v>
      </c>
      <c r="C5693" s="104" t="s">
        <v>12</v>
      </c>
      <c r="D5693" s="129" t="s">
        <v>22911</v>
      </c>
    </row>
    <row r="5694" spans="1:4">
      <c r="A5694" s="105">
        <v>97108</v>
      </c>
      <c r="B5694" s="104" t="s">
        <v>5626</v>
      </c>
      <c r="C5694" s="104" t="s">
        <v>12</v>
      </c>
      <c r="D5694" s="129" t="s">
        <v>23859</v>
      </c>
    </row>
    <row r="5695" spans="1:4">
      <c r="A5695" s="105">
        <v>97109</v>
      </c>
      <c r="B5695" s="104" t="s">
        <v>5627</v>
      </c>
      <c r="C5695" s="104" t="s">
        <v>12</v>
      </c>
      <c r="D5695" s="129" t="s">
        <v>23860</v>
      </c>
    </row>
    <row r="5696" spans="1:4">
      <c r="A5696" s="105">
        <v>97110</v>
      </c>
      <c r="B5696" s="104" t="s">
        <v>5628</v>
      </c>
      <c r="C5696" s="104" t="s">
        <v>12</v>
      </c>
      <c r="D5696" s="129" t="s">
        <v>23861</v>
      </c>
    </row>
    <row r="5697" spans="1:4">
      <c r="A5697" s="105">
        <v>97111</v>
      </c>
      <c r="B5697" s="104" t="s">
        <v>5629</v>
      </c>
      <c r="C5697" s="104" t="s">
        <v>12</v>
      </c>
      <c r="D5697" s="129" t="s">
        <v>23862</v>
      </c>
    </row>
    <row r="5698" spans="1:4">
      <c r="A5698" s="105">
        <v>97112</v>
      </c>
      <c r="B5698" s="104" t="s">
        <v>5630</v>
      </c>
      <c r="C5698" s="104" t="s">
        <v>12</v>
      </c>
      <c r="D5698" s="129" t="s">
        <v>23863</v>
      </c>
    </row>
    <row r="5699" spans="1:4">
      <c r="A5699" s="105">
        <v>97113</v>
      </c>
      <c r="B5699" s="104" t="s">
        <v>5631</v>
      </c>
      <c r="C5699" s="104" t="s">
        <v>12</v>
      </c>
      <c r="D5699" s="129" t="s">
        <v>15742</v>
      </c>
    </row>
    <row r="5700" spans="1:4">
      <c r="A5700" s="105">
        <v>97114</v>
      </c>
      <c r="B5700" s="104" t="s">
        <v>5632</v>
      </c>
      <c r="C5700" s="104" t="s">
        <v>40</v>
      </c>
      <c r="D5700" s="129" t="s">
        <v>23864</v>
      </c>
    </row>
    <row r="5701" spans="1:4">
      <c r="A5701" s="105">
        <v>97115</v>
      </c>
      <c r="B5701" s="104" t="s">
        <v>5633</v>
      </c>
      <c r="C5701" s="104" t="s">
        <v>41</v>
      </c>
      <c r="D5701" s="129" t="s">
        <v>23865</v>
      </c>
    </row>
    <row r="5702" spans="1:4">
      <c r="A5702" s="105">
        <v>97116</v>
      </c>
      <c r="B5702" s="104" t="s">
        <v>5634</v>
      </c>
      <c r="C5702" s="104" t="s">
        <v>41</v>
      </c>
      <c r="D5702" s="129" t="s">
        <v>23866</v>
      </c>
    </row>
    <row r="5703" spans="1:4">
      <c r="A5703" s="105">
        <v>97117</v>
      </c>
      <c r="B5703" s="104" t="s">
        <v>5635</v>
      </c>
      <c r="C5703" s="104" t="s">
        <v>41</v>
      </c>
      <c r="D5703" s="129" t="s">
        <v>14865</v>
      </c>
    </row>
    <row r="5704" spans="1:4">
      <c r="A5704" s="105">
        <v>97118</v>
      </c>
      <c r="B5704" s="104" t="s">
        <v>5636</v>
      </c>
      <c r="C5704" s="104" t="s">
        <v>41</v>
      </c>
      <c r="D5704" s="129" t="s">
        <v>21867</v>
      </c>
    </row>
    <row r="5705" spans="1:4">
      <c r="A5705" s="105">
        <v>97119</v>
      </c>
      <c r="B5705" s="104" t="s">
        <v>5637</v>
      </c>
      <c r="C5705" s="104" t="s">
        <v>41</v>
      </c>
      <c r="D5705" s="129" t="s">
        <v>22069</v>
      </c>
    </row>
    <row r="5706" spans="1:4">
      <c r="A5706" s="105">
        <v>97120</v>
      </c>
      <c r="B5706" s="104" t="s">
        <v>5638</v>
      </c>
      <c r="C5706" s="104" t="s">
        <v>41</v>
      </c>
      <c r="D5706" s="129" t="s">
        <v>15999</v>
      </c>
    </row>
    <row r="5707" spans="1:4">
      <c r="A5707" s="105">
        <v>97802</v>
      </c>
      <c r="B5707" s="104" t="s">
        <v>5639</v>
      </c>
      <c r="C5707" s="104" t="s">
        <v>12</v>
      </c>
      <c r="D5707" s="129" t="s">
        <v>17185</v>
      </c>
    </row>
    <row r="5708" spans="1:4">
      <c r="A5708" s="105">
        <v>97803</v>
      </c>
      <c r="B5708" s="104" t="s">
        <v>5640</v>
      </c>
      <c r="C5708" s="104" t="s">
        <v>12</v>
      </c>
      <c r="D5708" s="129" t="s">
        <v>17196</v>
      </c>
    </row>
    <row r="5709" spans="1:4">
      <c r="A5709" s="105">
        <v>97805</v>
      </c>
      <c r="B5709" s="104" t="s">
        <v>5641</v>
      </c>
      <c r="C5709" s="104" t="s">
        <v>12</v>
      </c>
      <c r="D5709" s="129" t="s">
        <v>22452</v>
      </c>
    </row>
    <row r="5710" spans="1:4">
      <c r="A5710" s="105">
        <v>97806</v>
      </c>
      <c r="B5710" s="104" t="s">
        <v>5642</v>
      </c>
      <c r="C5710" s="104" t="s">
        <v>12</v>
      </c>
      <c r="D5710" s="129" t="s">
        <v>20553</v>
      </c>
    </row>
    <row r="5711" spans="1:4">
      <c r="A5711" s="105">
        <v>97807</v>
      </c>
      <c r="B5711" s="104" t="s">
        <v>5643</v>
      </c>
      <c r="C5711" s="104" t="s">
        <v>12</v>
      </c>
      <c r="D5711" s="129" t="s">
        <v>15701</v>
      </c>
    </row>
    <row r="5712" spans="1:4">
      <c r="A5712" s="105">
        <v>97809</v>
      </c>
      <c r="B5712" s="104" t="s">
        <v>5644</v>
      </c>
      <c r="C5712" s="104" t="s">
        <v>12</v>
      </c>
      <c r="D5712" s="129" t="s">
        <v>23867</v>
      </c>
    </row>
    <row r="5713" spans="1:4">
      <c r="A5713" s="105">
        <v>97810</v>
      </c>
      <c r="B5713" s="104" t="s">
        <v>5645</v>
      </c>
      <c r="C5713" s="104" t="s">
        <v>12</v>
      </c>
      <c r="D5713" s="129" t="s">
        <v>23868</v>
      </c>
    </row>
    <row r="5714" spans="1:4">
      <c r="A5714" s="105">
        <v>97811</v>
      </c>
      <c r="B5714" s="104" t="s">
        <v>5646</v>
      </c>
      <c r="C5714" s="104" t="s">
        <v>12</v>
      </c>
      <c r="D5714" s="129" t="s">
        <v>19228</v>
      </c>
    </row>
    <row r="5715" spans="1:4">
      <c r="A5715" s="105">
        <v>101167</v>
      </c>
      <c r="B5715" s="104" t="s">
        <v>5647</v>
      </c>
      <c r="C5715" s="104" t="s">
        <v>12</v>
      </c>
      <c r="D5715" s="129" t="s">
        <v>21784</v>
      </c>
    </row>
    <row r="5716" spans="1:4">
      <c r="A5716" s="105">
        <v>101168</v>
      </c>
      <c r="B5716" s="104" t="s">
        <v>5648</v>
      </c>
      <c r="C5716" s="104" t="s">
        <v>12</v>
      </c>
      <c r="D5716" s="129" t="s">
        <v>23869</v>
      </c>
    </row>
    <row r="5717" spans="1:4">
      <c r="A5717" s="105">
        <v>101169</v>
      </c>
      <c r="B5717" s="104" t="s">
        <v>5649</v>
      </c>
      <c r="C5717" s="104" t="s">
        <v>12</v>
      </c>
      <c r="D5717" s="129" t="s">
        <v>23870</v>
      </c>
    </row>
    <row r="5718" spans="1:4">
      <c r="A5718" s="105">
        <v>101170</v>
      </c>
      <c r="B5718" s="104" t="s">
        <v>5650</v>
      </c>
      <c r="C5718" s="104" t="s">
        <v>12</v>
      </c>
      <c r="D5718" s="129" t="s">
        <v>23871</v>
      </c>
    </row>
    <row r="5719" spans="1:4">
      <c r="A5719" s="105">
        <v>101171</v>
      </c>
      <c r="B5719" s="104" t="s">
        <v>5651</v>
      </c>
      <c r="C5719" s="104" t="s">
        <v>12</v>
      </c>
      <c r="D5719" s="129" t="s">
        <v>21741</v>
      </c>
    </row>
    <row r="5720" spans="1:4">
      <c r="A5720" s="105">
        <v>101172</v>
      </c>
      <c r="B5720" s="104" t="s">
        <v>5652</v>
      </c>
      <c r="C5720" s="104" t="s">
        <v>12</v>
      </c>
      <c r="D5720" s="129" t="s">
        <v>23872</v>
      </c>
    </row>
    <row r="5721" spans="1:4">
      <c r="A5721" s="105">
        <v>95995</v>
      </c>
      <c r="B5721" s="104" t="s">
        <v>5653</v>
      </c>
      <c r="C5721" s="104" t="s">
        <v>28</v>
      </c>
      <c r="D5721" s="129" t="s">
        <v>23873</v>
      </c>
    </row>
    <row r="5722" spans="1:4">
      <c r="A5722" s="105">
        <v>95996</v>
      </c>
      <c r="B5722" s="104" t="s">
        <v>5654</v>
      </c>
      <c r="C5722" s="104" t="s">
        <v>28</v>
      </c>
      <c r="D5722" s="129" t="s">
        <v>23874</v>
      </c>
    </row>
    <row r="5723" spans="1:4">
      <c r="A5723" s="105">
        <v>96001</v>
      </c>
      <c r="B5723" s="104" t="s">
        <v>5655</v>
      </c>
      <c r="C5723" s="104" t="s">
        <v>12</v>
      </c>
      <c r="D5723" s="129" t="s">
        <v>15547</v>
      </c>
    </row>
    <row r="5724" spans="1:4">
      <c r="A5724" s="105">
        <v>96393</v>
      </c>
      <c r="B5724" s="104" t="s">
        <v>5656</v>
      </c>
      <c r="C5724" s="104" t="s">
        <v>28</v>
      </c>
      <c r="D5724" s="129" t="s">
        <v>23875</v>
      </c>
    </row>
    <row r="5725" spans="1:4">
      <c r="A5725" s="105">
        <v>96394</v>
      </c>
      <c r="B5725" s="104" t="s">
        <v>5657</v>
      </c>
      <c r="C5725" s="104" t="s">
        <v>28</v>
      </c>
      <c r="D5725" s="129" t="s">
        <v>23876</v>
      </c>
    </row>
    <row r="5726" spans="1:4">
      <c r="A5726" s="105">
        <v>96395</v>
      </c>
      <c r="B5726" s="104" t="s">
        <v>5658</v>
      </c>
      <c r="C5726" s="104" t="s">
        <v>28</v>
      </c>
      <c r="D5726" s="129" t="s">
        <v>23877</v>
      </c>
    </row>
    <row r="5727" spans="1:4">
      <c r="A5727" s="105">
        <v>100624</v>
      </c>
      <c r="B5727" s="104" t="s">
        <v>5659</v>
      </c>
      <c r="C5727" s="104" t="s">
        <v>28</v>
      </c>
      <c r="D5727" s="129" t="s">
        <v>23878</v>
      </c>
    </row>
    <row r="5728" spans="1:4">
      <c r="A5728" s="105">
        <v>100625</v>
      </c>
      <c r="B5728" s="104" t="s">
        <v>5660</v>
      </c>
      <c r="C5728" s="104" t="s">
        <v>28</v>
      </c>
      <c r="D5728" s="129" t="s">
        <v>23879</v>
      </c>
    </row>
    <row r="5729" spans="1:4">
      <c r="A5729" s="105">
        <v>101020</v>
      </c>
      <c r="B5729" s="104" t="s">
        <v>5661</v>
      </c>
      <c r="C5729" s="104" t="s">
        <v>5662</v>
      </c>
      <c r="D5729" s="129" t="s">
        <v>23880</v>
      </c>
    </row>
    <row r="5730" spans="1:4">
      <c r="A5730" s="105">
        <v>101021</v>
      </c>
      <c r="B5730" s="104" t="s">
        <v>5663</v>
      </c>
      <c r="C5730" s="104" t="s">
        <v>5662</v>
      </c>
      <c r="D5730" s="129" t="s">
        <v>23881</v>
      </c>
    </row>
    <row r="5731" spans="1:4">
      <c r="A5731" s="105">
        <v>101022</v>
      </c>
      <c r="B5731" s="104" t="s">
        <v>5664</v>
      </c>
      <c r="C5731" s="104" t="s">
        <v>5662</v>
      </c>
      <c r="D5731" s="129" t="s">
        <v>23882</v>
      </c>
    </row>
    <row r="5732" spans="1:4">
      <c r="A5732" s="105">
        <v>101023</v>
      </c>
      <c r="B5732" s="104" t="s">
        <v>5665</v>
      </c>
      <c r="C5732" s="104" t="s">
        <v>5662</v>
      </c>
      <c r="D5732" s="129" t="s">
        <v>23883</v>
      </c>
    </row>
    <row r="5733" spans="1:4">
      <c r="A5733" s="105">
        <v>101024</v>
      </c>
      <c r="B5733" s="104" t="s">
        <v>5666</v>
      </c>
      <c r="C5733" s="104" t="s">
        <v>5662</v>
      </c>
      <c r="D5733" s="129" t="s">
        <v>23884</v>
      </c>
    </row>
    <row r="5734" spans="1:4">
      <c r="A5734" s="105">
        <v>101025</v>
      </c>
      <c r="B5734" s="104" t="s">
        <v>5667</v>
      </c>
      <c r="C5734" s="104" t="s">
        <v>5662</v>
      </c>
      <c r="D5734" s="129" t="s">
        <v>23885</v>
      </c>
    </row>
    <row r="5735" spans="1:4">
      <c r="A5735" s="105">
        <v>101026</v>
      </c>
      <c r="B5735" s="104" t="s">
        <v>5668</v>
      </c>
      <c r="C5735" s="104" t="s">
        <v>5662</v>
      </c>
      <c r="D5735" s="129" t="s">
        <v>23886</v>
      </c>
    </row>
    <row r="5736" spans="1:4">
      <c r="A5736" s="105">
        <v>101027</v>
      </c>
      <c r="B5736" s="104" t="s">
        <v>5669</v>
      </c>
      <c r="C5736" s="104" t="s">
        <v>5662</v>
      </c>
      <c r="D5736" s="129" t="s">
        <v>15615</v>
      </c>
    </row>
    <row r="5737" spans="1:4">
      <c r="A5737" s="105">
        <v>88411</v>
      </c>
      <c r="B5737" s="104" t="s">
        <v>350</v>
      </c>
      <c r="C5737" s="104" t="s">
        <v>12</v>
      </c>
      <c r="D5737" s="129" t="s">
        <v>21664</v>
      </c>
    </row>
    <row r="5738" spans="1:4">
      <c r="A5738" s="105">
        <v>88412</v>
      </c>
      <c r="B5738" s="104" t="s">
        <v>5670</v>
      </c>
      <c r="C5738" s="104" t="s">
        <v>12</v>
      </c>
      <c r="D5738" s="129" t="s">
        <v>20081</v>
      </c>
    </row>
    <row r="5739" spans="1:4">
      <c r="A5739" s="105">
        <v>88413</v>
      </c>
      <c r="B5739" s="104" t="s">
        <v>5671</v>
      </c>
      <c r="C5739" s="104" t="s">
        <v>12</v>
      </c>
      <c r="D5739" s="129" t="s">
        <v>23887</v>
      </c>
    </row>
    <row r="5740" spans="1:4">
      <c r="A5740" s="105">
        <v>88414</v>
      </c>
      <c r="B5740" s="104" t="s">
        <v>5672</v>
      </c>
      <c r="C5740" s="104" t="s">
        <v>12</v>
      </c>
      <c r="D5740" s="129" t="s">
        <v>23824</v>
      </c>
    </row>
    <row r="5741" spans="1:4">
      <c r="A5741" s="105">
        <v>88415</v>
      </c>
      <c r="B5741" s="104" t="s">
        <v>5673</v>
      </c>
      <c r="C5741" s="104" t="s">
        <v>12</v>
      </c>
      <c r="D5741" s="129" t="s">
        <v>15661</v>
      </c>
    </row>
    <row r="5742" spans="1:4">
      <c r="A5742" s="105">
        <v>88416</v>
      </c>
      <c r="B5742" s="104" t="s">
        <v>5674</v>
      </c>
      <c r="C5742" s="104" t="s">
        <v>12</v>
      </c>
      <c r="D5742" s="129" t="s">
        <v>19299</v>
      </c>
    </row>
    <row r="5743" spans="1:4">
      <c r="A5743" s="105">
        <v>88417</v>
      </c>
      <c r="B5743" s="104" t="s">
        <v>5675</v>
      </c>
      <c r="C5743" s="104" t="s">
        <v>12</v>
      </c>
      <c r="D5743" s="129" t="s">
        <v>17565</v>
      </c>
    </row>
    <row r="5744" spans="1:4">
      <c r="A5744" s="105">
        <v>88420</v>
      </c>
      <c r="B5744" s="104" t="s">
        <v>5676</v>
      </c>
      <c r="C5744" s="104" t="s">
        <v>12</v>
      </c>
      <c r="D5744" s="129" t="s">
        <v>20260</v>
      </c>
    </row>
    <row r="5745" spans="1:4">
      <c r="A5745" s="105">
        <v>88421</v>
      </c>
      <c r="B5745" s="104" t="s">
        <v>5677</v>
      </c>
      <c r="C5745" s="104" t="s">
        <v>12</v>
      </c>
      <c r="D5745" s="129" t="s">
        <v>23888</v>
      </c>
    </row>
    <row r="5746" spans="1:4">
      <c r="A5746" s="105">
        <v>88423</v>
      </c>
      <c r="B5746" s="104" t="s">
        <v>5678</v>
      </c>
      <c r="C5746" s="104" t="s">
        <v>12</v>
      </c>
      <c r="D5746" s="129" t="s">
        <v>20297</v>
      </c>
    </row>
    <row r="5747" spans="1:4">
      <c r="A5747" s="105">
        <v>88424</v>
      </c>
      <c r="B5747" s="104" t="s">
        <v>5679</v>
      </c>
      <c r="C5747" s="104" t="s">
        <v>12</v>
      </c>
      <c r="D5747" s="129" t="s">
        <v>23521</v>
      </c>
    </row>
    <row r="5748" spans="1:4">
      <c r="A5748" s="105">
        <v>88426</v>
      </c>
      <c r="B5748" s="104" t="s">
        <v>5680</v>
      </c>
      <c r="C5748" s="104" t="s">
        <v>12</v>
      </c>
      <c r="D5748" s="129" t="s">
        <v>23889</v>
      </c>
    </row>
    <row r="5749" spans="1:4">
      <c r="A5749" s="105">
        <v>88428</v>
      </c>
      <c r="B5749" s="104" t="s">
        <v>5681</v>
      </c>
      <c r="C5749" s="104" t="s">
        <v>12</v>
      </c>
      <c r="D5749" s="129" t="s">
        <v>23890</v>
      </c>
    </row>
    <row r="5750" spans="1:4">
      <c r="A5750" s="105">
        <v>88429</v>
      </c>
      <c r="B5750" s="104" t="s">
        <v>5682</v>
      </c>
      <c r="C5750" s="104" t="s">
        <v>12</v>
      </c>
      <c r="D5750" s="129" t="s">
        <v>22778</v>
      </c>
    </row>
    <row r="5751" spans="1:4">
      <c r="A5751" s="105">
        <v>88431</v>
      </c>
      <c r="B5751" s="104" t="s">
        <v>5683</v>
      </c>
      <c r="C5751" s="104" t="s">
        <v>12</v>
      </c>
      <c r="D5751" s="129" t="s">
        <v>15654</v>
      </c>
    </row>
    <row r="5752" spans="1:4">
      <c r="A5752" s="105">
        <v>88432</v>
      </c>
      <c r="B5752" s="104" t="s">
        <v>5684</v>
      </c>
      <c r="C5752" s="104" t="s">
        <v>12</v>
      </c>
      <c r="D5752" s="129" t="s">
        <v>15977</v>
      </c>
    </row>
    <row r="5753" spans="1:4">
      <c r="A5753" s="105">
        <v>88484</v>
      </c>
      <c r="B5753" s="104" t="s">
        <v>5685</v>
      </c>
      <c r="C5753" s="104" t="s">
        <v>12</v>
      </c>
      <c r="D5753" s="129" t="s">
        <v>23891</v>
      </c>
    </row>
    <row r="5754" spans="1:4">
      <c r="A5754" s="105">
        <v>88485</v>
      </c>
      <c r="B5754" s="104" t="s">
        <v>5686</v>
      </c>
      <c r="C5754" s="104" t="s">
        <v>12</v>
      </c>
      <c r="D5754" s="129" t="s">
        <v>20078</v>
      </c>
    </row>
    <row r="5755" spans="1:4">
      <c r="A5755" s="105">
        <v>88488</v>
      </c>
      <c r="B5755" s="104" t="s">
        <v>5687</v>
      </c>
      <c r="C5755" s="104" t="s">
        <v>12</v>
      </c>
      <c r="D5755" s="129" t="s">
        <v>22816</v>
      </c>
    </row>
    <row r="5756" spans="1:4">
      <c r="A5756" s="105">
        <v>88489</v>
      </c>
      <c r="B5756" s="104" t="s">
        <v>81</v>
      </c>
      <c r="C5756" s="104" t="s">
        <v>12</v>
      </c>
      <c r="D5756" s="129" t="s">
        <v>19249</v>
      </c>
    </row>
    <row r="5757" spans="1:4">
      <c r="A5757" s="105">
        <v>88494</v>
      </c>
      <c r="B5757" s="104" t="s">
        <v>5688</v>
      </c>
      <c r="C5757" s="104" t="s">
        <v>12</v>
      </c>
      <c r="D5757" s="129" t="s">
        <v>19230</v>
      </c>
    </row>
    <row r="5758" spans="1:4">
      <c r="A5758" s="105">
        <v>88495</v>
      </c>
      <c r="B5758" s="104" t="s">
        <v>5689</v>
      </c>
      <c r="C5758" s="104" t="s">
        <v>12</v>
      </c>
      <c r="D5758" s="129" t="s">
        <v>20149</v>
      </c>
    </row>
    <row r="5759" spans="1:4">
      <c r="A5759" s="105">
        <v>88496</v>
      </c>
      <c r="B5759" s="104" t="s">
        <v>5690</v>
      </c>
      <c r="C5759" s="104" t="s">
        <v>12</v>
      </c>
      <c r="D5759" s="129" t="s">
        <v>17938</v>
      </c>
    </row>
    <row r="5760" spans="1:4">
      <c r="A5760" s="105">
        <v>88497</v>
      </c>
      <c r="B5760" s="104" t="s">
        <v>5691</v>
      </c>
      <c r="C5760" s="104" t="s">
        <v>12</v>
      </c>
      <c r="D5760" s="129" t="s">
        <v>18200</v>
      </c>
    </row>
    <row r="5761" spans="1:4">
      <c r="A5761" s="105">
        <v>95305</v>
      </c>
      <c r="B5761" s="104" t="s">
        <v>5692</v>
      </c>
      <c r="C5761" s="104" t="s">
        <v>12</v>
      </c>
      <c r="D5761" s="129" t="s">
        <v>23892</v>
      </c>
    </row>
    <row r="5762" spans="1:4">
      <c r="A5762" s="105">
        <v>95306</v>
      </c>
      <c r="B5762" s="104" t="s">
        <v>5693</v>
      </c>
      <c r="C5762" s="104" t="s">
        <v>12</v>
      </c>
      <c r="D5762" s="129" t="s">
        <v>16933</v>
      </c>
    </row>
    <row r="5763" spans="1:4">
      <c r="A5763" s="105">
        <v>95622</v>
      </c>
      <c r="B5763" s="104" t="s">
        <v>352</v>
      </c>
      <c r="C5763" s="104" t="s">
        <v>12</v>
      </c>
      <c r="D5763" s="129" t="s">
        <v>21872</v>
      </c>
    </row>
    <row r="5764" spans="1:4">
      <c r="A5764" s="105">
        <v>95623</v>
      </c>
      <c r="B5764" s="104" t="s">
        <v>5694</v>
      </c>
      <c r="C5764" s="104" t="s">
        <v>12</v>
      </c>
      <c r="D5764" s="129" t="s">
        <v>17229</v>
      </c>
    </row>
    <row r="5765" spans="1:4">
      <c r="A5765" s="105">
        <v>95624</v>
      </c>
      <c r="B5765" s="104" t="s">
        <v>5695</v>
      </c>
      <c r="C5765" s="104" t="s">
        <v>12</v>
      </c>
      <c r="D5765" s="129" t="s">
        <v>19625</v>
      </c>
    </row>
    <row r="5766" spans="1:4">
      <c r="A5766" s="105">
        <v>95625</v>
      </c>
      <c r="B5766" s="104" t="s">
        <v>5696</v>
      </c>
      <c r="C5766" s="104" t="s">
        <v>12</v>
      </c>
      <c r="D5766" s="129" t="s">
        <v>23893</v>
      </c>
    </row>
    <row r="5767" spans="1:4">
      <c r="A5767" s="105">
        <v>95626</v>
      </c>
      <c r="B5767" s="104" t="s">
        <v>5697</v>
      </c>
      <c r="C5767" s="104" t="s">
        <v>12</v>
      </c>
      <c r="D5767" s="129" t="s">
        <v>16937</v>
      </c>
    </row>
    <row r="5768" spans="1:4">
      <c r="A5768" s="105">
        <v>96126</v>
      </c>
      <c r="B5768" s="104" t="s">
        <v>5698</v>
      </c>
      <c r="C5768" s="104" t="s">
        <v>12</v>
      </c>
      <c r="D5768" s="129" t="s">
        <v>14935</v>
      </c>
    </row>
    <row r="5769" spans="1:4">
      <c r="A5769" s="105">
        <v>96127</v>
      </c>
      <c r="B5769" s="104" t="s">
        <v>5699</v>
      </c>
      <c r="C5769" s="104" t="s">
        <v>12</v>
      </c>
      <c r="D5769" s="129" t="s">
        <v>18626</v>
      </c>
    </row>
    <row r="5770" spans="1:4">
      <c r="A5770" s="105">
        <v>96128</v>
      </c>
      <c r="B5770" s="104" t="s">
        <v>5700</v>
      </c>
      <c r="C5770" s="104" t="s">
        <v>12</v>
      </c>
      <c r="D5770" s="129" t="s">
        <v>23894</v>
      </c>
    </row>
    <row r="5771" spans="1:4">
      <c r="A5771" s="105">
        <v>96129</v>
      </c>
      <c r="B5771" s="104" t="s">
        <v>5701</v>
      </c>
      <c r="C5771" s="104" t="s">
        <v>12</v>
      </c>
      <c r="D5771" s="129" t="s">
        <v>17956</v>
      </c>
    </row>
    <row r="5772" spans="1:4">
      <c r="A5772" s="105">
        <v>96130</v>
      </c>
      <c r="B5772" s="104" t="s">
        <v>5702</v>
      </c>
      <c r="C5772" s="104" t="s">
        <v>12</v>
      </c>
      <c r="D5772" s="129" t="s">
        <v>22024</v>
      </c>
    </row>
    <row r="5773" spans="1:4">
      <c r="A5773" s="105">
        <v>96131</v>
      </c>
      <c r="B5773" s="104" t="s">
        <v>351</v>
      </c>
      <c r="C5773" s="104" t="s">
        <v>12</v>
      </c>
      <c r="D5773" s="129" t="s">
        <v>19805</v>
      </c>
    </row>
    <row r="5774" spans="1:4">
      <c r="A5774" s="105">
        <v>96132</v>
      </c>
      <c r="B5774" s="104" t="s">
        <v>5703</v>
      </c>
      <c r="C5774" s="104" t="s">
        <v>12</v>
      </c>
      <c r="D5774" s="129" t="s">
        <v>23895</v>
      </c>
    </row>
    <row r="5775" spans="1:4">
      <c r="A5775" s="105">
        <v>96133</v>
      </c>
      <c r="B5775" s="104" t="s">
        <v>5704</v>
      </c>
      <c r="C5775" s="104" t="s">
        <v>12</v>
      </c>
      <c r="D5775" s="129" t="s">
        <v>15225</v>
      </c>
    </row>
    <row r="5776" spans="1:4">
      <c r="A5776" s="105">
        <v>96134</v>
      </c>
      <c r="B5776" s="104" t="s">
        <v>5705</v>
      </c>
      <c r="C5776" s="104" t="s">
        <v>12</v>
      </c>
      <c r="D5776" s="129" t="s">
        <v>16771</v>
      </c>
    </row>
    <row r="5777" spans="1:4">
      <c r="A5777" s="105">
        <v>96135</v>
      </c>
      <c r="B5777" s="104" t="s">
        <v>5706</v>
      </c>
      <c r="C5777" s="104" t="s">
        <v>12</v>
      </c>
      <c r="D5777" s="129" t="s">
        <v>17907</v>
      </c>
    </row>
    <row r="5778" spans="1:4">
      <c r="A5778" s="105">
        <v>102193</v>
      </c>
      <c r="B5778" s="104" t="s">
        <v>5707</v>
      </c>
      <c r="C5778" s="104" t="s">
        <v>12</v>
      </c>
      <c r="D5778" s="129" t="s">
        <v>19126</v>
      </c>
    </row>
    <row r="5779" spans="1:4">
      <c r="A5779" s="105">
        <v>102194</v>
      </c>
      <c r="B5779" s="104" t="s">
        <v>5708</v>
      </c>
      <c r="C5779" s="104" t="s">
        <v>12</v>
      </c>
      <c r="D5779" s="129" t="s">
        <v>23896</v>
      </c>
    </row>
    <row r="5780" spans="1:4">
      <c r="A5780" s="105">
        <v>102197</v>
      </c>
      <c r="B5780" s="104" t="s">
        <v>5709</v>
      </c>
      <c r="C5780" s="104" t="s">
        <v>12</v>
      </c>
      <c r="D5780" s="129" t="s">
        <v>17723</v>
      </c>
    </row>
    <row r="5781" spans="1:4">
      <c r="A5781" s="105">
        <v>102200</v>
      </c>
      <c r="B5781" s="104" t="s">
        <v>5710</v>
      </c>
      <c r="C5781" s="104" t="s">
        <v>12</v>
      </c>
      <c r="D5781" s="129" t="s">
        <v>20723</v>
      </c>
    </row>
    <row r="5782" spans="1:4">
      <c r="A5782" s="105">
        <v>102201</v>
      </c>
      <c r="B5782" s="104" t="s">
        <v>13815</v>
      </c>
      <c r="C5782" s="104" t="s">
        <v>12</v>
      </c>
      <c r="D5782" s="129" t="s">
        <v>19082</v>
      </c>
    </row>
    <row r="5783" spans="1:4">
      <c r="A5783" s="105">
        <v>102202</v>
      </c>
      <c r="B5783" s="104" t="s">
        <v>5711</v>
      </c>
      <c r="C5783" s="104" t="s">
        <v>12</v>
      </c>
      <c r="D5783" s="129" t="s">
        <v>18091</v>
      </c>
    </row>
    <row r="5784" spans="1:4">
      <c r="A5784" s="105">
        <v>102203</v>
      </c>
      <c r="B5784" s="104" t="s">
        <v>5712</v>
      </c>
      <c r="C5784" s="104" t="s">
        <v>12</v>
      </c>
      <c r="D5784" s="129" t="s">
        <v>15776</v>
      </c>
    </row>
    <row r="5785" spans="1:4">
      <c r="A5785" s="105">
        <v>102204</v>
      </c>
      <c r="B5785" s="104" t="s">
        <v>5713</v>
      </c>
      <c r="C5785" s="104" t="s">
        <v>12</v>
      </c>
      <c r="D5785" s="129" t="s">
        <v>15810</v>
      </c>
    </row>
    <row r="5786" spans="1:4">
      <c r="A5786" s="105">
        <v>102205</v>
      </c>
      <c r="B5786" s="104" t="s">
        <v>5714</v>
      </c>
      <c r="C5786" s="104" t="s">
        <v>12</v>
      </c>
      <c r="D5786" s="129" t="s">
        <v>23897</v>
      </c>
    </row>
    <row r="5787" spans="1:4">
      <c r="A5787" s="105">
        <v>102207</v>
      </c>
      <c r="B5787" s="104" t="s">
        <v>5715</v>
      </c>
      <c r="C5787" s="104" t="s">
        <v>12</v>
      </c>
      <c r="D5787" s="129" t="s">
        <v>15383</v>
      </c>
    </row>
    <row r="5788" spans="1:4">
      <c r="A5788" s="105">
        <v>102208</v>
      </c>
      <c r="B5788" s="104" t="s">
        <v>5716</v>
      </c>
      <c r="C5788" s="104" t="s">
        <v>12</v>
      </c>
      <c r="D5788" s="129" t="s">
        <v>15495</v>
      </c>
    </row>
    <row r="5789" spans="1:4">
      <c r="A5789" s="105">
        <v>102209</v>
      </c>
      <c r="B5789" s="104" t="s">
        <v>5717</v>
      </c>
      <c r="C5789" s="104" t="s">
        <v>12</v>
      </c>
      <c r="D5789" s="129" t="s">
        <v>20506</v>
      </c>
    </row>
    <row r="5790" spans="1:4">
      <c r="A5790" s="105">
        <v>102210</v>
      </c>
      <c r="B5790" s="104" t="s">
        <v>5718</v>
      </c>
      <c r="C5790" s="104" t="s">
        <v>12</v>
      </c>
      <c r="D5790" s="129" t="s">
        <v>15597</v>
      </c>
    </row>
    <row r="5791" spans="1:4">
      <c r="A5791" s="105">
        <v>102213</v>
      </c>
      <c r="B5791" s="104" t="s">
        <v>5719</v>
      </c>
      <c r="C5791" s="104" t="s">
        <v>12</v>
      </c>
      <c r="D5791" s="129" t="s">
        <v>19423</v>
      </c>
    </row>
    <row r="5792" spans="1:4">
      <c r="A5792" s="105">
        <v>102214</v>
      </c>
      <c r="B5792" s="104" t="s">
        <v>5720</v>
      </c>
      <c r="C5792" s="104" t="s">
        <v>12</v>
      </c>
      <c r="D5792" s="129" t="s">
        <v>23898</v>
      </c>
    </row>
    <row r="5793" spans="1:4">
      <c r="A5793" s="105">
        <v>102215</v>
      </c>
      <c r="B5793" s="104" t="s">
        <v>5721</v>
      </c>
      <c r="C5793" s="104" t="s">
        <v>12</v>
      </c>
      <c r="D5793" s="129" t="s">
        <v>18023</v>
      </c>
    </row>
    <row r="5794" spans="1:4">
      <c r="A5794" s="105">
        <v>102217</v>
      </c>
      <c r="B5794" s="104" t="s">
        <v>5722</v>
      </c>
      <c r="C5794" s="104" t="s">
        <v>12</v>
      </c>
      <c r="D5794" s="129" t="s">
        <v>22691</v>
      </c>
    </row>
    <row r="5795" spans="1:4">
      <c r="A5795" s="105">
        <v>102218</v>
      </c>
      <c r="B5795" s="104" t="s">
        <v>5723</v>
      </c>
      <c r="C5795" s="104" t="s">
        <v>12</v>
      </c>
      <c r="D5795" s="129" t="s">
        <v>18409</v>
      </c>
    </row>
    <row r="5796" spans="1:4">
      <c r="A5796" s="105">
        <v>102219</v>
      </c>
      <c r="B5796" s="104" t="s">
        <v>5724</v>
      </c>
      <c r="C5796" s="104" t="s">
        <v>12</v>
      </c>
      <c r="D5796" s="129" t="s">
        <v>17237</v>
      </c>
    </row>
    <row r="5797" spans="1:4">
      <c r="A5797" s="105">
        <v>102220</v>
      </c>
      <c r="B5797" s="104" t="s">
        <v>5725</v>
      </c>
      <c r="C5797" s="104" t="s">
        <v>12</v>
      </c>
      <c r="D5797" s="129" t="s">
        <v>19581</v>
      </c>
    </row>
    <row r="5798" spans="1:4">
      <c r="A5798" s="105">
        <v>102223</v>
      </c>
      <c r="B5798" s="104" t="s">
        <v>5726</v>
      </c>
      <c r="C5798" s="104" t="s">
        <v>12</v>
      </c>
      <c r="D5798" s="129" t="s">
        <v>15336</v>
      </c>
    </row>
    <row r="5799" spans="1:4">
      <c r="A5799" s="105">
        <v>102224</v>
      </c>
      <c r="B5799" s="104" t="s">
        <v>5727</v>
      </c>
      <c r="C5799" s="104" t="s">
        <v>12</v>
      </c>
      <c r="D5799" s="129" t="s">
        <v>15876</v>
      </c>
    </row>
    <row r="5800" spans="1:4">
      <c r="A5800" s="105">
        <v>102225</v>
      </c>
      <c r="B5800" s="104" t="s">
        <v>5728</v>
      </c>
      <c r="C5800" s="104" t="s">
        <v>12</v>
      </c>
      <c r="D5800" s="129" t="s">
        <v>20194</v>
      </c>
    </row>
    <row r="5801" spans="1:4">
      <c r="A5801" s="105">
        <v>102227</v>
      </c>
      <c r="B5801" s="104" t="s">
        <v>5729</v>
      </c>
      <c r="C5801" s="104" t="s">
        <v>12</v>
      </c>
      <c r="D5801" s="129" t="s">
        <v>23899</v>
      </c>
    </row>
    <row r="5802" spans="1:4">
      <c r="A5802" s="105">
        <v>102228</v>
      </c>
      <c r="B5802" s="104" t="s">
        <v>5730</v>
      </c>
      <c r="C5802" s="104" t="s">
        <v>12</v>
      </c>
      <c r="D5802" s="129" t="s">
        <v>23900</v>
      </c>
    </row>
    <row r="5803" spans="1:4">
      <c r="A5803" s="105">
        <v>102229</v>
      </c>
      <c r="B5803" s="104" t="s">
        <v>5731</v>
      </c>
      <c r="C5803" s="104" t="s">
        <v>12</v>
      </c>
      <c r="D5803" s="129" t="s">
        <v>22990</v>
      </c>
    </row>
    <row r="5804" spans="1:4">
      <c r="A5804" s="105">
        <v>102230</v>
      </c>
      <c r="B5804" s="104" t="s">
        <v>5732</v>
      </c>
      <c r="C5804" s="104" t="s">
        <v>12</v>
      </c>
      <c r="D5804" s="129" t="s">
        <v>16589</v>
      </c>
    </row>
    <row r="5805" spans="1:4">
      <c r="A5805" s="105">
        <v>102233</v>
      </c>
      <c r="B5805" s="104" t="s">
        <v>5733</v>
      </c>
      <c r="C5805" s="104" t="s">
        <v>12</v>
      </c>
      <c r="D5805" s="129" t="s">
        <v>18035</v>
      </c>
    </row>
    <row r="5806" spans="1:4">
      <c r="A5806" s="105">
        <v>102234</v>
      </c>
      <c r="B5806" s="104" t="s">
        <v>5734</v>
      </c>
      <c r="C5806" s="104" t="s">
        <v>12</v>
      </c>
      <c r="D5806" s="129" t="s">
        <v>18323</v>
      </c>
    </row>
    <row r="5807" spans="1:4">
      <c r="A5807" s="105">
        <v>100716</v>
      </c>
      <c r="B5807" s="104" t="s">
        <v>5735</v>
      </c>
      <c r="C5807" s="104" t="s">
        <v>12</v>
      </c>
      <c r="D5807" s="129" t="s">
        <v>15787</v>
      </c>
    </row>
    <row r="5808" spans="1:4">
      <c r="A5808" s="105">
        <v>100717</v>
      </c>
      <c r="B5808" s="104" t="s">
        <v>5736</v>
      </c>
      <c r="C5808" s="104" t="s">
        <v>12</v>
      </c>
      <c r="D5808" s="129" t="s">
        <v>22773</v>
      </c>
    </row>
    <row r="5809" spans="1:4">
      <c r="A5809" s="105">
        <v>100718</v>
      </c>
      <c r="B5809" s="104" t="s">
        <v>5737</v>
      </c>
      <c r="C5809" s="104" t="s">
        <v>40</v>
      </c>
      <c r="D5809" s="129" t="s">
        <v>20150</v>
      </c>
    </row>
    <row r="5810" spans="1:4">
      <c r="A5810" s="105">
        <v>100719</v>
      </c>
      <c r="B5810" s="104" t="s">
        <v>5738</v>
      </c>
      <c r="C5810" s="104" t="s">
        <v>12</v>
      </c>
      <c r="D5810" s="129" t="s">
        <v>17231</v>
      </c>
    </row>
    <row r="5811" spans="1:4">
      <c r="A5811" s="105">
        <v>100720</v>
      </c>
      <c r="B5811" s="104" t="s">
        <v>5739</v>
      </c>
      <c r="C5811" s="104" t="s">
        <v>12</v>
      </c>
      <c r="D5811" s="129" t="s">
        <v>23123</v>
      </c>
    </row>
    <row r="5812" spans="1:4">
      <c r="A5812" s="105">
        <v>100721</v>
      </c>
      <c r="B5812" s="104" t="s">
        <v>5740</v>
      </c>
      <c r="C5812" s="104" t="s">
        <v>12</v>
      </c>
      <c r="D5812" s="129" t="s">
        <v>19614</v>
      </c>
    </row>
    <row r="5813" spans="1:4">
      <c r="A5813" s="105">
        <v>100722</v>
      </c>
      <c r="B5813" s="104" t="s">
        <v>5741</v>
      </c>
      <c r="C5813" s="104" t="s">
        <v>12</v>
      </c>
      <c r="D5813" s="129" t="s">
        <v>16589</v>
      </c>
    </row>
    <row r="5814" spans="1:4">
      <c r="A5814" s="105">
        <v>100723</v>
      </c>
      <c r="B5814" s="104" t="s">
        <v>5742</v>
      </c>
      <c r="C5814" s="104" t="s">
        <v>12</v>
      </c>
      <c r="D5814" s="129" t="s">
        <v>17213</v>
      </c>
    </row>
    <row r="5815" spans="1:4">
      <c r="A5815" s="105">
        <v>100724</v>
      </c>
      <c r="B5815" s="104" t="s">
        <v>5743</v>
      </c>
      <c r="C5815" s="104" t="s">
        <v>12</v>
      </c>
      <c r="D5815" s="129" t="s">
        <v>18100</v>
      </c>
    </row>
    <row r="5816" spans="1:4">
      <c r="A5816" s="105">
        <v>100725</v>
      </c>
      <c r="B5816" s="104" t="s">
        <v>5744</v>
      </c>
      <c r="C5816" s="104" t="s">
        <v>12</v>
      </c>
      <c r="D5816" s="129" t="s">
        <v>22885</v>
      </c>
    </row>
    <row r="5817" spans="1:4">
      <c r="A5817" s="105">
        <v>100726</v>
      </c>
      <c r="B5817" s="104" t="s">
        <v>5745</v>
      </c>
      <c r="C5817" s="104" t="s">
        <v>12</v>
      </c>
      <c r="D5817" s="129" t="s">
        <v>23901</v>
      </c>
    </row>
    <row r="5818" spans="1:4">
      <c r="A5818" s="105">
        <v>100727</v>
      </c>
      <c r="B5818" s="104" t="s">
        <v>5746</v>
      </c>
      <c r="C5818" s="104" t="s">
        <v>12</v>
      </c>
      <c r="D5818" s="129" t="s">
        <v>20227</v>
      </c>
    </row>
    <row r="5819" spans="1:4">
      <c r="A5819" s="105">
        <v>100728</v>
      </c>
      <c r="B5819" s="104" t="s">
        <v>5747</v>
      </c>
      <c r="C5819" s="104" t="s">
        <v>12</v>
      </c>
      <c r="D5819" s="129" t="s">
        <v>20260</v>
      </c>
    </row>
    <row r="5820" spans="1:4">
      <c r="A5820" s="105">
        <v>100729</v>
      </c>
      <c r="B5820" s="104" t="s">
        <v>5748</v>
      </c>
      <c r="C5820" s="104" t="s">
        <v>12</v>
      </c>
      <c r="D5820" s="129" t="s">
        <v>23902</v>
      </c>
    </row>
    <row r="5821" spans="1:4">
      <c r="A5821" s="105">
        <v>100730</v>
      </c>
      <c r="B5821" s="104" t="s">
        <v>5749</v>
      </c>
      <c r="C5821" s="104" t="s">
        <v>12</v>
      </c>
      <c r="D5821" s="129" t="s">
        <v>18105</v>
      </c>
    </row>
    <row r="5822" spans="1:4">
      <c r="A5822" s="105">
        <v>100733</v>
      </c>
      <c r="B5822" s="104" t="s">
        <v>5750</v>
      </c>
      <c r="C5822" s="104" t="s">
        <v>12</v>
      </c>
      <c r="D5822" s="129" t="s">
        <v>23124</v>
      </c>
    </row>
    <row r="5823" spans="1:4">
      <c r="A5823" s="105">
        <v>100734</v>
      </c>
      <c r="B5823" s="104" t="s">
        <v>5751</v>
      </c>
      <c r="C5823" s="104" t="s">
        <v>12</v>
      </c>
      <c r="D5823" s="129" t="s">
        <v>17799</v>
      </c>
    </row>
    <row r="5824" spans="1:4">
      <c r="A5824" s="105">
        <v>100735</v>
      </c>
      <c r="B5824" s="104" t="s">
        <v>5752</v>
      </c>
      <c r="C5824" s="104" t="s">
        <v>12</v>
      </c>
      <c r="D5824" s="129" t="s">
        <v>17274</v>
      </c>
    </row>
    <row r="5825" spans="1:4">
      <c r="A5825" s="105">
        <v>100736</v>
      </c>
      <c r="B5825" s="104" t="s">
        <v>5753</v>
      </c>
      <c r="C5825" s="104" t="s">
        <v>12</v>
      </c>
      <c r="D5825" s="129" t="s">
        <v>19263</v>
      </c>
    </row>
    <row r="5826" spans="1:4">
      <c r="A5826" s="105">
        <v>100739</v>
      </c>
      <c r="B5826" s="104" t="s">
        <v>5754</v>
      </c>
      <c r="C5826" s="104" t="s">
        <v>12</v>
      </c>
      <c r="D5826" s="129" t="s">
        <v>17189</v>
      </c>
    </row>
    <row r="5827" spans="1:4">
      <c r="A5827" s="105">
        <v>100740</v>
      </c>
      <c r="B5827" s="104" t="s">
        <v>5755</v>
      </c>
      <c r="C5827" s="104" t="s">
        <v>12</v>
      </c>
      <c r="D5827" s="129" t="s">
        <v>18123</v>
      </c>
    </row>
    <row r="5828" spans="1:4">
      <c r="A5828" s="105">
        <v>100741</v>
      </c>
      <c r="B5828" s="104" t="s">
        <v>5756</v>
      </c>
      <c r="C5828" s="104" t="s">
        <v>12</v>
      </c>
      <c r="D5828" s="129" t="s">
        <v>17733</v>
      </c>
    </row>
    <row r="5829" spans="1:4">
      <c r="A5829" s="105">
        <v>100742</v>
      </c>
      <c r="B5829" s="104" t="s">
        <v>5757</v>
      </c>
      <c r="C5829" s="104" t="s">
        <v>12</v>
      </c>
      <c r="D5829" s="129" t="s">
        <v>18480</v>
      </c>
    </row>
    <row r="5830" spans="1:4">
      <c r="A5830" s="105">
        <v>100743</v>
      </c>
      <c r="B5830" s="104" t="s">
        <v>5758</v>
      </c>
      <c r="C5830" s="104" t="s">
        <v>12</v>
      </c>
      <c r="D5830" s="129" t="s">
        <v>15824</v>
      </c>
    </row>
    <row r="5831" spans="1:4">
      <c r="A5831" s="105">
        <v>100744</v>
      </c>
      <c r="B5831" s="104" t="s">
        <v>5759</v>
      </c>
      <c r="C5831" s="104" t="s">
        <v>12</v>
      </c>
      <c r="D5831" s="129" t="s">
        <v>19616</v>
      </c>
    </row>
    <row r="5832" spans="1:4">
      <c r="A5832" s="105">
        <v>100745</v>
      </c>
      <c r="B5832" s="104" t="s">
        <v>5760</v>
      </c>
      <c r="C5832" s="104" t="s">
        <v>12</v>
      </c>
      <c r="D5832" s="129" t="s">
        <v>18105</v>
      </c>
    </row>
    <row r="5833" spans="1:4">
      <c r="A5833" s="105">
        <v>100746</v>
      </c>
      <c r="B5833" s="104" t="s">
        <v>5761</v>
      </c>
      <c r="C5833" s="104" t="s">
        <v>12</v>
      </c>
      <c r="D5833" s="129" t="s">
        <v>15200</v>
      </c>
    </row>
    <row r="5834" spans="1:4">
      <c r="A5834" s="105">
        <v>100747</v>
      </c>
      <c r="B5834" s="104" t="s">
        <v>5762</v>
      </c>
      <c r="C5834" s="104" t="s">
        <v>12</v>
      </c>
      <c r="D5834" s="129" t="s">
        <v>18848</v>
      </c>
    </row>
    <row r="5835" spans="1:4">
      <c r="A5835" s="105">
        <v>100748</v>
      </c>
      <c r="B5835" s="104" t="s">
        <v>5763</v>
      </c>
      <c r="C5835" s="104" t="s">
        <v>12</v>
      </c>
      <c r="D5835" s="129" t="s">
        <v>23903</v>
      </c>
    </row>
    <row r="5836" spans="1:4">
      <c r="A5836" s="105">
        <v>100749</v>
      </c>
      <c r="B5836" s="104" t="s">
        <v>5764</v>
      </c>
      <c r="C5836" s="104" t="s">
        <v>12</v>
      </c>
      <c r="D5836" s="129" t="s">
        <v>20133</v>
      </c>
    </row>
    <row r="5837" spans="1:4">
      <c r="A5837" s="105">
        <v>100750</v>
      </c>
      <c r="B5837" s="104" t="s">
        <v>5765</v>
      </c>
      <c r="C5837" s="104" t="s">
        <v>12</v>
      </c>
      <c r="D5837" s="129" t="s">
        <v>19078</v>
      </c>
    </row>
    <row r="5838" spans="1:4">
      <c r="A5838" s="105">
        <v>100751</v>
      </c>
      <c r="B5838" s="104" t="s">
        <v>5766</v>
      </c>
      <c r="C5838" s="104" t="s">
        <v>12</v>
      </c>
      <c r="D5838" s="129" t="s">
        <v>22940</v>
      </c>
    </row>
    <row r="5839" spans="1:4">
      <c r="A5839" s="105">
        <v>100752</v>
      </c>
      <c r="B5839" s="104" t="s">
        <v>5767</v>
      </c>
      <c r="C5839" s="104" t="s">
        <v>12</v>
      </c>
      <c r="D5839" s="129" t="s">
        <v>23904</v>
      </c>
    </row>
    <row r="5840" spans="1:4">
      <c r="A5840" s="105">
        <v>100753</v>
      </c>
      <c r="B5840" s="104" t="s">
        <v>5768</v>
      </c>
      <c r="C5840" s="104" t="s">
        <v>12</v>
      </c>
      <c r="D5840" s="129" t="s">
        <v>23905</v>
      </c>
    </row>
    <row r="5841" spans="1:4">
      <c r="A5841" s="105">
        <v>100754</v>
      </c>
      <c r="B5841" s="104" t="s">
        <v>5769</v>
      </c>
      <c r="C5841" s="104" t="s">
        <v>12</v>
      </c>
      <c r="D5841" s="129" t="s">
        <v>19477</v>
      </c>
    </row>
    <row r="5842" spans="1:4">
      <c r="A5842" s="105">
        <v>100757</v>
      </c>
      <c r="B5842" s="104" t="s">
        <v>5770</v>
      </c>
      <c r="C5842" s="104" t="s">
        <v>12</v>
      </c>
      <c r="D5842" s="129" t="s">
        <v>20871</v>
      </c>
    </row>
    <row r="5843" spans="1:4">
      <c r="A5843" s="105">
        <v>100758</v>
      </c>
      <c r="B5843" s="104" t="s">
        <v>5771</v>
      </c>
      <c r="C5843" s="104" t="s">
        <v>12</v>
      </c>
      <c r="D5843" s="129" t="s">
        <v>22532</v>
      </c>
    </row>
    <row r="5844" spans="1:4">
      <c r="A5844" s="105">
        <v>100759</v>
      </c>
      <c r="B5844" s="104" t="s">
        <v>252</v>
      </c>
      <c r="C5844" s="104" t="s">
        <v>12</v>
      </c>
      <c r="D5844" s="129" t="s">
        <v>23906</v>
      </c>
    </row>
    <row r="5845" spans="1:4">
      <c r="A5845" s="105">
        <v>100760</v>
      </c>
      <c r="B5845" s="104" t="s">
        <v>5772</v>
      </c>
      <c r="C5845" s="104" t="s">
        <v>12</v>
      </c>
      <c r="D5845" s="129" t="s">
        <v>15698</v>
      </c>
    </row>
    <row r="5846" spans="1:4">
      <c r="A5846" s="105">
        <v>100761</v>
      </c>
      <c r="B5846" s="104" t="s">
        <v>5773</v>
      </c>
      <c r="C5846" s="104" t="s">
        <v>12</v>
      </c>
      <c r="D5846" s="129" t="s">
        <v>20304</v>
      </c>
    </row>
    <row r="5847" spans="1:4">
      <c r="A5847" s="105">
        <v>100762</v>
      </c>
      <c r="B5847" s="104" t="s">
        <v>5774</v>
      </c>
      <c r="C5847" s="104" t="s">
        <v>12</v>
      </c>
      <c r="D5847" s="129" t="s">
        <v>23907</v>
      </c>
    </row>
    <row r="5848" spans="1:4">
      <c r="A5848" s="105">
        <v>102488</v>
      </c>
      <c r="B5848" s="104" t="s">
        <v>5775</v>
      </c>
      <c r="C5848" s="104" t="s">
        <v>12</v>
      </c>
      <c r="D5848" s="129" t="s">
        <v>19500</v>
      </c>
    </row>
    <row r="5849" spans="1:4">
      <c r="A5849" s="105">
        <v>102489</v>
      </c>
      <c r="B5849" s="104" t="s">
        <v>5776</v>
      </c>
      <c r="C5849" s="104" t="s">
        <v>12</v>
      </c>
      <c r="D5849" s="129" t="s">
        <v>17426</v>
      </c>
    </row>
    <row r="5850" spans="1:4">
      <c r="A5850" s="105">
        <v>102491</v>
      </c>
      <c r="B5850" s="104" t="s">
        <v>5777</v>
      </c>
      <c r="C5850" s="104" t="s">
        <v>12</v>
      </c>
      <c r="D5850" s="129" t="s">
        <v>23908</v>
      </c>
    </row>
    <row r="5851" spans="1:4">
      <c r="A5851" s="105">
        <v>102492</v>
      </c>
      <c r="B5851" s="104" t="s">
        <v>5778</v>
      </c>
      <c r="C5851" s="104" t="s">
        <v>12</v>
      </c>
      <c r="D5851" s="129" t="s">
        <v>23909</v>
      </c>
    </row>
    <row r="5852" spans="1:4">
      <c r="A5852" s="105">
        <v>102494</v>
      </c>
      <c r="B5852" s="104" t="s">
        <v>160</v>
      </c>
      <c r="C5852" s="104" t="s">
        <v>12</v>
      </c>
      <c r="D5852" s="129" t="s">
        <v>18251</v>
      </c>
    </row>
    <row r="5853" spans="1:4">
      <c r="A5853" s="105">
        <v>102496</v>
      </c>
      <c r="B5853" s="104" t="s">
        <v>5779</v>
      </c>
      <c r="C5853" s="104" t="s">
        <v>40</v>
      </c>
      <c r="D5853" s="129" t="s">
        <v>14855</v>
      </c>
    </row>
    <row r="5854" spans="1:4">
      <c r="A5854" s="105">
        <v>102497</v>
      </c>
      <c r="B5854" s="104" t="s">
        <v>5780</v>
      </c>
      <c r="C5854" s="104" t="s">
        <v>40</v>
      </c>
      <c r="D5854" s="129" t="s">
        <v>15727</v>
      </c>
    </row>
    <row r="5855" spans="1:4">
      <c r="A5855" s="105">
        <v>102498</v>
      </c>
      <c r="B5855" s="104" t="s">
        <v>5781</v>
      </c>
      <c r="C5855" s="104" t="s">
        <v>40</v>
      </c>
      <c r="D5855" s="129" t="s">
        <v>19511</v>
      </c>
    </row>
    <row r="5856" spans="1:4">
      <c r="A5856" s="105">
        <v>102499</v>
      </c>
      <c r="B5856" s="104" t="s">
        <v>5782</v>
      </c>
      <c r="C5856" s="104" t="s">
        <v>12</v>
      </c>
      <c r="D5856" s="129" t="s">
        <v>20137</v>
      </c>
    </row>
    <row r="5857" spans="1:4">
      <c r="A5857" s="105">
        <v>102500</v>
      </c>
      <c r="B5857" s="104" t="s">
        <v>5783</v>
      </c>
      <c r="C5857" s="104" t="s">
        <v>40</v>
      </c>
      <c r="D5857" s="129" t="s">
        <v>23910</v>
      </c>
    </row>
    <row r="5858" spans="1:4">
      <c r="A5858" s="105">
        <v>102501</v>
      </c>
      <c r="B5858" s="104" t="s">
        <v>5784</v>
      </c>
      <c r="C5858" s="104" t="s">
        <v>12</v>
      </c>
      <c r="D5858" s="129" t="s">
        <v>15749</v>
      </c>
    </row>
    <row r="5859" spans="1:4">
      <c r="A5859" s="105">
        <v>102504</v>
      </c>
      <c r="B5859" s="104" t="s">
        <v>5785</v>
      </c>
      <c r="C5859" s="104" t="s">
        <v>40</v>
      </c>
      <c r="D5859" s="129" t="s">
        <v>15599</v>
      </c>
    </row>
    <row r="5860" spans="1:4">
      <c r="A5860" s="105">
        <v>102505</v>
      </c>
      <c r="B5860" s="104" t="s">
        <v>5786</v>
      </c>
      <c r="C5860" s="104" t="s">
        <v>40</v>
      </c>
      <c r="D5860" s="129" t="s">
        <v>18540</v>
      </c>
    </row>
    <row r="5861" spans="1:4">
      <c r="A5861" s="105">
        <v>102506</v>
      </c>
      <c r="B5861" s="104" t="s">
        <v>5787</v>
      </c>
      <c r="C5861" s="104" t="s">
        <v>40</v>
      </c>
      <c r="D5861" s="129" t="s">
        <v>23124</v>
      </c>
    </row>
    <row r="5862" spans="1:4">
      <c r="A5862" s="105">
        <v>102507</v>
      </c>
      <c r="B5862" s="104" t="s">
        <v>5788</v>
      </c>
      <c r="C5862" s="104" t="s">
        <v>40</v>
      </c>
      <c r="D5862" s="129" t="s">
        <v>15520</v>
      </c>
    </row>
    <row r="5863" spans="1:4">
      <c r="A5863" s="105">
        <v>102508</v>
      </c>
      <c r="B5863" s="104" t="s">
        <v>5789</v>
      </c>
      <c r="C5863" s="104" t="s">
        <v>12</v>
      </c>
      <c r="D5863" s="129" t="s">
        <v>23911</v>
      </c>
    </row>
    <row r="5864" spans="1:4">
      <c r="A5864" s="105">
        <v>102509</v>
      </c>
      <c r="B5864" s="104" t="s">
        <v>5790</v>
      </c>
      <c r="C5864" s="104" t="s">
        <v>12</v>
      </c>
      <c r="D5864" s="129" t="s">
        <v>23866</v>
      </c>
    </row>
    <row r="5865" spans="1:4">
      <c r="A5865" s="105">
        <v>102512</v>
      </c>
      <c r="B5865" s="104" t="s">
        <v>5791</v>
      </c>
      <c r="C5865" s="104" t="s">
        <v>40</v>
      </c>
      <c r="D5865" s="129" t="s">
        <v>20076</v>
      </c>
    </row>
    <row r="5866" spans="1:4">
      <c r="A5866" s="105">
        <v>102513</v>
      </c>
      <c r="B5866" s="104" t="s">
        <v>5792</v>
      </c>
      <c r="C5866" s="104" t="s">
        <v>12</v>
      </c>
      <c r="D5866" s="129" t="s">
        <v>19823</v>
      </c>
    </row>
    <row r="5867" spans="1:4">
      <c r="A5867" s="105">
        <v>102520</v>
      </c>
      <c r="B5867" s="104" t="s">
        <v>5793</v>
      </c>
      <c r="C5867" s="104" t="s">
        <v>12</v>
      </c>
      <c r="D5867" s="129" t="s">
        <v>23912</v>
      </c>
    </row>
    <row r="5868" spans="1:4">
      <c r="A5868" s="105">
        <v>101749</v>
      </c>
      <c r="B5868" s="104" t="s">
        <v>5794</v>
      </c>
      <c r="C5868" s="104" t="s">
        <v>12</v>
      </c>
      <c r="D5868" s="129" t="s">
        <v>20958</v>
      </c>
    </row>
    <row r="5869" spans="1:4">
      <c r="A5869" s="105">
        <v>101750</v>
      </c>
      <c r="B5869" s="104" t="s">
        <v>5795</v>
      </c>
      <c r="C5869" s="104" t="s">
        <v>12</v>
      </c>
      <c r="D5869" s="129" t="s">
        <v>23913</v>
      </c>
    </row>
    <row r="5870" spans="1:4">
      <c r="A5870" s="105">
        <v>101729</v>
      </c>
      <c r="B5870" s="104" t="s">
        <v>5796</v>
      </c>
      <c r="C5870" s="104" t="s">
        <v>12</v>
      </c>
      <c r="D5870" s="129" t="s">
        <v>23914</v>
      </c>
    </row>
    <row r="5871" spans="1:4">
      <c r="A5871" s="105">
        <v>101746</v>
      </c>
      <c r="B5871" s="104" t="s">
        <v>5797</v>
      </c>
      <c r="C5871" s="104" t="s">
        <v>12</v>
      </c>
      <c r="D5871" s="129" t="s">
        <v>23915</v>
      </c>
    </row>
    <row r="5872" spans="1:4">
      <c r="A5872" s="105">
        <v>101751</v>
      </c>
      <c r="B5872" s="104" t="s">
        <v>5798</v>
      </c>
      <c r="C5872" s="104" t="s">
        <v>12</v>
      </c>
      <c r="D5872" s="129" t="s">
        <v>23916</v>
      </c>
    </row>
    <row r="5873" spans="1:4">
      <c r="A5873" s="105">
        <v>87246</v>
      </c>
      <c r="B5873" s="104" t="s">
        <v>5799</v>
      </c>
      <c r="C5873" s="104" t="s">
        <v>12</v>
      </c>
      <c r="D5873" s="129" t="s">
        <v>21742</v>
      </c>
    </row>
    <row r="5874" spans="1:4">
      <c r="A5874" s="105">
        <v>87247</v>
      </c>
      <c r="B5874" s="104" t="s">
        <v>5800</v>
      </c>
      <c r="C5874" s="104" t="s">
        <v>12</v>
      </c>
      <c r="D5874" s="129" t="s">
        <v>22953</v>
      </c>
    </row>
    <row r="5875" spans="1:4">
      <c r="A5875" s="105">
        <v>87248</v>
      </c>
      <c r="B5875" s="104" t="s">
        <v>5801</v>
      </c>
      <c r="C5875" s="104" t="s">
        <v>12</v>
      </c>
      <c r="D5875" s="129" t="s">
        <v>23917</v>
      </c>
    </row>
    <row r="5876" spans="1:4">
      <c r="A5876" s="105">
        <v>87249</v>
      </c>
      <c r="B5876" s="104" t="s">
        <v>5802</v>
      </c>
      <c r="C5876" s="104" t="s">
        <v>12</v>
      </c>
      <c r="D5876" s="129" t="s">
        <v>23918</v>
      </c>
    </row>
    <row r="5877" spans="1:4">
      <c r="A5877" s="105">
        <v>87250</v>
      </c>
      <c r="B5877" s="104" t="s">
        <v>5803</v>
      </c>
      <c r="C5877" s="104" t="s">
        <v>12</v>
      </c>
      <c r="D5877" s="129" t="s">
        <v>23919</v>
      </c>
    </row>
    <row r="5878" spans="1:4">
      <c r="A5878" s="105">
        <v>87251</v>
      </c>
      <c r="B5878" s="104" t="s">
        <v>5804</v>
      </c>
      <c r="C5878" s="104" t="s">
        <v>12</v>
      </c>
      <c r="D5878" s="129" t="s">
        <v>23920</v>
      </c>
    </row>
    <row r="5879" spans="1:4">
      <c r="A5879" s="105">
        <v>87255</v>
      </c>
      <c r="B5879" s="104" t="s">
        <v>5805</v>
      </c>
      <c r="C5879" s="104" t="s">
        <v>12</v>
      </c>
      <c r="D5879" s="129" t="s">
        <v>23921</v>
      </c>
    </row>
    <row r="5880" spans="1:4">
      <c r="A5880" s="105">
        <v>87256</v>
      </c>
      <c r="B5880" s="104" t="s">
        <v>5806</v>
      </c>
      <c r="C5880" s="104" t="s">
        <v>12</v>
      </c>
      <c r="D5880" s="129" t="s">
        <v>23922</v>
      </c>
    </row>
    <row r="5881" spans="1:4">
      <c r="A5881" s="105">
        <v>87257</v>
      </c>
      <c r="B5881" s="104" t="s">
        <v>5807</v>
      </c>
      <c r="C5881" s="104" t="s">
        <v>12</v>
      </c>
      <c r="D5881" s="129" t="s">
        <v>23113</v>
      </c>
    </row>
    <row r="5882" spans="1:4">
      <c r="A5882" s="105">
        <v>87258</v>
      </c>
      <c r="B5882" s="104" t="s">
        <v>5808</v>
      </c>
      <c r="C5882" s="104" t="s">
        <v>12</v>
      </c>
      <c r="D5882" s="129" t="s">
        <v>23923</v>
      </c>
    </row>
    <row r="5883" spans="1:4">
      <c r="A5883" s="105">
        <v>87259</v>
      </c>
      <c r="B5883" s="104" t="s">
        <v>5809</v>
      </c>
      <c r="C5883" s="104" t="s">
        <v>12</v>
      </c>
      <c r="D5883" s="129" t="s">
        <v>23924</v>
      </c>
    </row>
    <row r="5884" spans="1:4">
      <c r="A5884" s="105">
        <v>87260</v>
      </c>
      <c r="B5884" s="104" t="s">
        <v>5810</v>
      </c>
      <c r="C5884" s="104" t="s">
        <v>12</v>
      </c>
      <c r="D5884" s="129" t="s">
        <v>23925</v>
      </c>
    </row>
    <row r="5885" spans="1:4">
      <c r="A5885" s="105">
        <v>87261</v>
      </c>
      <c r="B5885" s="104" t="s">
        <v>5811</v>
      </c>
      <c r="C5885" s="104" t="s">
        <v>12</v>
      </c>
      <c r="D5885" s="129" t="s">
        <v>23926</v>
      </c>
    </row>
    <row r="5886" spans="1:4">
      <c r="A5886" s="105">
        <v>87262</v>
      </c>
      <c r="B5886" s="104" t="s">
        <v>5812</v>
      </c>
      <c r="C5886" s="104" t="s">
        <v>12</v>
      </c>
      <c r="D5886" s="129" t="s">
        <v>23927</v>
      </c>
    </row>
    <row r="5887" spans="1:4">
      <c r="A5887" s="105">
        <v>87263</v>
      </c>
      <c r="B5887" s="104" t="s">
        <v>69</v>
      </c>
      <c r="C5887" s="104" t="s">
        <v>12</v>
      </c>
      <c r="D5887" s="129" t="s">
        <v>23928</v>
      </c>
    </row>
    <row r="5888" spans="1:4">
      <c r="A5888" s="105">
        <v>89046</v>
      </c>
      <c r="B5888" s="104" t="s">
        <v>5813</v>
      </c>
      <c r="C5888" s="104" t="s">
        <v>12</v>
      </c>
      <c r="D5888" s="129" t="s">
        <v>23929</v>
      </c>
    </row>
    <row r="5889" spans="1:4">
      <c r="A5889" s="105">
        <v>89171</v>
      </c>
      <c r="B5889" s="104" t="s">
        <v>5814</v>
      </c>
      <c r="C5889" s="104" t="s">
        <v>12</v>
      </c>
      <c r="D5889" s="129" t="s">
        <v>23930</v>
      </c>
    </row>
    <row r="5890" spans="1:4">
      <c r="A5890" s="105">
        <v>93389</v>
      </c>
      <c r="B5890" s="104" t="s">
        <v>5815</v>
      </c>
      <c r="C5890" s="104" t="s">
        <v>12</v>
      </c>
      <c r="D5890" s="129" t="s">
        <v>23931</v>
      </c>
    </row>
    <row r="5891" spans="1:4">
      <c r="A5891" s="105">
        <v>93390</v>
      </c>
      <c r="B5891" s="104" t="s">
        <v>5816</v>
      </c>
      <c r="C5891" s="104" t="s">
        <v>12</v>
      </c>
      <c r="D5891" s="129" t="s">
        <v>23932</v>
      </c>
    </row>
    <row r="5892" spans="1:4">
      <c r="A5892" s="105">
        <v>93391</v>
      </c>
      <c r="B5892" s="104" t="s">
        <v>5817</v>
      </c>
      <c r="C5892" s="104" t="s">
        <v>12</v>
      </c>
      <c r="D5892" s="129" t="s">
        <v>18656</v>
      </c>
    </row>
    <row r="5893" spans="1:4">
      <c r="A5893" s="105">
        <v>98671</v>
      </c>
      <c r="B5893" s="104" t="s">
        <v>5818</v>
      </c>
      <c r="C5893" s="104" t="s">
        <v>12</v>
      </c>
      <c r="D5893" s="129" t="s">
        <v>23933</v>
      </c>
    </row>
    <row r="5894" spans="1:4">
      <c r="A5894" s="105">
        <v>98672</v>
      </c>
      <c r="B5894" s="104" t="s">
        <v>5819</v>
      </c>
      <c r="C5894" s="104" t="s">
        <v>12</v>
      </c>
      <c r="D5894" s="129" t="s">
        <v>23934</v>
      </c>
    </row>
    <row r="5895" spans="1:4">
      <c r="A5895" s="105">
        <v>98678</v>
      </c>
      <c r="B5895" s="104" t="s">
        <v>5820</v>
      </c>
      <c r="C5895" s="104" t="s">
        <v>12</v>
      </c>
      <c r="D5895" s="129" t="s">
        <v>23935</v>
      </c>
    </row>
    <row r="5896" spans="1:4">
      <c r="A5896" s="105">
        <v>98679</v>
      </c>
      <c r="B5896" s="104" t="s">
        <v>5821</v>
      </c>
      <c r="C5896" s="104" t="s">
        <v>12</v>
      </c>
      <c r="D5896" s="129" t="s">
        <v>18624</v>
      </c>
    </row>
    <row r="5897" spans="1:4">
      <c r="A5897" s="105">
        <v>98680</v>
      </c>
      <c r="B5897" s="104" t="s">
        <v>5822</v>
      </c>
      <c r="C5897" s="104" t="s">
        <v>12</v>
      </c>
      <c r="D5897" s="129" t="s">
        <v>18181</v>
      </c>
    </row>
    <row r="5898" spans="1:4">
      <c r="A5898" s="105">
        <v>98681</v>
      </c>
      <c r="B5898" s="104" t="s">
        <v>5823</v>
      </c>
      <c r="C5898" s="104" t="s">
        <v>12</v>
      </c>
      <c r="D5898" s="129" t="s">
        <v>23936</v>
      </c>
    </row>
    <row r="5899" spans="1:4">
      <c r="A5899" s="105">
        <v>98682</v>
      </c>
      <c r="B5899" s="104" t="s">
        <v>5824</v>
      </c>
      <c r="C5899" s="104" t="s">
        <v>12</v>
      </c>
      <c r="D5899" s="129" t="s">
        <v>17447</v>
      </c>
    </row>
    <row r="5900" spans="1:4">
      <c r="A5900" s="105">
        <v>98685</v>
      </c>
      <c r="B5900" s="104" t="s">
        <v>5825</v>
      </c>
      <c r="C5900" s="104" t="s">
        <v>40</v>
      </c>
      <c r="D5900" s="129" t="s">
        <v>23937</v>
      </c>
    </row>
    <row r="5901" spans="1:4">
      <c r="A5901" s="105">
        <v>98686</v>
      </c>
      <c r="B5901" s="104" t="s">
        <v>5826</v>
      </c>
      <c r="C5901" s="104" t="s">
        <v>40</v>
      </c>
      <c r="D5901" s="129" t="s">
        <v>22172</v>
      </c>
    </row>
    <row r="5902" spans="1:4">
      <c r="A5902" s="105">
        <v>98688</v>
      </c>
      <c r="B5902" s="104" t="s">
        <v>5827</v>
      </c>
      <c r="C5902" s="104" t="s">
        <v>40</v>
      </c>
      <c r="D5902" s="129" t="s">
        <v>15918</v>
      </c>
    </row>
    <row r="5903" spans="1:4">
      <c r="A5903" s="105">
        <v>98689</v>
      </c>
      <c r="B5903" s="104" t="s">
        <v>5828</v>
      </c>
      <c r="C5903" s="104" t="s">
        <v>40</v>
      </c>
      <c r="D5903" s="129" t="s">
        <v>23938</v>
      </c>
    </row>
    <row r="5904" spans="1:4">
      <c r="A5904" s="105">
        <v>101090</v>
      </c>
      <c r="B5904" s="104" t="s">
        <v>5829</v>
      </c>
      <c r="C5904" s="104" t="s">
        <v>12</v>
      </c>
      <c r="D5904" s="129" t="s">
        <v>22560</v>
      </c>
    </row>
    <row r="5905" spans="1:4">
      <c r="A5905" s="105">
        <v>101091</v>
      </c>
      <c r="B5905" s="104" t="s">
        <v>5830</v>
      </c>
      <c r="C5905" s="104" t="s">
        <v>12</v>
      </c>
      <c r="D5905" s="129" t="s">
        <v>23939</v>
      </c>
    </row>
    <row r="5906" spans="1:4">
      <c r="A5906" s="105">
        <v>101725</v>
      </c>
      <c r="B5906" s="104" t="s">
        <v>5831</v>
      </c>
      <c r="C5906" s="104" t="s">
        <v>12</v>
      </c>
      <c r="D5906" s="129" t="s">
        <v>15113</v>
      </c>
    </row>
    <row r="5907" spans="1:4">
      <c r="A5907" s="105">
        <v>101726</v>
      </c>
      <c r="B5907" s="104" t="s">
        <v>5832</v>
      </c>
      <c r="C5907" s="104" t="s">
        <v>12</v>
      </c>
      <c r="D5907" s="129" t="s">
        <v>23940</v>
      </c>
    </row>
    <row r="5908" spans="1:4">
      <c r="A5908" s="105">
        <v>101731</v>
      </c>
      <c r="B5908" s="104" t="s">
        <v>5833</v>
      </c>
      <c r="C5908" s="104" t="s">
        <v>12</v>
      </c>
      <c r="D5908" s="129" t="s">
        <v>23941</v>
      </c>
    </row>
    <row r="5909" spans="1:4">
      <c r="A5909" s="105">
        <v>101732</v>
      </c>
      <c r="B5909" s="104" t="s">
        <v>5834</v>
      </c>
      <c r="C5909" s="104" t="s">
        <v>12</v>
      </c>
      <c r="D5909" s="129" t="s">
        <v>23942</v>
      </c>
    </row>
    <row r="5910" spans="1:4">
      <c r="A5910" s="105">
        <v>101094</v>
      </c>
      <c r="B5910" s="104" t="s">
        <v>5835</v>
      </c>
      <c r="C5910" s="104" t="s">
        <v>40</v>
      </c>
      <c r="D5910" s="129" t="s">
        <v>23943</v>
      </c>
    </row>
    <row r="5911" spans="1:4">
      <c r="A5911" s="105">
        <v>101727</v>
      </c>
      <c r="B5911" s="104" t="s">
        <v>5836</v>
      </c>
      <c r="C5911" s="104" t="s">
        <v>12</v>
      </c>
      <c r="D5911" s="129" t="s">
        <v>23944</v>
      </c>
    </row>
    <row r="5912" spans="1:4">
      <c r="A5912" s="105">
        <v>101733</v>
      </c>
      <c r="B5912" s="104" t="s">
        <v>5837</v>
      </c>
      <c r="C5912" s="104" t="s">
        <v>12</v>
      </c>
      <c r="D5912" s="129" t="s">
        <v>23945</v>
      </c>
    </row>
    <row r="5913" spans="1:4">
      <c r="A5913" s="105">
        <v>101734</v>
      </c>
      <c r="B5913" s="104" t="s">
        <v>5838</v>
      </c>
      <c r="C5913" s="104" t="s">
        <v>12</v>
      </c>
      <c r="D5913" s="129" t="s">
        <v>23946</v>
      </c>
    </row>
    <row r="5914" spans="1:4">
      <c r="A5914" s="105">
        <v>101735</v>
      </c>
      <c r="B5914" s="104" t="s">
        <v>5839</v>
      </c>
      <c r="C5914" s="104" t="s">
        <v>12</v>
      </c>
      <c r="D5914" s="129" t="s">
        <v>23947</v>
      </c>
    </row>
    <row r="5915" spans="1:4">
      <c r="A5915" s="105">
        <v>101736</v>
      </c>
      <c r="B5915" s="104" t="s">
        <v>5840</v>
      </c>
      <c r="C5915" s="104" t="s">
        <v>12</v>
      </c>
      <c r="D5915" s="129" t="s">
        <v>23948</v>
      </c>
    </row>
    <row r="5916" spans="1:4">
      <c r="A5916" s="105">
        <v>101737</v>
      </c>
      <c r="B5916" s="104" t="s">
        <v>5841</v>
      </c>
      <c r="C5916" s="104" t="s">
        <v>12</v>
      </c>
      <c r="D5916" s="129" t="s">
        <v>23949</v>
      </c>
    </row>
    <row r="5917" spans="1:4">
      <c r="A5917" s="105">
        <v>101748</v>
      </c>
      <c r="B5917" s="104" t="s">
        <v>5842</v>
      </c>
      <c r="C5917" s="104" t="s">
        <v>12</v>
      </c>
      <c r="D5917" s="129" t="s">
        <v>15677</v>
      </c>
    </row>
    <row r="5918" spans="1:4">
      <c r="A5918" s="105">
        <v>101092</v>
      </c>
      <c r="B5918" s="104" t="s">
        <v>5843</v>
      </c>
      <c r="C5918" s="104" t="s">
        <v>12</v>
      </c>
      <c r="D5918" s="129" t="s">
        <v>23950</v>
      </c>
    </row>
    <row r="5919" spans="1:4">
      <c r="A5919" s="105">
        <v>101093</v>
      </c>
      <c r="B5919" s="104" t="s">
        <v>5844</v>
      </c>
      <c r="C5919" s="104" t="s">
        <v>12</v>
      </c>
      <c r="D5919" s="129" t="s">
        <v>23951</v>
      </c>
    </row>
    <row r="5920" spans="1:4">
      <c r="A5920" s="105">
        <v>98695</v>
      </c>
      <c r="B5920" s="104" t="s">
        <v>5845</v>
      </c>
      <c r="C5920" s="104" t="s">
        <v>40</v>
      </c>
      <c r="D5920" s="129" t="s">
        <v>21974</v>
      </c>
    </row>
    <row r="5921" spans="1:4">
      <c r="A5921" s="105">
        <v>98697</v>
      </c>
      <c r="B5921" s="104" t="s">
        <v>5846</v>
      </c>
      <c r="C5921" s="104" t="s">
        <v>40</v>
      </c>
      <c r="D5921" s="129" t="s">
        <v>23952</v>
      </c>
    </row>
    <row r="5922" spans="1:4">
      <c r="A5922" s="105">
        <v>101738</v>
      </c>
      <c r="B5922" s="104" t="s">
        <v>5847</v>
      </c>
      <c r="C5922" s="104" t="s">
        <v>40</v>
      </c>
      <c r="D5922" s="129" t="s">
        <v>23953</v>
      </c>
    </row>
    <row r="5923" spans="1:4">
      <c r="A5923" s="105">
        <v>101739</v>
      </c>
      <c r="B5923" s="104" t="s">
        <v>5848</v>
      </c>
      <c r="C5923" s="104" t="s">
        <v>40</v>
      </c>
      <c r="D5923" s="129" t="s">
        <v>23190</v>
      </c>
    </row>
    <row r="5924" spans="1:4">
      <c r="A5924" s="105">
        <v>88648</v>
      </c>
      <c r="B5924" s="104" t="s">
        <v>5849</v>
      </c>
      <c r="C5924" s="104" t="s">
        <v>40</v>
      </c>
      <c r="D5924" s="129" t="s">
        <v>17187</v>
      </c>
    </row>
    <row r="5925" spans="1:4">
      <c r="A5925" s="105">
        <v>88649</v>
      </c>
      <c r="B5925" s="104" t="s">
        <v>5850</v>
      </c>
      <c r="C5925" s="104" t="s">
        <v>40</v>
      </c>
      <c r="D5925" s="129" t="s">
        <v>19773</v>
      </c>
    </row>
    <row r="5926" spans="1:4">
      <c r="A5926" s="105">
        <v>88650</v>
      </c>
      <c r="B5926" s="104" t="s">
        <v>74</v>
      </c>
      <c r="C5926" s="104" t="s">
        <v>40</v>
      </c>
      <c r="D5926" s="129" t="s">
        <v>16412</v>
      </c>
    </row>
    <row r="5927" spans="1:4">
      <c r="A5927" s="105">
        <v>96467</v>
      </c>
      <c r="B5927" s="104" t="s">
        <v>5851</v>
      </c>
      <c r="C5927" s="104" t="s">
        <v>40</v>
      </c>
      <c r="D5927" s="129" t="s">
        <v>23556</v>
      </c>
    </row>
    <row r="5928" spans="1:4">
      <c r="A5928" s="105">
        <v>101740</v>
      </c>
      <c r="B5928" s="104" t="s">
        <v>5852</v>
      </c>
      <c r="C5928" s="104" t="s">
        <v>40</v>
      </c>
      <c r="D5928" s="129" t="s">
        <v>20720</v>
      </c>
    </row>
    <row r="5929" spans="1:4">
      <c r="A5929" s="105">
        <v>101741</v>
      </c>
      <c r="B5929" s="104" t="s">
        <v>5853</v>
      </c>
      <c r="C5929" s="104" t="s">
        <v>40</v>
      </c>
      <c r="D5929" s="129" t="s">
        <v>15328</v>
      </c>
    </row>
    <row r="5930" spans="1:4">
      <c r="A5930" s="105">
        <v>94990</v>
      </c>
      <c r="B5930" s="104" t="s">
        <v>5854</v>
      </c>
      <c r="C5930" s="104" t="s">
        <v>28</v>
      </c>
      <c r="D5930" s="129" t="s">
        <v>23954</v>
      </c>
    </row>
    <row r="5931" spans="1:4">
      <c r="A5931" s="105">
        <v>94991</v>
      </c>
      <c r="B5931" s="104" t="s">
        <v>5855</v>
      </c>
      <c r="C5931" s="104" t="s">
        <v>28</v>
      </c>
      <c r="D5931" s="129" t="s">
        <v>23955</v>
      </c>
    </row>
    <row r="5932" spans="1:4">
      <c r="A5932" s="105">
        <v>94992</v>
      </c>
      <c r="B5932" s="104" t="s">
        <v>5856</v>
      </c>
      <c r="C5932" s="104" t="s">
        <v>12</v>
      </c>
      <c r="D5932" s="129" t="s">
        <v>23956</v>
      </c>
    </row>
    <row r="5933" spans="1:4">
      <c r="A5933" s="105">
        <v>94993</v>
      </c>
      <c r="B5933" s="104" t="s">
        <v>5857</v>
      </c>
      <c r="C5933" s="104" t="s">
        <v>12</v>
      </c>
      <c r="D5933" s="129" t="s">
        <v>23957</v>
      </c>
    </row>
    <row r="5934" spans="1:4">
      <c r="A5934" s="105">
        <v>94994</v>
      </c>
      <c r="B5934" s="104" t="s">
        <v>5858</v>
      </c>
      <c r="C5934" s="104" t="s">
        <v>12</v>
      </c>
      <c r="D5934" s="129" t="s">
        <v>23958</v>
      </c>
    </row>
    <row r="5935" spans="1:4">
      <c r="A5935" s="105">
        <v>94995</v>
      </c>
      <c r="B5935" s="104" t="s">
        <v>5859</v>
      </c>
      <c r="C5935" s="104" t="s">
        <v>12</v>
      </c>
      <c r="D5935" s="129" t="s">
        <v>21662</v>
      </c>
    </row>
    <row r="5936" spans="1:4">
      <c r="A5936" s="105">
        <v>94996</v>
      </c>
      <c r="B5936" s="104" t="s">
        <v>5860</v>
      </c>
      <c r="C5936" s="104" t="s">
        <v>12</v>
      </c>
      <c r="D5936" s="129" t="s">
        <v>23959</v>
      </c>
    </row>
    <row r="5937" spans="1:4">
      <c r="A5937" s="105">
        <v>94997</v>
      </c>
      <c r="B5937" s="104" t="s">
        <v>5861</v>
      </c>
      <c r="C5937" s="104" t="s">
        <v>12</v>
      </c>
      <c r="D5937" s="129" t="s">
        <v>20342</v>
      </c>
    </row>
    <row r="5938" spans="1:4">
      <c r="A5938" s="105">
        <v>94998</v>
      </c>
      <c r="B5938" s="104" t="s">
        <v>5862</v>
      </c>
      <c r="C5938" s="104" t="s">
        <v>12</v>
      </c>
      <c r="D5938" s="129" t="s">
        <v>23960</v>
      </c>
    </row>
    <row r="5939" spans="1:4">
      <c r="A5939" s="105">
        <v>94999</v>
      </c>
      <c r="B5939" s="104" t="s">
        <v>5863</v>
      </c>
      <c r="C5939" s="104" t="s">
        <v>12</v>
      </c>
      <c r="D5939" s="129" t="s">
        <v>15929</v>
      </c>
    </row>
    <row r="5940" spans="1:4">
      <c r="A5940" s="105">
        <v>101747</v>
      </c>
      <c r="B5940" s="104" t="s">
        <v>5864</v>
      </c>
      <c r="C5940" s="104" t="s">
        <v>12</v>
      </c>
      <c r="D5940" s="129" t="s">
        <v>23961</v>
      </c>
    </row>
    <row r="5941" spans="1:4">
      <c r="A5941" s="105">
        <v>101743</v>
      </c>
      <c r="B5941" s="104" t="s">
        <v>5865</v>
      </c>
      <c r="C5941" s="104" t="s">
        <v>12</v>
      </c>
      <c r="D5941" s="129" t="s">
        <v>19711</v>
      </c>
    </row>
    <row r="5942" spans="1:4">
      <c r="A5942" s="105">
        <v>101744</v>
      </c>
      <c r="B5942" s="104" t="s">
        <v>5866</v>
      </c>
      <c r="C5942" s="104" t="s">
        <v>12</v>
      </c>
      <c r="D5942" s="129" t="s">
        <v>19712</v>
      </c>
    </row>
    <row r="5943" spans="1:4">
      <c r="A5943" s="105">
        <v>101745</v>
      </c>
      <c r="B5943" s="104" t="s">
        <v>5867</v>
      </c>
      <c r="C5943" s="104" t="s">
        <v>12</v>
      </c>
      <c r="D5943" s="129" t="s">
        <v>19713</v>
      </c>
    </row>
    <row r="5944" spans="1:4">
      <c r="A5944" s="105">
        <v>87620</v>
      </c>
      <c r="B5944" s="104" t="s">
        <v>5868</v>
      </c>
      <c r="C5944" s="104" t="s">
        <v>12</v>
      </c>
      <c r="D5944" s="129" t="s">
        <v>22896</v>
      </c>
    </row>
    <row r="5945" spans="1:4">
      <c r="A5945" s="105">
        <v>87622</v>
      </c>
      <c r="B5945" s="104" t="s">
        <v>5869</v>
      </c>
      <c r="C5945" s="104" t="s">
        <v>12</v>
      </c>
      <c r="D5945" s="129" t="s">
        <v>19140</v>
      </c>
    </row>
    <row r="5946" spans="1:4">
      <c r="A5946" s="105">
        <v>87623</v>
      </c>
      <c r="B5946" s="104" t="s">
        <v>5870</v>
      </c>
      <c r="C5946" s="104" t="s">
        <v>12</v>
      </c>
      <c r="D5946" s="129" t="s">
        <v>17493</v>
      </c>
    </row>
    <row r="5947" spans="1:4">
      <c r="A5947" s="105">
        <v>87624</v>
      </c>
      <c r="B5947" s="104" t="s">
        <v>5870</v>
      </c>
      <c r="C5947" s="104" t="s">
        <v>12</v>
      </c>
      <c r="D5947" s="129" t="s">
        <v>23962</v>
      </c>
    </row>
    <row r="5948" spans="1:4">
      <c r="A5948" s="105">
        <v>87630</v>
      </c>
      <c r="B5948" s="104" t="s">
        <v>5871</v>
      </c>
      <c r="C5948" s="104" t="s">
        <v>12</v>
      </c>
      <c r="D5948" s="129" t="s">
        <v>23963</v>
      </c>
    </row>
    <row r="5949" spans="1:4">
      <c r="A5949" s="105">
        <v>87632</v>
      </c>
      <c r="B5949" s="104" t="s">
        <v>5872</v>
      </c>
      <c r="C5949" s="104" t="s">
        <v>12</v>
      </c>
      <c r="D5949" s="129" t="s">
        <v>23964</v>
      </c>
    </row>
    <row r="5950" spans="1:4">
      <c r="A5950" s="105">
        <v>87633</v>
      </c>
      <c r="B5950" s="104" t="s">
        <v>5873</v>
      </c>
      <c r="C5950" s="104" t="s">
        <v>12</v>
      </c>
      <c r="D5950" s="129" t="s">
        <v>23965</v>
      </c>
    </row>
    <row r="5951" spans="1:4">
      <c r="A5951" s="105">
        <v>87634</v>
      </c>
      <c r="B5951" s="104" t="s">
        <v>5874</v>
      </c>
      <c r="C5951" s="104" t="s">
        <v>12</v>
      </c>
      <c r="D5951" s="129" t="s">
        <v>23966</v>
      </c>
    </row>
    <row r="5952" spans="1:4">
      <c r="A5952" s="105">
        <v>87640</v>
      </c>
      <c r="B5952" s="104" t="s">
        <v>5875</v>
      </c>
      <c r="C5952" s="104" t="s">
        <v>12</v>
      </c>
      <c r="D5952" s="129" t="s">
        <v>22586</v>
      </c>
    </row>
    <row r="5953" spans="1:4">
      <c r="A5953" s="105">
        <v>87642</v>
      </c>
      <c r="B5953" s="104" t="s">
        <v>5876</v>
      </c>
      <c r="C5953" s="104" t="s">
        <v>12</v>
      </c>
      <c r="D5953" s="129" t="s">
        <v>22220</v>
      </c>
    </row>
    <row r="5954" spans="1:4">
      <c r="A5954" s="105">
        <v>87643</v>
      </c>
      <c r="B5954" s="104" t="s">
        <v>5877</v>
      </c>
      <c r="C5954" s="104" t="s">
        <v>12</v>
      </c>
      <c r="D5954" s="129" t="s">
        <v>23967</v>
      </c>
    </row>
    <row r="5955" spans="1:4">
      <c r="A5955" s="105">
        <v>87644</v>
      </c>
      <c r="B5955" s="104" t="s">
        <v>5878</v>
      </c>
      <c r="C5955" s="104" t="s">
        <v>12</v>
      </c>
      <c r="D5955" s="129" t="s">
        <v>22563</v>
      </c>
    </row>
    <row r="5956" spans="1:4">
      <c r="A5956" s="105">
        <v>87680</v>
      </c>
      <c r="B5956" s="104" t="s">
        <v>5879</v>
      </c>
      <c r="C5956" s="104" t="s">
        <v>12</v>
      </c>
      <c r="D5956" s="129" t="s">
        <v>18250</v>
      </c>
    </row>
    <row r="5957" spans="1:4">
      <c r="A5957" s="105">
        <v>87682</v>
      </c>
      <c r="B5957" s="104" t="s">
        <v>5880</v>
      </c>
      <c r="C5957" s="104" t="s">
        <v>12</v>
      </c>
      <c r="D5957" s="129" t="s">
        <v>23968</v>
      </c>
    </row>
    <row r="5958" spans="1:4">
      <c r="A5958" s="105">
        <v>87683</v>
      </c>
      <c r="B5958" s="104" t="s">
        <v>5881</v>
      </c>
      <c r="C5958" s="104" t="s">
        <v>12</v>
      </c>
      <c r="D5958" s="129" t="s">
        <v>23969</v>
      </c>
    </row>
    <row r="5959" spans="1:4">
      <c r="A5959" s="105">
        <v>87684</v>
      </c>
      <c r="B5959" s="104" t="s">
        <v>5882</v>
      </c>
      <c r="C5959" s="104" t="s">
        <v>12</v>
      </c>
      <c r="D5959" s="129" t="s">
        <v>23970</v>
      </c>
    </row>
    <row r="5960" spans="1:4">
      <c r="A5960" s="105">
        <v>87690</v>
      </c>
      <c r="B5960" s="104" t="s">
        <v>5883</v>
      </c>
      <c r="C5960" s="104" t="s">
        <v>12</v>
      </c>
      <c r="D5960" s="129" t="s">
        <v>23971</v>
      </c>
    </row>
    <row r="5961" spans="1:4">
      <c r="A5961" s="105">
        <v>87692</v>
      </c>
      <c r="B5961" s="104" t="s">
        <v>5884</v>
      </c>
      <c r="C5961" s="104" t="s">
        <v>12</v>
      </c>
      <c r="D5961" s="129" t="s">
        <v>23972</v>
      </c>
    </row>
    <row r="5962" spans="1:4">
      <c r="A5962" s="105">
        <v>87693</v>
      </c>
      <c r="B5962" s="104" t="s">
        <v>5885</v>
      </c>
      <c r="C5962" s="104" t="s">
        <v>12</v>
      </c>
      <c r="D5962" s="129" t="s">
        <v>23973</v>
      </c>
    </row>
    <row r="5963" spans="1:4">
      <c r="A5963" s="105">
        <v>87694</v>
      </c>
      <c r="B5963" s="104" t="s">
        <v>5886</v>
      </c>
      <c r="C5963" s="104" t="s">
        <v>12</v>
      </c>
      <c r="D5963" s="129" t="s">
        <v>23128</v>
      </c>
    </row>
    <row r="5964" spans="1:4">
      <c r="A5964" s="105">
        <v>87700</v>
      </c>
      <c r="B5964" s="104" t="s">
        <v>5887</v>
      </c>
      <c r="C5964" s="104" t="s">
        <v>12</v>
      </c>
      <c r="D5964" s="129" t="s">
        <v>23974</v>
      </c>
    </row>
    <row r="5965" spans="1:4">
      <c r="A5965" s="105">
        <v>87702</v>
      </c>
      <c r="B5965" s="104" t="s">
        <v>5888</v>
      </c>
      <c r="C5965" s="104" t="s">
        <v>12</v>
      </c>
      <c r="D5965" s="129" t="s">
        <v>23975</v>
      </c>
    </row>
    <row r="5966" spans="1:4">
      <c r="A5966" s="105">
        <v>87703</v>
      </c>
      <c r="B5966" s="104" t="s">
        <v>5889</v>
      </c>
      <c r="C5966" s="104" t="s">
        <v>12</v>
      </c>
      <c r="D5966" s="129" t="s">
        <v>23976</v>
      </c>
    </row>
    <row r="5967" spans="1:4">
      <c r="A5967" s="105">
        <v>87704</v>
      </c>
      <c r="B5967" s="104" t="s">
        <v>5890</v>
      </c>
      <c r="C5967" s="104" t="s">
        <v>12</v>
      </c>
      <c r="D5967" s="129" t="s">
        <v>23977</v>
      </c>
    </row>
    <row r="5968" spans="1:4">
      <c r="A5968" s="105">
        <v>87735</v>
      </c>
      <c r="B5968" s="104" t="s">
        <v>5891</v>
      </c>
      <c r="C5968" s="104" t="s">
        <v>12</v>
      </c>
      <c r="D5968" s="129" t="s">
        <v>23978</v>
      </c>
    </row>
    <row r="5969" spans="1:4">
      <c r="A5969" s="105">
        <v>87737</v>
      </c>
      <c r="B5969" s="104" t="s">
        <v>5892</v>
      </c>
      <c r="C5969" s="104" t="s">
        <v>12</v>
      </c>
      <c r="D5969" s="129" t="s">
        <v>19746</v>
      </c>
    </row>
    <row r="5970" spans="1:4">
      <c r="A5970" s="105">
        <v>87738</v>
      </c>
      <c r="B5970" s="104" t="s">
        <v>5893</v>
      </c>
      <c r="C5970" s="104" t="s">
        <v>12</v>
      </c>
      <c r="D5970" s="129" t="s">
        <v>23979</v>
      </c>
    </row>
    <row r="5971" spans="1:4">
      <c r="A5971" s="105">
        <v>87739</v>
      </c>
      <c r="B5971" s="104" t="s">
        <v>5894</v>
      </c>
      <c r="C5971" s="104" t="s">
        <v>12</v>
      </c>
      <c r="D5971" s="129" t="s">
        <v>19520</v>
      </c>
    </row>
    <row r="5972" spans="1:4">
      <c r="A5972" s="105">
        <v>87745</v>
      </c>
      <c r="B5972" s="104" t="s">
        <v>5895</v>
      </c>
      <c r="C5972" s="104" t="s">
        <v>12</v>
      </c>
      <c r="D5972" s="129" t="s">
        <v>15700</v>
      </c>
    </row>
    <row r="5973" spans="1:4">
      <c r="A5973" s="105">
        <v>87747</v>
      </c>
      <c r="B5973" s="104" t="s">
        <v>5896</v>
      </c>
      <c r="C5973" s="104" t="s">
        <v>12</v>
      </c>
      <c r="D5973" s="129" t="s">
        <v>23980</v>
      </c>
    </row>
    <row r="5974" spans="1:4">
      <c r="A5974" s="105">
        <v>87748</v>
      </c>
      <c r="B5974" s="104" t="s">
        <v>5897</v>
      </c>
      <c r="C5974" s="104" t="s">
        <v>12</v>
      </c>
      <c r="D5974" s="129" t="s">
        <v>23981</v>
      </c>
    </row>
    <row r="5975" spans="1:4">
      <c r="A5975" s="105">
        <v>87749</v>
      </c>
      <c r="B5975" s="104" t="s">
        <v>5898</v>
      </c>
      <c r="C5975" s="104" t="s">
        <v>12</v>
      </c>
      <c r="D5975" s="129" t="s">
        <v>17689</v>
      </c>
    </row>
    <row r="5976" spans="1:4">
      <c r="A5976" s="105">
        <v>87755</v>
      </c>
      <c r="B5976" s="104" t="s">
        <v>5899</v>
      </c>
      <c r="C5976" s="104" t="s">
        <v>12</v>
      </c>
      <c r="D5976" s="129" t="s">
        <v>18428</v>
      </c>
    </row>
    <row r="5977" spans="1:4">
      <c r="A5977" s="105">
        <v>87757</v>
      </c>
      <c r="B5977" s="104" t="s">
        <v>5900</v>
      </c>
      <c r="C5977" s="104" t="s">
        <v>12</v>
      </c>
      <c r="D5977" s="129" t="s">
        <v>23982</v>
      </c>
    </row>
    <row r="5978" spans="1:4">
      <c r="A5978" s="105">
        <v>87758</v>
      </c>
      <c r="B5978" s="104" t="s">
        <v>5901</v>
      </c>
      <c r="C5978" s="104" t="s">
        <v>12</v>
      </c>
      <c r="D5978" s="129" t="s">
        <v>23983</v>
      </c>
    </row>
    <row r="5979" spans="1:4">
      <c r="A5979" s="105">
        <v>87759</v>
      </c>
      <c r="B5979" s="104" t="s">
        <v>5902</v>
      </c>
      <c r="C5979" s="104" t="s">
        <v>12</v>
      </c>
      <c r="D5979" s="129" t="s">
        <v>23984</v>
      </c>
    </row>
    <row r="5980" spans="1:4">
      <c r="A5980" s="105">
        <v>87765</v>
      </c>
      <c r="B5980" s="104" t="s">
        <v>5903</v>
      </c>
      <c r="C5980" s="104" t="s">
        <v>12</v>
      </c>
      <c r="D5980" s="129" t="s">
        <v>23985</v>
      </c>
    </row>
    <row r="5981" spans="1:4">
      <c r="A5981" s="105">
        <v>87767</v>
      </c>
      <c r="B5981" s="104" t="s">
        <v>5904</v>
      </c>
      <c r="C5981" s="104" t="s">
        <v>12</v>
      </c>
      <c r="D5981" s="129" t="s">
        <v>18130</v>
      </c>
    </row>
    <row r="5982" spans="1:4">
      <c r="A5982" s="105">
        <v>87768</v>
      </c>
      <c r="B5982" s="104" t="s">
        <v>5905</v>
      </c>
      <c r="C5982" s="104" t="s">
        <v>12</v>
      </c>
      <c r="D5982" s="129" t="s">
        <v>20853</v>
      </c>
    </row>
    <row r="5983" spans="1:4">
      <c r="A5983" s="105">
        <v>87769</v>
      </c>
      <c r="B5983" s="104" t="s">
        <v>5906</v>
      </c>
      <c r="C5983" s="104" t="s">
        <v>12</v>
      </c>
      <c r="D5983" s="129" t="s">
        <v>22399</v>
      </c>
    </row>
    <row r="5984" spans="1:4">
      <c r="A5984" s="105">
        <v>88470</v>
      </c>
      <c r="B5984" s="104" t="s">
        <v>5907</v>
      </c>
      <c r="C5984" s="104" t="s">
        <v>12</v>
      </c>
      <c r="D5984" s="129" t="s">
        <v>23986</v>
      </c>
    </row>
    <row r="5985" spans="1:4">
      <c r="A5985" s="105">
        <v>88471</v>
      </c>
      <c r="B5985" s="104" t="s">
        <v>5908</v>
      </c>
      <c r="C5985" s="104" t="s">
        <v>12</v>
      </c>
      <c r="D5985" s="129" t="s">
        <v>22771</v>
      </c>
    </row>
    <row r="5986" spans="1:4">
      <c r="A5986" s="105">
        <v>88472</v>
      </c>
      <c r="B5986" s="104" t="s">
        <v>5909</v>
      </c>
      <c r="C5986" s="104" t="s">
        <v>12</v>
      </c>
      <c r="D5986" s="129" t="s">
        <v>23987</v>
      </c>
    </row>
    <row r="5987" spans="1:4">
      <c r="A5987" s="105">
        <v>88476</v>
      </c>
      <c r="B5987" s="104" t="s">
        <v>5910</v>
      </c>
      <c r="C5987" s="104" t="s">
        <v>12</v>
      </c>
      <c r="D5987" s="129" t="s">
        <v>22316</v>
      </c>
    </row>
    <row r="5988" spans="1:4">
      <c r="A5988" s="105">
        <v>88477</v>
      </c>
      <c r="B5988" s="104" t="s">
        <v>5911</v>
      </c>
      <c r="C5988" s="104" t="s">
        <v>12</v>
      </c>
      <c r="D5988" s="129" t="s">
        <v>23231</v>
      </c>
    </row>
    <row r="5989" spans="1:4">
      <c r="A5989" s="105">
        <v>88478</v>
      </c>
      <c r="B5989" s="104" t="s">
        <v>5912</v>
      </c>
      <c r="C5989" s="104" t="s">
        <v>12</v>
      </c>
      <c r="D5989" s="129" t="s">
        <v>18136</v>
      </c>
    </row>
    <row r="5990" spans="1:4">
      <c r="A5990" s="105">
        <v>90930</v>
      </c>
      <c r="B5990" s="104" t="s">
        <v>5913</v>
      </c>
      <c r="C5990" s="104" t="s">
        <v>12</v>
      </c>
      <c r="D5990" s="129" t="s">
        <v>23988</v>
      </c>
    </row>
    <row r="5991" spans="1:4">
      <c r="A5991" s="105">
        <v>90932</v>
      </c>
      <c r="B5991" s="104" t="s">
        <v>5914</v>
      </c>
      <c r="C5991" s="104" t="s">
        <v>12</v>
      </c>
      <c r="D5991" s="129" t="s">
        <v>23697</v>
      </c>
    </row>
    <row r="5992" spans="1:4">
      <c r="A5992" s="105">
        <v>90933</v>
      </c>
      <c r="B5992" s="104" t="s">
        <v>5915</v>
      </c>
      <c r="C5992" s="104" t="s">
        <v>12</v>
      </c>
      <c r="D5992" s="129" t="s">
        <v>23989</v>
      </c>
    </row>
    <row r="5993" spans="1:4">
      <c r="A5993" s="105">
        <v>90934</v>
      </c>
      <c r="B5993" s="104" t="s">
        <v>5916</v>
      </c>
      <c r="C5993" s="104" t="s">
        <v>12</v>
      </c>
      <c r="D5993" s="129" t="s">
        <v>23990</v>
      </c>
    </row>
    <row r="5994" spans="1:4">
      <c r="A5994" s="105">
        <v>90940</v>
      </c>
      <c r="B5994" s="104" t="s">
        <v>5917</v>
      </c>
      <c r="C5994" s="104" t="s">
        <v>12</v>
      </c>
      <c r="D5994" s="129" t="s">
        <v>23991</v>
      </c>
    </row>
    <row r="5995" spans="1:4">
      <c r="A5995" s="105">
        <v>90942</v>
      </c>
      <c r="B5995" s="104" t="s">
        <v>5918</v>
      </c>
      <c r="C5995" s="104" t="s">
        <v>12</v>
      </c>
      <c r="D5995" s="129" t="s">
        <v>23992</v>
      </c>
    </row>
    <row r="5996" spans="1:4">
      <c r="A5996" s="105">
        <v>90943</v>
      </c>
      <c r="B5996" s="104" t="s">
        <v>5919</v>
      </c>
      <c r="C5996" s="104" t="s">
        <v>12</v>
      </c>
      <c r="D5996" s="129" t="s">
        <v>23993</v>
      </c>
    </row>
    <row r="5997" spans="1:4">
      <c r="A5997" s="105">
        <v>90944</v>
      </c>
      <c r="B5997" s="104" t="s">
        <v>5920</v>
      </c>
      <c r="C5997" s="104" t="s">
        <v>12</v>
      </c>
      <c r="D5997" s="129" t="s">
        <v>23994</v>
      </c>
    </row>
    <row r="5998" spans="1:4">
      <c r="A5998" s="105">
        <v>90950</v>
      </c>
      <c r="B5998" s="104" t="s">
        <v>5921</v>
      </c>
      <c r="C5998" s="104" t="s">
        <v>12</v>
      </c>
      <c r="D5998" s="129" t="s">
        <v>23843</v>
      </c>
    </row>
    <row r="5999" spans="1:4">
      <c r="A5999" s="105">
        <v>90952</v>
      </c>
      <c r="B5999" s="104" t="s">
        <v>5922</v>
      </c>
      <c r="C5999" s="104" t="s">
        <v>12</v>
      </c>
      <c r="D5999" s="129" t="s">
        <v>19517</v>
      </c>
    </row>
    <row r="6000" spans="1:4">
      <c r="A6000" s="105">
        <v>90953</v>
      </c>
      <c r="B6000" s="104" t="s">
        <v>5923</v>
      </c>
      <c r="C6000" s="104" t="s">
        <v>12</v>
      </c>
      <c r="D6000" s="129" t="s">
        <v>23995</v>
      </c>
    </row>
    <row r="6001" spans="1:4">
      <c r="A6001" s="105">
        <v>90954</v>
      </c>
      <c r="B6001" s="104" t="s">
        <v>5924</v>
      </c>
      <c r="C6001" s="104" t="s">
        <v>12</v>
      </c>
      <c r="D6001" s="129" t="s">
        <v>23996</v>
      </c>
    </row>
    <row r="6002" spans="1:4">
      <c r="A6002" s="105">
        <v>94438</v>
      </c>
      <c r="B6002" s="104" t="s">
        <v>5925</v>
      </c>
      <c r="C6002" s="104" t="s">
        <v>12</v>
      </c>
      <c r="D6002" s="129" t="s">
        <v>22627</v>
      </c>
    </row>
    <row r="6003" spans="1:4">
      <c r="A6003" s="105">
        <v>94439</v>
      </c>
      <c r="B6003" s="104" t="s">
        <v>12963</v>
      </c>
      <c r="C6003" s="104" t="s">
        <v>12</v>
      </c>
      <c r="D6003" s="129" t="s">
        <v>18335</v>
      </c>
    </row>
    <row r="6004" spans="1:4">
      <c r="A6004" s="105">
        <v>94779</v>
      </c>
      <c r="B6004" s="104" t="s">
        <v>5926</v>
      </c>
      <c r="C6004" s="104" t="s">
        <v>12</v>
      </c>
      <c r="D6004" s="129" t="s">
        <v>23997</v>
      </c>
    </row>
    <row r="6005" spans="1:4">
      <c r="A6005" s="105">
        <v>94782</v>
      </c>
      <c r="B6005" s="104" t="s">
        <v>12964</v>
      </c>
      <c r="C6005" s="104" t="s">
        <v>12</v>
      </c>
      <c r="D6005" s="129" t="s">
        <v>20899</v>
      </c>
    </row>
    <row r="6006" spans="1:4">
      <c r="A6006" s="105">
        <v>102803</v>
      </c>
      <c r="B6006" s="104" t="s">
        <v>5927</v>
      </c>
      <c r="C6006" s="104" t="s">
        <v>12</v>
      </c>
      <c r="D6006" s="129" t="s">
        <v>19301</v>
      </c>
    </row>
    <row r="6007" spans="1:4">
      <c r="A6007" s="105">
        <v>101742</v>
      </c>
      <c r="B6007" s="104" t="s">
        <v>5928</v>
      </c>
      <c r="C6007" s="104" t="s">
        <v>40</v>
      </c>
      <c r="D6007" s="129" t="s">
        <v>23998</v>
      </c>
    </row>
    <row r="6008" spans="1:4">
      <c r="A6008" s="105">
        <v>87871</v>
      </c>
      <c r="B6008" s="104" t="s">
        <v>5929</v>
      </c>
      <c r="C6008" s="104" t="s">
        <v>12</v>
      </c>
      <c r="D6008" s="129" t="s">
        <v>19578</v>
      </c>
    </row>
    <row r="6009" spans="1:4">
      <c r="A6009" s="105">
        <v>87872</v>
      </c>
      <c r="B6009" s="104" t="s">
        <v>5930</v>
      </c>
      <c r="C6009" s="104" t="s">
        <v>12</v>
      </c>
      <c r="D6009" s="129" t="s">
        <v>16961</v>
      </c>
    </row>
    <row r="6010" spans="1:4">
      <c r="A6010" s="105">
        <v>87873</v>
      </c>
      <c r="B6010" s="104" t="s">
        <v>5931</v>
      </c>
      <c r="C6010" s="104" t="s">
        <v>12</v>
      </c>
      <c r="D6010" s="129" t="s">
        <v>17238</v>
      </c>
    </row>
    <row r="6011" spans="1:4">
      <c r="A6011" s="105">
        <v>87874</v>
      </c>
      <c r="B6011" s="104" t="s">
        <v>5932</v>
      </c>
      <c r="C6011" s="104" t="s">
        <v>12</v>
      </c>
      <c r="D6011" s="129" t="s">
        <v>23999</v>
      </c>
    </row>
    <row r="6012" spans="1:4">
      <c r="A6012" s="105">
        <v>87876</v>
      </c>
      <c r="B6012" s="104" t="s">
        <v>5933</v>
      </c>
      <c r="C6012" s="104" t="s">
        <v>12</v>
      </c>
      <c r="D6012" s="129" t="s">
        <v>18115</v>
      </c>
    </row>
    <row r="6013" spans="1:4">
      <c r="A6013" s="105">
        <v>87877</v>
      </c>
      <c r="B6013" s="104" t="s">
        <v>5934</v>
      </c>
      <c r="C6013" s="104" t="s">
        <v>12</v>
      </c>
      <c r="D6013" s="129" t="s">
        <v>22098</v>
      </c>
    </row>
    <row r="6014" spans="1:4">
      <c r="A6014" s="105">
        <v>87878</v>
      </c>
      <c r="B6014" s="104" t="s">
        <v>5935</v>
      </c>
      <c r="C6014" s="104" t="s">
        <v>12</v>
      </c>
      <c r="D6014" s="129" t="s">
        <v>15774</v>
      </c>
    </row>
    <row r="6015" spans="1:4">
      <c r="A6015" s="105">
        <v>87879</v>
      </c>
      <c r="B6015" s="104" t="s">
        <v>5936</v>
      </c>
      <c r="C6015" s="104" t="s">
        <v>12</v>
      </c>
      <c r="D6015" s="129" t="s">
        <v>15833</v>
      </c>
    </row>
    <row r="6016" spans="1:4">
      <c r="A6016" s="105">
        <v>87881</v>
      </c>
      <c r="B6016" s="104" t="s">
        <v>5937</v>
      </c>
      <c r="C6016" s="104" t="s">
        <v>12</v>
      </c>
      <c r="D6016" s="129" t="s">
        <v>24000</v>
      </c>
    </row>
    <row r="6017" spans="1:4">
      <c r="A6017" s="105">
        <v>87882</v>
      </c>
      <c r="B6017" s="104" t="s">
        <v>5938</v>
      </c>
      <c r="C6017" s="104" t="s">
        <v>12</v>
      </c>
      <c r="D6017" s="129" t="s">
        <v>19609</v>
      </c>
    </row>
    <row r="6018" spans="1:4">
      <c r="A6018" s="105">
        <v>87884</v>
      </c>
      <c r="B6018" s="104" t="s">
        <v>5939</v>
      </c>
      <c r="C6018" s="104" t="s">
        <v>12</v>
      </c>
      <c r="D6018" s="129" t="s">
        <v>15488</v>
      </c>
    </row>
    <row r="6019" spans="1:4">
      <c r="A6019" s="105">
        <v>87885</v>
      </c>
      <c r="B6019" s="104" t="s">
        <v>5940</v>
      </c>
      <c r="C6019" s="104" t="s">
        <v>12</v>
      </c>
      <c r="D6019" s="129" t="s">
        <v>19125</v>
      </c>
    </row>
    <row r="6020" spans="1:4">
      <c r="A6020" s="105">
        <v>87886</v>
      </c>
      <c r="B6020" s="104" t="s">
        <v>5941</v>
      </c>
      <c r="C6020" s="104" t="s">
        <v>12</v>
      </c>
      <c r="D6020" s="129" t="s">
        <v>24001</v>
      </c>
    </row>
    <row r="6021" spans="1:4">
      <c r="A6021" s="105">
        <v>87887</v>
      </c>
      <c r="B6021" s="104" t="s">
        <v>5942</v>
      </c>
      <c r="C6021" s="104" t="s">
        <v>12</v>
      </c>
      <c r="D6021" s="129" t="s">
        <v>15894</v>
      </c>
    </row>
    <row r="6022" spans="1:4">
      <c r="A6022" s="105">
        <v>87888</v>
      </c>
      <c r="B6022" s="104" t="s">
        <v>5943</v>
      </c>
      <c r="C6022" s="104" t="s">
        <v>12</v>
      </c>
      <c r="D6022" s="129" t="s">
        <v>16976</v>
      </c>
    </row>
    <row r="6023" spans="1:4">
      <c r="A6023" s="105">
        <v>87889</v>
      </c>
      <c r="B6023" s="104" t="s">
        <v>5944</v>
      </c>
      <c r="C6023" s="104" t="s">
        <v>12</v>
      </c>
      <c r="D6023" s="129" t="s">
        <v>24002</v>
      </c>
    </row>
    <row r="6024" spans="1:4">
      <c r="A6024" s="105">
        <v>87891</v>
      </c>
      <c r="B6024" s="104" t="s">
        <v>5945</v>
      </c>
      <c r="C6024" s="104" t="s">
        <v>12</v>
      </c>
      <c r="D6024" s="129" t="s">
        <v>17215</v>
      </c>
    </row>
    <row r="6025" spans="1:4">
      <c r="A6025" s="105">
        <v>87892</v>
      </c>
      <c r="B6025" s="104" t="s">
        <v>5946</v>
      </c>
      <c r="C6025" s="104" t="s">
        <v>12</v>
      </c>
      <c r="D6025" s="129" t="s">
        <v>18236</v>
      </c>
    </row>
    <row r="6026" spans="1:4">
      <c r="A6026" s="105">
        <v>87893</v>
      </c>
      <c r="B6026" s="104" t="s">
        <v>5947</v>
      </c>
      <c r="C6026" s="104" t="s">
        <v>12</v>
      </c>
      <c r="D6026" s="129" t="s">
        <v>15609</v>
      </c>
    </row>
    <row r="6027" spans="1:4">
      <c r="A6027" s="105">
        <v>87894</v>
      </c>
      <c r="B6027" s="104" t="s">
        <v>5948</v>
      </c>
      <c r="C6027" s="104" t="s">
        <v>12</v>
      </c>
      <c r="D6027" s="129" t="s">
        <v>18070</v>
      </c>
    </row>
    <row r="6028" spans="1:4">
      <c r="A6028" s="105">
        <v>87896</v>
      </c>
      <c r="B6028" s="104" t="s">
        <v>5949</v>
      </c>
      <c r="C6028" s="104" t="s">
        <v>12</v>
      </c>
      <c r="D6028" s="129" t="s">
        <v>15252</v>
      </c>
    </row>
    <row r="6029" spans="1:4">
      <c r="A6029" s="105">
        <v>87897</v>
      </c>
      <c r="B6029" s="104" t="s">
        <v>5950</v>
      </c>
      <c r="C6029" s="104" t="s">
        <v>12</v>
      </c>
      <c r="D6029" s="129" t="s">
        <v>24003</v>
      </c>
    </row>
    <row r="6030" spans="1:4">
      <c r="A6030" s="105">
        <v>87899</v>
      </c>
      <c r="B6030" s="104" t="s">
        <v>5951</v>
      </c>
      <c r="C6030" s="104" t="s">
        <v>12</v>
      </c>
      <c r="D6030" s="129" t="s">
        <v>18063</v>
      </c>
    </row>
    <row r="6031" spans="1:4">
      <c r="A6031" s="105">
        <v>87900</v>
      </c>
      <c r="B6031" s="104" t="s">
        <v>5952</v>
      </c>
      <c r="C6031" s="104" t="s">
        <v>12</v>
      </c>
      <c r="D6031" s="129" t="s">
        <v>24004</v>
      </c>
    </row>
    <row r="6032" spans="1:4">
      <c r="A6032" s="105">
        <v>87902</v>
      </c>
      <c r="B6032" s="104" t="s">
        <v>5953</v>
      </c>
      <c r="C6032" s="104" t="s">
        <v>12</v>
      </c>
      <c r="D6032" s="129" t="s">
        <v>19291</v>
      </c>
    </row>
    <row r="6033" spans="1:4">
      <c r="A6033" s="105">
        <v>87903</v>
      </c>
      <c r="B6033" s="104" t="s">
        <v>5954</v>
      </c>
      <c r="C6033" s="104" t="s">
        <v>12</v>
      </c>
      <c r="D6033" s="129" t="s">
        <v>19246</v>
      </c>
    </row>
    <row r="6034" spans="1:4">
      <c r="A6034" s="105">
        <v>87904</v>
      </c>
      <c r="B6034" s="104" t="s">
        <v>5955</v>
      </c>
      <c r="C6034" s="104" t="s">
        <v>12</v>
      </c>
      <c r="D6034" s="129" t="s">
        <v>24005</v>
      </c>
    </row>
    <row r="6035" spans="1:4">
      <c r="A6035" s="105">
        <v>87905</v>
      </c>
      <c r="B6035" s="104" t="s">
        <v>5956</v>
      </c>
      <c r="C6035" s="104" t="s">
        <v>12</v>
      </c>
      <c r="D6035" s="129" t="s">
        <v>19253</v>
      </c>
    </row>
    <row r="6036" spans="1:4">
      <c r="A6036" s="105">
        <v>87907</v>
      </c>
      <c r="B6036" s="104" t="s">
        <v>5957</v>
      </c>
      <c r="C6036" s="104" t="s">
        <v>12</v>
      </c>
      <c r="D6036" s="129" t="s">
        <v>14757</v>
      </c>
    </row>
    <row r="6037" spans="1:4">
      <c r="A6037" s="105">
        <v>87908</v>
      </c>
      <c r="B6037" s="104" t="s">
        <v>5958</v>
      </c>
      <c r="C6037" s="104" t="s">
        <v>12</v>
      </c>
      <c r="D6037" s="129" t="s">
        <v>17232</v>
      </c>
    </row>
    <row r="6038" spans="1:4">
      <c r="A6038" s="105">
        <v>87910</v>
      </c>
      <c r="B6038" s="104" t="s">
        <v>5959</v>
      </c>
      <c r="C6038" s="104" t="s">
        <v>12</v>
      </c>
      <c r="D6038" s="129" t="s">
        <v>15199</v>
      </c>
    </row>
    <row r="6039" spans="1:4">
      <c r="A6039" s="105">
        <v>87911</v>
      </c>
      <c r="B6039" s="104" t="s">
        <v>5960</v>
      </c>
      <c r="C6039" s="104" t="s">
        <v>12</v>
      </c>
      <c r="D6039" s="129" t="s">
        <v>22609</v>
      </c>
    </row>
    <row r="6040" spans="1:4">
      <c r="A6040" s="105">
        <v>87411</v>
      </c>
      <c r="B6040" s="104" t="s">
        <v>5961</v>
      </c>
      <c r="C6040" s="104" t="s">
        <v>12</v>
      </c>
      <c r="D6040" s="129" t="s">
        <v>14743</v>
      </c>
    </row>
    <row r="6041" spans="1:4">
      <c r="A6041" s="105">
        <v>87412</v>
      </c>
      <c r="B6041" s="104" t="s">
        <v>5962</v>
      </c>
      <c r="C6041" s="104" t="s">
        <v>12</v>
      </c>
      <c r="D6041" s="129" t="s">
        <v>23901</v>
      </c>
    </row>
    <row r="6042" spans="1:4">
      <c r="A6042" s="105">
        <v>87413</v>
      </c>
      <c r="B6042" s="104" t="s">
        <v>5963</v>
      </c>
      <c r="C6042" s="104" t="s">
        <v>12</v>
      </c>
      <c r="D6042" s="129" t="s">
        <v>23522</v>
      </c>
    </row>
    <row r="6043" spans="1:4">
      <c r="A6043" s="105">
        <v>87414</v>
      </c>
      <c r="B6043" s="104" t="s">
        <v>5964</v>
      </c>
      <c r="C6043" s="104" t="s">
        <v>12</v>
      </c>
      <c r="D6043" s="129" t="s">
        <v>15139</v>
      </c>
    </row>
    <row r="6044" spans="1:4">
      <c r="A6044" s="105">
        <v>87415</v>
      </c>
      <c r="B6044" s="104" t="s">
        <v>5965</v>
      </c>
      <c r="C6044" s="104" t="s">
        <v>12</v>
      </c>
      <c r="D6044" s="129" t="s">
        <v>24006</v>
      </c>
    </row>
    <row r="6045" spans="1:4">
      <c r="A6045" s="105">
        <v>87416</v>
      </c>
      <c r="B6045" s="104" t="s">
        <v>5966</v>
      </c>
      <c r="C6045" s="104" t="s">
        <v>12</v>
      </c>
      <c r="D6045" s="129" t="s">
        <v>24007</v>
      </c>
    </row>
    <row r="6046" spans="1:4">
      <c r="A6046" s="105">
        <v>87417</v>
      </c>
      <c r="B6046" s="104" t="s">
        <v>5967</v>
      </c>
      <c r="C6046" s="104" t="s">
        <v>12</v>
      </c>
      <c r="D6046" s="129" t="s">
        <v>16635</v>
      </c>
    </row>
    <row r="6047" spans="1:4">
      <c r="A6047" s="105">
        <v>87418</v>
      </c>
      <c r="B6047" s="104" t="s">
        <v>5968</v>
      </c>
      <c r="C6047" s="104" t="s">
        <v>12</v>
      </c>
      <c r="D6047" s="129" t="s">
        <v>20733</v>
      </c>
    </row>
    <row r="6048" spans="1:4">
      <c r="A6048" s="105">
        <v>87419</v>
      </c>
      <c r="B6048" s="104" t="s">
        <v>5969</v>
      </c>
      <c r="C6048" s="104" t="s">
        <v>12</v>
      </c>
      <c r="D6048" s="129" t="s">
        <v>15242</v>
      </c>
    </row>
    <row r="6049" spans="1:4">
      <c r="A6049" s="105">
        <v>87420</v>
      </c>
      <c r="B6049" s="104" t="s">
        <v>5970</v>
      </c>
      <c r="C6049" s="104" t="s">
        <v>12</v>
      </c>
      <c r="D6049" s="129" t="s">
        <v>20300</v>
      </c>
    </row>
    <row r="6050" spans="1:4">
      <c r="A6050" s="105">
        <v>87421</v>
      </c>
      <c r="B6050" s="104" t="s">
        <v>5971</v>
      </c>
      <c r="C6050" s="104" t="s">
        <v>12</v>
      </c>
      <c r="D6050" s="129" t="s">
        <v>18228</v>
      </c>
    </row>
    <row r="6051" spans="1:4">
      <c r="A6051" s="105">
        <v>87422</v>
      </c>
      <c r="B6051" s="104" t="s">
        <v>5972</v>
      </c>
      <c r="C6051" s="104" t="s">
        <v>12</v>
      </c>
      <c r="D6051" s="129" t="s">
        <v>24008</v>
      </c>
    </row>
    <row r="6052" spans="1:4">
      <c r="A6052" s="105">
        <v>87423</v>
      </c>
      <c r="B6052" s="104" t="s">
        <v>5973</v>
      </c>
      <c r="C6052" s="104" t="s">
        <v>12</v>
      </c>
      <c r="D6052" s="129" t="s">
        <v>24009</v>
      </c>
    </row>
    <row r="6053" spans="1:4">
      <c r="A6053" s="105">
        <v>87424</v>
      </c>
      <c r="B6053" s="104" t="s">
        <v>5974</v>
      </c>
      <c r="C6053" s="104" t="s">
        <v>12</v>
      </c>
      <c r="D6053" s="129" t="s">
        <v>24007</v>
      </c>
    </row>
    <row r="6054" spans="1:4">
      <c r="A6054" s="105">
        <v>87425</v>
      </c>
      <c r="B6054" s="104" t="s">
        <v>5975</v>
      </c>
      <c r="C6054" s="104" t="s">
        <v>12</v>
      </c>
      <c r="D6054" s="129" t="s">
        <v>24010</v>
      </c>
    </row>
    <row r="6055" spans="1:4">
      <c r="A6055" s="105">
        <v>87426</v>
      </c>
      <c r="B6055" s="104" t="s">
        <v>5976</v>
      </c>
      <c r="C6055" s="104" t="s">
        <v>12</v>
      </c>
      <c r="D6055" s="129" t="s">
        <v>15995</v>
      </c>
    </row>
    <row r="6056" spans="1:4">
      <c r="A6056" s="105">
        <v>87427</v>
      </c>
      <c r="B6056" s="104" t="s">
        <v>5977</v>
      </c>
      <c r="C6056" s="104" t="s">
        <v>12</v>
      </c>
      <c r="D6056" s="129" t="s">
        <v>15887</v>
      </c>
    </row>
    <row r="6057" spans="1:4">
      <c r="A6057" s="105">
        <v>87428</v>
      </c>
      <c r="B6057" s="104" t="s">
        <v>5978</v>
      </c>
      <c r="C6057" s="104" t="s">
        <v>12</v>
      </c>
      <c r="D6057" s="129" t="s">
        <v>24011</v>
      </c>
    </row>
    <row r="6058" spans="1:4">
      <c r="A6058" s="105">
        <v>87429</v>
      </c>
      <c r="B6058" s="104" t="s">
        <v>5979</v>
      </c>
      <c r="C6058" s="104" t="s">
        <v>12</v>
      </c>
      <c r="D6058" s="129" t="s">
        <v>19635</v>
      </c>
    </row>
    <row r="6059" spans="1:4">
      <c r="A6059" s="105">
        <v>87430</v>
      </c>
      <c r="B6059" s="104" t="s">
        <v>5980</v>
      </c>
      <c r="C6059" s="104" t="s">
        <v>12</v>
      </c>
      <c r="D6059" s="129" t="s">
        <v>22068</v>
      </c>
    </row>
    <row r="6060" spans="1:4">
      <c r="A6060" s="105">
        <v>87431</v>
      </c>
      <c r="B6060" s="104" t="s">
        <v>5981</v>
      </c>
      <c r="C6060" s="104" t="s">
        <v>12</v>
      </c>
      <c r="D6060" s="129" t="s">
        <v>15666</v>
      </c>
    </row>
    <row r="6061" spans="1:4">
      <c r="A6061" s="105">
        <v>87432</v>
      </c>
      <c r="B6061" s="104" t="s">
        <v>5982</v>
      </c>
      <c r="C6061" s="104" t="s">
        <v>12</v>
      </c>
      <c r="D6061" s="129" t="s">
        <v>22112</v>
      </c>
    </row>
    <row r="6062" spans="1:4">
      <c r="A6062" s="105">
        <v>87433</v>
      </c>
      <c r="B6062" s="104" t="s">
        <v>5983</v>
      </c>
      <c r="C6062" s="104" t="s">
        <v>12</v>
      </c>
      <c r="D6062" s="129" t="s">
        <v>24012</v>
      </c>
    </row>
    <row r="6063" spans="1:4">
      <c r="A6063" s="105">
        <v>87434</v>
      </c>
      <c r="B6063" s="104" t="s">
        <v>5984</v>
      </c>
      <c r="C6063" s="104" t="s">
        <v>12</v>
      </c>
      <c r="D6063" s="129" t="s">
        <v>22063</v>
      </c>
    </row>
    <row r="6064" spans="1:4">
      <c r="A6064" s="105">
        <v>87435</v>
      </c>
      <c r="B6064" s="104" t="s">
        <v>5985</v>
      </c>
      <c r="C6064" s="104" t="s">
        <v>12</v>
      </c>
      <c r="D6064" s="129" t="s">
        <v>22939</v>
      </c>
    </row>
    <row r="6065" spans="1:4">
      <c r="A6065" s="105">
        <v>87436</v>
      </c>
      <c r="B6065" s="104" t="s">
        <v>5986</v>
      </c>
      <c r="C6065" s="104" t="s">
        <v>12</v>
      </c>
      <c r="D6065" s="129" t="s">
        <v>23011</v>
      </c>
    </row>
    <row r="6066" spans="1:4">
      <c r="A6066" s="105">
        <v>87437</v>
      </c>
      <c r="B6066" s="104" t="s">
        <v>5987</v>
      </c>
      <c r="C6066" s="104" t="s">
        <v>12</v>
      </c>
      <c r="D6066" s="129" t="s">
        <v>24013</v>
      </c>
    </row>
    <row r="6067" spans="1:4">
      <c r="A6067" s="105">
        <v>87438</v>
      </c>
      <c r="B6067" s="104" t="s">
        <v>5988</v>
      </c>
      <c r="C6067" s="104" t="s">
        <v>12</v>
      </c>
      <c r="D6067" s="129" t="s">
        <v>24014</v>
      </c>
    </row>
    <row r="6068" spans="1:4">
      <c r="A6068" s="105">
        <v>87439</v>
      </c>
      <c r="B6068" s="104" t="s">
        <v>5989</v>
      </c>
      <c r="C6068" s="104" t="s">
        <v>12</v>
      </c>
      <c r="D6068" s="129" t="s">
        <v>24015</v>
      </c>
    </row>
    <row r="6069" spans="1:4">
      <c r="A6069" s="105">
        <v>87440</v>
      </c>
      <c r="B6069" s="104" t="s">
        <v>5990</v>
      </c>
      <c r="C6069" s="104" t="s">
        <v>12</v>
      </c>
      <c r="D6069" s="129" t="s">
        <v>22314</v>
      </c>
    </row>
    <row r="6070" spans="1:4">
      <c r="A6070" s="105">
        <v>87527</v>
      </c>
      <c r="B6070" s="104" t="s">
        <v>5991</v>
      </c>
      <c r="C6070" s="104" t="s">
        <v>12</v>
      </c>
      <c r="D6070" s="129" t="s">
        <v>17939</v>
      </c>
    </row>
    <row r="6071" spans="1:4">
      <c r="A6071" s="105">
        <v>87528</v>
      </c>
      <c r="B6071" s="104" t="s">
        <v>5992</v>
      </c>
      <c r="C6071" s="104" t="s">
        <v>12</v>
      </c>
      <c r="D6071" s="129" t="s">
        <v>24016</v>
      </c>
    </row>
    <row r="6072" spans="1:4">
      <c r="A6072" s="105">
        <v>87529</v>
      </c>
      <c r="B6072" s="104" t="s">
        <v>5993</v>
      </c>
      <c r="C6072" s="104" t="s">
        <v>12</v>
      </c>
      <c r="D6072" s="129" t="s">
        <v>24017</v>
      </c>
    </row>
    <row r="6073" spans="1:4">
      <c r="A6073" s="105">
        <v>87530</v>
      </c>
      <c r="B6073" s="104" t="s">
        <v>5994</v>
      </c>
      <c r="C6073" s="104" t="s">
        <v>12</v>
      </c>
      <c r="D6073" s="129" t="s">
        <v>24018</v>
      </c>
    </row>
    <row r="6074" spans="1:4">
      <c r="A6074" s="105">
        <v>87531</v>
      </c>
      <c r="B6074" s="104" t="s">
        <v>5995</v>
      </c>
      <c r="C6074" s="104" t="s">
        <v>12</v>
      </c>
      <c r="D6074" s="129" t="s">
        <v>24019</v>
      </c>
    </row>
    <row r="6075" spans="1:4">
      <c r="A6075" s="105">
        <v>87532</v>
      </c>
      <c r="B6075" s="104" t="s">
        <v>5996</v>
      </c>
      <c r="C6075" s="104" t="s">
        <v>12</v>
      </c>
      <c r="D6075" s="129" t="s">
        <v>15123</v>
      </c>
    </row>
    <row r="6076" spans="1:4">
      <c r="A6076" s="105">
        <v>87535</v>
      </c>
      <c r="B6076" s="104" t="s">
        <v>5997</v>
      </c>
      <c r="C6076" s="104" t="s">
        <v>12</v>
      </c>
      <c r="D6076" s="129" t="s">
        <v>16666</v>
      </c>
    </row>
    <row r="6077" spans="1:4">
      <c r="A6077" s="105">
        <v>87536</v>
      </c>
      <c r="B6077" s="104" t="s">
        <v>5998</v>
      </c>
      <c r="C6077" s="104" t="s">
        <v>12</v>
      </c>
      <c r="D6077" s="129" t="s">
        <v>24017</v>
      </c>
    </row>
    <row r="6078" spans="1:4">
      <c r="A6078" s="105">
        <v>87537</v>
      </c>
      <c r="B6078" s="104" t="s">
        <v>5999</v>
      </c>
      <c r="C6078" s="104" t="s">
        <v>12</v>
      </c>
      <c r="D6078" s="129" t="s">
        <v>24020</v>
      </c>
    </row>
    <row r="6079" spans="1:4">
      <c r="A6079" s="105">
        <v>87538</v>
      </c>
      <c r="B6079" s="104" t="s">
        <v>6000</v>
      </c>
      <c r="C6079" s="104" t="s">
        <v>12</v>
      </c>
      <c r="D6079" s="129" t="s">
        <v>24021</v>
      </c>
    </row>
    <row r="6080" spans="1:4">
      <c r="A6080" s="105">
        <v>87539</v>
      </c>
      <c r="B6080" s="104" t="s">
        <v>6001</v>
      </c>
      <c r="C6080" s="104" t="s">
        <v>12</v>
      </c>
      <c r="D6080" s="129" t="s">
        <v>24022</v>
      </c>
    </row>
    <row r="6081" spans="1:4">
      <c r="A6081" s="105">
        <v>87541</v>
      </c>
      <c r="B6081" s="104" t="s">
        <v>6002</v>
      </c>
      <c r="C6081" s="104" t="s">
        <v>12</v>
      </c>
      <c r="D6081" s="129" t="s">
        <v>16774</v>
      </c>
    </row>
    <row r="6082" spans="1:4">
      <c r="A6082" s="105">
        <v>87543</v>
      </c>
      <c r="B6082" s="104" t="s">
        <v>61</v>
      </c>
      <c r="C6082" s="104" t="s">
        <v>12</v>
      </c>
      <c r="D6082" s="129" t="s">
        <v>17313</v>
      </c>
    </row>
    <row r="6083" spans="1:4">
      <c r="A6083" s="105">
        <v>87545</v>
      </c>
      <c r="B6083" s="104" t="s">
        <v>6003</v>
      </c>
      <c r="C6083" s="104" t="s">
        <v>12</v>
      </c>
      <c r="D6083" s="129" t="s">
        <v>23868</v>
      </c>
    </row>
    <row r="6084" spans="1:4">
      <c r="A6084" s="105">
        <v>87546</v>
      </c>
      <c r="B6084" s="104" t="s">
        <v>6004</v>
      </c>
      <c r="C6084" s="104" t="s">
        <v>12</v>
      </c>
      <c r="D6084" s="129" t="s">
        <v>18103</v>
      </c>
    </row>
    <row r="6085" spans="1:4">
      <c r="A6085" s="105">
        <v>87547</v>
      </c>
      <c r="B6085" s="104" t="s">
        <v>6005</v>
      </c>
      <c r="C6085" s="104" t="s">
        <v>12</v>
      </c>
      <c r="D6085" s="129" t="s">
        <v>23132</v>
      </c>
    </row>
    <row r="6086" spans="1:4">
      <c r="A6086" s="105">
        <v>87548</v>
      </c>
      <c r="B6086" s="104" t="s">
        <v>6006</v>
      </c>
      <c r="C6086" s="104" t="s">
        <v>12</v>
      </c>
      <c r="D6086" s="129" t="s">
        <v>23803</v>
      </c>
    </row>
    <row r="6087" spans="1:4">
      <c r="A6087" s="105">
        <v>87549</v>
      </c>
      <c r="B6087" s="104" t="s">
        <v>6007</v>
      </c>
      <c r="C6087" s="104" t="s">
        <v>12</v>
      </c>
      <c r="D6087" s="129" t="s">
        <v>24023</v>
      </c>
    </row>
    <row r="6088" spans="1:4">
      <c r="A6088" s="105">
        <v>87550</v>
      </c>
      <c r="B6088" s="104" t="s">
        <v>6008</v>
      </c>
      <c r="C6088" s="104" t="s">
        <v>12</v>
      </c>
      <c r="D6088" s="129" t="s">
        <v>18453</v>
      </c>
    </row>
    <row r="6089" spans="1:4">
      <c r="A6089" s="105">
        <v>87553</v>
      </c>
      <c r="B6089" s="104" t="s">
        <v>6009</v>
      </c>
      <c r="C6089" s="104" t="s">
        <v>12</v>
      </c>
      <c r="D6089" s="129" t="s">
        <v>24024</v>
      </c>
    </row>
    <row r="6090" spans="1:4">
      <c r="A6090" s="105">
        <v>87554</v>
      </c>
      <c r="B6090" s="104" t="s">
        <v>6010</v>
      </c>
      <c r="C6090" s="104" t="s">
        <v>12</v>
      </c>
      <c r="D6090" s="129" t="s">
        <v>24025</v>
      </c>
    </row>
    <row r="6091" spans="1:4">
      <c r="A6091" s="105">
        <v>87555</v>
      </c>
      <c r="B6091" s="104" t="s">
        <v>6011</v>
      </c>
      <c r="C6091" s="104" t="s">
        <v>12</v>
      </c>
      <c r="D6091" s="129" t="s">
        <v>22294</v>
      </c>
    </row>
    <row r="6092" spans="1:4">
      <c r="A6092" s="105">
        <v>87556</v>
      </c>
      <c r="B6092" s="104" t="s">
        <v>6012</v>
      </c>
      <c r="C6092" s="104" t="s">
        <v>12</v>
      </c>
      <c r="D6092" s="129" t="s">
        <v>24026</v>
      </c>
    </row>
    <row r="6093" spans="1:4">
      <c r="A6093" s="105">
        <v>87557</v>
      </c>
      <c r="B6093" s="104" t="s">
        <v>6013</v>
      </c>
      <c r="C6093" s="104" t="s">
        <v>12</v>
      </c>
      <c r="D6093" s="129" t="s">
        <v>15889</v>
      </c>
    </row>
    <row r="6094" spans="1:4">
      <c r="A6094" s="105">
        <v>87559</v>
      </c>
      <c r="B6094" s="104" t="s">
        <v>6014</v>
      </c>
      <c r="C6094" s="104" t="s">
        <v>12</v>
      </c>
      <c r="D6094" s="129" t="s">
        <v>14772</v>
      </c>
    </row>
    <row r="6095" spans="1:4">
      <c r="A6095" s="105">
        <v>87561</v>
      </c>
      <c r="B6095" s="104" t="s">
        <v>6015</v>
      </c>
      <c r="C6095" s="104" t="s">
        <v>12</v>
      </c>
      <c r="D6095" s="129" t="s">
        <v>24027</v>
      </c>
    </row>
    <row r="6096" spans="1:4">
      <c r="A6096" s="105">
        <v>87775</v>
      </c>
      <c r="B6096" s="104" t="s">
        <v>6016</v>
      </c>
      <c r="C6096" s="104" t="s">
        <v>12</v>
      </c>
      <c r="D6096" s="129" t="s">
        <v>17444</v>
      </c>
    </row>
    <row r="6097" spans="1:4">
      <c r="A6097" s="105">
        <v>87777</v>
      </c>
      <c r="B6097" s="104" t="s">
        <v>6017</v>
      </c>
      <c r="C6097" s="104" t="s">
        <v>12</v>
      </c>
      <c r="D6097" s="129" t="s">
        <v>21978</v>
      </c>
    </row>
    <row r="6098" spans="1:4">
      <c r="A6098" s="105">
        <v>87778</v>
      </c>
      <c r="B6098" s="104" t="s">
        <v>6018</v>
      </c>
      <c r="C6098" s="104" t="s">
        <v>12</v>
      </c>
      <c r="D6098" s="129" t="s">
        <v>24028</v>
      </c>
    </row>
    <row r="6099" spans="1:4">
      <c r="A6099" s="105">
        <v>87779</v>
      </c>
      <c r="B6099" s="104" t="s">
        <v>6019</v>
      </c>
      <c r="C6099" s="104" t="s">
        <v>12</v>
      </c>
      <c r="D6099" s="129" t="s">
        <v>24029</v>
      </c>
    </row>
    <row r="6100" spans="1:4">
      <c r="A6100" s="105">
        <v>87781</v>
      </c>
      <c r="B6100" s="104" t="s">
        <v>6020</v>
      </c>
      <c r="C6100" s="104" t="s">
        <v>12</v>
      </c>
      <c r="D6100" s="129" t="s">
        <v>24030</v>
      </c>
    </row>
    <row r="6101" spans="1:4">
      <c r="A6101" s="105">
        <v>87783</v>
      </c>
      <c r="B6101" s="104" t="s">
        <v>6021</v>
      </c>
      <c r="C6101" s="104" t="s">
        <v>12</v>
      </c>
      <c r="D6101" s="129" t="s">
        <v>24031</v>
      </c>
    </row>
    <row r="6102" spans="1:4">
      <c r="A6102" s="105">
        <v>87784</v>
      </c>
      <c r="B6102" s="104" t="s">
        <v>6022</v>
      </c>
      <c r="C6102" s="104" t="s">
        <v>12</v>
      </c>
      <c r="D6102" s="129" t="s">
        <v>18195</v>
      </c>
    </row>
    <row r="6103" spans="1:4">
      <c r="A6103" s="105">
        <v>87786</v>
      </c>
      <c r="B6103" s="104" t="s">
        <v>6023</v>
      </c>
      <c r="C6103" s="104" t="s">
        <v>12</v>
      </c>
      <c r="D6103" s="129" t="s">
        <v>24032</v>
      </c>
    </row>
    <row r="6104" spans="1:4">
      <c r="A6104" s="105">
        <v>87787</v>
      </c>
      <c r="B6104" s="104" t="s">
        <v>6024</v>
      </c>
      <c r="C6104" s="104" t="s">
        <v>12</v>
      </c>
      <c r="D6104" s="129" t="s">
        <v>24033</v>
      </c>
    </row>
    <row r="6105" spans="1:4">
      <c r="A6105" s="105">
        <v>87788</v>
      </c>
      <c r="B6105" s="104" t="s">
        <v>6025</v>
      </c>
      <c r="C6105" s="104" t="s">
        <v>12</v>
      </c>
      <c r="D6105" s="129" t="s">
        <v>24034</v>
      </c>
    </row>
    <row r="6106" spans="1:4">
      <c r="A6106" s="105">
        <v>87790</v>
      </c>
      <c r="B6106" s="104" t="s">
        <v>6026</v>
      </c>
      <c r="C6106" s="104" t="s">
        <v>12</v>
      </c>
      <c r="D6106" s="129" t="s">
        <v>24035</v>
      </c>
    </row>
    <row r="6107" spans="1:4">
      <c r="A6107" s="105">
        <v>87791</v>
      </c>
      <c r="B6107" s="104" t="s">
        <v>6027</v>
      </c>
      <c r="C6107" s="104" t="s">
        <v>12</v>
      </c>
      <c r="D6107" s="129" t="s">
        <v>24036</v>
      </c>
    </row>
    <row r="6108" spans="1:4">
      <c r="A6108" s="105">
        <v>87792</v>
      </c>
      <c r="B6108" s="104" t="s">
        <v>6028</v>
      </c>
      <c r="C6108" s="104" t="s">
        <v>12</v>
      </c>
      <c r="D6108" s="129" t="s">
        <v>24037</v>
      </c>
    </row>
    <row r="6109" spans="1:4">
      <c r="A6109" s="105">
        <v>87794</v>
      </c>
      <c r="B6109" s="104" t="s">
        <v>6029</v>
      </c>
      <c r="C6109" s="104" t="s">
        <v>12</v>
      </c>
      <c r="D6109" s="129" t="s">
        <v>24038</v>
      </c>
    </row>
    <row r="6110" spans="1:4">
      <c r="A6110" s="105">
        <v>87795</v>
      </c>
      <c r="B6110" s="104" t="s">
        <v>6030</v>
      </c>
      <c r="C6110" s="104" t="s">
        <v>12</v>
      </c>
      <c r="D6110" s="129" t="s">
        <v>24039</v>
      </c>
    </row>
    <row r="6111" spans="1:4">
      <c r="A6111" s="105">
        <v>87797</v>
      </c>
      <c r="B6111" s="104" t="s">
        <v>6031</v>
      </c>
      <c r="C6111" s="104" t="s">
        <v>12</v>
      </c>
      <c r="D6111" s="129" t="s">
        <v>24040</v>
      </c>
    </row>
    <row r="6112" spans="1:4">
      <c r="A6112" s="105">
        <v>87799</v>
      </c>
      <c r="B6112" s="104" t="s">
        <v>6032</v>
      </c>
      <c r="C6112" s="104" t="s">
        <v>12</v>
      </c>
      <c r="D6112" s="129" t="s">
        <v>22743</v>
      </c>
    </row>
    <row r="6113" spans="1:4">
      <c r="A6113" s="105">
        <v>87800</v>
      </c>
      <c r="B6113" s="104" t="s">
        <v>6033</v>
      </c>
      <c r="C6113" s="104" t="s">
        <v>12</v>
      </c>
      <c r="D6113" s="129" t="s">
        <v>24041</v>
      </c>
    </row>
    <row r="6114" spans="1:4">
      <c r="A6114" s="105">
        <v>87801</v>
      </c>
      <c r="B6114" s="104" t="s">
        <v>6034</v>
      </c>
      <c r="C6114" s="104" t="s">
        <v>12</v>
      </c>
      <c r="D6114" s="129" t="s">
        <v>24042</v>
      </c>
    </row>
    <row r="6115" spans="1:4">
      <c r="A6115" s="105">
        <v>87803</v>
      </c>
      <c r="B6115" s="104" t="s">
        <v>6035</v>
      </c>
      <c r="C6115" s="104" t="s">
        <v>12</v>
      </c>
      <c r="D6115" s="129" t="s">
        <v>24043</v>
      </c>
    </row>
    <row r="6116" spans="1:4">
      <c r="A6116" s="105">
        <v>87804</v>
      </c>
      <c r="B6116" s="104" t="s">
        <v>6036</v>
      </c>
      <c r="C6116" s="104" t="s">
        <v>12</v>
      </c>
      <c r="D6116" s="129" t="s">
        <v>24044</v>
      </c>
    </row>
    <row r="6117" spans="1:4">
      <c r="A6117" s="105">
        <v>87805</v>
      </c>
      <c r="B6117" s="104" t="s">
        <v>6037</v>
      </c>
      <c r="C6117" s="104" t="s">
        <v>12</v>
      </c>
      <c r="D6117" s="129" t="s">
        <v>24029</v>
      </c>
    </row>
    <row r="6118" spans="1:4">
      <c r="A6118" s="105">
        <v>87807</v>
      </c>
      <c r="B6118" s="104" t="s">
        <v>6038</v>
      </c>
      <c r="C6118" s="104" t="s">
        <v>12</v>
      </c>
      <c r="D6118" s="129" t="s">
        <v>19273</v>
      </c>
    </row>
    <row r="6119" spans="1:4">
      <c r="A6119" s="105">
        <v>87808</v>
      </c>
      <c r="B6119" s="104" t="s">
        <v>6039</v>
      </c>
      <c r="C6119" s="104" t="s">
        <v>12</v>
      </c>
      <c r="D6119" s="129" t="s">
        <v>24045</v>
      </c>
    </row>
    <row r="6120" spans="1:4">
      <c r="A6120" s="105">
        <v>87809</v>
      </c>
      <c r="B6120" s="104" t="s">
        <v>6040</v>
      </c>
      <c r="C6120" s="104" t="s">
        <v>12</v>
      </c>
      <c r="D6120" s="129" t="s">
        <v>24046</v>
      </c>
    </row>
    <row r="6121" spans="1:4">
      <c r="A6121" s="105">
        <v>87811</v>
      </c>
      <c r="B6121" s="104" t="s">
        <v>6041</v>
      </c>
      <c r="C6121" s="104" t="s">
        <v>12</v>
      </c>
      <c r="D6121" s="129" t="s">
        <v>24047</v>
      </c>
    </row>
    <row r="6122" spans="1:4">
      <c r="A6122" s="105">
        <v>87812</v>
      </c>
      <c r="B6122" s="104" t="s">
        <v>6042</v>
      </c>
      <c r="C6122" s="104" t="s">
        <v>12</v>
      </c>
      <c r="D6122" s="129" t="s">
        <v>24048</v>
      </c>
    </row>
    <row r="6123" spans="1:4">
      <c r="A6123" s="105">
        <v>87813</v>
      </c>
      <c r="B6123" s="104" t="s">
        <v>6043</v>
      </c>
      <c r="C6123" s="104" t="s">
        <v>12</v>
      </c>
      <c r="D6123" s="129" t="s">
        <v>24049</v>
      </c>
    </row>
    <row r="6124" spans="1:4">
      <c r="A6124" s="105">
        <v>87815</v>
      </c>
      <c r="B6124" s="104" t="s">
        <v>6044</v>
      </c>
      <c r="C6124" s="104" t="s">
        <v>12</v>
      </c>
      <c r="D6124" s="129" t="s">
        <v>22578</v>
      </c>
    </row>
    <row r="6125" spans="1:4">
      <c r="A6125" s="105">
        <v>87816</v>
      </c>
      <c r="B6125" s="104" t="s">
        <v>6045</v>
      </c>
      <c r="C6125" s="104" t="s">
        <v>12</v>
      </c>
      <c r="D6125" s="129" t="s">
        <v>24050</v>
      </c>
    </row>
    <row r="6126" spans="1:4">
      <c r="A6126" s="105">
        <v>87817</v>
      </c>
      <c r="B6126" s="104" t="s">
        <v>6046</v>
      </c>
      <c r="C6126" s="104" t="s">
        <v>12</v>
      </c>
      <c r="D6126" s="129" t="s">
        <v>24051</v>
      </c>
    </row>
    <row r="6127" spans="1:4">
      <c r="A6127" s="105">
        <v>87819</v>
      </c>
      <c r="B6127" s="104" t="s">
        <v>6047</v>
      </c>
      <c r="C6127" s="104" t="s">
        <v>12</v>
      </c>
      <c r="D6127" s="129" t="s">
        <v>24052</v>
      </c>
    </row>
    <row r="6128" spans="1:4">
      <c r="A6128" s="105">
        <v>87820</v>
      </c>
      <c r="B6128" s="104" t="s">
        <v>6048</v>
      </c>
      <c r="C6128" s="104" t="s">
        <v>12</v>
      </c>
      <c r="D6128" s="129" t="s">
        <v>24053</v>
      </c>
    </row>
    <row r="6129" spans="1:4">
      <c r="A6129" s="105">
        <v>87821</v>
      </c>
      <c r="B6129" s="104" t="s">
        <v>6049</v>
      </c>
      <c r="C6129" s="104" t="s">
        <v>12</v>
      </c>
      <c r="D6129" s="129" t="s">
        <v>24054</v>
      </c>
    </row>
    <row r="6130" spans="1:4">
      <c r="A6130" s="105">
        <v>87823</v>
      </c>
      <c r="B6130" s="104" t="s">
        <v>6050</v>
      </c>
      <c r="C6130" s="104" t="s">
        <v>12</v>
      </c>
      <c r="D6130" s="129" t="s">
        <v>24055</v>
      </c>
    </row>
    <row r="6131" spans="1:4">
      <c r="A6131" s="105">
        <v>87824</v>
      </c>
      <c r="B6131" s="104" t="s">
        <v>6051</v>
      </c>
      <c r="C6131" s="104" t="s">
        <v>12</v>
      </c>
      <c r="D6131" s="129" t="s">
        <v>24056</v>
      </c>
    </row>
    <row r="6132" spans="1:4">
      <c r="A6132" s="105">
        <v>87825</v>
      </c>
      <c r="B6132" s="104" t="s">
        <v>6052</v>
      </c>
      <c r="C6132" s="104" t="s">
        <v>12</v>
      </c>
      <c r="D6132" s="129" t="s">
        <v>17725</v>
      </c>
    </row>
    <row r="6133" spans="1:4">
      <c r="A6133" s="105">
        <v>87827</v>
      </c>
      <c r="B6133" s="104" t="s">
        <v>6053</v>
      </c>
      <c r="C6133" s="104" t="s">
        <v>12</v>
      </c>
      <c r="D6133" s="129" t="s">
        <v>24057</v>
      </c>
    </row>
    <row r="6134" spans="1:4">
      <c r="A6134" s="105">
        <v>87828</v>
      </c>
      <c r="B6134" s="104" t="s">
        <v>6054</v>
      </c>
      <c r="C6134" s="104" t="s">
        <v>12</v>
      </c>
      <c r="D6134" s="129" t="s">
        <v>24058</v>
      </c>
    </row>
    <row r="6135" spans="1:4">
      <c r="A6135" s="105">
        <v>87829</v>
      </c>
      <c r="B6135" s="104" t="s">
        <v>6055</v>
      </c>
      <c r="C6135" s="104" t="s">
        <v>12</v>
      </c>
      <c r="D6135" s="129" t="s">
        <v>24059</v>
      </c>
    </row>
    <row r="6136" spans="1:4">
      <c r="A6136" s="105">
        <v>87831</v>
      </c>
      <c r="B6136" s="104" t="s">
        <v>6056</v>
      </c>
      <c r="C6136" s="104" t="s">
        <v>12</v>
      </c>
      <c r="D6136" s="129" t="s">
        <v>23653</v>
      </c>
    </row>
    <row r="6137" spans="1:4">
      <c r="A6137" s="105">
        <v>87832</v>
      </c>
      <c r="B6137" s="104" t="s">
        <v>6057</v>
      </c>
      <c r="C6137" s="104" t="s">
        <v>12</v>
      </c>
      <c r="D6137" s="129" t="s">
        <v>24060</v>
      </c>
    </row>
    <row r="6138" spans="1:4">
      <c r="A6138" s="105">
        <v>87834</v>
      </c>
      <c r="B6138" s="104" t="s">
        <v>6058</v>
      </c>
      <c r="C6138" s="104" t="s">
        <v>12</v>
      </c>
      <c r="D6138" s="129" t="s">
        <v>24061</v>
      </c>
    </row>
    <row r="6139" spans="1:4">
      <c r="A6139" s="105">
        <v>87835</v>
      </c>
      <c r="B6139" s="104" t="s">
        <v>6059</v>
      </c>
      <c r="C6139" s="104" t="s">
        <v>12</v>
      </c>
      <c r="D6139" s="129" t="s">
        <v>24062</v>
      </c>
    </row>
    <row r="6140" spans="1:4">
      <c r="A6140" s="105">
        <v>87836</v>
      </c>
      <c r="B6140" s="104" t="s">
        <v>6060</v>
      </c>
      <c r="C6140" s="104" t="s">
        <v>12</v>
      </c>
      <c r="D6140" s="129" t="s">
        <v>24063</v>
      </c>
    </row>
    <row r="6141" spans="1:4">
      <c r="A6141" s="105">
        <v>87837</v>
      </c>
      <c r="B6141" s="104" t="s">
        <v>6061</v>
      </c>
      <c r="C6141" s="104" t="s">
        <v>12</v>
      </c>
      <c r="D6141" s="129" t="s">
        <v>24064</v>
      </c>
    </row>
    <row r="6142" spans="1:4">
      <c r="A6142" s="105">
        <v>87838</v>
      </c>
      <c r="B6142" s="104" t="s">
        <v>6062</v>
      </c>
      <c r="C6142" s="104" t="s">
        <v>12</v>
      </c>
      <c r="D6142" s="129" t="s">
        <v>24065</v>
      </c>
    </row>
    <row r="6143" spans="1:4">
      <c r="A6143" s="105">
        <v>87839</v>
      </c>
      <c r="B6143" s="104" t="s">
        <v>6063</v>
      </c>
      <c r="C6143" s="104" t="s">
        <v>12</v>
      </c>
      <c r="D6143" s="129" t="s">
        <v>24066</v>
      </c>
    </row>
    <row r="6144" spans="1:4">
      <c r="A6144" s="105">
        <v>87840</v>
      </c>
      <c r="B6144" s="104" t="s">
        <v>6064</v>
      </c>
      <c r="C6144" s="104" t="s">
        <v>12</v>
      </c>
      <c r="D6144" s="129" t="s">
        <v>24067</v>
      </c>
    </row>
    <row r="6145" spans="1:4">
      <c r="A6145" s="105">
        <v>87841</v>
      </c>
      <c r="B6145" s="104" t="s">
        <v>6065</v>
      </c>
      <c r="C6145" s="104" t="s">
        <v>12</v>
      </c>
      <c r="D6145" s="129" t="s">
        <v>24068</v>
      </c>
    </row>
    <row r="6146" spans="1:4">
      <c r="A6146" s="105">
        <v>87842</v>
      </c>
      <c r="B6146" s="104" t="s">
        <v>6066</v>
      </c>
      <c r="C6146" s="104" t="s">
        <v>12</v>
      </c>
      <c r="D6146" s="129" t="s">
        <v>24069</v>
      </c>
    </row>
    <row r="6147" spans="1:4">
      <c r="A6147" s="105">
        <v>87843</v>
      </c>
      <c r="B6147" s="104" t="s">
        <v>6067</v>
      </c>
      <c r="C6147" s="104" t="s">
        <v>12</v>
      </c>
      <c r="D6147" s="129" t="s">
        <v>24070</v>
      </c>
    </row>
    <row r="6148" spans="1:4">
      <c r="A6148" s="105">
        <v>87844</v>
      </c>
      <c r="B6148" s="104" t="s">
        <v>6068</v>
      </c>
      <c r="C6148" s="104" t="s">
        <v>12</v>
      </c>
      <c r="D6148" s="129" t="s">
        <v>24071</v>
      </c>
    </row>
    <row r="6149" spans="1:4">
      <c r="A6149" s="105">
        <v>87845</v>
      </c>
      <c r="B6149" s="104" t="s">
        <v>6069</v>
      </c>
      <c r="C6149" s="104" t="s">
        <v>12</v>
      </c>
      <c r="D6149" s="129" t="s">
        <v>24072</v>
      </c>
    </row>
    <row r="6150" spans="1:4">
      <c r="A6150" s="105">
        <v>87846</v>
      </c>
      <c r="B6150" s="104" t="s">
        <v>6070</v>
      </c>
      <c r="C6150" s="104" t="s">
        <v>12</v>
      </c>
      <c r="D6150" s="129" t="s">
        <v>24073</v>
      </c>
    </row>
    <row r="6151" spans="1:4">
      <c r="A6151" s="105">
        <v>87847</v>
      </c>
      <c r="B6151" s="104" t="s">
        <v>6071</v>
      </c>
      <c r="C6151" s="104" t="s">
        <v>12</v>
      </c>
      <c r="D6151" s="129" t="s">
        <v>24074</v>
      </c>
    </row>
    <row r="6152" spans="1:4">
      <c r="A6152" s="105">
        <v>87848</v>
      </c>
      <c r="B6152" s="104" t="s">
        <v>6072</v>
      </c>
      <c r="C6152" s="104" t="s">
        <v>12</v>
      </c>
      <c r="D6152" s="129" t="s">
        <v>24075</v>
      </c>
    </row>
    <row r="6153" spans="1:4">
      <c r="A6153" s="105">
        <v>87849</v>
      </c>
      <c r="B6153" s="104" t="s">
        <v>6073</v>
      </c>
      <c r="C6153" s="104" t="s">
        <v>12</v>
      </c>
      <c r="D6153" s="129" t="s">
        <v>24076</v>
      </c>
    </row>
    <row r="6154" spans="1:4">
      <c r="A6154" s="105">
        <v>87850</v>
      </c>
      <c r="B6154" s="104" t="s">
        <v>6074</v>
      </c>
      <c r="C6154" s="104" t="s">
        <v>12</v>
      </c>
      <c r="D6154" s="129" t="s">
        <v>24077</v>
      </c>
    </row>
    <row r="6155" spans="1:4">
      <c r="A6155" s="105">
        <v>87851</v>
      </c>
      <c r="B6155" s="104" t="s">
        <v>6075</v>
      </c>
      <c r="C6155" s="104" t="s">
        <v>12</v>
      </c>
      <c r="D6155" s="129" t="s">
        <v>24078</v>
      </c>
    </row>
    <row r="6156" spans="1:4">
      <c r="A6156" s="105">
        <v>87852</v>
      </c>
      <c r="B6156" s="104" t="s">
        <v>6076</v>
      </c>
      <c r="C6156" s="104" t="s">
        <v>12</v>
      </c>
      <c r="D6156" s="129" t="s">
        <v>24079</v>
      </c>
    </row>
    <row r="6157" spans="1:4">
      <c r="A6157" s="105">
        <v>87853</v>
      </c>
      <c r="B6157" s="104" t="s">
        <v>6077</v>
      </c>
      <c r="C6157" s="104" t="s">
        <v>12</v>
      </c>
      <c r="D6157" s="129" t="s">
        <v>24080</v>
      </c>
    </row>
    <row r="6158" spans="1:4">
      <c r="A6158" s="105">
        <v>87854</v>
      </c>
      <c r="B6158" s="104" t="s">
        <v>6078</v>
      </c>
      <c r="C6158" s="104" t="s">
        <v>12</v>
      </c>
      <c r="D6158" s="129" t="s">
        <v>24081</v>
      </c>
    </row>
    <row r="6159" spans="1:4">
      <c r="A6159" s="105">
        <v>87855</v>
      </c>
      <c r="B6159" s="104" t="s">
        <v>6079</v>
      </c>
      <c r="C6159" s="104" t="s">
        <v>12</v>
      </c>
      <c r="D6159" s="129" t="s">
        <v>24082</v>
      </c>
    </row>
    <row r="6160" spans="1:4">
      <c r="A6160" s="105">
        <v>87856</v>
      </c>
      <c r="B6160" s="104" t="s">
        <v>6080</v>
      </c>
      <c r="C6160" s="104" t="s">
        <v>12</v>
      </c>
      <c r="D6160" s="129" t="s">
        <v>24083</v>
      </c>
    </row>
    <row r="6161" spans="1:4">
      <c r="A6161" s="105">
        <v>87857</v>
      </c>
      <c r="B6161" s="104" t="s">
        <v>6081</v>
      </c>
      <c r="C6161" s="104" t="s">
        <v>12</v>
      </c>
      <c r="D6161" s="129" t="s">
        <v>24084</v>
      </c>
    </row>
    <row r="6162" spans="1:4">
      <c r="A6162" s="105">
        <v>87858</v>
      </c>
      <c r="B6162" s="104" t="s">
        <v>6082</v>
      </c>
      <c r="C6162" s="104" t="s">
        <v>12</v>
      </c>
      <c r="D6162" s="129" t="s">
        <v>24085</v>
      </c>
    </row>
    <row r="6163" spans="1:4">
      <c r="A6163" s="105">
        <v>87859</v>
      </c>
      <c r="B6163" s="104" t="s">
        <v>6083</v>
      </c>
      <c r="C6163" s="104" t="s">
        <v>12</v>
      </c>
      <c r="D6163" s="129" t="s">
        <v>24086</v>
      </c>
    </row>
    <row r="6164" spans="1:4">
      <c r="A6164" s="105">
        <v>89048</v>
      </c>
      <c r="B6164" s="104" t="s">
        <v>6084</v>
      </c>
      <c r="C6164" s="104" t="s">
        <v>12</v>
      </c>
      <c r="D6164" s="129" t="s">
        <v>17583</v>
      </c>
    </row>
    <row r="6165" spans="1:4">
      <c r="A6165" s="105">
        <v>89049</v>
      </c>
      <c r="B6165" s="104" t="s">
        <v>6085</v>
      </c>
      <c r="C6165" s="104" t="s">
        <v>12</v>
      </c>
      <c r="D6165" s="129" t="s">
        <v>20363</v>
      </c>
    </row>
    <row r="6166" spans="1:4">
      <c r="A6166" s="105">
        <v>89173</v>
      </c>
      <c r="B6166" s="104" t="s">
        <v>6086</v>
      </c>
      <c r="C6166" s="104" t="s">
        <v>12</v>
      </c>
      <c r="D6166" s="129" t="s">
        <v>20522</v>
      </c>
    </row>
    <row r="6167" spans="1:4">
      <c r="A6167" s="105">
        <v>90406</v>
      </c>
      <c r="B6167" s="104" t="s">
        <v>6087</v>
      </c>
      <c r="C6167" s="104" t="s">
        <v>12</v>
      </c>
      <c r="D6167" s="129" t="s">
        <v>24087</v>
      </c>
    </row>
    <row r="6168" spans="1:4">
      <c r="A6168" s="105">
        <v>90407</v>
      </c>
      <c r="B6168" s="104" t="s">
        <v>6088</v>
      </c>
      <c r="C6168" s="104" t="s">
        <v>12</v>
      </c>
      <c r="D6168" s="129" t="s">
        <v>19699</v>
      </c>
    </row>
    <row r="6169" spans="1:4">
      <c r="A6169" s="105">
        <v>90408</v>
      </c>
      <c r="B6169" s="104" t="s">
        <v>6089</v>
      </c>
      <c r="C6169" s="104" t="s">
        <v>12</v>
      </c>
      <c r="D6169" s="129" t="s">
        <v>18474</v>
      </c>
    </row>
    <row r="6170" spans="1:4">
      <c r="A6170" s="105">
        <v>90409</v>
      </c>
      <c r="B6170" s="104" t="s">
        <v>6090</v>
      </c>
      <c r="C6170" s="104" t="s">
        <v>12</v>
      </c>
      <c r="D6170" s="129" t="s">
        <v>17432</v>
      </c>
    </row>
    <row r="6171" spans="1:4">
      <c r="A6171" s="105">
        <v>87242</v>
      </c>
      <c r="B6171" s="104" t="s">
        <v>6091</v>
      </c>
      <c r="C6171" s="104" t="s">
        <v>12</v>
      </c>
      <c r="D6171" s="129" t="s">
        <v>24088</v>
      </c>
    </row>
    <row r="6172" spans="1:4">
      <c r="A6172" s="105">
        <v>87243</v>
      </c>
      <c r="B6172" s="104" t="s">
        <v>6092</v>
      </c>
      <c r="C6172" s="104" t="s">
        <v>12</v>
      </c>
      <c r="D6172" s="129" t="s">
        <v>24089</v>
      </c>
    </row>
    <row r="6173" spans="1:4">
      <c r="A6173" s="105">
        <v>87244</v>
      </c>
      <c r="B6173" s="104" t="s">
        <v>6093</v>
      </c>
      <c r="C6173" s="104" t="s">
        <v>12</v>
      </c>
      <c r="D6173" s="129" t="s">
        <v>24090</v>
      </c>
    </row>
    <row r="6174" spans="1:4">
      <c r="A6174" s="105">
        <v>87245</v>
      </c>
      <c r="B6174" s="104" t="s">
        <v>73</v>
      </c>
      <c r="C6174" s="104" t="s">
        <v>12</v>
      </c>
      <c r="D6174" s="129" t="s">
        <v>24091</v>
      </c>
    </row>
    <row r="6175" spans="1:4">
      <c r="A6175" s="105">
        <v>87264</v>
      </c>
      <c r="B6175" s="104" t="s">
        <v>6094</v>
      </c>
      <c r="C6175" s="104" t="s">
        <v>12</v>
      </c>
      <c r="D6175" s="129" t="s">
        <v>24092</v>
      </c>
    </row>
    <row r="6176" spans="1:4">
      <c r="A6176" s="105">
        <v>87265</v>
      </c>
      <c r="B6176" s="104" t="s">
        <v>6095</v>
      </c>
      <c r="C6176" s="104" t="s">
        <v>12</v>
      </c>
      <c r="D6176" s="129" t="s">
        <v>24093</v>
      </c>
    </row>
    <row r="6177" spans="1:4">
      <c r="A6177" s="105">
        <v>87266</v>
      </c>
      <c r="B6177" s="104" t="s">
        <v>6096</v>
      </c>
      <c r="C6177" s="104" t="s">
        <v>12</v>
      </c>
      <c r="D6177" s="129" t="s">
        <v>24094</v>
      </c>
    </row>
    <row r="6178" spans="1:4">
      <c r="A6178" s="105">
        <v>87267</v>
      </c>
      <c r="B6178" s="104" t="s">
        <v>6097</v>
      </c>
      <c r="C6178" s="104" t="s">
        <v>12</v>
      </c>
      <c r="D6178" s="129" t="s">
        <v>24095</v>
      </c>
    </row>
    <row r="6179" spans="1:4">
      <c r="A6179" s="105">
        <v>87268</v>
      </c>
      <c r="B6179" s="104" t="s">
        <v>6098</v>
      </c>
      <c r="C6179" s="104" t="s">
        <v>12</v>
      </c>
      <c r="D6179" s="129" t="s">
        <v>24096</v>
      </c>
    </row>
    <row r="6180" spans="1:4">
      <c r="A6180" s="105">
        <v>87269</v>
      </c>
      <c r="B6180" s="104" t="s">
        <v>6099</v>
      </c>
      <c r="C6180" s="104" t="s">
        <v>12</v>
      </c>
      <c r="D6180" s="129" t="s">
        <v>17407</v>
      </c>
    </row>
    <row r="6181" spans="1:4">
      <c r="A6181" s="105">
        <v>87270</v>
      </c>
      <c r="B6181" s="104" t="s">
        <v>6100</v>
      </c>
      <c r="C6181" s="104" t="s">
        <v>12</v>
      </c>
      <c r="D6181" s="129" t="s">
        <v>24097</v>
      </c>
    </row>
    <row r="6182" spans="1:4">
      <c r="A6182" s="105">
        <v>87271</v>
      </c>
      <c r="B6182" s="104" t="s">
        <v>6101</v>
      </c>
      <c r="C6182" s="104" t="s">
        <v>12</v>
      </c>
      <c r="D6182" s="129" t="s">
        <v>18399</v>
      </c>
    </row>
    <row r="6183" spans="1:4">
      <c r="A6183" s="105">
        <v>87272</v>
      </c>
      <c r="B6183" s="104" t="s">
        <v>6102</v>
      </c>
      <c r="C6183" s="104" t="s">
        <v>12</v>
      </c>
      <c r="D6183" s="129" t="s">
        <v>24098</v>
      </c>
    </row>
    <row r="6184" spans="1:4">
      <c r="A6184" s="105">
        <v>87273</v>
      </c>
      <c r="B6184" s="104" t="s">
        <v>6103</v>
      </c>
      <c r="C6184" s="104" t="s">
        <v>12</v>
      </c>
      <c r="D6184" s="129" t="s">
        <v>24099</v>
      </c>
    </row>
    <row r="6185" spans="1:4">
      <c r="A6185" s="105">
        <v>87274</v>
      </c>
      <c r="B6185" s="104" t="s">
        <v>6104</v>
      </c>
      <c r="C6185" s="104" t="s">
        <v>12</v>
      </c>
      <c r="D6185" s="129" t="s">
        <v>24100</v>
      </c>
    </row>
    <row r="6186" spans="1:4">
      <c r="A6186" s="105">
        <v>87275</v>
      </c>
      <c r="B6186" s="104" t="s">
        <v>6105</v>
      </c>
      <c r="C6186" s="104" t="s">
        <v>12</v>
      </c>
      <c r="D6186" s="129" t="s">
        <v>24101</v>
      </c>
    </row>
    <row r="6187" spans="1:4">
      <c r="A6187" s="105">
        <v>88786</v>
      </c>
      <c r="B6187" s="104" t="s">
        <v>6106</v>
      </c>
      <c r="C6187" s="104" t="s">
        <v>12</v>
      </c>
      <c r="D6187" s="129" t="s">
        <v>24102</v>
      </c>
    </row>
    <row r="6188" spans="1:4">
      <c r="A6188" s="105">
        <v>88787</v>
      </c>
      <c r="B6188" s="104" t="s">
        <v>6107</v>
      </c>
      <c r="C6188" s="104" t="s">
        <v>12</v>
      </c>
      <c r="D6188" s="129" t="s">
        <v>24103</v>
      </c>
    </row>
    <row r="6189" spans="1:4">
      <c r="A6189" s="105">
        <v>88788</v>
      </c>
      <c r="B6189" s="104" t="s">
        <v>6108</v>
      </c>
      <c r="C6189" s="104" t="s">
        <v>12</v>
      </c>
      <c r="D6189" s="129" t="s">
        <v>24104</v>
      </c>
    </row>
    <row r="6190" spans="1:4">
      <c r="A6190" s="105">
        <v>88789</v>
      </c>
      <c r="B6190" s="104" t="s">
        <v>6109</v>
      </c>
      <c r="C6190" s="104" t="s">
        <v>12</v>
      </c>
      <c r="D6190" s="129" t="s">
        <v>24105</v>
      </c>
    </row>
    <row r="6191" spans="1:4">
      <c r="A6191" s="105">
        <v>89045</v>
      </c>
      <c r="B6191" s="104" t="s">
        <v>6110</v>
      </c>
      <c r="C6191" s="104" t="s">
        <v>12</v>
      </c>
      <c r="D6191" s="129" t="s">
        <v>24106</v>
      </c>
    </row>
    <row r="6192" spans="1:4">
      <c r="A6192" s="105">
        <v>89170</v>
      </c>
      <c r="B6192" s="104" t="s">
        <v>12965</v>
      </c>
      <c r="C6192" s="104" t="s">
        <v>12</v>
      </c>
      <c r="D6192" s="129" t="s">
        <v>22819</v>
      </c>
    </row>
    <row r="6193" spans="1:4">
      <c r="A6193" s="105">
        <v>93392</v>
      </c>
      <c r="B6193" s="104" t="s">
        <v>6111</v>
      </c>
      <c r="C6193" s="104" t="s">
        <v>12</v>
      </c>
      <c r="D6193" s="129" t="s">
        <v>22409</v>
      </c>
    </row>
    <row r="6194" spans="1:4">
      <c r="A6194" s="105">
        <v>93393</v>
      </c>
      <c r="B6194" s="104" t="s">
        <v>6112</v>
      </c>
      <c r="C6194" s="104" t="s">
        <v>12</v>
      </c>
      <c r="D6194" s="129" t="s">
        <v>24107</v>
      </c>
    </row>
    <row r="6195" spans="1:4">
      <c r="A6195" s="105">
        <v>93394</v>
      </c>
      <c r="B6195" s="104" t="s">
        <v>6113</v>
      </c>
      <c r="C6195" s="104" t="s">
        <v>12</v>
      </c>
      <c r="D6195" s="129" t="s">
        <v>24108</v>
      </c>
    </row>
    <row r="6196" spans="1:4">
      <c r="A6196" s="105">
        <v>93395</v>
      </c>
      <c r="B6196" s="104" t="s">
        <v>6114</v>
      </c>
      <c r="C6196" s="104" t="s">
        <v>12</v>
      </c>
      <c r="D6196" s="129" t="s">
        <v>24109</v>
      </c>
    </row>
    <row r="6197" spans="1:4">
      <c r="A6197" s="105">
        <v>99194</v>
      </c>
      <c r="B6197" s="104" t="s">
        <v>6115</v>
      </c>
      <c r="C6197" s="104" t="s">
        <v>12</v>
      </c>
      <c r="D6197" s="129" t="s">
        <v>24110</v>
      </c>
    </row>
    <row r="6198" spans="1:4">
      <c r="A6198" s="105">
        <v>99195</v>
      </c>
      <c r="B6198" s="104" t="s">
        <v>6116</v>
      </c>
      <c r="C6198" s="104" t="s">
        <v>12</v>
      </c>
      <c r="D6198" s="129" t="s">
        <v>24111</v>
      </c>
    </row>
    <row r="6199" spans="1:4">
      <c r="A6199" s="105">
        <v>99196</v>
      </c>
      <c r="B6199" s="104" t="s">
        <v>6117</v>
      </c>
      <c r="C6199" s="104" t="s">
        <v>12</v>
      </c>
      <c r="D6199" s="129" t="s">
        <v>23663</v>
      </c>
    </row>
    <row r="6200" spans="1:4">
      <c r="A6200" s="105">
        <v>99198</v>
      </c>
      <c r="B6200" s="104" t="s">
        <v>6118</v>
      </c>
      <c r="C6200" s="104" t="s">
        <v>12</v>
      </c>
      <c r="D6200" s="129" t="s">
        <v>24112</v>
      </c>
    </row>
    <row r="6201" spans="1:4">
      <c r="A6201" s="105">
        <v>101965</v>
      </c>
      <c r="B6201" s="104" t="s">
        <v>6119</v>
      </c>
      <c r="C6201" s="104" t="s">
        <v>40</v>
      </c>
      <c r="D6201" s="129" t="s">
        <v>24113</v>
      </c>
    </row>
    <row r="6202" spans="1:4">
      <c r="A6202" s="105">
        <v>101966</v>
      </c>
      <c r="B6202" s="104" t="s">
        <v>6120</v>
      </c>
      <c r="C6202" s="104" t="s">
        <v>40</v>
      </c>
      <c r="D6202" s="129" t="s">
        <v>22740</v>
      </c>
    </row>
    <row r="6203" spans="1:4">
      <c r="A6203" s="105">
        <v>101979</v>
      </c>
      <c r="B6203" s="104" t="s">
        <v>6121</v>
      </c>
      <c r="C6203" s="104" t="s">
        <v>40</v>
      </c>
      <c r="D6203" s="129" t="s">
        <v>24114</v>
      </c>
    </row>
    <row r="6204" spans="1:4">
      <c r="A6204" s="105">
        <v>96112</v>
      </c>
      <c r="B6204" s="104" t="s">
        <v>6122</v>
      </c>
      <c r="C6204" s="104" t="s">
        <v>12</v>
      </c>
      <c r="D6204" s="129" t="s">
        <v>24115</v>
      </c>
    </row>
    <row r="6205" spans="1:4">
      <c r="A6205" s="105">
        <v>96117</v>
      </c>
      <c r="B6205" s="104" t="s">
        <v>6123</v>
      </c>
      <c r="C6205" s="104" t="s">
        <v>12</v>
      </c>
      <c r="D6205" s="129" t="s">
        <v>24116</v>
      </c>
    </row>
    <row r="6206" spans="1:4">
      <c r="A6206" s="105">
        <v>96122</v>
      </c>
      <c r="B6206" s="104" t="s">
        <v>6124</v>
      </c>
      <c r="C6206" s="104" t="s">
        <v>40</v>
      </c>
      <c r="D6206" s="129" t="s">
        <v>24117</v>
      </c>
    </row>
    <row r="6207" spans="1:4">
      <c r="A6207" s="105">
        <v>96109</v>
      </c>
      <c r="B6207" s="104" t="s">
        <v>6125</v>
      </c>
      <c r="C6207" s="104" t="s">
        <v>12</v>
      </c>
      <c r="D6207" s="129" t="s">
        <v>24118</v>
      </c>
    </row>
    <row r="6208" spans="1:4">
      <c r="A6208" s="105">
        <v>96110</v>
      </c>
      <c r="B6208" s="104" t="s">
        <v>6126</v>
      </c>
      <c r="C6208" s="104" t="s">
        <v>12</v>
      </c>
      <c r="D6208" s="129" t="s">
        <v>24119</v>
      </c>
    </row>
    <row r="6209" spans="1:4">
      <c r="A6209" s="105">
        <v>96113</v>
      </c>
      <c r="B6209" s="104" t="s">
        <v>417</v>
      </c>
      <c r="C6209" s="104" t="s">
        <v>12</v>
      </c>
      <c r="D6209" s="129" t="s">
        <v>18577</v>
      </c>
    </row>
    <row r="6210" spans="1:4">
      <c r="A6210" s="105">
        <v>96114</v>
      </c>
      <c r="B6210" s="104" t="s">
        <v>6127</v>
      </c>
      <c r="C6210" s="104" t="s">
        <v>12</v>
      </c>
      <c r="D6210" s="129" t="s">
        <v>24120</v>
      </c>
    </row>
    <row r="6211" spans="1:4">
      <c r="A6211" s="105">
        <v>96120</v>
      </c>
      <c r="B6211" s="104" t="s">
        <v>6128</v>
      </c>
      <c r="C6211" s="104" t="s">
        <v>40</v>
      </c>
      <c r="D6211" s="129" t="s">
        <v>15748</v>
      </c>
    </row>
    <row r="6212" spans="1:4">
      <c r="A6212" s="105">
        <v>96123</v>
      </c>
      <c r="B6212" s="104" t="s">
        <v>6129</v>
      </c>
      <c r="C6212" s="104" t="s">
        <v>40</v>
      </c>
      <c r="D6212" s="129" t="s">
        <v>24121</v>
      </c>
    </row>
    <row r="6213" spans="1:4">
      <c r="A6213" s="105">
        <v>99054</v>
      </c>
      <c r="B6213" s="104" t="s">
        <v>6130</v>
      </c>
      <c r="C6213" s="104" t="s">
        <v>12</v>
      </c>
      <c r="D6213" s="129" t="s">
        <v>24122</v>
      </c>
    </row>
    <row r="6214" spans="1:4">
      <c r="A6214" s="105">
        <v>96111</v>
      </c>
      <c r="B6214" s="104" t="s">
        <v>6131</v>
      </c>
      <c r="C6214" s="104" t="s">
        <v>12</v>
      </c>
      <c r="D6214" s="129" t="s">
        <v>15394</v>
      </c>
    </row>
    <row r="6215" spans="1:4">
      <c r="A6215" s="105">
        <v>96116</v>
      </c>
      <c r="B6215" s="104" t="s">
        <v>6132</v>
      </c>
      <c r="C6215" s="104" t="s">
        <v>12</v>
      </c>
      <c r="D6215" s="129" t="s">
        <v>24123</v>
      </c>
    </row>
    <row r="6216" spans="1:4">
      <c r="A6216" s="105">
        <v>96121</v>
      </c>
      <c r="B6216" s="104" t="s">
        <v>6133</v>
      </c>
      <c r="C6216" s="104" t="s">
        <v>40</v>
      </c>
      <c r="D6216" s="129" t="s">
        <v>24124</v>
      </c>
    </row>
    <row r="6217" spans="1:4">
      <c r="A6217" s="105">
        <v>96485</v>
      </c>
      <c r="B6217" s="104" t="s">
        <v>6134</v>
      </c>
      <c r="C6217" s="104" t="s">
        <v>12</v>
      </c>
      <c r="D6217" s="129" t="s">
        <v>24125</v>
      </c>
    </row>
    <row r="6218" spans="1:4">
      <c r="A6218" s="105">
        <v>96486</v>
      </c>
      <c r="B6218" s="104" t="s">
        <v>6135</v>
      </c>
      <c r="C6218" s="104" t="s">
        <v>12</v>
      </c>
      <c r="D6218" s="129" t="s">
        <v>20831</v>
      </c>
    </row>
    <row r="6219" spans="1:4">
      <c r="A6219" s="105">
        <v>91514</v>
      </c>
      <c r="B6219" s="104" t="s">
        <v>6136</v>
      </c>
      <c r="C6219" s="104" t="s">
        <v>12</v>
      </c>
      <c r="D6219" s="129" t="s">
        <v>15762</v>
      </c>
    </row>
    <row r="6220" spans="1:4">
      <c r="A6220" s="105">
        <v>91515</v>
      </c>
      <c r="B6220" s="104" t="s">
        <v>6137</v>
      </c>
      <c r="C6220" s="104" t="s">
        <v>12</v>
      </c>
      <c r="D6220" s="129" t="s">
        <v>15636</v>
      </c>
    </row>
    <row r="6221" spans="1:4">
      <c r="A6221" s="105">
        <v>91516</v>
      </c>
      <c r="B6221" s="104" t="s">
        <v>6138</v>
      </c>
      <c r="C6221" s="104" t="s">
        <v>12</v>
      </c>
      <c r="D6221" s="129" t="s">
        <v>18021</v>
      </c>
    </row>
    <row r="6222" spans="1:4">
      <c r="A6222" s="105">
        <v>91517</v>
      </c>
      <c r="B6222" s="104" t="s">
        <v>6139</v>
      </c>
      <c r="C6222" s="104" t="s">
        <v>12</v>
      </c>
      <c r="D6222" s="129" t="s">
        <v>17180</v>
      </c>
    </row>
    <row r="6223" spans="1:4">
      <c r="A6223" s="105">
        <v>91519</v>
      </c>
      <c r="B6223" s="104" t="s">
        <v>6140</v>
      </c>
      <c r="C6223" s="104" t="s">
        <v>12</v>
      </c>
      <c r="D6223" s="129" t="s">
        <v>24126</v>
      </c>
    </row>
    <row r="6224" spans="1:4">
      <c r="A6224" s="105">
        <v>91520</v>
      </c>
      <c r="B6224" s="104" t="s">
        <v>6141</v>
      </c>
      <c r="C6224" s="104" t="s">
        <v>12</v>
      </c>
      <c r="D6224" s="129" t="s">
        <v>24127</v>
      </c>
    </row>
    <row r="6225" spans="1:4">
      <c r="A6225" s="105">
        <v>91522</v>
      </c>
      <c r="B6225" s="104" t="s">
        <v>6142</v>
      </c>
      <c r="C6225" s="104" t="s">
        <v>12</v>
      </c>
      <c r="D6225" s="129" t="s">
        <v>15451</v>
      </c>
    </row>
    <row r="6226" spans="1:4">
      <c r="A6226" s="105">
        <v>91525</v>
      </c>
      <c r="B6226" s="104" t="s">
        <v>6143</v>
      </c>
      <c r="C6226" s="104" t="s">
        <v>12</v>
      </c>
      <c r="D6226" s="129" t="s">
        <v>15525</v>
      </c>
    </row>
    <row r="6227" spans="1:4">
      <c r="A6227" s="105">
        <v>87280</v>
      </c>
      <c r="B6227" s="104" t="s">
        <v>6144</v>
      </c>
      <c r="C6227" s="104" t="s">
        <v>28</v>
      </c>
      <c r="D6227" s="129" t="s">
        <v>24128</v>
      </c>
    </row>
    <row r="6228" spans="1:4">
      <c r="A6228" s="105">
        <v>87281</v>
      </c>
      <c r="B6228" s="104" t="s">
        <v>6145</v>
      </c>
      <c r="C6228" s="104" t="s">
        <v>28</v>
      </c>
      <c r="D6228" s="129" t="s">
        <v>16561</v>
      </c>
    </row>
    <row r="6229" spans="1:4">
      <c r="A6229" s="105">
        <v>87283</v>
      </c>
      <c r="B6229" s="104" t="s">
        <v>6146</v>
      </c>
      <c r="C6229" s="104" t="s">
        <v>28</v>
      </c>
      <c r="D6229" s="129" t="s">
        <v>24129</v>
      </c>
    </row>
    <row r="6230" spans="1:4">
      <c r="A6230" s="105">
        <v>87284</v>
      </c>
      <c r="B6230" s="104" t="s">
        <v>6147</v>
      </c>
      <c r="C6230" s="104" t="s">
        <v>28</v>
      </c>
      <c r="D6230" s="129" t="s">
        <v>24130</v>
      </c>
    </row>
    <row r="6231" spans="1:4">
      <c r="A6231" s="105">
        <v>87286</v>
      </c>
      <c r="B6231" s="104" t="s">
        <v>6148</v>
      </c>
      <c r="C6231" s="104" t="s">
        <v>28</v>
      </c>
      <c r="D6231" s="129" t="s">
        <v>24131</v>
      </c>
    </row>
    <row r="6232" spans="1:4">
      <c r="A6232" s="105">
        <v>87287</v>
      </c>
      <c r="B6232" s="104" t="s">
        <v>6149</v>
      </c>
      <c r="C6232" s="104" t="s">
        <v>28</v>
      </c>
      <c r="D6232" s="129" t="s">
        <v>24132</v>
      </c>
    </row>
    <row r="6233" spans="1:4">
      <c r="A6233" s="105">
        <v>87289</v>
      </c>
      <c r="B6233" s="104" t="s">
        <v>6150</v>
      </c>
      <c r="C6233" s="104" t="s">
        <v>28</v>
      </c>
      <c r="D6233" s="129" t="s">
        <v>24133</v>
      </c>
    </row>
    <row r="6234" spans="1:4">
      <c r="A6234" s="105">
        <v>87290</v>
      </c>
      <c r="B6234" s="104" t="s">
        <v>6151</v>
      </c>
      <c r="C6234" s="104" t="s">
        <v>28</v>
      </c>
      <c r="D6234" s="129" t="s">
        <v>24134</v>
      </c>
    </row>
    <row r="6235" spans="1:4">
      <c r="A6235" s="105">
        <v>87292</v>
      </c>
      <c r="B6235" s="104" t="s">
        <v>6152</v>
      </c>
      <c r="C6235" s="104" t="s">
        <v>28</v>
      </c>
      <c r="D6235" s="129" t="s">
        <v>24135</v>
      </c>
    </row>
    <row r="6236" spans="1:4">
      <c r="A6236" s="105">
        <v>87294</v>
      </c>
      <c r="B6236" s="104" t="s">
        <v>6153</v>
      </c>
      <c r="C6236" s="104" t="s">
        <v>28</v>
      </c>
      <c r="D6236" s="129" t="s">
        <v>24136</v>
      </c>
    </row>
    <row r="6237" spans="1:4">
      <c r="A6237" s="105">
        <v>87295</v>
      </c>
      <c r="B6237" s="104" t="s">
        <v>6154</v>
      </c>
      <c r="C6237" s="104" t="s">
        <v>28</v>
      </c>
      <c r="D6237" s="129" t="s">
        <v>24137</v>
      </c>
    </row>
    <row r="6238" spans="1:4">
      <c r="A6238" s="105">
        <v>87296</v>
      </c>
      <c r="B6238" s="104" t="s">
        <v>6155</v>
      </c>
      <c r="C6238" s="104" t="s">
        <v>28</v>
      </c>
      <c r="D6238" s="129" t="s">
        <v>24138</v>
      </c>
    </row>
    <row r="6239" spans="1:4">
      <c r="A6239" s="105">
        <v>87298</v>
      </c>
      <c r="B6239" s="104" t="s">
        <v>6156</v>
      </c>
      <c r="C6239" s="104" t="s">
        <v>28</v>
      </c>
      <c r="D6239" s="129" t="s">
        <v>24139</v>
      </c>
    </row>
    <row r="6240" spans="1:4">
      <c r="A6240" s="105">
        <v>87299</v>
      </c>
      <c r="B6240" s="104" t="s">
        <v>6157</v>
      </c>
      <c r="C6240" s="104" t="s">
        <v>28</v>
      </c>
      <c r="D6240" s="129" t="s">
        <v>24140</v>
      </c>
    </row>
    <row r="6241" spans="1:4">
      <c r="A6241" s="105">
        <v>87301</v>
      </c>
      <c r="B6241" s="104" t="s">
        <v>6158</v>
      </c>
      <c r="C6241" s="104" t="s">
        <v>28</v>
      </c>
      <c r="D6241" s="129" t="s">
        <v>24141</v>
      </c>
    </row>
    <row r="6242" spans="1:4">
      <c r="A6242" s="105">
        <v>87302</v>
      </c>
      <c r="B6242" s="104" t="s">
        <v>6159</v>
      </c>
      <c r="C6242" s="104" t="s">
        <v>28</v>
      </c>
      <c r="D6242" s="129" t="s">
        <v>24142</v>
      </c>
    </row>
    <row r="6243" spans="1:4">
      <c r="A6243" s="105">
        <v>87304</v>
      </c>
      <c r="B6243" s="104" t="s">
        <v>6160</v>
      </c>
      <c r="C6243" s="104" t="s">
        <v>28</v>
      </c>
      <c r="D6243" s="129" t="s">
        <v>24143</v>
      </c>
    </row>
    <row r="6244" spans="1:4">
      <c r="A6244" s="105">
        <v>87305</v>
      </c>
      <c r="B6244" s="104" t="s">
        <v>6161</v>
      </c>
      <c r="C6244" s="104" t="s">
        <v>28</v>
      </c>
      <c r="D6244" s="129" t="s">
        <v>24144</v>
      </c>
    </row>
    <row r="6245" spans="1:4">
      <c r="A6245" s="105">
        <v>87307</v>
      </c>
      <c r="B6245" s="104" t="s">
        <v>6162</v>
      </c>
      <c r="C6245" s="104" t="s">
        <v>28</v>
      </c>
      <c r="D6245" s="129" t="s">
        <v>24145</v>
      </c>
    </row>
    <row r="6246" spans="1:4">
      <c r="A6246" s="105">
        <v>87308</v>
      </c>
      <c r="B6246" s="104" t="s">
        <v>6163</v>
      </c>
      <c r="C6246" s="104" t="s">
        <v>28</v>
      </c>
      <c r="D6246" s="129" t="s">
        <v>24146</v>
      </c>
    </row>
    <row r="6247" spans="1:4">
      <c r="A6247" s="105">
        <v>87310</v>
      </c>
      <c r="B6247" s="104" t="s">
        <v>6164</v>
      </c>
      <c r="C6247" s="104" t="s">
        <v>28</v>
      </c>
      <c r="D6247" s="129" t="s">
        <v>24147</v>
      </c>
    </row>
    <row r="6248" spans="1:4">
      <c r="A6248" s="105">
        <v>87311</v>
      </c>
      <c r="B6248" s="104" t="s">
        <v>6165</v>
      </c>
      <c r="C6248" s="104" t="s">
        <v>28</v>
      </c>
      <c r="D6248" s="129" t="s">
        <v>24148</v>
      </c>
    </row>
    <row r="6249" spans="1:4">
      <c r="A6249" s="105">
        <v>87313</v>
      </c>
      <c r="B6249" s="104" t="s">
        <v>6166</v>
      </c>
      <c r="C6249" s="104" t="s">
        <v>28</v>
      </c>
      <c r="D6249" s="129" t="s">
        <v>24149</v>
      </c>
    </row>
    <row r="6250" spans="1:4">
      <c r="A6250" s="105">
        <v>87314</v>
      </c>
      <c r="B6250" s="104" t="s">
        <v>6167</v>
      </c>
      <c r="C6250" s="104" t="s">
        <v>28</v>
      </c>
      <c r="D6250" s="129" t="s">
        <v>24150</v>
      </c>
    </row>
    <row r="6251" spans="1:4">
      <c r="A6251" s="105">
        <v>87316</v>
      </c>
      <c r="B6251" s="104" t="s">
        <v>6168</v>
      </c>
      <c r="C6251" s="104" t="s">
        <v>28</v>
      </c>
      <c r="D6251" s="129" t="s">
        <v>24151</v>
      </c>
    </row>
    <row r="6252" spans="1:4">
      <c r="A6252" s="105">
        <v>87317</v>
      </c>
      <c r="B6252" s="104" t="s">
        <v>6169</v>
      </c>
      <c r="C6252" s="104" t="s">
        <v>28</v>
      </c>
      <c r="D6252" s="129" t="s">
        <v>24152</v>
      </c>
    </row>
    <row r="6253" spans="1:4">
      <c r="A6253" s="105">
        <v>87319</v>
      </c>
      <c r="B6253" s="104" t="s">
        <v>6170</v>
      </c>
      <c r="C6253" s="104" t="s">
        <v>28</v>
      </c>
      <c r="D6253" s="129" t="s">
        <v>24153</v>
      </c>
    </row>
    <row r="6254" spans="1:4">
      <c r="A6254" s="105">
        <v>87320</v>
      </c>
      <c r="B6254" s="104" t="s">
        <v>6171</v>
      </c>
      <c r="C6254" s="104" t="s">
        <v>28</v>
      </c>
      <c r="D6254" s="129" t="s">
        <v>24154</v>
      </c>
    </row>
    <row r="6255" spans="1:4">
      <c r="A6255" s="105">
        <v>87322</v>
      </c>
      <c r="B6255" s="104" t="s">
        <v>6172</v>
      </c>
      <c r="C6255" s="104" t="s">
        <v>28</v>
      </c>
      <c r="D6255" s="129" t="s">
        <v>24155</v>
      </c>
    </row>
    <row r="6256" spans="1:4">
      <c r="A6256" s="105">
        <v>87323</v>
      </c>
      <c r="B6256" s="104" t="s">
        <v>6173</v>
      </c>
      <c r="C6256" s="104" t="s">
        <v>28</v>
      </c>
      <c r="D6256" s="129" t="s">
        <v>24156</v>
      </c>
    </row>
    <row r="6257" spans="1:4">
      <c r="A6257" s="105">
        <v>87325</v>
      </c>
      <c r="B6257" s="104" t="s">
        <v>6174</v>
      </c>
      <c r="C6257" s="104" t="s">
        <v>28</v>
      </c>
      <c r="D6257" s="129" t="s">
        <v>24157</v>
      </c>
    </row>
    <row r="6258" spans="1:4">
      <c r="A6258" s="105">
        <v>87326</v>
      </c>
      <c r="B6258" s="104" t="s">
        <v>6175</v>
      </c>
      <c r="C6258" s="104" t="s">
        <v>28</v>
      </c>
      <c r="D6258" s="129" t="s">
        <v>24158</v>
      </c>
    </row>
    <row r="6259" spans="1:4">
      <c r="A6259" s="105">
        <v>87327</v>
      </c>
      <c r="B6259" s="104" t="s">
        <v>6176</v>
      </c>
      <c r="C6259" s="104" t="s">
        <v>28</v>
      </c>
      <c r="D6259" s="129" t="s">
        <v>24159</v>
      </c>
    </row>
    <row r="6260" spans="1:4">
      <c r="A6260" s="105">
        <v>87328</v>
      </c>
      <c r="B6260" s="104" t="s">
        <v>6177</v>
      </c>
      <c r="C6260" s="104" t="s">
        <v>28</v>
      </c>
      <c r="D6260" s="129" t="s">
        <v>24160</v>
      </c>
    </row>
    <row r="6261" spans="1:4">
      <c r="A6261" s="105">
        <v>87329</v>
      </c>
      <c r="B6261" s="104" t="s">
        <v>6178</v>
      </c>
      <c r="C6261" s="104" t="s">
        <v>28</v>
      </c>
      <c r="D6261" s="129" t="s">
        <v>24161</v>
      </c>
    </row>
    <row r="6262" spans="1:4">
      <c r="A6262" s="105">
        <v>87330</v>
      </c>
      <c r="B6262" s="104" t="s">
        <v>6179</v>
      </c>
      <c r="C6262" s="104" t="s">
        <v>28</v>
      </c>
      <c r="D6262" s="129" t="s">
        <v>24162</v>
      </c>
    </row>
    <row r="6263" spans="1:4">
      <c r="A6263" s="105">
        <v>87331</v>
      </c>
      <c r="B6263" s="104" t="s">
        <v>6180</v>
      </c>
      <c r="C6263" s="104" t="s">
        <v>28</v>
      </c>
      <c r="D6263" s="129" t="s">
        <v>24163</v>
      </c>
    </row>
    <row r="6264" spans="1:4">
      <c r="A6264" s="105">
        <v>87332</v>
      </c>
      <c r="B6264" s="104" t="s">
        <v>6181</v>
      </c>
      <c r="C6264" s="104" t="s">
        <v>28</v>
      </c>
      <c r="D6264" s="129" t="s">
        <v>19927</v>
      </c>
    </row>
    <row r="6265" spans="1:4">
      <c r="A6265" s="105">
        <v>87333</v>
      </c>
      <c r="B6265" s="104" t="s">
        <v>6182</v>
      </c>
      <c r="C6265" s="104" t="s">
        <v>28</v>
      </c>
      <c r="D6265" s="129" t="s">
        <v>24164</v>
      </c>
    </row>
    <row r="6266" spans="1:4">
      <c r="A6266" s="105">
        <v>87334</v>
      </c>
      <c r="B6266" s="104" t="s">
        <v>6183</v>
      </c>
      <c r="C6266" s="104" t="s">
        <v>28</v>
      </c>
      <c r="D6266" s="129" t="s">
        <v>24165</v>
      </c>
    </row>
    <row r="6267" spans="1:4">
      <c r="A6267" s="105">
        <v>87335</v>
      </c>
      <c r="B6267" s="104" t="s">
        <v>6184</v>
      </c>
      <c r="C6267" s="104" t="s">
        <v>28</v>
      </c>
      <c r="D6267" s="129" t="s">
        <v>24166</v>
      </c>
    </row>
    <row r="6268" spans="1:4">
      <c r="A6268" s="105">
        <v>87336</v>
      </c>
      <c r="B6268" s="104" t="s">
        <v>6185</v>
      </c>
      <c r="C6268" s="104" t="s">
        <v>28</v>
      </c>
      <c r="D6268" s="129" t="s">
        <v>14971</v>
      </c>
    </row>
    <row r="6269" spans="1:4">
      <c r="A6269" s="105">
        <v>87337</v>
      </c>
      <c r="B6269" s="104" t="s">
        <v>6186</v>
      </c>
      <c r="C6269" s="104" t="s">
        <v>28</v>
      </c>
      <c r="D6269" s="129" t="s">
        <v>24167</v>
      </c>
    </row>
    <row r="6270" spans="1:4">
      <c r="A6270" s="105">
        <v>87338</v>
      </c>
      <c r="B6270" s="104" t="s">
        <v>6187</v>
      </c>
      <c r="C6270" s="104" t="s">
        <v>28</v>
      </c>
      <c r="D6270" s="129" t="s">
        <v>24168</v>
      </c>
    </row>
    <row r="6271" spans="1:4">
      <c r="A6271" s="105">
        <v>87339</v>
      </c>
      <c r="B6271" s="104" t="s">
        <v>6188</v>
      </c>
      <c r="C6271" s="104" t="s">
        <v>28</v>
      </c>
      <c r="D6271" s="129" t="s">
        <v>24169</v>
      </c>
    </row>
    <row r="6272" spans="1:4">
      <c r="A6272" s="105">
        <v>87340</v>
      </c>
      <c r="B6272" s="104" t="s">
        <v>6189</v>
      </c>
      <c r="C6272" s="104" t="s">
        <v>28</v>
      </c>
      <c r="D6272" s="129" t="s">
        <v>24170</v>
      </c>
    </row>
    <row r="6273" spans="1:4">
      <c r="A6273" s="105">
        <v>87341</v>
      </c>
      <c r="B6273" s="104" t="s">
        <v>6190</v>
      </c>
      <c r="C6273" s="104" t="s">
        <v>28</v>
      </c>
      <c r="D6273" s="129" t="s">
        <v>24171</v>
      </c>
    </row>
    <row r="6274" spans="1:4">
      <c r="A6274" s="105">
        <v>87342</v>
      </c>
      <c r="B6274" s="104" t="s">
        <v>6191</v>
      </c>
      <c r="C6274" s="104" t="s">
        <v>28</v>
      </c>
      <c r="D6274" s="129" t="s">
        <v>24172</v>
      </c>
    </row>
    <row r="6275" spans="1:4">
      <c r="A6275" s="105">
        <v>87343</v>
      </c>
      <c r="B6275" s="104" t="s">
        <v>6192</v>
      </c>
      <c r="C6275" s="104" t="s">
        <v>28</v>
      </c>
      <c r="D6275" s="129" t="s">
        <v>24173</v>
      </c>
    </row>
    <row r="6276" spans="1:4">
      <c r="A6276" s="105">
        <v>87344</v>
      </c>
      <c r="B6276" s="104" t="s">
        <v>6193</v>
      </c>
      <c r="C6276" s="104" t="s">
        <v>28</v>
      </c>
      <c r="D6276" s="129" t="s">
        <v>24174</v>
      </c>
    </row>
    <row r="6277" spans="1:4">
      <c r="A6277" s="105">
        <v>87345</v>
      </c>
      <c r="B6277" s="104" t="s">
        <v>6194</v>
      </c>
      <c r="C6277" s="104" t="s">
        <v>28</v>
      </c>
      <c r="D6277" s="129" t="s">
        <v>24175</v>
      </c>
    </row>
    <row r="6278" spans="1:4">
      <c r="A6278" s="105">
        <v>87346</v>
      </c>
      <c r="B6278" s="104" t="s">
        <v>6195</v>
      </c>
      <c r="C6278" s="104" t="s">
        <v>28</v>
      </c>
      <c r="D6278" s="129" t="s">
        <v>24176</v>
      </c>
    </row>
    <row r="6279" spans="1:4">
      <c r="A6279" s="105">
        <v>87347</v>
      </c>
      <c r="B6279" s="104" t="s">
        <v>6196</v>
      </c>
      <c r="C6279" s="104" t="s">
        <v>28</v>
      </c>
      <c r="D6279" s="129" t="s">
        <v>24177</v>
      </c>
    </row>
    <row r="6280" spans="1:4">
      <c r="A6280" s="105">
        <v>87348</v>
      </c>
      <c r="B6280" s="104" t="s">
        <v>6197</v>
      </c>
      <c r="C6280" s="104" t="s">
        <v>28</v>
      </c>
      <c r="D6280" s="129" t="s">
        <v>24178</v>
      </c>
    </row>
    <row r="6281" spans="1:4">
      <c r="A6281" s="105">
        <v>87349</v>
      </c>
      <c r="B6281" s="104" t="s">
        <v>6198</v>
      </c>
      <c r="C6281" s="104" t="s">
        <v>28</v>
      </c>
      <c r="D6281" s="129" t="s">
        <v>23053</v>
      </c>
    </row>
    <row r="6282" spans="1:4">
      <c r="A6282" s="105">
        <v>87350</v>
      </c>
      <c r="B6282" s="104" t="s">
        <v>6199</v>
      </c>
      <c r="C6282" s="104" t="s">
        <v>28</v>
      </c>
      <c r="D6282" s="129" t="s">
        <v>24179</v>
      </c>
    </row>
    <row r="6283" spans="1:4">
      <c r="A6283" s="105">
        <v>87351</v>
      </c>
      <c r="B6283" s="104" t="s">
        <v>6200</v>
      </c>
      <c r="C6283" s="104" t="s">
        <v>28</v>
      </c>
      <c r="D6283" s="129" t="s">
        <v>24180</v>
      </c>
    </row>
    <row r="6284" spans="1:4">
      <c r="A6284" s="105">
        <v>87352</v>
      </c>
      <c r="B6284" s="104" t="s">
        <v>6201</v>
      </c>
      <c r="C6284" s="104" t="s">
        <v>28</v>
      </c>
      <c r="D6284" s="129" t="s">
        <v>24181</v>
      </c>
    </row>
    <row r="6285" spans="1:4">
      <c r="A6285" s="105">
        <v>87353</v>
      </c>
      <c r="B6285" s="104" t="s">
        <v>6202</v>
      </c>
      <c r="C6285" s="104" t="s">
        <v>28</v>
      </c>
      <c r="D6285" s="129" t="s">
        <v>24182</v>
      </c>
    </row>
    <row r="6286" spans="1:4">
      <c r="A6286" s="105">
        <v>87354</v>
      </c>
      <c r="B6286" s="104" t="s">
        <v>6203</v>
      </c>
      <c r="C6286" s="104" t="s">
        <v>28</v>
      </c>
      <c r="D6286" s="129" t="s">
        <v>24183</v>
      </c>
    </row>
    <row r="6287" spans="1:4">
      <c r="A6287" s="105">
        <v>87355</v>
      </c>
      <c r="B6287" s="104" t="s">
        <v>6204</v>
      </c>
      <c r="C6287" s="104" t="s">
        <v>28</v>
      </c>
      <c r="D6287" s="129" t="s">
        <v>24184</v>
      </c>
    </row>
    <row r="6288" spans="1:4">
      <c r="A6288" s="105">
        <v>87356</v>
      </c>
      <c r="B6288" s="104" t="s">
        <v>6205</v>
      </c>
      <c r="C6288" s="104" t="s">
        <v>28</v>
      </c>
      <c r="D6288" s="129" t="s">
        <v>24185</v>
      </c>
    </row>
    <row r="6289" spans="1:4">
      <c r="A6289" s="105">
        <v>87357</v>
      </c>
      <c r="B6289" s="104" t="s">
        <v>6206</v>
      </c>
      <c r="C6289" s="104" t="s">
        <v>28</v>
      </c>
      <c r="D6289" s="129" t="s">
        <v>24186</v>
      </c>
    </row>
    <row r="6290" spans="1:4">
      <c r="A6290" s="105">
        <v>87358</v>
      </c>
      <c r="B6290" s="104" t="s">
        <v>6207</v>
      </c>
      <c r="C6290" s="104" t="s">
        <v>28</v>
      </c>
      <c r="D6290" s="129" t="s">
        <v>24187</v>
      </c>
    </row>
    <row r="6291" spans="1:4">
      <c r="A6291" s="105">
        <v>87359</v>
      </c>
      <c r="B6291" s="104" t="s">
        <v>6208</v>
      </c>
      <c r="C6291" s="104" t="s">
        <v>28</v>
      </c>
      <c r="D6291" s="129" t="s">
        <v>24188</v>
      </c>
    </row>
    <row r="6292" spans="1:4">
      <c r="A6292" s="105">
        <v>87360</v>
      </c>
      <c r="B6292" s="104" t="s">
        <v>6209</v>
      </c>
      <c r="C6292" s="104" t="s">
        <v>28</v>
      </c>
      <c r="D6292" s="129" t="s">
        <v>24189</v>
      </c>
    </row>
    <row r="6293" spans="1:4">
      <c r="A6293" s="105">
        <v>87361</v>
      </c>
      <c r="B6293" s="104" t="s">
        <v>6210</v>
      </c>
      <c r="C6293" s="104" t="s">
        <v>28</v>
      </c>
      <c r="D6293" s="129" t="s">
        <v>24190</v>
      </c>
    </row>
    <row r="6294" spans="1:4">
      <c r="A6294" s="105">
        <v>87362</v>
      </c>
      <c r="B6294" s="104" t="s">
        <v>6211</v>
      </c>
      <c r="C6294" s="104" t="s">
        <v>28</v>
      </c>
      <c r="D6294" s="129" t="s">
        <v>24191</v>
      </c>
    </row>
    <row r="6295" spans="1:4">
      <c r="A6295" s="105">
        <v>87363</v>
      </c>
      <c r="B6295" s="104" t="s">
        <v>6212</v>
      </c>
      <c r="C6295" s="104" t="s">
        <v>28</v>
      </c>
      <c r="D6295" s="129" t="s">
        <v>24192</v>
      </c>
    </row>
    <row r="6296" spans="1:4">
      <c r="A6296" s="105">
        <v>87364</v>
      </c>
      <c r="B6296" s="104" t="s">
        <v>6213</v>
      </c>
      <c r="C6296" s="104" t="s">
        <v>28</v>
      </c>
      <c r="D6296" s="129" t="s">
        <v>24193</v>
      </c>
    </row>
    <row r="6297" spans="1:4">
      <c r="A6297" s="105">
        <v>87365</v>
      </c>
      <c r="B6297" s="104" t="s">
        <v>6214</v>
      </c>
      <c r="C6297" s="104" t="s">
        <v>28</v>
      </c>
      <c r="D6297" s="129" t="s">
        <v>24194</v>
      </c>
    </row>
    <row r="6298" spans="1:4">
      <c r="A6298" s="105">
        <v>87366</v>
      </c>
      <c r="B6298" s="104" t="s">
        <v>6215</v>
      </c>
      <c r="C6298" s="104" t="s">
        <v>28</v>
      </c>
      <c r="D6298" s="129" t="s">
        <v>24195</v>
      </c>
    </row>
    <row r="6299" spans="1:4">
      <c r="A6299" s="105">
        <v>87367</v>
      </c>
      <c r="B6299" s="104" t="s">
        <v>6216</v>
      </c>
      <c r="C6299" s="104" t="s">
        <v>28</v>
      </c>
      <c r="D6299" s="129" t="s">
        <v>24196</v>
      </c>
    </row>
    <row r="6300" spans="1:4">
      <c r="A6300" s="105">
        <v>87368</v>
      </c>
      <c r="B6300" s="104" t="s">
        <v>6217</v>
      </c>
      <c r="C6300" s="104" t="s">
        <v>28</v>
      </c>
      <c r="D6300" s="129" t="s">
        <v>24197</v>
      </c>
    </row>
    <row r="6301" spans="1:4">
      <c r="A6301" s="105">
        <v>87369</v>
      </c>
      <c r="B6301" s="104" t="s">
        <v>6218</v>
      </c>
      <c r="C6301" s="104" t="s">
        <v>28</v>
      </c>
      <c r="D6301" s="129" t="s">
        <v>24198</v>
      </c>
    </row>
    <row r="6302" spans="1:4">
      <c r="A6302" s="105">
        <v>87370</v>
      </c>
      <c r="B6302" s="104" t="s">
        <v>6219</v>
      </c>
      <c r="C6302" s="104" t="s">
        <v>28</v>
      </c>
      <c r="D6302" s="129" t="s">
        <v>24199</v>
      </c>
    </row>
    <row r="6303" spans="1:4">
      <c r="A6303" s="105">
        <v>87371</v>
      </c>
      <c r="B6303" s="104" t="s">
        <v>6220</v>
      </c>
      <c r="C6303" s="104" t="s">
        <v>28</v>
      </c>
      <c r="D6303" s="129" t="s">
        <v>24200</v>
      </c>
    </row>
    <row r="6304" spans="1:4">
      <c r="A6304" s="105">
        <v>87372</v>
      </c>
      <c r="B6304" s="104" t="s">
        <v>6221</v>
      </c>
      <c r="C6304" s="104" t="s">
        <v>28</v>
      </c>
      <c r="D6304" s="129" t="s">
        <v>24201</v>
      </c>
    </row>
    <row r="6305" spans="1:4">
      <c r="A6305" s="105">
        <v>87373</v>
      </c>
      <c r="B6305" s="104" t="s">
        <v>6222</v>
      </c>
      <c r="C6305" s="104" t="s">
        <v>28</v>
      </c>
      <c r="D6305" s="129" t="s">
        <v>24202</v>
      </c>
    </row>
    <row r="6306" spans="1:4">
      <c r="A6306" s="105">
        <v>87374</v>
      </c>
      <c r="B6306" s="104" t="s">
        <v>6223</v>
      </c>
      <c r="C6306" s="104" t="s">
        <v>28</v>
      </c>
      <c r="D6306" s="129" t="s">
        <v>24203</v>
      </c>
    </row>
    <row r="6307" spans="1:4">
      <c r="A6307" s="105">
        <v>87375</v>
      </c>
      <c r="B6307" s="104" t="s">
        <v>6224</v>
      </c>
      <c r="C6307" s="104" t="s">
        <v>28</v>
      </c>
      <c r="D6307" s="129" t="s">
        <v>24204</v>
      </c>
    </row>
    <row r="6308" spans="1:4">
      <c r="A6308" s="105">
        <v>87376</v>
      </c>
      <c r="B6308" s="104" t="s">
        <v>6225</v>
      </c>
      <c r="C6308" s="104" t="s">
        <v>28</v>
      </c>
      <c r="D6308" s="129" t="s">
        <v>24205</v>
      </c>
    </row>
    <row r="6309" spans="1:4">
      <c r="A6309" s="105">
        <v>87377</v>
      </c>
      <c r="B6309" s="104" t="s">
        <v>6226</v>
      </c>
      <c r="C6309" s="104" t="s">
        <v>28</v>
      </c>
      <c r="D6309" s="129" t="s">
        <v>24206</v>
      </c>
    </row>
    <row r="6310" spans="1:4">
      <c r="A6310" s="105">
        <v>87378</v>
      </c>
      <c r="B6310" s="104" t="s">
        <v>6227</v>
      </c>
      <c r="C6310" s="104" t="s">
        <v>28</v>
      </c>
      <c r="D6310" s="129" t="s">
        <v>24207</v>
      </c>
    </row>
    <row r="6311" spans="1:4">
      <c r="A6311" s="105">
        <v>87379</v>
      </c>
      <c r="B6311" s="104" t="s">
        <v>6228</v>
      </c>
      <c r="C6311" s="104" t="s">
        <v>28</v>
      </c>
      <c r="D6311" s="129" t="s">
        <v>24208</v>
      </c>
    </row>
    <row r="6312" spans="1:4">
      <c r="A6312" s="105">
        <v>87380</v>
      </c>
      <c r="B6312" s="104" t="s">
        <v>6229</v>
      </c>
      <c r="C6312" s="104" t="s">
        <v>28</v>
      </c>
      <c r="D6312" s="129" t="s">
        <v>24209</v>
      </c>
    </row>
    <row r="6313" spans="1:4">
      <c r="A6313" s="105">
        <v>87381</v>
      </c>
      <c r="B6313" s="104" t="s">
        <v>6230</v>
      </c>
      <c r="C6313" s="104" t="s">
        <v>28</v>
      </c>
      <c r="D6313" s="129" t="s">
        <v>24210</v>
      </c>
    </row>
    <row r="6314" spans="1:4">
      <c r="A6314" s="105">
        <v>87382</v>
      </c>
      <c r="B6314" s="104" t="s">
        <v>6231</v>
      </c>
      <c r="C6314" s="104" t="s">
        <v>28</v>
      </c>
      <c r="D6314" s="129" t="s">
        <v>24211</v>
      </c>
    </row>
    <row r="6315" spans="1:4">
      <c r="A6315" s="105">
        <v>87383</v>
      </c>
      <c r="B6315" s="104" t="s">
        <v>6232</v>
      </c>
      <c r="C6315" s="104" t="s">
        <v>28</v>
      </c>
      <c r="D6315" s="129" t="s">
        <v>24212</v>
      </c>
    </row>
    <row r="6316" spans="1:4">
      <c r="A6316" s="105">
        <v>87384</v>
      </c>
      <c r="B6316" s="104" t="s">
        <v>6233</v>
      </c>
      <c r="C6316" s="104" t="s">
        <v>28</v>
      </c>
      <c r="D6316" s="129" t="s">
        <v>24213</v>
      </c>
    </row>
    <row r="6317" spans="1:4">
      <c r="A6317" s="105">
        <v>87385</v>
      </c>
      <c r="B6317" s="104" t="s">
        <v>6234</v>
      </c>
      <c r="C6317" s="104" t="s">
        <v>28</v>
      </c>
      <c r="D6317" s="129" t="s">
        <v>24214</v>
      </c>
    </row>
    <row r="6318" spans="1:4">
      <c r="A6318" s="105">
        <v>87386</v>
      </c>
      <c r="B6318" s="104" t="s">
        <v>6235</v>
      </c>
      <c r="C6318" s="104" t="s">
        <v>28</v>
      </c>
      <c r="D6318" s="129" t="s">
        <v>24215</v>
      </c>
    </row>
    <row r="6319" spans="1:4">
      <c r="A6319" s="105">
        <v>87387</v>
      </c>
      <c r="B6319" s="104" t="s">
        <v>6236</v>
      </c>
      <c r="C6319" s="104" t="s">
        <v>28</v>
      </c>
      <c r="D6319" s="129" t="s">
        <v>24216</v>
      </c>
    </row>
    <row r="6320" spans="1:4">
      <c r="A6320" s="105">
        <v>87388</v>
      </c>
      <c r="B6320" s="104" t="s">
        <v>6237</v>
      </c>
      <c r="C6320" s="104" t="s">
        <v>28</v>
      </c>
      <c r="D6320" s="129" t="s">
        <v>24217</v>
      </c>
    </row>
    <row r="6321" spans="1:4">
      <c r="A6321" s="105">
        <v>87389</v>
      </c>
      <c r="B6321" s="104" t="s">
        <v>6238</v>
      </c>
      <c r="C6321" s="104" t="s">
        <v>28</v>
      </c>
      <c r="D6321" s="129" t="s">
        <v>24218</v>
      </c>
    </row>
    <row r="6322" spans="1:4">
      <c r="A6322" s="105">
        <v>87390</v>
      </c>
      <c r="B6322" s="104" t="s">
        <v>6239</v>
      </c>
      <c r="C6322" s="104" t="s">
        <v>28</v>
      </c>
      <c r="D6322" s="129" t="s">
        <v>24219</v>
      </c>
    </row>
    <row r="6323" spans="1:4">
      <c r="A6323" s="105">
        <v>87391</v>
      </c>
      <c r="B6323" s="104" t="s">
        <v>6240</v>
      </c>
      <c r="C6323" s="104" t="s">
        <v>28</v>
      </c>
      <c r="D6323" s="129" t="s">
        <v>24220</v>
      </c>
    </row>
    <row r="6324" spans="1:4">
      <c r="A6324" s="105">
        <v>87393</v>
      </c>
      <c r="B6324" s="104" t="s">
        <v>6241</v>
      </c>
      <c r="C6324" s="104" t="s">
        <v>28</v>
      </c>
      <c r="D6324" s="129" t="s">
        <v>24221</v>
      </c>
    </row>
    <row r="6325" spans="1:4">
      <c r="A6325" s="105">
        <v>87394</v>
      </c>
      <c r="B6325" s="104" t="s">
        <v>6242</v>
      </c>
      <c r="C6325" s="104" t="s">
        <v>28</v>
      </c>
      <c r="D6325" s="129" t="s">
        <v>24222</v>
      </c>
    </row>
    <row r="6326" spans="1:4">
      <c r="A6326" s="105">
        <v>87395</v>
      </c>
      <c r="B6326" s="104" t="s">
        <v>6243</v>
      </c>
      <c r="C6326" s="104" t="s">
        <v>28</v>
      </c>
      <c r="D6326" s="129" t="s">
        <v>24223</v>
      </c>
    </row>
    <row r="6327" spans="1:4">
      <c r="A6327" s="105">
        <v>87396</v>
      </c>
      <c r="B6327" s="104" t="s">
        <v>6244</v>
      </c>
      <c r="C6327" s="104" t="s">
        <v>28</v>
      </c>
      <c r="D6327" s="129" t="s">
        <v>24224</v>
      </c>
    </row>
    <row r="6328" spans="1:4">
      <c r="A6328" s="105">
        <v>87397</v>
      </c>
      <c r="B6328" s="104" t="s">
        <v>6245</v>
      </c>
      <c r="C6328" s="104" t="s">
        <v>28</v>
      </c>
      <c r="D6328" s="129" t="s">
        <v>24225</v>
      </c>
    </row>
    <row r="6329" spans="1:4">
      <c r="A6329" s="105">
        <v>87398</v>
      </c>
      <c r="B6329" s="104" t="s">
        <v>6246</v>
      </c>
      <c r="C6329" s="104" t="s">
        <v>28</v>
      </c>
      <c r="D6329" s="129" t="s">
        <v>24226</v>
      </c>
    </row>
    <row r="6330" spans="1:4">
      <c r="A6330" s="105">
        <v>87399</v>
      </c>
      <c r="B6330" s="104" t="s">
        <v>6247</v>
      </c>
      <c r="C6330" s="104" t="s">
        <v>28</v>
      </c>
      <c r="D6330" s="129" t="s">
        <v>24227</v>
      </c>
    </row>
    <row r="6331" spans="1:4">
      <c r="A6331" s="105">
        <v>87401</v>
      </c>
      <c r="B6331" s="104" t="s">
        <v>6248</v>
      </c>
      <c r="C6331" s="104" t="s">
        <v>28</v>
      </c>
      <c r="D6331" s="129" t="s">
        <v>24228</v>
      </c>
    </row>
    <row r="6332" spans="1:4">
      <c r="A6332" s="105">
        <v>87402</v>
      </c>
      <c r="B6332" s="104" t="s">
        <v>6249</v>
      </c>
      <c r="C6332" s="104" t="s">
        <v>28</v>
      </c>
      <c r="D6332" s="129" t="s">
        <v>24229</v>
      </c>
    </row>
    <row r="6333" spans="1:4">
      <c r="A6333" s="105">
        <v>87404</v>
      </c>
      <c r="B6333" s="104" t="s">
        <v>6250</v>
      </c>
      <c r="C6333" s="104" t="s">
        <v>28</v>
      </c>
      <c r="D6333" s="129" t="s">
        <v>24230</v>
      </c>
    </row>
    <row r="6334" spans="1:4">
      <c r="A6334" s="105">
        <v>87405</v>
      </c>
      <c r="B6334" s="104" t="s">
        <v>6251</v>
      </c>
      <c r="C6334" s="104" t="s">
        <v>28</v>
      </c>
      <c r="D6334" s="129" t="s">
        <v>24231</v>
      </c>
    </row>
    <row r="6335" spans="1:4">
      <c r="A6335" s="105">
        <v>87407</v>
      </c>
      <c r="B6335" s="104" t="s">
        <v>6252</v>
      </c>
      <c r="C6335" s="104" t="s">
        <v>28</v>
      </c>
      <c r="D6335" s="129" t="s">
        <v>24232</v>
      </c>
    </row>
    <row r="6336" spans="1:4">
      <c r="A6336" s="105">
        <v>87408</v>
      </c>
      <c r="B6336" s="104" t="s">
        <v>6253</v>
      </c>
      <c r="C6336" s="104" t="s">
        <v>28</v>
      </c>
      <c r="D6336" s="129" t="s">
        <v>24233</v>
      </c>
    </row>
    <row r="6337" spans="1:4">
      <c r="A6337" s="105">
        <v>87410</v>
      </c>
      <c r="B6337" s="104" t="s">
        <v>6254</v>
      </c>
      <c r="C6337" s="104" t="s">
        <v>28</v>
      </c>
      <c r="D6337" s="129" t="s">
        <v>24234</v>
      </c>
    </row>
    <row r="6338" spans="1:4">
      <c r="A6338" s="105">
        <v>88626</v>
      </c>
      <c r="B6338" s="104" t="s">
        <v>6255</v>
      </c>
      <c r="C6338" s="104" t="s">
        <v>28</v>
      </c>
      <c r="D6338" s="129" t="s">
        <v>24235</v>
      </c>
    </row>
    <row r="6339" spans="1:4">
      <c r="A6339" s="105">
        <v>88627</v>
      </c>
      <c r="B6339" s="104" t="s">
        <v>6256</v>
      </c>
      <c r="C6339" s="104" t="s">
        <v>28</v>
      </c>
      <c r="D6339" s="129" t="s">
        <v>24236</v>
      </c>
    </row>
    <row r="6340" spans="1:4">
      <c r="A6340" s="105">
        <v>88628</v>
      </c>
      <c r="B6340" s="104" t="s">
        <v>6257</v>
      </c>
      <c r="C6340" s="104" t="s">
        <v>28</v>
      </c>
      <c r="D6340" s="129" t="s">
        <v>24237</v>
      </c>
    </row>
    <row r="6341" spans="1:4">
      <c r="A6341" s="105">
        <v>88629</v>
      </c>
      <c r="B6341" s="104" t="s">
        <v>6258</v>
      </c>
      <c r="C6341" s="104" t="s">
        <v>28</v>
      </c>
      <c r="D6341" s="129" t="s">
        <v>24238</v>
      </c>
    </row>
    <row r="6342" spans="1:4">
      <c r="A6342" s="105">
        <v>88630</v>
      </c>
      <c r="B6342" s="104" t="s">
        <v>6259</v>
      </c>
      <c r="C6342" s="104" t="s">
        <v>28</v>
      </c>
      <c r="D6342" s="129" t="s">
        <v>24239</v>
      </c>
    </row>
    <row r="6343" spans="1:4">
      <c r="A6343" s="105">
        <v>88631</v>
      </c>
      <c r="B6343" s="104" t="s">
        <v>6260</v>
      </c>
      <c r="C6343" s="104" t="s">
        <v>28</v>
      </c>
      <c r="D6343" s="129" t="s">
        <v>24240</v>
      </c>
    </row>
    <row r="6344" spans="1:4">
      <c r="A6344" s="105">
        <v>88715</v>
      </c>
      <c r="B6344" s="104" t="s">
        <v>6261</v>
      </c>
      <c r="C6344" s="104" t="s">
        <v>28</v>
      </c>
      <c r="D6344" s="129" t="s">
        <v>24241</v>
      </c>
    </row>
    <row r="6345" spans="1:4">
      <c r="A6345" s="105">
        <v>95563</v>
      </c>
      <c r="B6345" s="104" t="s">
        <v>6262</v>
      </c>
      <c r="C6345" s="104" t="s">
        <v>28</v>
      </c>
      <c r="D6345" s="129" t="s">
        <v>24242</v>
      </c>
    </row>
    <row r="6346" spans="1:4">
      <c r="A6346" s="105">
        <v>100464</v>
      </c>
      <c r="B6346" s="104" t="s">
        <v>6263</v>
      </c>
      <c r="C6346" s="104" t="s">
        <v>28</v>
      </c>
      <c r="D6346" s="129" t="s">
        <v>24243</v>
      </c>
    </row>
    <row r="6347" spans="1:4">
      <c r="A6347" s="105">
        <v>100465</v>
      </c>
      <c r="B6347" s="104" t="s">
        <v>6264</v>
      </c>
      <c r="C6347" s="104" t="s">
        <v>28</v>
      </c>
      <c r="D6347" s="129" t="s">
        <v>24244</v>
      </c>
    </row>
    <row r="6348" spans="1:4">
      <c r="A6348" s="105">
        <v>100466</v>
      </c>
      <c r="B6348" s="104" t="s">
        <v>6265</v>
      </c>
      <c r="C6348" s="104" t="s">
        <v>28</v>
      </c>
      <c r="D6348" s="129" t="s">
        <v>24245</v>
      </c>
    </row>
    <row r="6349" spans="1:4">
      <c r="A6349" s="105">
        <v>100468</v>
      </c>
      <c r="B6349" s="104" t="s">
        <v>6266</v>
      </c>
      <c r="C6349" s="104" t="s">
        <v>28</v>
      </c>
      <c r="D6349" s="129" t="s">
        <v>24246</v>
      </c>
    </row>
    <row r="6350" spans="1:4">
      <c r="A6350" s="105">
        <v>100469</v>
      </c>
      <c r="B6350" s="104" t="s">
        <v>6267</v>
      </c>
      <c r="C6350" s="104" t="s">
        <v>28</v>
      </c>
      <c r="D6350" s="129" t="s">
        <v>24247</v>
      </c>
    </row>
    <row r="6351" spans="1:4">
      <c r="A6351" s="105">
        <v>100470</v>
      </c>
      <c r="B6351" s="104" t="s">
        <v>6268</v>
      </c>
      <c r="C6351" s="104" t="s">
        <v>28</v>
      </c>
      <c r="D6351" s="129" t="s">
        <v>24248</v>
      </c>
    </row>
    <row r="6352" spans="1:4">
      <c r="A6352" s="105">
        <v>100472</v>
      </c>
      <c r="B6352" s="104" t="s">
        <v>6269</v>
      </c>
      <c r="C6352" s="104" t="s">
        <v>28</v>
      </c>
      <c r="D6352" s="129" t="s">
        <v>24249</v>
      </c>
    </row>
    <row r="6353" spans="1:4">
      <c r="A6353" s="105">
        <v>100473</v>
      </c>
      <c r="B6353" s="104" t="s">
        <v>6270</v>
      </c>
      <c r="C6353" s="104" t="s">
        <v>28</v>
      </c>
      <c r="D6353" s="129" t="s">
        <v>24250</v>
      </c>
    </row>
    <row r="6354" spans="1:4">
      <c r="A6354" s="105">
        <v>100474</v>
      </c>
      <c r="B6354" s="104" t="s">
        <v>6271</v>
      </c>
      <c r="C6354" s="104" t="s">
        <v>28</v>
      </c>
      <c r="D6354" s="129" t="s">
        <v>24251</v>
      </c>
    </row>
    <row r="6355" spans="1:4">
      <c r="A6355" s="105">
        <v>100475</v>
      </c>
      <c r="B6355" s="104" t="s">
        <v>6272</v>
      </c>
      <c r="C6355" s="104" t="s">
        <v>28</v>
      </c>
      <c r="D6355" s="129" t="s">
        <v>24252</v>
      </c>
    </row>
    <row r="6356" spans="1:4">
      <c r="A6356" s="105">
        <v>100477</v>
      </c>
      <c r="B6356" s="104" t="s">
        <v>6273</v>
      </c>
      <c r="C6356" s="104" t="s">
        <v>28</v>
      </c>
      <c r="D6356" s="129" t="s">
        <v>24253</v>
      </c>
    </row>
    <row r="6357" spans="1:4">
      <c r="A6357" s="105">
        <v>100478</v>
      </c>
      <c r="B6357" s="104" t="s">
        <v>6274</v>
      </c>
      <c r="C6357" s="104" t="s">
        <v>28</v>
      </c>
      <c r="D6357" s="129" t="s">
        <v>24254</v>
      </c>
    </row>
    <row r="6358" spans="1:4">
      <c r="A6358" s="105">
        <v>100479</v>
      </c>
      <c r="B6358" s="104" t="s">
        <v>6275</v>
      </c>
      <c r="C6358" s="104" t="s">
        <v>28</v>
      </c>
      <c r="D6358" s="129" t="s">
        <v>24255</v>
      </c>
    </row>
    <row r="6359" spans="1:4">
      <c r="A6359" s="105">
        <v>100480</v>
      </c>
      <c r="B6359" s="104" t="s">
        <v>6276</v>
      </c>
      <c r="C6359" s="104" t="s">
        <v>28</v>
      </c>
      <c r="D6359" s="129" t="s">
        <v>24256</v>
      </c>
    </row>
    <row r="6360" spans="1:4">
      <c r="A6360" s="105">
        <v>100481</v>
      </c>
      <c r="B6360" s="104" t="s">
        <v>6277</v>
      </c>
      <c r="C6360" s="104" t="s">
        <v>28</v>
      </c>
      <c r="D6360" s="129" t="s">
        <v>24257</v>
      </c>
    </row>
    <row r="6361" spans="1:4">
      <c r="A6361" s="105">
        <v>100483</v>
      </c>
      <c r="B6361" s="104" t="s">
        <v>6278</v>
      </c>
      <c r="C6361" s="104" t="s">
        <v>28</v>
      </c>
      <c r="D6361" s="129" t="s">
        <v>24258</v>
      </c>
    </row>
    <row r="6362" spans="1:4">
      <c r="A6362" s="105">
        <v>100484</v>
      </c>
      <c r="B6362" s="104" t="s">
        <v>6279</v>
      </c>
      <c r="C6362" s="104" t="s">
        <v>28</v>
      </c>
      <c r="D6362" s="129" t="s">
        <v>24259</v>
      </c>
    </row>
    <row r="6363" spans="1:4">
      <c r="A6363" s="105">
        <v>100485</v>
      </c>
      <c r="B6363" s="104" t="s">
        <v>6280</v>
      </c>
      <c r="C6363" s="104" t="s">
        <v>28</v>
      </c>
      <c r="D6363" s="129" t="s">
        <v>24260</v>
      </c>
    </row>
    <row r="6364" spans="1:4">
      <c r="A6364" s="105">
        <v>100486</v>
      </c>
      <c r="B6364" s="104" t="s">
        <v>6281</v>
      </c>
      <c r="C6364" s="104" t="s">
        <v>28</v>
      </c>
      <c r="D6364" s="129" t="s">
        <v>24261</v>
      </c>
    </row>
    <row r="6365" spans="1:4">
      <c r="A6365" s="105">
        <v>100487</v>
      </c>
      <c r="B6365" s="104" t="s">
        <v>6282</v>
      </c>
      <c r="C6365" s="104" t="s">
        <v>28</v>
      </c>
      <c r="D6365" s="129" t="s">
        <v>24262</v>
      </c>
    </row>
    <row r="6366" spans="1:4">
      <c r="A6366" s="105">
        <v>100488</v>
      </c>
      <c r="B6366" s="104" t="s">
        <v>6283</v>
      </c>
      <c r="C6366" s="104" t="s">
        <v>28</v>
      </c>
      <c r="D6366" s="129" t="s">
        <v>24263</v>
      </c>
    </row>
    <row r="6367" spans="1:4">
      <c r="A6367" s="105">
        <v>100489</v>
      </c>
      <c r="B6367" s="104" t="s">
        <v>6284</v>
      </c>
      <c r="C6367" s="104" t="s">
        <v>28</v>
      </c>
      <c r="D6367" s="129" t="s">
        <v>24264</v>
      </c>
    </row>
    <row r="6368" spans="1:4">
      <c r="A6368" s="105">
        <v>100490</v>
      </c>
      <c r="B6368" s="104" t="s">
        <v>6285</v>
      </c>
      <c r="C6368" s="104" t="s">
        <v>28</v>
      </c>
      <c r="D6368" s="129" t="s">
        <v>24265</v>
      </c>
    </row>
    <row r="6369" spans="1:4">
      <c r="A6369" s="105">
        <v>100491</v>
      </c>
      <c r="B6369" s="104" t="s">
        <v>6286</v>
      </c>
      <c r="C6369" s="104" t="s">
        <v>28</v>
      </c>
      <c r="D6369" s="129" t="s">
        <v>24266</v>
      </c>
    </row>
    <row r="6370" spans="1:4">
      <c r="A6370" s="105">
        <v>100492</v>
      </c>
      <c r="B6370" s="104" t="s">
        <v>6287</v>
      </c>
      <c r="C6370" s="104" t="s">
        <v>28</v>
      </c>
      <c r="D6370" s="129" t="s">
        <v>24267</v>
      </c>
    </row>
    <row r="6371" spans="1:4">
      <c r="A6371" s="105">
        <v>92121</v>
      </c>
      <c r="B6371" s="104" t="s">
        <v>6288</v>
      </c>
      <c r="C6371" s="104" t="s">
        <v>28</v>
      </c>
      <c r="D6371" s="129" t="s">
        <v>19803</v>
      </c>
    </row>
    <row r="6372" spans="1:4">
      <c r="A6372" s="105">
        <v>92122</v>
      </c>
      <c r="B6372" s="104" t="s">
        <v>6289</v>
      </c>
      <c r="C6372" s="104" t="s">
        <v>28</v>
      </c>
      <c r="D6372" s="129" t="s">
        <v>23544</v>
      </c>
    </row>
    <row r="6373" spans="1:4">
      <c r="A6373" s="105">
        <v>92123</v>
      </c>
      <c r="B6373" s="104" t="s">
        <v>6290</v>
      </c>
      <c r="C6373" s="104" t="s">
        <v>28</v>
      </c>
      <c r="D6373" s="129" t="s">
        <v>24268</v>
      </c>
    </row>
    <row r="6374" spans="1:4">
      <c r="A6374" s="105">
        <v>100195</v>
      </c>
      <c r="B6374" s="104" t="s">
        <v>6291</v>
      </c>
      <c r="C6374" s="104" t="s">
        <v>6292</v>
      </c>
      <c r="D6374" s="129" t="s">
        <v>20326</v>
      </c>
    </row>
    <row r="6375" spans="1:4">
      <c r="A6375" s="105">
        <v>100196</v>
      </c>
      <c r="B6375" s="104" t="s">
        <v>6293</v>
      </c>
      <c r="C6375" s="104" t="s">
        <v>6292</v>
      </c>
      <c r="D6375" s="129" t="s">
        <v>15480</v>
      </c>
    </row>
    <row r="6376" spans="1:4">
      <c r="A6376" s="105">
        <v>100197</v>
      </c>
      <c r="B6376" s="104" t="s">
        <v>6294</v>
      </c>
      <c r="C6376" s="104" t="s">
        <v>6292</v>
      </c>
      <c r="D6376" s="129" t="s">
        <v>24269</v>
      </c>
    </row>
    <row r="6377" spans="1:4">
      <c r="A6377" s="105">
        <v>100198</v>
      </c>
      <c r="B6377" s="104" t="s">
        <v>6295</v>
      </c>
      <c r="C6377" s="104" t="s">
        <v>6292</v>
      </c>
      <c r="D6377" s="129" t="s">
        <v>15576</v>
      </c>
    </row>
    <row r="6378" spans="1:4">
      <c r="A6378" s="105">
        <v>100199</v>
      </c>
      <c r="B6378" s="104" t="s">
        <v>6296</v>
      </c>
      <c r="C6378" s="104" t="s">
        <v>6292</v>
      </c>
      <c r="D6378" s="129" t="s">
        <v>15725</v>
      </c>
    </row>
    <row r="6379" spans="1:4">
      <c r="A6379" s="105">
        <v>100200</v>
      </c>
      <c r="B6379" s="104" t="s">
        <v>6297</v>
      </c>
      <c r="C6379" s="104" t="s">
        <v>6292</v>
      </c>
      <c r="D6379" s="129" t="s">
        <v>15524</v>
      </c>
    </row>
    <row r="6380" spans="1:4">
      <c r="A6380" s="105">
        <v>100201</v>
      </c>
      <c r="B6380" s="104" t="s">
        <v>6298</v>
      </c>
      <c r="C6380" s="104" t="s">
        <v>6292</v>
      </c>
      <c r="D6380" s="129" t="s">
        <v>15323</v>
      </c>
    </row>
    <row r="6381" spans="1:4">
      <c r="A6381" s="105">
        <v>100202</v>
      </c>
      <c r="B6381" s="104" t="s">
        <v>6299</v>
      </c>
      <c r="C6381" s="104" t="s">
        <v>6292</v>
      </c>
      <c r="D6381" s="129" t="s">
        <v>15526</v>
      </c>
    </row>
    <row r="6382" spans="1:4">
      <c r="A6382" s="105">
        <v>100203</v>
      </c>
      <c r="B6382" s="104" t="s">
        <v>6300</v>
      </c>
      <c r="C6382" s="104" t="s">
        <v>6292</v>
      </c>
      <c r="D6382" s="129" t="s">
        <v>24270</v>
      </c>
    </row>
    <row r="6383" spans="1:4">
      <c r="A6383" s="105">
        <v>100204</v>
      </c>
      <c r="B6383" s="104" t="s">
        <v>6301</v>
      </c>
      <c r="C6383" s="104" t="s">
        <v>6292</v>
      </c>
      <c r="D6383" s="129" t="s">
        <v>19512</v>
      </c>
    </row>
    <row r="6384" spans="1:4">
      <c r="A6384" s="105">
        <v>100205</v>
      </c>
      <c r="B6384" s="104" t="s">
        <v>6302</v>
      </c>
      <c r="C6384" s="104" t="s">
        <v>6303</v>
      </c>
      <c r="D6384" s="129" t="s">
        <v>24271</v>
      </c>
    </row>
    <row r="6385" spans="1:4">
      <c r="A6385" s="105">
        <v>100206</v>
      </c>
      <c r="B6385" s="104" t="s">
        <v>6304</v>
      </c>
      <c r="C6385" s="104" t="s">
        <v>6303</v>
      </c>
      <c r="D6385" s="129" t="s">
        <v>24272</v>
      </c>
    </row>
    <row r="6386" spans="1:4">
      <c r="A6386" s="105">
        <v>100207</v>
      </c>
      <c r="B6386" s="104" t="s">
        <v>6305</v>
      </c>
      <c r="C6386" s="104" t="s">
        <v>6303</v>
      </c>
      <c r="D6386" s="129" t="s">
        <v>24273</v>
      </c>
    </row>
    <row r="6387" spans="1:4">
      <c r="A6387" s="105">
        <v>100208</v>
      </c>
      <c r="B6387" s="104" t="s">
        <v>6306</v>
      </c>
      <c r="C6387" s="104" t="s">
        <v>6307</v>
      </c>
      <c r="D6387" s="129" t="s">
        <v>16943</v>
      </c>
    </row>
    <row r="6388" spans="1:4">
      <c r="A6388" s="105">
        <v>100209</v>
      </c>
      <c r="B6388" s="104" t="s">
        <v>6308</v>
      </c>
      <c r="C6388" s="104" t="s">
        <v>6307</v>
      </c>
      <c r="D6388" s="129" t="s">
        <v>17185</v>
      </c>
    </row>
    <row r="6389" spans="1:4">
      <c r="A6389" s="105">
        <v>100210</v>
      </c>
      <c r="B6389" s="104" t="s">
        <v>6309</v>
      </c>
      <c r="C6389" s="104" t="s">
        <v>6307</v>
      </c>
      <c r="D6389" s="129" t="s">
        <v>19582</v>
      </c>
    </row>
    <row r="6390" spans="1:4">
      <c r="A6390" s="105">
        <v>100211</v>
      </c>
      <c r="B6390" s="104" t="s">
        <v>6310</v>
      </c>
      <c r="C6390" s="104" t="s">
        <v>6307</v>
      </c>
      <c r="D6390" s="129" t="s">
        <v>15293</v>
      </c>
    </row>
    <row r="6391" spans="1:4">
      <c r="A6391" s="105">
        <v>100212</v>
      </c>
      <c r="B6391" s="104" t="s">
        <v>6311</v>
      </c>
      <c r="C6391" s="104" t="s">
        <v>6307</v>
      </c>
      <c r="D6391" s="129" t="s">
        <v>17183</v>
      </c>
    </row>
    <row r="6392" spans="1:4">
      <c r="A6392" s="105">
        <v>100213</v>
      </c>
      <c r="B6392" s="104" t="s">
        <v>6312</v>
      </c>
      <c r="C6392" s="104" t="s">
        <v>6307</v>
      </c>
      <c r="D6392" s="129" t="s">
        <v>20102</v>
      </c>
    </row>
    <row r="6393" spans="1:4">
      <c r="A6393" s="105">
        <v>100214</v>
      </c>
      <c r="B6393" s="104" t="s">
        <v>6313</v>
      </c>
      <c r="C6393" s="104" t="s">
        <v>6307</v>
      </c>
      <c r="D6393" s="129" t="s">
        <v>15022</v>
      </c>
    </row>
    <row r="6394" spans="1:4">
      <c r="A6394" s="105">
        <v>100215</v>
      </c>
      <c r="B6394" s="104" t="s">
        <v>6314</v>
      </c>
      <c r="C6394" s="104" t="s">
        <v>6307</v>
      </c>
      <c r="D6394" s="129" t="s">
        <v>24274</v>
      </c>
    </row>
    <row r="6395" spans="1:4">
      <c r="A6395" s="105">
        <v>100216</v>
      </c>
      <c r="B6395" s="104" t="s">
        <v>6315</v>
      </c>
      <c r="C6395" s="104" t="s">
        <v>6307</v>
      </c>
      <c r="D6395" s="129" t="s">
        <v>24275</v>
      </c>
    </row>
    <row r="6396" spans="1:4">
      <c r="A6396" s="105">
        <v>100217</v>
      </c>
      <c r="B6396" s="104" t="s">
        <v>6316</v>
      </c>
      <c r="C6396" s="104" t="s">
        <v>6307</v>
      </c>
      <c r="D6396" s="129" t="s">
        <v>15792</v>
      </c>
    </row>
    <row r="6397" spans="1:4">
      <c r="A6397" s="105">
        <v>100218</v>
      </c>
      <c r="B6397" s="104" t="s">
        <v>6317</v>
      </c>
      <c r="C6397" s="104" t="s">
        <v>6307</v>
      </c>
      <c r="D6397" s="129" t="s">
        <v>15708</v>
      </c>
    </row>
    <row r="6398" spans="1:4">
      <c r="A6398" s="105">
        <v>100219</v>
      </c>
      <c r="B6398" s="104" t="s">
        <v>6318</v>
      </c>
      <c r="C6398" s="104" t="s">
        <v>6307</v>
      </c>
      <c r="D6398" s="129" t="s">
        <v>19543</v>
      </c>
    </row>
    <row r="6399" spans="1:4">
      <c r="A6399" s="105">
        <v>100220</v>
      </c>
      <c r="B6399" s="104" t="s">
        <v>6319</v>
      </c>
      <c r="C6399" s="104" t="s">
        <v>6320</v>
      </c>
      <c r="D6399" s="129" t="s">
        <v>14764</v>
      </c>
    </row>
    <row r="6400" spans="1:4">
      <c r="A6400" s="105">
        <v>100221</v>
      </c>
      <c r="B6400" s="104" t="s">
        <v>6321</v>
      </c>
      <c r="C6400" s="104" t="s">
        <v>6320</v>
      </c>
      <c r="D6400" s="129" t="s">
        <v>17440</v>
      </c>
    </row>
    <row r="6401" spans="1:4">
      <c r="A6401" s="105">
        <v>100222</v>
      </c>
      <c r="B6401" s="104" t="s">
        <v>6322</v>
      </c>
      <c r="C6401" s="104" t="s">
        <v>6320</v>
      </c>
      <c r="D6401" s="129" t="s">
        <v>19298</v>
      </c>
    </row>
    <row r="6402" spans="1:4">
      <c r="A6402" s="105">
        <v>100223</v>
      </c>
      <c r="B6402" s="104" t="s">
        <v>6323</v>
      </c>
      <c r="C6402" s="104" t="s">
        <v>6320</v>
      </c>
      <c r="D6402" s="129" t="s">
        <v>24276</v>
      </c>
    </row>
    <row r="6403" spans="1:4">
      <c r="A6403" s="105">
        <v>100224</v>
      </c>
      <c r="B6403" s="104" t="s">
        <v>6324</v>
      </c>
      <c r="C6403" s="104" t="s">
        <v>6320</v>
      </c>
      <c r="D6403" s="129" t="s">
        <v>15792</v>
      </c>
    </row>
    <row r="6404" spans="1:4">
      <c r="A6404" s="105">
        <v>100225</v>
      </c>
      <c r="B6404" s="104" t="s">
        <v>6325</v>
      </c>
      <c r="C6404" s="104" t="s">
        <v>6326</v>
      </c>
      <c r="D6404" s="129" t="s">
        <v>15822</v>
      </c>
    </row>
    <row r="6405" spans="1:4">
      <c r="A6405" s="105">
        <v>100226</v>
      </c>
      <c r="B6405" s="104" t="s">
        <v>6327</v>
      </c>
      <c r="C6405" s="104" t="s">
        <v>6326</v>
      </c>
      <c r="D6405" s="129" t="s">
        <v>15358</v>
      </c>
    </row>
    <row r="6406" spans="1:4">
      <c r="A6406" s="105">
        <v>100227</v>
      </c>
      <c r="B6406" s="104" t="s">
        <v>6328</v>
      </c>
      <c r="C6406" s="104" t="s">
        <v>6326</v>
      </c>
      <c r="D6406" s="129" t="s">
        <v>15310</v>
      </c>
    </row>
    <row r="6407" spans="1:4">
      <c r="A6407" s="105">
        <v>100228</v>
      </c>
      <c r="B6407" s="104" t="s">
        <v>6329</v>
      </c>
      <c r="C6407" s="104" t="s">
        <v>6326</v>
      </c>
      <c r="D6407" s="129" t="s">
        <v>15725</v>
      </c>
    </row>
    <row r="6408" spans="1:4">
      <c r="A6408" s="105">
        <v>100229</v>
      </c>
      <c r="B6408" s="104" t="s">
        <v>6330</v>
      </c>
      <c r="C6408" s="104" t="s">
        <v>41</v>
      </c>
      <c r="D6408" s="129" t="s">
        <v>15684</v>
      </c>
    </row>
    <row r="6409" spans="1:4">
      <c r="A6409" s="105">
        <v>100230</v>
      </c>
      <c r="B6409" s="104" t="s">
        <v>6331</v>
      </c>
      <c r="C6409" s="104" t="s">
        <v>41</v>
      </c>
      <c r="D6409" s="129" t="s">
        <v>15684</v>
      </c>
    </row>
    <row r="6410" spans="1:4">
      <c r="A6410" s="105">
        <v>100231</v>
      </c>
      <c r="B6410" s="104" t="s">
        <v>6332</v>
      </c>
      <c r="C6410" s="104" t="s">
        <v>41</v>
      </c>
      <c r="D6410" s="129" t="s">
        <v>15426</v>
      </c>
    </row>
    <row r="6411" spans="1:4">
      <c r="A6411" s="105">
        <v>100232</v>
      </c>
      <c r="B6411" s="104" t="s">
        <v>6333</v>
      </c>
      <c r="C6411" s="104" t="s">
        <v>183</v>
      </c>
      <c r="D6411" s="129" t="s">
        <v>15194</v>
      </c>
    </row>
    <row r="6412" spans="1:4">
      <c r="A6412" s="105">
        <v>100233</v>
      </c>
      <c r="B6412" s="104" t="s">
        <v>6334</v>
      </c>
      <c r="C6412" s="104" t="s">
        <v>183</v>
      </c>
      <c r="D6412" s="129" t="s">
        <v>15765</v>
      </c>
    </row>
    <row r="6413" spans="1:4">
      <c r="A6413" s="105">
        <v>100234</v>
      </c>
      <c r="B6413" s="104" t="s">
        <v>6335</v>
      </c>
      <c r="C6413" s="104" t="s">
        <v>12</v>
      </c>
      <c r="D6413" s="129" t="s">
        <v>24277</v>
      </c>
    </row>
    <row r="6414" spans="1:4">
      <c r="A6414" s="105">
        <v>100235</v>
      </c>
      <c r="B6414" s="104" t="s">
        <v>6336</v>
      </c>
      <c r="C6414" s="104" t="s">
        <v>34</v>
      </c>
      <c r="D6414" s="129" t="s">
        <v>15354</v>
      </c>
    </row>
    <row r="6415" spans="1:4">
      <c r="A6415" s="105">
        <v>100236</v>
      </c>
      <c r="B6415" s="104" t="s">
        <v>6337</v>
      </c>
      <c r="C6415" s="104" t="s">
        <v>6338</v>
      </c>
      <c r="D6415" s="129" t="s">
        <v>14937</v>
      </c>
    </row>
    <row r="6416" spans="1:4">
      <c r="A6416" s="105">
        <v>100237</v>
      </c>
      <c r="B6416" s="104" t="s">
        <v>6339</v>
      </c>
      <c r="C6416" s="104" t="s">
        <v>6338</v>
      </c>
      <c r="D6416" s="129" t="s">
        <v>24278</v>
      </c>
    </row>
    <row r="6417" spans="1:4">
      <c r="A6417" s="105">
        <v>100238</v>
      </c>
      <c r="B6417" s="104" t="s">
        <v>6340</v>
      </c>
      <c r="C6417" s="104" t="s">
        <v>6338</v>
      </c>
      <c r="D6417" s="129" t="s">
        <v>24279</v>
      </c>
    </row>
    <row r="6418" spans="1:4">
      <c r="A6418" s="105">
        <v>100239</v>
      </c>
      <c r="B6418" s="104" t="s">
        <v>6341</v>
      </c>
      <c r="C6418" s="104" t="s">
        <v>6338</v>
      </c>
      <c r="D6418" s="129" t="s">
        <v>24280</v>
      </c>
    </row>
    <row r="6419" spans="1:4">
      <c r="A6419" s="105">
        <v>100240</v>
      </c>
      <c r="B6419" s="104" t="s">
        <v>6342</v>
      </c>
      <c r="C6419" s="104" t="s">
        <v>6338</v>
      </c>
      <c r="D6419" s="129" t="s">
        <v>20069</v>
      </c>
    </row>
    <row r="6420" spans="1:4">
      <c r="A6420" s="105">
        <v>100241</v>
      </c>
      <c r="B6420" s="104" t="s">
        <v>6343</v>
      </c>
      <c r="C6420" s="104" t="s">
        <v>6338</v>
      </c>
      <c r="D6420" s="129" t="s">
        <v>24280</v>
      </c>
    </row>
    <row r="6421" spans="1:4">
      <c r="A6421" s="105">
        <v>100242</v>
      </c>
      <c r="B6421" s="104" t="s">
        <v>6344</v>
      </c>
      <c r="C6421" s="104" t="s">
        <v>6338</v>
      </c>
      <c r="D6421" s="129" t="s">
        <v>18560</v>
      </c>
    </row>
    <row r="6422" spans="1:4">
      <c r="A6422" s="105">
        <v>100243</v>
      </c>
      <c r="B6422" s="104" t="s">
        <v>6345</v>
      </c>
      <c r="C6422" s="104" t="s">
        <v>6338</v>
      </c>
      <c r="D6422" s="129" t="s">
        <v>24281</v>
      </c>
    </row>
    <row r="6423" spans="1:4">
      <c r="A6423" s="105">
        <v>100244</v>
      </c>
      <c r="B6423" s="104" t="s">
        <v>6346</v>
      </c>
      <c r="C6423" s="104" t="s">
        <v>6338</v>
      </c>
      <c r="D6423" s="129" t="s">
        <v>20069</v>
      </c>
    </row>
    <row r="6424" spans="1:4">
      <c r="A6424" s="105">
        <v>100245</v>
      </c>
      <c r="B6424" s="104" t="s">
        <v>6347</v>
      </c>
      <c r="C6424" s="104" t="s">
        <v>6338</v>
      </c>
      <c r="D6424" s="129" t="s">
        <v>20394</v>
      </c>
    </row>
    <row r="6425" spans="1:4">
      <c r="A6425" s="105">
        <v>100246</v>
      </c>
      <c r="B6425" s="104" t="s">
        <v>6348</v>
      </c>
      <c r="C6425" s="104" t="s">
        <v>6338</v>
      </c>
      <c r="D6425" s="129" t="s">
        <v>14829</v>
      </c>
    </row>
    <row r="6426" spans="1:4">
      <c r="A6426" s="105">
        <v>100247</v>
      </c>
      <c r="B6426" s="104" t="s">
        <v>6349</v>
      </c>
      <c r="C6426" s="104" t="s">
        <v>6338</v>
      </c>
      <c r="D6426" s="129" t="s">
        <v>24278</v>
      </c>
    </row>
    <row r="6427" spans="1:4">
      <c r="A6427" s="105">
        <v>100248</v>
      </c>
      <c r="B6427" s="104" t="s">
        <v>6350</v>
      </c>
      <c r="C6427" s="104" t="s">
        <v>6338</v>
      </c>
      <c r="D6427" s="129" t="s">
        <v>24282</v>
      </c>
    </row>
    <row r="6428" spans="1:4">
      <c r="A6428" s="105">
        <v>100249</v>
      </c>
      <c r="B6428" s="104" t="s">
        <v>6351</v>
      </c>
      <c r="C6428" s="104" t="s">
        <v>6338</v>
      </c>
      <c r="D6428" s="129" t="s">
        <v>14829</v>
      </c>
    </row>
    <row r="6429" spans="1:4">
      <c r="A6429" s="105">
        <v>100250</v>
      </c>
      <c r="B6429" s="104" t="s">
        <v>6352</v>
      </c>
      <c r="C6429" s="104" t="s">
        <v>6338</v>
      </c>
      <c r="D6429" s="129" t="s">
        <v>15786</v>
      </c>
    </row>
    <row r="6430" spans="1:4">
      <c r="A6430" s="105">
        <v>100251</v>
      </c>
      <c r="B6430" s="104" t="s">
        <v>6353</v>
      </c>
      <c r="C6430" s="104" t="s">
        <v>6338</v>
      </c>
      <c r="D6430" s="129" t="s">
        <v>24282</v>
      </c>
    </row>
    <row r="6431" spans="1:4">
      <c r="A6431" s="105">
        <v>100252</v>
      </c>
      <c r="B6431" s="104" t="s">
        <v>6354</v>
      </c>
      <c r="C6431" s="104" t="s">
        <v>6338</v>
      </c>
      <c r="D6431" s="129" t="s">
        <v>18560</v>
      </c>
    </row>
    <row r="6432" spans="1:4">
      <c r="A6432" s="105">
        <v>100253</v>
      </c>
      <c r="B6432" s="104" t="s">
        <v>6355</v>
      </c>
      <c r="C6432" s="104" t="s">
        <v>6338</v>
      </c>
      <c r="D6432" s="129" t="s">
        <v>16623</v>
      </c>
    </row>
    <row r="6433" spans="1:4">
      <c r="A6433" s="105">
        <v>100254</v>
      </c>
      <c r="B6433" s="104" t="s">
        <v>6356</v>
      </c>
      <c r="C6433" s="104" t="s">
        <v>6338</v>
      </c>
      <c r="D6433" s="129" t="s">
        <v>17305</v>
      </c>
    </row>
    <row r="6434" spans="1:4">
      <c r="A6434" s="105">
        <v>100255</v>
      </c>
      <c r="B6434" s="104" t="s">
        <v>6357</v>
      </c>
      <c r="C6434" s="104" t="s">
        <v>6338</v>
      </c>
      <c r="D6434" s="129" t="s">
        <v>24283</v>
      </c>
    </row>
    <row r="6435" spans="1:4">
      <c r="A6435" s="105">
        <v>100256</v>
      </c>
      <c r="B6435" s="104" t="s">
        <v>6358</v>
      </c>
      <c r="C6435" s="104" t="s">
        <v>6338</v>
      </c>
      <c r="D6435" s="129" t="s">
        <v>20075</v>
      </c>
    </row>
    <row r="6436" spans="1:4">
      <c r="A6436" s="105">
        <v>100257</v>
      </c>
      <c r="B6436" s="104" t="s">
        <v>6359</v>
      </c>
      <c r="C6436" s="104" t="s">
        <v>6338</v>
      </c>
      <c r="D6436" s="129" t="s">
        <v>24279</v>
      </c>
    </row>
    <row r="6437" spans="1:4">
      <c r="A6437" s="105">
        <v>100258</v>
      </c>
      <c r="B6437" s="104" t="s">
        <v>6360</v>
      </c>
      <c r="C6437" s="104" t="s">
        <v>6338</v>
      </c>
      <c r="D6437" s="129" t="s">
        <v>24283</v>
      </c>
    </row>
    <row r="6438" spans="1:4">
      <c r="A6438" s="105">
        <v>100259</v>
      </c>
      <c r="B6438" s="104" t="s">
        <v>6361</v>
      </c>
      <c r="C6438" s="104" t="s">
        <v>6338</v>
      </c>
      <c r="D6438" s="129" t="s">
        <v>16623</v>
      </c>
    </row>
    <row r="6439" spans="1:4">
      <c r="A6439" s="105">
        <v>100260</v>
      </c>
      <c r="B6439" s="104" t="s">
        <v>6362</v>
      </c>
      <c r="C6439" s="104" t="s">
        <v>6292</v>
      </c>
      <c r="D6439" s="129" t="s">
        <v>15535</v>
      </c>
    </row>
    <row r="6440" spans="1:4">
      <c r="A6440" s="105">
        <v>100261</v>
      </c>
      <c r="B6440" s="104" t="s">
        <v>6363</v>
      </c>
      <c r="C6440" s="104" t="s">
        <v>6292</v>
      </c>
      <c r="D6440" s="129" t="s">
        <v>15797</v>
      </c>
    </row>
    <row r="6441" spans="1:4">
      <c r="A6441" s="105">
        <v>100262</v>
      </c>
      <c r="B6441" s="104" t="s">
        <v>6364</v>
      </c>
      <c r="C6441" s="104" t="s">
        <v>6292</v>
      </c>
      <c r="D6441" s="129" t="s">
        <v>15509</v>
      </c>
    </row>
    <row r="6442" spans="1:4">
      <c r="A6442" s="105">
        <v>100263</v>
      </c>
      <c r="B6442" s="104" t="s">
        <v>6365</v>
      </c>
      <c r="C6442" s="104" t="s">
        <v>6292</v>
      </c>
      <c r="D6442" s="129" t="s">
        <v>20140</v>
      </c>
    </row>
    <row r="6443" spans="1:4">
      <c r="A6443" s="105">
        <v>100264</v>
      </c>
      <c r="B6443" s="104" t="s">
        <v>6366</v>
      </c>
      <c r="C6443" s="104" t="s">
        <v>6320</v>
      </c>
      <c r="D6443" s="129" t="s">
        <v>17432</v>
      </c>
    </row>
    <row r="6444" spans="1:4">
      <c r="A6444" s="105">
        <v>100265</v>
      </c>
      <c r="B6444" s="104" t="s">
        <v>6367</v>
      </c>
      <c r="C6444" s="104" t="s">
        <v>12</v>
      </c>
      <c r="D6444" s="129" t="s">
        <v>24284</v>
      </c>
    </row>
    <row r="6445" spans="1:4">
      <c r="A6445" s="105">
        <v>100266</v>
      </c>
      <c r="B6445" s="104" t="s">
        <v>6368</v>
      </c>
      <c r="C6445" s="104" t="s">
        <v>6307</v>
      </c>
      <c r="D6445" s="129" t="s">
        <v>24285</v>
      </c>
    </row>
    <row r="6446" spans="1:4">
      <c r="A6446" s="105">
        <v>100267</v>
      </c>
      <c r="B6446" s="104" t="s">
        <v>6369</v>
      </c>
      <c r="C6446" s="104" t="s">
        <v>183</v>
      </c>
      <c r="D6446" s="129" t="s">
        <v>15477</v>
      </c>
    </row>
    <row r="6447" spans="1:4">
      <c r="A6447" s="105">
        <v>100268</v>
      </c>
      <c r="B6447" s="104" t="s">
        <v>6370</v>
      </c>
      <c r="C6447" s="104" t="s">
        <v>6307</v>
      </c>
      <c r="D6447" s="129" t="s">
        <v>24285</v>
      </c>
    </row>
    <row r="6448" spans="1:4">
      <c r="A6448" s="105">
        <v>100269</v>
      </c>
      <c r="B6448" s="104" t="s">
        <v>6371</v>
      </c>
      <c r="C6448" s="104" t="s">
        <v>183</v>
      </c>
      <c r="D6448" s="129" t="s">
        <v>15477</v>
      </c>
    </row>
    <row r="6449" spans="1:4">
      <c r="A6449" s="105">
        <v>100270</v>
      </c>
      <c r="B6449" s="104" t="s">
        <v>6372</v>
      </c>
      <c r="C6449" s="104" t="s">
        <v>6307</v>
      </c>
      <c r="D6449" s="129" t="s">
        <v>24286</v>
      </c>
    </row>
    <row r="6450" spans="1:4">
      <c r="A6450" s="105">
        <v>100271</v>
      </c>
      <c r="B6450" s="104" t="s">
        <v>6373</v>
      </c>
      <c r="C6450" s="104" t="s">
        <v>6320</v>
      </c>
      <c r="D6450" s="129" t="s">
        <v>24287</v>
      </c>
    </row>
    <row r="6451" spans="1:4">
      <c r="A6451" s="105">
        <v>100272</v>
      </c>
      <c r="B6451" s="104" t="s">
        <v>6374</v>
      </c>
      <c r="C6451" s="104" t="s">
        <v>12</v>
      </c>
      <c r="D6451" s="129" t="s">
        <v>15487</v>
      </c>
    </row>
    <row r="6452" spans="1:4">
      <c r="A6452" s="105">
        <v>100273</v>
      </c>
      <c r="B6452" s="104" t="s">
        <v>6375</v>
      </c>
      <c r="C6452" s="104" t="s">
        <v>6292</v>
      </c>
      <c r="D6452" s="129" t="s">
        <v>15764</v>
      </c>
    </row>
    <row r="6453" spans="1:4">
      <c r="A6453" s="105">
        <v>100274</v>
      </c>
      <c r="B6453" s="104" t="s">
        <v>6376</v>
      </c>
      <c r="C6453" s="104" t="s">
        <v>6320</v>
      </c>
      <c r="D6453" s="129" t="s">
        <v>20365</v>
      </c>
    </row>
    <row r="6454" spans="1:4">
      <c r="A6454" s="105">
        <v>100275</v>
      </c>
      <c r="B6454" s="104" t="s">
        <v>6377</v>
      </c>
      <c r="C6454" s="104" t="s">
        <v>6320</v>
      </c>
      <c r="D6454" s="129" t="s">
        <v>18630</v>
      </c>
    </row>
    <row r="6455" spans="1:4">
      <c r="A6455" s="105">
        <v>100276</v>
      </c>
      <c r="B6455" s="104" t="s">
        <v>6378</v>
      </c>
      <c r="C6455" s="104" t="s">
        <v>6320</v>
      </c>
      <c r="D6455" s="129" t="s">
        <v>24288</v>
      </c>
    </row>
    <row r="6456" spans="1:4">
      <c r="A6456" s="105">
        <v>100277</v>
      </c>
      <c r="B6456" s="104" t="s">
        <v>6379</v>
      </c>
      <c r="C6456" s="104" t="s">
        <v>6320</v>
      </c>
      <c r="D6456" s="129" t="s">
        <v>20098</v>
      </c>
    </row>
    <row r="6457" spans="1:4">
      <c r="A6457" s="105">
        <v>100278</v>
      </c>
      <c r="B6457" s="104" t="s">
        <v>6380</v>
      </c>
      <c r="C6457" s="104" t="s">
        <v>6307</v>
      </c>
      <c r="D6457" s="129" t="s">
        <v>18212</v>
      </c>
    </row>
    <row r="6458" spans="1:4">
      <c r="A6458" s="105">
        <v>100279</v>
      </c>
      <c r="B6458" s="104" t="s">
        <v>6381</v>
      </c>
      <c r="C6458" s="104" t="s">
        <v>183</v>
      </c>
      <c r="D6458" s="129" t="s">
        <v>16661</v>
      </c>
    </row>
    <row r="6459" spans="1:4">
      <c r="A6459" s="105">
        <v>100280</v>
      </c>
      <c r="B6459" s="104" t="s">
        <v>6382</v>
      </c>
      <c r="C6459" s="104" t="s">
        <v>6307</v>
      </c>
      <c r="D6459" s="129" t="s">
        <v>22055</v>
      </c>
    </row>
    <row r="6460" spans="1:4">
      <c r="A6460" s="105">
        <v>100281</v>
      </c>
      <c r="B6460" s="104" t="s">
        <v>6383</v>
      </c>
      <c r="C6460" s="104" t="s">
        <v>6307</v>
      </c>
      <c r="D6460" s="129" t="s">
        <v>15652</v>
      </c>
    </row>
    <row r="6461" spans="1:4">
      <c r="A6461" s="105">
        <v>100282</v>
      </c>
      <c r="B6461" s="104" t="s">
        <v>6384</v>
      </c>
      <c r="C6461" s="104" t="s">
        <v>6320</v>
      </c>
      <c r="D6461" s="129" t="s">
        <v>24289</v>
      </c>
    </row>
    <row r="6462" spans="1:4">
      <c r="A6462" s="105">
        <v>100283</v>
      </c>
      <c r="B6462" s="104" t="s">
        <v>6385</v>
      </c>
      <c r="C6462" s="104" t="s">
        <v>6320</v>
      </c>
      <c r="D6462" s="129" t="s">
        <v>24290</v>
      </c>
    </row>
    <row r="6463" spans="1:4">
      <c r="A6463" s="105">
        <v>100284</v>
      </c>
      <c r="B6463" s="104" t="s">
        <v>6386</v>
      </c>
      <c r="C6463" s="104" t="s">
        <v>6320</v>
      </c>
      <c r="D6463" s="129" t="s">
        <v>17239</v>
      </c>
    </row>
    <row r="6464" spans="1:4">
      <c r="A6464" s="105">
        <v>100285</v>
      </c>
      <c r="B6464" s="104" t="s">
        <v>6387</v>
      </c>
      <c r="C6464" s="104" t="s">
        <v>6338</v>
      </c>
      <c r="D6464" s="129" t="s">
        <v>15029</v>
      </c>
    </row>
    <row r="6465" spans="1:4">
      <c r="A6465" s="105">
        <v>100286</v>
      </c>
      <c r="B6465" s="104" t="s">
        <v>6388</v>
      </c>
      <c r="C6465" s="104" t="s">
        <v>6338</v>
      </c>
      <c r="D6465" s="129" t="s">
        <v>16979</v>
      </c>
    </row>
    <row r="6466" spans="1:4">
      <c r="A6466" s="105">
        <v>100287</v>
      </c>
      <c r="B6466" s="104" t="s">
        <v>6389</v>
      </c>
      <c r="C6466" s="104" t="s">
        <v>6338</v>
      </c>
      <c r="D6466" s="129" t="s">
        <v>24282</v>
      </c>
    </row>
    <row r="6467" spans="1:4">
      <c r="A6467" s="105">
        <v>99802</v>
      </c>
      <c r="B6467" s="104" t="s">
        <v>6390</v>
      </c>
      <c r="C6467" s="104" t="s">
        <v>12</v>
      </c>
      <c r="D6467" s="129" t="s">
        <v>15289</v>
      </c>
    </row>
    <row r="6468" spans="1:4">
      <c r="A6468" s="105">
        <v>99803</v>
      </c>
      <c r="B6468" s="104" t="s">
        <v>6391</v>
      </c>
      <c r="C6468" s="104" t="s">
        <v>12</v>
      </c>
      <c r="D6468" s="129" t="s">
        <v>15766</v>
      </c>
    </row>
    <row r="6469" spans="1:4">
      <c r="A6469" s="105">
        <v>99804</v>
      </c>
      <c r="B6469" s="104" t="s">
        <v>12966</v>
      </c>
      <c r="C6469" s="104" t="s">
        <v>12</v>
      </c>
      <c r="D6469" s="129" t="s">
        <v>23561</v>
      </c>
    </row>
    <row r="6470" spans="1:4">
      <c r="A6470" s="105">
        <v>99805</v>
      </c>
      <c r="B6470" s="104" t="s">
        <v>6392</v>
      </c>
      <c r="C6470" s="104" t="s">
        <v>12</v>
      </c>
      <c r="D6470" s="129" t="s">
        <v>15166</v>
      </c>
    </row>
    <row r="6471" spans="1:4">
      <c r="A6471" s="105">
        <v>99806</v>
      </c>
      <c r="B6471" s="104" t="s">
        <v>6393</v>
      </c>
      <c r="C6471" s="104" t="s">
        <v>12</v>
      </c>
      <c r="D6471" s="129" t="s">
        <v>20087</v>
      </c>
    </row>
    <row r="6472" spans="1:4">
      <c r="A6472" s="105">
        <v>99807</v>
      </c>
      <c r="B6472" s="104" t="s">
        <v>12967</v>
      </c>
      <c r="C6472" s="104" t="s">
        <v>12</v>
      </c>
      <c r="D6472" s="129" t="s">
        <v>15832</v>
      </c>
    </row>
    <row r="6473" spans="1:4">
      <c r="A6473" s="105">
        <v>99808</v>
      </c>
      <c r="B6473" s="104" t="s">
        <v>6394</v>
      </c>
      <c r="C6473" s="104" t="s">
        <v>12</v>
      </c>
      <c r="D6473" s="129" t="s">
        <v>20097</v>
      </c>
    </row>
    <row r="6474" spans="1:4">
      <c r="A6474" s="105">
        <v>99809</v>
      </c>
      <c r="B6474" s="104" t="s">
        <v>6395</v>
      </c>
      <c r="C6474" s="104" t="s">
        <v>12</v>
      </c>
      <c r="D6474" s="129" t="s">
        <v>18840</v>
      </c>
    </row>
    <row r="6475" spans="1:4">
      <c r="A6475" s="105">
        <v>99810</v>
      </c>
      <c r="B6475" s="104" t="s">
        <v>12968</v>
      </c>
      <c r="C6475" s="104" t="s">
        <v>12</v>
      </c>
      <c r="D6475" s="129" t="s">
        <v>15751</v>
      </c>
    </row>
    <row r="6476" spans="1:4">
      <c r="A6476" s="105">
        <v>99811</v>
      </c>
      <c r="B6476" s="104" t="s">
        <v>6396</v>
      </c>
      <c r="C6476" s="104" t="s">
        <v>12</v>
      </c>
      <c r="D6476" s="129" t="s">
        <v>20070</v>
      </c>
    </row>
    <row r="6477" spans="1:4">
      <c r="A6477" s="105">
        <v>99812</v>
      </c>
      <c r="B6477" s="104" t="s">
        <v>6397</v>
      </c>
      <c r="C6477" s="104" t="s">
        <v>12</v>
      </c>
      <c r="D6477" s="129" t="s">
        <v>24291</v>
      </c>
    </row>
    <row r="6478" spans="1:4">
      <c r="A6478" s="105">
        <v>99813</v>
      </c>
      <c r="B6478" s="104" t="s">
        <v>12969</v>
      </c>
      <c r="C6478" s="104" t="s">
        <v>12</v>
      </c>
      <c r="D6478" s="129" t="s">
        <v>24275</v>
      </c>
    </row>
    <row r="6479" spans="1:4">
      <c r="A6479" s="105">
        <v>99814</v>
      </c>
      <c r="B6479" s="104" t="s">
        <v>6398</v>
      </c>
      <c r="C6479" s="104" t="s">
        <v>12</v>
      </c>
      <c r="D6479" s="129" t="s">
        <v>24292</v>
      </c>
    </row>
    <row r="6480" spans="1:4">
      <c r="A6480" s="105">
        <v>99815</v>
      </c>
      <c r="B6480" s="104" t="s">
        <v>12970</v>
      </c>
      <c r="C6480" s="104" t="s">
        <v>183</v>
      </c>
      <c r="D6480" s="129" t="s">
        <v>17211</v>
      </c>
    </row>
    <row r="6481" spans="1:4">
      <c r="A6481" s="105">
        <v>99816</v>
      </c>
      <c r="B6481" s="104" t="s">
        <v>12971</v>
      </c>
      <c r="C6481" s="104" t="s">
        <v>183</v>
      </c>
      <c r="D6481" s="129" t="s">
        <v>24293</v>
      </c>
    </row>
    <row r="6482" spans="1:4">
      <c r="A6482" s="105">
        <v>99817</v>
      </c>
      <c r="B6482" s="104" t="s">
        <v>12972</v>
      </c>
      <c r="C6482" s="104" t="s">
        <v>183</v>
      </c>
      <c r="D6482" s="129" t="s">
        <v>22442</v>
      </c>
    </row>
    <row r="6483" spans="1:4">
      <c r="A6483" s="105">
        <v>99818</v>
      </c>
      <c r="B6483" s="104" t="s">
        <v>12973</v>
      </c>
      <c r="C6483" s="104" t="s">
        <v>183</v>
      </c>
      <c r="D6483" s="129" t="s">
        <v>22442</v>
      </c>
    </row>
    <row r="6484" spans="1:4">
      <c r="A6484" s="105">
        <v>99819</v>
      </c>
      <c r="B6484" s="104" t="s">
        <v>12974</v>
      </c>
      <c r="C6484" s="104" t="s">
        <v>12</v>
      </c>
      <c r="D6484" s="129" t="s">
        <v>24124</v>
      </c>
    </row>
    <row r="6485" spans="1:4">
      <c r="A6485" s="105">
        <v>99820</v>
      </c>
      <c r="B6485" s="104" t="s">
        <v>12975</v>
      </c>
      <c r="C6485" s="104" t="s">
        <v>12</v>
      </c>
      <c r="D6485" s="129" t="s">
        <v>15542</v>
      </c>
    </row>
    <row r="6486" spans="1:4">
      <c r="A6486" s="105">
        <v>99821</v>
      </c>
      <c r="B6486" s="104" t="s">
        <v>12976</v>
      </c>
      <c r="C6486" s="104" t="s">
        <v>12</v>
      </c>
      <c r="D6486" s="129" t="s">
        <v>19571</v>
      </c>
    </row>
    <row r="6487" spans="1:4">
      <c r="A6487" s="105">
        <v>99822</v>
      </c>
      <c r="B6487" s="104" t="s">
        <v>6399</v>
      </c>
      <c r="C6487" s="104" t="s">
        <v>12</v>
      </c>
      <c r="D6487" s="129" t="s">
        <v>15310</v>
      </c>
    </row>
    <row r="6488" spans="1:4">
      <c r="A6488" s="105">
        <v>99823</v>
      </c>
      <c r="B6488" s="104" t="s">
        <v>12977</v>
      </c>
      <c r="C6488" s="104" t="s">
        <v>12</v>
      </c>
      <c r="D6488" s="129" t="s">
        <v>15742</v>
      </c>
    </row>
    <row r="6489" spans="1:4">
      <c r="A6489" s="105">
        <v>99824</v>
      </c>
      <c r="B6489" s="104" t="s">
        <v>12978</v>
      </c>
      <c r="C6489" s="104" t="s">
        <v>12</v>
      </c>
      <c r="D6489" s="129" t="s">
        <v>24294</v>
      </c>
    </row>
    <row r="6490" spans="1:4">
      <c r="A6490" s="105">
        <v>99825</v>
      </c>
      <c r="B6490" s="104" t="s">
        <v>12979</v>
      </c>
      <c r="C6490" s="104" t="s">
        <v>12</v>
      </c>
      <c r="D6490" s="129" t="s">
        <v>23606</v>
      </c>
    </row>
    <row r="6491" spans="1:4">
      <c r="A6491" s="105">
        <v>99826</v>
      </c>
      <c r="B6491" s="104" t="s">
        <v>6400</v>
      </c>
      <c r="C6491" s="104" t="s">
        <v>12</v>
      </c>
      <c r="D6491" s="129" t="s">
        <v>19607</v>
      </c>
    </row>
    <row r="6492" spans="1:4">
      <c r="A6492" s="105">
        <v>97010</v>
      </c>
      <c r="B6492" s="104" t="s">
        <v>6401</v>
      </c>
      <c r="C6492" s="104" t="s">
        <v>40</v>
      </c>
      <c r="D6492" s="129" t="s">
        <v>24295</v>
      </c>
    </row>
    <row r="6493" spans="1:4">
      <c r="A6493" s="105">
        <v>97011</v>
      </c>
      <c r="B6493" s="104" t="s">
        <v>6402</v>
      </c>
      <c r="C6493" s="104" t="s">
        <v>40</v>
      </c>
      <c r="D6493" s="129" t="s">
        <v>22750</v>
      </c>
    </row>
    <row r="6494" spans="1:4">
      <c r="A6494" s="105">
        <v>97012</v>
      </c>
      <c r="B6494" s="104" t="s">
        <v>6403</v>
      </c>
      <c r="C6494" s="104" t="s">
        <v>40</v>
      </c>
      <c r="D6494" s="129" t="s">
        <v>24296</v>
      </c>
    </row>
    <row r="6495" spans="1:4">
      <c r="A6495" s="105">
        <v>97013</v>
      </c>
      <c r="B6495" s="104" t="s">
        <v>6404</v>
      </c>
      <c r="C6495" s="104" t="s">
        <v>40</v>
      </c>
      <c r="D6495" s="129" t="s">
        <v>24297</v>
      </c>
    </row>
    <row r="6496" spans="1:4">
      <c r="A6496" s="105">
        <v>97014</v>
      </c>
      <c r="B6496" s="104" t="s">
        <v>6405</v>
      </c>
      <c r="C6496" s="104" t="s">
        <v>40</v>
      </c>
      <c r="D6496" s="129" t="s">
        <v>24298</v>
      </c>
    </row>
    <row r="6497" spans="1:4">
      <c r="A6497" s="105">
        <v>97015</v>
      </c>
      <c r="B6497" s="104" t="s">
        <v>6406</v>
      </c>
      <c r="C6497" s="104" t="s">
        <v>40</v>
      </c>
      <c r="D6497" s="129" t="s">
        <v>24299</v>
      </c>
    </row>
    <row r="6498" spans="1:4">
      <c r="A6498" s="105">
        <v>97016</v>
      </c>
      <c r="B6498" s="104" t="s">
        <v>6407</v>
      </c>
      <c r="C6498" s="104" t="s">
        <v>40</v>
      </c>
      <c r="D6498" s="129" t="s">
        <v>19646</v>
      </c>
    </row>
    <row r="6499" spans="1:4">
      <c r="A6499" s="105">
        <v>97017</v>
      </c>
      <c r="B6499" s="104" t="s">
        <v>6408</v>
      </c>
      <c r="C6499" s="104" t="s">
        <v>40</v>
      </c>
      <c r="D6499" s="129" t="s">
        <v>15522</v>
      </c>
    </row>
    <row r="6500" spans="1:4">
      <c r="A6500" s="105">
        <v>97018</v>
      </c>
      <c r="B6500" s="104" t="s">
        <v>6409</v>
      </c>
      <c r="C6500" s="104" t="s">
        <v>40</v>
      </c>
      <c r="D6500" s="129" t="s">
        <v>20600</v>
      </c>
    </row>
    <row r="6501" spans="1:4">
      <c r="A6501" s="105">
        <v>97031</v>
      </c>
      <c r="B6501" s="104" t="s">
        <v>6410</v>
      </c>
      <c r="C6501" s="104" t="s">
        <v>40</v>
      </c>
      <c r="D6501" s="129" t="s">
        <v>19798</v>
      </c>
    </row>
    <row r="6502" spans="1:4">
      <c r="A6502" s="105">
        <v>97032</v>
      </c>
      <c r="B6502" s="104" t="s">
        <v>6411</v>
      </c>
      <c r="C6502" s="104" t="s">
        <v>40</v>
      </c>
      <c r="D6502" s="129" t="s">
        <v>15264</v>
      </c>
    </row>
    <row r="6503" spans="1:4">
      <c r="A6503" s="105">
        <v>97033</v>
      </c>
      <c r="B6503" s="104" t="s">
        <v>6412</v>
      </c>
      <c r="C6503" s="104" t="s">
        <v>40</v>
      </c>
      <c r="D6503" s="129" t="s">
        <v>24300</v>
      </c>
    </row>
    <row r="6504" spans="1:4">
      <c r="A6504" s="105">
        <v>97034</v>
      </c>
      <c r="B6504" s="104" t="s">
        <v>6413</v>
      </c>
      <c r="C6504" s="104" t="s">
        <v>40</v>
      </c>
      <c r="D6504" s="129" t="s">
        <v>22617</v>
      </c>
    </row>
    <row r="6505" spans="1:4">
      <c r="A6505" s="105">
        <v>97039</v>
      </c>
      <c r="B6505" s="104" t="s">
        <v>6414</v>
      </c>
      <c r="C6505" s="104" t="s">
        <v>12</v>
      </c>
      <c r="D6505" s="129" t="s">
        <v>24301</v>
      </c>
    </row>
    <row r="6506" spans="1:4">
      <c r="A6506" s="105">
        <v>97040</v>
      </c>
      <c r="B6506" s="104" t="s">
        <v>6415</v>
      </c>
      <c r="C6506" s="104" t="s">
        <v>12</v>
      </c>
      <c r="D6506" s="129" t="s">
        <v>17823</v>
      </c>
    </row>
    <row r="6507" spans="1:4">
      <c r="A6507" s="105">
        <v>97041</v>
      </c>
      <c r="B6507" s="104" t="s">
        <v>6416</v>
      </c>
      <c r="C6507" s="104" t="s">
        <v>12</v>
      </c>
      <c r="D6507" s="129" t="s">
        <v>24302</v>
      </c>
    </row>
    <row r="6508" spans="1:4">
      <c r="A6508" s="105">
        <v>97046</v>
      </c>
      <c r="B6508" s="104" t="s">
        <v>6417</v>
      </c>
      <c r="C6508" s="104" t="s">
        <v>12</v>
      </c>
      <c r="D6508" s="129" t="s">
        <v>20119</v>
      </c>
    </row>
    <row r="6509" spans="1:4">
      <c r="A6509" s="105">
        <v>97047</v>
      </c>
      <c r="B6509" s="104" t="s">
        <v>6418</v>
      </c>
      <c r="C6509" s="104" t="s">
        <v>12</v>
      </c>
      <c r="D6509" s="129" t="s">
        <v>15765</v>
      </c>
    </row>
    <row r="6510" spans="1:4">
      <c r="A6510" s="105">
        <v>97048</v>
      </c>
      <c r="B6510" s="104" t="s">
        <v>6419</v>
      </c>
      <c r="C6510" s="104" t="s">
        <v>12</v>
      </c>
      <c r="D6510" s="129" t="s">
        <v>19512</v>
      </c>
    </row>
    <row r="6511" spans="1:4">
      <c r="A6511" s="105">
        <v>97054</v>
      </c>
      <c r="B6511" s="104" t="s">
        <v>6420</v>
      </c>
      <c r="C6511" s="104" t="s">
        <v>183</v>
      </c>
      <c r="D6511" s="129" t="s">
        <v>23819</v>
      </c>
    </row>
    <row r="6512" spans="1:4">
      <c r="A6512" s="105">
        <v>97062</v>
      </c>
      <c r="B6512" s="104" t="s">
        <v>6421</v>
      </c>
      <c r="C6512" s="104" t="s">
        <v>12</v>
      </c>
      <c r="D6512" s="129" t="s">
        <v>19255</v>
      </c>
    </row>
    <row r="6513" spans="1:4">
      <c r="A6513" s="105">
        <v>97063</v>
      </c>
      <c r="B6513" s="104" t="s">
        <v>158</v>
      </c>
      <c r="C6513" s="104" t="s">
        <v>12</v>
      </c>
      <c r="D6513" s="129" t="s">
        <v>24303</v>
      </c>
    </row>
    <row r="6514" spans="1:4">
      <c r="A6514" s="105">
        <v>97064</v>
      </c>
      <c r="B6514" s="104" t="s">
        <v>6422</v>
      </c>
      <c r="C6514" s="104" t="s">
        <v>40</v>
      </c>
      <c r="D6514" s="129" t="s">
        <v>15403</v>
      </c>
    </row>
    <row r="6515" spans="1:4">
      <c r="A6515" s="105">
        <v>97065</v>
      </c>
      <c r="B6515" s="104" t="s">
        <v>6423</v>
      </c>
      <c r="C6515" s="104" t="s">
        <v>28</v>
      </c>
      <c r="D6515" s="129" t="s">
        <v>24304</v>
      </c>
    </row>
    <row r="6516" spans="1:4">
      <c r="A6516" s="105">
        <v>97066</v>
      </c>
      <c r="B6516" s="104" t="s">
        <v>6424</v>
      </c>
      <c r="C6516" s="104" t="s">
        <v>12</v>
      </c>
      <c r="D6516" s="129" t="s">
        <v>24305</v>
      </c>
    </row>
    <row r="6517" spans="1:4">
      <c r="A6517" s="105">
        <v>97067</v>
      </c>
      <c r="B6517" s="104" t="s">
        <v>6425</v>
      </c>
      <c r="C6517" s="104" t="s">
        <v>40</v>
      </c>
      <c r="D6517" s="129" t="s">
        <v>24306</v>
      </c>
    </row>
    <row r="6518" spans="1:4">
      <c r="A6518" s="105">
        <v>97621</v>
      </c>
      <c r="B6518" s="104" t="s">
        <v>6426</v>
      </c>
      <c r="C6518" s="104" t="s">
        <v>28</v>
      </c>
      <c r="D6518" s="129" t="s">
        <v>19343</v>
      </c>
    </row>
    <row r="6519" spans="1:4">
      <c r="A6519" s="105">
        <v>97622</v>
      </c>
      <c r="B6519" s="104" t="s">
        <v>6427</v>
      </c>
      <c r="C6519" s="104" t="s">
        <v>28</v>
      </c>
      <c r="D6519" s="129" t="s">
        <v>15559</v>
      </c>
    </row>
    <row r="6520" spans="1:4">
      <c r="A6520" s="105">
        <v>97623</v>
      </c>
      <c r="B6520" s="104" t="s">
        <v>6428</v>
      </c>
      <c r="C6520" s="104" t="s">
        <v>28</v>
      </c>
      <c r="D6520" s="129" t="s">
        <v>24307</v>
      </c>
    </row>
    <row r="6521" spans="1:4">
      <c r="A6521" s="105">
        <v>97624</v>
      </c>
      <c r="B6521" s="104" t="s">
        <v>6429</v>
      </c>
      <c r="C6521" s="104" t="s">
        <v>28</v>
      </c>
      <c r="D6521" s="129" t="s">
        <v>24308</v>
      </c>
    </row>
    <row r="6522" spans="1:4">
      <c r="A6522" s="105">
        <v>97625</v>
      </c>
      <c r="B6522" s="104" t="s">
        <v>6430</v>
      </c>
      <c r="C6522" s="104" t="s">
        <v>28</v>
      </c>
      <c r="D6522" s="129" t="s">
        <v>24309</v>
      </c>
    </row>
    <row r="6523" spans="1:4">
      <c r="A6523" s="105">
        <v>97626</v>
      </c>
      <c r="B6523" s="104" t="s">
        <v>6431</v>
      </c>
      <c r="C6523" s="104" t="s">
        <v>28</v>
      </c>
      <c r="D6523" s="129" t="s">
        <v>24310</v>
      </c>
    </row>
    <row r="6524" spans="1:4">
      <c r="A6524" s="105">
        <v>97627</v>
      </c>
      <c r="B6524" s="104" t="s">
        <v>6432</v>
      </c>
      <c r="C6524" s="104" t="s">
        <v>28</v>
      </c>
      <c r="D6524" s="129" t="s">
        <v>24311</v>
      </c>
    </row>
    <row r="6525" spans="1:4">
      <c r="A6525" s="105">
        <v>97628</v>
      </c>
      <c r="B6525" s="104" t="s">
        <v>6433</v>
      </c>
      <c r="C6525" s="104" t="s">
        <v>28</v>
      </c>
      <c r="D6525" s="129" t="s">
        <v>24312</v>
      </c>
    </row>
    <row r="6526" spans="1:4">
      <c r="A6526" s="105">
        <v>97629</v>
      </c>
      <c r="B6526" s="104" t="s">
        <v>6434</v>
      </c>
      <c r="C6526" s="104" t="s">
        <v>28</v>
      </c>
      <c r="D6526" s="129" t="s">
        <v>24313</v>
      </c>
    </row>
    <row r="6527" spans="1:4">
      <c r="A6527" s="105">
        <v>97631</v>
      </c>
      <c r="B6527" s="104" t="s">
        <v>6435</v>
      </c>
      <c r="C6527" s="104" t="s">
        <v>12</v>
      </c>
      <c r="D6527" s="129" t="s">
        <v>24314</v>
      </c>
    </row>
    <row r="6528" spans="1:4">
      <c r="A6528" s="105">
        <v>97632</v>
      </c>
      <c r="B6528" s="104" t="s">
        <v>6436</v>
      </c>
      <c r="C6528" s="104" t="s">
        <v>40</v>
      </c>
      <c r="D6528" s="129" t="s">
        <v>19577</v>
      </c>
    </row>
    <row r="6529" spans="1:4">
      <c r="A6529" s="105">
        <v>97633</v>
      </c>
      <c r="B6529" s="104" t="s">
        <v>33</v>
      </c>
      <c r="C6529" s="104" t="s">
        <v>12</v>
      </c>
      <c r="D6529" s="129" t="s">
        <v>24315</v>
      </c>
    </row>
    <row r="6530" spans="1:4">
      <c r="A6530" s="105">
        <v>97634</v>
      </c>
      <c r="B6530" s="104" t="s">
        <v>6437</v>
      </c>
      <c r="C6530" s="104" t="s">
        <v>12</v>
      </c>
      <c r="D6530" s="129" t="s">
        <v>22049</v>
      </c>
    </row>
    <row r="6531" spans="1:4">
      <c r="A6531" s="105">
        <v>97635</v>
      </c>
      <c r="B6531" s="104" t="s">
        <v>6438</v>
      </c>
      <c r="C6531" s="104" t="s">
        <v>12</v>
      </c>
      <c r="D6531" s="129" t="s">
        <v>18020</v>
      </c>
    </row>
    <row r="6532" spans="1:4">
      <c r="A6532" s="105">
        <v>97636</v>
      </c>
      <c r="B6532" s="104" t="s">
        <v>6439</v>
      </c>
      <c r="C6532" s="104" t="s">
        <v>12</v>
      </c>
      <c r="D6532" s="129" t="s">
        <v>14946</v>
      </c>
    </row>
    <row r="6533" spans="1:4">
      <c r="A6533" s="105">
        <v>97637</v>
      </c>
      <c r="B6533" s="104" t="s">
        <v>6440</v>
      </c>
      <c r="C6533" s="104" t="s">
        <v>12</v>
      </c>
      <c r="D6533" s="129" t="s">
        <v>19182</v>
      </c>
    </row>
    <row r="6534" spans="1:4">
      <c r="A6534" s="105">
        <v>97638</v>
      </c>
      <c r="B6534" s="104" t="s">
        <v>9</v>
      </c>
      <c r="C6534" s="104" t="s">
        <v>12</v>
      </c>
      <c r="D6534" s="129" t="s">
        <v>18070</v>
      </c>
    </row>
    <row r="6535" spans="1:4">
      <c r="A6535" s="105">
        <v>97639</v>
      </c>
      <c r="B6535" s="104" t="s">
        <v>6441</v>
      </c>
      <c r="C6535" s="104" t="s">
        <v>12</v>
      </c>
      <c r="D6535" s="129" t="s">
        <v>24316</v>
      </c>
    </row>
    <row r="6536" spans="1:4">
      <c r="A6536" s="105">
        <v>97640</v>
      </c>
      <c r="B6536" s="104" t="s">
        <v>6442</v>
      </c>
      <c r="C6536" s="104" t="s">
        <v>12</v>
      </c>
      <c r="D6536" s="129" t="s">
        <v>24317</v>
      </c>
    </row>
    <row r="6537" spans="1:4">
      <c r="A6537" s="105">
        <v>97641</v>
      </c>
      <c r="B6537" s="104" t="s">
        <v>10</v>
      </c>
      <c r="C6537" s="104" t="s">
        <v>12</v>
      </c>
      <c r="D6537" s="129" t="s">
        <v>19118</v>
      </c>
    </row>
    <row r="6538" spans="1:4">
      <c r="A6538" s="105">
        <v>97642</v>
      </c>
      <c r="B6538" s="104" t="s">
        <v>6443</v>
      </c>
      <c r="C6538" s="104" t="s">
        <v>12</v>
      </c>
      <c r="D6538" s="129" t="s">
        <v>15661</v>
      </c>
    </row>
    <row r="6539" spans="1:4">
      <c r="A6539" s="105">
        <v>97643</v>
      </c>
      <c r="B6539" s="104" t="s">
        <v>6444</v>
      </c>
      <c r="C6539" s="104" t="s">
        <v>12</v>
      </c>
      <c r="D6539" s="129" t="s">
        <v>20588</v>
      </c>
    </row>
    <row r="6540" spans="1:4">
      <c r="A6540" s="105">
        <v>97644</v>
      </c>
      <c r="B6540" s="104" t="s">
        <v>11</v>
      </c>
      <c r="C6540" s="104" t="s">
        <v>12</v>
      </c>
      <c r="D6540" s="129" t="s">
        <v>17187</v>
      </c>
    </row>
    <row r="6541" spans="1:4">
      <c r="A6541" s="105">
        <v>97645</v>
      </c>
      <c r="B6541" s="104" t="s">
        <v>13</v>
      </c>
      <c r="C6541" s="104" t="s">
        <v>12</v>
      </c>
      <c r="D6541" s="129" t="s">
        <v>24318</v>
      </c>
    </row>
    <row r="6542" spans="1:4">
      <c r="A6542" s="105">
        <v>97647</v>
      </c>
      <c r="B6542" s="104" t="s">
        <v>6445</v>
      </c>
      <c r="C6542" s="104" t="s">
        <v>12</v>
      </c>
      <c r="D6542" s="129" t="s">
        <v>15509</v>
      </c>
    </row>
    <row r="6543" spans="1:4">
      <c r="A6543" s="105">
        <v>97648</v>
      </c>
      <c r="B6543" s="104" t="s">
        <v>6446</v>
      </c>
      <c r="C6543" s="104" t="s">
        <v>12</v>
      </c>
      <c r="D6543" s="129" t="s">
        <v>19570</v>
      </c>
    </row>
    <row r="6544" spans="1:4">
      <c r="A6544" s="105">
        <v>97649</v>
      </c>
      <c r="B6544" s="104" t="s">
        <v>6447</v>
      </c>
      <c r="C6544" s="104" t="s">
        <v>12</v>
      </c>
      <c r="D6544" s="129" t="s">
        <v>20088</v>
      </c>
    </row>
    <row r="6545" spans="1:4">
      <c r="A6545" s="105">
        <v>97650</v>
      </c>
      <c r="B6545" s="104" t="s">
        <v>6448</v>
      </c>
      <c r="C6545" s="104" t="s">
        <v>12</v>
      </c>
      <c r="D6545" s="129" t="s">
        <v>24319</v>
      </c>
    </row>
    <row r="6546" spans="1:4">
      <c r="A6546" s="105">
        <v>97651</v>
      </c>
      <c r="B6546" s="104" t="s">
        <v>6449</v>
      </c>
      <c r="C6546" s="104" t="s">
        <v>183</v>
      </c>
      <c r="D6546" s="129" t="s">
        <v>24320</v>
      </c>
    </row>
    <row r="6547" spans="1:4">
      <c r="A6547" s="105">
        <v>97652</v>
      </c>
      <c r="B6547" s="104" t="s">
        <v>6450</v>
      </c>
      <c r="C6547" s="104" t="s">
        <v>183</v>
      </c>
      <c r="D6547" s="129" t="s">
        <v>24321</v>
      </c>
    </row>
    <row r="6548" spans="1:4">
      <c r="A6548" s="105">
        <v>97653</v>
      </c>
      <c r="B6548" s="104" t="s">
        <v>6451</v>
      </c>
      <c r="C6548" s="104" t="s">
        <v>183</v>
      </c>
      <c r="D6548" s="129" t="s">
        <v>22574</v>
      </c>
    </row>
    <row r="6549" spans="1:4">
      <c r="A6549" s="105">
        <v>97654</v>
      </c>
      <c r="B6549" s="104" t="s">
        <v>6452</v>
      </c>
      <c r="C6549" s="104" t="s">
        <v>183</v>
      </c>
      <c r="D6549" s="129" t="s">
        <v>24322</v>
      </c>
    </row>
    <row r="6550" spans="1:4">
      <c r="A6550" s="105">
        <v>97655</v>
      </c>
      <c r="B6550" s="104" t="s">
        <v>6453</v>
      </c>
      <c r="C6550" s="104" t="s">
        <v>12</v>
      </c>
      <c r="D6550" s="129" t="s">
        <v>17730</v>
      </c>
    </row>
    <row r="6551" spans="1:4">
      <c r="A6551" s="105">
        <v>97656</v>
      </c>
      <c r="B6551" s="104" t="s">
        <v>6454</v>
      </c>
      <c r="C6551" s="104" t="s">
        <v>183</v>
      </c>
      <c r="D6551" s="129" t="s">
        <v>24323</v>
      </c>
    </row>
    <row r="6552" spans="1:4">
      <c r="A6552" s="105">
        <v>97657</v>
      </c>
      <c r="B6552" s="104" t="s">
        <v>6455</v>
      </c>
      <c r="C6552" s="104" t="s">
        <v>183</v>
      </c>
      <c r="D6552" s="129" t="s">
        <v>24324</v>
      </c>
    </row>
    <row r="6553" spans="1:4">
      <c r="A6553" s="105">
        <v>97658</v>
      </c>
      <c r="B6553" s="104" t="s">
        <v>6456</v>
      </c>
      <c r="C6553" s="104" t="s">
        <v>183</v>
      </c>
      <c r="D6553" s="129" t="s">
        <v>24325</v>
      </c>
    </row>
    <row r="6554" spans="1:4">
      <c r="A6554" s="105">
        <v>97659</v>
      </c>
      <c r="B6554" s="104" t="s">
        <v>6457</v>
      </c>
      <c r="C6554" s="104" t="s">
        <v>183</v>
      </c>
      <c r="D6554" s="129" t="s">
        <v>24326</v>
      </c>
    </row>
    <row r="6555" spans="1:4">
      <c r="A6555" s="105">
        <v>97660</v>
      </c>
      <c r="B6555" s="104" t="s">
        <v>6458</v>
      </c>
      <c r="C6555" s="104" t="s">
        <v>183</v>
      </c>
      <c r="D6555" s="129" t="s">
        <v>15469</v>
      </c>
    </row>
    <row r="6556" spans="1:4">
      <c r="A6556" s="105">
        <v>97661</v>
      </c>
      <c r="B6556" s="104" t="s">
        <v>6459</v>
      </c>
      <c r="C6556" s="104" t="s">
        <v>40</v>
      </c>
      <c r="D6556" s="129" t="s">
        <v>15469</v>
      </c>
    </row>
    <row r="6557" spans="1:4">
      <c r="A6557" s="105">
        <v>97662</v>
      </c>
      <c r="B6557" s="104" t="s">
        <v>6460</v>
      </c>
      <c r="C6557" s="104" t="s">
        <v>40</v>
      </c>
      <c r="D6557" s="129" t="s">
        <v>20119</v>
      </c>
    </row>
    <row r="6558" spans="1:4">
      <c r="A6558" s="105">
        <v>97663</v>
      </c>
      <c r="B6558" s="104" t="s">
        <v>31</v>
      </c>
      <c r="C6558" s="104" t="s">
        <v>183</v>
      </c>
      <c r="D6558" s="129" t="s">
        <v>15720</v>
      </c>
    </row>
    <row r="6559" spans="1:4">
      <c r="A6559" s="105">
        <v>97664</v>
      </c>
      <c r="B6559" s="104" t="s">
        <v>6461</v>
      </c>
      <c r="C6559" s="104" t="s">
        <v>183</v>
      </c>
      <c r="D6559" s="129" t="s">
        <v>14844</v>
      </c>
    </row>
    <row r="6560" spans="1:4">
      <c r="A6560" s="105">
        <v>97665</v>
      </c>
      <c r="B6560" s="104" t="s">
        <v>163</v>
      </c>
      <c r="C6560" s="104" t="s">
        <v>183</v>
      </c>
      <c r="D6560" s="129" t="s">
        <v>15472</v>
      </c>
    </row>
    <row r="6561" spans="1:4">
      <c r="A6561" s="105">
        <v>97666</v>
      </c>
      <c r="B6561" s="104" t="s">
        <v>6462</v>
      </c>
      <c r="C6561" s="104" t="s">
        <v>183</v>
      </c>
      <c r="D6561" s="129" t="s">
        <v>17716</v>
      </c>
    </row>
    <row r="6562" spans="1:4">
      <c r="A6562" s="105">
        <v>95967</v>
      </c>
      <c r="B6562" s="104" t="s">
        <v>6463</v>
      </c>
      <c r="C6562" s="104" t="s">
        <v>16</v>
      </c>
      <c r="D6562" s="129" t="s">
        <v>24327</v>
      </c>
    </row>
    <row r="6563" spans="1:4">
      <c r="A6563" s="105">
        <v>99058</v>
      </c>
      <c r="B6563" s="104" t="s">
        <v>6464</v>
      </c>
      <c r="C6563" s="104" t="s">
        <v>183</v>
      </c>
      <c r="D6563" s="129" t="s">
        <v>24328</v>
      </c>
    </row>
    <row r="6564" spans="1:4">
      <c r="A6564" s="105">
        <v>99059</v>
      </c>
      <c r="B6564" s="104" t="s">
        <v>6465</v>
      </c>
      <c r="C6564" s="104" t="s">
        <v>40</v>
      </c>
      <c r="D6564" s="129" t="s">
        <v>24329</v>
      </c>
    </row>
    <row r="6565" spans="1:4">
      <c r="A6565" s="105">
        <v>99060</v>
      </c>
      <c r="B6565" s="104" t="s">
        <v>6466</v>
      </c>
      <c r="C6565" s="104" t="s">
        <v>183</v>
      </c>
      <c r="D6565" s="129" t="s">
        <v>24330</v>
      </c>
    </row>
    <row r="6566" spans="1:4">
      <c r="A6566" s="105">
        <v>99061</v>
      </c>
      <c r="B6566" s="104" t="s">
        <v>6467</v>
      </c>
      <c r="C6566" s="104" t="s">
        <v>183</v>
      </c>
      <c r="D6566" s="129" t="s">
        <v>24331</v>
      </c>
    </row>
    <row r="6567" spans="1:4">
      <c r="A6567" s="105">
        <v>99062</v>
      </c>
      <c r="B6567" s="104" t="s">
        <v>6468</v>
      </c>
      <c r="C6567" s="104" t="s">
        <v>183</v>
      </c>
      <c r="D6567" s="129" t="s">
        <v>15759</v>
      </c>
    </row>
    <row r="6568" spans="1:4">
      <c r="A6568" s="105">
        <v>99063</v>
      </c>
      <c r="B6568" s="104" t="s">
        <v>6469</v>
      </c>
      <c r="C6568" s="104" t="s">
        <v>40</v>
      </c>
      <c r="D6568" s="129" t="s">
        <v>24332</v>
      </c>
    </row>
    <row r="6569" spans="1:4">
      <c r="A6569" s="105">
        <v>99064</v>
      </c>
      <c r="B6569" s="104" t="s">
        <v>6470</v>
      </c>
      <c r="C6569" s="104" t="s">
        <v>40</v>
      </c>
      <c r="D6569" s="129" t="s">
        <v>15524</v>
      </c>
    </row>
    <row r="6570" spans="1:4">
      <c r="A6570" s="105">
        <v>93588</v>
      </c>
      <c r="B6570" s="104" t="s">
        <v>6471</v>
      </c>
      <c r="C6570" s="104" t="s">
        <v>6303</v>
      </c>
      <c r="D6570" s="129" t="s">
        <v>24333</v>
      </c>
    </row>
    <row r="6571" spans="1:4">
      <c r="A6571" s="105">
        <v>93589</v>
      </c>
      <c r="B6571" s="104" t="s">
        <v>6472</v>
      </c>
      <c r="C6571" s="104" t="s">
        <v>6303</v>
      </c>
      <c r="D6571" s="129" t="s">
        <v>21664</v>
      </c>
    </row>
    <row r="6572" spans="1:4">
      <c r="A6572" s="105">
        <v>93590</v>
      </c>
      <c r="B6572" s="104" t="s">
        <v>6473</v>
      </c>
      <c r="C6572" s="104" t="s">
        <v>6303</v>
      </c>
      <c r="D6572" s="129" t="s">
        <v>15526</v>
      </c>
    </row>
    <row r="6573" spans="1:4">
      <c r="A6573" s="105">
        <v>93591</v>
      </c>
      <c r="B6573" s="104" t="s">
        <v>6474</v>
      </c>
      <c r="C6573" s="104" t="s">
        <v>6303</v>
      </c>
      <c r="D6573" s="129" t="s">
        <v>20167</v>
      </c>
    </row>
    <row r="6574" spans="1:4">
      <c r="A6574" s="105">
        <v>93592</v>
      </c>
      <c r="B6574" s="104" t="s">
        <v>6475</v>
      </c>
      <c r="C6574" s="104" t="s">
        <v>6303</v>
      </c>
      <c r="D6574" s="129" t="s">
        <v>15456</v>
      </c>
    </row>
    <row r="6575" spans="1:4">
      <c r="A6575" s="105">
        <v>93593</v>
      </c>
      <c r="B6575" s="104" t="s">
        <v>6476</v>
      </c>
      <c r="C6575" s="104" t="s">
        <v>6303</v>
      </c>
      <c r="D6575" s="129" t="s">
        <v>14843</v>
      </c>
    </row>
    <row r="6576" spans="1:4">
      <c r="A6576" s="105">
        <v>93594</v>
      </c>
      <c r="B6576" s="104" t="s">
        <v>6477</v>
      </c>
      <c r="C6576" s="104" t="s">
        <v>5407</v>
      </c>
      <c r="D6576" s="129" t="s">
        <v>24334</v>
      </c>
    </row>
    <row r="6577" spans="1:4">
      <c r="A6577" s="105">
        <v>93595</v>
      </c>
      <c r="B6577" s="104" t="s">
        <v>6478</v>
      </c>
      <c r="C6577" s="104" t="s">
        <v>5407</v>
      </c>
      <c r="D6577" s="129" t="s">
        <v>15686</v>
      </c>
    </row>
    <row r="6578" spans="1:4">
      <c r="A6578" s="105">
        <v>93596</v>
      </c>
      <c r="B6578" s="104" t="s">
        <v>6479</v>
      </c>
      <c r="C6578" s="104" t="s">
        <v>5407</v>
      </c>
      <c r="D6578" s="129" t="s">
        <v>15306</v>
      </c>
    </row>
    <row r="6579" spans="1:4">
      <c r="A6579" s="105">
        <v>93597</v>
      </c>
      <c r="B6579" s="104" t="s">
        <v>6480</v>
      </c>
      <c r="C6579" s="104" t="s">
        <v>5407</v>
      </c>
      <c r="D6579" s="129" t="s">
        <v>20098</v>
      </c>
    </row>
    <row r="6580" spans="1:4">
      <c r="A6580" s="105">
        <v>93598</v>
      </c>
      <c r="B6580" s="104" t="s">
        <v>6481</v>
      </c>
      <c r="C6580" s="104" t="s">
        <v>5407</v>
      </c>
      <c r="D6580" s="129" t="s">
        <v>15468</v>
      </c>
    </row>
    <row r="6581" spans="1:4">
      <c r="A6581" s="105">
        <v>93599</v>
      </c>
      <c r="B6581" s="104" t="s">
        <v>6482</v>
      </c>
      <c r="C6581" s="104" t="s">
        <v>5407</v>
      </c>
      <c r="D6581" s="129" t="s">
        <v>15605</v>
      </c>
    </row>
    <row r="6582" spans="1:4">
      <c r="A6582" s="105">
        <v>95425</v>
      </c>
      <c r="B6582" s="104" t="s">
        <v>6483</v>
      </c>
      <c r="C6582" s="104" t="s">
        <v>6303</v>
      </c>
      <c r="D6582" s="129" t="s">
        <v>23891</v>
      </c>
    </row>
    <row r="6583" spans="1:4">
      <c r="A6583" s="105">
        <v>95426</v>
      </c>
      <c r="B6583" s="104" t="s">
        <v>6484</v>
      </c>
      <c r="C6583" s="104" t="s">
        <v>6303</v>
      </c>
      <c r="D6583" s="129" t="s">
        <v>19301</v>
      </c>
    </row>
    <row r="6584" spans="1:4">
      <c r="A6584" s="105">
        <v>95427</v>
      </c>
      <c r="B6584" s="104" t="s">
        <v>6485</v>
      </c>
      <c r="C6584" s="104" t="s">
        <v>6303</v>
      </c>
      <c r="D6584" s="129" t="s">
        <v>15601</v>
      </c>
    </row>
    <row r="6585" spans="1:4">
      <c r="A6585" s="105">
        <v>95428</v>
      </c>
      <c r="B6585" s="104" t="s">
        <v>6486</v>
      </c>
      <c r="C6585" s="104" t="s">
        <v>5407</v>
      </c>
      <c r="D6585" s="129" t="s">
        <v>15649</v>
      </c>
    </row>
    <row r="6586" spans="1:4">
      <c r="A6586" s="105">
        <v>95429</v>
      </c>
      <c r="B6586" s="104" t="s">
        <v>6487</v>
      </c>
      <c r="C6586" s="104" t="s">
        <v>5407</v>
      </c>
      <c r="D6586" s="129" t="s">
        <v>15829</v>
      </c>
    </row>
    <row r="6587" spans="1:4">
      <c r="A6587" s="105">
        <v>95430</v>
      </c>
      <c r="B6587" s="104" t="s">
        <v>6488</v>
      </c>
      <c r="C6587" s="104" t="s">
        <v>5407</v>
      </c>
      <c r="D6587" s="129" t="s">
        <v>20159</v>
      </c>
    </row>
    <row r="6588" spans="1:4">
      <c r="A6588" s="105">
        <v>95875</v>
      </c>
      <c r="B6588" s="104" t="s">
        <v>6489</v>
      </c>
      <c r="C6588" s="104" t="s">
        <v>6303</v>
      </c>
      <c r="D6588" s="129" t="s">
        <v>15575</v>
      </c>
    </row>
    <row r="6589" spans="1:4">
      <c r="A6589" s="105">
        <v>95876</v>
      </c>
      <c r="B6589" s="104" t="s">
        <v>6490</v>
      </c>
      <c r="C6589" s="104" t="s">
        <v>6303</v>
      </c>
      <c r="D6589" s="129" t="s">
        <v>24127</v>
      </c>
    </row>
    <row r="6590" spans="1:4">
      <c r="A6590" s="105">
        <v>95877</v>
      </c>
      <c r="B6590" s="104" t="s">
        <v>6491</v>
      </c>
      <c r="C6590" s="104" t="s">
        <v>6303</v>
      </c>
      <c r="D6590" s="129" t="s">
        <v>14840</v>
      </c>
    </row>
    <row r="6591" spans="1:4">
      <c r="A6591" s="105">
        <v>95878</v>
      </c>
      <c r="B6591" s="104" t="s">
        <v>6492</v>
      </c>
      <c r="C6591" s="104" t="s">
        <v>5407</v>
      </c>
      <c r="D6591" s="129" t="s">
        <v>15493</v>
      </c>
    </row>
    <row r="6592" spans="1:4">
      <c r="A6592" s="105">
        <v>95879</v>
      </c>
      <c r="B6592" s="104" t="s">
        <v>6493</v>
      </c>
      <c r="C6592" s="104" t="s">
        <v>5407</v>
      </c>
      <c r="D6592" s="129" t="s">
        <v>15686</v>
      </c>
    </row>
    <row r="6593" spans="1:4">
      <c r="A6593" s="105">
        <v>95880</v>
      </c>
      <c r="B6593" s="104" t="s">
        <v>6494</v>
      </c>
      <c r="C6593" s="104" t="s">
        <v>5407</v>
      </c>
      <c r="D6593" s="129" t="s">
        <v>15476</v>
      </c>
    </row>
    <row r="6594" spans="1:4">
      <c r="A6594" s="105">
        <v>97912</v>
      </c>
      <c r="B6594" s="104" t="s">
        <v>6495</v>
      </c>
      <c r="C6594" s="104" t="s">
        <v>6303</v>
      </c>
      <c r="D6594" s="129" t="s">
        <v>18839</v>
      </c>
    </row>
    <row r="6595" spans="1:4">
      <c r="A6595" s="105">
        <v>97913</v>
      </c>
      <c r="B6595" s="104" t="s">
        <v>6496</v>
      </c>
      <c r="C6595" s="104" t="s">
        <v>6303</v>
      </c>
      <c r="D6595" s="129" t="s">
        <v>24335</v>
      </c>
    </row>
    <row r="6596" spans="1:4">
      <c r="A6596" s="105">
        <v>97914</v>
      </c>
      <c r="B6596" s="104" t="s">
        <v>6497</v>
      </c>
      <c r="C6596" s="104" t="s">
        <v>6303</v>
      </c>
      <c r="D6596" s="129" t="s">
        <v>15151</v>
      </c>
    </row>
    <row r="6597" spans="1:4">
      <c r="A6597" s="105">
        <v>97915</v>
      </c>
      <c r="B6597" s="104" t="s">
        <v>6498</v>
      </c>
      <c r="C6597" s="104" t="s">
        <v>6303</v>
      </c>
      <c r="D6597" s="129" t="s">
        <v>24336</v>
      </c>
    </row>
    <row r="6598" spans="1:4">
      <c r="A6598" s="105">
        <v>100937</v>
      </c>
      <c r="B6598" s="104" t="s">
        <v>6499</v>
      </c>
      <c r="C6598" s="104" t="s">
        <v>6303</v>
      </c>
      <c r="D6598" s="129" t="s">
        <v>17796</v>
      </c>
    </row>
    <row r="6599" spans="1:4">
      <c r="A6599" s="105">
        <v>100938</v>
      </c>
      <c r="B6599" s="104" t="s">
        <v>6500</v>
      </c>
      <c r="C6599" s="104" t="s">
        <v>6303</v>
      </c>
      <c r="D6599" s="129" t="s">
        <v>24337</v>
      </c>
    </row>
    <row r="6600" spans="1:4">
      <c r="A6600" s="105">
        <v>100939</v>
      </c>
      <c r="B6600" s="104" t="s">
        <v>6501</v>
      </c>
      <c r="C6600" s="104" t="s">
        <v>6303</v>
      </c>
      <c r="D6600" s="129" t="s">
        <v>15609</v>
      </c>
    </row>
    <row r="6601" spans="1:4">
      <c r="A6601" s="105">
        <v>100940</v>
      </c>
      <c r="B6601" s="104" t="s">
        <v>6502</v>
      </c>
      <c r="C6601" s="104" t="s">
        <v>6303</v>
      </c>
      <c r="D6601" s="129" t="s">
        <v>15143</v>
      </c>
    </row>
    <row r="6602" spans="1:4">
      <c r="A6602" s="105">
        <v>100941</v>
      </c>
      <c r="B6602" s="104" t="s">
        <v>6503</v>
      </c>
      <c r="C6602" s="104" t="s">
        <v>5407</v>
      </c>
      <c r="D6602" s="129" t="s">
        <v>24338</v>
      </c>
    </row>
    <row r="6603" spans="1:4">
      <c r="A6603" s="105">
        <v>100942</v>
      </c>
      <c r="B6603" s="104" t="s">
        <v>6504</v>
      </c>
      <c r="C6603" s="104" t="s">
        <v>5407</v>
      </c>
      <c r="D6603" s="129" t="s">
        <v>15664</v>
      </c>
    </row>
    <row r="6604" spans="1:4">
      <c r="A6604" s="105">
        <v>100943</v>
      </c>
      <c r="B6604" s="104" t="s">
        <v>6505</v>
      </c>
      <c r="C6604" s="104" t="s">
        <v>5407</v>
      </c>
      <c r="D6604" s="129" t="s">
        <v>18843</v>
      </c>
    </row>
    <row r="6605" spans="1:4">
      <c r="A6605" s="105">
        <v>100944</v>
      </c>
      <c r="B6605" s="104" t="s">
        <v>6506</v>
      </c>
      <c r="C6605" s="104" t="s">
        <v>5407</v>
      </c>
      <c r="D6605" s="129" t="s">
        <v>24339</v>
      </c>
    </row>
    <row r="6606" spans="1:4">
      <c r="A6606" s="105">
        <v>100945</v>
      </c>
      <c r="B6606" s="104" t="s">
        <v>6507</v>
      </c>
      <c r="C6606" s="104" t="s">
        <v>5407</v>
      </c>
      <c r="D6606" s="129" t="s">
        <v>15804</v>
      </c>
    </row>
    <row r="6607" spans="1:4">
      <c r="A6607" s="105">
        <v>100946</v>
      </c>
      <c r="B6607" s="104" t="s">
        <v>6508</v>
      </c>
      <c r="C6607" s="104" t="s">
        <v>5407</v>
      </c>
      <c r="D6607" s="129" t="s">
        <v>23681</v>
      </c>
    </row>
    <row r="6608" spans="1:4">
      <c r="A6608" s="105">
        <v>100947</v>
      </c>
      <c r="B6608" s="104" t="s">
        <v>6509</v>
      </c>
      <c r="C6608" s="104" t="s">
        <v>5407</v>
      </c>
      <c r="D6608" s="129" t="s">
        <v>20172</v>
      </c>
    </row>
    <row r="6609" spans="1:4">
      <c r="A6609" s="105">
        <v>100948</v>
      </c>
      <c r="B6609" s="104" t="s">
        <v>6510</v>
      </c>
      <c r="C6609" s="104" t="s">
        <v>5407</v>
      </c>
      <c r="D6609" s="129" t="s">
        <v>24340</v>
      </c>
    </row>
    <row r="6610" spans="1:4">
      <c r="A6610" s="105">
        <v>100949</v>
      </c>
      <c r="B6610" s="104" t="s">
        <v>6511</v>
      </c>
      <c r="C6610" s="104" t="s">
        <v>5407</v>
      </c>
      <c r="D6610" s="129" t="s">
        <v>14939</v>
      </c>
    </row>
    <row r="6611" spans="1:4">
      <c r="A6611" s="105">
        <v>100950</v>
      </c>
      <c r="B6611" s="104" t="s">
        <v>6512</v>
      </c>
      <c r="C6611" s="104" t="s">
        <v>5407</v>
      </c>
      <c r="D6611" s="129" t="s">
        <v>24341</v>
      </c>
    </row>
    <row r="6612" spans="1:4">
      <c r="A6612" s="105">
        <v>100951</v>
      </c>
      <c r="B6612" s="104" t="s">
        <v>6513</v>
      </c>
      <c r="C6612" s="104" t="s">
        <v>5407</v>
      </c>
      <c r="D6612" s="129" t="s">
        <v>20070</v>
      </c>
    </row>
    <row r="6613" spans="1:4">
      <c r="A6613" s="105">
        <v>100952</v>
      </c>
      <c r="B6613" s="104" t="s">
        <v>6514</v>
      </c>
      <c r="C6613" s="104" t="s">
        <v>5407</v>
      </c>
      <c r="D6613" s="129" t="s">
        <v>24314</v>
      </c>
    </row>
    <row r="6614" spans="1:4">
      <c r="A6614" s="105">
        <v>100953</v>
      </c>
      <c r="B6614" s="104" t="s">
        <v>6515</v>
      </c>
      <c r="C6614" s="104" t="s">
        <v>5407</v>
      </c>
      <c r="D6614" s="129" t="s">
        <v>15637</v>
      </c>
    </row>
    <row r="6615" spans="1:4">
      <c r="A6615" s="105">
        <v>100954</v>
      </c>
      <c r="B6615" s="104" t="s">
        <v>6516</v>
      </c>
      <c r="C6615" s="104" t="s">
        <v>5407</v>
      </c>
      <c r="D6615" s="129" t="s">
        <v>22067</v>
      </c>
    </row>
    <row r="6616" spans="1:4">
      <c r="A6616" s="105">
        <v>100955</v>
      </c>
      <c r="B6616" s="104" t="s">
        <v>6517</v>
      </c>
      <c r="C6616" s="104" t="s">
        <v>6303</v>
      </c>
      <c r="D6616" s="129" t="s">
        <v>22696</v>
      </c>
    </row>
    <row r="6617" spans="1:4">
      <c r="A6617" s="105">
        <v>100956</v>
      </c>
      <c r="B6617" s="104" t="s">
        <v>6518</v>
      </c>
      <c r="C6617" s="104" t="s">
        <v>6303</v>
      </c>
      <c r="D6617" s="129" t="s">
        <v>24342</v>
      </c>
    </row>
    <row r="6618" spans="1:4">
      <c r="A6618" s="105">
        <v>100957</v>
      </c>
      <c r="B6618" s="104" t="s">
        <v>6519</v>
      </c>
      <c r="C6618" s="104" t="s">
        <v>6303</v>
      </c>
      <c r="D6618" s="129" t="s">
        <v>20181</v>
      </c>
    </row>
    <row r="6619" spans="1:4">
      <c r="A6619" s="105">
        <v>100958</v>
      </c>
      <c r="B6619" s="104" t="s">
        <v>6520</v>
      </c>
      <c r="C6619" s="104" t="s">
        <v>6303</v>
      </c>
      <c r="D6619" s="129" t="s">
        <v>14845</v>
      </c>
    </row>
    <row r="6620" spans="1:4">
      <c r="A6620" s="105">
        <v>100959</v>
      </c>
      <c r="B6620" s="104" t="s">
        <v>6521</v>
      </c>
      <c r="C6620" s="104" t="s">
        <v>6303</v>
      </c>
      <c r="D6620" s="129" t="s">
        <v>17936</v>
      </c>
    </row>
    <row r="6621" spans="1:4">
      <c r="A6621" s="105">
        <v>100960</v>
      </c>
      <c r="B6621" s="104" t="s">
        <v>6522</v>
      </c>
      <c r="C6621" s="104" t="s">
        <v>6303</v>
      </c>
      <c r="D6621" s="129" t="s">
        <v>15415</v>
      </c>
    </row>
    <row r="6622" spans="1:4">
      <c r="A6622" s="105">
        <v>100961</v>
      </c>
      <c r="B6622" s="104" t="s">
        <v>6523</v>
      </c>
      <c r="C6622" s="104" t="s">
        <v>6303</v>
      </c>
      <c r="D6622" s="129" t="s">
        <v>20715</v>
      </c>
    </row>
    <row r="6623" spans="1:4">
      <c r="A6623" s="105">
        <v>100962</v>
      </c>
      <c r="B6623" s="104" t="s">
        <v>6524</v>
      </c>
      <c r="C6623" s="104" t="s">
        <v>6303</v>
      </c>
      <c r="D6623" s="129" t="s">
        <v>15792</v>
      </c>
    </row>
    <row r="6624" spans="1:4">
      <c r="A6624" s="105">
        <v>100963</v>
      </c>
      <c r="B6624" s="104" t="s">
        <v>6525</v>
      </c>
      <c r="C6624" s="104" t="s">
        <v>6303</v>
      </c>
      <c r="D6624" s="129" t="s">
        <v>15485</v>
      </c>
    </row>
    <row r="6625" spans="1:4">
      <c r="A6625" s="105">
        <v>100964</v>
      </c>
      <c r="B6625" s="104" t="s">
        <v>6526</v>
      </c>
      <c r="C6625" s="104" t="s">
        <v>6303</v>
      </c>
      <c r="D6625" s="129" t="s">
        <v>15104</v>
      </c>
    </row>
    <row r="6626" spans="1:4">
      <c r="A6626" s="105">
        <v>100973</v>
      </c>
      <c r="B6626" s="104" t="s">
        <v>6527</v>
      </c>
      <c r="C6626" s="104" t="s">
        <v>28</v>
      </c>
      <c r="D6626" s="129" t="s">
        <v>22773</v>
      </c>
    </row>
    <row r="6627" spans="1:4">
      <c r="A6627" s="105">
        <v>100974</v>
      </c>
      <c r="B6627" s="104" t="s">
        <v>6528</v>
      </c>
      <c r="C6627" s="104" t="s">
        <v>28</v>
      </c>
      <c r="D6627" s="129" t="s">
        <v>17263</v>
      </c>
    </row>
    <row r="6628" spans="1:4">
      <c r="A6628" s="105">
        <v>100975</v>
      </c>
      <c r="B6628" s="104" t="s">
        <v>6529</v>
      </c>
      <c r="C6628" s="104" t="s">
        <v>28</v>
      </c>
      <c r="D6628" s="129" t="s">
        <v>14941</v>
      </c>
    </row>
    <row r="6629" spans="1:4">
      <c r="A6629" s="105">
        <v>100965</v>
      </c>
      <c r="B6629" s="104" t="s">
        <v>6530</v>
      </c>
      <c r="C6629" s="104" t="s">
        <v>5407</v>
      </c>
      <c r="D6629" s="129" t="s">
        <v>20098</v>
      </c>
    </row>
    <row r="6630" spans="1:4">
      <c r="A6630" s="105">
        <v>100966</v>
      </c>
      <c r="B6630" s="104" t="s">
        <v>6531</v>
      </c>
      <c r="C6630" s="104" t="s">
        <v>5407</v>
      </c>
      <c r="D6630" s="129" t="s">
        <v>15468</v>
      </c>
    </row>
    <row r="6631" spans="1:4">
      <c r="A6631" s="105">
        <v>100969</v>
      </c>
      <c r="B6631" s="104" t="s">
        <v>6532</v>
      </c>
      <c r="C6631" s="104" t="s">
        <v>5407</v>
      </c>
      <c r="D6631" s="129" t="s">
        <v>24343</v>
      </c>
    </row>
    <row r="6632" spans="1:4">
      <c r="A6632" s="105">
        <v>100970</v>
      </c>
      <c r="B6632" s="104" t="s">
        <v>6533</v>
      </c>
      <c r="C6632" s="104" t="s">
        <v>5407</v>
      </c>
      <c r="D6632" s="129" t="s">
        <v>19301</v>
      </c>
    </row>
    <row r="6633" spans="1:4">
      <c r="A6633" s="105">
        <v>102330</v>
      </c>
      <c r="B6633" s="104" t="s">
        <v>6534</v>
      </c>
      <c r="C6633" s="104" t="s">
        <v>5407</v>
      </c>
      <c r="D6633" s="129" t="s">
        <v>20136</v>
      </c>
    </row>
    <row r="6634" spans="1:4">
      <c r="A6634" s="105">
        <v>102331</v>
      </c>
      <c r="B6634" s="104" t="s">
        <v>6535</v>
      </c>
      <c r="C6634" s="104" t="s">
        <v>5407</v>
      </c>
      <c r="D6634" s="129" t="s">
        <v>15358</v>
      </c>
    </row>
    <row r="6635" spans="1:4">
      <c r="A6635" s="105">
        <v>102332</v>
      </c>
      <c r="B6635" s="104" t="s">
        <v>6536</v>
      </c>
      <c r="C6635" s="104" t="s">
        <v>5407</v>
      </c>
      <c r="D6635" s="129" t="s">
        <v>24344</v>
      </c>
    </row>
    <row r="6636" spans="1:4">
      <c r="A6636" s="105">
        <v>102333</v>
      </c>
      <c r="B6636" s="104" t="s">
        <v>6537</v>
      </c>
      <c r="C6636" s="104" t="s">
        <v>5407</v>
      </c>
      <c r="D6636" s="129" t="s">
        <v>15483</v>
      </c>
    </row>
    <row r="6637" spans="1:4">
      <c r="A6637" s="105">
        <v>101019</v>
      </c>
      <c r="B6637" s="104" t="s">
        <v>6538</v>
      </c>
      <c r="C6637" s="104" t="s">
        <v>5662</v>
      </c>
      <c r="D6637" s="129" t="s">
        <v>24345</v>
      </c>
    </row>
    <row r="6638" spans="1:4">
      <c r="A6638" s="105">
        <v>101479</v>
      </c>
      <c r="B6638" s="104" t="s">
        <v>6539</v>
      </c>
      <c r="C6638" s="104" t="s">
        <v>5662</v>
      </c>
      <c r="D6638" s="129" t="s">
        <v>22168</v>
      </c>
    </row>
    <row r="6639" spans="1:4">
      <c r="A6639" s="105">
        <v>102568</v>
      </c>
      <c r="B6639" s="104" t="s">
        <v>6540</v>
      </c>
      <c r="C6639" s="104" t="s">
        <v>5662</v>
      </c>
      <c r="D6639" s="129" t="s">
        <v>24346</v>
      </c>
    </row>
    <row r="6640" spans="1:4">
      <c r="A6640" s="105">
        <v>100976</v>
      </c>
      <c r="B6640" s="104" t="s">
        <v>6541</v>
      </c>
      <c r="C6640" s="104" t="s">
        <v>28</v>
      </c>
      <c r="D6640" s="129" t="s">
        <v>15776</v>
      </c>
    </row>
    <row r="6641" spans="1:4">
      <c r="A6641" s="105">
        <v>100977</v>
      </c>
      <c r="B6641" s="104" t="s">
        <v>6542</v>
      </c>
      <c r="C6641" s="104" t="s">
        <v>28</v>
      </c>
      <c r="D6641" s="129" t="s">
        <v>17211</v>
      </c>
    </row>
    <row r="6642" spans="1:4">
      <c r="A6642" s="105">
        <v>100978</v>
      </c>
      <c r="B6642" s="104" t="s">
        <v>6543</v>
      </c>
      <c r="C6642" s="104" t="s">
        <v>28</v>
      </c>
      <c r="D6642" s="129" t="s">
        <v>17258</v>
      </c>
    </row>
    <row r="6643" spans="1:4">
      <c r="A6643" s="105">
        <v>100979</v>
      </c>
      <c r="B6643" s="104" t="s">
        <v>6544</v>
      </c>
      <c r="C6643" s="104" t="s">
        <v>28</v>
      </c>
      <c r="D6643" s="129" t="s">
        <v>14756</v>
      </c>
    </row>
    <row r="6644" spans="1:4">
      <c r="A6644" s="105">
        <v>100980</v>
      </c>
      <c r="B6644" s="104" t="s">
        <v>6545</v>
      </c>
      <c r="C6644" s="104" t="s">
        <v>28</v>
      </c>
      <c r="D6644" s="129" t="s">
        <v>14824</v>
      </c>
    </row>
    <row r="6645" spans="1:4">
      <c r="A6645" s="105">
        <v>100981</v>
      </c>
      <c r="B6645" s="104" t="s">
        <v>6546</v>
      </c>
      <c r="C6645" s="104" t="s">
        <v>28</v>
      </c>
      <c r="D6645" s="129" t="s">
        <v>21347</v>
      </c>
    </row>
    <row r="6646" spans="1:4">
      <c r="A6646" s="105">
        <v>100982</v>
      </c>
      <c r="B6646" s="104" t="s">
        <v>6547</v>
      </c>
      <c r="C6646" s="104" t="s">
        <v>28</v>
      </c>
      <c r="D6646" s="129" t="s">
        <v>15332</v>
      </c>
    </row>
    <row r="6647" spans="1:4">
      <c r="A6647" s="105">
        <v>100983</v>
      </c>
      <c r="B6647" s="104" t="s">
        <v>6548</v>
      </c>
      <c r="C6647" s="104" t="s">
        <v>28</v>
      </c>
      <c r="D6647" s="129" t="s">
        <v>19606</v>
      </c>
    </row>
    <row r="6648" spans="1:4">
      <c r="A6648" s="105">
        <v>100984</v>
      </c>
      <c r="B6648" s="104" t="s">
        <v>6549</v>
      </c>
      <c r="C6648" s="104" t="s">
        <v>28</v>
      </c>
      <c r="D6648" s="129" t="s">
        <v>19697</v>
      </c>
    </row>
    <row r="6649" spans="1:4">
      <c r="A6649" s="105">
        <v>100985</v>
      </c>
      <c r="B6649" s="104" t="s">
        <v>6550</v>
      </c>
      <c r="C6649" s="104" t="s">
        <v>28</v>
      </c>
      <c r="D6649" s="129" t="s">
        <v>15007</v>
      </c>
    </row>
    <row r="6650" spans="1:4">
      <c r="A6650" s="105">
        <v>100986</v>
      </c>
      <c r="B6650" s="104" t="s">
        <v>6551</v>
      </c>
      <c r="C6650" s="104" t="s">
        <v>28</v>
      </c>
      <c r="D6650" s="129" t="s">
        <v>15535</v>
      </c>
    </row>
    <row r="6651" spans="1:4">
      <c r="A6651" s="105">
        <v>100987</v>
      </c>
      <c r="B6651" s="104" t="s">
        <v>6552</v>
      </c>
      <c r="C6651" s="104" t="s">
        <v>28</v>
      </c>
      <c r="D6651" s="129" t="s">
        <v>18224</v>
      </c>
    </row>
    <row r="6652" spans="1:4">
      <c r="A6652" s="105">
        <v>100988</v>
      </c>
      <c r="B6652" s="104" t="s">
        <v>6553</v>
      </c>
      <c r="C6652" s="104" t="s">
        <v>28</v>
      </c>
      <c r="D6652" s="129" t="s">
        <v>24283</v>
      </c>
    </row>
    <row r="6653" spans="1:4">
      <c r="A6653" s="105">
        <v>100989</v>
      </c>
      <c r="B6653" s="104" t="s">
        <v>6554</v>
      </c>
      <c r="C6653" s="104" t="s">
        <v>5662</v>
      </c>
      <c r="D6653" s="129" t="s">
        <v>24347</v>
      </c>
    </row>
    <row r="6654" spans="1:4">
      <c r="A6654" s="105">
        <v>100990</v>
      </c>
      <c r="B6654" s="104" t="s">
        <v>6555</v>
      </c>
      <c r="C6654" s="104" t="s">
        <v>5662</v>
      </c>
      <c r="D6654" s="129" t="s">
        <v>20560</v>
      </c>
    </row>
    <row r="6655" spans="1:4">
      <c r="A6655" s="105">
        <v>100991</v>
      </c>
      <c r="B6655" s="104" t="s">
        <v>6556</v>
      </c>
      <c r="C6655" s="104" t="s">
        <v>5662</v>
      </c>
      <c r="D6655" s="129" t="s">
        <v>15143</v>
      </c>
    </row>
    <row r="6656" spans="1:4">
      <c r="A6656" s="105">
        <v>100992</v>
      </c>
      <c r="B6656" s="104" t="s">
        <v>6557</v>
      </c>
      <c r="C6656" s="104" t="s">
        <v>5662</v>
      </c>
      <c r="D6656" s="129" t="s">
        <v>19248</v>
      </c>
    </row>
    <row r="6657" spans="1:4">
      <c r="A6657" s="105">
        <v>100993</v>
      </c>
      <c r="B6657" s="104" t="s">
        <v>6558</v>
      </c>
      <c r="C6657" s="104" t="s">
        <v>5662</v>
      </c>
      <c r="D6657" s="129" t="s">
        <v>24348</v>
      </c>
    </row>
    <row r="6658" spans="1:4">
      <c r="A6658" s="105">
        <v>100994</v>
      </c>
      <c r="B6658" s="104" t="s">
        <v>6559</v>
      </c>
      <c r="C6658" s="104" t="s">
        <v>5662</v>
      </c>
      <c r="D6658" s="129" t="s">
        <v>24349</v>
      </c>
    </row>
    <row r="6659" spans="1:4">
      <c r="A6659" s="105">
        <v>100995</v>
      </c>
      <c r="B6659" s="104" t="s">
        <v>6560</v>
      </c>
      <c r="C6659" s="104" t="s">
        <v>5662</v>
      </c>
      <c r="D6659" s="129" t="s">
        <v>19638</v>
      </c>
    </row>
    <row r="6660" spans="1:4">
      <c r="A6660" s="105">
        <v>100996</v>
      </c>
      <c r="B6660" s="104" t="s">
        <v>6561</v>
      </c>
      <c r="C6660" s="104" t="s">
        <v>5662</v>
      </c>
      <c r="D6660" s="129" t="s">
        <v>14815</v>
      </c>
    </row>
    <row r="6661" spans="1:4">
      <c r="A6661" s="105">
        <v>100997</v>
      </c>
      <c r="B6661" s="104" t="s">
        <v>6562</v>
      </c>
      <c r="C6661" s="104" t="s">
        <v>5662</v>
      </c>
      <c r="D6661" s="129" t="s">
        <v>17258</v>
      </c>
    </row>
    <row r="6662" spans="1:4">
      <c r="A6662" s="105">
        <v>100998</v>
      </c>
      <c r="B6662" s="104" t="s">
        <v>6563</v>
      </c>
      <c r="C6662" s="104" t="s">
        <v>5662</v>
      </c>
      <c r="D6662" s="129" t="s">
        <v>23635</v>
      </c>
    </row>
    <row r="6663" spans="1:4">
      <c r="A6663" s="105">
        <v>100999</v>
      </c>
      <c r="B6663" s="104" t="s">
        <v>6564</v>
      </c>
      <c r="C6663" s="104" t="s">
        <v>5662</v>
      </c>
      <c r="D6663" s="129" t="s">
        <v>19244</v>
      </c>
    </row>
    <row r="6664" spans="1:4">
      <c r="A6664" s="105">
        <v>101000</v>
      </c>
      <c r="B6664" s="104" t="s">
        <v>6565</v>
      </c>
      <c r="C6664" s="104" t="s">
        <v>5662</v>
      </c>
      <c r="D6664" s="129" t="s">
        <v>24350</v>
      </c>
    </row>
    <row r="6665" spans="1:4">
      <c r="A6665" s="105">
        <v>101001</v>
      </c>
      <c r="B6665" s="104" t="s">
        <v>6566</v>
      </c>
      <c r="C6665" s="104" t="s">
        <v>5662</v>
      </c>
      <c r="D6665" s="129" t="s">
        <v>24351</v>
      </c>
    </row>
    <row r="6666" spans="1:4">
      <c r="A6666" s="105">
        <v>101002</v>
      </c>
      <c r="B6666" s="104" t="s">
        <v>6567</v>
      </c>
      <c r="C6666" s="104" t="s">
        <v>5662</v>
      </c>
      <c r="D6666" s="129" t="s">
        <v>24352</v>
      </c>
    </row>
    <row r="6667" spans="1:4">
      <c r="A6667" s="105">
        <v>101003</v>
      </c>
      <c r="B6667" s="104" t="s">
        <v>6568</v>
      </c>
      <c r="C6667" s="104" t="s">
        <v>5662</v>
      </c>
      <c r="D6667" s="129" t="s">
        <v>24353</v>
      </c>
    </row>
    <row r="6668" spans="1:4">
      <c r="A6668" s="105">
        <v>101004</v>
      </c>
      <c r="B6668" s="104" t="s">
        <v>6569</v>
      </c>
      <c r="C6668" s="104" t="s">
        <v>5662</v>
      </c>
      <c r="D6668" s="129" t="s">
        <v>20075</v>
      </c>
    </row>
    <row r="6669" spans="1:4">
      <c r="A6669" s="105">
        <v>101005</v>
      </c>
      <c r="B6669" s="104" t="s">
        <v>6570</v>
      </c>
      <c r="C6669" s="104" t="s">
        <v>28</v>
      </c>
      <c r="D6669" s="129" t="s">
        <v>15320</v>
      </c>
    </row>
    <row r="6670" spans="1:4">
      <c r="A6670" s="105">
        <v>101006</v>
      </c>
      <c r="B6670" s="104" t="s">
        <v>6571</v>
      </c>
      <c r="C6670" s="104" t="s">
        <v>28</v>
      </c>
      <c r="D6670" s="129" t="s">
        <v>15654</v>
      </c>
    </row>
    <row r="6671" spans="1:4">
      <c r="A6671" s="105">
        <v>101007</v>
      </c>
      <c r="B6671" s="104" t="s">
        <v>6572</v>
      </c>
      <c r="C6671" s="104" t="s">
        <v>28</v>
      </c>
      <c r="D6671" s="129" t="s">
        <v>24354</v>
      </c>
    </row>
    <row r="6672" spans="1:4">
      <c r="A6672" s="105">
        <v>101008</v>
      </c>
      <c r="B6672" s="104" t="s">
        <v>6573</v>
      </c>
      <c r="C6672" s="104" t="s">
        <v>28</v>
      </c>
      <c r="D6672" s="129" t="s">
        <v>24347</v>
      </c>
    </row>
    <row r="6673" spans="1:4">
      <c r="A6673" s="105">
        <v>101009</v>
      </c>
      <c r="B6673" s="104" t="s">
        <v>6574</v>
      </c>
      <c r="C6673" s="104" t="s">
        <v>5662</v>
      </c>
      <c r="D6673" s="129" t="s">
        <v>19552</v>
      </c>
    </row>
    <row r="6674" spans="1:4">
      <c r="A6674" s="105">
        <v>101010</v>
      </c>
      <c r="B6674" s="104" t="s">
        <v>6575</v>
      </c>
      <c r="C6674" s="104" t="s">
        <v>5662</v>
      </c>
      <c r="D6674" s="129" t="s">
        <v>20267</v>
      </c>
    </row>
    <row r="6675" spans="1:4">
      <c r="A6675" s="105">
        <v>101013</v>
      </c>
      <c r="B6675" s="104" t="s">
        <v>6576</v>
      </c>
      <c r="C6675" s="104" t="s">
        <v>5662</v>
      </c>
      <c r="D6675" s="129" t="s">
        <v>24355</v>
      </c>
    </row>
    <row r="6676" spans="1:4">
      <c r="A6676" s="105">
        <v>101014</v>
      </c>
      <c r="B6676" s="104" t="s">
        <v>6577</v>
      </c>
      <c r="C6676" s="104" t="s">
        <v>5662</v>
      </c>
      <c r="D6676" s="129" t="s">
        <v>24356</v>
      </c>
    </row>
    <row r="6677" spans="1:4">
      <c r="A6677" s="105">
        <v>101015</v>
      </c>
      <c r="B6677" s="104" t="s">
        <v>6578</v>
      </c>
      <c r="C6677" s="104" t="s">
        <v>5662</v>
      </c>
      <c r="D6677" s="129" t="s">
        <v>24357</v>
      </c>
    </row>
    <row r="6678" spans="1:4">
      <c r="A6678" s="105">
        <v>101016</v>
      </c>
      <c r="B6678" s="104" t="s">
        <v>6579</v>
      </c>
      <c r="C6678" s="104" t="s">
        <v>5662</v>
      </c>
      <c r="D6678" s="129" t="s">
        <v>24358</v>
      </c>
    </row>
    <row r="6679" spans="1:4">
      <c r="A6679" s="105">
        <v>101017</v>
      </c>
      <c r="B6679" s="104" t="s">
        <v>6580</v>
      </c>
      <c r="C6679" s="104" t="s">
        <v>5662</v>
      </c>
      <c r="D6679" s="129" t="s">
        <v>24359</v>
      </c>
    </row>
    <row r="6680" spans="1:4">
      <c r="A6680" s="105">
        <v>101018</v>
      </c>
      <c r="B6680" s="104" t="s">
        <v>6581</v>
      </c>
      <c r="C6680" s="104" t="s">
        <v>5662</v>
      </c>
      <c r="D6680" s="129" t="s">
        <v>23617</v>
      </c>
    </row>
    <row r="6681" spans="1:4">
      <c r="A6681" s="105">
        <v>101463</v>
      </c>
      <c r="B6681" s="104" t="s">
        <v>6582</v>
      </c>
      <c r="C6681" s="104" t="s">
        <v>5662</v>
      </c>
      <c r="D6681" s="129" t="s">
        <v>18944</v>
      </c>
    </row>
    <row r="6682" spans="1:4">
      <c r="A6682" s="105">
        <v>101464</v>
      </c>
      <c r="B6682" s="104" t="s">
        <v>6583</v>
      </c>
      <c r="C6682" s="104" t="s">
        <v>5662</v>
      </c>
      <c r="D6682" s="129" t="s">
        <v>24360</v>
      </c>
    </row>
    <row r="6683" spans="1:4">
      <c r="A6683" s="105">
        <v>101465</v>
      </c>
      <c r="B6683" s="104" t="s">
        <v>6584</v>
      </c>
      <c r="C6683" s="104" t="s">
        <v>5662</v>
      </c>
      <c r="D6683" s="129" t="s">
        <v>22196</v>
      </c>
    </row>
    <row r="6684" spans="1:4">
      <c r="A6684" s="105">
        <v>101466</v>
      </c>
      <c r="B6684" s="104" t="s">
        <v>6585</v>
      </c>
      <c r="C6684" s="104" t="s">
        <v>5662</v>
      </c>
      <c r="D6684" s="129" t="s">
        <v>20594</v>
      </c>
    </row>
    <row r="6685" spans="1:4">
      <c r="A6685" s="105">
        <v>101467</v>
      </c>
      <c r="B6685" s="104" t="s">
        <v>6586</v>
      </c>
      <c r="C6685" s="104" t="s">
        <v>5662</v>
      </c>
      <c r="D6685" s="129" t="s">
        <v>17487</v>
      </c>
    </row>
    <row r="6686" spans="1:4">
      <c r="A6686" s="105">
        <v>101468</v>
      </c>
      <c r="B6686" s="104" t="s">
        <v>6587</v>
      </c>
      <c r="C6686" s="104" t="s">
        <v>5662</v>
      </c>
      <c r="D6686" s="129" t="s">
        <v>21866</v>
      </c>
    </row>
    <row r="6687" spans="1:4">
      <c r="A6687" s="105">
        <v>101469</v>
      </c>
      <c r="B6687" s="104" t="s">
        <v>6588</v>
      </c>
      <c r="C6687" s="104" t="s">
        <v>5662</v>
      </c>
      <c r="D6687" s="129" t="s">
        <v>24361</v>
      </c>
    </row>
    <row r="6688" spans="1:4">
      <c r="A6688" s="105">
        <v>101470</v>
      </c>
      <c r="B6688" s="104" t="s">
        <v>6589</v>
      </c>
      <c r="C6688" s="104" t="s">
        <v>5662</v>
      </c>
      <c r="D6688" s="129" t="s">
        <v>17496</v>
      </c>
    </row>
    <row r="6689" spans="1:4">
      <c r="A6689" s="105">
        <v>101471</v>
      </c>
      <c r="B6689" s="104" t="s">
        <v>6590</v>
      </c>
      <c r="C6689" s="104" t="s">
        <v>5662</v>
      </c>
      <c r="D6689" s="129" t="s">
        <v>18333</v>
      </c>
    </row>
    <row r="6690" spans="1:4">
      <c r="A6690" s="105">
        <v>101472</v>
      </c>
      <c r="B6690" s="104" t="s">
        <v>6591</v>
      </c>
      <c r="C6690" s="104" t="s">
        <v>5662</v>
      </c>
      <c r="D6690" s="129" t="s">
        <v>17277</v>
      </c>
    </row>
    <row r="6691" spans="1:4">
      <c r="A6691" s="105">
        <v>101473</v>
      </c>
      <c r="B6691" s="104" t="s">
        <v>6592</v>
      </c>
      <c r="C6691" s="104" t="s">
        <v>5662</v>
      </c>
      <c r="D6691" s="129" t="s">
        <v>17938</v>
      </c>
    </row>
    <row r="6692" spans="1:4">
      <c r="A6692" s="105">
        <v>101474</v>
      </c>
      <c r="B6692" s="104" t="s">
        <v>6593</v>
      </c>
      <c r="C6692" s="104" t="s">
        <v>5662</v>
      </c>
      <c r="D6692" s="129" t="s">
        <v>17376</v>
      </c>
    </row>
    <row r="6693" spans="1:4">
      <c r="A6693" s="105">
        <v>101475</v>
      </c>
      <c r="B6693" s="104" t="s">
        <v>6594</v>
      </c>
      <c r="C6693" s="104" t="s">
        <v>5662</v>
      </c>
      <c r="D6693" s="129" t="s">
        <v>19226</v>
      </c>
    </row>
    <row r="6694" spans="1:4">
      <c r="A6694" s="105">
        <v>101476</v>
      </c>
      <c r="B6694" s="104" t="s">
        <v>6595</v>
      </c>
      <c r="C6694" s="104" t="s">
        <v>5662</v>
      </c>
      <c r="D6694" s="129" t="s">
        <v>16933</v>
      </c>
    </row>
    <row r="6695" spans="1:4">
      <c r="A6695" s="105">
        <v>101477</v>
      </c>
      <c r="B6695" s="104" t="s">
        <v>6596</v>
      </c>
      <c r="C6695" s="104" t="s">
        <v>5662</v>
      </c>
      <c r="D6695" s="129" t="s">
        <v>18020</v>
      </c>
    </row>
    <row r="6696" spans="1:4">
      <c r="A6696" s="105">
        <v>101478</v>
      </c>
      <c r="B6696" s="104" t="s">
        <v>6597</v>
      </c>
      <c r="C6696" s="104" t="s">
        <v>5662</v>
      </c>
      <c r="D6696" s="129" t="s">
        <v>15604</v>
      </c>
    </row>
    <row r="6697" spans="1:4">
      <c r="A6697" s="105">
        <v>101480</v>
      </c>
      <c r="B6697" s="104" t="s">
        <v>6598</v>
      </c>
      <c r="C6697" s="104" t="s">
        <v>5662</v>
      </c>
      <c r="D6697" s="129" t="s">
        <v>24362</v>
      </c>
    </row>
    <row r="6698" spans="1:4">
      <c r="A6698" s="105">
        <v>101481</v>
      </c>
      <c r="B6698" s="104" t="s">
        <v>6599</v>
      </c>
      <c r="C6698" s="104" t="s">
        <v>5662</v>
      </c>
      <c r="D6698" s="129" t="s">
        <v>23469</v>
      </c>
    </row>
    <row r="6699" spans="1:4">
      <c r="A6699" s="105">
        <v>101482</v>
      </c>
      <c r="B6699" s="104" t="s">
        <v>6600</v>
      </c>
      <c r="C6699" s="104" t="s">
        <v>5662</v>
      </c>
      <c r="D6699" s="129" t="s">
        <v>24363</v>
      </c>
    </row>
    <row r="6700" spans="1:4">
      <c r="A6700" s="105">
        <v>101483</v>
      </c>
      <c r="B6700" s="104" t="s">
        <v>6601</v>
      </c>
      <c r="C6700" s="104" t="s">
        <v>5662</v>
      </c>
      <c r="D6700" s="129" t="s">
        <v>14948</v>
      </c>
    </row>
    <row r="6701" spans="1:4">
      <c r="A6701" s="105">
        <v>101484</v>
      </c>
      <c r="B6701" s="104" t="s">
        <v>6602</v>
      </c>
      <c r="C6701" s="104" t="s">
        <v>5662</v>
      </c>
      <c r="D6701" s="129" t="s">
        <v>24364</v>
      </c>
    </row>
    <row r="6702" spans="1:4">
      <c r="A6702" s="105">
        <v>101485</v>
      </c>
      <c r="B6702" s="104" t="s">
        <v>6603</v>
      </c>
      <c r="C6702" s="104" t="s">
        <v>5662</v>
      </c>
      <c r="D6702" s="129" t="s">
        <v>24365</v>
      </c>
    </row>
    <row r="6703" spans="1:4">
      <c r="A6703" s="105">
        <v>101486</v>
      </c>
      <c r="B6703" s="104" t="s">
        <v>6604</v>
      </c>
      <c r="C6703" s="104" t="s">
        <v>5662</v>
      </c>
      <c r="D6703" s="129" t="s">
        <v>19392</v>
      </c>
    </row>
    <row r="6704" spans="1:4">
      <c r="A6704" s="105">
        <v>101487</v>
      </c>
      <c r="B6704" s="104" t="s">
        <v>6605</v>
      </c>
      <c r="C6704" s="104" t="s">
        <v>5662</v>
      </c>
      <c r="D6704" s="129" t="s">
        <v>24366</v>
      </c>
    </row>
    <row r="6705" spans="1:4">
      <c r="A6705" s="105">
        <v>101488</v>
      </c>
      <c r="B6705" s="104" t="s">
        <v>6606</v>
      </c>
      <c r="C6705" s="104" t="s">
        <v>5662</v>
      </c>
      <c r="D6705" s="129" t="s">
        <v>24367</v>
      </c>
    </row>
    <row r="6706" spans="1:4">
      <c r="A6706" s="105">
        <v>101188</v>
      </c>
      <c r="B6706" s="104" t="s">
        <v>6607</v>
      </c>
      <c r="C6706" s="104" t="s">
        <v>40</v>
      </c>
      <c r="D6706" s="129" t="s">
        <v>24368</v>
      </c>
    </row>
    <row r="6707" spans="1:4">
      <c r="A6707" s="105">
        <v>101189</v>
      </c>
      <c r="B6707" s="104" t="s">
        <v>6608</v>
      </c>
      <c r="C6707" s="104" t="s">
        <v>40</v>
      </c>
      <c r="D6707" s="129" t="s">
        <v>24369</v>
      </c>
    </row>
    <row r="6708" spans="1:4">
      <c r="A6708" s="105">
        <v>101190</v>
      </c>
      <c r="B6708" s="104" t="s">
        <v>6609</v>
      </c>
      <c r="C6708" s="104" t="s">
        <v>40</v>
      </c>
      <c r="D6708" s="129" t="s">
        <v>17941</v>
      </c>
    </row>
    <row r="6709" spans="1:4">
      <c r="A6709" s="105">
        <v>101191</v>
      </c>
      <c r="B6709" s="104" t="s">
        <v>6610</v>
      </c>
      <c r="C6709" s="104" t="s">
        <v>40</v>
      </c>
      <c r="D6709" s="129" t="s">
        <v>24370</v>
      </c>
    </row>
    <row r="6710" spans="1:4">
      <c r="A6710" s="105">
        <v>101192</v>
      </c>
      <c r="B6710" s="104" t="s">
        <v>6611</v>
      </c>
      <c r="C6710" s="104" t="s">
        <v>40</v>
      </c>
      <c r="D6710" s="129" t="s">
        <v>18704</v>
      </c>
    </row>
    <row r="6711" spans="1:4">
      <c r="A6711" s="105">
        <v>101193</v>
      </c>
      <c r="B6711" s="104" t="s">
        <v>6612</v>
      </c>
      <c r="C6711" s="104" t="s">
        <v>40</v>
      </c>
      <c r="D6711" s="129" t="s">
        <v>24371</v>
      </c>
    </row>
    <row r="6712" spans="1:4">
      <c r="A6712" s="105">
        <v>101194</v>
      </c>
      <c r="B6712" s="104" t="s">
        <v>6613</v>
      </c>
      <c r="C6712" s="104" t="s">
        <v>40</v>
      </c>
      <c r="D6712" s="129" t="s">
        <v>16305</v>
      </c>
    </row>
    <row r="6713" spans="1:4">
      <c r="A6713" s="105">
        <v>101197</v>
      </c>
      <c r="B6713" s="104" t="s">
        <v>6614</v>
      </c>
      <c r="C6713" s="104" t="s">
        <v>40</v>
      </c>
      <c r="D6713" s="129" t="s">
        <v>24372</v>
      </c>
    </row>
    <row r="6714" spans="1:4">
      <c r="A6714" s="105">
        <v>101198</v>
      </c>
      <c r="B6714" s="104" t="s">
        <v>6615</v>
      </c>
      <c r="C6714" s="104" t="s">
        <v>40</v>
      </c>
      <c r="D6714" s="129" t="s">
        <v>24373</v>
      </c>
    </row>
    <row r="6715" spans="1:4">
      <c r="A6715" s="105">
        <v>101199</v>
      </c>
      <c r="B6715" s="104" t="s">
        <v>6616</v>
      </c>
      <c r="C6715" s="104" t="s">
        <v>40</v>
      </c>
      <c r="D6715" s="129" t="s">
        <v>24374</v>
      </c>
    </row>
    <row r="6716" spans="1:4">
      <c r="A6716" s="105">
        <v>101200</v>
      </c>
      <c r="B6716" s="104" t="s">
        <v>6617</v>
      </c>
      <c r="C6716" s="104" t="s">
        <v>40</v>
      </c>
      <c r="D6716" s="129" t="s">
        <v>24375</v>
      </c>
    </row>
    <row r="6717" spans="1:4">
      <c r="A6717" s="105">
        <v>101201</v>
      </c>
      <c r="B6717" s="104" t="s">
        <v>6618</v>
      </c>
      <c r="C6717" s="104" t="s">
        <v>40</v>
      </c>
      <c r="D6717" s="129" t="s">
        <v>24376</v>
      </c>
    </row>
    <row r="6718" spans="1:4">
      <c r="A6718" s="105">
        <v>101202</v>
      </c>
      <c r="B6718" s="104" t="s">
        <v>6619</v>
      </c>
      <c r="C6718" s="104" t="s">
        <v>40</v>
      </c>
      <c r="D6718" s="129" t="s">
        <v>24377</v>
      </c>
    </row>
    <row r="6719" spans="1:4">
      <c r="A6719" s="105">
        <v>101203</v>
      </c>
      <c r="B6719" s="104" t="s">
        <v>6620</v>
      </c>
      <c r="C6719" s="104" t="s">
        <v>40</v>
      </c>
      <c r="D6719" s="129" t="s">
        <v>16094</v>
      </c>
    </row>
    <row r="6720" spans="1:4">
      <c r="A6720" s="105">
        <v>101204</v>
      </c>
      <c r="B6720" s="104" t="s">
        <v>6621</v>
      </c>
      <c r="C6720" s="104" t="s">
        <v>40</v>
      </c>
      <c r="D6720" s="129" t="s">
        <v>18165</v>
      </c>
    </row>
    <row r="6721" spans="1:4">
      <c r="A6721" s="105">
        <v>101205</v>
      </c>
      <c r="B6721" s="104" t="s">
        <v>6622</v>
      </c>
      <c r="C6721" s="104" t="s">
        <v>40</v>
      </c>
      <c r="D6721" s="129" t="s">
        <v>24377</v>
      </c>
    </row>
    <row r="6722" spans="1:4">
      <c r="A6722" s="105">
        <v>102362</v>
      </c>
      <c r="B6722" s="104" t="s">
        <v>6623</v>
      </c>
      <c r="C6722" s="104" t="s">
        <v>12</v>
      </c>
      <c r="D6722" s="129" t="s">
        <v>24378</v>
      </c>
    </row>
    <row r="6723" spans="1:4">
      <c r="A6723" s="105">
        <v>102363</v>
      </c>
      <c r="B6723" s="104" t="s">
        <v>6624</v>
      </c>
      <c r="C6723" s="104" t="s">
        <v>12</v>
      </c>
      <c r="D6723" s="129" t="s">
        <v>16816</v>
      </c>
    </row>
    <row r="6724" spans="1:4">
      <c r="A6724" s="105">
        <v>102364</v>
      </c>
      <c r="B6724" s="104" t="s">
        <v>6625</v>
      </c>
      <c r="C6724" s="104" t="s">
        <v>12</v>
      </c>
      <c r="D6724" s="129" t="s">
        <v>24379</v>
      </c>
    </row>
    <row r="6725" spans="1:4">
      <c r="A6725" s="105">
        <v>98509</v>
      </c>
      <c r="B6725" s="104" t="s">
        <v>6626</v>
      </c>
      <c r="C6725" s="104" t="s">
        <v>183</v>
      </c>
      <c r="D6725" s="129" t="s">
        <v>24380</v>
      </c>
    </row>
    <row r="6726" spans="1:4">
      <c r="A6726" s="105">
        <v>98510</v>
      </c>
      <c r="B6726" s="104" t="s">
        <v>6627</v>
      </c>
      <c r="C6726" s="104" t="s">
        <v>183</v>
      </c>
      <c r="D6726" s="129" t="s">
        <v>24381</v>
      </c>
    </row>
    <row r="6727" spans="1:4">
      <c r="A6727" s="105">
        <v>98511</v>
      </c>
      <c r="B6727" s="104" t="s">
        <v>6628</v>
      </c>
      <c r="C6727" s="104" t="s">
        <v>183</v>
      </c>
      <c r="D6727" s="129" t="s">
        <v>24382</v>
      </c>
    </row>
    <row r="6728" spans="1:4">
      <c r="A6728" s="105">
        <v>98516</v>
      </c>
      <c r="B6728" s="104" t="s">
        <v>6629</v>
      </c>
      <c r="C6728" s="104" t="s">
        <v>183</v>
      </c>
      <c r="D6728" s="129" t="s">
        <v>24383</v>
      </c>
    </row>
    <row r="6729" spans="1:4">
      <c r="A6729" s="105">
        <v>98519</v>
      </c>
      <c r="B6729" s="104" t="s">
        <v>6630</v>
      </c>
      <c r="C6729" s="104" t="s">
        <v>12</v>
      </c>
      <c r="D6729" s="129" t="s">
        <v>24384</v>
      </c>
    </row>
    <row r="6730" spans="1:4">
      <c r="A6730" s="105">
        <v>98520</v>
      </c>
      <c r="B6730" s="104" t="s">
        <v>6631</v>
      </c>
      <c r="C6730" s="104" t="s">
        <v>12</v>
      </c>
      <c r="D6730" s="129" t="s">
        <v>14822</v>
      </c>
    </row>
    <row r="6731" spans="1:4">
      <c r="A6731" s="105">
        <v>98521</v>
      </c>
      <c r="B6731" s="104" t="s">
        <v>6632</v>
      </c>
      <c r="C6731" s="104" t="s">
        <v>12</v>
      </c>
      <c r="D6731" s="129" t="s">
        <v>15194</v>
      </c>
    </row>
    <row r="6732" spans="1:4">
      <c r="A6732" s="105">
        <v>98522</v>
      </c>
      <c r="B6732" s="104" t="s">
        <v>6633</v>
      </c>
      <c r="C6732" s="104" t="s">
        <v>40</v>
      </c>
      <c r="D6732" s="129" t="s">
        <v>14851</v>
      </c>
    </row>
    <row r="6733" spans="1:4">
      <c r="A6733" s="105">
        <v>98524</v>
      </c>
      <c r="B6733" s="104" t="s">
        <v>6634</v>
      </c>
      <c r="C6733" s="104" t="s">
        <v>12</v>
      </c>
      <c r="D6733" s="129" t="s">
        <v>24385</v>
      </c>
    </row>
    <row r="6734" spans="1:4">
      <c r="A6734" s="105">
        <v>98503</v>
      </c>
      <c r="B6734" s="104" t="s">
        <v>6635</v>
      </c>
      <c r="C6734" s="104" t="s">
        <v>12</v>
      </c>
      <c r="D6734" s="129" t="s">
        <v>22869</v>
      </c>
    </row>
    <row r="6735" spans="1:4">
      <c r="A6735" s="105">
        <v>98504</v>
      </c>
      <c r="B6735" s="104" t="s">
        <v>6636</v>
      </c>
      <c r="C6735" s="104" t="s">
        <v>12</v>
      </c>
      <c r="D6735" s="129" t="s">
        <v>19915</v>
      </c>
    </row>
    <row r="6736" spans="1:4">
      <c r="A6736" s="105">
        <v>98505</v>
      </c>
      <c r="B6736" s="104" t="s">
        <v>6637</v>
      </c>
      <c r="C6736" s="104" t="s">
        <v>12</v>
      </c>
      <c r="D6736" s="129" t="s">
        <v>24386</v>
      </c>
    </row>
    <row r="6737" spans="1:4">
      <c r="A6737" s="105">
        <v>103185</v>
      </c>
      <c r="B6737" s="104" t="s">
        <v>12980</v>
      </c>
      <c r="C6737" s="104" t="s">
        <v>183</v>
      </c>
      <c r="D6737" s="129" t="s">
        <v>24387</v>
      </c>
    </row>
    <row r="6738" spans="1:4">
      <c r="A6738" s="105">
        <v>103186</v>
      </c>
      <c r="B6738" s="104" t="s">
        <v>12981</v>
      </c>
      <c r="C6738" s="104" t="s">
        <v>183</v>
      </c>
      <c r="D6738" s="129" t="s">
        <v>24388</v>
      </c>
    </row>
    <row r="6739" spans="1:4">
      <c r="A6739" s="105">
        <v>103187</v>
      </c>
      <c r="B6739" s="104" t="s">
        <v>12982</v>
      </c>
      <c r="C6739" s="104" t="s">
        <v>183</v>
      </c>
      <c r="D6739" s="129" t="s">
        <v>24389</v>
      </c>
    </row>
    <row r="6740" spans="1:4">
      <c r="A6740" s="105">
        <v>103188</v>
      </c>
      <c r="B6740" s="104" t="s">
        <v>12983</v>
      </c>
      <c r="C6740" s="104" t="s">
        <v>183</v>
      </c>
      <c r="D6740" s="129" t="s">
        <v>24390</v>
      </c>
    </row>
    <row r="6741" spans="1:4">
      <c r="A6741" s="105">
        <v>103189</v>
      </c>
      <c r="B6741" s="104" t="s">
        <v>12984</v>
      </c>
      <c r="C6741" s="104" t="s">
        <v>183</v>
      </c>
      <c r="D6741" s="129" t="s">
        <v>24391</v>
      </c>
    </row>
    <row r="6742" spans="1:4">
      <c r="A6742" s="105">
        <v>103190</v>
      </c>
      <c r="B6742" s="104" t="s">
        <v>12985</v>
      </c>
      <c r="C6742" s="104" t="s">
        <v>183</v>
      </c>
      <c r="D6742" s="129" t="s">
        <v>24392</v>
      </c>
    </row>
    <row r="6743" spans="1:4">
      <c r="A6743" s="105">
        <v>103191</v>
      </c>
      <c r="B6743" s="104" t="s">
        <v>12986</v>
      </c>
      <c r="C6743" s="104" t="s">
        <v>183</v>
      </c>
      <c r="D6743" s="129" t="s">
        <v>24393</v>
      </c>
    </row>
    <row r="6744" spans="1:4">
      <c r="A6744" s="105">
        <v>103192</v>
      </c>
      <c r="B6744" s="104" t="s">
        <v>12987</v>
      </c>
      <c r="C6744" s="104" t="s">
        <v>183</v>
      </c>
      <c r="D6744" s="129" t="s">
        <v>24394</v>
      </c>
    </row>
    <row r="6745" spans="1:4">
      <c r="A6745" s="105">
        <v>103193</v>
      </c>
      <c r="B6745" s="104" t="s">
        <v>12988</v>
      </c>
      <c r="C6745" s="104" t="s">
        <v>183</v>
      </c>
      <c r="D6745" s="129" t="s">
        <v>24395</v>
      </c>
    </row>
    <row r="6746" spans="1:4">
      <c r="A6746" s="105">
        <v>103194</v>
      </c>
      <c r="B6746" s="104" t="s">
        <v>12989</v>
      </c>
      <c r="C6746" s="104" t="s">
        <v>183</v>
      </c>
      <c r="D6746" s="129" t="s">
        <v>24396</v>
      </c>
    </row>
    <row r="6747" spans="1:4">
      <c r="A6747" s="105">
        <v>103195</v>
      </c>
      <c r="B6747" s="104" t="s">
        <v>12990</v>
      </c>
      <c r="C6747" s="104" t="s">
        <v>183</v>
      </c>
      <c r="D6747" s="129" t="s">
        <v>24397</v>
      </c>
    </row>
    <row r="6748" spans="1:4">
      <c r="A6748" s="105">
        <v>103205</v>
      </c>
      <c r="B6748" s="104" t="s">
        <v>12991</v>
      </c>
      <c r="C6748" s="104" t="s">
        <v>183</v>
      </c>
      <c r="D6748" s="129" t="s">
        <v>24398</v>
      </c>
    </row>
    <row r="6749" spans="1:4">
      <c r="A6749" s="105">
        <v>103206</v>
      </c>
      <c r="B6749" s="104" t="s">
        <v>12992</v>
      </c>
      <c r="C6749" s="104" t="s">
        <v>183</v>
      </c>
      <c r="D6749" s="129" t="s">
        <v>24399</v>
      </c>
    </row>
    <row r="6750" spans="1:4">
      <c r="A6750" s="105">
        <v>103207</v>
      </c>
      <c r="B6750" s="104" t="s">
        <v>12993</v>
      </c>
      <c r="C6750" s="104" t="s">
        <v>183</v>
      </c>
      <c r="D6750" s="129" t="s">
        <v>24400</v>
      </c>
    </row>
    <row r="6751" spans="1:4">
      <c r="A6751" s="105">
        <v>103208</v>
      </c>
      <c r="B6751" s="104" t="s">
        <v>12994</v>
      </c>
      <c r="C6751" s="104" t="s">
        <v>183</v>
      </c>
      <c r="D6751" s="129" t="s">
        <v>24401</v>
      </c>
    </row>
    <row r="6752" spans="1:4">
      <c r="A6752" s="105">
        <v>103209</v>
      </c>
      <c r="B6752" s="104" t="s">
        <v>12995</v>
      </c>
      <c r="C6752" s="104" t="s">
        <v>183</v>
      </c>
      <c r="D6752" s="129" t="s">
        <v>24402</v>
      </c>
    </row>
    <row r="6753" spans="1:4">
      <c r="A6753" s="105">
        <v>103210</v>
      </c>
      <c r="B6753" s="104" t="s">
        <v>12996</v>
      </c>
      <c r="C6753" s="104" t="s">
        <v>183</v>
      </c>
      <c r="D6753" s="129" t="s">
        <v>24403</v>
      </c>
    </row>
    <row r="6754" spans="1:4">
      <c r="A6754" s="105">
        <v>103304</v>
      </c>
      <c r="B6754" s="104" t="s">
        <v>13816</v>
      </c>
      <c r="C6754" s="104" t="s">
        <v>183</v>
      </c>
      <c r="D6754" s="129" t="s">
        <v>24404</v>
      </c>
    </row>
    <row r="6755" spans="1:4">
      <c r="A6755" s="105">
        <v>103307</v>
      </c>
      <c r="B6755" s="104" t="s">
        <v>13817</v>
      </c>
      <c r="C6755" s="104" t="s">
        <v>183</v>
      </c>
      <c r="D6755" s="129" t="s">
        <v>24405</v>
      </c>
    </row>
    <row r="6756" spans="1:4">
      <c r="A6756" s="105">
        <v>103310</v>
      </c>
      <c r="B6756" s="104" t="s">
        <v>13818</v>
      </c>
      <c r="C6756" s="104" t="s">
        <v>183</v>
      </c>
      <c r="D6756" s="129" t="s">
        <v>24406</v>
      </c>
    </row>
    <row r="6757" spans="1:4">
      <c r="A6757" s="105">
        <v>103314</v>
      </c>
      <c r="B6757" s="104" t="s">
        <v>13819</v>
      </c>
      <c r="C6757" s="104" t="s">
        <v>12</v>
      </c>
      <c r="D6757" s="129" t="s">
        <v>24407</v>
      </c>
    </row>
    <row r="6758" spans="1:4">
      <c r="A6758" s="105">
        <v>103315</v>
      </c>
      <c r="B6758" s="104" t="s">
        <v>13820</v>
      </c>
      <c r="C6758" s="104" t="s">
        <v>12</v>
      </c>
      <c r="D6758" s="129" t="s">
        <v>24408</v>
      </c>
    </row>
    <row r="6759" spans="1:4">
      <c r="A6759" s="105">
        <v>98525</v>
      </c>
      <c r="B6759" s="104" t="s">
        <v>6638</v>
      </c>
      <c r="C6759" s="104" t="s">
        <v>12</v>
      </c>
      <c r="D6759" s="129" t="s">
        <v>15524</v>
      </c>
    </row>
    <row r="6760" spans="1:4">
      <c r="A6760" s="105">
        <v>98526</v>
      </c>
      <c r="B6760" s="104" t="s">
        <v>6639</v>
      </c>
      <c r="C6760" s="104" t="s">
        <v>183</v>
      </c>
      <c r="D6760" s="129" t="s">
        <v>24092</v>
      </c>
    </row>
    <row r="6761" spans="1:4">
      <c r="A6761" s="105">
        <v>98527</v>
      </c>
      <c r="B6761" s="104" t="s">
        <v>6640</v>
      </c>
      <c r="C6761" s="104" t="s">
        <v>183</v>
      </c>
      <c r="D6761" s="129" t="s">
        <v>24409</v>
      </c>
    </row>
    <row r="6762" spans="1:4">
      <c r="A6762" s="105">
        <v>98528</v>
      </c>
      <c r="B6762" s="104" t="s">
        <v>6641</v>
      </c>
      <c r="C6762" s="104" t="s">
        <v>183</v>
      </c>
      <c r="D6762" s="129" t="s">
        <v>24410</v>
      </c>
    </row>
    <row r="6763" spans="1:4">
      <c r="A6763" s="105">
        <v>98529</v>
      </c>
      <c r="B6763" s="104" t="s">
        <v>6642</v>
      </c>
      <c r="C6763" s="104" t="s">
        <v>183</v>
      </c>
      <c r="D6763" s="129" t="s">
        <v>23788</v>
      </c>
    </row>
    <row r="6764" spans="1:4">
      <c r="A6764" s="105">
        <v>98530</v>
      </c>
      <c r="B6764" s="104" t="s">
        <v>6643</v>
      </c>
      <c r="C6764" s="104" t="s">
        <v>183</v>
      </c>
      <c r="D6764" s="129" t="s">
        <v>24411</v>
      </c>
    </row>
    <row r="6765" spans="1:4">
      <c r="A6765" s="105">
        <v>98531</v>
      </c>
      <c r="B6765" s="104" t="s">
        <v>6644</v>
      </c>
      <c r="C6765" s="104" t="s">
        <v>183</v>
      </c>
      <c r="D6765" s="129" t="s">
        <v>24412</v>
      </c>
    </row>
    <row r="6766" spans="1:4">
      <c r="A6766" s="105">
        <v>98532</v>
      </c>
      <c r="B6766" s="104" t="s">
        <v>6645</v>
      </c>
      <c r="C6766" s="104" t="s">
        <v>183</v>
      </c>
      <c r="D6766" s="129" t="s">
        <v>24413</v>
      </c>
    </row>
    <row r="6767" spans="1:4">
      <c r="A6767" s="105">
        <v>98533</v>
      </c>
      <c r="B6767" s="104" t="s">
        <v>6646</v>
      </c>
      <c r="C6767" s="104" t="s">
        <v>183</v>
      </c>
      <c r="D6767" s="129" t="s">
        <v>24414</v>
      </c>
    </row>
    <row r="6768" spans="1:4">
      <c r="A6768" s="105">
        <v>98534</v>
      </c>
      <c r="B6768" s="104" t="s">
        <v>6647</v>
      </c>
      <c r="C6768" s="104" t="s">
        <v>183</v>
      </c>
      <c r="D6768" s="129" t="s">
        <v>24415</v>
      </c>
    </row>
    <row r="6769" spans="1:4">
      <c r="A6769" s="105">
        <v>98535</v>
      </c>
      <c r="B6769" s="104" t="s">
        <v>6648</v>
      </c>
      <c r="C6769" s="104" t="s">
        <v>183</v>
      </c>
      <c r="D6769" s="129" t="s">
        <v>24416</v>
      </c>
    </row>
    <row r="6770" spans="1:4">
      <c r="A6770" s="105">
        <v>88238</v>
      </c>
      <c r="B6770" s="104" t="s">
        <v>6649</v>
      </c>
      <c r="C6770" s="104" t="s">
        <v>16</v>
      </c>
      <c r="D6770" s="129" t="s">
        <v>19613</v>
      </c>
    </row>
    <row r="6771" spans="1:4">
      <c r="A6771" s="105">
        <v>88239</v>
      </c>
      <c r="B6771" s="104" t="s">
        <v>6650</v>
      </c>
      <c r="C6771" s="104" t="s">
        <v>16</v>
      </c>
      <c r="D6771" s="129" t="s">
        <v>18552</v>
      </c>
    </row>
    <row r="6772" spans="1:4">
      <c r="A6772" s="105">
        <v>88240</v>
      </c>
      <c r="B6772" s="104" t="s">
        <v>6651</v>
      </c>
      <c r="C6772" s="104" t="s">
        <v>16</v>
      </c>
      <c r="D6772" s="129" t="s">
        <v>24417</v>
      </c>
    </row>
    <row r="6773" spans="1:4">
      <c r="A6773" s="105">
        <v>88241</v>
      </c>
      <c r="B6773" s="104" t="s">
        <v>6652</v>
      </c>
      <c r="C6773" s="104" t="s">
        <v>16</v>
      </c>
      <c r="D6773" s="129" t="s">
        <v>19613</v>
      </c>
    </row>
    <row r="6774" spans="1:4">
      <c r="A6774" s="105">
        <v>88242</v>
      </c>
      <c r="B6774" s="104" t="s">
        <v>229</v>
      </c>
      <c r="C6774" s="104" t="s">
        <v>16</v>
      </c>
      <c r="D6774" s="129" t="s">
        <v>16696</v>
      </c>
    </row>
    <row r="6775" spans="1:4">
      <c r="A6775" s="105">
        <v>88243</v>
      </c>
      <c r="B6775" s="104" t="s">
        <v>6653</v>
      </c>
      <c r="C6775" s="104" t="s">
        <v>16</v>
      </c>
      <c r="D6775" s="129" t="s">
        <v>24418</v>
      </c>
    </row>
    <row r="6776" spans="1:4">
      <c r="A6776" s="105">
        <v>88245</v>
      </c>
      <c r="B6776" s="104" t="s">
        <v>6654</v>
      </c>
      <c r="C6776" s="104" t="s">
        <v>16</v>
      </c>
      <c r="D6776" s="129" t="s">
        <v>19617</v>
      </c>
    </row>
    <row r="6777" spans="1:4">
      <c r="A6777" s="105">
        <v>88246</v>
      </c>
      <c r="B6777" s="104" t="s">
        <v>6655</v>
      </c>
      <c r="C6777" s="104" t="s">
        <v>16</v>
      </c>
      <c r="D6777" s="129" t="s">
        <v>18645</v>
      </c>
    </row>
    <row r="6778" spans="1:4">
      <c r="A6778" s="105">
        <v>88247</v>
      </c>
      <c r="B6778" s="104" t="s">
        <v>137</v>
      </c>
      <c r="C6778" s="104" t="s">
        <v>16</v>
      </c>
      <c r="D6778" s="129" t="s">
        <v>19613</v>
      </c>
    </row>
    <row r="6779" spans="1:4">
      <c r="A6779" s="105">
        <v>88248</v>
      </c>
      <c r="B6779" s="104" t="s">
        <v>128</v>
      </c>
      <c r="C6779" s="104" t="s">
        <v>16</v>
      </c>
      <c r="D6779" s="129" t="s">
        <v>16962</v>
      </c>
    </row>
    <row r="6780" spans="1:4">
      <c r="A6780" s="105">
        <v>88249</v>
      </c>
      <c r="B6780" s="104" t="s">
        <v>6656</v>
      </c>
      <c r="C6780" s="104" t="s">
        <v>16</v>
      </c>
      <c r="D6780" s="129" t="s">
        <v>20388</v>
      </c>
    </row>
    <row r="6781" spans="1:4">
      <c r="A6781" s="105">
        <v>88250</v>
      </c>
      <c r="B6781" s="104" t="s">
        <v>6657</v>
      </c>
      <c r="C6781" s="104" t="s">
        <v>16</v>
      </c>
      <c r="D6781" s="129" t="s">
        <v>21870</v>
      </c>
    </row>
    <row r="6782" spans="1:4">
      <c r="A6782" s="105">
        <v>88251</v>
      </c>
      <c r="B6782" s="104" t="s">
        <v>6658</v>
      </c>
      <c r="C6782" s="104" t="s">
        <v>16</v>
      </c>
      <c r="D6782" s="129" t="s">
        <v>16653</v>
      </c>
    </row>
    <row r="6783" spans="1:4">
      <c r="A6783" s="105">
        <v>88252</v>
      </c>
      <c r="B6783" s="104" t="s">
        <v>6659</v>
      </c>
      <c r="C6783" s="104" t="s">
        <v>16</v>
      </c>
      <c r="D6783" s="129" t="s">
        <v>24419</v>
      </c>
    </row>
    <row r="6784" spans="1:4">
      <c r="A6784" s="105">
        <v>88253</v>
      </c>
      <c r="B6784" s="104" t="s">
        <v>6660</v>
      </c>
      <c r="C6784" s="104" t="s">
        <v>16</v>
      </c>
      <c r="D6784" s="129" t="s">
        <v>14739</v>
      </c>
    </row>
    <row r="6785" spans="1:4">
      <c r="A6785" s="105">
        <v>88255</v>
      </c>
      <c r="B6785" s="104" t="s">
        <v>6661</v>
      </c>
      <c r="C6785" s="104" t="s">
        <v>16</v>
      </c>
      <c r="D6785" s="129" t="s">
        <v>23621</v>
      </c>
    </row>
    <row r="6786" spans="1:4">
      <c r="A6786" s="105">
        <v>88256</v>
      </c>
      <c r="B6786" s="104" t="s">
        <v>15</v>
      </c>
      <c r="C6786" s="104" t="s">
        <v>16</v>
      </c>
      <c r="D6786" s="129" t="s">
        <v>23077</v>
      </c>
    </row>
    <row r="6787" spans="1:4">
      <c r="A6787" s="105">
        <v>88257</v>
      </c>
      <c r="B6787" s="104" t="s">
        <v>6662</v>
      </c>
      <c r="C6787" s="104" t="s">
        <v>16</v>
      </c>
      <c r="D6787" s="129" t="s">
        <v>20265</v>
      </c>
    </row>
    <row r="6788" spans="1:4">
      <c r="A6788" s="105">
        <v>88258</v>
      </c>
      <c r="B6788" s="104" t="s">
        <v>6663</v>
      </c>
      <c r="C6788" s="104" t="s">
        <v>16</v>
      </c>
      <c r="D6788" s="129" t="s">
        <v>24420</v>
      </c>
    </row>
    <row r="6789" spans="1:4">
      <c r="A6789" s="105">
        <v>88260</v>
      </c>
      <c r="B6789" s="104" t="s">
        <v>6664</v>
      </c>
      <c r="C6789" s="104" t="s">
        <v>16</v>
      </c>
      <c r="D6789" s="129" t="s">
        <v>23900</v>
      </c>
    </row>
    <row r="6790" spans="1:4">
      <c r="A6790" s="105">
        <v>88261</v>
      </c>
      <c r="B6790" s="104" t="s">
        <v>6665</v>
      </c>
      <c r="C6790" s="104" t="s">
        <v>16</v>
      </c>
      <c r="D6790" s="129" t="s">
        <v>15749</v>
      </c>
    </row>
    <row r="6791" spans="1:4">
      <c r="A6791" s="105">
        <v>88262</v>
      </c>
      <c r="B6791" s="104" t="s">
        <v>42</v>
      </c>
      <c r="C6791" s="104" t="s">
        <v>16</v>
      </c>
      <c r="D6791" s="129" t="s">
        <v>19622</v>
      </c>
    </row>
    <row r="6792" spans="1:4">
      <c r="A6792" s="105">
        <v>88263</v>
      </c>
      <c r="B6792" s="104" t="s">
        <v>6666</v>
      </c>
      <c r="C6792" s="104" t="s">
        <v>16</v>
      </c>
      <c r="D6792" s="129" t="s">
        <v>24421</v>
      </c>
    </row>
    <row r="6793" spans="1:4">
      <c r="A6793" s="105">
        <v>88264</v>
      </c>
      <c r="B6793" s="104" t="s">
        <v>136</v>
      </c>
      <c r="C6793" s="104" t="s">
        <v>16</v>
      </c>
      <c r="D6793" s="129" t="s">
        <v>17216</v>
      </c>
    </row>
    <row r="6794" spans="1:4">
      <c r="A6794" s="105">
        <v>88265</v>
      </c>
      <c r="B6794" s="104" t="s">
        <v>6667</v>
      </c>
      <c r="C6794" s="104" t="s">
        <v>16</v>
      </c>
      <c r="D6794" s="129" t="s">
        <v>17216</v>
      </c>
    </row>
    <row r="6795" spans="1:4">
      <c r="A6795" s="105">
        <v>88266</v>
      </c>
      <c r="B6795" s="104" t="s">
        <v>6668</v>
      </c>
      <c r="C6795" s="104" t="s">
        <v>16</v>
      </c>
      <c r="D6795" s="129" t="s">
        <v>24422</v>
      </c>
    </row>
    <row r="6796" spans="1:4">
      <c r="A6796" s="105">
        <v>88267</v>
      </c>
      <c r="B6796" s="104" t="s">
        <v>138</v>
      </c>
      <c r="C6796" s="104" t="s">
        <v>16</v>
      </c>
      <c r="D6796" s="129" t="s">
        <v>15038</v>
      </c>
    </row>
    <row r="6797" spans="1:4">
      <c r="A6797" s="105">
        <v>88269</v>
      </c>
      <c r="B6797" s="104" t="s">
        <v>6669</v>
      </c>
      <c r="C6797" s="104" t="s">
        <v>16</v>
      </c>
      <c r="D6797" s="129" t="s">
        <v>23132</v>
      </c>
    </row>
    <row r="6798" spans="1:4">
      <c r="A6798" s="105">
        <v>88270</v>
      </c>
      <c r="B6798" s="104" t="s">
        <v>6670</v>
      </c>
      <c r="C6798" s="104" t="s">
        <v>16</v>
      </c>
      <c r="D6798" s="129" t="s">
        <v>22507</v>
      </c>
    </row>
    <row r="6799" spans="1:4">
      <c r="A6799" s="105">
        <v>88272</v>
      </c>
      <c r="B6799" s="104" t="s">
        <v>6671</v>
      </c>
      <c r="C6799" s="104" t="s">
        <v>16</v>
      </c>
      <c r="D6799" s="129" t="s">
        <v>22111</v>
      </c>
    </row>
    <row r="6800" spans="1:4">
      <c r="A6800" s="105">
        <v>88273</v>
      </c>
      <c r="B6800" s="104" t="s">
        <v>6672</v>
      </c>
      <c r="C6800" s="104" t="s">
        <v>16</v>
      </c>
      <c r="D6800" s="129" t="s">
        <v>19780</v>
      </c>
    </row>
    <row r="6801" spans="1:4">
      <c r="A6801" s="105">
        <v>88274</v>
      </c>
      <c r="B6801" s="104" t="s">
        <v>191</v>
      </c>
      <c r="C6801" s="104" t="s">
        <v>16</v>
      </c>
      <c r="D6801" s="129" t="s">
        <v>23077</v>
      </c>
    </row>
    <row r="6802" spans="1:4">
      <c r="A6802" s="105">
        <v>88275</v>
      </c>
      <c r="B6802" s="104" t="s">
        <v>6673</v>
      </c>
      <c r="C6802" s="104" t="s">
        <v>16</v>
      </c>
      <c r="D6802" s="129" t="s">
        <v>22764</v>
      </c>
    </row>
    <row r="6803" spans="1:4">
      <c r="A6803" s="105">
        <v>88277</v>
      </c>
      <c r="B6803" s="104" t="s">
        <v>6674</v>
      </c>
      <c r="C6803" s="104" t="s">
        <v>16</v>
      </c>
      <c r="D6803" s="129" t="s">
        <v>24024</v>
      </c>
    </row>
    <row r="6804" spans="1:4">
      <c r="A6804" s="105">
        <v>88278</v>
      </c>
      <c r="B6804" s="104" t="s">
        <v>6675</v>
      </c>
      <c r="C6804" s="104" t="s">
        <v>16</v>
      </c>
      <c r="D6804" s="129" t="s">
        <v>18314</v>
      </c>
    </row>
    <row r="6805" spans="1:4">
      <c r="A6805" s="105">
        <v>88279</v>
      </c>
      <c r="B6805" s="104" t="s">
        <v>6676</v>
      </c>
      <c r="C6805" s="104" t="s">
        <v>16</v>
      </c>
      <c r="D6805" s="129" t="s">
        <v>22762</v>
      </c>
    </row>
    <row r="6806" spans="1:4">
      <c r="A6806" s="105">
        <v>88281</v>
      </c>
      <c r="B6806" s="104" t="s">
        <v>6677</v>
      </c>
      <c r="C6806" s="104" t="s">
        <v>16</v>
      </c>
      <c r="D6806" s="129" t="s">
        <v>18114</v>
      </c>
    </row>
    <row r="6807" spans="1:4">
      <c r="A6807" s="105">
        <v>88282</v>
      </c>
      <c r="B6807" s="104" t="s">
        <v>6678</v>
      </c>
      <c r="C6807" s="104" t="s">
        <v>16</v>
      </c>
      <c r="D6807" s="129" t="s">
        <v>16900</v>
      </c>
    </row>
    <row r="6808" spans="1:4">
      <c r="A6808" s="105">
        <v>88283</v>
      </c>
      <c r="B6808" s="104" t="s">
        <v>6679</v>
      </c>
      <c r="C6808" s="104" t="s">
        <v>16</v>
      </c>
      <c r="D6808" s="129" t="s">
        <v>15626</v>
      </c>
    </row>
    <row r="6809" spans="1:4">
      <c r="A6809" s="105">
        <v>88284</v>
      </c>
      <c r="B6809" s="104" t="s">
        <v>6680</v>
      </c>
      <c r="C6809" s="104" t="s">
        <v>16</v>
      </c>
      <c r="D6809" s="129" t="s">
        <v>19292</v>
      </c>
    </row>
    <row r="6810" spans="1:4">
      <c r="A6810" s="105">
        <v>88285</v>
      </c>
      <c r="B6810" s="104" t="s">
        <v>6681</v>
      </c>
      <c r="C6810" s="104" t="s">
        <v>16</v>
      </c>
      <c r="D6810" s="129" t="s">
        <v>17268</v>
      </c>
    </row>
    <row r="6811" spans="1:4">
      <c r="A6811" s="105">
        <v>88286</v>
      </c>
      <c r="B6811" s="104" t="s">
        <v>6682</v>
      </c>
      <c r="C6811" s="104" t="s">
        <v>16</v>
      </c>
      <c r="D6811" s="129" t="s">
        <v>22452</v>
      </c>
    </row>
    <row r="6812" spans="1:4">
      <c r="A6812" s="105">
        <v>88288</v>
      </c>
      <c r="B6812" s="104" t="s">
        <v>6683</v>
      </c>
      <c r="C6812" s="104" t="s">
        <v>16</v>
      </c>
      <c r="D6812" s="129" t="s">
        <v>23669</v>
      </c>
    </row>
    <row r="6813" spans="1:4">
      <c r="A6813" s="105">
        <v>88291</v>
      </c>
      <c r="B6813" s="104" t="s">
        <v>6684</v>
      </c>
      <c r="C6813" s="104" t="s">
        <v>16</v>
      </c>
      <c r="D6813" s="129" t="s">
        <v>16416</v>
      </c>
    </row>
    <row r="6814" spans="1:4">
      <c r="A6814" s="105">
        <v>88292</v>
      </c>
      <c r="B6814" s="104" t="s">
        <v>6685</v>
      </c>
      <c r="C6814" s="104" t="s">
        <v>16</v>
      </c>
      <c r="D6814" s="129" t="s">
        <v>17397</v>
      </c>
    </row>
    <row r="6815" spans="1:4">
      <c r="A6815" s="105">
        <v>88293</v>
      </c>
      <c r="B6815" s="104" t="s">
        <v>6686</v>
      </c>
      <c r="C6815" s="104" t="s">
        <v>16</v>
      </c>
      <c r="D6815" s="129" t="s">
        <v>15909</v>
      </c>
    </row>
    <row r="6816" spans="1:4">
      <c r="A6816" s="105">
        <v>88294</v>
      </c>
      <c r="B6816" s="104" t="s">
        <v>6687</v>
      </c>
      <c r="C6816" s="104" t="s">
        <v>16</v>
      </c>
      <c r="D6816" s="129" t="s">
        <v>20186</v>
      </c>
    </row>
    <row r="6817" spans="1:4">
      <c r="A6817" s="105">
        <v>88295</v>
      </c>
      <c r="B6817" s="104" t="s">
        <v>6688</v>
      </c>
      <c r="C6817" s="104" t="s">
        <v>16</v>
      </c>
      <c r="D6817" s="129" t="s">
        <v>18173</v>
      </c>
    </row>
    <row r="6818" spans="1:4">
      <c r="A6818" s="105">
        <v>88296</v>
      </c>
      <c r="B6818" s="104" t="s">
        <v>6689</v>
      </c>
      <c r="C6818" s="104" t="s">
        <v>16</v>
      </c>
      <c r="D6818" s="129" t="s">
        <v>23618</v>
      </c>
    </row>
    <row r="6819" spans="1:4">
      <c r="A6819" s="105">
        <v>88297</v>
      </c>
      <c r="B6819" s="104" t="s">
        <v>6690</v>
      </c>
      <c r="C6819" s="104" t="s">
        <v>16</v>
      </c>
      <c r="D6819" s="129" t="s">
        <v>14869</v>
      </c>
    </row>
    <row r="6820" spans="1:4">
      <c r="A6820" s="105">
        <v>88298</v>
      </c>
      <c r="B6820" s="104" t="s">
        <v>6691</v>
      </c>
      <c r="C6820" s="104" t="s">
        <v>16</v>
      </c>
      <c r="D6820" s="129" t="s">
        <v>19912</v>
      </c>
    </row>
    <row r="6821" spans="1:4">
      <c r="A6821" s="105">
        <v>88299</v>
      </c>
      <c r="B6821" s="104" t="s">
        <v>6692</v>
      </c>
      <c r="C6821" s="104" t="s">
        <v>16</v>
      </c>
      <c r="D6821" s="129" t="s">
        <v>17139</v>
      </c>
    </row>
    <row r="6822" spans="1:4">
      <c r="A6822" s="105">
        <v>88300</v>
      </c>
      <c r="B6822" s="104" t="s">
        <v>6693</v>
      </c>
      <c r="C6822" s="104" t="s">
        <v>16</v>
      </c>
      <c r="D6822" s="129" t="s">
        <v>24423</v>
      </c>
    </row>
    <row r="6823" spans="1:4">
      <c r="A6823" s="105">
        <v>88301</v>
      </c>
      <c r="B6823" s="104" t="s">
        <v>6694</v>
      </c>
      <c r="C6823" s="104" t="s">
        <v>16</v>
      </c>
      <c r="D6823" s="129" t="s">
        <v>17488</v>
      </c>
    </row>
    <row r="6824" spans="1:4">
      <c r="A6824" s="105">
        <v>88302</v>
      </c>
      <c r="B6824" s="104" t="s">
        <v>6695</v>
      </c>
      <c r="C6824" s="104" t="s">
        <v>16</v>
      </c>
      <c r="D6824" s="129" t="s">
        <v>23627</v>
      </c>
    </row>
    <row r="6825" spans="1:4">
      <c r="A6825" s="105">
        <v>88303</v>
      </c>
      <c r="B6825" s="104" t="s">
        <v>6696</v>
      </c>
      <c r="C6825" s="104" t="s">
        <v>16</v>
      </c>
      <c r="D6825" s="129" t="s">
        <v>17717</v>
      </c>
    </row>
    <row r="6826" spans="1:4">
      <c r="A6826" s="105">
        <v>88304</v>
      </c>
      <c r="B6826" s="104" t="s">
        <v>6697</v>
      </c>
      <c r="C6826" s="104" t="s">
        <v>16</v>
      </c>
      <c r="D6826" s="129" t="s">
        <v>20066</v>
      </c>
    </row>
    <row r="6827" spans="1:4">
      <c r="A6827" s="105">
        <v>88306</v>
      </c>
      <c r="B6827" s="104" t="s">
        <v>6698</v>
      </c>
      <c r="C6827" s="104" t="s">
        <v>16</v>
      </c>
      <c r="D6827" s="129" t="s">
        <v>15223</v>
      </c>
    </row>
    <row r="6828" spans="1:4">
      <c r="A6828" s="105">
        <v>88307</v>
      </c>
      <c r="B6828" s="104" t="s">
        <v>6699</v>
      </c>
      <c r="C6828" s="104" t="s">
        <v>16</v>
      </c>
      <c r="D6828" s="129" t="s">
        <v>22154</v>
      </c>
    </row>
    <row r="6829" spans="1:4">
      <c r="A6829" s="105">
        <v>88308</v>
      </c>
      <c r="B6829" s="104" t="s">
        <v>6700</v>
      </c>
      <c r="C6829" s="104" t="s">
        <v>16</v>
      </c>
      <c r="D6829" s="129" t="s">
        <v>23077</v>
      </c>
    </row>
    <row r="6830" spans="1:4">
      <c r="A6830" s="105">
        <v>88309</v>
      </c>
      <c r="B6830" s="104" t="s">
        <v>29</v>
      </c>
      <c r="C6830" s="104" t="s">
        <v>16</v>
      </c>
      <c r="D6830" s="129" t="s">
        <v>23613</v>
      </c>
    </row>
    <row r="6831" spans="1:4">
      <c r="A6831" s="105">
        <v>88310</v>
      </c>
      <c r="B6831" s="104" t="s">
        <v>159</v>
      </c>
      <c r="C6831" s="104" t="s">
        <v>16</v>
      </c>
      <c r="D6831" s="129" t="s">
        <v>20194</v>
      </c>
    </row>
    <row r="6832" spans="1:4">
      <c r="A6832" s="105">
        <v>88311</v>
      </c>
      <c r="B6832" s="104" t="s">
        <v>6701</v>
      </c>
      <c r="C6832" s="104" t="s">
        <v>16</v>
      </c>
      <c r="D6832" s="129" t="s">
        <v>21416</v>
      </c>
    </row>
    <row r="6833" spans="1:4">
      <c r="A6833" s="105">
        <v>88312</v>
      </c>
      <c r="B6833" s="104" t="s">
        <v>6702</v>
      </c>
      <c r="C6833" s="104" t="s">
        <v>16</v>
      </c>
      <c r="D6833" s="129" t="s">
        <v>20194</v>
      </c>
    </row>
    <row r="6834" spans="1:4">
      <c r="A6834" s="105">
        <v>88313</v>
      </c>
      <c r="B6834" s="104" t="s">
        <v>6703</v>
      </c>
      <c r="C6834" s="104" t="s">
        <v>16</v>
      </c>
      <c r="D6834" s="129" t="s">
        <v>20341</v>
      </c>
    </row>
    <row r="6835" spans="1:4">
      <c r="A6835" s="105">
        <v>88314</v>
      </c>
      <c r="B6835" s="104" t="s">
        <v>6704</v>
      </c>
      <c r="C6835" s="104" t="s">
        <v>16</v>
      </c>
      <c r="D6835" s="129" t="s">
        <v>23625</v>
      </c>
    </row>
    <row r="6836" spans="1:4">
      <c r="A6836" s="105">
        <v>88315</v>
      </c>
      <c r="B6836" s="104" t="s">
        <v>157</v>
      </c>
      <c r="C6836" s="104" t="s">
        <v>16</v>
      </c>
      <c r="D6836" s="129" t="s">
        <v>19617</v>
      </c>
    </row>
    <row r="6837" spans="1:4">
      <c r="A6837" s="105">
        <v>88316</v>
      </c>
      <c r="B6837" s="104" t="s">
        <v>17</v>
      </c>
      <c r="C6837" s="104" t="s">
        <v>16</v>
      </c>
      <c r="D6837" s="129" t="s">
        <v>21350</v>
      </c>
    </row>
    <row r="6838" spans="1:4">
      <c r="A6838" s="105">
        <v>88317</v>
      </c>
      <c r="B6838" s="104" t="s">
        <v>6705</v>
      </c>
      <c r="C6838" s="104" t="s">
        <v>16</v>
      </c>
      <c r="D6838" s="129" t="s">
        <v>24423</v>
      </c>
    </row>
    <row r="6839" spans="1:4">
      <c r="A6839" s="105">
        <v>88318</v>
      </c>
      <c r="B6839" s="104" t="s">
        <v>6706</v>
      </c>
      <c r="C6839" s="104" t="s">
        <v>16</v>
      </c>
      <c r="D6839" s="129" t="s">
        <v>24424</v>
      </c>
    </row>
    <row r="6840" spans="1:4">
      <c r="A6840" s="105">
        <v>88320</v>
      </c>
      <c r="B6840" s="104" t="s">
        <v>6707</v>
      </c>
      <c r="C6840" s="104" t="s">
        <v>16</v>
      </c>
      <c r="D6840" s="129" t="s">
        <v>19622</v>
      </c>
    </row>
    <row r="6841" spans="1:4">
      <c r="A6841" s="105">
        <v>88321</v>
      </c>
      <c r="B6841" s="104" t="s">
        <v>6708</v>
      </c>
      <c r="C6841" s="104" t="s">
        <v>16</v>
      </c>
      <c r="D6841" s="129" t="s">
        <v>24425</v>
      </c>
    </row>
    <row r="6842" spans="1:4">
      <c r="A6842" s="105">
        <v>88322</v>
      </c>
      <c r="B6842" s="104" t="s">
        <v>6709</v>
      </c>
      <c r="C6842" s="104" t="s">
        <v>16</v>
      </c>
      <c r="D6842" s="129" t="s">
        <v>24426</v>
      </c>
    </row>
    <row r="6843" spans="1:4">
      <c r="A6843" s="105">
        <v>88323</v>
      </c>
      <c r="B6843" s="104" t="s">
        <v>6710</v>
      </c>
      <c r="C6843" s="104" t="s">
        <v>16</v>
      </c>
      <c r="D6843" s="129" t="s">
        <v>16912</v>
      </c>
    </row>
    <row r="6844" spans="1:4">
      <c r="A6844" s="105">
        <v>88324</v>
      </c>
      <c r="B6844" s="104" t="s">
        <v>6711</v>
      </c>
      <c r="C6844" s="104" t="s">
        <v>16</v>
      </c>
      <c r="D6844" s="129" t="s">
        <v>18149</v>
      </c>
    </row>
    <row r="6845" spans="1:4">
      <c r="A6845" s="105">
        <v>88325</v>
      </c>
      <c r="B6845" s="104" t="s">
        <v>243</v>
      </c>
      <c r="C6845" s="104" t="s">
        <v>16</v>
      </c>
      <c r="D6845" s="129" t="s">
        <v>14763</v>
      </c>
    </row>
    <row r="6846" spans="1:4">
      <c r="A6846" s="105">
        <v>88326</v>
      </c>
      <c r="B6846" s="104" t="s">
        <v>6712</v>
      </c>
      <c r="C6846" s="104" t="s">
        <v>16</v>
      </c>
      <c r="D6846" s="129" t="s">
        <v>22031</v>
      </c>
    </row>
    <row r="6847" spans="1:4">
      <c r="A6847" s="105">
        <v>88377</v>
      </c>
      <c r="B6847" s="104" t="s">
        <v>6713</v>
      </c>
      <c r="C6847" s="104" t="s">
        <v>16</v>
      </c>
      <c r="D6847" s="129" t="s">
        <v>23152</v>
      </c>
    </row>
    <row r="6848" spans="1:4">
      <c r="A6848" s="105">
        <v>88441</v>
      </c>
      <c r="B6848" s="104" t="s">
        <v>6714</v>
      </c>
      <c r="C6848" s="104" t="s">
        <v>16</v>
      </c>
      <c r="D6848" s="129" t="s">
        <v>24427</v>
      </c>
    </row>
    <row r="6849" spans="1:4">
      <c r="A6849" s="105">
        <v>88597</v>
      </c>
      <c r="B6849" s="104" t="s">
        <v>6715</v>
      </c>
      <c r="C6849" s="104" t="s">
        <v>16</v>
      </c>
      <c r="D6849" s="129" t="s">
        <v>18690</v>
      </c>
    </row>
    <row r="6850" spans="1:4">
      <c r="A6850" s="105">
        <v>90766</v>
      </c>
      <c r="B6850" s="104" t="s">
        <v>6716</v>
      </c>
      <c r="C6850" s="104" t="s">
        <v>16</v>
      </c>
      <c r="D6850" s="129" t="s">
        <v>16089</v>
      </c>
    </row>
    <row r="6851" spans="1:4">
      <c r="A6851" s="105">
        <v>90767</v>
      </c>
      <c r="B6851" s="104" t="s">
        <v>6717</v>
      </c>
      <c r="C6851" s="104" t="s">
        <v>16</v>
      </c>
      <c r="D6851" s="129" t="s">
        <v>23164</v>
      </c>
    </row>
    <row r="6852" spans="1:4">
      <c r="A6852" s="105">
        <v>90768</v>
      </c>
      <c r="B6852" s="104" t="s">
        <v>6718</v>
      </c>
      <c r="C6852" s="104" t="s">
        <v>16</v>
      </c>
      <c r="D6852" s="129" t="s">
        <v>24428</v>
      </c>
    </row>
    <row r="6853" spans="1:4">
      <c r="A6853" s="105">
        <v>90769</v>
      </c>
      <c r="B6853" s="104" t="s">
        <v>6719</v>
      </c>
      <c r="C6853" s="104" t="s">
        <v>16</v>
      </c>
      <c r="D6853" s="129" t="s">
        <v>24429</v>
      </c>
    </row>
    <row r="6854" spans="1:4">
      <c r="A6854" s="105">
        <v>90770</v>
      </c>
      <c r="B6854" s="104" t="s">
        <v>6720</v>
      </c>
      <c r="C6854" s="104" t="s">
        <v>16</v>
      </c>
      <c r="D6854" s="129" t="s">
        <v>24430</v>
      </c>
    </row>
    <row r="6855" spans="1:4">
      <c r="A6855" s="105">
        <v>90771</v>
      </c>
      <c r="B6855" s="104" t="s">
        <v>6721</v>
      </c>
      <c r="C6855" s="104" t="s">
        <v>16</v>
      </c>
      <c r="D6855" s="129" t="s">
        <v>23893</v>
      </c>
    </row>
    <row r="6856" spans="1:4">
      <c r="A6856" s="105">
        <v>90772</v>
      </c>
      <c r="B6856" s="104" t="s">
        <v>49</v>
      </c>
      <c r="C6856" s="104" t="s">
        <v>16</v>
      </c>
      <c r="D6856" s="129" t="s">
        <v>24431</v>
      </c>
    </row>
    <row r="6857" spans="1:4">
      <c r="A6857" s="105">
        <v>90773</v>
      </c>
      <c r="B6857" s="104" t="s">
        <v>6722</v>
      </c>
      <c r="C6857" s="104" t="s">
        <v>16</v>
      </c>
      <c r="D6857" s="129" t="s">
        <v>21772</v>
      </c>
    </row>
    <row r="6858" spans="1:4">
      <c r="A6858" s="105">
        <v>90775</v>
      </c>
      <c r="B6858" s="104" t="s">
        <v>6723</v>
      </c>
      <c r="C6858" s="104" t="s">
        <v>16</v>
      </c>
      <c r="D6858" s="129" t="s">
        <v>15910</v>
      </c>
    </row>
    <row r="6859" spans="1:4">
      <c r="A6859" s="105">
        <v>90776</v>
      </c>
      <c r="B6859" s="104" t="s">
        <v>6724</v>
      </c>
      <c r="C6859" s="104" t="s">
        <v>16</v>
      </c>
      <c r="D6859" s="129" t="s">
        <v>22878</v>
      </c>
    </row>
    <row r="6860" spans="1:4">
      <c r="A6860" s="105">
        <v>90777</v>
      </c>
      <c r="B6860" s="104" t="s">
        <v>6725</v>
      </c>
      <c r="C6860" s="104" t="s">
        <v>16</v>
      </c>
      <c r="D6860" s="129" t="s">
        <v>24432</v>
      </c>
    </row>
    <row r="6861" spans="1:4">
      <c r="A6861" s="105">
        <v>90778</v>
      </c>
      <c r="B6861" s="104" t="s">
        <v>46</v>
      </c>
      <c r="C6861" s="104" t="s">
        <v>16</v>
      </c>
      <c r="D6861" s="129" t="s">
        <v>23735</v>
      </c>
    </row>
    <row r="6862" spans="1:4">
      <c r="A6862" s="105">
        <v>90779</v>
      </c>
      <c r="B6862" s="104" t="s">
        <v>6726</v>
      </c>
      <c r="C6862" s="104" t="s">
        <v>16</v>
      </c>
      <c r="D6862" s="129" t="s">
        <v>24433</v>
      </c>
    </row>
    <row r="6863" spans="1:4">
      <c r="A6863" s="105">
        <v>90780</v>
      </c>
      <c r="B6863" s="104" t="s">
        <v>47</v>
      </c>
      <c r="C6863" s="104" t="s">
        <v>16</v>
      </c>
      <c r="D6863" s="129" t="s">
        <v>18689</v>
      </c>
    </row>
    <row r="6864" spans="1:4">
      <c r="A6864" s="105">
        <v>90781</v>
      </c>
      <c r="B6864" s="104" t="s">
        <v>48</v>
      </c>
      <c r="C6864" s="104" t="s">
        <v>16</v>
      </c>
      <c r="D6864" s="129" t="s">
        <v>16921</v>
      </c>
    </row>
    <row r="6865" spans="1:4">
      <c r="A6865" s="105">
        <v>91677</v>
      </c>
      <c r="B6865" s="104" t="s">
        <v>6727</v>
      </c>
      <c r="C6865" s="104" t="s">
        <v>16</v>
      </c>
      <c r="D6865" s="129" t="s">
        <v>24434</v>
      </c>
    </row>
    <row r="6866" spans="1:4">
      <c r="A6866" s="105">
        <v>91678</v>
      </c>
      <c r="B6866" s="104" t="s">
        <v>6728</v>
      </c>
      <c r="C6866" s="104" t="s">
        <v>16</v>
      </c>
      <c r="D6866" s="129" t="s">
        <v>24435</v>
      </c>
    </row>
    <row r="6867" spans="1:4">
      <c r="A6867" s="105">
        <v>93558</v>
      </c>
      <c r="B6867" s="104" t="s">
        <v>6729</v>
      </c>
      <c r="C6867" s="104" t="s">
        <v>6730</v>
      </c>
      <c r="D6867" s="129" t="s">
        <v>24436</v>
      </c>
    </row>
    <row r="6868" spans="1:4">
      <c r="A6868" s="105">
        <v>93559</v>
      </c>
      <c r="B6868" s="104" t="s">
        <v>6715</v>
      </c>
      <c r="C6868" s="104" t="s">
        <v>6730</v>
      </c>
      <c r="D6868" s="129" t="s">
        <v>24437</v>
      </c>
    </row>
    <row r="6869" spans="1:4">
      <c r="A6869" s="105">
        <v>93560</v>
      </c>
      <c r="B6869" s="104" t="s">
        <v>6722</v>
      </c>
      <c r="C6869" s="104" t="s">
        <v>6730</v>
      </c>
      <c r="D6869" s="129" t="s">
        <v>24438</v>
      </c>
    </row>
    <row r="6870" spans="1:4">
      <c r="A6870" s="105">
        <v>93561</v>
      </c>
      <c r="B6870" s="104" t="s">
        <v>6723</v>
      </c>
      <c r="C6870" s="104" t="s">
        <v>6730</v>
      </c>
      <c r="D6870" s="129" t="s">
        <v>24439</v>
      </c>
    </row>
    <row r="6871" spans="1:4">
      <c r="A6871" s="105">
        <v>93562</v>
      </c>
      <c r="B6871" s="104" t="s">
        <v>6721</v>
      </c>
      <c r="C6871" s="104" t="s">
        <v>6730</v>
      </c>
      <c r="D6871" s="129" t="s">
        <v>24440</v>
      </c>
    </row>
    <row r="6872" spans="1:4">
      <c r="A6872" s="105">
        <v>93563</v>
      </c>
      <c r="B6872" s="104" t="s">
        <v>6716</v>
      </c>
      <c r="C6872" s="104" t="s">
        <v>6730</v>
      </c>
      <c r="D6872" s="129" t="s">
        <v>24441</v>
      </c>
    </row>
    <row r="6873" spans="1:4">
      <c r="A6873" s="105">
        <v>93564</v>
      </c>
      <c r="B6873" s="104" t="s">
        <v>6717</v>
      </c>
      <c r="C6873" s="104" t="s">
        <v>6730</v>
      </c>
      <c r="D6873" s="129" t="s">
        <v>24442</v>
      </c>
    </row>
    <row r="6874" spans="1:4">
      <c r="A6874" s="105">
        <v>93565</v>
      </c>
      <c r="B6874" s="104" t="s">
        <v>6725</v>
      </c>
      <c r="C6874" s="104" t="s">
        <v>6730</v>
      </c>
      <c r="D6874" s="129" t="s">
        <v>24443</v>
      </c>
    </row>
    <row r="6875" spans="1:4">
      <c r="A6875" s="105">
        <v>93566</v>
      </c>
      <c r="B6875" s="104" t="s">
        <v>49</v>
      </c>
      <c r="C6875" s="104" t="s">
        <v>6730</v>
      </c>
      <c r="D6875" s="129" t="s">
        <v>24444</v>
      </c>
    </row>
    <row r="6876" spans="1:4">
      <c r="A6876" s="105">
        <v>93567</v>
      </c>
      <c r="B6876" s="104" t="s">
        <v>46</v>
      </c>
      <c r="C6876" s="104" t="s">
        <v>6730</v>
      </c>
      <c r="D6876" s="129" t="s">
        <v>24445</v>
      </c>
    </row>
    <row r="6877" spans="1:4">
      <c r="A6877" s="105">
        <v>93568</v>
      </c>
      <c r="B6877" s="104" t="s">
        <v>6726</v>
      </c>
      <c r="C6877" s="104" t="s">
        <v>6730</v>
      </c>
      <c r="D6877" s="129" t="s">
        <v>24446</v>
      </c>
    </row>
    <row r="6878" spans="1:4">
      <c r="A6878" s="105">
        <v>93569</v>
      </c>
      <c r="B6878" s="104" t="s">
        <v>6731</v>
      </c>
      <c r="C6878" s="104" t="s">
        <v>6730</v>
      </c>
      <c r="D6878" s="129" t="s">
        <v>24447</v>
      </c>
    </row>
    <row r="6879" spans="1:4">
      <c r="A6879" s="105">
        <v>93570</v>
      </c>
      <c r="B6879" s="104" t="s">
        <v>6732</v>
      </c>
      <c r="C6879" s="104" t="s">
        <v>6730</v>
      </c>
      <c r="D6879" s="129" t="s">
        <v>24448</v>
      </c>
    </row>
    <row r="6880" spans="1:4">
      <c r="A6880" s="105">
        <v>93571</v>
      </c>
      <c r="B6880" s="104" t="s">
        <v>6733</v>
      </c>
      <c r="C6880" s="104" t="s">
        <v>6730</v>
      </c>
      <c r="D6880" s="129" t="s">
        <v>24449</v>
      </c>
    </row>
    <row r="6881" spans="1:4">
      <c r="A6881" s="105">
        <v>93572</v>
      </c>
      <c r="B6881" s="104" t="s">
        <v>6734</v>
      </c>
      <c r="C6881" s="104" t="s">
        <v>6730</v>
      </c>
      <c r="D6881" s="129" t="s">
        <v>24450</v>
      </c>
    </row>
    <row r="6882" spans="1:4">
      <c r="A6882" s="105">
        <v>94295</v>
      </c>
      <c r="B6882" s="104" t="s">
        <v>47</v>
      </c>
      <c r="C6882" s="104" t="s">
        <v>6730</v>
      </c>
      <c r="D6882" s="129" t="s">
        <v>24451</v>
      </c>
    </row>
    <row r="6883" spans="1:4">
      <c r="A6883" s="105">
        <v>94296</v>
      </c>
      <c r="B6883" s="104" t="s">
        <v>48</v>
      </c>
      <c r="C6883" s="104" t="s">
        <v>6730</v>
      </c>
      <c r="D6883" s="129" t="s">
        <v>24452</v>
      </c>
    </row>
    <row r="6884" spans="1:4">
      <c r="A6884" s="105">
        <v>95308</v>
      </c>
      <c r="B6884" s="104" t="s">
        <v>6735</v>
      </c>
      <c r="C6884" s="104" t="s">
        <v>16</v>
      </c>
      <c r="D6884" s="129" t="s">
        <v>19512</v>
      </c>
    </row>
    <row r="6885" spans="1:4">
      <c r="A6885" s="105">
        <v>95309</v>
      </c>
      <c r="B6885" s="104" t="s">
        <v>6736</v>
      </c>
      <c r="C6885" s="104" t="s">
        <v>16</v>
      </c>
      <c r="D6885" s="129" t="s">
        <v>15765</v>
      </c>
    </row>
    <row r="6886" spans="1:4">
      <c r="A6886" s="105">
        <v>95310</v>
      </c>
      <c r="B6886" s="104" t="s">
        <v>6737</v>
      </c>
      <c r="C6886" s="104" t="s">
        <v>16</v>
      </c>
      <c r="D6886" s="129" t="s">
        <v>15216</v>
      </c>
    </row>
    <row r="6887" spans="1:4">
      <c r="A6887" s="105">
        <v>95311</v>
      </c>
      <c r="B6887" s="104" t="s">
        <v>6738</v>
      </c>
      <c r="C6887" s="104" t="s">
        <v>16</v>
      </c>
      <c r="D6887" s="129" t="s">
        <v>19512</v>
      </c>
    </row>
    <row r="6888" spans="1:4">
      <c r="A6888" s="105">
        <v>95312</v>
      </c>
      <c r="B6888" s="104" t="s">
        <v>6739</v>
      </c>
      <c r="C6888" s="104" t="s">
        <v>16</v>
      </c>
      <c r="D6888" s="129" t="s">
        <v>15334</v>
      </c>
    </row>
    <row r="6889" spans="1:4">
      <c r="A6889" s="105">
        <v>95313</v>
      </c>
      <c r="B6889" s="104" t="s">
        <v>6740</v>
      </c>
      <c r="C6889" s="104" t="s">
        <v>16</v>
      </c>
      <c r="D6889" s="129" t="s">
        <v>15473</v>
      </c>
    </row>
    <row r="6890" spans="1:4">
      <c r="A6890" s="105">
        <v>95314</v>
      </c>
      <c r="B6890" s="104" t="s">
        <v>6741</v>
      </c>
      <c r="C6890" s="104" t="s">
        <v>16</v>
      </c>
      <c r="D6890" s="129" t="s">
        <v>15334</v>
      </c>
    </row>
    <row r="6891" spans="1:4">
      <c r="A6891" s="105">
        <v>95315</v>
      </c>
      <c r="B6891" s="104" t="s">
        <v>6742</v>
      </c>
      <c r="C6891" s="104" t="s">
        <v>16</v>
      </c>
      <c r="D6891" s="129" t="s">
        <v>15693</v>
      </c>
    </row>
    <row r="6892" spans="1:4">
      <c r="A6892" s="105">
        <v>95316</v>
      </c>
      <c r="B6892" s="104" t="s">
        <v>6743</v>
      </c>
      <c r="C6892" s="104" t="s">
        <v>16</v>
      </c>
      <c r="D6892" s="129" t="s">
        <v>15347</v>
      </c>
    </row>
    <row r="6893" spans="1:4">
      <c r="A6893" s="105">
        <v>95317</v>
      </c>
      <c r="B6893" s="104" t="s">
        <v>6744</v>
      </c>
      <c r="C6893" s="104" t="s">
        <v>16</v>
      </c>
      <c r="D6893" s="129" t="s">
        <v>15543</v>
      </c>
    </row>
    <row r="6894" spans="1:4">
      <c r="A6894" s="105">
        <v>95318</v>
      </c>
      <c r="B6894" s="104" t="s">
        <v>6745</v>
      </c>
      <c r="C6894" s="104" t="s">
        <v>16</v>
      </c>
      <c r="D6894" s="129" t="s">
        <v>15334</v>
      </c>
    </row>
    <row r="6895" spans="1:4">
      <c r="A6895" s="105">
        <v>95319</v>
      </c>
      <c r="B6895" s="104" t="s">
        <v>6746</v>
      </c>
      <c r="C6895" s="104" t="s">
        <v>16</v>
      </c>
      <c r="D6895" s="129" t="s">
        <v>15685</v>
      </c>
    </row>
    <row r="6896" spans="1:4">
      <c r="A6896" s="105">
        <v>95320</v>
      </c>
      <c r="B6896" s="104" t="s">
        <v>6747</v>
      </c>
      <c r="C6896" s="104" t="s">
        <v>16</v>
      </c>
      <c r="D6896" s="129" t="s">
        <v>15473</v>
      </c>
    </row>
    <row r="6897" spans="1:4">
      <c r="A6897" s="105">
        <v>95321</v>
      </c>
      <c r="B6897" s="104" t="s">
        <v>6748</v>
      </c>
      <c r="C6897" s="104" t="s">
        <v>16</v>
      </c>
      <c r="D6897" s="129" t="s">
        <v>19512</v>
      </c>
    </row>
    <row r="6898" spans="1:4">
      <c r="A6898" s="105">
        <v>95322</v>
      </c>
      <c r="B6898" s="104" t="s">
        <v>6749</v>
      </c>
      <c r="C6898" s="104" t="s">
        <v>16</v>
      </c>
      <c r="D6898" s="129" t="s">
        <v>15354</v>
      </c>
    </row>
    <row r="6899" spans="1:4">
      <c r="A6899" s="105">
        <v>95323</v>
      </c>
      <c r="B6899" s="104" t="s">
        <v>6750</v>
      </c>
      <c r="C6899" s="104" t="s">
        <v>16</v>
      </c>
      <c r="D6899" s="129" t="s">
        <v>15765</v>
      </c>
    </row>
    <row r="6900" spans="1:4">
      <c r="A6900" s="105">
        <v>95324</v>
      </c>
      <c r="B6900" s="104" t="s">
        <v>6751</v>
      </c>
      <c r="C6900" s="104" t="s">
        <v>16</v>
      </c>
      <c r="D6900" s="129" t="s">
        <v>15543</v>
      </c>
    </row>
    <row r="6901" spans="1:4">
      <c r="A6901" s="105">
        <v>95325</v>
      </c>
      <c r="B6901" s="104" t="s">
        <v>6752</v>
      </c>
      <c r="C6901" s="104" t="s">
        <v>16</v>
      </c>
      <c r="D6901" s="129" t="s">
        <v>15693</v>
      </c>
    </row>
    <row r="6902" spans="1:4">
      <c r="A6902" s="105">
        <v>95326</v>
      </c>
      <c r="B6902" s="104" t="s">
        <v>6753</v>
      </c>
      <c r="C6902" s="104" t="s">
        <v>16</v>
      </c>
      <c r="D6902" s="129" t="s">
        <v>15354</v>
      </c>
    </row>
    <row r="6903" spans="1:4">
      <c r="A6903" s="105">
        <v>95328</v>
      </c>
      <c r="B6903" s="104" t="s">
        <v>6754</v>
      </c>
      <c r="C6903" s="104" t="s">
        <v>16</v>
      </c>
      <c r="D6903" s="129" t="s">
        <v>15376</v>
      </c>
    </row>
    <row r="6904" spans="1:4">
      <c r="A6904" s="105">
        <v>95329</v>
      </c>
      <c r="B6904" s="104" t="s">
        <v>6755</v>
      </c>
      <c r="C6904" s="104" t="s">
        <v>16</v>
      </c>
      <c r="D6904" s="129" t="s">
        <v>20323</v>
      </c>
    </row>
    <row r="6905" spans="1:4">
      <c r="A6905" s="105">
        <v>95330</v>
      </c>
      <c r="B6905" s="104" t="s">
        <v>6756</v>
      </c>
      <c r="C6905" s="104" t="s">
        <v>16</v>
      </c>
      <c r="D6905" s="129" t="s">
        <v>15334</v>
      </c>
    </row>
    <row r="6906" spans="1:4">
      <c r="A6906" s="105">
        <v>95331</v>
      </c>
      <c r="B6906" s="104" t="s">
        <v>6757</v>
      </c>
      <c r="C6906" s="104" t="s">
        <v>16</v>
      </c>
      <c r="D6906" s="129" t="s">
        <v>15602</v>
      </c>
    </row>
    <row r="6907" spans="1:4">
      <c r="A6907" s="105">
        <v>95332</v>
      </c>
      <c r="B6907" s="104" t="s">
        <v>6758</v>
      </c>
      <c r="C6907" s="104" t="s">
        <v>16</v>
      </c>
      <c r="D6907" s="129" t="s">
        <v>15714</v>
      </c>
    </row>
    <row r="6908" spans="1:4">
      <c r="A6908" s="105">
        <v>95333</v>
      </c>
      <c r="B6908" s="104" t="s">
        <v>6759</v>
      </c>
      <c r="C6908" s="104" t="s">
        <v>16</v>
      </c>
      <c r="D6908" s="129" t="s">
        <v>15714</v>
      </c>
    </row>
    <row r="6909" spans="1:4">
      <c r="A6909" s="105">
        <v>95334</v>
      </c>
      <c r="B6909" s="104" t="s">
        <v>6760</v>
      </c>
      <c r="C6909" s="104" t="s">
        <v>16</v>
      </c>
      <c r="D6909" s="129" t="s">
        <v>20340</v>
      </c>
    </row>
    <row r="6910" spans="1:4">
      <c r="A6910" s="105">
        <v>95335</v>
      </c>
      <c r="B6910" s="104" t="s">
        <v>6761</v>
      </c>
      <c r="C6910" s="104" t="s">
        <v>16</v>
      </c>
      <c r="D6910" s="129" t="s">
        <v>15248</v>
      </c>
    </row>
    <row r="6911" spans="1:4">
      <c r="A6911" s="105">
        <v>95337</v>
      </c>
      <c r="B6911" s="104" t="s">
        <v>6762</v>
      </c>
      <c r="C6911" s="104" t="s">
        <v>16</v>
      </c>
      <c r="D6911" s="129" t="s">
        <v>15334</v>
      </c>
    </row>
    <row r="6912" spans="1:4">
      <c r="A6912" s="105">
        <v>95338</v>
      </c>
      <c r="B6912" s="104" t="s">
        <v>6763</v>
      </c>
      <c r="C6912" s="104" t="s">
        <v>16</v>
      </c>
      <c r="D6912" s="129" t="s">
        <v>15248</v>
      </c>
    </row>
    <row r="6913" spans="1:4">
      <c r="A6913" s="105">
        <v>95339</v>
      </c>
      <c r="B6913" s="104" t="s">
        <v>6764</v>
      </c>
      <c r="C6913" s="104" t="s">
        <v>16</v>
      </c>
      <c r="D6913" s="129" t="s">
        <v>15248</v>
      </c>
    </row>
    <row r="6914" spans="1:4">
      <c r="A6914" s="105">
        <v>95340</v>
      </c>
      <c r="B6914" s="104" t="s">
        <v>6765</v>
      </c>
      <c r="C6914" s="104" t="s">
        <v>16</v>
      </c>
      <c r="D6914" s="129" t="s">
        <v>20323</v>
      </c>
    </row>
    <row r="6915" spans="1:4">
      <c r="A6915" s="105">
        <v>95341</v>
      </c>
      <c r="B6915" s="104" t="s">
        <v>6766</v>
      </c>
      <c r="C6915" s="104" t="s">
        <v>16</v>
      </c>
      <c r="D6915" s="129" t="s">
        <v>15543</v>
      </c>
    </row>
    <row r="6916" spans="1:4">
      <c r="A6916" s="105">
        <v>95342</v>
      </c>
      <c r="B6916" s="104" t="s">
        <v>6767</v>
      </c>
      <c r="C6916" s="104" t="s">
        <v>16</v>
      </c>
      <c r="D6916" s="129" t="s">
        <v>19512</v>
      </c>
    </row>
    <row r="6917" spans="1:4">
      <c r="A6917" s="105">
        <v>95343</v>
      </c>
      <c r="B6917" s="104" t="s">
        <v>6768</v>
      </c>
      <c r="C6917" s="104" t="s">
        <v>16</v>
      </c>
      <c r="D6917" s="129" t="s">
        <v>15334</v>
      </c>
    </row>
    <row r="6918" spans="1:4">
      <c r="A6918" s="105">
        <v>95344</v>
      </c>
      <c r="B6918" s="104" t="s">
        <v>6769</v>
      </c>
      <c r="C6918" s="104" t="s">
        <v>16</v>
      </c>
      <c r="D6918" s="129" t="s">
        <v>19512</v>
      </c>
    </row>
    <row r="6919" spans="1:4">
      <c r="A6919" s="105">
        <v>95345</v>
      </c>
      <c r="B6919" s="104" t="s">
        <v>6770</v>
      </c>
      <c r="C6919" s="104" t="s">
        <v>16</v>
      </c>
      <c r="D6919" s="129" t="s">
        <v>24277</v>
      </c>
    </row>
    <row r="6920" spans="1:4">
      <c r="A6920" s="105">
        <v>95346</v>
      </c>
      <c r="B6920" s="104" t="s">
        <v>6771</v>
      </c>
      <c r="C6920" s="104" t="s">
        <v>16</v>
      </c>
      <c r="D6920" s="129" t="s">
        <v>15492</v>
      </c>
    </row>
    <row r="6921" spans="1:4">
      <c r="A6921" s="105">
        <v>95347</v>
      </c>
      <c r="B6921" s="104" t="s">
        <v>6772</v>
      </c>
      <c r="C6921" s="104" t="s">
        <v>16</v>
      </c>
      <c r="D6921" s="129" t="s">
        <v>15492</v>
      </c>
    </row>
    <row r="6922" spans="1:4">
      <c r="A6922" s="105">
        <v>95348</v>
      </c>
      <c r="B6922" s="104" t="s">
        <v>6773</v>
      </c>
      <c r="C6922" s="104" t="s">
        <v>16</v>
      </c>
      <c r="D6922" s="129" t="s">
        <v>15216</v>
      </c>
    </row>
    <row r="6923" spans="1:4">
      <c r="A6923" s="105">
        <v>95349</v>
      </c>
      <c r="B6923" s="104" t="s">
        <v>6774</v>
      </c>
      <c r="C6923" s="104" t="s">
        <v>16</v>
      </c>
      <c r="D6923" s="129" t="s">
        <v>15492</v>
      </c>
    </row>
    <row r="6924" spans="1:4">
      <c r="A6924" s="105">
        <v>95350</v>
      </c>
      <c r="B6924" s="104" t="s">
        <v>6775</v>
      </c>
      <c r="C6924" s="104" t="s">
        <v>16</v>
      </c>
      <c r="D6924" s="129" t="s">
        <v>15470</v>
      </c>
    </row>
    <row r="6925" spans="1:4">
      <c r="A6925" s="105">
        <v>95351</v>
      </c>
      <c r="B6925" s="104" t="s">
        <v>6776</v>
      </c>
      <c r="C6925" s="104" t="s">
        <v>16</v>
      </c>
      <c r="D6925" s="129" t="s">
        <v>15758</v>
      </c>
    </row>
    <row r="6926" spans="1:4">
      <c r="A6926" s="105">
        <v>95352</v>
      </c>
      <c r="B6926" s="104" t="s">
        <v>6777</v>
      </c>
      <c r="C6926" s="104" t="s">
        <v>16</v>
      </c>
      <c r="D6926" s="129" t="s">
        <v>15492</v>
      </c>
    </row>
    <row r="6927" spans="1:4">
      <c r="A6927" s="105">
        <v>95354</v>
      </c>
      <c r="B6927" s="104" t="s">
        <v>6778</v>
      </c>
      <c r="C6927" s="104" t="s">
        <v>16</v>
      </c>
      <c r="D6927" s="129" t="s">
        <v>15216</v>
      </c>
    </row>
    <row r="6928" spans="1:4">
      <c r="A6928" s="105">
        <v>95355</v>
      </c>
      <c r="B6928" s="104" t="s">
        <v>6779</v>
      </c>
      <c r="C6928" s="104" t="s">
        <v>16</v>
      </c>
      <c r="D6928" s="129" t="s">
        <v>15602</v>
      </c>
    </row>
    <row r="6929" spans="1:4">
      <c r="A6929" s="105">
        <v>95356</v>
      </c>
      <c r="B6929" s="104" t="s">
        <v>6780</v>
      </c>
      <c r="C6929" s="104" t="s">
        <v>16</v>
      </c>
      <c r="D6929" s="129" t="s">
        <v>15685</v>
      </c>
    </row>
    <row r="6930" spans="1:4">
      <c r="A6930" s="105">
        <v>95357</v>
      </c>
      <c r="B6930" s="104" t="s">
        <v>6781</v>
      </c>
      <c r="C6930" s="104" t="s">
        <v>16</v>
      </c>
      <c r="D6930" s="129" t="s">
        <v>15334</v>
      </c>
    </row>
    <row r="6931" spans="1:4">
      <c r="A6931" s="105">
        <v>95358</v>
      </c>
      <c r="B6931" s="104" t="s">
        <v>6782</v>
      </c>
      <c r="C6931" s="104" t="s">
        <v>16</v>
      </c>
      <c r="D6931" s="129" t="s">
        <v>15765</v>
      </c>
    </row>
    <row r="6932" spans="1:4">
      <c r="A6932" s="105">
        <v>95359</v>
      </c>
      <c r="B6932" s="104" t="s">
        <v>6783</v>
      </c>
      <c r="C6932" s="104" t="s">
        <v>16</v>
      </c>
      <c r="D6932" s="129" t="s">
        <v>15765</v>
      </c>
    </row>
    <row r="6933" spans="1:4">
      <c r="A6933" s="105">
        <v>95360</v>
      </c>
      <c r="B6933" s="104" t="s">
        <v>6784</v>
      </c>
      <c r="C6933" s="104" t="s">
        <v>16</v>
      </c>
      <c r="D6933" s="129" t="s">
        <v>19512</v>
      </c>
    </row>
    <row r="6934" spans="1:4">
      <c r="A6934" s="105">
        <v>95361</v>
      </c>
      <c r="B6934" s="104" t="s">
        <v>6785</v>
      </c>
      <c r="C6934" s="104" t="s">
        <v>16</v>
      </c>
      <c r="D6934" s="129" t="s">
        <v>15470</v>
      </c>
    </row>
    <row r="6935" spans="1:4">
      <c r="A6935" s="105">
        <v>95362</v>
      </c>
      <c r="B6935" s="104" t="s">
        <v>6786</v>
      </c>
      <c r="C6935" s="104" t="s">
        <v>16</v>
      </c>
      <c r="D6935" s="129" t="s">
        <v>15685</v>
      </c>
    </row>
    <row r="6936" spans="1:4">
      <c r="A6936" s="105">
        <v>95363</v>
      </c>
      <c r="B6936" s="104" t="s">
        <v>6787</v>
      </c>
      <c r="C6936" s="104" t="s">
        <v>16</v>
      </c>
      <c r="D6936" s="129" t="s">
        <v>15473</v>
      </c>
    </row>
    <row r="6937" spans="1:4">
      <c r="A6937" s="105">
        <v>95364</v>
      </c>
      <c r="B6937" s="104" t="s">
        <v>6788</v>
      </c>
      <c r="C6937" s="104" t="s">
        <v>16</v>
      </c>
      <c r="D6937" s="129" t="s">
        <v>15602</v>
      </c>
    </row>
    <row r="6938" spans="1:4">
      <c r="A6938" s="105">
        <v>95365</v>
      </c>
      <c r="B6938" s="104" t="s">
        <v>6789</v>
      </c>
      <c r="C6938" s="104" t="s">
        <v>16</v>
      </c>
      <c r="D6938" s="129" t="s">
        <v>15685</v>
      </c>
    </row>
    <row r="6939" spans="1:4">
      <c r="A6939" s="105">
        <v>95366</v>
      </c>
      <c r="B6939" s="104" t="s">
        <v>6790</v>
      </c>
      <c r="C6939" s="104" t="s">
        <v>16</v>
      </c>
      <c r="D6939" s="129" t="s">
        <v>15602</v>
      </c>
    </row>
    <row r="6940" spans="1:4">
      <c r="A6940" s="105">
        <v>95367</v>
      </c>
      <c r="B6940" s="104" t="s">
        <v>6791</v>
      </c>
      <c r="C6940" s="104" t="s">
        <v>16</v>
      </c>
      <c r="D6940" s="129" t="s">
        <v>15602</v>
      </c>
    </row>
    <row r="6941" spans="1:4">
      <c r="A6941" s="105">
        <v>95368</v>
      </c>
      <c r="B6941" s="104" t="s">
        <v>6792</v>
      </c>
      <c r="C6941" s="104" t="s">
        <v>16</v>
      </c>
      <c r="D6941" s="129" t="s">
        <v>15376</v>
      </c>
    </row>
    <row r="6942" spans="1:4">
      <c r="A6942" s="105">
        <v>95369</v>
      </c>
      <c r="B6942" s="104" t="s">
        <v>6793</v>
      </c>
      <c r="C6942" s="104" t="s">
        <v>16</v>
      </c>
      <c r="D6942" s="129" t="s">
        <v>15602</v>
      </c>
    </row>
    <row r="6943" spans="1:4">
      <c r="A6943" s="105">
        <v>95370</v>
      </c>
      <c r="B6943" s="104" t="s">
        <v>6794</v>
      </c>
      <c r="C6943" s="104" t="s">
        <v>16</v>
      </c>
      <c r="D6943" s="129" t="s">
        <v>15543</v>
      </c>
    </row>
    <row r="6944" spans="1:4">
      <c r="A6944" s="105">
        <v>95371</v>
      </c>
      <c r="B6944" s="104" t="s">
        <v>6795</v>
      </c>
      <c r="C6944" s="104" t="s">
        <v>16</v>
      </c>
      <c r="D6944" s="129" t="s">
        <v>15725</v>
      </c>
    </row>
    <row r="6945" spans="1:4">
      <c r="A6945" s="105">
        <v>95372</v>
      </c>
      <c r="B6945" s="104" t="s">
        <v>6796</v>
      </c>
      <c r="C6945" s="104" t="s">
        <v>16</v>
      </c>
      <c r="D6945" s="129" t="s">
        <v>15543</v>
      </c>
    </row>
    <row r="6946" spans="1:4">
      <c r="A6946" s="105">
        <v>95373</v>
      </c>
      <c r="B6946" s="104" t="s">
        <v>6797</v>
      </c>
      <c r="C6946" s="104" t="s">
        <v>16</v>
      </c>
      <c r="D6946" s="129" t="s">
        <v>20323</v>
      </c>
    </row>
    <row r="6947" spans="1:4">
      <c r="A6947" s="105">
        <v>95374</v>
      </c>
      <c r="B6947" s="104" t="s">
        <v>6798</v>
      </c>
      <c r="C6947" s="104" t="s">
        <v>16</v>
      </c>
      <c r="D6947" s="129" t="s">
        <v>15543</v>
      </c>
    </row>
    <row r="6948" spans="1:4">
      <c r="A6948" s="105">
        <v>95375</v>
      </c>
      <c r="B6948" s="104" t="s">
        <v>6799</v>
      </c>
      <c r="C6948" s="104" t="s">
        <v>16</v>
      </c>
      <c r="D6948" s="129" t="s">
        <v>15543</v>
      </c>
    </row>
    <row r="6949" spans="1:4">
      <c r="A6949" s="105">
        <v>95376</v>
      </c>
      <c r="B6949" s="104" t="s">
        <v>6800</v>
      </c>
      <c r="C6949" s="104" t="s">
        <v>16</v>
      </c>
      <c r="D6949" s="129" t="s">
        <v>15354</v>
      </c>
    </row>
    <row r="6950" spans="1:4">
      <c r="A6950" s="105">
        <v>95377</v>
      </c>
      <c r="B6950" s="104" t="s">
        <v>6801</v>
      </c>
      <c r="C6950" s="104" t="s">
        <v>16</v>
      </c>
      <c r="D6950" s="129" t="s">
        <v>15334</v>
      </c>
    </row>
    <row r="6951" spans="1:4">
      <c r="A6951" s="105">
        <v>95378</v>
      </c>
      <c r="B6951" s="104" t="s">
        <v>6802</v>
      </c>
      <c r="C6951" s="104" t="s">
        <v>16</v>
      </c>
      <c r="D6951" s="129" t="s">
        <v>15758</v>
      </c>
    </row>
    <row r="6952" spans="1:4">
      <c r="A6952" s="105">
        <v>95379</v>
      </c>
      <c r="B6952" s="104" t="s">
        <v>6803</v>
      </c>
      <c r="C6952" s="104" t="s">
        <v>16</v>
      </c>
      <c r="D6952" s="129" t="s">
        <v>15334</v>
      </c>
    </row>
    <row r="6953" spans="1:4">
      <c r="A6953" s="105">
        <v>95380</v>
      </c>
      <c r="B6953" s="104" t="s">
        <v>6804</v>
      </c>
      <c r="C6953" s="104" t="s">
        <v>16</v>
      </c>
      <c r="D6953" s="129" t="s">
        <v>15758</v>
      </c>
    </row>
    <row r="6954" spans="1:4">
      <c r="A6954" s="105">
        <v>95382</v>
      </c>
      <c r="B6954" s="104" t="s">
        <v>6805</v>
      </c>
      <c r="C6954" s="104" t="s">
        <v>16</v>
      </c>
      <c r="D6954" s="129" t="s">
        <v>15334</v>
      </c>
    </row>
    <row r="6955" spans="1:4">
      <c r="A6955" s="105">
        <v>95383</v>
      </c>
      <c r="B6955" s="104" t="s">
        <v>6806</v>
      </c>
      <c r="C6955" s="104" t="s">
        <v>16</v>
      </c>
      <c r="D6955" s="129" t="s">
        <v>15765</v>
      </c>
    </row>
    <row r="6956" spans="1:4">
      <c r="A6956" s="105">
        <v>95384</v>
      </c>
      <c r="B6956" s="104" t="s">
        <v>6807</v>
      </c>
      <c r="C6956" s="104" t="s">
        <v>16</v>
      </c>
      <c r="D6956" s="129" t="s">
        <v>15758</v>
      </c>
    </row>
    <row r="6957" spans="1:4">
      <c r="A6957" s="105">
        <v>95385</v>
      </c>
      <c r="B6957" s="104" t="s">
        <v>6808</v>
      </c>
      <c r="C6957" s="104" t="s">
        <v>16</v>
      </c>
      <c r="D6957" s="129" t="s">
        <v>15334</v>
      </c>
    </row>
    <row r="6958" spans="1:4">
      <c r="A6958" s="105">
        <v>95386</v>
      </c>
      <c r="B6958" s="104" t="s">
        <v>6809</v>
      </c>
      <c r="C6958" s="104" t="s">
        <v>16</v>
      </c>
      <c r="D6958" s="129" t="s">
        <v>19512</v>
      </c>
    </row>
    <row r="6959" spans="1:4">
      <c r="A6959" s="105">
        <v>95387</v>
      </c>
      <c r="B6959" s="104" t="s">
        <v>6810</v>
      </c>
      <c r="C6959" s="104" t="s">
        <v>16</v>
      </c>
      <c r="D6959" s="129" t="s">
        <v>15693</v>
      </c>
    </row>
    <row r="6960" spans="1:4">
      <c r="A6960" s="105">
        <v>95388</v>
      </c>
      <c r="B6960" s="104" t="s">
        <v>6811</v>
      </c>
      <c r="C6960" s="104" t="s">
        <v>16</v>
      </c>
      <c r="D6960" s="129" t="s">
        <v>15470</v>
      </c>
    </row>
    <row r="6961" spans="1:4">
      <c r="A6961" s="105">
        <v>95389</v>
      </c>
      <c r="B6961" s="104" t="s">
        <v>6812</v>
      </c>
      <c r="C6961" s="104" t="s">
        <v>16</v>
      </c>
      <c r="D6961" s="129" t="s">
        <v>15216</v>
      </c>
    </row>
    <row r="6962" spans="1:4">
      <c r="A6962" s="105">
        <v>95390</v>
      </c>
      <c r="B6962" s="104" t="s">
        <v>6813</v>
      </c>
      <c r="C6962" s="104" t="s">
        <v>16</v>
      </c>
      <c r="D6962" s="129" t="s">
        <v>15492</v>
      </c>
    </row>
    <row r="6963" spans="1:4">
      <c r="A6963" s="105">
        <v>95391</v>
      </c>
      <c r="B6963" s="104" t="s">
        <v>6814</v>
      </c>
      <c r="C6963" s="104" t="s">
        <v>16</v>
      </c>
      <c r="D6963" s="129" t="s">
        <v>15685</v>
      </c>
    </row>
    <row r="6964" spans="1:4">
      <c r="A6964" s="105">
        <v>95392</v>
      </c>
      <c r="B6964" s="104" t="s">
        <v>6815</v>
      </c>
      <c r="C6964" s="104" t="s">
        <v>16</v>
      </c>
      <c r="D6964" s="129" t="s">
        <v>15470</v>
      </c>
    </row>
    <row r="6965" spans="1:4">
      <c r="A6965" s="105">
        <v>95393</v>
      </c>
      <c r="B6965" s="104" t="s">
        <v>6816</v>
      </c>
      <c r="C6965" s="104" t="s">
        <v>16</v>
      </c>
      <c r="D6965" s="129" t="s">
        <v>15425</v>
      </c>
    </row>
    <row r="6966" spans="1:4">
      <c r="A6966" s="105">
        <v>95394</v>
      </c>
      <c r="B6966" s="104" t="s">
        <v>6817</v>
      </c>
      <c r="C6966" s="104" t="s">
        <v>16</v>
      </c>
      <c r="D6966" s="129" t="s">
        <v>24277</v>
      </c>
    </row>
    <row r="6967" spans="1:4">
      <c r="A6967" s="105">
        <v>95395</v>
      </c>
      <c r="B6967" s="104" t="s">
        <v>6818</v>
      </c>
      <c r="C6967" s="104" t="s">
        <v>16</v>
      </c>
      <c r="D6967" s="129" t="s">
        <v>20326</v>
      </c>
    </row>
    <row r="6968" spans="1:4">
      <c r="A6968" s="105">
        <v>95396</v>
      </c>
      <c r="B6968" s="104" t="s">
        <v>6819</v>
      </c>
      <c r="C6968" s="104" t="s">
        <v>16</v>
      </c>
      <c r="D6968" s="129" t="s">
        <v>24453</v>
      </c>
    </row>
    <row r="6969" spans="1:4">
      <c r="A6969" s="105">
        <v>95397</v>
      </c>
      <c r="B6969" s="104" t="s">
        <v>6820</v>
      </c>
      <c r="C6969" s="104" t="s">
        <v>16</v>
      </c>
      <c r="D6969" s="129" t="s">
        <v>15216</v>
      </c>
    </row>
    <row r="6970" spans="1:4">
      <c r="A6970" s="105">
        <v>95398</v>
      </c>
      <c r="B6970" s="104" t="s">
        <v>6821</v>
      </c>
      <c r="C6970" s="104" t="s">
        <v>16</v>
      </c>
      <c r="D6970" s="129" t="s">
        <v>15492</v>
      </c>
    </row>
    <row r="6971" spans="1:4">
      <c r="A6971" s="105">
        <v>95399</v>
      </c>
      <c r="B6971" s="104" t="s">
        <v>6822</v>
      </c>
      <c r="C6971" s="104" t="s">
        <v>16</v>
      </c>
      <c r="D6971" s="129" t="s">
        <v>15216</v>
      </c>
    </row>
    <row r="6972" spans="1:4">
      <c r="A6972" s="105">
        <v>95400</v>
      </c>
      <c r="B6972" s="104" t="s">
        <v>6823</v>
      </c>
      <c r="C6972" s="104" t="s">
        <v>16</v>
      </c>
      <c r="D6972" s="129" t="s">
        <v>15216</v>
      </c>
    </row>
    <row r="6973" spans="1:4">
      <c r="A6973" s="105">
        <v>95401</v>
      </c>
      <c r="B6973" s="104" t="s">
        <v>6824</v>
      </c>
      <c r="C6973" s="104" t="s">
        <v>16</v>
      </c>
      <c r="D6973" s="129" t="s">
        <v>15292</v>
      </c>
    </row>
    <row r="6974" spans="1:4">
      <c r="A6974" s="105">
        <v>95402</v>
      </c>
      <c r="B6974" s="104" t="s">
        <v>6825</v>
      </c>
      <c r="C6974" s="104" t="s">
        <v>16</v>
      </c>
      <c r="D6974" s="129" t="s">
        <v>24336</v>
      </c>
    </row>
    <row r="6975" spans="1:4">
      <c r="A6975" s="105">
        <v>95403</v>
      </c>
      <c r="B6975" s="104" t="s">
        <v>6826</v>
      </c>
      <c r="C6975" s="104" t="s">
        <v>16</v>
      </c>
      <c r="D6975" s="129" t="s">
        <v>15648</v>
      </c>
    </row>
    <row r="6976" spans="1:4">
      <c r="A6976" s="105">
        <v>95404</v>
      </c>
      <c r="B6976" s="104" t="s">
        <v>6827</v>
      </c>
      <c r="C6976" s="104" t="s">
        <v>16</v>
      </c>
      <c r="D6976" s="129" t="s">
        <v>24384</v>
      </c>
    </row>
    <row r="6977" spans="1:4">
      <c r="A6977" s="105">
        <v>95405</v>
      </c>
      <c r="B6977" s="104" t="s">
        <v>6828</v>
      </c>
      <c r="C6977" s="104" t="s">
        <v>16</v>
      </c>
      <c r="D6977" s="129" t="s">
        <v>15342</v>
      </c>
    </row>
    <row r="6978" spans="1:4">
      <c r="A6978" s="105">
        <v>95406</v>
      </c>
      <c r="B6978" s="104" t="s">
        <v>6829</v>
      </c>
      <c r="C6978" s="104" t="s">
        <v>16</v>
      </c>
      <c r="D6978" s="129" t="s">
        <v>19512</v>
      </c>
    </row>
    <row r="6979" spans="1:4">
      <c r="A6979" s="105">
        <v>95407</v>
      </c>
      <c r="B6979" s="104" t="s">
        <v>6830</v>
      </c>
      <c r="C6979" s="104" t="s">
        <v>16</v>
      </c>
      <c r="D6979" s="129" t="s">
        <v>24454</v>
      </c>
    </row>
    <row r="6980" spans="1:4">
      <c r="A6980" s="105">
        <v>95408</v>
      </c>
      <c r="B6980" s="104" t="s">
        <v>6831</v>
      </c>
      <c r="C6980" s="104" t="s">
        <v>6730</v>
      </c>
      <c r="D6980" s="129" t="s">
        <v>15287</v>
      </c>
    </row>
    <row r="6981" spans="1:4">
      <c r="A6981" s="105">
        <v>95409</v>
      </c>
      <c r="B6981" s="104" t="s">
        <v>6832</v>
      </c>
      <c r="C6981" s="104" t="s">
        <v>6730</v>
      </c>
      <c r="D6981" s="129" t="s">
        <v>16902</v>
      </c>
    </row>
    <row r="6982" spans="1:4">
      <c r="A6982" s="105">
        <v>95410</v>
      </c>
      <c r="B6982" s="104" t="s">
        <v>6833</v>
      </c>
      <c r="C6982" s="104" t="s">
        <v>6730</v>
      </c>
      <c r="D6982" s="129" t="s">
        <v>22710</v>
      </c>
    </row>
    <row r="6983" spans="1:4">
      <c r="A6983" s="105">
        <v>95411</v>
      </c>
      <c r="B6983" s="104" t="s">
        <v>6834</v>
      </c>
      <c r="C6983" s="104" t="s">
        <v>6730</v>
      </c>
      <c r="D6983" s="129" t="s">
        <v>24455</v>
      </c>
    </row>
    <row r="6984" spans="1:4">
      <c r="A6984" s="105">
        <v>95412</v>
      </c>
      <c r="B6984" s="104" t="s">
        <v>6835</v>
      </c>
      <c r="C6984" s="104" t="s">
        <v>6730</v>
      </c>
      <c r="D6984" s="129" t="s">
        <v>24455</v>
      </c>
    </row>
    <row r="6985" spans="1:4">
      <c r="A6985" s="105">
        <v>95413</v>
      </c>
      <c r="B6985" s="104" t="s">
        <v>6836</v>
      </c>
      <c r="C6985" s="104" t="s">
        <v>6730</v>
      </c>
      <c r="D6985" s="129" t="s">
        <v>24456</v>
      </c>
    </row>
    <row r="6986" spans="1:4">
      <c r="A6986" s="105">
        <v>95414</v>
      </c>
      <c r="B6986" s="104" t="s">
        <v>6837</v>
      </c>
      <c r="C6986" s="104" t="s">
        <v>6730</v>
      </c>
      <c r="D6986" s="129" t="s">
        <v>24457</v>
      </c>
    </row>
    <row r="6987" spans="1:4">
      <c r="A6987" s="105">
        <v>95415</v>
      </c>
      <c r="B6987" s="104" t="s">
        <v>6838</v>
      </c>
      <c r="C6987" s="104" t="s">
        <v>6730</v>
      </c>
      <c r="D6987" s="129" t="s">
        <v>20644</v>
      </c>
    </row>
    <row r="6988" spans="1:4">
      <c r="A6988" s="105">
        <v>95416</v>
      </c>
      <c r="B6988" s="104" t="s">
        <v>6839</v>
      </c>
      <c r="C6988" s="104" t="s">
        <v>6730</v>
      </c>
      <c r="D6988" s="129" t="s">
        <v>15716</v>
      </c>
    </row>
    <row r="6989" spans="1:4">
      <c r="A6989" s="105">
        <v>95417</v>
      </c>
      <c r="B6989" s="104" t="s">
        <v>6840</v>
      </c>
      <c r="C6989" s="104" t="s">
        <v>6730</v>
      </c>
      <c r="D6989" s="129" t="s">
        <v>24458</v>
      </c>
    </row>
    <row r="6990" spans="1:4">
      <c r="A6990" s="105">
        <v>95418</v>
      </c>
      <c r="B6990" s="104" t="s">
        <v>6841</v>
      </c>
      <c r="C6990" s="104" t="s">
        <v>6730</v>
      </c>
      <c r="D6990" s="129" t="s">
        <v>24459</v>
      </c>
    </row>
    <row r="6991" spans="1:4">
      <c r="A6991" s="105">
        <v>95419</v>
      </c>
      <c r="B6991" s="104" t="s">
        <v>6842</v>
      </c>
      <c r="C6991" s="104" t="s">
        <v>6730</v>
      </c>
      <c r="D6991" s="129" t="s">
        <v>16308</v>
      </c>
    </row>
    <row r="6992" spans="1:4">
      <c r="A6992" s="105">
        <v>95420</v>
      </c>
      <c r="B6992" s="104" t="s">
        <v>6843</v>
      </c>
      <c r="C6992" s="104" t="s">
        <v>6730</v>
      </c>
      <c r="D6992" s="129" t="s">
        <v>24460</v>
      </c>
    </row>
    <row r="6993" spans="1:4">
      <c r="A6993" s="105">
        <v>95421</v>
      </c>
      <c r="B6993" s="104" t="s">
        <v>6844</v>
      </c>
      <c r="C6993" s="104" t="s">
        <v>6730</v>
      </c>
      <c r="D6993" s="129" t="s">
        <v>24461</v>
      </c>
    </row>
    <row r="6994" spans="1:4">
      <c r="A6994" s="105">
        <v>95422</v>
      </c>
      <c r="B6994" s="104" t="s">
        <v>6845</v>
      </c>
      <c r="C6994" s="104" t="s">
        <v>6730</v>
      </c>
      <c r="D6994" s="129" t="s">
        <v>15931</v>
      </c>
    </row>
    <row r="6995" spans="1:4">
      <c r="A6995" s="105">
        <v>95423</v>
      </c>
      <c r="B6995" s="104" t="s">
        <v>6846</v>
      </c>
      <c r="C6995" s="104" t="s">
        <v>6730</v>
      </c>
      <c r="D6995" s="129" t="s">
        <v>24462</v>
      </c>
    </row>
    <row r="6996" spans="1:4">
      <c r="A6996" s="105">
        <v>95424</v>
      </c>
      <c r="B6996" s="104" t="s">
        <v>6847</v>
      </c>
      <c r="C6996" s="104" t="s">
        <v>6730</v>
      </c>
      <c r="D6996" s="129" t="s">
        <v>18097</v>
      </c>
    </row>
    <row r="6997" spans="1:4">
      <c r="A6997" s="105">
        <v>100288</v>
      </c>
      <c r="B6997" s="104" t="s">
        <v>6848</v>
      </c>
      <c r="C6997" s="104" t="s">
        <v>16</v>
      </c>
      <c r="D6997" s="129" t="s">
        <v>15492</v>
      </c>
    </row>
    <row r="6998" spans="1:4">
      <c r="A6998" s="105">
        <v>100289</v>
      </c>
      <c r="B6998" s="104" t="s">
        <v>6849</v>
      </c>
      <c r="C6998" s="104" t="s">
        <v>16</v>
      </c>
      <c r="D6998" s="129" t="s">
        <v>21646</v>
      </c>
    </row>
    <row r="6999" spans="1:4">
      <c r="A6999" s="105">
        <v>100290</v>
      </c>
      <c r="B6999" s="104" t="s">
        <v>6850</v>
      </c>
      <c r="C6999" s="104" t="s">
        <v>16</v>
      </c>
      <c r="D6999" s="129" t="s">
        <v>15492</v>
      </c>
    </row>
    <row r="7000" spans="1:4">
      <c r="A7000" s="105">
        <v>100291</v>
      </c>
      <c r="B7000" s="104" t="s">
        <v>6851</v>
      </c>
      <c r="C7000" s="104" t="s">
        <v>16</v>
      </c>
      <c r="D7000" s="129" t="s">
        <v>15765</v>
      </c>
    </row>
    <row r="7001" spans="1:4">
      <c r="A7001" s="105">
        <v>100292</v>
      </c>
      <c r="B7001" s="104" t="s">
        <v>6852</v>
      </c>
      <c r="C7001" s="104" t="s">
        <v>16</v>
      </c>
      <c r="D7001" s="129" t="s">
        <v>15342</v>
      </c>
    </row>
    <row r="7002" spans="1:4">
      <c r="A7002" s="105">
        <v>100293</v>
      </c>
      <c r="B7002" s="104" t="s">
        <v>6853</v>
      </c>
      <c r="C7002" s="104" t="s">
        <v>16</v>
      </c>
      <c r="D7002" s="129" t="s">
        <v>15334</v>
      </c>
    </row>
    <row r="7003" spans="1:4">
      <c r="A7003" s="105">
        <v>100294</v>
      </c>
      <c r="B7003" s="104" t="s">
        <v>6854</v>
      </c>
      <c r="C7003" s="104" t="s">
        <v>16</v>
      </c>
      <c r="D7003" s="129" t="s">
        <v>15425</v>
      </c>
    </row>
    <row r="7004" spans="1:4">
      <c r="A7004" s="105">
        <v>100295</v>
      </c>
      <c r="B7004" s="104" t="s">
        <v>6855</v>
      </c>
      <c r="C7004" s="104" t="s">
        <v>16</v>
      </c>
      <c r="D7004" s="129" t="s">
        <v>20119</v>
      </c>
    </row>
    <row r="7005" spans="1:4">
      <c r="A7005" s="105">
        <v>100296</v>
      </c>
      <c r="B7005" s="104" t="s">
        <v>6856</v>
      </c>
      <c r="C7005" s="104" t="s">
        <v>16</v>
      </c>
      <c r="D7005" s="129" t="s">
        <v>15674</v>
      </c>
    </row>
    <row r="7006" spans="1:4">
      <c r="A7006" s="105">
        <v>100297</v>
      </c>
      <c r="B7006" s="104" t="s">
        <v>6857</v>
      </c>
      <c r="C7006" s="104" t="s">
        <v>16</v>
      </c>
      <c r="D7006" s="129" t="s">
        <v>20325</v>
      </c>
    </row>
    <row r="7007" spans="1:4">
      <c r="A7007" s="105">
        <v>100298</v>
      </c>
      <c r="B7007" s="104" t="s">
        <v>6858</v>
      </c>
      <c r="C7007" s="104" t="s">
        <v>16</v>
      </c>
      <c r="D7007" s="129" t="s">
        <v>20119</v>
      </c>
    </row>
    <row r="7008" spans="1:4">
      <c r="A7008" s="105">
        <v>100299</v>
      </c>
      <c r="B7008" s="104" t="s">
        <v>6859</v>
      </c>
      <c r="C7008" s="104" t="s">
        <v>16</v>
      </c>
      <c r="D7008" s="129" t="s">
        <v>15347</v>
      </c>
    </row>
    <row r="7009" spans="1:4">
      <c r="A7009" s="105">
        <v>100300</v>
      </c>
      <c r="B7009" s="104" t="s">
        <v>6860</v>
      </c>
      <c r="C7009" s="104" t="s">
        <v>16</v>
      </c>
      <c r="D7009" s="129" t="s">
        <v>19127</v>
      </c>
    </row>
    <row r="7010" spans="1:4">
      <c r="A7010" s="105">
        <v>100301</v>
      </c>
      <c r="B7010" s="104" t="s">
        <v>6861</v>
      </c>
      <c r="C7010" s="104" t="s">
        <v>16</v>
      </c>
      <c r="D7010" s="129" t="s">
        <v>17283</v>
      </c>
    </row>
    <row r="7011" spans="1:4">
      <c r="A7011" s="105">
        <v>100302</v>
      </c>
      <c r="B7011" s="104" t="s">
        <v>6862</v>
      </c>
      <c r="C7011" s="104" t="s">
        <v>16</v>
      </c>
      <c r="D7011" s="129" t="s">
        <v>24463</v>
      </c>
    </row>
    <row r="7012" spans="1:4">
      <c r="A7012" s="105">
        <v>100303</v>
      </c>
      <c r="B7012" s="104" t="s">
        <v>6863</v>
      </c>
      <c r="C7012" s="104" t="s">
        <v>16</v>
      </c>
      <c r="D7012" s="129" t="s">
        <v>16696</v>
      </c>
    </row>
    <row r="7013" spans="1:4">
      <c r="A7013" s="105">
        <v>100304</v>
      </c>
      <c r="B7013" s="104" t="s">
        <v>6864</v>
      </c>
      <c r="C7013" s="104" t="s">
        <v>16</v>
      </c>
      <c r="D7013" s="129" t="s">
        <v>18736</v>
      </c>
    </row>
    <row r="7014" spans="1:4">
      <c r="A7014" s="105">
        <v>100305</v>
      </c>
      <c r="B7014" s="104" t="s">
        <v>6865</v>
      </c>
      <c r="C7014" s="104" t="s">
        <v>16</v>
      </c>
      <c r="D7014" s="129" t="s">
        <v>24464</v>
      </c>
    </row>
    <row r="7015" spans="1:4">
      <c r="A7015" s="105">
        <v>100306</v>
      </c>
      <c r="B7015" s="104" t="s">
        <v>6866</v>
      </c>
      <c r="C7015" s="104" t="s">
        <v>16</v>
      </c>
      <c r="D7015" s="129" t="s">
        <v>24465</v>
      </c>
    </row>
    <row r="7016" spans="1:4">
      <c r="A7016" s="105">
        <v>100307</v>
      </c>
      <c r="B7016" s="104" t="s">
        <v>6867</v>
      </c>
      <c r="C7016" s="104" t="s">
        <v>16</v>
      </c>
      <c r="D7016" s="129" t="s">
        <v>20270</v>
      </c>
    </row>
    <row r="7017" spans="1:4">
      <c r="A7017" s="105">
        <v>100308</v>
      </c>
      <c r="B7017" s="104" t="s">
        <v>6868</v>
      </c>
      <c r="C7017" s="104" t="s">
        <v>16</v>
      </c>
      <c r="D7017" s="129" t="s">
        <v>22104</v>
      </c>
    </row>
    <row r="7018" spans="1:4">
      <c r="A7018" s="105">
        <v>100309</v>
      </c>
      <c r="B7018" s="104" t="s">
        <v>6869</v>
      </c>
      <c r="C7018" s="104" t="s">
        <v>16</v>
      </c>
      <c r="D7018" s="129" t="s">
        <v>24466</v>
      </c>
    </row>
    <row r="7019" spans="1:4">
      <c r="A7019" s="105">
        <v>100310</v>
      </c>
      <c r="B7019" s="104" t="s">
        <v>6870</v>
      </c>
      <c r="C7019" s="104" t="s">
        <v>6730</v>
      </c>
      <c r="D7019" s="129" t="s">
        <v>23896</v>
      </c>
    </row>
    <row r="7020" spans="1:4">
      <c r="A7020" s="105">
        <v>100311</v>
      </c>
      <c r="B7020" s="104" t="s">
        <v>6871</v>
      </c>
      <c r="C7020" s="104" t="s">
        <v>6730</v>
      </c>
      <c r="D7020" s="129" t="s">
        <v>20904</v>
      </c>
    </row>
    <row r="7021" spans="1:4">
      <c r="A7021" s="105">
        <v>100312</v>
      </c>
      <c r="B7021" s="104" t="s">
        <v>6872</v>
      </c>
      <c r="C7021" s="104" t="s">
        <v>6730</v>
      </c>
      <c r="D7021" s="129" t="s">
        <v>24467</v>
      </c>
    </row>
    <row r="7022" spans="1:4">
      <c r="A7022" s="105">
        <v>100313</v>
      </c>
      <c r="B7022" s="104" t="s">
        <v>6873</v>
      </c>
      <c r="C7022" s="104" t="s">
        <v>6730</v>
      </c>
      <c r="D7022" s="129" t="s">
        <v>24468</v>
      </c>
    </row>
    <row r="7023" spans="1:4">
      <c r="A7023" s="105">
        <v>100314</v>
      </c>
      <c r="B7023" s="104" t="s">
        <v>6874</v>
      </c>
      <c r="C7023" s="104" t="s">
        <v>6730</v>
      </c>
      <c r="D7023" s="129" t="s">
        <v>24469</v>
      </c>
    </row>
    <row r="7024" spans="1:4">
      <c r="A7024" s="105">
        <v>100315</v>
      </c>
      <c r="B7024" s="104" t="s">
        <v>6875</v>
      </c>
      <c r="C7024" s="104" t="s">
        <v>6730</v>
      </c>
      <c r="D7024" s="129" t="s">
        <v>23148</v>
      </c>
    </row>
    <row r="7025" spans="1:4">
      <c r="A7025" s="105">
        <v>100316</v>
      </c>
      <c r="B7025" s="104" t="s">
        <v>6860</v>
      </c>
      <c r="C7025" s="104" t="s">
        <v>6730</v>
      </c>
      <c r="D7025" s="129" t="s">
        <v>24470</v>
      </c>
    </row>
    <row r="7026" spans="1:4">
      <c r="A7026" s="105">
        <v>100317</v>
      </c>
      <c r="B7026" s="104" t="s">
        <v>6876</v>
      </c>
      <c r="C7026" s="104" t="s">
        <v>6730</v>
      </c>
      <c r="D7026" s="129" t="s">
        <v>24471</v>
      </c>
    </row>
    <row r="7027" spans="1:4">
      <c r="A7027" s="105">
        <v>100318</v>
      </c>
      <c r="B7027" s="104" t="s">
        <v>6864</v>
      </c>
      <c r="C7027" s="104" t="s">
        <v>6730</v>
      </c>
      <c r="D7027" s="129" t="s">
        <v>24472</v>
      </c>
    </row>
    <row r="7028" spans="1:4">
      <c r="A7028" s="105">
        <v>100319</v>
      </c>
      <c r="B7028" s="104" t="s">
        <v>6865</v>
      </c>
      <c r="C7028" s="104" t="s">
        <v>6730</v>
      </c>
      <c r="D7028" s="129" t="s">
        <v>24473</v>
      </c>
    </row>
    <row r="7029" spans="1:4">
      <c r="A7029" s="105">
        <v>100320</v>
      </c>
      <c r="B7029" s="104" t="s">
        <v>6866</v>
      </c>
      <c r="C7029" s="104" t="s">
        <v>6730</v>
      </c>
      <c r="D7029" s="129" t="s">
        <v>24474</v>
      </c>
    </row>
    <row r="7030" spans="1:4">
      <c r="A7030" s="105">
        <v>100321</v>
      </c>
      <c r="B7030" s="104" t="s">
        <v>6869</v>
      </c>
      <c r="C7030" s="104" t="s">
        <v>6730</v>
      </c>
      <c r="D7030" s="129" t="s">
        <v>24475</v>
      </c>
    </row>
    <row r="7031" spans="1:4">
      <c r="A7031" s="105">
        <v>100533</v>
      </c>
      <c r="B7031" s="104" t="s">
        <v>6877</v>
      </c>
      <c r="C7031" s="104" t="s">
        <v>16</v>
      </c>
      <c r="D7031" s="129" t="s">
        <v>18137</v>
      </c>
    </row>
    <row r="7032" spans="1:4">
      <c r="A7032" s="105">
        <v>100534</v>
      </c>
      <c r="B7032" s="104" t="s">
        <v>6877</v>
      </c>
      <c r="C7032" s="104" t="s">
        <v>6730</v>
      </c>
      <c r="D7032" s="129" t="s">
        <v>24476</v>
      </c>
    </row>
    <row r="7033" spans="1:4">
      <c r="A7033" s="105">
        <v>100535</v>
      </c>
      <c r="B7033" s="104" t="s">
        <v>6878</v>
      </c>
      <c r="C7033" s="104" t="s">
        <v>16</v>
      </c>
      <c r="D7033" s="129" t="s">
        <v>15576</v>
      </c>
    </row>
    <row r="7034" spans="1:4">
      <c r="A7034" s="105">
        <v>100536</v>
      </c>
      <c r="B7034" s="104" t="s">
        <v>6879</v>
      </c>
      <c r="C7034" s="104" t="s">
        <v>6730</v>
      </c>
      <c r="D7034" s="129" t="s">
        <v>24477</v>
      </c>
    </row>
    <row r="7035" spans="1:4">
      <c r="A7035" s="105">
        <v>101284</v>
      </c>
      <c r="B7035" s="104" t="s">
        <v>6880</v>
      </c>
      <c r="C7035" s="104" t="s">
        <v>16</v>
      </c>
      <c r="D7035" s="129" t="s">
        <v>15832</v>
      </c>
    </row>
    <row r="7036" spans="1:4">
      <c r="A7036" s="105">
        <v>101285</v>
      </c>
      <c r="B7036" s="104" t="s">
        <v>6881</v>
      </c>
      <c r="C7036" s="104" t="s">
        <v>16</v>
      </c>
      <c r="D7036" s="129" t="s">
        <v>15347</v>
      </c>
    </row>
    <row r="7037" spans="1:4">
      <c r="A7037" s="105">
        <v>101286</v>
      </c>
      <c r="B7037" s="104" t="s">
        <v>6882</v>
      </c>
      <c r="C7037" s="104" t="s">
        <v>6730</v>
      </c>
      <c r="D7037" s="129" t="s">
        <v>21870</v>
      </c>
    </row>
    <row r="7038" spans="1:4">
      <c r="A7038" s="105">
        <v>101287</v>
      </c>
      <c r="B7038" s="104" t="s">
        <v>6883</v>
      </c>
      <c r="C7038" s="104" t="s">
        <v>6730</v>
      </c>
      <c r="D7038" s="129" t="s">
        <v>24478</v>
      </c>
    </row>
    <row r="7039" spans="1:4">
      <c r="A7039" s="105">
        <v>101288</v>
      </c>
      <c r="B7039" s="104" t="s">
        <v>6884</v>
      </c>
      <c r="C7039" s="104" t="s">
        <v>6730</v>
      </c>
      <c r="D7039" s="129" t="s">
        <v>17727</v>
      </c>
    </row>
    <row r="7040" spans="1:4">
      <c r="A7040" s="105">
        <v>101289</v>
      </c>
      <c r="B7040" s="104" t="s">
        <v>6885</v>
      </c>
      <c r="C7040" s="104" t="s">
        <v>6730</v>
      </c>
      <c r="D7040" s="129" t="s">
        <v>21870</v>
      </c>
    </row>
    <row r="7041" spans="1:4">
      <c r="A7041" s="105">
        <v>101290</v>
      </c>
      <c r="B7041" s="104" t="s">
        <v>6886</v>
      </c>
      <c r="C7041" s="104" t="s">
        <v>6730</v>
      </c>
      <c r="D7041" s="129" t="s">
        <v>23092</v>
      </c>
    </row>
    <row r="7042" spans="1:4">
      <c r="A7042" s="105">
        <v>101291</v>
      </c>
      <c r="B7042" s="104" t="s">
        <v>6887</v>
      </c>
      <c r="C7042" s="104" t="s">
        <v>6730</v>
      </c>
      <c r="D7042" s="129" t="s">
        <v>20341</v>
      </c>
    </row>
    <row r="7043" spans="1:4">
      <c r="A7043" s="105">
        <v>101292</v>
      </c>
      <c r="B7043" s="104" t="s">
        <v>6888</v>
      </c>
      <c r="C7043" s="104" t="s">
        <v>6730</v>
      </c>
      <c r="D7043" s="129" t="s">
        <v>20341</v>
      </c>
    </row>
    <row r="7044" spans="1:4">
      <c r="A7044" s="105">
        <v>101293</v>
      </c>
      <c r="B7044" s="104" t="s">
        <v>6889</v>
      </c>
      <c r="C7044" s="104" t="s">
        <v>6730</v>
      </c>
      <c r="D7044" s="129" t="s">
        <v>24479</v>
      </c>
    </row>
    <row r="7045" spans="1:4">
      <c r="A7045" s="105">
        <v>101294</v>
      </c>
      <c r="B7045" s="104" t="s">
        <v>6890</v>
      </c>
      <c r="C7045" s="104" t="s">
        <v>6730</v>
      </c>
      <c r="D7045" s="129" t="s">
        <v>23548</v>
      </c>
    </row>
    <row r="7046" spans="1:4">
      <c r="A7046" s="105">
        <v>101295</v>
      </c>
      <c r="B7046" s="104" t="s">
        <v>6891</v>
      </c>
      <c r="C7046" s="104" t="s">
        <v>6730</v>
      </c>
      <c r="D7046" s="129" t="s">
        <v>24427</v>
      </c>
    </row>
    <row r="7047" spans="1:4">
      <c r="A7047" s="105">
        <v>101296</v>
      </c>
      <c r="B7047" s="104" t="s">
        <v>6892</v>
      </c>
      <c r="C7047" s="104" t="s">
        <v>6730</v>
      </c>
      <c r="D7047" s="129" t="s">
        <v>17331</v>
      </c>
    </row>
    <row r="7048" spans="1:4">
      <c r="A7048" s="105">
        <v>101297</v>
      </c>
      <c r="B7048" s="104" t="s">
        <v>6893</v>
      </c>
      <c r="C7048" s="104" t="s">
        <v>6730</v>
      </c>
      <c r="D7048" s="129" t="s">
        <v>20357</v>
      </c>
    </row>
    <row r="7049" spans="1:4">
      <c r="A7049" s="105">
        <v>101298</v>
      </c>
      <c r="B7049" s="104" t="s">
        <v>6894</v>
      </c>
      <c r="C7049" s="104" t="s">
        <v>6730</v>
      </c>
      <c r="D7049" s="129" t="s">
        <v>17202</v>
      </c>
    </row>
    <row r="7050" spans="1:4">
      <c r="A7050" s="105">
        <v>101299</v>
      </c>
      <c r="B7050" s="104" t="s">
        <v>6895</v>
      </c>
      <c r="C7050" s="104" t="s">
        <v>6730</v>
      </c>
      <c r="D7050" s="129" t="s">
        <v>24427</v>
      </c>
    </row>
    <row r="7051" spans="1:4">
      <c r="A7051" s="105">
        <v>101300</v>
      </c>
      <c r="B7051" s="104" t="s">
        <v>6896</v>
      </c>
      <c r="C7051" s="104" t="s">
        <v>6730</v>
      </c>
      <c r="D7051" s="129" t="s">
        <v>18025</v>
      </c>
    </row>
    <row r="7052" spans="1:4">
      <c r="A7052" s="105">
        <v>101301</v>
      </c>
      <c r="B7052" s="104" t="s">
        <v>6897</v>
      </c>
      <c r="C7052" s="104" t="s">
        <v>6730</v>
      </c>
      <c r="D7052" s="129" t="s">
        <v>18026</v>
      </c>
    </row>
    <row r="7053" spans="1:4">
      <c r="A7053" s="105">
        <v>101302</v>
      </c>
      <c r="B7053" s="104" t="s">
        <v>6898</v>
      </c>
      <c r="C7053" s="104" t="s">
        <v>6730</v>
      </c>
      <c r="D7053" s="129" t="s">
        <v>19216</v>
      </c>
    </row>
    <row r="7054" spans="1:4">
      <c r="A7054" s="105">
        <v>101303</v>
      </c>
      <c r="B7054" s="104" t="s">
        <v>6899</v>
      </c>
      <c r="C7054" s="104" t="s">
        <v>6730</v>
      </c>
      <c r="D7054" s="129" t="s">
        <v>24480</v>
      </c>
    </row>
    <row r="7055" spans="1:4">
      <c r="A7055" s="105">
        <v>101304</v>
      </c>
      <c r="B7055" s="104" t="s">
        <v>6900</v>
      </c>
      <c r="C7055" s="104" t="s">
        <v>6730</v>
      </c>
      <c r="D7055" s="129" t="s">
        <v>24481</v>
      </c>
    </row>
    <row r="7056" spans="1:4">
      <c r="A7056" s="105">
        <v>101305</v>
      </c>
      <c r="B7056" s="104" t="s">
        <v>6901</v>
      </c>
      <c r="C7056" s="104" t="s">
        <v>6730</v>
      </c>
      <c r="D7056" s="129" t="s">
        <v>15793</v>
      </c>
    </row>
    <row r="7057" spans="1:4">
      <c r="A7057" s="105">
        <v>101307</v>
      </c>
      <c r="B7057" s="104" t="s">
        <v>6902</v>
      </c>
      <c r="C7057" s="104" t="s">
        <v>6730</v>
      </c>
      <c r="D7057" s="129" t="s">
        <v>22068</v>
      </c>
    </row>
    <row r="7058" spans="1:4">
      <c r="A7058" s="105">
        <v>101308</v>
      </c>
      <c r="B7058" s="104" t="s">
        <v>6903</v>
      </c>
      <c r="C7058" s="104" t="s">
        <v>6730</v>
      </c>
      <c r="D7058" s="129" t="s">
        <v>22727</v>
      </c>
    </row>
    <row r="7059" spans="1:4">
      <c r="A7059" s="105">
        <v>101309</v>
      </c>
      <c r="B7059" s="104" t="s">
        <v>6904</v>
      </c>
      <c r="C7059" s="104" t="s">
        <v>6730</v>
      </c>
      <c r="D7059" s="129" t="s">
        <v>23092</v>
      </c>
    </row>
    <row r="7060" spans="1:4">
      <c r="A7060" s="105">
        <v>101310</v>
      </c>
      <c r="B7060" s="104" t="s">
        <v>6905</v>
      </c>
      <c r="C7060" s="104" t="s">
        <v>6730</v>
      </c>
      <c r="D7060" s="129" t="s">
        <v>24482</v>
      </c>
    </row>
    <row r="7061" spans="1:4">
      <c r="A7061" s="105">
        <v>101311</v>
      </c>
      <c r="B7061" s="104" t="s">
        <v>6906</v>
      </c>
      <c r="C7061" s="104" t="s">
        <v>6730</v>
      </c>
      <c r="D7061" s="129" t="s">
        <v>24479</v>
      </c>
    </row>
    <row r="7062" spans="1:4">
      <c r="A7062" s="105">
        <v>101312</v>
      </c>
      <c r="B7062" s="104" t="s">
        <v>6907</v>
      </c>
      <c r="C7062" s="104" t="s">
        <v>6730</v>
      </c>
      <c r="D7062" s="129" t="s">
        <v>17246</v>
      </c>
    </row>
    <row r="7063" spans="1:4">
      <c r="A7063" s="105">
        <v>101313</v>
      </c>
      <c r="B7063" s="104" t="s">
        <v>6908</v>
      </c>
      <c r="C7063" s="104" t="s">
        <v>6730</v>
      </c>
      <c r="D7063" s="129" t="s">
        <v>24483</v>
      </c>
    </row>
    <row r="7064" spans="1:4">
      <c r="A7064" s="105">
        <v>101314</v>
      </c>
      <c r="B7064" s="104" t="s">
        <v>6909</v>
      </c>
      <c r="C7064" s="104" t="s">
        <v>6730</v>
      </c>
      <c r="D7064" s="129" t="s">
        <v>24483</v>
      </c>
    </row>
    <row r="7065" spans="1:4">
      <c r="A7065" s="105">
        <v>101315</v>
      </c>
      <c r="B7065" s="104" t="s">
        <v>6910</v>
      </c>
      <c r="C7065" s="104" t="s">
        <v>6730</v>
      </c>
      <c r="D7065" s="129" t="s">
        <v>15373</v>
      </c>
    </row>
    <row r="7066" spans="1:4">
      <c r="A7066" s="105">
        <v>101316</v>
      </c>
      <c r="B7066" s="104" t="s">
        <v>6911</v>
      </c>
      <c r="C7066" s="104" t="s">
        <v>6730</v>
      </c>
      <c r="D7066" s="129" t="s">
        <v>24484</v>
      </c>
    </row>
    <row r="7067" spans="1:4">
      <c r="A7067" s="105">
        <v>101317</v>
      </c>
      <c r="B7067" s="104" t="s">
        <v>6912</v>
      </c>
      <c r="C7067" s="104" t="s">
        <v>6730</v>
      </c>
      <c r="D7067" s="129" t="s">
        <v>24485</v>
      </c>
    </row>
    <row r="7068" spans="1:4">
      <c r="A7068" s="105">
        <v>101318</v>
      </c>
      <c r="B7068" s="104" t="s">
        <v>6913</v>
      </c>
      <c r="C7068" s="104" t="s">
        <v>6730</v>
      </c>
      <c r="D7068" s="129" t="s">
        <v>24486</v>
      </c>
    </row>
    <row r="7069" spans="1:4">
      <c r="A7069" s="105">
        <v>101319</v>
      </c>
      <c r="B7069" s="104" t="s">
        <v>6914</v>
      </c>
      <c r="C7069" s="104" t="s">
        <v>6730</v>
      </c>
      <c r="D7069" s="129" t="s">
        <v>24487</v>
      </c>
    </row>
    <row r="7070" spans="1:4">
      <c r="A7070" s="105">
        <v>101320</v>
      </c>
      <c r="B7070" s="104" t="s">
        <v>6915</v>
      </c>
      <c r="C7070" s="104" t="s">
        <v>6730</v>
      </c>
      <c r="D7070" s="129" t="s">
        <v>18560</v>
      </c>
    </row>
    <row r="7071" spans="1:4">
      <c r="A7071" s="105">
        <v>101322</v>
      </c>
      <c r="B7071" s="104" t="s">
        <v>6916</v>
      </c>
      <c r="C7071" s="104" t="s">
        <v>6730</v>
      </c>
      <c r="D7071" s="129" t="s">
        <v>17329</v>
      </c>
    </row>
    <row r="7072" spans="1:4">
      <c r="A7072" s="105">
        <v>101323</v>
      </c>
      <c r="B7072" s="104" t="s">
        <v>6917</v>
      </c>
      <c r="C7072" s="104" t="s">
        <v>6730</v>
      </c>
      <c r="D7072" s="129" t="s">
        <v>24488</v>
      </c>
    </row>
    <row r="7073" spans="1:4">
      <c r="A7073" s="105">
        <v>101324</v>
      </c>
      <c r="B7073" s="104" t="s">
        <v>6918</v>
      </c>
      <c r="C7073" s="104" t="s">
        <v>6730</v>
      </c>
      <c r="D7073" s="129" t="s">
        <v>24353</v>
      </c>
    </row>
    <row r="7074" spans="1:4">
      <c r="A7074" s="105">
        <v>101325</v>
      </c>
      <c r="B7074" s="104" t="s">
        <v>6919</v>
      </c>
      <c r="C7074" s="104" t="s">
        <v>6730</v>
      </c>
      <c r="D7074" s="129" t="s">
        <v>22958</v>
      </c>
    </row>
    <row r="7075" spans="1:4">
      <c r="A7075" s="105">
        <v>101326</v>
      </c>
      <c r="B7075" s="104" t="s">
        <v>6920</v>
      </c>
      <c r="C7075" s="104" t="s">
        <v>6730</v>
      </c>
      <c r="D7075" s="129" t="s">
        <v>24489</v>
      </c>
    </row>
    <row r="7076" spans="1:4">
      <c r="A7076" s="105">
        <v>101327</v>
      </c>
      <c r="B7076" s="104" t="s">
        <v>6921</v>
      </c>
      <c r="C7076" s="104" t="s">
        <v>6730</v>
      </c>
      <c r="D7076" s="129" t="s">
        <v>24490</v>
      </c>
    </row>
    <row r="7077" spans="1:4">
      <c r="A7077" s="105">
        <v>101328</v>
      </c>
      <c r="B7077" s="104" t="s">
        <v>6922</v>
      </c>
      <c r="C7077" s="104" t="s">
        <v>6730</v>
      </c>
      <c r="D7077" s="129" t="s">
        <v>15638</v>
      </c>
    </row>
    <row r="7078" spans="1:4">
      <c r="A7078" s="105">
        <v>101329</v>
      </c>
      <c r="B7078" s="104" t="s">
        <v>6923</v>
      </c>
      <c r="C7078" s="104" t="s">
        <v>6730</v>
      </c>
      <c r="D7078" s="129" t="s">
        <v>22521</v>
      </c>
    </row>
    <row r="7079" spans="1:4">
      <c r="A7079" s="105">
        <v>101330</v>
      </c>
      <c r="B7079" s="104" t="s">
        <v>6924</v>
      </c>
      <c r="C7079" s="104" t="s">
        <v>6730</v>
      </c>
      <c r="D7079" s="129" t="s">
        <v>22101</v>
      </c>
    </row>
    <row r="7080" spans="1:4">
      <c r="A7080" s="105">
        <v>101331</v>
      </c>
      <c r="B7080" s="104" t="s">
        <v>6925</v>
      </c>
      <c r="C7080" s="104" t="s">
        <v>6730</v>
      </c>
      <c r="D7080" s="129" t="s">
        <v>24481</v>
      </c>
    </row>
    <row r="7081" spans="1:4">
      <c r="A7081" s="105">
        <v>101332</v>
      </c>
      <c r="B7081" s="104" t="s">
        <v>6926</v>
      </c>
      <c r="C7081" s="104" t="s">
        <v>6730</v>
      </c>
      <c r="D7081" s="129" t="s">
        <v>15738</v>
      </c>
    </row>
    <row r="7082" spans="1:4">
      <c r="A7082" s="105">
        <v>101333</v>
      </c>
      <c r="B7082" s="104" t="s">
        <v>6927</v>
      </c>
      <c r="C7082" s="104" t="s">
        <v>6730</v>
      </c>
      <c r="D7082" s="129" t="s">
        <v>17781</v>
      </c>
    </row>
    <row r="7083" spans="1:4">
      <c r="A7083" s="105">
        <v>101334</v>
      </c>
      <c r="B7083" s="104" t="s">
        <v>6928</v>
      </c>
      <c r="C7083" s="104" t="s">
        <v>6730</v>
      </c>
      <c r="D7083" s="129" t="s">
        <v>22841</v>
      </c>
    </row>
    <row r="7084" spans="1:4">
      <c r="A7084" s="105">
        <v>101335</v>
      </c>
      <c r="B7084" s="104" t="s">
        <v>6929</v>
      </c>
      <c r="C7084" s="104" t="s">
        <v>6730</v>
      </c>
      <c r="D7084" s="129" t="s">
        <v>24491</v>
      </c>
    </row>
    <row r="7085" spans="1:4">
      <c r="A7085" s="105">
        <v>101336</v>
      </c>
      <c r="B7085" s="104" t="s">
        <v>6930</v>
      </c>
      <c r="C7085" s="104" t="s">
        <v>6730</v>
      </c>
      <c r="D7085" s="129" t="s">
        <v>16014</v>
      </c>
    </row>
    <row r="7086" spans="1:4">
      <c r="A7086" s="105">
        <v>101337</v>
      </c>
      <c r="B7086" s="104" t="s">
        <v>6931</v>
      </c>
      <c r="C7086" s="104" t="s">
        <v>6730</v>
      </c>
      <c r="D7086" s="129" t="s">
        <v>22450</v>
      </c>
    </row>
    <row r="7087" spans="1:4">
      <c r="A7087" s="105">
        <v>101338</v>
      </c>
      <c r="B7087" s="104" t="s">
        <v>6932</v>
      </c>
      <c r="C7087" s="104" t="s">
        <v>6730</v>
      </c>
      <c r="D7087" s="129" t="s">
        <v>19193</v>
      </c>
    </row>
    <row r="7088" spans="1:4">
      <c r="A7088" s="105">
        <v>101339</v>
      </c>
      <c r="B7088" s="104" t="s">
        <v>6933</v>
      </c>
      <c r="C7088" s="104" t="s">
        <v>6730</v>
      </c>
      <c r="D7088" s="129" t="s">
        <v>20581</v>
      </c>
    </row>
    <row r="7089" spans="1:4">
      <c r="A7089" s="105">
        <v>101340</v>
      </c>
      <c r="B7089" s="104" t="s">
        <v>6934</v>
      </c>
      <c r="C7089" s="104" t="s">
        <v>6730</v>
      </c>
      <c r="D7089" s="129" t="s">
        <v>17957</v>
      </c>
    </row>
    <row r="7090" spans="1:4">
      <c r="A7090" s="105">
        <v>101341</v>
      </c>
      <c r="B7090" s="104" t="s">
        <v>6935</v>
      </c>
      <c r="C7090" s="104" t="s">
        <v>6730</v>
      </c>
      <c r="D7090" s="129" t="s">
        <v>22050</v>
      </c>
    </row>
    <row r="7091" spans="1:4">
      <c r="A7091" s="105">
        <v>101342</v>
      </c>
      <c r="B7091" s="104" t="s">
        <v>6936</v>
      </c>
      <c r="C7091" s="104" t="s">
        <v>6730</v>
      </c>
      <c r="D7091" s="129" t="s">
        <v>16903</v>
      </c>
    </row>
    <row r="7092" spans="1:4">
      <c r="A7092" s="105">
        <v>101343</v>
      </c>
      <c r="B7092" s="104" t="s">
        <v>6937</v>
      </c>
      <c r="C7092" s="104" t="s">
        <v>6730</v>
      </c>
      <c r="D7092" s="129" t="s">
        <v>24479</v>
      </c>
    </row>
    <row r="7093" spans="1:4">
      <c r="A7093" s="105">
        <v>101344</v>
      </c>
      <c r="B7093" s="104" t="s">
        <v>6938</v>
      </c>
      <c r="C7093" s="104" t="s">
        <v>6730</v>
      </c>
      <c r="D7093" s="129" t="s">
        <v>17489</v>
      </c>
    </row>
    <row r="7094" spans="1:4">
      <c r="A7094" s="105">
        <v>101345</v>
      </c>
      <c r="B7094" s="104" t="s">
        <v>6939</v>
      </c>
      <c r="C7094" s="104" t="s">
        <v>6730</v>
      </c>
      <c r="D7094" s="129" t="s">
        <v>19210</v>
      </c>
    </row>
    <row r="7095" spans="1:4">
      <c r="A7095" s="105">
        <v>101346</v>
      </c>
      <c r="B7095" s="104" t="s">
        <v>6940</v>
      </c>
      <c r="C7095" s="104" t="s">
        <v>6730</v>
      </c>
      <c r="D7095" s="129" t="s">
        <v>20135</v>
      </c>
    </row>
    <row r="7096" spans="1:4">
      <c r="A7096" s="105">
        <v>101347</v>
      </c>
      <c r="B7096" s="104" t="s">
        <v>6941</v>
      </c>
      <c r="C7096" s="104" t="s">
        <v>6730</v>
      </c>
      <c r="D7096" s="129" t="s">
        <v>21866</v>
      </c>
    </row>
    <row r="7097" spans="1:4">
      <c r="A7097" s="105">
        <v>101348</v>
      </c>
      <c r="B7097" s="104" t="s">
        <v>6942</v>
      </c>
      <c r="C7097" s="104" t="s">
        <v>6730</v>
      </c>
      <c r="D7097" s="129" t="s">
        <v>20565</v>
      </c>
    </row>
    <row r="7098" spans="1:4">
      <c r="A7098" s="105">
        <v>101349</v>
      </c>
      <c r="B7098" s="104" t="s">
        <v>6943</v>
      </c>
      <c r="C7098" s="104" t="s">
        <v>6730</v>
      </c>
      <c r="D7098" s="129" t="s">
        <v>23641</v>
      </c>
    </row>
    <row r="7099" spans="1:4">
      <c r="A7099" s="105">
        <v>101350</v>
      </c>
      <c r="B7099" s="104" t="s">
        <v>6944</v>
      </c>
      <c r="C7099" s="104" t="s">
        <v>6730</v>
      </c>
      <c r="D7099" s="129" t="s">
        <v>16416</v>
      </c>
    </row>
    <row r="7100" spans="1:4">
      <c r="A7100" s="105">
        <v>101351</v>
      </c>
      <c r="B7100" s="104" t="s">
        <v>6945</v>
      </c>
      <c r="C7100" s="104" t="s">
        <v>6730</v>
      </c>
      <c r="D7100" s="129" t="s">
        <v>17799</v>
      </c>
    </row>
    <row r="7101" spans="1:4">
      <c r="A7101" s="105">
        <v>101352</v>
      </c>
      <c r="B7101" s="104" t="s">
        <v>6946</v>
      </c>
      <c r="C7101" s="104" t="s">
        <v>6730</v>
      </c>
      <c r="D7101" s="129" t="s">
        <v>19195</v>
      </c>
    </row>
    <row r="7102" spans="1:4">
      <c r="A7102" s="105">
        <v>101353</v>
      </c>
      <c r="B7102" s="104" t="s">
        <v>6947</v>
      </c>
      <c r="C7102" s="104" t="s">
        <v>6730</v>
      </c>
      <c r="D7102" s="129" t="s">
        <v>19225</v>
      </c>
    </row>
    <row r="7103" spans="1:4">
      <c r="A7103" s="105">
        <v>101354</v>
      </c>
      <c r="B7103" s="104" t="s">
        <v>6948</v>
      </c>
      <c r="C7103" s="104" t="s">
        <v>6730</v>
      </c>
      <c r="D7103" s="129" t="s">
        <v>18200</v>
      </c>
    </row>
    <row r="7104" spans="1:4">
      <c r="A7104" s="105">
        <v>101355</v>
      </c>
      <c r="B7104" s="104" t="s">
        <v>6949</v>
      </c>
      <c r="C7104" s="104" t="s">
        <v>6730</v>
      </c>
      <c r="D7104" s="129" t="s">
        <v>16934</v>
      </c>
    </row>
    <row r="7105" spans="1:4">
      <c r="A7105" s="105">
        <v>101356</v>
      </c>
      <c r="B7105" s="104" t="s">
        <v>6950</v>
      </c>
      <c r="C7105" s="104" t="s">
        <v>6730</v>
      </c>
      <c r="D7105" s="129" t="s">
        <v>24481</v>
      </c>
    </row>
    <row r="7106" spans="1:4">
      <c r="A7106" s="105">
        <v>101357</v>
      </c>
      <c r="B7106" s="104" t="s">
        <v>6951</v>
      </c>
      <c r="C7106" s="104" t="s">
        <v>6730</v>
      </c>
      <c r="D7106" s="129" t="s">
        <v>18172</v>
      </c>
    </row>
    <row r="7107" spans="1:4">
      <c r="A7107" s="105">
        <v>101358</v>
      </c>
      <c r="B7107" s="104" t="s">
        <v>6952</v>
      </c>
      <c r="C7107" s="104" t="s">
        <v>6730</v>
      </c>
      <c r="D7107" s="129" t="s">
        <v>24481</v>
      </c>
    </row>
    <row r="7108" spans="1:4">
      <c r="A7108" s="105">
        <v>101359</v>
      </c>
      <c r="B7108" s="104" t="s">
        <v>6953</v>
      </c>
      <c r="C7108" s="104" t="s">
        <v>6730</v>
      </c>
      <c r="D7108" s="129" t="s">
        <v>24492</v>
      </c>
    </row>
    <row r="7109" spans="1:4">
      <c r="A7109" s="105">
        <v>101360</v>
      </c>
      <c r="B7109" s="104" t="s">
        <v>6954</v>
      </c>
      <c r="C7109" s="104" t="s">
        <v>6730</v>
      </c>
      <c r="D7109" s="129" t="s">
        <v>24481</v>
      </c>
    </row>
    <row r="7110" spans="1:4">
      <c r="A7110" s="105">
        <v>101361</v>
      </c>
      <c r="B7110" s="104" t="s">
        <v>6955</v>
      </c>
      <c r="C7110" s="104" t="s">
        <v>6730</v>
      </c>
      <c r="D7110" s="129" t="s">
        <v>24493</v>
      </c>
    </row>
    <row r="7111" spans="1:4">
      <c r="A7111" s="105">
        <v>101362</v>
      </c>
      <c r="B7111" s="104" t="s">
        <v>6956</v>
      </c>
      <c r="C7111" s="104" t="s">
        <v>6730</v>
      </c>
      <c r="D7111" s="129" t="s">
        <v>15293</v>
      </c>
    </row>
    <row r="7112" spans="1:4">
      <c r="A7112" s="105">
        <v>101363</v>
      </c>
      <c r="B7112" s="104" t="s">
        <v>6957</v>
      </c>
      <c r="C7112" s="104" t="s">
        <v>6730</v>
      </c>
      <c r="D7112" s="129" t="s">
        <v>24479</v>
      </c>
    </row>
    <row r="7113" spans="1:4">
      <c r="A7113" s="105">
        <v>101364</v>
      </c>
      <c r="B7113" s="104" t="s">
        <v>6958</v>
      </c>
      <c r="C7113" s="104" t="s">
        <v>6730</v>
      </c>
      <c r="D7113" s="129" t="s">
        <v>17430</v>
      </c>
    </row>
    <row r="7114" spans="1:4">
      <c r="A7114" s="105">
        <v>101365</v>
      </c>
      <c r="B7114" s="104" t="s">
        <v>6959</v>
      </c>
      <c r="C7114" s="104" t="s">
        <v>6730</v>
      </c>
      <c r="D7114" s="129" t="s">
        <v>24479</v>
      </c>
    </row>
    <row r="7115" spans="1:4">
      <c r="A7115" s="105">
        <v>101366</v>
      </c>
      <c r="B7115" s="104" t="s">
        <v>6960</v>
      </c>
      <c r="C7115" s="104" t="s">
        <v>6730</v>
      </c>
      <c r="D7115" s="129" t="s">
        <v>24494</v>
      </c>
    </row>
    <row r="7116" spans="1:4">
      <c r="A7116" s="105">
        <v>101367</v>
      </c>
      <c r="B7116" s="104" t="s">
        <v>6961</v>
      </c>
      <c r="C7116" s="104" t="s">
        <v>6730</v>
      </c>
      <c r="D7116" s="129" t="s">
        <v>24479</v>
      </c>
    </row>
    <row r="7117" spans="1:4">
      <c r="A7117" s="105">
        <v>101368</v>
      </c>
      <c r="B7117" s="104" t="s">
        <v>6962</v>
      </c>
      <c r="C7117" s="104" t="s">
        <v>6730</v>
      </c>
      <c r="D7117" s="129" t="s">
        <v>24495</v>
      </c>
    </row>
    <row r="7118" spans="1:4">
      <c r="A7118" s="105">
        <v>101369</v>
      </c>
      <c r="B7118" s="104" t="s">
        <v>6963</v>
      </c>
      <c r="C7118" s="104" t="s">
        <v>6730</v>
      </c>
      <c r="D7118" s="129" t="s">
        <v>24496</v>
      </c>
    </row>
    <row r="7119" spans="1:4">
      <c r="A7119" s="105">
        <v>101370</v>
      </c>
      <c r="B7119" s="104" t="s">
        <v>6964</v>
      </c>
      <c r="C7119" s="104" t="s">
        <v>6730</v>
      </c>
      <c r="D7119" s="129" t="s">
        <v>17295</v>
      </c>
    </row>
    <row r="7120" spans="1:4">
      <c r="A7120" s="105">
        <v>101371</v>
      </c>
      <c r="B7120" s="104" t="s">
        <v>6965</v>
      </c>
      <c r="C7120" s="104" t="s">
        <v>6730</v>
      </c>
      <c r="D7120" s="129" t="s">
        <v>15735</v>
      </c>
    </row>
    <row r="7121" spans="1:4">
      <c r="A7121" s="105">
        <v>101372</v>
      </c>
      <c r="B7121" s="104" t="s">
        <v>6966</v>
      </c>
      <c r="C7121" s="104" t="s">
        <v>6730</v>
      </c>
      <c r="D7121" s="129" t="s">
        <v>14756</v>
      </c>
    </row>
    <row r="7122" spans="1:4">
      <c r="A7122" s="105">
        <v>101373</v>
      </c>
      <c r="B7122" s="104" t="s">
        <v>6967</v>
      </c>
      <c r="C7122" s="104" t="s">
        <v>16</v>
      </c>
      <c r="D7122" s="129" t="s">
        <v>24497</v>
      </c>
    </row>
    <row r="7123" spans="1:4">
      <c r="A7123" s="105">
        <v>101374</v>
      </c>
      <c r="B7123" s="104" t="s">
        <v>6649</v>
      </c>
      <c r="C7123" s="104" t="s">
        <v>6730</v>
      </c>
      <c r="D7123" s="129" t="s">
        <v>24498</v>
      </c>
    </row>
    <row r="7124" spans="1:4">
      <c r="A7124" s="105">
        <v>101375</v>
      </c>
      <c r="B7124" s="104" t="s">
        <v>6968</v>
      </c>
      <c r="C7124" s="104" t="s">
        <v>6730</v>
      </c>
      <c r="D7124" s="129" t="s">
        <v>24499</v>
      </c>
    </row>
    <row r="7125" spans="1:4">
      <c r="A7125" s="105">
        <v>101376</v>
      </c>
      <c r="B7125" s="104" t="s">
        <v>6969</v>
      </c>
      <c r="C7125" s="104" t="s">
        <v>6730</v>
      </c>
      <c r="D7125" s="129" t="s">
        <v>24500</v>
      </c>
    </row>
    <row r="7126" spans="1:4">
      <c r="A7126" s="105">
        <v>101377</v>
      </c>
      <c r="B7126" s="104" t="s">
        <v>6652</v>
      </c>
      <c r="C7126" s="104" t="s">
        <v>6730</v>
      </c>
      <c r="D7126" s="129" t="s">
        <v>24498</v>
      </c>
    </row>
    <row r="7127" spans="1:4">
      <c r="A7127" s="105">
        <v>101378</v>
      </c>
      <c r="B7127" s="104" t="s">
        <v>6861</v>
      </c>
      <c r="C7127" s="104" t="s">
        <v>6730</v>
      </c>
      <c r="D7127" s="129" t="s">
        <v>24501</v>
      </c>
    </row>
    <row r="7128" spans="1:4">
      <c r="A7128" s="105">
        <v>101379</v>
      </c>
      <c r="B7128" s="104" t="s">
        <v>6970</v>
      </c>
      <c r="C7128" s="104" t="s">
        <v>6730</v>
      </c>
      <c r="D7128" s="129" t="s">
        <v>24502</v>
      </c>
    </row>
    <row r="7129" spans="1:4">
      <c r="A7129" s="105">
        <v>101380</v>
      </c>
      <c r="B7129" s="104" t="s">
        <v>6653</v>
      </c>
      <c r="C7129" s="104" t="s">
        <v>6730</v>
      </c>
      <c r="D7129" s="129" t="s">
        <v>24503</v>
      </c>
    </row>
    <row r="7130" spans="1:4">
      <c r="A7130" s="105">
        <v>101381</v>
      </c>
      <c r="B7130" s="104" t="s">
        <v>6654</v>
      </c>
      <c r="C7130" s="104" t="s">
        <v>6730</v>
      </c>
      <c r="D7130" s="129" t="s">
        <v>24504</v>
      </c>
    </row>
    <row r="7131" spans="1:4">
      <c r="A7131" s="105">
        <v>101382</v>
      </c>
      <c r="B7131" s="104" t="s">
        <v>6971</v>
      </c>
      <c r="C7131" s="104" t="s">
        <v>6730</v>
      </c>
      <c r="D7131" s="129" t="s">
        <v>24505</v>
      </c>
    </row>
    <row r="7132" spans="1:4">
      <c r="A7132" s="105">
        <v>101383</v>
      </c>
      <c r="B7132" s="104" t="s">
        <v>6863</v>
      </c>
      <c r="C7132" s="104" t="s">
        <v>6730</v>
      </c>
      <c r="D7132" s="129" t="s">
        <v>24506</v>
      </c>
    </row>
    <row r="7133" spans="1:4">
      <c r="A7133" s="105">
        <v>101384</v>
      </c>
      <c r="B7133" s="104" t="s">
        <v>128</v>
      </c>
      <c r="C7133" s="104" t="s">
        <v>6730</v>
      </c>
      <c r="D7133" s="129" t="s">
        <v>24507</v>
      </c>
    </row>
    <row r="7134" spans="1:4">
      <c r="A7134" s="105">
        <v>101385</v>
      </c>
      <c r="B7134" s="104" t="s">
        <v>6972</v>
      </c>
      <c r="C7134" s="104" t="s">
        <v>6730</v>
      </c>
      <c r="D7134" s="129" t="s">
        <v>24508</v>
      </c>
    </row>
    <row r="7135" spans="1:4">
      <c r="A7135" s="105">
        <v>101386</v>
      </c>
      <c r="B7135" s="104" t="s">
        <v>6657</v>
      </c>
      <c r="C7135" s="104" t="s">
        <v>6730</v>
      </c>
      <c r="D7135" s="129" t="s">
        <v>24509</v>
      </c>
    </row>
    <row r="7136" spans="1:4">
      <c r="A7136" s="105">
        <v>101387</v>
      </c>
      <c r="B7136" s="104" t="s">
        <v>6973</v>
      </c>
      <c r="C7136" s="104" t="s">
        <v>6730</v>
      </c>
      <c r="D7136" s="129" t="s">
        <v>24506</v>
      </c>
    </row>
    <row r="7137" spans="1:4">
      <c r="A7137" s="105">
        <v>101388</v>
      </c>
      <c r="B7137" s="104" t="s">
        <v>6659</v>
      </c>
      <c r="C7137" s="104" t="s">
        <v>6730</v>
      </c>
      <c r="D7137" s="129" t="s">
        <v>24510</v>
      </c>
    </row>
    <row r="7138" spans="1:4">
      <c r="A7138" s="105">
        <v>101389</v>
      </c>
      <c r="B7138" s="104" t="s">
        <v>6660</v>
      </c>
      <c r="C7138" s="104" t="s">
        <v>6730</v>
      </c>
      <c r="D7138" s="129" t="s">
        <v>24511</v>
      </c>
    </row>
    <row r="7139" spans="1:4">
      <c r="A7139" s="105">
        <v>101390</v>
      </c>
      <c r="B7139" s="104" t="s">
        <v>6974</v>
      </c>
      <c r="C7139" s="104" t="s">
        <v>6730</v>
      </c>
      <c r="D7139" s="129" t="s">
        <v>24512</v>
      </c>
    </row>
    <row r="7140" spans="1:4">
      <c r="A7140" s="105">
        <v>101391</v>
      </c>
      <c r="B7140" s="104" t="s">
        <v>6975</v>
      </c>
      <c r="C7140" s="104" t="s">
        <v>6730</v>
      </c>
      <c r="D7140" s="129" t="s">
        <v>24513</v>
      </c>
    </row>
    <row r="7141" spans="1:4">
      <c r="A7141" s="105">
        <v>101392</v>
      </c>
      <c r="B7141" s="104" t="s">
        <v>6976</v>
      </c>
      <c r="C7141" s="104" t="s">
        <v>6730</v>
      </c>
      <c r="D7141" s="129" t="s">
        <v>24514</v>
      </c>
    </row>
    <row r="7142" spans="1:4">
      <c r="A7142" s="105">
        <v>101394</v>
      </c>
      <c r="B7142" s="104" t="s">
        <v>6664</v>
      </c>
      <c r="C7142" s="104" t="s">
        <v>6730</v>
      </c>
      <c r="D7142" s="129" t="s">
        <v>24515</v>
      </c>
    </row>
    <row r="7143" spans="1:4">
      <c r="A7143" s="105">
        <v>101395</v>
      </c>
      <c r="B7143" s="104" t="s">
        <v>6977</v>
      </c>
      <c r="C7143" s="104" t="s">
        <v>6730</v>
      </c>
      <c r="D7143" s="129" t="s">
        <v>24516</v>
      </c>
    </row>
    <row r="7144" spans="1:4">
      <c r="A7144" s="105">
        <v>101396</v>
      </c>
      <c r="B7144" s="104" t="s">
        <v>6978</v>
      </c>
      <c r="C7144" s="104" t="s">
        <v>6730</v>
      </c>
      <c r="D7144" s="129" t="s">
        <v>24517</v>
      </c>
    </row>
    <row r="7145" spans="1:4">
      <c r="A7145" s="105">
        <v>101397</v>
      </c>
      <c r="B7145" s="104" t="s">
        <v>42</v>
      </c>
      <c r="C7145" s="104" t="s">
        <v>6730</v>
      </c>
      <c r="D7145" s="129" t="s">
        <v>24518</v>
      </c>
    </row>
    <row r="7146" spans="1:4">
      <c r="A7146" s="105">
        <v>101398</v>
      </c>
      <c r="B7146" s="104" t="s">
        <v>6979</v>
      </c>
      <c r="C7146" s="104" t="s">
        <v>6730</v>
      </c>
      <c r="D7146" s="129" t="s">
        <v>24519</v>
      </c>
    </row>
    <row r="7147" spans="1:4">
      <c r="A7147" s="105">
        <v>101399</v>
      </c>
      <c r="B7147" s="104" t="s">
        <v>136</v>
      </c>
      <c r="C7147" s="104" t="s">
        <v>6730</v>
      </c>
      <c r="D7147" s="129" t="s">
        <v>24520</v>
      </c>
    </row>
    <row r="7148" spans="1:4">
      <c r="A7148" s="105">
        <v>101400</v>
      </c>
      <c r="B7148" s="104" t="s">
        <v>6980</v>
      </c>
      <c r="C7148" s="104" t="s">
        <v>6730</v>
      </c>
      <c r="D7148" s="129" t="s">
        <v>24520</v>
      </c>
    </row>
    <row r="7149" spans="1:4">
      <c r="A7149" s="105">
        <v>101401</v>
      </c>
      <c r="B7149" s="104" t="s">
        <v>6668</v>
      </c>
      <c r="C7149" s="104" t="s">
        <v>6730</v>
      </c>
      <c r="D7149" s="129" t="s">
        <v>24521</v>
      </c>
    </row>
    <row r="7150" spans="1:4">
      <c r="A7150" s="105">
        <v>101402</v>
      </c>
      <c r="B7150" s="104" t="s">
        <v>138</v>
      </c>
      <c r="C7150" s="104" t="s">
        <v>6730</v>
      </c>
      <c r="D7150" s="129" t="s">
        <v>24522</v>
      </c>
    </row>
    <row r="7151" spans="1:4">
      <c r="A7151" s="105">
        <v>101403</v>
      </c>
      <c r="B7151" s="104" t="s">
        <v>6967</v>
      </c>
      <c r="C7151" s="104" t="s">
        <v>6730</v>
      </c>
      <c r="D7151" s="129" t="s">
        <v>24523</v>
      </c>
    </row>
    <row r="7152" spans="1:4">
      <c r="A7152" s="105">
        <v>101404</v>
      </c>
      <c r="B7152" s="104" t="s">
        <v>6727</v>
      </c>
      <c r="C7152" s="104" t="s">
        <v>6730</v>
      </c>
      <c r="D7152" s="129" t="s">
        <v>24524</v>
      </c>
    </row>
    <row r="7153" spans="1:4">
      <c r="A7153" s="105">
        <v>101405</v>
      </c>
      <c r="B7153" s="104" t="s">
        <v>6728</v>
      </c>
      <c r="C7153" s="104" t="s">
        <v>6730</v>
      </c>
      <c r="D7153" s="129" t="s">
        <v>24525</v>
      </c>
    </row>
    <row r="7154" spans="1:4">
      <c r="A7154" s="105">
        <v>101407</v>
      </c>
      <c r="B7154" s="104" t="s">
        <v>6669</v>
      </c>
      <c r="C7154" s="104" t="s">
        <v>6730</v>
      </c>
      <c r="D7154" s="129" t="s">
        <v>24526</v>
      </c>
    </row>
    <row r="7155" spans="1:4">
      <c r="A7155" s="105">
        <v>101408</v>
      </c>
      <c r="B7155" s="104" t="s">
        <v>6670</v>
      </c>
      <c r="C7155" s="104" t="s">
        <v>6730</v>
      </c>
      <c r="D7155" s="129" t="s">
        <v>24527</v>
      </c>
    </row>
    <row r="7156" spans="1:4">
      <c r="A7156" s="105">
        <v>101409</v>
      </c>
      <c r="B7156" s="104" t="s">
        <v>6981</v>
      </c>
      <c r="C7156" s="104" t="s">
        <v>6730</v>
      </c>
      <c r="D7156" s="129" t="s">
        <v>24528</v>
      </c>
    </row>
    <row r="7157" spans="1:4">
      <c r="A7157" s="105">
        <v>101410</v>
      </c>
      <c r="B7157" s="104" t="s">
        <v>6714</v>
      </c>
      <c r="C7157" s="104" t="s">
        <v>6730</v>
      </c>
      <c r="D7157" s="129" t="s">
        <v>24529</v>
      </c>
    </row>
    <row r="7158" spans="1:4">
      <c r="A7158" s="105">
        <v>101411</v>
      </c>
      <c r="B7158" s="104" t="s">
        <v>6982</v>
      </c>
      <c r="C7158" s="104" t="s">
        <v>6730</v>
      </c>
      <c r="D7158" s="129" t="s">
        <v>24530</v>
      </c>
    </row>
    <row r="7159" spans="1:4">
      <c r="A7159" s="105">
        <v>101412</v>
      </c>
      <c r="B7159" s="104" t="s">
        <v>6983</v>
      </c>
      <c r="C7159" s="104" t="s">
        <v>6730</v>
      </c>
      <c r="D7159" s="129" t="s">
        <v>24531</v>
      </c>
    </row>
    <row r="7160" spans="1:4">
      <c r="A7160" s="105">
        <v>101413</v>
      </c>
      <c r="B7160" s="104" t="s">
        <v>6672</v>
      </c>
      <c r="C7160" s="104" t="s">
        <v>6730</v>
      </c>
      <c r="D7160" s="129" t="s">
        <v>24532</v>
      </c>
    </row>
    <row r="7161" spans="1:4">
      <c r="A7161" s="105">
        <v>101414</v>
      </c>
      <c r="B7161" s="104" t="s">
        <v>6984</v>
      </c>
      <c r="C7161" s="104" t="s">
        <v>6730</v>
      </c>
      <c r="D7161" s="129" t="s">
        <v>24513</v>
      </c>
    </row>
    <row r="7162" spans="1:4">
      <c r="A7162" s="105">
        <v>101415</v>
      </c>
      <c r="B7162" s="104" t="s">
        <v>6985</v>
      </c>
      <c r="C7162" s="104" t="s">
        <v>6730</v>
      </c>
      <c r="D7162" s="129" t="s">
        <v>24533</v>
      </c>
    </row>
    <row r="7163" spans="1:4">
      <c r="A7163" s="105">
        <v>101416</v>
      </c>
      <c r="B7163" s="104" t="s">
        <v>6868</v>
      </c>
      <c r="C7163" s="104" t="s">
        <v>6730</v>
      </c>
      <c r="D7163" s="129" t="s">
        <v>24534</v>
      </c>
    </row>
    <row r="7164" spans="1:4">
      <c r="A7164" s="105">
        <v>101417</v>
      </c>
      <c r="B7164" s="104" t="s">
        <v>6986</v>
      </c>
      <c r="C7164" s="104" t="s">
        <v>6730</v>
      </c>
      <c r="D7164" s="129" t="s">
        <v>24535</v>
      </c>
    </row>
    <row r="7165" spans="1:4">
      <c r="A7165" s="105">
        <v>101418</v>
      </c>
      <c r="B7165" s="104" t="s">
        <v>6987</v>
      </c>
      <c r="C7165" s="104" t="s">
        <v>6730</v>
      </c>
      <c r="D7165" s="129" t="s">
        <v>24536</v>
      </c>
    </row>
    <row r="7166" spans="1:4">
      <c r="A7166" s="105">
        <v>101419</v>
      </c>
      <c r="B7166" s="104" t="s">
        <v>6988</v>
      </c>
      <c r="C7166" s="104" t="s">
        <v>6730</v>
      </c>
      <c r="D7166" s="129" t="s">
        <v>24537</v>
      </c>
    </row>
    <row r="7167" spans="1:4">
      <c r="A7167" s="105">
        <v>101420</v>
      </c>
      <c r="B7167" s="104" t="s">
        <v>6989</v>
      </c>
      <c r="C7167" s="104" t="s">
        <v>6730</v>
      </c>
      <c r="D7167" s="129" t="s">
        <v>24538</v>
      </c>
    </row>
    <row r="7168" spans="1:4">
      <c r="A7168" s="105">
        <v>101421</v>
      </c>
      <c r="B7168" s="104" t="s">
        <v>6990</v>
      </c>
      <c r="C7168" s="104" t="s">
        <v>6730</v>
      </c>
      <c r="D7168" s="129" t="s">
        <v>24539</v>
      </c>
    </row>
    <row r="7169" spans="1:4">
      <c r="A7169" s="105">
        <v>101422</v>
      </c>
      <c r="B7169" s="104" t="s">
        <v>6991</v>
      </c>
      <c r="C7169" s="104" t="s">
        <v>6730</v>
      </c>
      <c r="D7169" s="129" t="s">
        <v>24540</v>
      </c>
    </row>
    <row r="7170" spans="1:4">
      <c r="A7170" s="105">
        <v>101423</v>
      </c>
      <c r="B7170" s="104" t="s">
        <v>6992</v>
      </c>
      <c r="C7170" s="104" t="s">
        <v>6730</v>
      </c>
      <c r="D7170" s="129" t="s">
        <v>24541</v>
      </c>
    </row>
    <row r="7171" spans="1:4">
      <c r="A7171" s="105">
        <v>101424</v>
      </c>
      <c r="B7171" s="104" t="s">
        <v>6993</v>
      </c>
      <c r="C7171" s="104" t="s">
        <v>6730</v>
      </c>
      <c r="D7171" s="129" t="s">
        <v>24542</v>
      </c>
    </row>
    <row r="7172" spans="1:4">
      <c r="A7172" s="105">
        <v>101425</v>
      </c>
      <c r="B7172" s="104" t="s">
        <v>6994</v>
      </c>
      <c r="C7172" s="104" t="s">
        <v>6730</v>
      </c>
      <c r="D7172" s="129" t="s">
        <v>24543</v>
      </c>
    </row>
    <row r="7173" spans="1:4">
      <c r="A7173" s="105">
        <v>101426</v>
      </c>
      <c r="B7173" s="104" t="s">
        <v>6995</v>
      </c>
      <c r="C7173" s="104" t="s">
        <v>6730</v>
      </c>
      <c r="D7173" s="129" t="s">
        <v>24544</v>
      </c>
    </row>
    <row r="7174" spans="1:4">
      <c r="A7174" s="105">
        <v>101427</v>
      </c>
      <c r="B7174" s="104" t="s">
        <v>6684</v>
      </c>
      <c r="C7174" s="104" t="s">
        <v>6730</v>
      </c>
      <c r="D7174" s="129" t="s">
        <v>24545</v>
      </c>
    </row>
    <row r="7175" spans="1:4">
      <c r="A7175" s="105">
        <v>101428</v>
      </c>
      <c r="B7175" s="104" t="s">
        <v>6996</v>
      </c>
      <c r="C7175" s="104" t="s">
        <v>6730</v>
      </c>
      <c r="D7175" s="129" t="s">
        <v>24546</v>
      </c>
    </row>
    <row r="7176" spans="1:4">
      <c r="A7176" s="105">
        <v>101429</v>
      </c>
      <c r="B7176" s="104" t="s">
        <v>6997</v>
      </c>
      <c r="C7176" s="104" t="s">
        <v>6730</v>
      </c>
      <c r="D7176" s="129" t="s">
        <v>24547</v>
      </c>
    </row>
    <row r="7177" spans="1:4">
      <c r="A7177" s="105">
        <v>101430</v>
      </c>
      <c r="B7177" s="104" t="s">
        <v>6998</v>
      </c>
      <c r="C7177" s="104" t="s">
        <v>6730</v>
      </c>
      <c r="D7177" s="129" t="s">
        <v>24548</v>
      </c>
    </row>
    <row r="7178" spans="1:4">
      <c r="A7178" s="105">
        <v>101431</v>
      </c>
      <c r="B7178" s="104" t="s">
        <v>6687</v>
      </c>
      <c r="C7178" s="104" t="s">
        <v>6730</v>
      </c>
      <c r="D7178" s="129" t="s">
        <v>24549</v>
      </c>
    </row>
    <row r="7179" spans="1:4">
      <c r="A7179" s="105">
        <v>101432</v>
      </c>
      <c r="B7179" s="104" t="s">
        <v>6999</v>
      </c>
      <c r="C7179" s="104" t="s">
        <v>6730</v>
      </c>
      <c r="D7179" s="129" t="s">
        <v>24550</v>
      </c>
    </row>
    <row r="7180" spans="1:4">
      <c r="A7180" s="105">
        <v>101433</v>
      </c>
      <c r="B7180" s="104" t="s">
        <v>6689</v>
      </c>
      <c r="C7180" s="104" t="s">
        <v>6730</v>
      </c>
      <c r="D7180" s="129" t="s">
        <v>24551</v>
      </c>
    </row>
    <row r="7181" spans="1:4">
      <c r="A7181" s="105">
        <v>101434</v>
      </c>
      <c r="B7181" s="104" t="s">
        <v>7000</v>
      </c>
      <c r="C7181" s="104" t="s">
        <v>6730</v>
      </c>
      <c r="D7181" s="129" t="s">
        <v>24552</v>
      </c>
    </row>
    <row r="7182" spans="1:4">
      <c r="A7182" s="105">
        <v>101435</v>
      </c>
      <c r="B7182" s="104" t="s">
        <v>7001</v>
      </c>
      <c r="C7182" s="104" t="s">
        <v>6730</v>
      </c>
      <c r="D7182" s="129" t="s">
        <v>24553</v>
      </c>
    </row>
    <row r="7183" spans="1:4">
      <c r="A7183" s="105">
        <v>101436</v>
      </c>
      <c r="B7183" s="104" t="s">
        <v>6691</v>
      </c>
      <c r="C7183" s="104" t="s">
        <v>6730</v>
      </c>
      <c r="D7183" s="129" t="s">
        <v>24554</v>
      </c>
    </row>
    <row r="7184" spans="1:4">
      <c r="A7184" s="105">
        <v>101437</v>
      </c>
      <c r="B7184" s="104" t="s">
        <v>7002</v>
      </c>
      <c r="C7184" s="104" t="s">
        <v>6730</v>
      </c>
      <c r="D7184" s="129" t="s">
        <v>24555</v>
      </c>
    </row>
    <row r="7185" spans="1:4">
      <c r="A7185" s="105">
        <v>101438</v>
      </c>
      <c r="B7185" s="104" t="s">
        <v>6693</v>
      </c>
      <c r="C7185" s="104" t="s">
        <v>6730</v>
      </c>
      <c r="D7185" s="129" t="s">
        <v>24556</v>
      </c>
    </row>
    <row r="7186" spans="1:4">
      <c r="A7186" s="105">
        <v>101439</v>
      </c>
      <c r="B7186" s="104" t="s">
        <v>6694</v>
      </c>
      <c r="C7186" s="104" t="s">
        <v>6730</v>
      </c>
      <c r="D7186" s="129" t="s">
        <v>24557</v>
      </c>
    </row>
    <row r="7187" spans="1:4">
      <c r="A7187" s="105">
        <v>101440</v>
      </c>
      <c r="B7187" s="104" t="s">
        <v>7003</v>
      </c>
      <c r="C7187" s="104" t="s">
        <v>6730</v>
      </c>
      <c r="D7187" s="129" t="s">
        <v>24558</v>
      </c>
    </row>
    <row r="7188" spans="1:4">
      <c r="A7188" s="105">
        <v>101441</v>
      </c>
      <c r="B7188" s="104" t="s">
        <v>6696</v>
      </c>
      <c r="C7188" s="104" t="s">
        <v>6730</v>
      </c>
      <c r="D7188" s="129" t="s">
        <v>24559</v>
      </c>
    </row>
    <row r="7189" spans="1:4">
      <c r="A7189" s="105">
        <v>101442</v>
      </c>
      <c r="B7189" s="104" t="s">
        <v>7004</v>
      </c>
      <c r="C7189" s="104" t="s">
        <v>6730</v>
      </c>
      <c r="D7189" s="129" t="s">
        <v>24560</v>
      </c>
    </row>
    <row r="7190" spans="1:4">
      <c r="A7190" s="105">
        <v>101443</v>
      </c>
      <c r="B7190" s="104" t="s">
        <v>6697</v>
      </c>
      <c r="C7190" s="104" t="s">
        <v>6730</v>
      </c>
      <c r="D7190" s="129" t="s">
        <v>24561</v>
      </c>
    </row>
    <row r="7191" spans="1:4">
      <c r="A7191" s="105">
        <v>101444</v>
      </c>
      <c r="B7191" s="104" t="s">
        <v>6700</v>
      </c>
      <c r="C7191" s="104" t="s">
        <v>6730</v>
      </c>
      <c r="D7191" s="129" t="s">
        <v>24513</v>
      </c>
    </row>
    <row r="7192" spans="1:4">
      <c r="A7192" s="105">
        <v>101445</v>
      </c>
      <c r="B7192" s="104" t="s">
        <v>29</v>
      </c>
      <c r="C7192" s="104" t="s">
        <v>6730</v>
      </c>
      <c r="D7192" s="129" t="s">
        <v>24562</v>
      </c>
    </row>
    <row r="7193" spans="1:4">
      <c r="A7193" s="105">
        <v>101446</v>
      </c>
      <c r="B7193" s="104" t="s">
        <v>159</v>
      </c>
      <c r="C7193" s="104" t="s">
        <v>6730</v>
      </c>
      <c r="D7193" s="129" t="s">
        <v>24563</v>
      </c>
    </row>
    <row r="7194" spans="1:4">
      <c r="A7194" s="105">
        <v>101447</v>
      </c>
      <c r="B7194" s="104" t="s">
        <v>6701</v>
      </c>
      <c r="C7194" s="104" t="s">
        <v>6730</v>
      </c>
      <c r="D7194" s="129" t="s">
        <v>24564</v>
      </c>
    </row>
    <row r="7195" spans="1:4">
      <c r="A7195" s="105">
        <v>101448</v>
      </c>
      <c r="B7195" s="104" t="s">
        <v>6702</v>
      </c>
      <c r="C7195" s="104" t="s">
        <v>6730</v>
      </c>
      <c r="D7195" s="129" t="s">
        <v>24563</v>
      </c>
    </row>
    <row r="7196" spans="1:4">
      <c r="A7196" s="105">
        <v>101449</v>
      </c>
      <c r="B7196" s="104" t="s">
        <v>7005</v>
      </c>
      <c r="C7196" s="104" t="s">
        <v>6730</v>
      </c>
      <c r="D7196" s="129" t="s">
        <v>24565</v>
      </c>
    </row>
    <row r="7197" spans="1:4">
      <c r="A7197" s="105">
        <v>101450</v>
      </c>
      <c r="B7197" s="104" t="s">
        <v>6704</v>
      </c>
      <c r="C7197" s="104" t="s">
        <v>6730</v>
      </c>
      <c r="D7197" s="129" t="s">
        <v>24566</v>
      </c>
    </row>
    <row r="7198" spans="1:4">
      <c r="A7198" s="105">
        <v>101451</v>
      </c>
      <c r="B7198" s="104" t="s">
        <v>157</v>
      </c>
      <c r="C7198" s="104" t="s">
        <v>6730</v>
      </c>
      <c r="D7198" s="129" t="s">
        <v>24504</v>
      </c>
    </row>
    <row r="7199" spans="1:4">
      <c r="A7199" s="105">
        <v>101452</v>
      </c>
      <c r="B7199" s="104" t="s">
        <v>7006</v>
      </c>
      <c r="C7199" s="104" t="s">
        <v>6730</v>
      </c>
      <c r="D7199" s="129" t="s">
        <v>24567</v>
      </c>
    </row>
    <row r="7200" spans="1:4">
      <c r="A7200" s="105">
        <v>101453</v>
      </c>
      <c r="B7200" s="104" t="s">
        <v>6705</v>
      </c>
      <c r="C7200" s="104" t="s">
        <v>6730</v>
      </c>
      <c r="D7200" s="129" t="s">
        <v>24568</v>
      </c>
    </row>
    <row r="7201" spans="1:4">
      <c r="A7201" s="105">
        <v>101454</v>
      </c>
      <c r="B7201" s="104" t="s">
        <v>7007</v>
      </c>
      <c r="C7201" s="104" t="s">
        <v>6730</v>
      </c>
      <c r="D7201" s="129" t="s">
        <v>24569</v>
      </c>
    </row>
    <row r="7202" spans="1:4">
      <c r="A7202" s="105">
        <v>101455</v>
      </c>
      <c r="B7202" s="104" t="s">
        <v>6707</v>
      </c>
      <c r="C7202" s="104" t="s">
        <v>6730</v>
      </c>
      <c r="D7202" s="129" t="s">
        <v>24518</v>
      </c>
    </row>
    <row r="7203" spans="1:4">
      <c r="A7203" s="105">
        <v>101456</v>
      </c>
      <c r="B7203" s="104" t="s">
        <v>7008</v>
      </c>
      <c r="C7203" s="104" t="s">
        <v>6730</v>
      </c>
      <c r="D7203" s="129" t="s">
        <v>24570</v>
      </c>
    </row>
    <row r="7204" spans="1:4">
      <c r="A7204" s="105">
        <v>101457</v>
      </c>
      <c r="B7204" s="104" t="s">
        <v>7009</v>
      </c>
      <c r="C7204" s="104" t="s">
        <v>6730</v>
      </c>
      <c r="D7204" s="129" t="s">
        <v>24571</v>
      </c>
    </row>
    <row r="7205" spans="1:4">
      <c r="A7205" s="105">
        <v>101458</v>
      </c>
      <c r="B7205" s="104" t="s">
        <v>7010</v>
      </c>
      <c r="C7205" s="104" t="s">
        <v>6730</v>
      </c>
      <c r="D7205" s="129" t="s">
        <v>24572</v>
      </c>
    </row>
    <row r="7206" spans="1:4">
      <c r="A7206" s="105">
        <v>101459</v>
      </c>
      <c r="B7206" s="104" t="s">
        <v>243</v>
      </c>
      <c r="C7206" s="104" t="s">
        <v>6730</v>
      </c>
      <c r="D7206" s="129" t="s">
        <v>24573</v>
      </c>
    </row>
    <row r="7207" spans="1:4">
      <c r="A7207" s="105">
        <v>101460</v>
      </c>
      <c r="B7207" s="104" t="s">
        <v>6849</v>
      </c>
      <c r="C7207" s="104" t="s">
        <v>6730</v>
      </c>
      <c r="D7207" s="129" t="s">
        <v>24574</v>
      </c>
    </row>
    <row r="7208" spans="1:4">
      <c r="A7208" t="s">
        <v>424</v>
      </c>
      <c r="B7208" t="s">
        <v>425</v>
      </c>
      <c r="C7208" t="s">
        <v>14736</v>
      </c>
      <c r="D7208" t="s">
        <v>24575</v>
      </c>
    </row>
    <row r="7209" spans="1:4">
      <c r="A7209">
        <v>2418</v>
      </c>
      <c r="B7209" t="s">
        <v>7760</v>
      </c>
      <c r="C7209" t="s">
        <v>427</v>
      </c>
      <c r="D7209" t="s">
        <v>18054</v>
      </c>
    </row>
    <row r="7210" spans="1:4">
      <c r="A7210">
        <v>3378</v>
      </c>
      <c r="B7210" t="s">
        <v>7761</v>
      </c>
      <c r="C7210" t="s">
        <v>427</v>
      </c>
      <c r="D7210" t="s">
        <v>24576</v>
      </c>
    </row>
    <row r="7211" spans="1:4">
      <c r="A7211">
        <v>3380</v>
      </c>
      <c r="B7211" t="s">
        <v>7762</v>
      </c>
      <c r="C7211" t="s">
        <v>427</v>
      </c>
      <c r="D7211" t="s">
        <v>22206</v>
      </c>
    </row>
    <row r="7212" spans="1:4">
      <c r="A7212">
        <v>3379</v>
      </c>
      <c r="B7212" t="s">
        <v>7763</v>
      </c>
      <c r="C7212" t="s">
        <v>427</v>
      </c>
      <c r="D7212" t="s">
        <v>24577</v>
      </c>
    </row>
    <row r="7213" spans="1:4">
      <c r="A7213">
        <v>615</v>
      </c>
      <c r="B7213" t="s">
        <v>7764</v>
      </c>
      <c r="C7213" t="s">
        <v>426</v>
      </c>
      <c r="D7213" t="s">
        <v>24578</v>
      </c>
    </row>
    <row r="7214" spans="1:4">
      <c r="A7214">
        <v>606</v>
      </c>
      <c r="B7214" t="s">
        <v>7765</v>
      </c>
      <c r="C7214" t="s">
        <v>426</v>
      </c>
      <c r="D7214" t="s">
        <v>24579</v>
      </c>
    </row>
    <row r="7215" spans="1:4">
      <c r="A7215">
        <v>13382</v>
      </c>
      <c r="B7215" t="s">
        <v>7766</v>
      </c>
      <c r="C7215" t="s">
        <v>427</v>
      </c>
      <c r="D7215" t="s">
        <v>22346</v>
      </c>
    </row>
    <row r="7216" spans="1:4">
      <c r="A7216">
        <v>11199</v>
      </c>
      <c r="B7216" t="s">
        <v>7767</v>
      </c>
      <c r="C7216" t="s">
        <v>427</v>
      </c>
      <c r="D7216" t="s">
        <v>24580</v>
      </c>
    </row>
    <row r="7217" spans="1:4">
      <c r="A7217">
        <v>21136</v>
      </c>
      <c r="B7217" t="s">
        <v>7768</v>
      </c>
      <c r="C7217" t="s">
        <v>429</v>
      </c>
      <c r="D7217" t="s">
        <v>24581</v>
      </c>
    </row>
    <row r="7218" spans="1:4">
      <c r="A7218">
        <v>21128</v>
      </c>
      <c r="B7218" t="s">
        <v>7769</v>
      </c>
      <c r="C7218" t="s">
        <v>429</v>
      </c>
      <c r="D7218" t="s">
        <v>18151</v>
      </c>
    </row>
    <row r="7219" spans="1:4">
      <c r="A7219">
        <v>21130</v>
      </c>
      <c r="B7219" t="s">
        <v>7770</v>
      </c>
      <c r="C7219" t="s">
        <v>429</v>
      </c>
      <c r="D7219" t="s">
        <v>20288</v>
      </c>
    </row>
    <row r="7220" spans="1:4">
      <c r="A7220">
        <v>21135</v>
      </c>
      <c r="B7220" t="s">
        <v>7771</v>
      </c>
      <c r="C7220" t="s">
        <v>429</v>
      </c>
      <c r="D7220" t="s">
        <v>17918</v>
      </c>
    </row>
    <row r="7221" spans="1:4">
      <c r="A7221">
        <v>38605</v>
      </c>
      <c r="B7221" t="s">
        <v>7772</v>
      </c>
      <c r="C7221" t="s">
        <v>427</v>
      </c>
      <c r="D7221" t="s">
        <v>24582</v>
      </c>
    </row>
    <row r="7222" spans="1:4">
      <c r="A7222">
        <v>11270</v>
      </c>
      <c r="B7222" t="s">
        <v>7773</v>
      </c>
      <c r="C7222" t="s">
        <v>427</v>
      </c>
      <c r="D7222" t="s">
        <v>15022</v>
      </c>
    </row>
    <row r="7223" spans="1:4">
      <c r="A7223">
        <v>412</v>
      </c>
      <c r="B7223" t="s">
        <v>7774</v>
      </c>
      <c r="C7223" t="s">
        <v>427</v>
      </c>
      <c r="D7223" t="s">
        <v>24583</v>
      </c>
    </row>
    <row r="7224" spans="1:4">
      <c r="A7224">
        <v>414</v>
      </c>
      <c r="B7224" t="s">
        <v>7775</v>
      </c>
      <c r="C7224" t="s">
        <v>427</v>
      </c>
      <c r="D7224" t="s">
        <v>15685</v>
      </c>
    </row>
    <row r="7225" spans="1:4">
      <c r="A7225">
        <v>410</v>
      </c>
      <c r="B7225" t="s">
        <v>7776</v>
      </c>
      <c r="C7225" t="s">
        <v>427</v>
      </c>
      <c r="D7225" t="s">
        <v>15576</v>
      </c>
    </row>
    <row r="7226" spans="1:4">
      <c r="A7226">
        <v>411</v>
      </c>
      <c r="B7226" t="s">
        <v>7777</v>
      </c>
      <c r="C7226" t="s">
        <v>427</v>
      </c>
      <c r="D7226" t="s">
        <v>15377</v>
      </c>
    </row>
    <row r="7227" spans="1:4">
      <c r="A7227">
        <v>408</v>
      </c>
      <c r="B7227" t="s">
        <v>7778</v>
      </c>
      <c r="C7227" t="s">
        <v>427</v>
      </c>
      <c r="D7227" t="s">
        <v>20136</v>
      </c>
    </row>
    <row r="7228" spans="1:4">
      <c r="A7228">
        <v>39131</v>
      </c>
      <c r="B7228" t="s">
        <v>7779</v>
      </c>
      <c r="C7228" t="s">
        <v>427</v>
      </c>
      <c r="D7228" t="s">
        <v>22704</v>
      </c>
    </row>
    <row r="7229" spans="1:4">
      <c r="A7229">
        <v>394</v>
      </c>
      <c r="B7229" t="s">
        <v>7780</v>
      </c>
      <c r="C7229" t="s">
        <v>427</v>
      </c>
      <c r="D7229" t="s">
        <v>23635</v>
      </c>
    </row>
    <row r="7230" spans="1:4">
      <c r="A7230">
        <v>39130</v>
      </c>
      <c r="B7230" t="s">
        <v>7781</v>
      </c>
      <c r="C7230" t="s">
        <v>427</v>
      </c>
      <c r="D7230" t="s">
        <v>14821</v>
      </c>
    </row>
    <row r="7231" spans="1:4">
      <c r="A7231">
        <v>395</v>
      </c>
      <c r="B7231" t="s">
        <v>7782</v>
      </c>
      <c r="C7231" t="s">
        <v>427</v>
      </c>
      <c r="D7231" t="s">
        <v>18840</v>
      </c>
    </row>
    <row r="7232" spans="1:4">
      <c r="A7232">
        <v>39127</v>
      </c>
      <c r="B7232" t="s">
        <v>7783</v>
      </c>
      <c r="C7232" t="s">
        <v>427</v>
      </c>
      <c r="D7232" t="s">
        <v>24454</v>
      </c>
    </row>
    <row r="7233" spans="1:4">
      <c r="A7233">
        <v>392</v>
      </c>
      <c r="B7233" t="s">
        <v>7784</v>
      </c>
      <c r="C7233" t="s">
        <v>427</v>
      </c>
      <c r="D7233" t="s">
        <v>24584</v>
      </c>
    </row>
    <row r="7234" spans="1:4">
      <c r="A7234">
        <v>39129</v>
      </c>
      <c r="B7234" t="s">
        <v>7785</v>
      </c>
      <c r="C7234" t="s">
        <v>427</v>
      </c>
      <c r="D7234" t="s">
        <v>24585</v>
      </c>
    </row>
    <row r="7235" spans="1:4">
      <c r="A7235">
        <v>393</v>
      </c>
      <c r="B7235" t="s">
        <v>7786</v>
      </c>
      <c r="C7235" t="s">
        <v>427</v>
      </c>
      <c r="D7235" t="s">
        <v>14831</v>
      </c>
    </row>
    <row r="7236" spans="1:4">
      <c r="A7236">
        <v>39133</v>
      </c>
      <c r="B7236" t="s">
        <v>7787</v>
      </c>
      <c r="C7236" t="s">
        <v>427</v>
      </c>
      <c r="D7236" t="s">
        <v>23312</v>
      </c>
    </row>
    <row r="7237" spans="1:4">
      <c r="A7237">
        <v>397</v>
      </c>
      <c r="B7237" t="s">
        <v>7788</v>
      </c>
      <c r="C7237" t="s">
        <v>427</v>
      </c>
      <c r="D7237" t="s">
        <v>24586</v>
      </c>
    </row>
    <row r="7238" spans="1:4">
      <c r="A7238">
        <v>39132</v>
      </c>
      <c r="B7238" t="s">
        <v>7789</v>
      </c>
      <c r="C7238" t="s">
        <v>427</v>
      </c>
      <c r="D7238" t="s">
        <v>24368</v>
      </c>
    </row>
    <row r="7239" spans="1:4">
      <c r="A7239">
        <v>396</v>
      </c>
      <c r="B7239" t="s">
        <v>7790</v>
      </c>
      <c r="C7239" t="s">
        <v>427</v>
      </c>
      <c r="D7239" t="s">
        <v>19184</v>
      </c>
    </row>
    <row r="7240" spans="1:4">
      <c r="A7240">
        <v>39135</v>
      </c>
      <c r="B7240" t="s">
        <v>7791</v>
      </c>
      <c r="C7240" t="s">
        <v>427</v>
      </c>
      <c r="D7240" t="s">
        <v>14740</v>
      </c>
    </row>
    <row r="7241" spans="1:4">
      <c r="A7241">
        <v>39128</v>
      </c>
      <c r="B7241" t="s">
        <v>7792</v>
      </c>
      <c r="C7241" t="s">
        <v>427</v>
      </c>
      <c r="D7241" t="s">
        <v>24385</v>
      </c>
    </row>
    <row r="7242" spans="1:4">
      <c r="A7242">
        <v>400</v>
      </c>
      <c r="B7242" t="s">
        <v>7793</v>
      </c>
      <c r="C7242" t="s">
        <v>427</v>
      </c>
      <c r="D7242" t="s">
        <v>15451</v>
      </c>
    </row>
    <row r="7243" spans="1:4">
      <c r="A7243">
        <v>39125</v>
      </c>
      <c r="B7243" t="s">
        <v>7794</v>
      </c>
      <c r="C7243" t="s">
        <v>427</v>
      </c>
      <c r="D7243" t="s">
        <v>24385</v>
      </c>
    </row>
    <row r="7244" spans="1:4">
      <c r="A7244">
        <v>39134</v>
      </c>
      <c r="B7244" t="s">
        <v>7795</v>
      </c>
      <c r="C7244" t="s">
        <v>427</v>
      </c>
      <c r="D7244" t="s">
        <v>15321</v>
      </c>
    </row>
    <row r="7245" spans="1:4">
      <c r="A7245">
        <v>398</v>
      </c>
      <c r="B7245" t="s">
        <v>7796</v>
      </c>
      <c r="C7245" t="s">
        <v>427</v>
      </c>
      <c r="D7245" t="s">
        <v>15484</v>
      </c>
    </row>
    <row r="7246" spans="1:4">
      <c r="A7246">
        <v>39126</v>
      </c>
      <c r="B7246" t="s">
        <v>7797</v>
      </c>
      <c r="C7246" t="s">
        <v>427</v>
      </c>
      <c r="D7246" t="s">
        <v>14943</v>
      </c>
    </row>
    <row r="7247" spans="1:4">
      <c r="A7247">
        <v>399</v>
      </c>
      <c r="B7247" t="s">
        <v>7798</v>
      </c>
      <c r="C7247" t="s">
        <v>427</v>
      </c>
      <c r="D7247" t="s">
        <v>24000</v>
      </c>
    </row>
    <row r="7248" spans="1:4">
      <c r="A7248">
        <v>39158</v>
      </c>
      <c r="B7248" t="s">
        <v>7799</v>
      </c>
      <c r="C7248" t="s">
        <v>427</v>
      </c>
      <c r="D7248" t="s">
        <v>24587</v>
      </c>
    </row>
    <row r="7249" spans="1:4">
      <c r="A7249">
        <v>39141</v>
      </c>
      <c r="B7249" t="s">
        <v>7800</v>
      </c>
      <c r="C7249" t="s">
        <v>427</v>
      </c>
      <c r="D7249" t="s">
        <v>15458</v>
      </c>
    </row>
    <row r="7250" spans="1:4">
      <c r="A7250">
        <v>39140</v>
      </c>
      <c r="B7250" t="s">
        <v>7801</v>
      </c>
      <c r="C7250" t="s">
        <v>427</v>
      </c>
      <c r="D7250" t="s">
        <v>24588</v>
      </c>
    </row>
    <row r="7251" spans="1:4">
      <c r="A7251">
        <v>39137</v>
      </c>
      <c r="B7251" t="s">
        <v>7802</v>
      </c>
      <c r="C7251" t="s">
        <v>427</v>
      </c>
      <c r="D7251" t="s">
        <v>15637</v>
      </c>
    </row>
    <row r="7252" spans="1:4">
      <c r="A7252">
        <v>39139</v>
      </c>
      <c r="B7252" t="s">
        <v>7803</v>
      </c>
      <c r="C7252" t="s">
        <v>427</v>
      </c>
      <c r="D7252" t="s">
        <v>24589</v>
      </c>
    </row>
    <row r="7253" spans="1:4">
      <c r="A7253">
        <v>39143</v>
      </c>
      <c r="B7253" t="s">
        <v>7804</v>
      </c>
      <c r="C7253" t="s">
        <v>427</v>
      </c>
      <c r="D7253" t="s">
        <v>24590</v>
      </c>
    </row>
    <row r="7254" spans="1:4">
      <c r="A7254">
        <v>39142</v>
      </c>
      <c r="B7254" t="s">
        <v>7805</v>
      </c>
      <c r="C7254" t="s">
        <v>427</v>
      </c>
      <c r="D7254" t="s">
        <v>24335</v>
      </c>
    </row>
    <row r="7255" spans="1:4">
      <c r="A7255">
        <v>39138</v>
      </c>
      <c r="B7255" t="s">
        <v>7806</v>
      </c>
      <c r="C7255" t="s">
        <v>427</v>
      </c>
      <c r="D7255" t="s">
        <v>15485</v>
      </c>
    </row>
    <row r="7256" spans="1:4">
      <c r="A7256">
        <v>39136</v>
      </c>
      <c r="B7256" t="s">
        <v>7807</v>
      </c>
      <c r="C7256" t="s">
        <v>427</v>
      </c>
      <c r="D7256" t="s">
        <v>15601</v>
      </c>
    </row>
    <row r="7257" spans="1:4">
      <c r="A7257">
        <v>39144</v>
      </c>
      <c r="B7257" t="s">
        <v>7808</v>
      </c>
      <c r="C7257" t="s">
        <v>427</v>
      </c>
      <c r="D7257" t="s">
        <v>18840</v>
      </c>
    </row>
    <row r="7258" spans="1:4">
      <c r="A7258">
        <v>39145</v>
      </c>
      <c r="B7258" t="s">
        <v>7809</v>
      </c>
      <c r="C7258" t="s">
        <v>427</v>
      </c>
      <c r="D7258" t="s">
        <v>22067</v>
      </c>
    </row>
    <row r="7259" spans="1:4">
      <c r="A7259">
        <v>12615</v>
      </c>
      <c r="B7259" t="s">
        <v>7810</v>
      </c>
      <c r="C7259" t="s">
        <v>427</v>
      </c>
      <c r="D7259" t="s">
        <v>19135</v>
      </c>
    </row>
    <row r="7260" spans="1:4">
      <c r="A7260">
        <v>11927</v>
      </c>
      <c r="B7260" t="s">
        <v>7811</v>
      </c>
      <c r="C7260" t="s">
        <v>427</v>
      </c>
      <c r="D7260" t="s">
        <v>15604</v>
      </c>
    </row>
    <row r="7261" spans="1:4">
      <c r="A7261">
        <v>11928</v>
      </c>
      <c r="B7261" t="s">
        <v>7812</v>
      </c>
      <c r="C7261" t="s">
        <v>427</v>
      </c>
      <c r="D7261" t="s">
        <v>14943</v>
      </c>
    </row>
    <row r="7262" spans="1:4">
      <c r="A7262">
        <v>11929</v>
      </c>
      <c r="B7262" t="s">
        <v>7813</v>
      </c>
      <c r="C7262" t="s">
        <v>427</v>
      </c>
      <c r="D7262" t="s">
        <v>23905</v>
      </c>
    </row>
    <row r="7263" spans="1:4">
      <c r="A7263">
        <v>36801</v>
      </c>
      <c r="B7263" t="s">
        <v>13406</v>
      </c>
      <c r="C7263" t="s">
        <v>427</v>
      </c>
      <c r="D7263" t="s">
        <v>15459</v>
      </c>
    </row>
    <row r="7264" spans="1:4">
      <c r="A7264">
        <v>36246</v>
      </c>
      <c r="B7264" t="s">
        <v>7814</v>
      </c>
      <c r="C7264" t="s">
        <v>429</v>
      </c>
      <c r="D7264" t="s">
        <v>15762</v>
      </c>
    </row>
    <row r="7265" spans="1:4">
      <c r="A7265">
        <v>37600</v>
      </c>
      <c r="B7265" t="s">
        <v>7815</v>
      </c>
      <c r="C7265" t="s">
        <v>427</v>
      </c>
      <c r="D7265" t="s">
        <v>24591</v>
      </c>
    </row>
    <row r="7266" spans="1:4">
      <c r="A7266">
        <v>37599</v>
      </c>
      <c r="B7266" t="s">
        <v>7816</v>
      </c>
      <c r="C7266" t="s">
        <v>427</v>
      </c>
      <c r="D7266" t="s">
        <v>24592</v>
      </c>
    </row>
    <row r="7267" spans="1:4">
      <c r="A7267">
        <v>1</v>
      </c>
      <c r="B7267" t="s">
        <v>20476</v>
      </c>
      <c r="C7267" t="s">
        <v>430</v>
      </c>
      <c r="D7267" t="s">
        <v>19330</v>
      </c>
    </row>
    <row r="7268" spans="1:4">
      <c r="A7268">
        <v>3</v>
      </c>
      <c r="B7268" t="s">
        <v>7817</v>
      </c>
      <c r="C7268" t="s">
        <v>428</v>
      </c>
      <c r="D7268" t="s">
        <v>14945</v>
      </c>
    </row>
    <row r="7269" spans="1:4">
      <c r="A7269">
        <v>43054</v>
      </c>
      <c r="B7269" t="s">
        <v>7818</v>
      </c>
      <c r="C7269" t="s">
        <v>430</v>
      </c>
      <c r="D7269" t="s">
        <v>17729</v>
      </c>
    </row>
    <row r="7270" spans="1:4">
      <c r="A7270">
        <v>42402</v>
      </c>
      <c r="B7270" t="s">
        <v>7819</v>
      </c>
      <c r="C7270" t="s">
        <v>430</v>
      </c>
      <c r="D7270" t="s">
        <v>20091</v>
      </c>
    </row>
    <row r="7271" spans="1:4">
      <c r="A7271">
        <v>42403</v>
      </c>
      <c r="B7271" t="s">
        <v>7820</v>
      </c>
      <c r="C7271" t="s">
        <v>430</v>
      </c>
      <c r="D7271" t="s">
        <v>22056</v>
      </c>
    </row>
    <row r="7272" spans="1:4">
      <c r="A7272">
        <v>42404</v>
      </c>
      <c r="B7272" t="s">
        <v>7821</v>
      </c>
      <c r="C7272" t="s">
        <v>430</v>
      </c>
      <c r="D7272" t="s">
        <v>23152</v>
      </c>
    </row>
    <row r="7273" spans="1:4">
      <c r="A7273">
        <v>42405</v>
      </c>
      <c r="B7273" t="s">
        <v>7822</v>
      </c>
      <c r="C7273" t="s">
        <v>430</v>
      </c>
      <c r="D7273" t="s">
        <v>19082</v>
      </c>
    </row>
    <row r="7274" spans="1:4">
      <c r="A7274">
        <v>34341</v>
      </c>
      <c r="B7274" t="s">
        <v>7823</v>
      </c>
      <c r="C7274" t="s">
        <v>430</v>
      </c>
      <c r="D7274" t="s">
        <v>14742</v>
      </c>
    </row>
    <row r="7275" spans="1:4">
      <c r="A7275">
        <v>43053</v>
      </c>
      <c r="B7275" t="s">
        <v>7824</v>
      </c>
      <c r="C7275" t="s">
        <v>430</v>
      </c>
      <c r="D7275" t="s">
        <v>20653</v>
      </c>
    </row>
    <row r="7276" spans="1:4">
      <c r="A7276">
        <v>43058</v>
      </c>
      <c r="B7276" t="s">
        <v>7825</v>
      </c>
      <c r="C7276" t="s">
        <v>430</v>
      </c>
      <c r="D7276" t="s">
        <v>15184</v>
      </c>
    </row>
    <row r="7277" spans="1:4">
      <c r="A7277">
        <v>34</v>
      </c>
      <c r="B7277" t="s">
        <v>7826</v>
      </c>
      <c r="C7277" t="s">
        <v>430</v>
      </c>
      <c r="D7277" t="s">
        <v>17235</v>
      </c>
    </row>
    <row r="7278" spans="1:4">
      <c r="A7278">
        <v>43055</v>
      </c>
      <c r="B7278" t="s">
        <v>7827</v>
      </c>
      <c r="C7278" t="s">
        <v>430</v>
      </c>
      <c r="D7278" t="s">
        <v>24593</v>
      </c>
    </row>
    <row r="7279" spans="1:4">
      <c r="A7279">
        <v>43056</v>
      </c>
      <c r="B7279" t="s">
        <v>7828</v>
      </c>
      <c r="C7279" t="s">
        <v>430</v>
      </c>
      <c r="D7279" t="s">
        <v>23642</v>
      </c>
    </row>
    <row r="7280" spans="1:4">
      <c r="A7280">
        <v>43057</v>
      </c>
      <c r="B7280" t="s">
        <v>7829</v>
      </c>
      <c r="C7280" t="s">
        <v>430</v>
      </c>
      <c r="D7280" t="s">
        <v>24594</v>
      </c>
    </row>
    <row r="7281" spans="1:4">
      <c r="A7281">
        <v>34449</v>
      </c>
      <c r="B7281" t="s">
        <v>7830</v>
      </c>
      <c r="C7281" t="s">
        <v>430</v>
      </c>
      <c r="D7281" t="s">
        <v>24126</v>
      </c>
    </row>
    <row r="7282" spans="1:4">
      <c r="A7282">
        <v>32</v>
      </c>
      <c r="B7282" t="s">
        <v>7831</v>
      </c>
      <c r="C7282" t="s">
        <v>430</v>
      </c>
      <c r="D7282" t="s">
        <v>23645</v>
      </c>
    </row>
    <row r="7283" spans="1:4">
      <c r="A7283">
        <v>33</v>
      </c>
      <c r="B7283" t="s">
        <v>7832</v>
      </c>
      <c r="C7283" t="s">
        <v>430</v>
      </c>
      <c r="D7283" t="s">
        <v>22701</v>
      </c>
    </row>
    <row r="7284" spans="1:4">
      <c r="A7284">
        <v>43061</v>
      </c>
      <c r="B7284" t="s">
        <v>7833</v>
      </c>
      <c r="C7284" t="s">
        <v>430</v>
      </c>
      <c r="D7284" t="s">
        <v>18020</v>
      </c>
    </row>
    <row r="7285" spans="1:4">
      <c r="A7285">
        <v>43059</v>
      </c>
      <c r="B7285" t="s">
        <v>7834</v>
      </c>
      <c r="C7285" t="s">
        <v>430</v>
      </c>
      <c r="D7285" t="s">
        <v>22447</v>
      </c>
    </row>
    <row r="7286" spans="1:4">
      <c r="A7286">
        <v>43062</v>
      </c>
      <c r="B7286" t="s">
        <v>7835</v>
      </c>
      <c r="C7286" t="s">
        <v>430</v>
      </c>
      <c r="D7286" t="s">
        <v>16910</v>
      </c>
    </row>
    <row r="7287" spans="1:4">
      <c r="A7287">
        <v>43060</v>
      </c>
      <c r="B7287" t="s">
        <v>7836</v>
      </c>
      <c r="C7287" t="s">
        <v>430</v>
      </c>
      <c r="D7287" t="s">
        <v>24595</v>
      </c>
    </row>
    <row r="7288" spans="1:4">
      <c r="A7288">
        <v>20063</v>
      </c>
      <c r="B7288" t="s">
        <v>7837</v>
      </c>
      <c r="C7288" t="s">
        <v>427</v>
      </c>
      <c r="D7288" t="s">
        <v>23562</v>
      </c>
    </row>
    <row r="7289" spans="1:4">
      <c r="A7289">
        <v>40410</v>
      </c>
      <c r="B7289" t="s">
        <v>7838</v>
      </c>
      <c r="C7289" t="s">
        <v>427</v>
      </c>
      <c r="D7289" t="s">
        <v>24596</v>
      </c>
    </row>
    <row r="7290" spans="1:4">
      <c r="A7290">
        <v>40411</v>
      </c>
      <c r="B7290" t="s">
        <v>7839</v>
      </c>
      <c r="C7290" t="s">
        <v>427</v>
      </c>
      <c r="D7290" t="s">
        <v>18459</v>
      </c>
    </row>
    <row r="7291" spans="1:4">
      <c r="A7291">
        <v>40412</v>
      </c>
      <c r="B7291" t="s">
        <v>7840</v>
      </c>
      <c r="C7291" t="s">
        <v>427</v>
      </c>
      <c r="D7291" t="s">
        <v>18428</v>
      </c>
    </row>
    <row r="7292" spans="1:4">
      <c r="A7292">
        <v>38838</v>
      </c>
      <c r="B7292" t="s">
        <v>7841</v>
      </c>
      <c r="C7292" t="s">
        <v>427</v>
      </c>
      <c r="D7292" t="s">
        <v>18038</v>
      </c>
    </row>
    <row r="7293" spans="1:4">
      <c r="A7293">
        <v>38839</v>
      </c>
      <c r="B7293" t="s">
        <v>7842</v>
      </c>
      <c r="C7293" t="s">
        <v>427</v>
      </c>
      <c r="D7293" t="s">
        <v>16955</v>
      </c>
    </row>
    <row r="7294" spans="1:4">
      <c r="A7294">
        <v>55</v>
      </c>
      <c r="B7294" t="s">
        <v>7843</v>
      </c>
      <c r="C7294" t="s">
        <v>427</v>
      </c>
      <c r="D7294" t="s">
        <v>15762</v>
      </c>
    </row>
    <row r="7295" spans="1:4">
      <c r="A7295">
        <v>61</v>
      </c>
      <c r="B7295" t="s">
        <v>7844</v>
      </c>
      <c r="C7295" t="s">
        <v>427</v>
      </c>
      <c r="D7295" t="s">
        <v>24338</v>
      </c>
    </row>
    <row r="7296" spans="1:4">
      <c r="A7296">
        <v>62</v>
      </c>
      <c r="B7296" t="s">
        <v>7845</v>
      </c>
      <c r="C7296" t="s">
        <v>427</v>
      </c>
      <c r="D7296" t="s">
        <v>20277</v>
      </c>
    </row>
    <row r="7297" spans="1:4">
      <c r="A7297">
        <v>77</v>
      </c>
      <c r="B7297" t="s">
        <v>7846</v>
      </c>
      <c r="C7297" t="s">
        <v>427</v>
      </c>
      <c r="D7297" t="s">
        <v>15165</v>
      </c>
    </row>
    <row r="7298" spans="1:4">
      <c r="A7298">
        <v>76</v>
      </c>
      <c r="B7298" t="s">
        <v>7847</v>
      </c>
      <c r="C7298" t="s">
        <v>427</v>
      </c>
      <c r="D7298" t="s">
        <v>19122</v>
      </c>
    </row>
    <row r="7299" spans="1:4">
      <c r="A7299">
        <v>67</v>
      </c>
      <c r="B7299" t="s">
        <v>7848</v>
      </c>
      <c r="C7299" t="s">
        <v>427</v>
      </c>
      <c r="D7299" t="s">
        <v>16888</v>
      </c>
    </row>
    <row r="7300" spans="1:4">
      <c r="A7300">
        <v>71</v>
      </c>
      <c r="B7300" t="s">
        <v>7849</v>
      </c>
      <c r="C7300" t="s">
        <v>427</v>
      </c>
      <c r="D7300" t="s">
        <v>22075</v>
      </c>
    </row>
    <row r="7301" spans="1:4">
      <c r="A7301">
        <v>73</v>
      </c>
      <c r="B7301" t="s">
        <v>7850</v>
      </c>
      <c r="C7301" t="s">
        <v>427</v>
      </c>
      <c r="D7301" t="s">
        <v>15208</v>
      </c>
    </row>
    <row r="7302" spans="1:4">
      <c r="A7302">
        <v>103</v>
      </c>
      <c r="B7302" t="s">
        <v>7851</v>
      </c>
      <c r="C7302" t="s">
        <v>427</v>
      </c>
      <c r="D7302" t="s">
        <v>24597</v>
      </c>
    </row>
    <row r="7303" spans="1:4">
      <c r="A7303">
        <v>107</v>
      </c>
      <c r="B7303" t="s">
        <v>7852</v>
      </c>
      <c r="C7303" t="s">
        <v>427</v>
      </c>
      <c r="D7303" t="s">
        <v>15610</v>
      </c>
    </row>
    <row r="7304" spans="1:4">
      <c r="A7304">
        <v>65</v>
      </c>
      <c r="B7304" t="s">
        <v>7853</v>
      </c>
      <c r="C7304" t="s">
        <v>427</v>
      </c>
      <c r="D7304" t="s">
        <v>15286</v>
      </c>
    </row>
    <row r="7305" spans="1:4">
      <c r="A7305">
        <v>108</v>
      </c>
      <c r="B7305" t="s">
        <v>7854</v>
      </c>
      <c r="C7305" t="s">
        <v>427</v>
      </c>
      <c r="D7305" t="s">
        <v>14937</v>
      </c>
    </row>
    <row r="7306" spans="1:4">
      <c r="A7306">
        <v>110</v>
      </c>
      <c r="B7306" t="s">
        <v>7855</v>
      </c>
      <c r="C7306" t="s">
        <v>427</v>
      </c>
      <c r="D7306" t="s">
        <v>24598</v>
      </c>
    </row>
    <row r="7307" spans="1:4">
      <c r="A7307">
        <v>109</v>
      </c>
      <c r="B7307" t="s">
        <v>7856</v>
      </c>
      <c r="C7307" t="s">
        <v>427</v>
      </c>
      <c r="D7307" t="s">
        <v>19638</v>
      </c>
    </row>
    <row r="7308" spans="1:4">
      <c r="A7308">
        <v>111</v>
      </c>
      <c r="B7308" t="s">
        <v>7857</v>
      </c>
      <c r="C7308" t="s">
        <v>427</v>
      </c>
      <c r="D7308" t="s">
        <v>17954</v>
      </c>
    </row>
    <row r="7309" spans="1:4">
      <c r="A7309">
        <v>112</v>
      </c>
      <c r="B7309" t="s">
        <v>7858</v>
      </c>
      <c r="C7309" t="s">
        <v>427</v>
      </c>
      <c r="D7309" t="s">
        <v>19248</v>
      </c>
    </row>
    <row r="7310" spans="1:4">
      <c r="A7310">
        <v>113</v>
      </c>
      <c r="B7310" t="s">
        <v>7859</v>
      </c>
      <c r="C7310" t="s">
        <v>427</v>
      </c>
      <c r="D7310" t="s">
        <v>19587</v>
      </c>
    </row>
    <row r="7311" spans="1:4">
      <c r="A7311">
        <v>104</v>
      </c>
      <c r="B7311" t="s">
        <v>7860</v>
      </c>
      <c r="C7311" t="s">
        <v>427</v>
      </c>
      <c r="D7311" t="s">
        <v>23077</v>
      </c>
    </row>
    <row r="7312" spans="1:4">
      <c r="A7312">
        <v>102</v>
      </c>
      <c r="B7312" t="s">
        <v>7861</v>
      </c>
      <c r="C7312" t="s">
        <v>427</v>
      </c>
      <c r="D7312" t="s">
        <v>20079</v>
      </c>
    </row>
    <row r="7313" spans="1:4">
      <c r="A7313">
        <v>95</v>
      </c>
      <c r="B7313" t="s">
        <v>7862</v>
      </c>
      <c r="C7313" t="s">
        <v>427</v>
      </c>
      <c r="D7313" t="s">
        <v>24599</v>
      </c>
    </row>
    <row r="7314" spans="1:4">
      <c r="A7314">
        <v>96</v>
      </c>
      <c r="B7314" t="s">
        <v>7863</v>
      </c>
      <c r="C7314" t="s">
        <v>427</v>
      </c>
      <c r="D7314" t="s">
        <v>17249</v>
      </c>
    </row>
    <row r="7315" spans="1:4">
      <c r="A7315">
        <v>97</v>
      </c>
      <c r="B7315" t="s">
        <v>7864</v>
      </c>
      <c r="C7315" t="s">
        <v>427</v>
      </c>
      <c r="D7315" t="s">
        <v>22068</v>
      </c>
    </row>
    <row r="7316" spans="1:4">
      <c r="A7316">
        <v>98</v>
      </c>
      <c r="B7316" t="s">
        <v>7865</v>
      </c>
      <c r="C7316" t="s">
        <v>427</v>
      </c>
      <c r="D7316" t="s">
        <v>18416</v>
      </c>
    </row>
    <row r="7317" spans="1:4">
      <c r="A7317">
        <v>99</v>
      </c>
      <c r="B7317" t="s">
        <v>7866</v>
      </c>
      <c r="C7317" t="s">
        <v>427</v>
      </c>
      <c r="D7317" t="s">
        <v>17280</v>
      </c>
    </row>
    <row r="7318" spans="1:4">
      <c r="A7318">
        <v>100</v>
      </c>
      <c r="B7318" t="s">
        <v>7867</v>
      </c>
      <c r="C7318" t="s">
        <v>427</v>
      </c>
      <c r="D7318" t="s">
        <v>18482</v>
      </c>
    </row>
    <row r="7319" spans="1:4">
      <c r="A7319">
        <v>75</v>
      </c>
      <c r="B7319" t="s">
        <v>7868</v>
      </c>
      <c r="C7319" t="s">
        <v>427</v>
      </c>
      <c r="D7319" t="s">
        <v>24600</v>
      </c>
    </row>
    <row r="7320" spans="1:4">
      <c r="A7320">
        <v>114</v>
      </c>
      <c r="B7320" t="s">
        <v>7869</v>
      </c>
      <c r="C7320" t="s">
        <v>427</v>
      </c>
      <c r="D7320" t="s">
        <v>24601</v>
      </c>
    </row>
    <row r="7321" spans="1:4">
      <c r="A7321">
        <v>68</v>
      </c>
      <c r="B7321" t="s">
        <v>7870</v>
      </c>
      <c r="C7321" t="s">
        <v>427</v>
      </c>
      <c r="D7321" t="s">
        <v>24602</v>
      </c>
    </row>
    <row r="7322" spans="1:4">
      <c r="A7322">
        <v>86</v>
      </c>
      <c r="B7322" t="s">
        <v>7871</v>
      </c>
      <c r="C7322" t="s">
        <v>427</v>
      </c>
      <c r="D7322" t="s">
        <v>21419</v>
      </c>
    </row>
    <row r="7323" spans="1:4">
      <c r="A7323">
        <v>66</v>
      </c>
      <c r="B7323" t="s">
        <v>7872</v>
      </c>
      <c r="C7323" t="s">
        <v>427</v>
      </c>
      <c r="D7323" t="s">
        <v>24603</v>
      </c>
    </row>
    <row r="7324" spans="1:4">
      <c r="A7324">
        <v>69</v>
      </c>
      <c r="B7324" t="s">
        <v>7873</v>
      </c>
      <c r="C7324" t="s">
        <v>427</v>
      </c>
      <c r="D7324" t="s">
        <v>24604</v>
      </c>
    </row>
    <row r="7325" spans="1:4">
      <c r="A7325">
        <v>83</v>
      </c>
      <c r="B7325" t="s">
        <v>7874</v>
      </c>
      <c r="C7325" t="s">
        <v>427</v>
      </c>
      <c r="D7325" t="s">
        <v>16845</v>
      </c>
    </row>
    <row r="7326" spans="1:4">
      <c r="A7326">
        <v>74</v>
      </c>
      <c r="B7326" t="s">
        <v>7875</v>
      </c>
      <c r="C7326" t="s">
        <v>427</v>
      </c>
      <c r="D7326" t="s">
        <v>24605</v>
      </c>
    </row>
    <row r="7327" spans="1:4">
      <c r="A7327">
        <v>106</v>
      </c>
      <c r="B7327" t="s">
        <v>7876</v>
      </c>
      <c r="C7327" t="s">
        <v>427</v>
      </c>
      <c r="D7327" t="s">
        <v>24606</v>
      </c>
    </row>
    <row r="7328" spans="1:4">
      <c r="A7328">
        <v>87</v>
      </c>
      <c r="B7328" t="s">
        <v>7877</v>
      </c>
      <c r="C7328" t="s">
        <v>427</v>
      </c>
      <c r="D7328" t="s">
        <v>15886</v>
      </c>
    </row>
    <row r="7329" spans="1:4">
      <c r="A7329">
        <v>88</v>
      </c>
      <c r="B7329" t="s">
        <v>7878</v>
      </c>
      <c r="C7329" t="s">
        <v>427</v>
      </c>
      <c r="D7329" t="s">
        <v>17207</v>
      </c>
    </row>
    <row r="7330" spans="1:4">
      <c r="A7330">
        <v>89</v>
      </c>
      <c r="B7330" t="s">
        <v>7879</v>
      </c>
      <c r="C7330" t="s">
        <v>427</v>
      </c>
      <c r="D7330" t="s">
        <v>22851</v>
      </c>
    </row>
    <row r="7331" spans="1:4">
      <c r="A7331">
        <v>90</v>
      </c>
      <c r="B7331" t="s">
        <v>7880</v>
      </c>
      <c r="C7331" t="s">
        <v>427</v>
      </c>
      <c r="D7331" t="s">
        <v>24607</v>
      </c>
    </row>
    <row r="7332" spans="1:4">
      <c r="A7332">
        <v>81</v>
      </c>
      <c r="B7332" t="s">
        <v>7881</v>
      </c>
      <c r="C7332" t="s">
        <v>427</v>
      </c>
      <c r="D7332" t="s">
        <v>24608</v>
      </c>
    </row>
    <row r="7333" spans="1:4">
      <c r="A7333">
        <v>82</v>
      </c>
      <c r="B7333" t="s">
        <v>7882</v>
      </c>
      <c r="C7333" t="s">
        <v>427</v>
      </c>
      <c r="D7333" t="s">
        <v>24609</v>
      </c>
    </row>
    <row r="7334" spans="1:4">
      <c r="A7334">
        <v>105</v>
      </c>
      <c r="B7334" t="s">
        <v>7883</v>
      </c>
      <c r="C7334" t="s">
        <v>427</v>
      </c>
      <c r="D7334" t="s">
        <v>24610</v>
      </c>
    </row>
    <row r="7335" spans="1:4">
      <c r="A7335">
        <v>60</v>
      </c>
      <c r="B7335" t="s">
        <v>7884</v>
      </c>
      <c r="C7335" t="s">
        <v>427</v>
      </c>
      <c r="D7335" t="s">
        <v>15572</v>
      </c>
    </row>
    <row r="7336" spans="1:4">
      <c r="A7336">
        <v>72</v>
      </c>
      <c r="B7336" t="s">
        <v>7885</v>
      </c>
      <c r="C7336" t="s">
        <v>427</v>
      </c>
      <c r="D7336" t="s">
        <v>24611</v>
      </c>
    </row>
    <row r="7337" spans="1:4">
      <c r="A7337">
        <v>70</v>
      </c>
      <c r="B7337" t="s">
        <v>7886</v>
      </c>
      <c r="C7337" t="s">
        <v>427</v>
      </c>
      <c r="D7337" t="s">
        <v>15295</v>
      </c>
    </row>
    <row r="7338" spans="1:4">
      <c r="A7338">
        <v>85</v>
      </c>
      <c r="B7338" t="s">
        <v>7887</v>
      </c>
      <c r="C7338" t="s">
        <v>427</v>
      </c>
      <c r="D7338" t="s">
        <v>24612</v>
      </c>
    </row>
    <row r="7339" spans="1:4">
      <c r="A7339">
        <v>84</v>
      </c>
      <c r="B7339" t="s">
        <v>7888</v>
      </c>
      <c r="C7339" t="s">
        <v>427</v>
      </c>
      <c r="D7339" t="s">
        <v>15607</v>
      </c>
    </row>
    <row r="7340" spans="1:4">
      <c r="A7340">
        <v>37997</v>
      </c>
      <c r="B7340" t="s">
        <v>7889</v>
      </c>
      <c r="C7340" t="s">
        <v>427</v>
      </c>
      <c r="D7340" t="s">
        <v>22098</v>
      </c>
    </row>
    <row r="7341" spans="1:4">
      <c r="A7341">
        <v>37998</v>
      </c>
      <c r="B7341" t="s">
        <v>7890</v>
      </c>
      <c r="C7341" t="s">
        <v>427</v>
      </c>
      <c r="D7341" t="s">
        <v>24282</v>
      </c>
    </row>
    <row r="7342" spans="1:4">
      <c r="A7342">
        <v>10899</v>
      </c>
      <c r="B7342" t="s">
        <v>7891</v>
      </c>
      <c r="C7342" t="s">
        <v>427</v>
      </c>
      <c r="D7342" t="s">
        <v>24613</v>
      </c>
    </row>
    <row r="7343" spans="1:4">
      <c r="A7343">
        <v>10900</v>
      </c>
      <c r="B7343" t="s">
        <v>7892</v>
      </c>
      <c r="C7343" t="s">
        <v>427</v>
      </c>
      <c r="D7343" t="s">
        <v>24614</v>
      </c>
    </row>
    <row r="7344" spans="1:4">
      <c r="A7344">
        <v>46</v>
      </c>
      <c r="B7344" t="s">
        <v>7893</v>
      </c>
      <c r="C7344" t="s">
        <v>427</v>
      </c>
      <c r="D7344" t="s">
        <v>24106</v>
      </c>
    </row>
    <row r="7345" spans="1:4">
      <c r="A7345">
        <v>51</v>
      </c>
      <c r="B7345" t="s">
        <v>7894</v>
      </c>
      <c r="C7345" t="s">
        <v>427</v>
      </c>
      <c r="D7345" t="s">
        <v>24615</v>
      </c>
    </row>
    <row r="7346" spans="1:4">
      <c r="A7346">
        <v>12863</v>
      </c>
      <c r="B7346" t="s">
        <v>7895</v>
      </c>
      <c r="C7346" t="s">
        <v>427</v>
      </c>
      <c r="D7346" t="s">
        <v>17100</v>
      </c>
    </row>
    <row r="7347" spans="1:4">
      <c r="A7347">
        <v>50</v>
      </c>
      <c r="B7347" t="s">
        <v>7896</v>
      </c>
      <c r="C7347" t="s">
        <v>427</v>
      </c>
      <c r="D7347" t="s">
        <v>18934</v>
      </c>
    </row>
    <row r="7348" spans="1:4">
      <c r="A7348">
        <v>47</v>
      </c>
      <c r="B7348" t="s">
        <v>7897</v>
      </c>
      <c r="C7348" t="s">
        <v>427</v>
      </c>
      <c r="D7348" t="s">
        <v>24616</v>
      </c>
    </row>
    <row r="7349" spans="1:4">
      <c r="A7349">
        <v>48</v>
      </c>
      <c r="B7349" t="s">
        <v>7898</v>
      </c>
      <c r="C7349" t="s">
        <v>427</v>
      </c>
      <c r="D7349" t="s">
        <v>24617</v>
      </c>
    </row>
    <row r="7350" spans="1:4">
      <c r="A7350">
        <v>52</v>
      </c>
      <c r="B7350" t="s">
        <v>7899</v>
      </c>
      <c r="C7350" t="s">
        <v>427</v>
      </c>
      <c r="D7350" t="s">
        <v>24618</v>
      </c>
    </row>
    <row r="7351" spans="1:4">
      <c r="A7351">
        <v>43</v>
      </c>
      <c r="B7351" t="s">
        <v>7900</v>
      </c>
      <c r="C7351" t="s">
        <v>427</v>
      </c>
      <c r="D7351" t="s">
        <v>24619</v>
      </c>
    </row>
    <row r="7352" spans="1:4">
      <c r="A7352">
        <v>39719</v>
      </c>
      <c r="B7352" t="s">
        <v>7901</v>
      </c>
      <c r="C7352" t="s">
        <v>428</v>
      </c>
      <c r="D7352" t="s">
        <v>24620</v>
      </c>
    </row>
    <row r="7353" spans="1:4">
      <c r="A7353">
        <v>3410</v>
      </c>
      <c r="B7353" t="s">
        <v>7902</v>
      </c>
      <c r="C7353" t="s">
        <v>430</v>
      </c>
      <c r="D7353" t="s">
        <v>24329</v>
      </c>
    </row>
    <row r="7354" spans="1:4">
      <c r="A7354">
        <v>4791</v>
      </c>
      <c r="B7354" t="s">
        <v>7903</v>
      </c>
      <c r="C7354" t="s">
        <v>430</v>
      </c>
      <c r="D7354" t="s">
        <v>20270</v>
      </c>
    </row>
    <row r="7355" spans="1:4">
      <c r="A7355">
        <v>157</v>
      </c>
      <c r="B7355" t="s">
        <v>7904</v>
      </c>
      <c r="C7355" t="s">
        <v>430</v>
      </c>
      <c r="D7355" t="s">
        <v>24621</v>
      </c>
    </row>
    <row r="7356" spans="1:4">
      <c r="A7356">
        <v>156</v>
      </c>
      <c r="B7356" t="s">
        <v>7905</v>
      </c>
      <c r="C7356" t="s">
        <v>430</v>
      </c>
      <c r="D7356" t="s">
        <v>24622</v>
      </c>
    </row>
    <row r="7357" spans="1:4">
      <c r="A7357">
        <v>131</v>
      </c>
      <c r="B7357" t="s">
        <v>7906</v>
      </c>
      <c r="C7357" t="s">
        <v>430</v>
      </c>
      <c r="D7357" t="s">
        <v>23963</v>
      </c>
    </row>
    <row r="7358" spans="1:4">
      <c r="A7358">
        <v>21114</v>
      </c>
      <c r="B7358" t="s">
        <v>7907</v>
      </c>
      <c r="C7358" t="s">
        <v>427</v>
      </c>
      <c r="D7358" t="s">
        <v>24623</v>
      </c>
    </row>
    <row r="7359" spans="1:4">
      <c r="A7359">
        <v>119</v>
      </c>
      <c r="B7359" t="s">
        <v>7908</v>
      </c>
      <c r="C7359" t="s">
        <v>427</v>
      </c>
      <c r="D7359" t="s">
        <v>22070</v>
      </c>
    </row>
    <row r="7360" spans="1:4">
      <c r="A7360">
        <v>122</v>
      </c>
      <c r="B7360" t="s">
        <v>7909</v>
      </c>
      <c r="C7360" t="s">
        <v>427</v>
      </c>
      <c r="D7360" t="s">
        <v>24624</v>
      </c>
    </row>
    <row r="7361" spans="1:4">
      <c r="A7361">
        <v>20080</v>
      </c>
      <c r="B7361" t="s">
        <v>7910</v>
      </c>
      <c r="C7361" t="s">
        <v>427</v>
      </c>
      <c r="D7361" t="s">
        <v>22668</v>
      </c>
    </row>
    <row r="7362" spans="1:4">
      <c r="A7362">
        <v>124</v>
      </c>
      <c r="B7362" t="s">
        <v>7911</v>
      </c>
      <c r="C7362" t="s">
        <v>428</v>
      </c>
      <c r="D7362" t="s">
        <v>18053</v>
      </c>
    </row>
    <row r="7363" spans="1:4">
      <c r="A7363">
        <v>7334</v>
      </c>
      <c r="B7363" t="s">
        <v>7912</v>
      </c>
      <c r="C7363" t="s">
        <v>428</v>
      </c>
      <c r="D7363" t="s">
        <v>24625</v>
      </c>
    </row>
    <row r="7364" spans="1:4">
      <c r="A7364">
        <v>123</v>
      </c>
      <c r="B7364" t="s">
        <v>7913</v>
      </c>
      <c r="C7364" t="s">
        <v>428</v>
      </c>
      <c r="D7364" t="s">
        <v>19256</v>
      </c>
    </row>
    <row r="7365" spans="1:4">
      <c r="A7365">
        <v>127</v>
      </c>
      <c r="B7365" t="s">
        <v>7914</v>
      </c>
      <c r="C7365" t="s">
        <v>428</v>
      </c>
      <c r="D7365" t="s">
        <v>19599</v>
      </c>
    </row>
    <row r="7366" spans="1:4">
      <c r="A7366">
        <v>41373</v>
      </c>
      <c r="B7366" t="s">
        <v>7915</v>
      </c>
      <c r="C7366" t="s">
        <v>428</v>
      </c>
      <c r="D7366" t="s">
        <v>19083</v>
      </c>
    </row>
    <row r="7367" spans="1:4">
      <c r="A7367">
        <v>133</v>
      </c>
      <c r="B7367" t="s">
        <v>7916</v>
      </c>
      <c r="C7367" t="s">
        <v>428</v>
      </c>
      <c r="D7367" t="s">
        <v>20177</v>
      </c>
    </row>
    <row r="7368" spans="1:4">
      <c r="A7368">
        <v>43617</v>
      </c>
      <c r="B7368" t="s">
        <v>7917</v>
      </c>
      <c r="C7368" t="s">
        <v>428</v>
      </c>
      <c r="D7368" t="s">
        <v>15716</v>
      </c>
    </row>
    <row r="7369" spans="1:4">
      <c r="A7369">
        <v>132</v>
      </c>
      <c r="B7369" t="s">
        <v>7918</v>
      </c>
      <c r="C7369" t="s">
        <v>428</v>
      </c>
      <c r="D7369" t="s">
        <v>15756</v>
      </c>
    </row>
    <row r="7370" spans="1:4">
      <c r="A7370">
        <v>43618</v>
      </c>
      <c r="B7370" t="s">
        <v>7919</v>
      </c>
      <c r="C7370" t="s">
        <v>430</v>
      </c>
      <c r="D7370" t="s">
        <v>20085</v>
      </c>
    </row>
    <row r="7371" spans="1:4">
      <c r="A7371">
        <v>37476</v>
      </c>
      <c r="B7371" t="s">
        <v>7920</v>
      </c>
      <c r="C7371" t="s">
        <v>427</v>
      </c>
      <c r="D7371" t="s">
        <v>24626</v>
      </c>
    </row>
    <row r="7372" spans="1:4">
      <c r="A7372">
        <v>37478</v>
      </c>
      <c r="B7372" t="s">
        <v>7921</v>
      </c>
      <c r="C7372" t="s">
        <v>427</v>
      </c>
      <c r="D7372" t="s">
        <v>24627</v>
      </c>
    </row>
    <row r="7373" spans="1:4">
      <c r="A7373">
        <v>37477</v>
      </c>
      <c r="B7373" t="s">
        <v>7922</v>
      </c>
      <c r="C7373" t="s">
        <v>427</v>
      </c>
      <c r="D7373" t="s">
        <v>24628</v>
      </c>
    </row>
    <row r="7374" spans="1:4">
      <c r="A7374">
        <v>37479</v>
      </c>
      <c r="B7374" t="s">
        <v>7923</v>
      </c>
      <c r="C7374" t="s">
        <v>427</v>
      </c>
      <c r="D7374" t="s">
        <v>24629</v>
      </c>
    </row>
    <row r="7375" spans="1:4">
      <c r="A7375">
        <v>4319</v>
      </c>
      <c r="B7375" t="s">
        <v>7924</v>
      </c>
      <c r="C7375" t="s">
        <v>427</v>
      </c>
      <c r="D7375" t="s">
        <v>24630</v>
      </c>
    </row>
    <row r="7376" spans="1:4">
      <c r="A7376">
        <v>42409</v>
      </c>
      <c r="B7376" t="s">
        <v>7925</v>
      </c>
      <c r="C7376" t="s">
        <v>430</v>
      </c>
      <c r="D7376" t="s">
        <v>23999</v>
      </c>
    </row>
    <row r="7377" spans="1:4">
      <c r="A7377">
        <v>40553</v>
      </c>
      <c r="B7377" t="s">
        <v>7926</v>
      </c>
      <c r="C7377" t="s">
        <v>431</v>
      </c>
      <c r="D7377" t="s">
        <v>18404</v>
      </c>
    </row>
    <row r="7378" spans="1:4">
      <c r="A7378">
        <v>6114</v>
      </c>
      <c r="B7378" t="s">
        <v>13407</v>
      </c>
      <c r="C7378" t="s">
        <v>432</v>
      </c>
      <c r="D7378" t="s">
        <v>18100</v>
      </c>
    </row>
    <row r="7379" spans="1:4">
      <c r="A7379">
        <v>40912</v>
      </c>
      <c r="B7379" t="s">
        <v>7927</v>
      </c>
      <c r="C7379" t="s">
        <v>433</v>
      </c>
      <c r="D7379" t="s">
        <v>24631</v>
      </c>
    </row>
    <row r="7380" spans="1:4">
      <c r="A7380">
        <v>247</v>
      </c>
      <c r="B7380" t="s">
        <v>7928</v>
      </c>
      <c r="C7380" t="s">
        <v>432</v>
      </c>
      <c r="D7380" t="s">
        <v>24632</v>
      </c>
    </row>
    <row r="7381" spans="1:4">
      <c r="A7381">
        <v>40919</v>
      </c>
      <c r="B7381" t="s">
        <v>7929</v>
      </c>
      <c r="C7381" t="s">
        <v>433</v>
      </c>
      <c r="D7381" t="s">
        <v>24633</v>
      </c>
    </row>
    <row r="7382" spans="1:4">
      <c r="A7382">
        <v>40984</v>
      </c>
      <c r="B7382" t="s">
        <v>7930</v>
      </c>
      <c r="C7382" t="s">
        <v>433</v>
      </c>
      <c r="D7382" t="s">
        <v>24634</v>
      </c>
    </row>
    <row r="7383" spans="1:4">
      <c r="A7383">
        <v>44499</v>
      </c>
      <c r="B7383" t="s">
        <v>13408</v>
      </c>
      <c r="C7383" t="s">
        <v>432</v>
      </c>
      <c r="D7383" t="s">
        <v>15486</v>
      </c>
    </row>
    <row r="7384" spans="1:4">
      <c r="A7384">
        <v>248</v>
      </c>
      <c r="B7384" t="s">
        <v>13409</v>
      </c>
      <c r="C7384" t="s">
        <v>432</v>
      </c>
      <c r="D7384" t="s">
        <v>18100</v>
      </c>
    </row>
    <row r="7385" spans="1:4">
      <c r="A7385">
        <v>41086</v>
      </c>
      <c r="B7385" t="s">
        <v>7931</v>
      </c>
      <c r="C7385" t="s">
        <v>433</v>
      </c>
      <c r="D7385" t="s">
        <v>24631</v>
      </c>
    </row>
    <row r="7386" spans="1:4">
      <c r="A7386">
        <v>34466</v>
      </c>
      <c r="B7386" t="s">
        <v>20477</v>
      </c>
      <c r="C7386" t="s">
        <v>432</v>
      </c>
      <c r="D7386" t="s">
        <v>23645</v>
      </c>
    </row>
    <row r="7387" spans="1:4">
      <c r="A7387">
        <v>41083</v>
      </c>
      <c r="B7387" t="s">
        <v>7932</v>
      </c>
      <c r="C7387" t="s">
        <v>433</v>
      </c>
      <c r="D7387" t="s">
        <v>24635</v>
      </c>
    </row>
    <row r="7388" spans="1:4">
      <c r="A7388">
        <v>252</v>
      </c>
      <c r="B7388" t="s">
        <v>13410</v>
      </c>
      <c r="C7388" t="s">
        <v>432</v>
      </c>
      <c r="D7388" t="s">
        <v>23645</v>
      </c>
    </row>
    <row r="7389" spans="1:4">
      <c r="A7389">
        <v>40909</v>
      </c>
      <c r="B7389" t="s">
        <v>7933</v>
      </c>
      <c r="C7389" t="s">
        <v>433</v>
      </c>
      <c r="D7389" t="s">
        <v>24635</v>
      </c>
    </row>
    <row r="7390" spans="1:4">
      <c r="A7390">
        <v>242</v>
      </c>
      <c r="B7390" t="s">
        <v>7934</v>
      </c>
      <c r="C7390" t="s">
        <v>432</v>
      </c>
      <c r="D7390" t="s">
        <v>23645</v>
      </c>
    </row>
    <row r="7391" spans="1:4">
      <c r="A7391">
        <v>41085</v>
      </c>
      <c r="B7391" t="s">
        <v>7935</v>
      </c>
      <c r="C7391" t="s">
        <v>433</v>
      </c>
      <c r="D7391" t="s">
        <v>24636</v>
      </c>
    </row>
    <row r="7392" spans="1:4">
      <c r="A7392">
        <v>427</v>
      </c>
      <c r="B7392" t="s">
        <v>7936</v>
      </c>
      <c r="C7392" t="s">
        <v>427</v>
      </c>
      <c r="D7392" t="s">
        <v>17239</v>
      </c>
    </row>
    <row r="7393" spans="1:4">
      <c r="A7393">
        <v>417</v>
      </c>
      <c r="B7393" t="s">
        <v>7937</v>
      </c>
      <c r="C7393" t="s">
        <v>427</v>
      </c>
      <c r="D7393" t="s">
        <v>15348</v>
      </c>
    </row>
    <row r="7394" spans="1:4">
      <c r="A7394">
        <v>11273</v>
      </c>
      <c r="B7394" t="s">
        <v>7938</v>
      </c>
      <c r="C7394" t="s">
        <v>427</v>
      </c>
      <c r="D7394" t="s">
        <v>16932</v>
      </c>
    </row>
    <row r="7395" spans="1:4">
      <c r="A7395">
        <v>11272</v>
      </c>
      <c r="B7395" t="s">
        <v>7939</v>
      </c>
      <c r="C7395" t="s">
        <v>427</v>
      </c>
      <c r="D7395" t="s">
        <v>19641</v>
      </c>
    </row>
    <row r="7396" spans="1:4">
      <c r="A7396">
        <v>11275</v>
      </c>
      <c r="B7396" t="s">
        <v>7940</v>
      </c>
      <c r="C7396" t="s">
        <v>427</v>
      </c>
      <c r="D7396" t="s">
        <v>14814</v>
      </c>
    </row>
    <row r="7397" spans="1:4">
      <c r="A7397">
        <v>11274</v>
      </c>
      <c r="B7397" t="s">
        <v>7941</v>
      </c>
      <c r="C7397" t="s">
        <v>427</v>
      </c>
      <c r="D7397" t="s">
        <v>15151</v>
      </c>
    </row>
    <row r="7398" spans="1:4">
      <c r="A7398">
        <v>38470</v>
      </c>
      <c r="B7398" t="s">
        <v>7942</v>
      </c>
      <c r="C7398" t="s">
        <v>427</v>
      </c>
      <c r="D7398" t="s">
        <v>17890</v>
      </c>
    </row>
    <row r="7399" spans="1:4">
      <c r="A7399">
        <v>38547</v>
      </c>
      <c r="B7399" t="s">
        <v>7943</v>
      </c>
      <c r="C7399" t="s">
        <v>427</v>
      </c>
      <c r="D7399" t="s">
        <v>24637</v>
      </c>
    </row>
    <row r="7400" spans="1:4">
      <c r="A7400">
        <v>38469</v>
      </c>
      <c r="B7400" t="s">
        <v>7944</v>
      </c>
      <c r="C7400" t="s">
        <v>427</v>
      </c>
      <c r="D7400" t="s">
        <v>24638</v>
      </c>
    </row>
    <row r="7401" spans="1:4">
      <c r="A7401">
        <v>38467</v>
      </c>
      <c r="B7401" t="s">
        <v>7945</v>
      </c>
      <c r="C7401" t="s">
        <v>427</v>
      </c>
      <c r="D7401" t="s">
        <v>24639</v>
      </c>
    </row>
    <row r="7402" spans="1:4">
      <c r="A7402">
        <v>38468</v>
      </c>
      <c r="B7402" t="s">
        <v>7946</v>
      </c>
      <c r="C7402" t="s">
        <v>427</v>
      </c>
      <c r="D7402" t="s">
        <v>24640</v>
      </c>
    </row>
    <row r="7403" spans="1:4">
      <c r="A7403">
        <v>38471</v>
      </c>
      <c r="B7403" t="s">
        <v>7947</v>
      </c>
      <c r="C7403" t="s">
        <v>427</v>
      </c>
      <c r="D7403" t="s">
        <v>24641</v>
      </c>
    </row>
    <row r="7404" spans="1:4">
      <c r="A7404">
        <v>37370</v>
      </c>
      <c r="B7404" t="s">
        <v>7948</v>
      </c>
      <c r="C7404" t="s">
        <v>432</v>
      </c>
      <c r="D7404" t="s">
        <v>20140</v>
      </c>
    </row>
    <row r="7405" spans="1:4">
      <c r="A7405">
        <v>40862</v>
      </c>
      <c r="B7405" t="s">
        <v>7949</v>
      </c>
      <c r="C7405" t="s">
        <v>433</v>
      </c>
      <c r="D7405" t="s">
        <v>24642</v>
      </c>
    </row>
    <row r="7406" spans="1:4">
      <c r="A7406">
        <v>10658</v>
      </c>
      <c r="B7406" t="s">
        <v>7950</v>
      </c>
      <c r="C7406" t="s">
        <v>427</v>
      </c>
      <c r="D7406" t="s">
        <v>24643</v>
      </c>
    </row>
    <row r="7407" spans="1:4">
      <c r="A7407">
        <v>253</v>
      </c>
      <c r="B7407" t="s">
        <v>7951</v>
      </c>
      <c r="C7407" t="s">
        <v>432</v>
      </c>
      <c r="D7407" t="s">
        <v>20265</v>
      </c>
    </row>
    <row r="7408" spans="1:4">
      <c r="A7408">
        <v>40809</v>
      </c>
      <c r="B7408" t="s">
        <v>7952</v>
      </c>
      <c r="C7408" t="s">
        <v>433</v>
      </c>
      <c r="D7408" t="s">
        <v>24644</v>
      </c>
    </row>
    <row r="7409" spans="1:4">
      <c r="A7409">
        <v>42428</v>
      </c>
      <c r="B7409" t="s">
        <v>7953</v>
      </c>
      <c r="C7409" t="s">
        <v>427</v>
      </c>
      <c r="D7409" t="s">
        <v>24645</v>
      </c>
    </row>
    <row r="7410" spans="1:4">
      <c r="A7410">
        <v>583</v>
      </c>
      <c r="B7410" t="s">
        <v>7954</v>
      </c>
      <c r="C7410" t="s">
        <v>430</v>
      </c>
      <c r="D7410" t="s">
        <v>24646</v>
      </c>
    </row>
    <row r="7411" spans="1:4">
      <c r="A7411">
        <v>301</v>
      </c>
      <c r="B7411" t="s">
        <v>7955</v>
      </c>
      <c r="C7411" t="s">
        <v>427</v>
      </c>
      <c r="D7411" t="s">
        <v>15608</v>
      </c>
    </row>
    <row r="7412" spans="1:4">
      <c r="A7412">
        <v>296</v>
      </c>
      <c r="B7412" t="s">
        <v>13411</v>
      </c>
      <c r="C7412" t="s">
        <v>427</v>
      </c>
      <c r="D7412" t="s">
        <v>15569</v>
      </c>
    </row>
    <row r="7413" spans="1:4">
      <c r="A7413">
        <v>297</v>
      </c>
      <c r="B7413" t="s">
        <v>13412</v>
      </c>
      <c r="C7413" t="s">
        <v>427</v>
      </c>
      <c r="D7413" t="s">
        <v>15813</v>
      </c>
    </row>
    <row r="7414" spans="1:4">
      <c r="A7414">
        <v>299</v>
      </c>
      <c r="B7414" t="s">
        <v>13413</v>
      </c>
      <c r="C7414" t="s">
        <v>427</v>
      </c>
      <c r="D7414" t="s">
        <v>22302</v>
      </c>
    </row>
    <row r="7415" spans="1:4">
      <c r="A7415">
        <v>300</v>
      </c>
      <c r="B7415" t="s">
        <v>7956</v>
      </c>
      <c r="C7415" t="s">
        <v>427</v>
      </c>
      <c r="D7415" t="s">
        <v>24647</v>
      </c>
    </row>
    <row r="7416" spans="1:4">
      <c r="A7416">
        <v>20085</v>
      </c>
      <c r="B7416" t="s">
        <v>7957</v>
      </c>
      <c r="C7416" t="s">
        <v>427</v>
      </c>
      <c r="D7416" t="s">
        <v>24590</v>
      </c>
    </row>
    <row r="7417" spans="1:4">
      <c r="A7417">
        <v>298</v>
      </c>
      <c r="B7417" t="s">
        <v>13414</v>
      </c>
      <c r="C7417" t="s">
        <v>427</v>
      </c>
      <c r="D7417" t="s">
        <v>15503</v>
      </c>
    </row>
    <row r="7418" spans="1:4">
      <c r="A7418">
        <v>311</v>
      </c>
      <c r="B7418" t="s">
        <v>7958</v>
      </c>
      <c r="C7418" t="s">
        <v>427</v>
      </c>
      <c r="D7418" t="s">
        <v>16633</v>
      </c>
    </row>
    <row r="7419" spans="1:4">
      <c r="A7419">
        <v>318</v>
      </c>
      <c r="B7419" t="s">
        <v>7959</v>
      </c>
      <c r="C7419" t="s">
        <v>427</v>
      </c>
      <c r="D7419" t="s">
        <v>18449</v>
      </c>
    </row>
    <row r="7420" spans="1:4">
      <c r="A7420">
        <v>319</v>
      </c>
      <c r="B7420" t="s">
        <v>7960</v>
      </c>
      <c r="C7420" t="s">
        <v>427</v>
      </c>
      <c r="D7420" t="s">
        <v>17449</v>
      </c>
    </row>
    <row r="7421" spans="1:4">
      <c r="A7421">
        <v>303</v>
      </c>
      <c r="B7421" t="s">
        <v>7961</v>
      </c>
      <c r="C7421" t="s">
        <v>427</v>
      </c>
      <c r="D7421" t="s">
        <v>14824</v>
      </c>
    </row>
    <row r="7422" spans="1:4">
      <c r="A7422">
        <v>305</v>
      </c>
      <c r="B7422" t="s">
        <v>7962</v>
      </c>
      <c r="C7422" t="s">
        <v>427</v>
      </c>
      <c r="D7422" t="s">
        <v>16889</v>
      </c>
    </row>
    <row r="7423" spans="1:4">
      <c r="A7423">
        <v>306</v>
      </c>
      <c r="B7423" t="s">
        <v>7963</v>
      </c>
      <c r="C7423" t="s">
        <v>427</v>
      </c>
      <c r="D7423" t="s">
        <v>24648</v>
      </c>
    </row>
    <row r="7424" spans="1:4">
      <c r="A7424">
        <v>307</v>
      </c>
      <c r="B7424" t="s">
        <v>7964</v>
      </c>
      <c r="C7424" t="s">
        <v>427</v>
      </c>
      <c r="D7424" t="s">
        <v>24649</v>
      </c>
    </row>
    <row r="7425" spans="1:4">
      <c r="A7425">
        <v>309</v>
      </c>
      <c r="B7425" t="s">
        <v>7965</v>
      </c>
      <c r="C7425" t="s">
        <v>427</v>
      </c>
      <c r="D7425" t="s">
        <v>24650</v>
      </c>
    </row>
    <row r="7426" spans="1:4">
      <c r="A7426">
        <v>310</v>
      </c>
      <c r="B7426" t="s">
        <v>7966</v>
      </c>
      <c r="C7426" t="s">
        <v>427</v>
      </c>
      <c r="D7426" t="s">
        <v>24651</v>
      </c>
    </row>
    <row r="7427" spans="1:4">
      <c r="A7427">
        <v>328</v>
      </c>
      <c r="B7427" t="s">
        <v>7967</v>
      </c>
      <c r="C7427" t="s">
        <v>427</v>
      </c>
      <c r="D7427" t="s">
        <v>16924</v>
      </c>
    </row>
    <row r="7428" spans="1:4">
      <c r="A7428">
        <v>325</v>
      </c>
      <c r="B7428" t="s">
        <v>7968</v>
      </c>
      <c r="C7428" t="s">
        <v>427</v>
      </c>
      <c r="D7428" t="s">
        <v>20182</v>
      </c>
    </row>
    <row r="7429" spans="1:4">
      <c r="A7429">
        <v>20326</v>
      </c>
      <c r="B7429" t="s">
        <v>7969</v>
      </c>
      <c r="C7429" t="s">
        <v>427</v>
      </c>
      <c r="D7429" t="s">
        <v>15423</v>
      </c>
    </row>
    <row r="7430" spans="1:4">
      <c r="A7430">
        <v>329</v>
      </c>
      <c r="B7430" t="s">
        <v>7970</v>
      </c>
      <c r="C7430" t="s">
        <v>427</v>
      </c>
      <c r="D7430" t="s">
        <v>24420</v>
      </c>
    </row>
    <row r="7431" spans="1:4">
      <c r="A7431">
        <v>308</v>
      </c>
      <c r="B7431" t="s">
        <v>7971</v>
      </c>
      <c r="C7431" t="s">
        <v>427</v>
      </c>
      <c r="D7431" t="s">
        <v>24652</v>
      </c>
    </row>
    <row r="7432" spans="1:4">
      <c r="A7432">
        <v>39642</v>
      </c>
      <c r="B7432" t="s">
        <v>13415</v>
      </c>
      <c r="C7432" t="s">
        <v>427</v>
      </c>
      <c r="D7432" t="s">
        <v>15023</v>
      </c>
    </row>
    <row r="7433" spans="1:4">
      <c r="A7433">
        <v>39641</v>
      </c>
      <c r="B7433" t="s">
        <v>13416</v>
      </c>
      <c r="C7433" t="s">
        <v>427</v>
      </c>
      <c r="D7433" t="s">
        <v>15812</v>
      </c>
    </row>
    <row r="7434" spans="1:4">
      <c r="A7434">
        <v>39643</v>
      </c>
      <c r="B7434" t="s">
        <v>13417</v>
      </c>
      <c r="C7434" t="s">
        <v>427</v>
      </c>
      <c r="D7434" t="s">
        <v>24653</v>
      </c>
    </row>
    <row r="7435" spans="1:4">
      <c r="A7435">
        <v>39644</v>
      </c>
      <c r="B7435" t="s">
        <v>13418</v>
      </c>
      <c r="C7435" t="s">
        <v>427</v>
      </c>
      <c r="D7435" t="s">
        <v>23669</v>
      </c>
    </row>
    <row r="7436" spans="1:4">
      <c r="A7436">
        <v>39645</v>
      </c>
      <c r="B7436" t="s">
        <v>13419</v>
      </c>
      <c r="C7436" t="s">
        <v>427</v>
      </c>
      <c r="D7436" t="s">
        <v>20179</v>
      </c>
    </row>
    <row r="7437" spans="1:4">
      <c r="A7437">
        <v>41610</v>
      </c>
      <c r="B7437" t="s">
        <v>7972</v>
      </c>
      <c r="C7437" t="s">
        <v>427</v>
      </c>
      <c r="D7437" t="s">
        <v>24654</v>
      </c>
    </row>
    <row r="7438" spans="1:4">
      <c r="A7438">
        <v>41611</v>
      </c>
      <c r="B7438" t="s">
        <v>7973</v>
      </c>
      <c r="C7438" t="s">
        <v>427</v>
      </c>
      <c r="D7438" t="s">
        <v>24655</v>
      </c>
    </row>
    <row r="7439" spans="1:4">
      <c r="A7439">
        <v>41612</v>
      </c>
      <c r="B7439" t="s">
        <v>7974</v>
      </c>
      <c r="C7439" t="s">
        <v>427</v>
      </c>
      <c r="D7439" t="s">
        <v>24656</v>
      </c>
    </row>
    <row r="7440" spans="1:4">
      <c r="A7440">
        <v>41637</v>
      </c>
      <c r="B7440" t="s">
        <v>7975</v>
      </c>
      <c r="C7440" t="s">
        <v>427</v>
      </c>
      <c r="D7440" t="s">
        <v>24657</v>
      </c>
    </row>
    <row r="7441" spans="1:4">
      <c r="A7441">
        <v>41638</v>
      </c>
      <c r="B7441" t="s">
        <v>7976</v>
      </c>
      <c r="C7441" t="s">
        <v>427</v>
      </c>
      <c r="D7441" t="s">
        <v>24658</v>
      </c>
    </row>
    <row r="7442" spans="1:4">
      <c r="A7442">
        <v>41639</v>
      </c>
      <c r="B7442" t="s">
        <v>7977</v>
      </c>
      <c r="C7442" t="s">
        <v>427</v>
      </c>
      <c r="D7442" t="s">
        <v>24659</v>
      </c>
    </row>
    <row r="7443" spans="1:4">
      <c r="A7443">
        <v>11789</v>
      </c>
      <c r="B7443" t="s">
        <v>7978</v>
      </c>
      <c r="C7443" t="s">
        <v>427</v>
      </c>
      <c r="D7443" t="s">
        <v>15829</v>
      </c>
    </row>
    <row r="7444" spans="1:4">
      <c r="A7444">
        <v>20975</v>
      </c>
      <c r="B7444" t="s">
        <v>7979</v>
      </c>
      <c r="C7444" t="s">
        <v>427</v>
      </c>
      <c r="D7444" t="s">
        <v>19610</v>
      </c>
    </row>
    <row r="7445" spans="1:4">
      <c r="A7445">
        <v>20976</v>
      </c>
      <c r="B7445" t="s">
        <v>7980</v>
      </c>
      <c r="C7445" t="s">
        <v>427</v>
      </c>
      <c r="D7445" t="s">
        <v>23170</v>
      </c>
    </row>
    <row r="7446" spans="1:4">
      <c r="A7446">
        <v>40340</v>
      </c>
      <c r="B7446" t="s">
        <v>13420</v>
      </c>
      <c r="C7446" t="s">
        <v>427</v>
      </c>
      <c r="D7446" t="s">
        <v>19592</v>
      </c>
    </row>
    <row r="7447" spans="1:4">
      <c r="A7447">
        <v>40341</v>
      </c>
      <c r="B7447" t="s">
        <v>13421</v>
      </c>
      <c r="C7447" t="s">
        <v>427</v>
      </c>
      <c r="D7447" t="s">
        <v>20960</v>
      </c>
    </row>
    <row r="7448" spans="1:4">
      <c r="A7448">
        <v>40342</v>
      </c>
      <c r="B7448" t="s">
        <v>13422</v>
      </c>
      <c r="C7448" t="s">
        <v>427</v>
      </c>
      <c r="D7448" t="s">
        <v>24660</v>
      </c>
    </row>
    <row r="7449" spans="1:4">
      <c r="A7449">
        <v>40343</v>
      </c>
      <c r="B7449" t="s">
        <v>13423</v>
      </c>
      <c r="C7449" t="s">
        <v>427</v>
      </c>
      <c r="D7449" t="s">
        <v>22644</v>
      </c>
    </row>
    <row r="7450" spans="1:4">
      <c r="A7450">
        <v>40344</v>
      </c>
      <c r="B7450" t="s">
        <v>13424</v>
      </c>
      <c r="C7450" t="s">
        <v>427</v>
      </c>
      <c r="D7450" t="s">
        <v>24661</v>
      </c>
    </row>
    <row r="7451" spans="1:4">
      <c r="A7451">
        <v>40345</v>
      </c>
      <c r="B7451" t="s">
        <v>13425</v>
      </c>
      <c r="C7451" t="s">
        <v>427</v>
      </c>
      <c r="D7451" t="s">
        <v>24662</v>
      </c>
    </row>
    <row r="7452" spans="1:4">
      <c r="A7452">
        <v>40346</v>
      </c>
      <c r="B7452" t="s">
        <v>13426</v>
      </c>
      <c r="C7452" t="s">
        <v>427</v>
      </c>
      <c r="D7452" t="s">
        <v>24365</v>
      </c>
    </row>
    <row r="7453" spans="1:4">
      <c r="A7453">
        <v>40347</v>
      </c>
      <c r="B7453" t="s">
        <v>13427</v>
      </c>
      <c r="C7453" t="s">
        <v>427</v>
      </c>
      <c r="D7453" t="s">
        <v>23066</v>
      </c>
    </row>
    <row r="7454" spans="1:4">
      <c r="A7454">
        <v>6138</v>
      </c>
      <c r="B7454" t="s">
        <v>7981</v>
      </c>
      <c r="C7454" t="s">
        <v>427</v>
      </c>
      <c r="D7454" t="s">
        <v>24663</v>
      </c>
    </row>
    <row r="7455" spans="1:4">
      <c r="A7455">
        <v>38840</v>
      </c>
      <c r="B7455" t="s">
        <v>7982</v>
      </c>
      <c r="C7455" t="s">
        <v>427</v>
      </c>
      <c r="D7455" t="s">
        <v>15221</v>
      </c>
    </row>
    <row r="7456" spans="1:4">
      <c r="A7456">
        <v>38841</v>
      </c>
      <c r="B7456" t="s">
        <v>7983</v>
      </c>
      <c r="C7456" t="s">
        <v>427</v>
      </c>
      <c r="D7456" t="s">
        <v>23309</v>
      </c>
    </row>
    <row r="7457" spans="1:4">
      <c r="A7457">
        <v>38842</v>
      </c>
      <c r="B7457" t="s">
        <v>7984</v>
      </c>
      <c r="C7457" t="s">
        <v>427</v>
      </c>
      <c r="D7457" t="s">
        <v>24664</v>
      </c>
    </row>
    <row r="7458" spans="1:4">
      <c r="A7458">
        <v>38843</v>
      </c>
      <c r="B7458" t="s">
        <v>7985</v>
      </c>
      <c r="C7458" t="s">
        <v>427</v>
      </c>
      <c r="D7458" t="s">
        <v>19610</v>
      </c>
    </row>
    <row r="7459" spans="1:4">
      <c r="A7459">
        <v>43424</v>
      </c>
      <c r="B7459" t="s">
        <v>7986</v>
      </c>
      <c r="C7459" t="s">
        <v>427</v>
      </c>
      <c r="D7459" t="s">
        <v>24665</v>
      </c>
    </row>
    <row r="7460" spans="1:4">
      <c r="A7460">
        <v>43426</v>
      </c>
      <c r="B7460" t="s">
        <v>7987</v>
      </c>
      <c r="C7460" t="s">
        <v>427</v>
      </c>
      <c r="D7460" t="s">
        <v>24666</v>
      </c>
    </row>
    <row r="7461" spans="1:4">
      <c r="A7461">
        <v>12565</v>
      </c>
      <c r="B7461" t="s">
        <v>7988</v>
      </c>
      <c r="C7461" t="s">
        <v>427</v>
      </c>
      <c r="D7461" t="s">
        <v>24667</v>
      </c>
    </row>
    <row r="7462" spans="1:4">
      <c r="A7462">
        <v>12567</v>
      </c>
      <c r="B7462" t="s">
        <v>7989</v>
      </c>
      <c r="C7462" t="s">
        <v>427</v>
      </c>
      <c r="D7462" t="s">
        <v>24668</v>
      </c>
    </row>
    <row r="7463" spans="1:4">
      <c r="A7463">
        <v>12568</v>
      </c>
      <c r="B7463" t="s">
        <v>7990</v>
      </c>
      <c r="C7463" t="s">
        <v>427</v>
      </c>
      <c r="D7463" t="s">
        <v>24669</v>
      </c>
    </row>
    <row r="7464" spans="1:4">
      <c r="A7464">
        <v>43441</v>
      </c>
      <c r="B7464" t="s">
        <v>7991</v>
      </c>
      <c r="C7464" t="s">
        <v>427</v>
      </c>
      <c r="D7464" t="s">
        <v>24670</v>
      </c>
    </row>
    <row r="7465" spans="1:4">
      <c r="A7465">
        <v>43423</v>
      </c>
      <c r="B7465" t="s">
        <v>7992</v>
      </c>
      <c r="C7465" t="s">
        <v>427</v>
      </c>
      <c r="D7465" t="s">
        <v>24671</v>
      </c>
    </row>
    <row r="7466" spans="1:4">
      <c r="A7466">
        <v>12532</v>
      </c>
      <c r="B7466" t="s">
        <v>7993</v>
      </c>
      <c r="C7466" t="s">
        <v>427</v>
      </c>
      <c r="D7466" t="s">
        <v>15117</v>
      </c>
    </row>
    <row r="7467" spans="1:4">
      <c r="A7467">
        <v>43444</v>
      </c>
      <c r="B7467" t="s">
        <v>7994</v>
      </c>
      <c r="C7467" t="s">
        <v>427</v>
      </c>
      <c r="D7467" t="s">
        <v>24672</v>
      </c>
    </row>
    <row r="7468" spans="1:4">
      <c r="A7468">
        <v>12551</v>
      </c>
      <c r="B7468" t="s">
        <v>7995</v>
      </c>
      <c r="C7468" t="s">
        <v>427</v>
      </c>
      <c r="D7468" t="s">
        <v>24673</v>
      </c>
    </row>
    <row r="7469" spans="1:4">
      <c r="A7469">
        <v>43442</v>
      </c>
      <c r="B7469" t="s">
        <v>7996</v>
      </c>
      <c r="C7469" t="s">
        <v>427</v>
      </c>
      <c r="D7469" t="s">
        <v>24674</v>
      </c>
    </row>
    <row r="7470" spans="1:4">
      <c r="A7470">
        <v>43443</v>
      </c>
      <c r="B7470" t="s">
        <v>7997</v>
      </c>
      <c r="C7470" t="s">
        <v>427</v>
      </c>
      <c r="D7470" t="s">
        <v>24675</v>
      </c>
    </row>
    <row r="7471" spans="1:4">
      <c r="A7471">
        <v>12544</v>
      </c>
      <c r="B7471" t="s">
        <v>7998</v>
      </c>
      <c r="C7471" t="s">
        <v>427</v>
      </c>
      <c r="D7471" t="s">
        <v>24676</v>
      </c>
    </row>
    <row r="7472" spans="1:4">
      <c r="A7472">
        <v>12547</v>
      </c>
      <c r="B7472" t="s">
        <v>7999</v>
      </c>
      <c r="C7472" t="s">
        <v>427</v>
      </c>
      <c r="D7472" t="s">
        <v>24677</v>
      </c>
    </row>
    <row r="7473" spans="1:4">
      <c r="A7473">
        <v>43445</v>
      </c>
      <c r="B7473" t="s">
        <v>8000</v>
      </c>
      <c r="C7473" t="s">
        <v>427</v>
      </c>
      <c r="D7473" t="s">
        <v>24678</v>
      </c>
    </row>
    <row r="7474" spans="1:4">
      <c r="A7474">
        <v>12563</v>
      </c>
      <c r="B7474" t="s">
        <v>8001</v>
      </c>
      <c r="C7474" t="s">
        <v>427</v>
      </c>
      <c r="D7474" t="s">
        <v>24679</v>
      </c>
    </row>
    <row r="7475" spans="1:4">
      <c r="A7475">
        <v>43425</v>
      </c>
      <c r="B7475" t="s">
        <v>8002</v>
      </c>
      <c r="C7475" t="s">
        <v>427</v>
      </c>
      <c r="D7475" t="s">
        <v>24680</v>
      </c>
    </row>
    <row r="7476" spans="1:4">
      <c r="A7476">
        <v>43446</v>
      </c>
      <c r="B7476" t="s">
        <v>8003</v>
      </c>
      <c r="C7476" t="s">
        <v>427</v>
      </c>
      <c r="D7476" t="s">
        <v>24681</v>
      </c>
    </row>
    <row r="7477" spans="1:4">
      <c r="A7477">
        <v>43447</v>
      </c>
      <c r="B7477" t="s">
        <v>8004</v>
      </c>
      <c r="C7477" t="s">
        <v>427</v>
      </c>
      <c r="D7477" t="s">
        <v>24682</v>
      </c>
    </row>
    <row r="7478" spans="1:4">
      <c r="A7478">
        <v>43448</v>
      </c>
      <c r="B7478" t="s">
        <v>8005</v>
      </c>
      <c r="C7478" t="s">
        <v>427</v>
      </c>
      <c r="D7478" t="s">
        <v>24683</v>
      </c>
    </row>
    <row r="7479" spans="1:4">
      <c r="A7479">
        <v>13761</v>
      </c>
      <c r="B7479" t="s">
        <v>8006</v>
      </c>
      <c r="C7479" t="s">
        <v>427</v>
      </c>
      <c r="D7479" t="s">
        <v>24684</v>
      </c>
    </row>
    <row r="7480" spans="1:4">
      <c r="A7480">
        <v>4814</v>
      </c>
      <c r="B7480" t="s">
        <v>8007</v>
      </c>
      <c r="C7480" t="s">
        <v>427</v>
      </c>
      <c r="D7480" t="s">
        <v>24685</v>
      </c>
    </row>
    <row r="7481" spans="1:4">
      <c r="A7481">
        <v>44473</v>
      </c>
      <c r="B7481" t="s">
        <v>8008</v>
      </c>
      <c r="C7481" t="s">
        <v>427</v>
      </c>
      <c r="D7481" t="s">
        <v>24686</v>
      </c>
    </row>
    <row r="7482" spans="1:4">
      <c r="A7482">
        <v>6122</v>
      </c>
      <c r="B7482" t="s">
        <v>8009</v>
      </c>
      <c r="C7482" t="s">
        <v>432</v>
      </c>
      <c r="D7482" t="s">
        <v>24687</v>
      </c>
    </row>
    <row r="7483" spans="1:4">
      <c r="A7483">
        <v>40810</v>
      </c>
      <c r="B7483" t="s">
        <v>8010</v>
      </c>
      <c r="C7483" t="s">
        <v>433</v>
      </c>
      <c r="D7483" t="s">
        <v>24688</v>
      </c>
    </row>
    <row r="7484" spans="1:4">
      <c r="A7484">
        <v>21100</v>
      </c>
      <c r="B7484" t="s">
        <v>8011</v>
      </c>
      <c r="C7484" t="s">
        <v>427</v>
      </c>
      <c r="D7484" t="s">
        <v>24689</v>
      </c>
    </row>
    <row r="7485" spans="1:4">
      <c r="A7485">
        <v>11816</v>
      </c>
      <c r="B7485" t="s">
        <v>8012</v>
      </c>
      <c r="C7485" t="s">
        <v>427</v>
      </c>
      <c r="D7485" t="s">
        <v>24690</v>
      </c>
    </row>
    <row r="7486" spans="1:4">
      <c r="A7486">
        <v>11814</v>
      </c>
      <c r="B7486" t="s">
        <v>8013</v>
      </c>
      <c r="C7486" t="s">
        <v>427</v>
      </c>
      <c r="D7486" t="s">
        <v>24691</v>
      </c>
    </row>
    <row r="7487" spans="1:4">
      <c r="A7487">
        <v>14186</v>
      </c>
      <c r="B7487" t="s">
        <v>8014</v>
      </c>
      <c r="C7487" t="s">
        <v>427</v>
      </c>
      <c r="D7487" t="s">
        <v>24692</v>
      </c>
    </row>
    <row r="7488" spans="1:4">
      <c r="A7488">
        <v>14185</v>
      </c>
      <c r="B7488" t="s">
        <v>8015</v>
      </c>
      <c r="C7488" t="s">
        <v>427</v>
      </c>
      <c r="D7488" t="s">
        <v>24693</v>
      </c>
    </row>
    <row r="7489" spans="1:4">
      <c r="A7489">
        <v>11811</v>
      </c>
      <c r="B7489" t="s">
        <v>8016</v>
      </c>
      <c r="C7489" t="s">
        <v>427</v>
      </c>
      <c r="D7489" t="s">
        <v>24694</v>
      </c>
    </row>
    <row r="7490" spans="1:4">
      <c r="A7490">
        <v>44498</v>
      </c>
      <c r="B7490" t="s">
        <v>13428</v>
      </c>
      <c r="C7490" t="s">
        <v>427</v>
      </c>
      <c r="D7490" t="s">
        <v>24695</v>
      </c>
    </row>
    <row r="7491" spans="1:4">
      <c r="A7491">
        <v>34469</v>
      </c>
      <c r="B7491" t="s">
        <v>8017</v>
      </c>
      <c r="C7491" t="s">
        <v>427</v>
      </c>
      <c r="D7491" t="s">
        <v>24696</v>
      </c>
    </row>
    <row r="7492" spans="1:4">
      <c r="A7492">
        <v>34476</v>
      </c>
      <c r="B7492" t="s">
        <v>8018</v>
      </c>
      <c r="C7492" t="s">
        <v>427</v>
      </c>
      <c r="D7492" t="s">
        <v>24697</v>
      </c>
    </row>
    <row r="7493" spans="1:4">
      <c r="A7493">
        <v>34477</v>
      </c>
      <c r="B7493" t="s">
        <v>8019</v>
      </c>
      <c r="C7493" t="s">
        <v>427</v>
      </c>
      <c r="D7493" t="s">
        <v>24698</v>
      </c>
    </row>
    <row r="7494" spans="1:4">
      <c r="A7494">
        <v>34482</v>
      </c>
      <c r="B7494" t="s">
        <v>8020</v>
      </c>
      <c r="C7494" t="s">
        <v>427</v>
      </c>
      <c r="D7494" t="s">
        <v>24699</v>
      </c>
    </row>
    <row r="7495" spans="1:4">
      <c r="A7495">
        <v>34472</v>
      </c>
      <c r="B7495" t="s">
        <v>8021</v>
      </c>
      <c r="C7495" t="s">
        <v>427</v>
      </c>
      <c r="D7495" t="s">
        <v>24700</v>
      </c>
    </row>
    <row r="7496" spans="1:4">
      <c r="A7496">
        <v>42425</v>
      </c>
      <c r="B7496" t="s">
        <v>8022</v>
      </c>
      <c r="C7496" t="s">
        <v>427</v>
      </c>
      <c r="D7496" t="s">
        <v>24701</v>
      </c>
    </row>
    <row r="7497" spans="1:4">
      <c r="A7497">
        <v>42422</v>
      </c>
      <c r="B7497" t="s">
        <v>8023</v>
      </c>
      <c r="C7497" t="s">
        <v>427</v>
      </c>
      <c r="D7497" t="s">
        <v>24702</v>
      </c>
    </row>
    <row r="7498" spans="1:4">
      <c r="A7498">
        <v>43184</v>
      </c>
      <c r="B7498" t="s">
        <v>8024</v>
      </c>
      <c r="C7498" t="s">
        <v>427</v>
      </c>
      <c r="D7498" t="s">
        <v>24703</v>
      </c>
    </row>
    <row r="7499" spans="1:4">
      <c r="A7499">
        <v>42424</v>
      </c>
      <c r="B7499" t="s">
        <v>8025</v>
      </c>
      <c r="C7499" t="s">
        <v>427</v>
      </c>
      <c r="D7499" t="s">
        <v>24704</v>
      </c>
    </row>
    <row r="7500" spans="1:4">
      <c r="A7500">
        <v>42421</v>
      </c>
      <c r="B7500" t="s">
        <v>8026</v>
      </c>
      <c r="C7500" t="s">
        <v>427</v>
      </c>
      <c r="D7500" t="s">
        <v>24705</v>
      </c>
    </row>
    <row r="7501" spans="1:4">
      <c r="A7501">
        <v>42416</v>
      </c>
      <c r="B7501" t="s">
        <v>8027</v>
      </c>
      <c r="C7501" t="s">
        <v>427</v>
      </c>
      <c r="D7501" t="s">
        <v>24706</v>
      </c>
    </row>
    <row r="7502" spans="1:4">
      <c r="A7502">
        <v>42417</v>
      </c>
      <c r="B7502" t="s">
        <v>8028</v>
      </c>
      <c r="C7502" t="s">
        <v>427</v>
      </c>
      <c r="D7502" t="s">
        <v>24707</v>
      </c>
    </row>
    <row r="7503" spans="1:4">
      <c r="A7503">
        <v>42419</v>
      </c>
      <c r="B7503" t="s">
        <v>8029</v>
      </c>
      <c r="C7503" t="s">
        <v>427</v>
      </c>
      <c r="D7503" t="s">
        <v>24708</v>
      </c>
    </row>
    <row r="7504" spans="1:4">
      <c r="A7504">
        <v>42420</v>
      </c>
      <c r="B7504" t="s">
        <v>8030</v>
      </c>
      <c r="C7504" t="s">
        <v>427</v>
      </c>
      <c r="D7504" t="s">
        <v>24709</v>
      </c>
    </row>
    <row r="7505" spans="1:4">
      <c r="A7505">
        <v>43195</v>
      </c>
      <c r="B7505" t="s">
        <v>8031</v>
      </c>
      <c r="C7505" t="s">
        <v>427</v>
      </c>
      <c r="D7505" t="s">
        <v>24710</v>
      </c>
    </row>
    <row r="7506" spans="1:4">
      <c r="A7506">
        <v>43196</v>
      </c>
      <c r="B7506" t="s">
        <v>8032</v>
      </c>
      <c r="C7506" t="s">
        <v>427</v>
      </c>
      <c r="D7506" t="s">
        <v>24711</v>
      </c>
    </row>
    <row r="7507" spans="1:4">
      <c r="A7507">
        <v>43198</v>
      </c>
      <c r="B7507" t="s">
        <v>8033</v>
      </c>
      <c r="C7507" t="s">
        <v>427</v>
      </c>
      <c r="D7507" t="s">
        <v>24712</v>
      </c>
    </row>
    <row r="7508" spans="1:4">
      <c r="A7508">
        <v>43199</v>
      </c>
      <c r="B7508" t="s">
        <v>8034</v>
      </c>
      <c r="C7508" t="s">
        <v>427</v>
      </c>
      <c r="D7508" t="s">
        <v>24713</v>
      </c>
    </row>
    <row r="7509" spans="1:4">
      <c r="A7509">
        <v>43200</v>
      </c>
      <c r="B7509" t="s">
        <v>8035</v>
      </c>
      <c r="C7509" t="s">
        <v>427</v>
      </c>
      <c r="D7509" t="s">
        <v>24714</v>
      </c>
    </row>
    <row r="7510" spans="1:4">
      <c r="A7510">
        <v>39556</v>
      </c>
      <c r="B7510" t="s">
        <v>8036</v>
      </c>
      <c r="C7510" t="s">
        <v>427</v>
      </c>
      <c r="D7510" t="s">
        <v>24715</v>
      </c>
    </row>
    <row r="7511" spans="1:4">
      <c r="A7511">
        <v>39557</v>
      </c>
      <c r="B7511" t="s">
        <v>8037</v>
      </c>
      <c r="C7511" t="s">
        <v>427</v>
      </c>
      <c r="D7511" t="s">
        <v>24716</v>
      </c>
    </row>
    <row r="7512" spans="1:4">
      <c r="A7512">
        <v>39559</v>
      </c>
      <c r="B7512" t="s">
        <v>8038</v>
      </c>
      <c r="C7512" t="s">
        <v>427</v>
      </c>
      <c r="D7512" t="s">
        <v>24717</v>
      </c>
    </row>
    <row r="7513" spans="1:4">
      <c r="A7513">
        <v>39560</v>
      </c>
      <c r="B7513" t="s">
        <v>8039</v>
      </c>
      <c r="C7513" t="s">
        <v>427</v>
      </c>
      <c r="D7513" t="s">
        <v>24718</v>
      </c>
    </row>
    <row r="7514" spans="1:4">
      <c r="A7514">
        <v>39561</v>
      </c>
      <c r="B7514" t="s">
        <v>8040</v>
      </c>
      <c r="C7514" t="s">
        <v>427</v>
      </c>
      <c r="D7514" t="s">
        <v>24719</v>
      </c>
    </row>
    <row r="7515" spans="1:4">
      <c r="A7515">
        <v>43190</v>
      </c>
      <c r="B7515" t="s">
        <v>8041</v>
      </c>
      <c r="C7515" t="s">
        <v>427</v>
      </c>
      <c r="D7515" t="s">
        <v>24720</v>
      </c>
    </row>
    <row r="7516" spans="1:4">
      <c r="A7516">
        <v>39555</v>
      </c>
      <c r="B7516" t="s">
        <v>8042</v>
      </c>
      <c r="C7516" t="s">
        <v>427</v>
      </c>
      <c r="D7516" t="s">
        <v>24721</v>
      </c>
    </row>
    <row r="7517" spans="1:4">
      <c r="A7517">
        <v>43191</v>
      </c>
      <c r="B7517" t="s">
        <v>8043</v>
      </c>
      <c r="C7517" t="s">
        <v>427</v>
      </c>
      <c r="D7517" t="s">
        <v>24722</v>
      </c>
    </row>
    <row r="7518" spans="1:4">
      <c r="A7518">
        <v>39548</v>
      </c>
      <c r="B7518" t="s">
        <v>8044</v>
      </c>
      <c r="C7518" t="s">
        <v>427</v>
      </c>
      <c r="D7518" t="s">
        <v>24723</v>
      </c>
    </row>
    <row r="7519" spans="1:4">
      <c r="A7519">
        <v>43192</v>
      </c>
      <c r="B7519" t="s">
        <v>8045</v>
      </c>
      <c r="C7519" t="s">
        <v>427</v>
      </c>
      <c r="D7519" t="s">
        <v>24724</v>
      </c>
    </row>
    <row r="7520" spans="1:4">
      <c r="A7520">
        <v>39554</v>
      </c>
      <c r="B7520" t="s">
        <v>8046</v>
      </c>
      <c r="C7520" t="s">
        <v>427</v>
      </c>
      <c r="D7520" t="s">
        <v>24725</v>
      </c>
    </row>
    <row r="7521" spans="1:4">
      <c r="A7521">
        <v>43194</v>
      </c>
      <c r="B7521" t="s">
        <v>8047</v>
      </c>
      <c r="C7521" t="s">
        <v>427</v>
      </c>
      <c r="D7521" t="s">
        <v>24726</v>
      </c>
    </row>
    <row r="7522" spans="1:4">
      <c r="A7522">
        <v>39551</v>
      </c>
      <c r="B7522" t="s">
        <v>8048</v>
      </c>
      <c r="C7522" t="s">
        <v>427</v>
      </c>
      <c r="D7522" t="s">
        <v>24727</v>
      </c>
    </row>
    <row r="7523" spans="1:4">
      <c r="A7523">
        <v>43185</v>
      </c>
      <c r="B7523" t="s">
        <v>8049</v>
      </c>
      <c r="C7523" t="s">
        <v>427</v>
      </c>
      <c r="D7523" t="s">
        <v>24728</v>
      </c>
    </row>
    <row r="7524" spans="1:4">
      <c r="A7524">
        <v>43186</v>
      </c>
      <c r="B7524" t="s">
        <v>8050</v>
      </c>
      <c r="C7524" t="s">
        <v>427</v>
      </c>
      <c r="D7524" t="s">
        <v>24729</v>
      </c>
    </row>
    <row r="7525" spans="1:4">
      <c r="A7525">
        <v>43187</v>
      </c>
      <c r="B7525" t="s">
        <v>8051</v>
      </c>
      <c r="C7525" t="s">
        <v>427</v>
      </c>
      <c r="D7525" t="s">
        <v>24730</v>
      </c>
    </row>
    <row r="7526" spans="1:4">
      <c r="A7526">
        <v>43188</v>
      </c>
      <c r="B7526" t="s">
        <v>8052</v>
      </c>
      <c r="C7526" t="s">
        <v>427</v>
      </c>
      <c r="D7526" t="s">
        <v>24731</v>
      </c>
    </row>
    <row r="7527" spans="1:4">
      <c r="A7527">
        <v>43189</v>
      </c>
      <c r="B7527" t="s">
        <v>8053</v>
      </c>
      <c r="C7527" t="s">
        <v>427</v>
      </c>
      <c r="D7527" t="s">
        <v>24732</v>
      </c>
    </row>
    <row r="7528" spans="1:4">
      <c r="A7528">
        <v>39580</v>
      </c>
      <c r="B7528" t="s">
        <v>8054</v>
      </c>
      <c r="C7528" t="s">
        <v>427</v>
      </c>
      <c r="D7528" t="s">
        <v>24733</v>
      </c>
    </row>
    <row r="7529" spans="1:4">
      <c r="A7529">
        <v>39577</v>
      </c>
      <c r="B7529" t="s">
        <v>8055</v>
      </c>
      <c r="C7529" t="s">
        <v>427</v>
      </c>
      <c r="D7529" t="s">
        <v>24734</v>
      </c>
    </row>
    <row r="7530" spans="1:4">
      <c r="A7530">
        <v>39578</v>
      </c>
      <c r="B7530" t="s">
        <v>8056</v>
      </c>
      <c r="C7530" t="s">
        <v>427</v>
      </c>
      <c r="D7530" t="s">
        <v>24735</v>
      </c>
    </row>
    <row r="7531" spans="1:4">
      <c r="A7531">
        <v>39579</v>
      </c>
      <c r="B7531" t="s">
        <v>8057</v>
      </c>
      <c r="C7531" t="s">
        <v>427</v>
      </c>
      <c r="D7531" t="s">
        <v>24736</v>
      </c>
    </row>
    <row r="7532" spans="1:4">
      <c r="A7532">
        <v>39826</v>
      </c>
      <c r="B7532" t="s">
        <v>8058</v>
      </c>
      <c r="C7532" t="s">
        <v>427</v>
      </c>
      <c r="D7532" t="s">
        <v>24737</v>
      </c>
    </row>
    <row r="7533" spans="1:4">
      <c r="A7533">
        <v>10700</v>
      </c>
      <c r="B7533" t="s">
        <v>8059</v>
      </c>
      <c r="C7533" t="s">
        <v>427</v>
      </c>
      <c r="D7533" t="s">
        <v>24738</v>
      </c>
    </row>
    <row r="7534" spans="1:4">
      <c r="A7534">
        <v>346</v>
      </c>
      <c r="B7534" t="s">
        <v>8060</v>
      </c>
      <c r="C7534" t="s">
        <v>430</v>
      </c>
      <c r="D7534" t="s">
        <v>22063</v>
      </c>
    </row>
    <row r="7535" spans="1:4">
      <c r="A7535">
        <v>3312</v>
      </c>
      <c r="B7535" t="s">
        <v>8061</v>
      </c>
      <c r="C7535" t="s">
        <v>430</v>
      </c>
      <c r="D7535" t="s">
        <v>15911</v>
      </c>
    </row>
    <row r="7536" spans="1:4">
      <c r="A7536">
        <v>339</v>
      </c>
      <c r="B7536" t="s">
        <v>8062</v>
      </c>
      <c r="C7536" t="s">
        <v>429</v>
      </c>
      <c r="D7536" t="s">
        <v>15165</v>
      </c>
    </row>
    <row r="7537" spans="1:4">
      <c r="A7537">
        <v>340</v>
      </c>
      <c r="B7537" t="s">
        <v>8063</v>
      </c>
      <c r="C7537" t="s">
        <v>429</v>
      </c>
      <c r="D7537" t="s">
        <v>15333</v>
      </c>
    </row>
    <row r="7538" spans="1:4">
      <c r="A7538">
        <v>43130</v>
      </c>
      <c r="B7538" t="s">
        <v>8064</v>
      </c>
      <c r="C7538" t="s">
        <v>430</v>
      </c>
      <c r="D7538" t="s">
        <v>23183</v>
      </c>
    </row>
    <row r="7539" spans="1:4">
      <c r="A7539">
        <v>344</v>
      </c>
      <c r="B7539" t="s">
        <v>8065</v>
      </c>
      <c r="C7539" t="s">
        <v>430</v>
      </c>
      <c r="D7539" t="s">
        <v>24739</v>
      </c>
    </row>
    <row r="7540" spans="1:4">
      <c r="A7540">
        <v>345</v>
      </c>
      <c r="B7540" t="s">
        <v>8066</v>
      </c>
      <c r="C7540" t="s">
        <v>430</v>
      </c>
      <c r="D7540" t="s">
        <v>18658</v>
      </c>
    </row>
    <row r="7541" spans="1:4">
      <c r="A7541">
        <v>43131</v>
      </c>
      <c r="B7541" t="s">
        <v>8067</v>
      </c>
      <c r="C7541" t="s">
        <v>430</v>
      </c>
      <c r="D7541" t="s">
        <v>24288</v>
      </c>
    </row>
    <row r="7542" spans="1:4">
      <c r="A7542">
        <v>3313</v>
      </c>
      <c r="B7542" t="s">
        <v>8068</v>
      </c>
      <c r="C7542" t="s">
        <v>430</v>
      </c>
      <c r="D7542" t="s">
        <v>24740</v>
      </c>
    </row>
    <row r="7543" spans="1:4">
      <c r="A7543">
        <v>43132</v>
      </c>
      <c r="B7543" t="s">
        <v>8069</v>
      </c>
      <c r="C7543" t="s">
        <v>430</v>
      </c>
      <c r="D7543" t="s">
        <v>23183</v>
      </c>
    </row>
    <row r="7544" spans="1:4">
      <c r="A7544">
        <v>366</v>
      </c>
      <c r="B7544" t="s">
        <v>8070</v>
      </c>
      <c r="C7544" t="s">
        <v>431</v>
      </c>
      <c r="D7544" t="s">
        <v>23250</v>
      </c>
    </row>
    <row r="7545" spans="1:4">
      <c r="A7545">
        <v>367</v>
      </c>
      <c r="B7545" t="s">
        <v>8071</v>
      </c>
      <c r="C7545" t="s">
        <v>431</v>
      </c>
      <c r="D7545" t="s">
        <v>24741</v>
      </c>
    </row>
    <row r="7546" spans="1:4">
      <c r="A7546">
        <v>370</v>
      </c>
      <c r="B7546" t="s">
        <v>8072</v>
      </c>
      <c r="C7546" t="s">
        <v>431</v>
      </c>
      <c r="D7546" t="s">
        <v>23250</v>
      </c>
    </row>
    <row r="7547" spans="1:4">
      <c r="A7547">
        <v>368</v>
      </c>
      <c r="B7547" t="s">
        <v>8073</v>
      </c>
      <c r="C7547" t="s">
        <v>431</v>
      </c>
      <c r="D7547" t="s">
        <v>20515</v>
      </c>
    </row>
    <row r="7548" spans="1:4">
      <c r="A7548">
        <v>11075</v>
      </c>
      <c r="B7548" t="s">
        <v>8074</v>
      </c>
      <c r="C7548" t="s">
        <v>431</v>
      </c>
      <c r="D7548" t="s">
        <v>24742</v>
      </c>
    </row>
    <row r="7549" spans="1:4">
      <c r="A7549">
        <v>1381</v>
      </c>
      <c r="B7549" t="s">
        <v>8075</v>
      </c>
      <c r="C7549" t="s">
        <v>430</v>
      </c>
      <c r="D7549" t="s">
        <v>15419</v>
      </c>
    </row>
    <row r="7550" spans="1:4">
      <c r="A7550">
        <v>34353</v>
      </c>
      <c r="B7550" t="s">
        <v>8076</v>
      </c>
      <c r="C7550" t="s">
        <v>430</v>
      </c>
      <c r="D7550" t="s">
        <v>20140</v>
      </c>
    </row>
    <row r="7551" spans="1:4">
      <c r="A7551">
        <v>37595</v>
      </c>
      <c r="B7551" t="s">
        <v>8077</v>
      </c>
      <c r="C7551" t="s">
        <v>430</v>
      </c>
      <c r="D7551" t="s">
        <v>14831</v>
      </c>
    </row>
    <row r="7552" spans="1:4">
      <c r="A7552">
        <v>37596</v>
      </c>
      <c r="B7552" t="s">
        <v>8078</v>
      </c>
      <c r="C7552" t="s">
        <v>430</v>
      </c>
      <c r="D7552" t="s">
        <v>24341</v>
      </c>
    </row>
    <row r="7553" spans="1:4">
      <c r="A7553">
        <v>371</v>
      </c>
      <c r="B7553" t="s">
        <v>8079</v>
      </c>
      <c r="C7553" t="s">
        <v>430</v>
      </c>
      <c r="D7553" t="s">
        <v>15472</v>
      </c>
    </row>
    <row r="7554" spans="1:4">
      <c r="A7554">
        <v>37553</v>
      </c>
      <c r="B7554" t="s">
        <v>8080</v>
      </c>
      <c r="C7554" t="s">
        <v>430</v>
      </c>
      <c r="D7554" t="s">
        <v>15575</v>
      </c>
    </row>
    <row r="7555" spans="1:4">
      <c r="A7555">
        <v>37552</v>
      </c>
      <c r="B7555" t="s">
        <v>8081</v>
      </c>
      <c r="C7555" t="s">
        <v>430</v>
      </c>
      <c r="D7555" t="s">
        <v>15592</v>
      </c>
    </row>
    <row r="7556" spans="1:4">
      <c r="A7556">
        <v>36880</v>
      </c>
      <c r="B7556" t="s">
        <v>8082</v>
      </c>
      <c r="C7556" t="s">
        <v>430</v>
      </c>
      <c r="D7556" t="s">
        <v>15569</v>
      </c>
    </row>
    <row r="7557" spans="1:4">
      <c r="A7557">
        <v>34355</v>
      </c>
      <c r="B7557" t="s">
        <v>8083</v>
      </c>
      <c r="C7557" t="s">
        <v>430</v>
      </c>
      <c r="D7557" t="s">
        <v>24278</v>
      </c>
    </row>
    <row r="7558" spans="1:4">
      <c r="A7558">
        <v>130</v>
      </c>
      <c r="B7558" t="s">
        <v>8084</v>
      </c>
      <c r="C7558" t="s">
        <v>430</v>
      </c>
      <c r="D7558" t="s">
        <v>15728</v>
      </c>
    </row>
    <row r="7559" spans="1:4">
      <c r="A7559">
        <v>135</v>
      </c>
      <c r="B7559" t="s">
        <v>8085</v>
      </c>
      <c r="C7559" t="s">
        <v>430</v>
      </c>
      <c r="D7559" t="s">
        <v>20070</v>
      </c>
    </row>
    <row r="7560" spans="1:4">
      <c r="A7560">
        <v>36886</v>
      </c>
      <c r="B7560" t="s">
        <v>8086</v>
      </c>
      <c r="C7560" t="s">
        <v>430</v>
      </c>
      <c r="D7560" t="s">
        <v>15479</v>
      </c>
    </row>
    <row r="7561" spans="1:4">
      <c r="A7561">
        <v>38546</v>
      </c>
      <c r="B7561" t="s">
        <v>8087</v>
      </c>
      <c r="C7561" t="s">
        <v>431</v>
      </c>
      <c r="D7561" t="s">
        <v>24743</v>
      </c>
    </row>
    <row r="7562" spans="1:4">
      <c r="A7562">
        <v>34549</v>
      </c>
      <c r="B7562" t="s">
        <v>8088</v>
      </c>
      <c r="C7562" t="s">
        <v>431</v>
      </c>
      <c r="D7562" t="s">
        <v>24744</v>
      </c>
    </row>
    <row r="7563" spans="1:4">
      <c r="A7563">
        <v>6081</v>
      </c>
      <c r="B7563" t="s">
        <v>8089</v>
      </c>
      <c r="C7563" t="s">
        <v>431</v>
      </c>
      <c r="D7563" t="s">
        <v>24745</v>
      </c>
    </row>
    <row r="7564" spans="1:4">
      <c r="A7564">
        <v>6077</v>
      </c>
      <c r="B7564" t="s">
        <v>8090</v>
      </c>
      <c r="C7564" t="s">
        <v>431</v>
      </c>
      <c r="D7564" t="s">
        <v>19631</v>
      </c>
    </row>
    <row r="7565" spans="1:4">
      <c r="A7565">
        <v>6079</v>
      </c>
      <c r="B7565" t="s">
        <v>8091</v>
      </c>
      <c r="C7565" t="s">
        <v>431</v>
      </c>
      <c r="D7565" t="s">
        <v>19631</v>
      </c>
    </row>
    <row r="7566" spans="1:4">
      <c r="A7566">
        <v>1091</v>
      </c>
      <c r="B7566" t="s">
        <v>8092</v>
      </c>
      <c r="C7566" t="s">
        <v>427</v>
      </c>
      <c r="D7566" t="s">
        <v>23904</v>
      </c>
    </row>
    <row r="7567" spans="1:4">
      <c r="A7567">
        <v>1094</v>
      </c>
      <c r="B7567" t="s">
        <v>8093</v>
      </c>
      <c r="C7567" t="s">
        <v>427</v>
      </c>
      <c r="D7567" t="s">
        <v>19481</v>
      </c>
    </row>
    <row r="7568" spans="1:4">
      <c r="A7568">
        <v>1095</v>
      </c>
      <c r="B7568" t="s">
        <v>8094</v>
      </c>
      <c r="C7568" t="s">
        <v>427</v>
      </c>
      <c r="D7568" t="s">
        <v>15757</v>
      </c>
    </row>
    <row r="7569" spans="1:4">
      <c r="A7569">
        <v>1092</v>
      </c>
      <c r="B7569" t="s">
        <v>8095</v>
      </c>
      <c r="C7569" t="s">
        <v>427</v>
      </c>
      <c r="D7569" t="s">
        <v>18275</v>
      </c>
    </row>
    <row r="7570" spans="1:4">
      <c r="A7570">
        <v>1093</v>
      </c>
      <c r="B7570" t="s">
        <v>8096</v>
      </c>
      <c r="C7570" t="s">
        <v>427</v>
      </c>
      <c r="D7570" t="s">
        <v>24746</v>
      </c>
    </row>
    <row r="7571" spans="1:4">
      <c r="A7571">
        <v>1090</v>
      </c>
      <c r="B7571" t="s">
        <v>8097</v>
      </c>
      <c r="C7571" t="s">
        <v>427</v>
      </c>
      <c r="D7571" t="s">
        <v>15042</v>
      </c>
    </row>
    <row r="7572" spans="1:4">
      <c r="A7572">
        <v>1096</v>
      </c>
      <c r="B7572" t="s">
        <v>8098</v>
      </c>
      <c r="C7572" t="s">
        <v>427</v>
      </c>
      <c r="D7572" t="s">
        <v>24747</v>
      </c>
    </row>
    <row r="7573" spans="1:4">
      <c r="A7573">
        <v>1097</v>
      </c>
      <c r="B7573" t="s">
        <v>8099</v>
      </c>
      <c r="C7573" t="s">
        <v>427</v>
      </c>
      <c r="D7573" t="s">
        <v>24748</v>
      </c>
    </row>
    <row r="7574" spans="1:4">
      <c r="A7574">
        <v>378</v>
      </c>
      <c r="B7574" t="s">
        <v>13429</v>
      </c>
      <c r="C7574" t="s">
        <v>432</v>
      </c>
      <c r="D7574" t="s">
        <v>20265</v>
      </c>
    </row>
    <row r="7575" spans="1:4">
      <c r="A7575">
        <v>40911</v>
      </c>
      <c r="B7575" t="s">
        <v>8100</v>
      </c>
      <c r="C7575" t="s">
        <v>433</v>
      </c>
      <c r="D7575" t="s">
        <v>24644</v>
      </c>
    </row>
    <row r="7576" spans="1:4">
      <c r="A7576">
        <v>33939</v>
      </c>
      <c r="B7576" t="s">
        <v>8101</v>
      </c>
      <c r="C7576" t="s">
        <v>432</v>
      </c>
      <c r="D7576" t="s">
        <v>24749</v>
      </c>
    </row>
    <row r="7577" spans="1:4">
      <c r="A7577">
        <v>40815</v>
      </c>
      <c r="B7577" t="s">
        <v>8102</v>
      </c>
      <c r="C7577" t="s">
        <v>433</v>
      </c>
      <c r="D7577" t="s">
        <v>24750</v>
      </c>
    </row>
    <row r="7578" spans="1:4">
      <c r="A7578">
        <v>34760</v>
      </c>
      <c r="B7578" t="s">
        <v>8103</v>
      </c>
      <c r="C7578" t="s">
        <v>432</v>
      </c>
      <c r="D7578" t="s">
        <v>17472</v>
      </c>
    </row>
    <row r="7579" spans="1:4">
      <c r="A7579">
        <v>40935</v>
      </c>
      <c r="B7579" t="s">
        <v>8104</v>
      </c>
      <c r="C7579" t="s">
        <v>433</v>
      </c>
      <c r="D7579" t="s">
        <v>24751</v>
      </c>
    </row>
    <row r="7580" spans="1:4">
      <c r="A7580">
        <v>33952</v>
      </c>
      <c r="B7580" t="s">
        <v>8105</v>
      </c>
      <c r="C7580" t="s">
        <v>432</v>
      </c>
      <c r="D7580" t="s">
        <v>24752</v>
      </c>
    </row>
    <row r="7581" spans="1:4">
      <c r="A7581">
        <v>40816</v>
      </c>
      <c r="B7581" t="s">
        <v>8106</v>
      </c>
      <c r="C7581" t="s">
        <v>433</v>
      </c>
      <c r="D7581" t="s">
        <v>24753</v>
      </c>
    </row>
    <row r="7582" spans="1:4">
      <c r="A7582">
        <v>33953</v>
      </c>
      <c r="B7582" t="s">
        <v>8107</v>
      </c>
      <c r="C7582" t="s">
        <v>432</v>
      </c>
      <c r="D7582" t="s">
        <v>24754</v>
      </c>
    </row>
    <row r="7583" spans="1:4">
      <c r="A7583">
        <v>40817</v>
      </c>
      <c r="B7583" t="s">
        <v>8108</v>
      </c>
      <c r="C7583" t="s">
        <v>433</v>
      </c>
      <c r="D7583" t="s">
        <v>24755</v>
      </c>
    </row>
    <row r="7584" spans="1:4">
      <c r="A7584">
        <v>13348</v>
      </c>
      <c r="B7584" t="s">
        <v>8109</v>
      </c>
      <c r="C7584" t="s">
        <v>427</v>
      </c>
      <c r="D7584" t="s">
        <v>15480</v>
      </c>
    </row>
    <row r="7585" spans="1:4">
      <c r="A7585">
        <v>39211</v>
      </c>
      <c r="B7585" t="s">
        <v>8110</v>
      </c>
      <c r="C7585" t="s">
        <v>427</v>
      </c>
      <c r="D7585" t="s">
        <v>24589</v>
      </c>
    </row>
    <row r="7586" spans="1:4">
      <c r="A7586">
        <v>39212</v>
      </c>
      <c r="B7586" t="s">
        <v>8111</v>
      </c>
      <c r="C7586" t="s">
        <v>427</v>
      </c>
      <c r="D7586" t="s">
        <v>24384</v>
      </c>
    </row>
    <row r="7587" spans="1:4">
      <c r="A7587">
        <v>39208</v>
      </c>
      <c r="B7587" t="s">
        <v>8112</v>
      </c>
      <c r="C7587" t="s">
        <v>427</v>
      </c>
      <c r="D7587" t="s">
        <v>15590</v>
      </c>
    </row>
    <row r="7588" spans="1:4">
      <c r="A7588">
        <v>39210</v>
      </c>
      <c r="B7588" t="s">
        <v>8113</v>
      </c>
      <c r="C7588" t="s">
        <v>427</v>
      </c>
      <c r="D7588" t="s">
        <v>14843</v>
      </c>
    </row>
    <row r="7589" spans="1:4">
      <c r="A7589">
        <v>39214</v>
      </c>
      <c r="B7589" t="s">
        <v>8114</v>
      </c>
      <c r="C7589" t="s">
        <v>427</v>
      </c>
      <c r="D7589" t="s">
        <v>19907</v>
      </c>
    </row>
    <row r="7590" spans="1:4">
      <c r="A7590">
        <v>39213</v>
      </c>
      <c r="B7590" t="s">
        <v>8115</v>
      </c>
      <c r="C7590" t="s">
        <v>427</v>
      </c>
      <c r="D7590" t="s">
        <v>24756</v>
      </c>
    </row>
    <row r="7591" spans="1:4">
      <c r="A7591">
        <v>39209</v>
      </c>
      <c r="B7591" t="s">
        <v>8116</v>
      </c>
      <c r="C7591" t="s">
        <v>427</v>
      </c>
      <c r="D7591" t="s">
        <v>15342</v>
      </c>
    </row>
    <row r="7592" spans="1:4">
      <c r="A7592">
        <v>39207</v>
      </c>
      <c r="B7592" t="s">
        <v>8117</v>
      </c>
      <c r="C7592" t="s">
        <v>427</v>
      </c>
      <c r="D7592" t="s">
        <v>14843</v>
      </c>
    </row>
    <row r="7593" spans="1:4">
      <c r="A7593">
        <v>39215</v>
      </c>
      <c r="B7593" t="s">
        <v>8118</v>
      </c>
      <c r="C7593" t="s">
        <v>427</v>
      </c>
      <c r="D7593" t="s">
        <v>15688</v>
      </c>
    </row>
    <row r="7594" spans="1:4">
      <c r="A7594">
        <v>39216</v>
      </c>
      <c r="B7594" t="s">
        <v>8119</v>
      </c>
      <c r="C7594" t="s">
        <v>427</v>
      </c>
      <c r="D7594" t="s">
        <v>24757</v>
      </c>
    </row>
    <row r="7595" spans="1:4">
      <c r="A7595">
        <v>11267</v>
      </c>
      <c r="B7595" t="s">
        <v>8120</v>
      </c>
      <c r="C7595" t="s">
        <v>427</v>
      </c>
      <c r="D7595" t="s">
        <v>24291</v>
      </c>
    </row>
    <row r="7596" spans="1:4">
      <c r="A7596">
        <v>379</v>
      </c>
      <c r="B7596" t="s">
        <v>8121</v>
      </c>
      <c r="C7596" t="s">
        <v>427</v>
      </c>
      <c r="D7596" t="s">
        <v>24758</v>
      </c>
    </row>
    <row r="7597" spans="1:4">
      <c r="A7597">
        <v>510</v>
      </c>
      <c r="B7597" t="s">
        <v>8122</v>
      </c>
      <c r="C7597" t="s">
        <v>430</v>
      </c>
      <c r="D7597" t="s">
        <v>15191</v>
      </c>
    </row>
    <row r="7598" spans="1:4">
      <c r="A7598">
        <v>516</v>
      </c>
      <c r="B7598" t="s">
        <v>8123</v>
      </c>
      <c r="C7598" t="s">
        <v>430</v>
      </c>
      <c r="D7598" t="s">
        <v>17225</v>
      </c>
    </row>
    <row r="7599" spans="1:4">
      <c r="A7599">
        <v>509</v>
      </c>
      <c r="B7599" t="s">
        <v>8124</v>
      </c>
      <c r="C7599" t="s">
        <v>430</v>
      </c>
      <c r="D7599" t="s">
        <v>19806</v>
      </c>
    </row>
    <row r="7600" spans="1:4">
      <c r="A7600">
        <v>40331</v>
      </c>
      <c r="B7600" t="s">
        <v>8125</v>
      </c>
      <c r="C7600" t="s">
        <v>432</v>
      </c>
      <c r="D7600" t="s">
        <v>16928</v>
      </c>
    </row>
    <row r="7601" spans="1:4">
      <c r="A7601">
        <v>40930</v>
      </c>
      <c r="B7601" t="s">
        <v>8126</v>
      </c>
      <c r="C7601" t="s">
        <v>433</v>
      </c>
      <c r="D7601" t="s">
        <v>24759</v>
      </c>
    </row>
    <row r="7602" spans="1:4">
      <c r="A7602">
        <v>11761</v>
      </c>
      <c r="B7602" t="s">
        <v>8127</v>
      </c>
      <c r="C7602" t="s">
        <v>427</v>
      </c>
      <c r="D7602" t="s">
        <v>24760</v>
      </c>
    </row>
    <row r="7603" spans="1:4">
      <c r="A7603">
        <v>377</v>
      </c>
      <c r="B7603" t="s">
        <v>8128</v>
      </c>
      <c r="C7603" t="s">
        <v>427</v>
      </c>
      <c r="D7603" t="s">
        <v>20958</v>
      </c>
    </row>
    <row r="7604" spans="1:4">
      <c r="A7604">
        <v>7588</v>
      </c>
      <c r="B7604" t="s">
        <v>8129</v>
      </c>
      <c r="C7604" t="s">
        <v>427</v>
      </c>
      <c r="D7604" t="s">
        <v>24761</v>
      </c>
    </row>
    <row r="7605" spans="1:4">
      <c r="A7605">
        <v>34392</v>
      </c>
      <c r="B7605" t="s">
        <v>8130</v>
      </c>
      <c r="C7605" t="s">
        <v>432</v>
      </c>
      <c r="D7605" t="s">
        <v>16978</v>
      </c>
    </row>
    <row r="7606" spans="1:4">
      <c r="A7606">
        <v>40908</v>
      </c>
      <c r="B7606" t="s">
        <v>8131</v>
      </c>
      <c r="C7606" t="s">
        <v>433</v>
      </c>
      <c r="D7606" t="s">
        <v>24762</v>
      </c>
    </row>
    <row r="7607" spans="1:4">
      <c r="A7607">
        <v>34551</v>
      </c>
      <c r="B7607" t="s">
        <v>13430</v>
      </c>
      <c r="C7607" t="s">
        <v>432</v>
      </c>
      <c r="D7607" t="s">
        <v>18100</v>
      </c>
    </row>
    <row r="7608" spans="1:4">
      <c r="A7608">
        <v>41078</v>
      </c>
      <c r="B7608" t="s">
        <v>8132</v>
      </c>
      <c r="C7608" t="s">
        <v>433</v>
      </c>
      <c r="D7608" t="s">
        <v>24631</v>
      </c>
    </row>
    <row r="7609" spans="1:4">
      <c r="A7609">
        <v>246</v>
      </c>
      <c r="B7609" t="s">
        <v>20478</v>
      </c>
      <c r="C7609" t="s">
        <v>432</v>
      </c>
      <c r="D7609" t="s">
        <v>23645</v>
      </c>
    </row>
    <row r="7610" spans="1:4">
      <c r="A7610">
        <v>40927</v>
      </c>
      <c r="B7610" t="s">
        <v>8133</v>
      </c>
      <c r="C7610" t="s">
        <v>433</v>
      </c>
      <c r="D7610" t="s">
        <v>24763</v>
      </c>
    </row>
    <row r="7611" spans="1:4">
      <c r="A7611">
        <v>2350</v>
      </c>
      <c r="B7611" t="s">
        <v>8134</v>
      </c>
      <c r="C7611" t="s">
        <v>432</v>
      </c>
      <c r="D7611" t="s">
        <v>24764</v>
      </c>
    </row>
    <row r="7612" spans="1:4">
      <c r="A7612">
        <v>40812</v>
      </c>
      <c r="B7612" t="s">
        <v>8135</v>
      </c>
      <c r="C7612" t="s">
        <v>433</v>
      </c>
      <c r="D7612" t="s">
        <v>24765</v>
      </c>
    </row>
    <row r="7613" spans="1:4">
      <c r="A7613">
        <v>245</v>
      </c>
      <c r="B7613" t="s">
        <v>8136</v>
      </c>
      <c r="C7613" t="s">
        <v>432</v>
      </c>
      <c r="D7613" t="s">
        <v>22031</v>
      </c>
    </row>
    <row r="7614" spans="1:4">
      <c r="A7614">
        <v>41090</v>
      </c>
      <c r="B7614" t="s">
        <v>8137</v>
      </c>
      <c r="C7614" t="s">
        <v>433</v>
      </c>
      <c r="D7614" t="s">
        <v>24766</v>
      </c>
    </row>
    <row r="7615" spans="1:4">
      <c r="A7615">
        <v>251</v>
      </c>
      <c r="B7615" t="s">
        <v>8138</v>
      </c>
      <c r="C7615" t="s">
        <v>432</v>
      </c>
      <c r="D7615" t="s">
        <v>14944</v>
      </c>
    </row>
    <row r="7616" spans="1:4">
      <c r="A7616">
        <v>40975</v>
      </c>
      <c r="B7616" t="s">
        <v>8139</v>
      </c>
      <c r="C7616" t="s">
        <v>433</v>
      </c>
      <c r="D7616" t="s">
        <v>24767</v>
      </c>
    </row>
    <row r="7617" spans="1:4">
      <c r="A7617">
        <v>6127</v>
      </c>
      <c r="B7617" t="s">
        <v>13431</v>
      </c>
      <c r="C7617" t="s">
        <v>432</v>
      </c>
      <c r="D7617" t="s">
        <v>18100</v>
      </c>
    </row>
    <row r="7618" spans="1:4">
      <c r="A7618">
        <v>41072</v>
      </c>
      <c r="B7618" t="s">
        <v>8140</v>
      </c>
      <c r="C7618" t="s">
        <v>433</v>
      </c>
      <c r="D7618" t="s">
        <v>24631</v>
      </c>
    </row>
    <row r="7619" spans="1:4">
      <c r="A7619">
        <v>6121</v>
      </c>
      <c r="B7619" t="s">
        <v>8141</v>
      </c>
      <c r="C7619" t="s">
        <v>432</v>
      </c>
      <c r="D7619" t="s">
        <v>16929</v>
      </c>
    </row>
    <row r="7620" spans="1:4">
      <c r="A7620">
        <v>41071</v>
      </c>
      <c r="B7620" t="s">
        <v>8142</v>
      </c>
      <c r="C7620" t="s">
        <v>433</v>
      </c>
      <c r="D7620" t="s">
        <v>24768</v>
      </c>
    </row>
    <row r="7621" spans="1:4">
      <c r="A7621">
        <v>244</v>
      </c>
      <c r="B7621" t="s">
        <v>8143</v>
      </c>
      <c r="C7621" t="s">
        <v>432</v>
      </c>
      <c r="D7621" t="s">
        <v>14756</v>
      </c>
    </row>
    <row r="7622" spans="1:4">
      <c r="A7622">
        <v>41093</v>
      </c>
      <c r="B7622" t="s">
        <v>8144</v>
      </c>
      <c r="C7622" t="s">
        <v>433</v>
      </c>
      <c r="D7622" t="s">
        <v>24769</v>
      </c>
    </row>
    <row r="7623" spans="1:4">
      <c r="A7623">
        <v>532</v>
      </c>
      <c r="B7623" t="s">
        <v>8145</v>
      </c>
      <c r="C7623" t="s">
        <v>432</v>
      </c>
      <c r="D7623" t="s">
        <v>24770</v>
      </c>
    </row>
    <row r="7624" spans="1:4">
      <c r="A7624">
        <v>40931</v>
      </c>
      <c r="B7624" t="s">
        <v>8146</v>
      </c>
      <c r="C7624" t="s">
        <v>433</v>
      </c>
      <c r="D7624" t="s">
        <v>24771</v>
      </c>
    </row>
    <row r="7625" spans="1:4">
      <c r="A7625">
        <v>36150</v>
      </c>
      <c r="B7625" t="s">
        <v>8147</v>
      </c>
      <c r="C7625" t="s">
        <v>427</v>
      </c>
      <c r="D7625" t="s">
        <v>21338</v>
      </c>
    </row>
    <row r="7626" spans="1:4">
      <c r="A7626">
        <v>4760</v>
      </c>
      <c r="B7626" t="s">
        <v>13432</v>
      </c>
      <c r="C7626" t="s">
        <v>432</v>
      </c>
      <c r="D7626" t="s">
        <v>20265</v>
      </c>
    </row>
    <row r="7627" spans="1:4">
      <c r="A7627">
        <v>41069</v>
      </c>
      <c r="B7627" t="s">
        <v>8148</v>
      </c>
      <c r="C7627" t="s">
        <v>433</v>
      </c>
      <c r="D7627" t="s">
        <v>24644</v>
      </c>
    </row>
    <row r="7628" spans="1:4">
      <c r="A7628">
        <v>10422</v>
      </c>
      <c r="B7628" t="s">
        <v>8149</v>
      </c>
      <c r="C7628" t="s">
        <v>427</v>
      </c>
      <c r="D7628" t="s">
        <v>24772</v>
      </c>
    </row>
    <row r="7629" spans="1:4">
      <c r="A7629">
        <v>44019</v>
      </c>
      <c r="B7629" t="s">
        <v>8150</v>
      </c>
      <c r="C7629" t="s">
        <v>427</v>
      </c>
      <c r="D7629" t="s">
        <v>24773</v>
      </c>
    </row>
    <row r="7630" spans="1:4">
      <c r="A7630">
        <v>36520</v>
      </c>
      <c r="B7630" t="s">
        <v>8151</v>
      </c>
      <c r="C7630" t="s">
        <v>427</v>
      </c>
      <c r="D7630" t="s">
        <v>24774</v>
      </c>
    </row>
    <row r="7631" spans="1:4">
      <c r="A7631">
        <v>42319</v>
      </c>
      <c r="B7631" t="s">
        <v>8152</v>
      </c>
      <c r="C7631" t="s">
        <v>427</v>
      </c>
      <c r="D7631" t="s">
        <v>24775</v>
      </c>
    </row>
    <row r="7632" spans="1:4">
      <c r="A7632">
        <v>10420</v>
      </c>
      <c r="B7632" t="s">
        <v>8153</v>
      </c>
      <c r="C7632" t="s">
        <v>427</v>
      </c>
      <c r="D7632" t="s">
        <v>24776</v>
      </c>
    </row>
    <row r="7633" spans="1:4">
      <c r="A7633">
        <v>10421</v>
      </c>
      <c r="B7633" t="s">
        <v>8154</v>
      </c>
      <c r="C7633" t="s">
        <v>427</v>
      </c>
      <c r="D7633" t="s">
        <v>24777</v>
      </c>
    </row>
    <row r="7634" spans="1:4">
      <c r="A7634">
        <v>11786</v>
      </c>
      <c r="B7634" t="s">
        <v>8155</v>
      </c>
      <c r="C7634" t="s">
        <v>427</v>
      </c>
      <c r="D7634" t="s">
        <v>24778</v>
      </c>
    </row>
    <row r="7635" spans="1:4">
      <c r="A7635">
        <v>10</v>
      </c>
      <c r="B7635" t="s">
        <v>8156</v>
      </c>
      <c r="C7635" t="s">
        <v>427</v>
      </c>
      <c r="D7635" t="s">
        <v>23171</v>
      </c>
    </row>
    <row r="7636" spans="1:4">
      <c r="A7636">
        <v>4815</v>
      </c>
      <c r="B7636" t="s">
        <v>8157</v>
      </c>
      <c r="C7636" t="s">
        <v>427</v>
      </c>
      <c r="D7636" t="s">
        <v>18036</v>
      </c>
    </row>
    <row r="7637" spans="1:4">
      <c r="A7637">
        <v>541</v>
      </c>
      <c r="B7637" t="s">
        <v>8158</v>
      </c>
      <c r="C7637" t="s">
        <v>427</v>
      </c>
      <c r="D7637" t="s">
        <v>24779</v>
      </c>
    </row>
    <row r="7638" spans="1:4">
      <c r="A7638">
        <v>542</v>
      </c>
      <c r="B7638" t="s">
        <v>8159</v>
      </c>
      <c r="C7638" t="s">
        <v>427</v>
      </c>
      <c r="D7638" t="s">
        <v>24780</v>
      </c>
    </row>
    <row r="7639" spans="1:4">
      <c r="A7639">
        <v>540</v>
      </c>
      <c r="B7639" t="s">
        <v>8160</v>
      </c>
      <c r="C7639" t="s">
        <v>427</v>
      </c>
      <c r="D7639" t="s">
        <v>24781</v>
      </c>
    </row>
    <row r="7640" spans="1:4">
      <c r="A7640">
        <v>38364</v>
      </c>
      <c r="B7640" t="s">
        <v>8161</v>
      </c>
      <c r="C7640" t="s">
        <v>427</v>
      </c>
      <c r="D7640" t="s">
        <v>24782</v>
      </c>
    </row>
    <row r="7641" spans="1:4">
      <c r="A7641">
        <v>11692</v>
      </c>
      <c r="B7641" t="s">
        <v>8162</v>
      </c>
      <c r="C7641" t="s">
        <v>426</v>
      </c>
      <c r="D7641" t="s">
        <v>24783</v>
      </c>
    </row>
    <row r="7642" spans="1:4">
      <c r="A7642">
        <v>1746</v>
      </c>
      <c r="B7642" t="s">
        <v>8163</v>
      </c>
      <c r="C7642" t="s">
        <v>427</v>
      </c>
      <c r="D7642" t="s">
        <v>24784</v>
      </c>
    </row>
    <row r="7643" spans="1:4">
      <c r="A7643">
        <v>1748</v>
      </c>
      <c r="B7643" t="s">
        <v>8164</v>
      </c>
      <c r="C7643" t="s">
        <v>427</v>
      </c>
      <c r="D7643" t="s">
        <v>24785</v>
      </c>
    </row>
    <row r="7644" spans="1:4">
      <c r="A7644">
        <v>1749</v>
      </c>
      <c r="B7644" t="s">
        <v>8165</v>
      </c>
      <c r="C7644" t="s">
        <v>427</v>
      </c>
      <c r="D7644" t="s">
        <v>24786</v>
      </c>
    </row>
    <row r="7645" spans="1:4">
      <c r="A7645">
        <v>37412</v>
      </c>
      <c r="B7645" t="s">
        <v>8166</v>
      </c>
      <c r="C7645" t="s">
        <v>427</v>
      </c>
      <c r="D7645" t="s">
        <v>24787</v>
      </c>
    </row>
    <row r="7646" spans="1:4">
      <c r="A7646">
        <v>1745</v>
      </c>
      <c r="B7646" t="s">
        <v>8167</v>
      </c>
      <c r="C7646" t="s">
        <v>427</v>
      </c>
      <c r="D7646" t="s">
        <v>24788</v>
      </c>
    </row>
    <row r="7647" spans="1:4">
      <c r="A7647">
        <v>1750</v>
      </c>
      <c r="B7647" t="s">
        <v>8168</v>
      </c>
      <c r="C7647" t="s">
        <v>427</v>
      </c>
      <c r="D7647" t="s">
        <v>24789</v>
      </c>
    </row>
    <row r="7648" spans="1:4">
      <c r="A7648">
        <v>11687</v>
      </c>
      <c r="B7648" t="s">
        <v>8169</v>
      </c>
      <c r="C7648" t="s">
        <v>429</v>
      </c>
      <c r="D7648" t="s">
        <v>24790</v>
      </c>
    </row>
    <row r="7649" spans="1:4">
      <c r="A7649">
        <v>11689</v>
      </c>
      <c r="B7649" t="s">
        <v>8170</v>
      </c>
      <c r="C7649" t="s">
        <v>429</v>
      </c>
      <c r="D7649" t="s">
        <v>24791</v>
      </c>
    </row>
    <row r="7650" spans="1:4">
      <c r="A7650">
        <v>11693</v>
      </c>
      <c r="B7650" t="s">
        <v>8171</v>
      </c>
      <c r="C7650" t="s">
        <v>426</v>
      </c>
      <c r="D7650" t="s">
        <v>24792</v>
      </c>
    </row>
    <row r="7651" spans="1:4">
      <c r="A7651">
        <v>36215</v>
      </c>
      <c r="B7651" t="s">
        <v>8172</v>
      </c>
      <c r="C7651" t="s">
        <v>427</v>
      </c>
      <c r="D7651" t="s">
        <v>24793</v>
      </c>
    </row>
    <row r="7652" spans="1:4">
      <c r="A7652">
        <v>42439</v>
      </c>
      <c r="B7652" t="s">
        <v>8173</v>
      </c>
      <c r="C7652" t="s">
        <v>427</v>
      </c>
      <c r="D7652" t="s">
        <v>24794</v>
      </c>
    </row>
    <row r="7653" spans="1:4">
      <c r="A7653">
        <v>38381</v>
      </c>
      <c r="B7653" t="s">
        <v>8174</v>
      </c>
      <c r="C7653" t="s">
        <v>427</v>
      </c>
      <c r="D7653" t="s">
        <v>18313</v>
      </c>
    </row>
    <row r="7654" spans="1:4">
      <c r="A7654">
        <v>39621</v>
      </c>
      <c r="B7654" t="s">
        <v>8175</v>
      </c>
      <c r="C7654" t="s">
        <v>434</v>
      </c>
      <c r="D7654" t="s">
        <v>24795</v>
      </c>
    </row>
    <row r="7655" spans="1:4">
      <c r="A7655">
        <v>39624</v>
      </c>
      <c r="B7655" t="s">
        <v>8176</v>
      </c>
      <c r="C7655" t="s">
        <v>434</v>
      </c>
      <c r="D7655" t="s">
        <v>24796</v>
      </c>
    </row>
    <row r="7656" spans="1:4">
      <c r="A7656">
        <v>39615</v>
      </c>
      <c r="B7656" t="s">
        <v>8177</v>
      </c>
      <c r="C7656" t="s">
        <v>427</v>
      </c>
      <c r="D7656" t="s">
        <v>24797</v>
      </c>
    </row>
    <row r="7657" spans="1:4">
      <c r="A7657">
        <v>39620</v>
      </c>
      <c r="B7657" t="s">
        <v>8178</v>
      </c>
      <c r="C7657" t="s">
        <v>427</v>
      </c>
      <c r="D7657" t="s">
        <v>24798</v>
      </c>
    </row>
    <row r="7658" spans="1:4">
      <c r="A7658">
        <v>39623</v>
      </c>
      <c r="B7658" t="s">
        <v>8179</v>
      </c>
      <c r="C7658" t="s">
        <v>427</v>
      </c>
      <c r="D7658" t="s">
        <v>24799</v>
      </c>
    </row>
    <row r="7659" spans="1:4">
      <c r="A7659">
        <v>36207</v>
      </c>
      <c r="B7659" t="s">
        <v>8180</v>
      </c>
      <c r="C7659" t="s">
        <v>427</v>
      </c>
      <c r="D7659" t="s">
        <v>24800</v>
      </c>
    </row>
    <row r="7660" spans="1:4">
      <c r="A7660">
        <v>36209</v>
      </c>
      <c r="B7660" t="s">
        <v>8181</v>
      </c>
      <c r="C7660" t="s">
        <v>427</v>
      </c>
      <c r="D7660" t="s">
        <v>24801</v>
      </c>
    </row>
    <row r="7661" spans="1:4">
      <c r="A7661">
        <v>36210</v>
      </c>
      <c r="B7661" t="s">
        <v>8182</v>
      </c>
      <c r="C7661" t="s">
        <v>427</v>
      </c>
      <c r="D7661" t="s">
        <v>24802</v>
      </c>
    </row>
    <row r="7662" spans="1:4">
      <c r="A7662">
        <v>36204</v>
      </c>
      <c r="B7662" t="s">
        <v>8183</v>
      </c>
      <c r="C7662" t="s">
        <v>427</v>
      </c>
      <c r="D7662" t="s">
        <v>24803</v>
      </c>
    </row>
    <row r="7663" spans="1:4">
      <c r="A7663">
        <v>36205</v>
      </c>
      <c r="B7663" t="s">
        <v>8184</v>
      </c>
      <c r="C7663" t="s">
        <v>427</v>
      </c>
      <c r="D7663" t="s">
        <v>24804</v>
      </c>
    </row>
    <row r="7664" spans="1:4">
      <c r="A7664">
        <v>36081</v>
      </c>
      <c r="B7664" t="s">
        <v>8185</v>
      </c>
      <c r="C7664" t="s">
        <v>427</v>
      </c>
      <c r="D7664" t="s">
        <v>24805</v>
      </c>
    </row>
    <row r="7665" spans="1:4">
      <c r="A7665">
        <v>36206</v>
      </c>
      <c r="B7665" t="s">
        <v>8186</v>
      </c>
      <c r="C7665" t="s">
        <v>427</v>
      </c>
      <c r="D7665" t="s">
        <v>24806</v>
      </c>
    </row>
    <row r="7666" spans="1:4">
      <c r="A7666">
        <v>36218</v>
      </c>
      <c r="B7666" t="s">
        <v>8187</v>
      </c>
      <c r="C7666" t="s">
        <v>427</v>
      </c>
      <c r="D7666" t="s">
        <v>24807</v>
      </c>
    </row>
    <row r="7667" spans="1:4">
      <c r="A7667">
        <v>36220</v>
      </c>
      <c r="B7667" t="s">
        <v>8188</v>
      </c>
      <c r="C7667" t="s">
        <v>427</v>
      </c>
      <c r="D7667" t="s">
        <v>24808</v>
      </c>
    </row>
    <row r="7668" spans="1:4">
      <c r="A7668">
        <v>36080</v>
      </c>
      <c r="B7668" t="s">
        <v>8189</v>
      </c>
      <c r="C7668" t="s">
        <v>427</v>
      </c>
      <c r="D7668" t="s">
        <v>24809</v>
      </c>
    </row>
    <row r="7669" spans="1:4">
      <c r="A7669">
        <v>36223</v>
      </c>
      <c r="B7669" t="s">
        <v>8190</v>
      </c>
      <c r="C7669" t="s">
        <v>427</v>
      </c>
      <c r="D7669" t="s">
        <v>24810</v>
      </c>
    </row>
    <row r="7670" spans="1:4">
      <c r="A7670">
        <v>546</v>
      </c>
      <c r="B7670" t="s">
        <v>8191</v>
      </c>
      <c r="C7670" t="s">
        <v>430</v>
      </c>
      <c r="D7670" t="s">
        <v>22691</v>
      </c>
    </row>
    <row r="7671" spans="1:4">
      <c r="A7671">
        <v>566</v>
      </c>
      <c r="B7671" t="s">
        <v>8192</v>
      </c>
      <c r="C7671" t="s">
        <v>429</v>
      </c>
      <c r="D7671" t="s">
        <v>18539</v>
      </c>
    </row>
    <row r="7672" spans="1:4">
      <c r="A7672">
        <v>565</v>
      </c>
      <c r="B7672" t="s">
        <v>8193</v>
      </c>
      <c r="C7672" t="s">
        <v>429</v>
      </c>
      <c r="D7672" t="s">
        <v>22196</v>
      </c>
    </row>
    <row r="7673" spans="1:4">
      <c r="A7673">
        <v>555</v>
      </c>
      <c r="B7673" t="s">
        <v>8194</v>
      </c>
      <c r="C7673" t="s">
        <v>429</v>
      </c>
      <c r="D7673" t="s">
        <v>24811</v>
      </c>
    </row>
    <row r="7674" spans="1:4">
      <c r="A7674">
        <v>557</v>
      </c>
      <c r="B7674" t="s">
        <v>8195</v>
      </c>
      <c r="C7674" t="s">
        <v>429</v>
      </c>
      <c r="D7674" t="s">
        <v>24812</v>
      </c>
    </row>
    <row r="7675" spans="1:4">
      <c r="A7675">
        <v>552</v>
      </c>
      <c r="B7675" t="s">
        <v>8196</v>
      </c>
      <c r="C7675" t="s">
        <v>429</v>
      </c>
      <c r="D7675" t="s">
        <v>22732</v>
      </c>
    </row>
    <row r="7676" spans="1:4">
      <c r="A7676">
        <v>563</v>
      </c>
      <c r="B7676" t="s">
        <v>8197</v>
      </c>
      <c r="C7676" t="s">
        <v>429</v>
      </c>
      <c r="D7676" t="s">
        <v>15353</v>
      </c>
    </row>
    <row r="7677" spans="1:4">
      <c r="A7677">
        <v>549</v>
      </c>
      <c r="B7677" t="s">
        <v>8198</v>
      </c>
      <c r="C7677" t="s">
        <v>429</v>
      </c>
      <c r="D7677" t="s">
        <v>24813</v>
      </c>
    </row>
    <row r="7678" spans="1:4">
      <c r="A7678">
        <v>551</v>
      </c>
      <c r="B7678" t="s">
        <v>8199</v>
      </c>
      <c r="C7678" t="s">
        <v>429</v>
      </c>
      <c r="D7678" t="s">
        <v>24814</v>
      </c>
    </row>
    <row r="7679" spans="1:4">
      <c r="A7679">
        <v>559</v>
      </c>
      <c r="B7679" t="s">
        <v>8200</v>
      </c>
      <c r="C7679" t="s">
        <v>429</v>
      </c>
      <c r="D7679" t="s">
        <v>24010</v>
      </c>
    </row>
    <row r="7680" spans="1:4">
      <c r="A7680">
        <v>560</v>
      </c>
      <c r="B7680" t="s">
        <v>8201</v>
      </c>
      <c r="C7680" t="s">
        <v>429</v>
      </c>
      <c r="D7680" t="s">
        <v>24815</v>
      </c>
    </row>
    <row r="7681" spans="1:4">
      <c r="A7681">
        <v>547</v>
      </c>
      <c r="B7681" t="s">
        <v>8202</v>
      </c>
      <c r="C7681" t="s">
        <v>429</v>
      </c>
      <c r="D7681" t="s">
        <v>24816</v>
      </c>
    </row>
    <row r="7682" spans="1:4">
      <c r="A7682">
        <v>38127</v>
      </c>
      <c r="B7682" t="s">
        <v>8203</v>
      </c>
      <c r="C7682" t="s">
        <v>427</v>
      </c>
      <c r="D7682" t="s">
        <v>24817</v>
      </c>
    </row>
    <row r="7683" spans="1:4">
      <c r="A7683">
        <v>38060</v>
      </c>
      <c r="B7683" t="s">
        <v>8204</v>
      </c>
      <c r="C7683" t="s">
        <v>427</v>
      </c>
      <c r="D7683" t="s">
        <v>20367</v>
      </c>
    </row>
    <row r="7684" spans="1:4">
      <c r="A7684">
        <v>10956</v>
      </c>
      <c r="B7684" t="s">
        <v>8205</v>
      </c>
      <c r="C7684" t="s">
        <v>427</v>
      </c>
      <c r="D7684" t="s">
        <v>24818</v>
      </c>
    </row>
    <row r="7685" spans="1:4">
      <c r="A7685">
        <v>39380</v>
      </c>
      <c r="B7685" t="s">
        <v>8206</v>
      </c>
      <c r="C7685" t="s">
        <v>427</v>
      </c>
      <c r="D7685" t="s">
        <v>24457</v>
      </c>
    </row>
    <row r="7686" spans="1:4">
      <c r="A7686">
        <v>37597</v>
      </c>
      <c r="B7686" t="s">
        <v>8207</v>
      </c>
      <c r="C7686" t="s">
        <v>427</v>
      </c>
      <c r="D7686" t="s">
        <v>24819</v>
      </c>
    </row>
    <row r="7687" spans="1:4">
      <c r="A7687">
        <v>183</v>
      </c>
      <c r="B7687" t="s">
        <v>8208</v>
      </c>
      <c r="C7687" t="s">
        <v>435</v>
      </c>
      <c r="D7687" t="s">
        <v>24820</v>
      </c>
    </row>
    <row r="7688" spans="1:4">
      <c r="A7688">
        <v>184</v>
      </c>
      <c r="B7688" t="s">
        <v>8209</v>
      </c>
      <c r="C7688" t="s">
        <v>435</v>
      </c>
      <c r="D7688" t="s">
        <v>24821</v>
      </c>
    </row>
    <row r="7689" spans="1:4">
      <c r="A7689">
        <v>181</v>
      </c>
      <c r="B7689" t="s">
        <v>8210</v>
      </c>
      <c r="C7689" t="s">
        <v>435</v>
      </c>
      <c r="D7689" t="s">
        <v>24822</v>
      </c>
    </row>
    <row r="7690" spans="1:4">
      <c r="A7690">
        <v>20001</v>
      </c>
      <c r="B7690" t="s">
        <v>8211</v>
      </c>
      <c r="C7690" t="s">
        <v>435</v>
      </c>
      <c r="D7690" t="s">
        <v>24823</v>
      </c>
    </row>
    <row r="7691" spans="1:4">
      <c r="A7691">
        <v>39837</v>
      </c>
      <c r="B7691" t="s">
        <v>8212</v>
      </c>
      <c r="C7691" t="s">
        <v>435</v>
      </c>
      <c r="D7691" t="s">
        <v>24824</v>
      </c>
    </row>
    <row r="7692" spans="1:4">
      <c r="A7692">
        <v>43366</v>
      </c>
      <c r="B7692" t="s">
        <v>13433</v>
      </c>
      <c r="C7692" t="s">
        <v>430</v>
      </c>
      <c r="D7692" t="s">
        <v>24588</v>
      </c>
    </row>
    <row r="7693" spans="1:4">
      <c r="A7693">
        <v>10535</v>
      </c>
      <c r="B7693" t="s">
        <v>8213</v>
      </c>
      <c r="C7693" t="s">
        <v>427</v>
      </c>
      <c r="D7693" t="s">
        <v>24825</v>
      </c>
    </row>
    <row r="7694" spans="1:4">
      <c r="A7694">
        <v>10537</v>
      </c>
      <c r="B7694" t="s">
        <v>8214</v>
      </c>
      <c r="C7694" t="s">
        <v>427</v>
      </c>
      <c r="D7694" t="s">
        <v>24826</v>
      </c>
    </row>
    <row r="7695" spans="1:4">
      <c r="A7695">
        <v>13891</v>
      </c>
      <c r="B7695" t="s">
        <v>8215</v>
      </c>
      <c r="C7695" t="s">
        <v>427</v>
      </c>
      <c r="D7695" t="s">
        <v>24827</v>
      </c>
    </row>
    <row r="7696" spans="1:4">
      <c r="A7696">
        <v>44492</v>
      </c>
      <c r="B7696" t="s">
        <v>13434</v>
      </c>
      <c r="C7696" t="s">
        <v>427</v>
      </c>
      <c r="D7696" t="s">
        <v>24828</v>
      </c>
    </row>
    <row r="7697" spans="1:4">
      <c r="A7697">
        <v>36396</v>
      </c>
      <c r="B7697" t="s">
        <v>8216</v>
      </c>
      <c r="C7697" t="s">
        <v>427</v>
      </c>
      <c r="D7697" t="s">
        <v>24829</v>
      </c>
    </row>
    <row r="7698" spans="1:4">
      <c r="A7698">
        <v>36397</v>
      </c>
      <c r="B7698" t="s">
        <v>8217</v>
      </c>
      <c r="C7698" t="s">
        <v>427</v>
      </c>
      <c r="D7698" t="s">
        <v>24830</v>
      </c>
    </row>
    <row r="7699" spans="1:4">
      <c r="A7699">
        <v>36398</v>
      </c>
      <c r="B7699" t="s">
        <v>8218</v>
      </c>
      <c r="C7699" t="s">
        <v>427</v>
      </c>
      <c r="D7699" t="s">
        <v>24831</v>
      </c>
    </row>
    <row r="7700" spans="1:4">
      <c r="A7700">
        <v>647</v>
      </c>
      <c r="B7700" t="s">
        <v>8219</v>
      </c>
      <c r="C7700" t="s">
        <v>432</v>
      </c>
      <c r="D7700" t="s">
        <v>24832</v>
      </c>
    </row>
    <row r="7701" spans="1:4">
      <c r="A7701">
        <v>40920</v>
      </c>
      <c r="B7701" t="s">
        <v>8220</v>
      </c>
      <c r="C7701" t="s">
        <v>433</v>
      </c>
      <c r="D7701" t="s">
        <v>24833</v>
      </c>
    </row>
    <row r="7702" spans="1:4">
      <c r="A7702">
        <v>715</v>
      </c>
      <c r="B7702" t="s">
        <v>8221</v>
      </c>
      <c r="C7702" t="s">
        <v>427</v>
      </c>
      <c r="D7702" t="s">
        <v>24834</v>
      </c>
    </row>
    <row r="7703" spans="1:4">
      <c r="A7703">
        <v>716</v>
      </c>
      <c r="B7703" t="s">
        <v>8222</v>
      </c>
      <c r="C7703" t="s">
        <v>427</v>
      </c>
      <c r="D7703" t="s">
        <v>24835</v>
      </c>
    </row>
    <row r="7704" spans="1:4">
      <c r="A7704">
        <v>38783</v>
      </c>
      <c r="B7704" t="s">
        <v>8223</v>
      </c>
      <c r="C7704" t="s">
        <v>427</v>
      </c>
      <c r="D7704" t="s">
        <v>15324</v>
      </c>
    </row>
    <row r="7705" spans="1:4">
      <c r="A7705">
        <v>37593</v>
      </c>
      <c r="B7705" t="s">
        <v>8224</v>
      </c>
      <c r="C7705" t="s">
        <v>427</v>
      </c>
      <c r="D7705" t="s">
        <v>20166</v>
      </c>
    </row>
    <row r="7706" spans="1:4">
      <c r="A7706">
        <v>37594</v>
      </c>
      <c r="B7706" t="s">
        <v>8225</v>
      </c>
      <c r="C7706" t="s">
        <v>427</v>
      </c>
      <c r="D7706" t="s">
        <v>19644</v>
      </c>
    </row>
    <row r="7707" spans="1:4">
      <c r="A7707">
        <v>37592</v>
      </c>
      <c r="B7707" t="s">
        <v>8226</v>
      </c>
      <c r="C7707" t="s">
        <v>427</v>
      </c>
      <c r="D7707" t="s">
        <v>15764</v>
      </c>
    </row>
    <row r="7708" spans="1:4">
      <c r="A7708">
        <v>7270</v>
      </c>
      <c r="B7708" t="s">
        <v>8227</v>
      </c>
      <c r="C7708" t="s">
        <v>427</v>
      </c>
      <c r="D7708" t="s">
        <v>24836</v>
      </c>
    </row>
    <row r="7709" spans="1:4">
      <c r="A7709">
        <v>7267</v>
      </c>
      <c r="B7709" t="s">
        <v>8228</v>
      </c>
      <c r="C7709" t="s">
        <v>427</v>
      </c>
      <c r="D7709" t="s">
        <v>24758</v>
      </c>
    </row>
    <row r="7710" spans="1:4">
      <c r="A7710">
        <v>7271</v>
      </c>
      <c r="B7710" t="s">
        <v>8229</v>
      </c>
      <c r="C7710" t="s">
        <v>427</v>
      </c>
      <c r="D7710" t="s">
        <v>15472</v>
      </c>
    </row>
    <row r="7711" spans="1:4">
      <c r="A7711">
        <v>7266</v>
      </c>
      <c r="B7711" t="s">
        <v>8230</v>
      </c>
      <c r="C7711" t="s">
        <v>436</v>
      </c>
      <c r="D7711" t="s">
        <v>24837</v>
      </c>
    </row>
    <row r="7712" spans="1:4">
      <c r="A7712">
        <v>7268</v>
      </c>
      <c r="B7712" t="s">
        <v>8231</v>
      </c>
      <c r="C7712" t="s">
        <v>427</v>
      </c>
      <c r="D7712" t="s">
        <v>20136</v>
      </c>
    </row>
    <row r="7713" spans="1:4">
      <c r="A7713">
        <v>34556</v>
      </c>
      <c r="B7713" t="s">
        <v>8232</v>
      </c>
      <c r="C7713" t="s">
        <v>427</v>
      </c>
      <c r="D7713" t="s">
        <v>18840</v>
      </c>
    </row>
    <row r="7714" spans="1:4">
      <c r="A7714">
        <v>37873</v>
      </c>
      <c r="B7714" t="s">
        <v>8233</v>
      </c>
      <c r="C7714" t="s">
        <v>427</v>
      </c>
      <c r="D7714" t="s">
        <v>15478</v>
      </c>
    </row>
    <row r="7715" spans="1:4">
      <c r="A7715">
        <v>34564</v>
      </c>
      <c r="B7715" t="s">
        <v>8234</v>
      </c>
      <c r="C7715" t="s">
        <v>427</v>
      </c>
      <c r="D7715" t="s">
        <v>19135</v>
      </c>
    </row>
    <row r="7716" spans="1:4">
      <c r="A7716">
        <v>34565</v>
      </c>
      <c r="B7716" t="s">
        <v>8235</v>
      </c>
      <c r="C7716" t="s">
        <v>427</v>
      </c>
      <c r="D7716" t="s">
        <v>15272</v>
      </c>
    </row>
    <row r="7717" spans="1:4">
      <c r="A7717">
        <v>38590</v>
      </c>
      <c r="B7717" t="s">
        <v>8236</v>
      </c>
      <c r="C7717" t="s">
        <v>427</v>
      </c>
      <c r="D7717" t="s">
        <v>20076</v>
      </c>
    </row>
    <row r="7718" spans="1:4">
      <c r="A7718">
        <v>34566</v>
      </c>
      <c r="B7718" t="s">
        <v>8237</v>
      </c>
      <c r="C7718" t="s">
        <v>427</v>
      </c>
      <c r="D7718" t="s">
        <v>19124</v>
      </c>
    </row>
    <row r="7719" spans="1:4">
      <c r="A7719">
        <v>34567</v>
      </c>
      <c r="B7719" t="s">
        <v>8238</v>
      </c>
      <c r="C7719" t="s">
        <v>427</v>
      </c>
      <c r="D7719" t="s">
        <v>22032</v>
      </c>
    </row>
    <row r="7720" spans="1:4">
      <c r="A7720">
        <v>38591</v>
      </c>
      <c r="B7720" t="s">
        <v>8239</v>
      </c>
      <c r="C7720" t="s">
        <v>427</v>
      </c>
      <c r="D7720" t="s">
        <v>24838</v>
      </c>
    </row>
    <row r="7721" spans="1:4">
      <c r="A7721">
        <v>34568</v>
      </c>
      <c r="B7721" t="s">
        <v>8240</v>
      </c>
      <c r="C7721" t="s">
        <v>427</v>
      </c>
      <c r="D7721" t="s">
        <v>15247</v>
      </c>
    </row>
    <row r="7722" spans="1:4">
      <c r="A7722">
        <v>34569</v>
      </c>
      <c r="B7722" t="s">
        <v>8241</v>
      </c>
      <c r="C7722" t="s">
        <v>427</v>
      </c>
      <c r="D7722" t="s">
        <v>15272</v>
      </c>
    </row>
    <row r="7723" spans="1:4">
      <c r="A7723">
        <v>34570</v>
      </c>
      <c r="B7723" t="s">
        <v>8242</v>
      </c>
      <c r="C7723" t="s">
        <v>427</v>
      </c>
      <c r="D7723" t="s">
        <v>24319</v>
      </c>
    </row>
    <row r="7724" spans="1:4">
      <c r="A7724">
        <v>25070</v>
      </c>
      <c r="B7724" t="s">
        <v>8243</v>
      </c>
      <c r="C7724" t="s">
        <v>427</v>
      </c>
      <c r="D7724" t="s">
        <v>24839</v>
      </c>
    </row>
    <row r="7725" spans="1:4">
      <c r="A7725">
        <v>34571</v>
      </c>
      <c r="B7725" t="s">
        <v>8244</v>
      </c>
      <c r="C7725" t="s">
        <v>427</v>
      </c>
      <c r="D7725" t="s">
        <v>24332</v>
      </c>
    </row>
    <row r="7726" spans="1:4">
      <c r="A7726">
        <v>34573</v>
      </c>
      <c r="B7726" t="s">
        <v>8245</v>
      </c>
      <c r="C7726" t="s">
        <v>427</v>
      </c>
      <c r="D7726" t="s">
        <v>14930</v>
      </c>
    </row>
    <row r="7727" spans="1:4">
      <c r="A7727">
        <v>37107</v>
      </c>
      <c r="B7727" t="s">
        <v>8246</v>
      </c>
      <c r="C7727" t="s">
        <v>427</v>
      </c>
      <c r="D7727" t="s">
        <v>18846</v>
      </c>
    </row>
    <row r="7728" spans="1:4">
      <c r="A7728">
        <v>34576</v>
      </c>
      <c r="B7728" t="s">
        <v>8247</v>
      </c>
      <c r="C7728" t="s">
        <v>427</v>
      </c>
      <c r="D7728" t="s">
        <v>19254</v>
      </c>
    </row>
    <row r="7729" spans="1:4">
      <c r="A7729">
        <v>34577</v>
      </c>
      <c r="B7729" t="s">
        <v>8248</v>
      </c>
      <c r="C7729" t="s">
        <v>427</v>
      </c>
      <c r="D7729" t="s">
        <v>19597</v>
      </c>
    </row>
    <row r="7730" spans="1:4">
      <c r="A7730">
        <v>34578</v>
      </c>
      <c r="B7730" t="s">
        <v>8249</v>
      </c>
      <c r="C7730" t="s">
        <v>427</v>
      </c>
      <c r="D7730" t="s">
        <v>24840</v>
      </c>
    </row>
    <row r="7731" spans="1:4">
      <c r="A7731">
        <v>34579</v>
      </c>
      <c r="B7731" t="s">
        <v>8250</v>
      </c>
      <c r="C7731" t="s">
        <v>427</v>
      </c>
      <c r="D7731" t="s">
        <v>19774</v>
      </c>
    </row>
    <row r="7732" spans="1:4">
      <c r="A7732">
        <v>25067</v>
      </c>
      <c r="B7732" t="s">
        <v>8251</v>
      </c>
      <c r="C7732" t="s">
        <v>427</v>
      </c>
      <c r="D7732" t="s">
        <v>19184</v>
      </c>
    </row>
    <row r="7733" spans="1:4">
      <c r="A7733">
        <v>34580</v>
      </c>
      <c r="B7733" t="s">
        <v>8252</v>
      </c>
      <c r="C7733" t="s">
        <v>427</v>
      </c>
      <c r="D7733" t="s">
        <v>18845</v>
      </c>
    </row>
    <row r="7734" spans="1:4">
      <c r="A7734">
        <v>25071</v>
      </c>
      <c r="B7734" t="s">
        <v>8253</v>
      </c>
      <c r="C7734" t="s">
        <v>427</v>
      </c>
      <c r="D7734" t="s">
        <v>15507</v>
      </c>
    </row>
    <row r="7735" spans="1:4">
      <c r="A7735">
        <v>38395</v>
      </c>
      <c r="B7735" t="s">
        <v>8254</v>
      </c>
      <c r="C7735" t="s">
        <v>427</v>
      </c>
      <c r="D7735" t="s">
        <v>20518</v>
      </c>
    </row>
    <row r="7736" spans="1:4">
      <c r="A7736">
        <v>34583</v>
      </c>
      <c r="B7736" t="s">
        <v>8255</v>
      </c>
      <c r="C7736" t="s">
        <v>426</v>
      </c>
      <c r="D7736" t="s">
        <v>24841</v>
      </c>
    </row>
    <row r="7737" spans="1:4">
      <c r="A7737">
        <v>34584</v>
      </c>
      <c r="B7737" t="s">
        <v>8256</v>
      </c>
      <c r="C7737" t="s">
        <v>426</v>
      </c>
      <c r="D7737" t="s">
        <v>19735</v>
      </c>
    </row>
    <row r="7738" spans="1:4">
      <c r="A7738">
        <v>709</v>
      </c>
      <c r="B7738" t="s">
        <v>8257</v>
      </c>
      <c r="C7738" t="s">
        <v>426</v>
      </c>
      <c r="D7738" t="s">
        <v>24842</v>
      </c>
    </row>
    <row r="7739" spans="1:4">
      <c r="A7739">
        <v>34599</v>
      </c>
      <c r="B7739" t="s">
        <v>8258</v>
      </c>
      <c r="C7739" t="s">
        <v>427</v>
      </c>
      <c r="D7739" t="s">
        <v>24843</v>
      </c>
    </row>
    <row r="7740" spans="1:4">
      <c r="A7740">
        <v>34592</v>
      </c>
      <c r="B7740" t="s">
        <v>8259</v>
      </c>
      <c r="C7740" t="s">
        <v>427</v>
      </c>
      <c r="D7740" t="s">
        <v>24844</v>
      </c>
    </row>
    <row r="7741" spans="1:4">
      <c r="A7741">
        <v>37103</v>
      </c>
      <c r="B7741" t="s">
        <v>8260</v>
      </c>
      <c r="C7741" t="s">
        <v>427</v>
      </c>
      <c r="D7741" t="s">
        <v>15622</v>
      </c>
    </row>
    <row r="7742" spans="1:4">
      <c r="A7742">
        <v>34555</v>
      </c>
      <c r="B7742" t="s">
        <v>8261</v>
      </c>
      <c r="C7742" t="s">
        <v>427</v>
      </c>
      <c r="D7742" t="s">
        <v>14755</v>
      </c>
    </row>
    <row r="7743" spans="1:4">
      <c r="A7743">
        <v>674</v>
      </c>
      <c r="B7743" t="s">
        <v>8262</v>
      </c>
      <c r="C7743" t="s">
        <v>426</v>
      </c>
      <c r="D7743" t="s">
        <v>15236</v>
      </c>
    </row>
    <row r="7744" spans="1:4">
      <c r="A7744">
        <v>34600</v>
      </c>
      <c r="B7744" t="s">
        <v>8263</v>
      </c>
      <c r="C7744" t="s">
        <v>426</v>
      </c>
      <c r="D7744" t="s">
        <v>17738</v>
      </c>
    </row>
    <row r="7745" spans="1:4">
      <c r="A7745">
        <v>652</v>
      </c>
      <c r="B7745" t="s">
        <v>8264</v>
      </c>
      <c r="C7745" t="s">
        <v>426</v>
      </c>
      <c r="D7745" t="s">
        <v>22564</v>
      </c>
    </row>
    <row r="7746" spans="1:4">
      <c r="A7746">
        <v>651</v>
      </c>
      <c r="B7746" t="s">
        <v>8265</v>
      </c>
      <c r="C7746" t="s">
        <v>427</v>
      </c>
      <c r="D7746" t="s">
        <v>15655</v>
      </c>
    </row>
    <row r="7747" spans="1:4">
      <c r="A7747">
        <v>654</v>
      </c>
      <c r="B7747" t="s">
        <v>8266</v>
      </c>
      <c r="C7747" t="s">
        <v>427</v>
      </c>
      <c r="D7747" t="s">
        <v>18840</v>
      </c>
    </row>
    <row r="7748" spans="1:4">
      <c r="A7748">
        <v>650</v>
      </c>
      <c r="B7748" t="s">
        <v>8267</v>
      </c>
      <c r="C7748" t="s">
        <v>427</v>
      </c>
      <c r="D7748" t="s">
        <v>19907</v>
      </c>
    </row>
    <row r="7749" spans="1:4">
      <c r="A7749">
        <v>718</v>
      </c>
      <c r="B7749" t="s">
        <v>8268</v>
      </c>
      <c r="C7749" t="s">
        <v>427</v>
      </c>
      <c r="D7749" t="s">
        <v>19747</v>
      </c>
    </row>
    <row r="7750" spans="1:4">
      <c r="A7750">
        <v>11981</v>
      </c>
      <c r="B7750" t="s">
        <v>8269</v>
      </c>
      <c r="C7750" t="s">
        <v>427</v>
      </c>
      <c r="D7750" t="s">
        <v>20717</v>
      </c>
    </row>
    <row r="7751" spans="1:4">
      <c r="A7751">
        <v>34586</v>
      </c>
      <c r="B7751" t="s">
        <v>8270</v>
      </c>
      <c r="C7751" t="s">
        <v>427</v>
      </c>
      <c r="D7751" t="s">
        <v>15677</v>
      </c>
    </row>
    <row r="7752" spans="1:4">
      <c r="A7752">
        <v>38603</v>
      </c>
      <c r="B7752" t="s">
        <v>8271</v>
      </c>
      <c r="C7752" t="s">
        <v>427</v>
      </c>
      <c r="D7752" t="s">
        <v>20095</v>
      </c>
    </row>
    <row r="7753" spans="1:4">
      <c r="A7753">
        <v>34588</v>
      </c>
      <c r="B7753" t="s">
        <v>8272</v>
      </c>
      <c r="C7753" t="s">
        <v>427</v>
      </c>
      <c r="D7753" t="s">
        <v>19181</v>
      </c>
    </row>
    <row r="7754" spans="1:4">
      <c r="A7754">
        <v>34590</v>
      </c>
      <c r="B7754" t="s">
        <v>8273</v>
      </c>
      <c r="C7754" t="s">
        <v>427</v>
      </c>
      <c r="D7754" t="s">
        <v>15652</v>
      </c>
    </row>
    <row r="7755" spans="1:4">
      <c r="A7755">
        <v>34591</v>
      </c>
      <c r="B7755" t="s">
        <v>8274</v>
      </c>
      <c r="C7755" t="s">
        <v>427</v>
      </c>
      <c r="D7755" t="s">
        <v>20560</v>
      </c>
    </row>
    <row r="7756" spans="1:4">
      <c r="A7756">
        <v>41372</v>
      </c>
      <c r="B7756" t="s">
        <v>8275</v>
      </c>
      <c r="C7756" t="s">
        <v>426</v>
      </c>
      <c r="D7756" t="s">
        <v>24845</v>
      </c>
    </row>
    <row r="7757" spans="1:4">
      <c r="A7757">
        <v>41371</v>
      </c>
      <c r="B7757" t="s">
        <v>8276</v>
      </c>
      <c r="C7757" t="s">
        <v>426</v>
      </c>
      <c r="D7757" t="s">
        <v>24846</v>
      </c>
    </row>
    <row r="7758" spans="1:4">
      <c r="A7758">
        <v>40517</v>
      </c>
      <c r="B7758" t="s">
        <v>8277</v>
      </c>
      <c r="C7758" t="s">
        <v>426</v>
      </c>
      <c r="D7758" t="s">
        <v>22416</v>
      </c>
    </row>
    <row r="7759" spans="1:4">
      <c r="A7759">
        <v>40515</v>
      </c>
      <c r="B7759" t="s">
        <v>8278</v>
      </c>
      <c r="C7759" t="s">
        <v>426</v>
      </c>
      <c r="D7759" t="s">
        <v>24847</v>
      </c>
    </row>
    <row r="7760" spans="1:4">
      <c r="A7760">
        <v>40529</v>
      </c>
      <c r="B7760" t="s">
        <v>8279</v>
      </c>
      <c r="C7760" t="s">
        <v>426</v>
      </c>
      <c r="D7760" t="s">
        <v>24848</v>
      </c>
    </row>
    <row r="7761" spans="1:4">
      <c r="A7761">
        <v>36170</v>
      </c>
      <c r="B7761" t="s">
        <v>8280</v>
      </c>
      <c r="C7761" t="s">
        <v>426</v>
      </c>
      <c r="D7761" t="s">
        <v>24849</v>
      </c>
    </row>
    <row r="7762" spans="1:4">
      <c r="A7762">
        <v>40524</v>
      </c>
      <c r="B7762" t="s">
        <v>8281</v>
      </c>
      <c r="C7762" t="s">
        <v>426</v>
      </c>
      <c r="D7762" t="s">
        <v>24850</v>
      </c>
    </row>
    <row r="7763" spans="1:4">
      <c r="A7763">
        <v>36156</v>
      </c>
      <c r="B7763" t="s">
        <v>8282</v>
      </c>
      <c r="C7763" t="s">
        <v>426</v>
      </c>
      <c r="D7763" t="s">
        <v>24851</v>
      </c>
    </row>
    <row r="7764" spans="1:4">
      <c r="A7764">
        <v>36155</v>
      </c>
      <c r="B7764" t="s">
        <v>8283</v>
      </c>
      <c r="C7764" t="s">
        <v>426</v>
      </c>
      <c r="D7764" t="s">
        <v>24852</v>
      </c>
    </row>
    <row r="7765" spans="1:4">
      <c r="A7765">
        <v>36154</v>
      </c>
      <c r="B7765" t="s">
        <v>8284</v>
      </c>
      <c r="C7765" t="s">
        <v>426</v>
      </c>
      <c r="D7765" t="s">
        <v>24853</v>
      </c>
    </row>
    <row r="7766" spans="1:4">
      <c r="A7766">
        <v>695</v>
      </c>
      <c r="B7766" t="s">
        <v>8285</v>
      </c>
      <c r="C7766" t="s">
        <v>426</v>
      </c>
      <c r="D7766" t="s">
        <v>19068</v>
      </c>
    </row>
    <row r="7767" spans="1:4">
      <c r="A7767">
        <v>679</v>
      </c>
      <c r="B7767" t="s">
        <v>8286</v>
      </c>
      <c r="C7767" t="s">
        <v>426</v>
      </c>
      <c r="D7767" t="s">
        <v>24848</v>
      </c>
    </row>
    <row r="7768" spans="1:4">
      <c r="A7768">
        <v>711</v>
      </c>
      <c r="B7768" t="s">
        <v>8287</v>
      </c>
      <c r="C7768" t="s">
        <v>426</v>
      </c>
      <c r="D7768" t="s">
        <v>24112</v>
      </c>
    </row>
    <row r="7769" spans="1:4">
      <c r="A7769">
        <v>712</v>
      </c>
      <c r="B7769" t="s">
        <v>8288</v>
      </c>
      <c r="C7769" t="s">
        <v>426</v>
      </c>
      <c r="D7769" t="s">
        <v>24854</v>
      </c>
    </row>
    <row r="7770" spans="1:4">
      <c r="A7770">
        <v>12614</v>
      </c>
      <c r="B7770" t="s">
        <v>8289</v>
      </c>
      <c r="C7770" t="s">
        <v>427</v>
      </c>
      <c r="D7770" t="s">
        <v>17321</v>
      </c>
    </row>
    <row r="7771" spans="1:4">
      <c r="A7771">
        <v>6140</v>
      </c>
      <c r="B7771" t="s">
        <v>8290</v>
      </c>
      <c r="C7771" t="s">
        <v>427</v>
      </c>
      <c r="D7771" t="s">
        <v>18840</v>
      </c>
    </row>
    <row r="7772" spans="1:4">
      <c r="A7772">
        <v>38399</v>
      </c>
      <c r="B7772" t="s">
        <v>8291</v>
      </c>
      <c r="C7772" t="s">
        <v>427</v>
      </c>
      <c r="D7772" t="s">
        <v>24855</v>
      </c>
    </row>
    <row r="7773" spans="1:4">
      <c r="A7773">
        <v>735</v>
      </c>
      <c r="B7773" t="s">
        <v>8292</v>
      </c>
      <c r="C7773" t="s">
        <v>427</v>
      </c>
      <c r="D7773" t="s">
        <v>24856</v>
      </c>
    </row>
    <row r="7774" spans="1:4">
      <c r="A7774">
        <v>736</v>
      </c>
      <c r="B7774" t="s">
        <v>8293</v>
      </c>
      <c r="C7774" t="s">
        <v>427</v>
      </c>
      <c r="D7774" t="s">
        <v>24857</v>
      </c>
    </row>
    <row r="7775" spans="1:4">
      <c r="A7775">
        <v>729</v>
      </c>
      <c r="B7775" t="s">
        <v>8294</v>
      </c>
      <c r="C7775" t="s">
        <v>427</v>
      </c>
      <c r="D7775" t="s">
        <v>24858</v>
      </c>
    </row>
    <row r="7776" spans="1:4">
      <c r="A7776">
        <v>39925</v>
      </c>
      <c r="B7776" t="s">
        <v>8295</v>
      </c>
      <c r="C7776" t="s">
        <v>427</v>
      </c>
      <c r="D7776" t="s">
        <v>24859</v>
      </c>
    </row>
    <row r="7777" spans="1:4">
      <c r="A7777">
        <v>731</v>
      </c>
      <c r="B7777" t="s">
        <v>8296</v>
      </c>
      <c r="C7777" t="s">
        <v>427</v>
      </c>
      <c r="D7777" t="s">
        <v>24860</v>
      </c>
    </row>
    <row r="7778" spans="1:4">
      <c r="A7778">
        <v>10575</v>
      </c>
      <c r="B7778" t="s">
        <v>8297</v>
      </c>
      <c r="C7778" t="s">
        <v>427</v>
      </c>
      <c r="D7778" t="s">
        <v>24861</v>
      </c>
    </row>
    <row r="7779" spans="1:4">
      <c r="A7779">
        <v>733</v>
      </c>
      <c r="B7779" t="s">
        <v>8298</v>
      </c>
      <c r="C7779" t="s">
        <v>427</v>
      </c>
      <c r="D7779" t="s">
        <v>24862</v>
      </c>
    </row>
    <row r="7780" spans="1:4">
      <c r="A7780">
        <v>732</v>
      </c>
      <c r="B7780" t="s">
        <v>8299</v>
      </c>
      <c r="C7780" t="s">
        <v>427</v>
      </c>
      <c r="D7780" t="s">
        <v>24863</v>
      </c>
    </row>
    <row r="7781" spans="1:4">
      <c r="A7781">
        <v>737</v>
      </c>
      <c r="B7781" t="s">
        <v>8300</v>
      </c>
      <c r="C7781" t="s">
        <v>427</v>
      </c>
      <c r="D7781" t="s">
        <v>24864</v>
      </c>
    </row>
    <row r="7782" spans="1:4">
      <c r="A7782">
        <v>738</v>
      </c>
      <c r="B7782" t="s">
        <v>8301</v>
      </c>
      <c r="C7782" t="s">
        <v>427</v>
      </c>
      <c r="D7782" t="s">
        <v>24865</v>
      </c>
    </row>
    <row r="7783" spans="1:4">
      <c r="A7783">
        <v>740</v>
      </c>
      <c r="B7783" t="s">
        <v>8302</v>
      </c>
      <c r="C7783" t="s">
        <v>427</v>
      </c>
      <c r="D7783" t="s">
        <v>24866</v>
      </c>
    </row>
    <row r="7784" spans="1:4">
      <c r="A7784">
        <v>734</v>
      </c>
      <c r="B7784" t="s">
        <v>8303</v>
      </c>
      <c r="C7784" t="s">
        <v>427</v>
      </c>
      <c r="D7784" t="s">
        <v>24867</v>
      </c>
    </row>
    <row r="7785" spans="1:4">
      <c r="A7785">
        <v>39008</v>
      </c>
      <c r="B7785" t="s">
        <v>8304</v>
      </c>
      <c r="C7785" t="s">
        <v>427</v>
      </c>
      <c r="D7785" t="s">
        <v>24868</v>
      </c>
    </row>
    <row r="7786" spans="1:4">
      <c r="A7786">
        <v>39009</v>
      </c>
      <c r="B7786" t="s">
        <v>8305</v>
      </c>
      <c r="C7786" t="s">
        <v>427</v>
      </c>
      <c r="D7786" t="s">
        <v>24869</v>
      </c>
    </row>
    <row r="7787" spans="1:4">
      <c r="A7787">
        <v>10587</v>
      </c>
      <c r="B7787" t="s">
        <v>8306</v>
      </c>
      <c r="C7787" t="s">
        <v>427</v>
      </c>
      <c r="D7787" t="s">
        <v>24870</v>
      </c>
    </row>
    <row r="7788" spans="1:4">
      <c r="A7788">
        <v>759</v>
      </c>
      <c r="B7788" t="s">
        <v>8307</v>
      </c>
      <c r="C7788" t="s">
        <v>427</v>
      </c>
      <c r="D7788" t="s">
        <v>24871</v>
      </c>
    </row>
    <row r="7789" spans="1:4">
      <c r="A7789">
        <v>761</v>
      </c>
      <c r="B7789" t="s">
        <v>8308</v>
      </c>
      <c r="C7789" t="s">
        <v>427</v>
      </c>
      <c r="D7789" t="s">
        <v>24872</v>
      </c>
    </row>
    <row r="7790" spans="1:4">
      <c r="A7790">
        <v>750</v>
      </c>
      <c r="B7790" t="s">
        <v>8309</v>
      </c>
      <c r="C7790" t="s">
        <v>427</v>
      </c>
      <c r="D7790" t="s">
        <v>24873</v>
      </c>
    </row>
    <row r="7791" spans="1:4">
      <c r="A7791">
        <v>755</v>
      </c>
      <c r="B7791" t="s">
        <v>8310</v>
      </c>
      <c r="C7791" t="s">
        <v>427</v>
      </c>
      <c r="D7791" t="s">
        <v>24874</v>
      </c>
    </row>
    <row r="7792" spans="1:4">
      <c r="A7792">
        <v>749</v>
      </c>
      <c r="B7792" t="s">
        <v>8311</v>
      </c>
      <c r="C7792" t="s">
        <v>427</v>
      </c>
      <c r="D7792" t="s">
        <v>24875</v>
      </c>
    </row>
    <row r="7793" spans="1:4">
      <c r="A7793">
        <v>756</v>
      </c>
      <c r="B7793" t="s">
        <v>8312</v>
      </c>
      <c r="C7793" t="s">
        <v>427</v>
      </c>
      <c r="D7793" t="s">
        <v>24876</v>
      </c>
    </row>
    <row r="7794" spans="1:4">
      <c r="A7794">
        <v>757</v>
      </c>
      <c r="B7794" t="s">
        <v>8313</v>
      </c>
      <c r="C7794" t="s">
        <v>427</v>
      </c>
      <c r="D7794" t="s">
        <v>24877</v>
      </c>
    </row>
    <row r="7795" spans="1:4">
      <c r="A7795">
        <v>10588</v>
      </c>
      <c r="B7795" t="s">
        <v>8314</v>
      </c>
      <c r="C7795" t="s">
        <v>427</v>
      </c>
      <c r="D7795" t="s">
        <v>24878</v>
      </c>
    </row>
    <row r="7796" spans="1:4">
      <c r="A7796">
        <v>10592</v>
      </c>
      <c r="B7796" t="s">
        <v>8315</v>
      </c>
      <c r="C7796" t="s">
        <v>427</v>
      </c>
      <c r="D7796" t="s">
        <v>24879</v>
      </c>
    </row>
    <row r="7797" spans="1:4">
      <c r="A7797">
        <v>10589</v>
      </c>
      <c r="B7797" t="s">
        <v>8316</v>
      </c>
      <c r="C7797" t="s">
        <v>427</v>
      </c>
      <c r="D7797" t="s">
        <v>24880</v>
      </c>
    </row>
    <row r="7798" spans="1:4">
      <c r="A7798">
        <v>760</v>
      </c>
      <c r="B7798" t="s">
        <v>8317</v>
      </c>
      <c r="C7798" t="s">
        <v>427</v>
      </c>
      <c r="D7798" t="s">
        <v>24881</v>
      </c>
    </row>
    <row r="7799" spans="1:4">
      <c r="A7799">
        <v>751</v>
      </c>
      <c r="B7799" t="s">
        <v>8318</v>
      </c>
      <c r="C7799" t="s">
        <v>427</v>
      </c>
      <c r="D7799" t="s">
        <v>24882</v>
      </c>
    </row>
    <row r="7800" spans="1:4">
      <c r="A7800">
        <v>754</v>
      </c>
      <c r="B7800" t="s">
        <v>8319</v>
      </c>
      <c r="C7800" t="s">
        <v>427</v>
      </c>
      <c r="D7800" t="s">
        <v>24883</v>
      </c>
    </row>
    <row r="7801" spans="1:4">
      <c r="A7801">
        <v>44489</v>
      </c>
      <c r="B7801" t="s">
        <v>13435</v>
      </c>
      <c r="C7801" t="s">
        <v>427</v>
      </c>
      <c r="D7801" t="s">
        <v>24884</v>
      </c>
    </row>
    <row r="7802" spans="1:4">
      <c r="A7802">
        <v>39917</v>
      </c>
      <c r="B7802" t="s">
        <v>8320</v>
      </c>
      <c r="C7802" t="s">
        <v>427</v>
      </c>
      <c r="D7802" t="s">
        <v>24885</v>
      </c>
    </row>
    <row r="7803" spans="1:4">
      <c r="A7803">
        <v>38167</v>
      </c>
      <c r="B7803" t="s">
        <v>8321</v>
      </c>
      <c r="C7803" t="s">
        <v>434</v>
      </c>
      <c r="D7803" t="s">
        <v>24886</v>
      </c>
    </row>
    <row r="7804" spans="1:4">
      <c r="A7804">
        <v>36145</v>
      </c>
      <c r="B7804" t="s">
        <v>8322</v>
      </c>
      <c r="C7804" t="s">
        <v>434</v>
      </c>
      <c r="D7804" t="s">
        <v>20972</v>
      </c>
    </row>
    <row r="7805" spans="1:4">
      <c r="A7805">
        <v>12893</v>
      </c>
      <c r="B7805" t="s">
        <v>8323</v>
      </c>
      <c r="C7805" t="s">
        <v>434</v>
      </c>
      <c r="D7805" t="s">
        <v>24887</v>
      </c>
    </row>
    <row r="7806" spans="1:4">
      <c r="A7806">
        <v>11685</v>
      </c>
      <c r="B7806" t="s">
        <v>8324</v>
      </c>
      <c r="C7806" t="s">
        <v>427</v>
      </c>
      <c r="D7806" t="s">
        <v>22707</v>
      </c>
    </row>
    <row r="7807" spans="1:4">
      <c r="A7807">
        <v>11680</v>
      </c>
      <c r="B7807" t="s">
        <v>8325</v>
      </c>
      <c r="C7807" t="s">
        <v>427</v>
      </c>
      <c r="D7807" t="s">
        <v>15634</v>
      </c>
    </row>
    <row r="7808" spans="1:4">
      <c r="A7808">
        <v>11679</v>
      </c>
      <c r="B7808" t="s">
        <v>8326</v>
      </c>
      <c r="C7808" t="s">
        <v>427</v>
      </c>
      <c r="D7808" t="s">
        <v>24587</v>
      </c>
    </row>
    <row r="7809" spans="1:4">
      <c r="A7809">
        <v>2512</v>
      </c>
      <c r="B7809" t="s">
        <v>8327</v>
      </c>
      <c r="C7809" t="s">
        <v>427</v>
      </c>
      <c r="D7809" t="s">
        <v>24888</v>
      </c>
    </row>
    <row r="7810" spans="1:4">
      <c r="A7810">
        <v>4374</v>
      </c>
      <c r="B7810" t="s">
        <v>8328</v>
      </c>
      <c r="C7810" t="s">
        <v>427</v>
      </c>
      <c r="D7810" t="s">
        <v>15289</v>
      </c>
    </row>
    <row r="7811" spans="1:4">
      <c r="A7811">
        <v>7568</v>
      </c>
      <c r="B7811" t="s">
        <v>8329</v>
      </c>
      <c r="C7811" t="s">
        <v>427</v>
      </c>
      <c r="D7811" t="s">
        <v>15827</v>
      </c>
    </row>
    <row r="7812" spans="1:4">
      <c r="A7812">
        <v>7584</v>
      </c>
      <c r="B7812" t="s">
        <v>8330</v>
      </c>
      <c r="C7812" t="s">
        <v>427</v>
      </c>
      <c r="D7812" t="s">
        <v>24889</v>
      </c>
    </row>
    <row r="7813" spans="1:4">
      <c r="A7813">
        <v>11945</v>
      </c>
      <c r="B7813" t="s">
        <v>8331</v>
      </c>
      <c r="C7813" t="s">
        <v>427</v>
      </c>
      <c r="D7813" t="s">
        <v>15216</v>
      </c>
    </row>
    <row r="7814" spans="1:4">
      <c r="A7814">
        <v>11946</v>
      </c>
      <c r="B7814" t="s">
        <v>8332</v>
      </c>
      <c r="C7814" t="s">
        <v>427</v>
      </c>
      <c r="D7814" t="s">
        <v>15216</v>
      </c>
    </row>
    <row r="7815" spans="1:4">
      <c r="A7815">
        <v>4375</v>
      </c>
      <c r="B7815" t="s">
        <v>8333</v>
      </c>
      <c r="C7815" t="s">
        <v>427</v>
      </c>
      <c r="D7815" t="s">
        <v>15473</v>
      </c>
    </row>
    <row r="7816" spans="1:4">
      <c r="A7816">
        <v>11950</v>
      </c>
      <c r="B7816" t="s">
        <v>8334</v>
      </c>
      <c r="C7816" t="s">
        <v>427</v>
      </c>
      <c r="D7816" t="s">
        <v>15248</v>
      </c>
    </row>
    <row r="7817" spans="1:4">
      <c r="A7817">
        <v>4376</v>
      </c>
      <c r="B7817" t="s">
        <v>8335</v>
      </c>
      <c r="C7817" t="s">
        <v>427</v>
      </c>
      <c r="D7817" t="s">
        <v>15576</v>
      </c>
    </row>
    <row r="7818" spans="1:4">
      <c r="A7818">
        <v>7583</v>
      </c>
      <c r="B7818" t="s">
        <v>8336</v>
      </c>
      <c r="C7818" t="s">
        <v>427</v>
      </c>
      <c r="D7818" t="s">
        <v>20159</v>
      </c>
    </row>
    <row r="7819" spans="1:4">
      <c r="A7819">
        <v>4350</v>
      </c>
      <c r="B7819" t="s">
        <v>8337</v>
      </c>
      <c r="C7819" t="s">
        <v>427</v>
      </c>
      <c r="D7819" t="s">
        <v>14843</v>
      </c>
    </row>
    <row r="7820" spans="1:4">
      <c r="A7820">
        <v>39886</v>
      </c>
      <c r="B7820" t="s">
        <v>8338</v>
      </c>
      <c r="C7820" t="s">
        <v>427</v>
      </c>
      <c r="D7820" t="s">
        <v>17273</v>
      </c>
    </row>
    <row r="7821" spans="1:4">
      <c r="A7821">
        <v>39887</v>
      </c>
      <c r="B7821" t="s">
        <v>8339</v>
      </c>
      <c r="C7821" t="s">
        <v>427</v>
      </c>
      <c r="D7821" t="s">
        <v>20328</v>
      </c>
    </row>
    <row r="7822" spans="1:4">
      <c r="A7822">
        <v>39888</v>
      </c>
      <c r="B7822" t="s">
        <v>8340</v>
      </c>
      <c r="C7822" t="s">
        <v>427</v>
      </c>
      <c r="D7822" t="s">
        <v>24890</v>
      </c>
    </row>
    <row r="7823" spans="1:4">
      <c r="A7823">
        <v>39890</v>
      </c>
      <c r="B7823" t="s">
        <v>8341</v>
      </c>
      <c r="C7823" t="s">
        <v>427</v>
      </c>
      <c r="D7823" t="s">
        <v>20957</v>
      </c>
    </row>
    <row r="7824" spans="1:4">
      <c r="A7824">
        <v>39891</v>
      </c>
      <c r="B7824" t="s">
        <v>8342</v>
      </c>
      <c r="C7824" t="s">
        <v>427</v>
      </c>
      <c r="D7824" t="s">
        <v>18512</v>
      </c>
    </row>
    <row r="7825" spans="1:4">
      <c r="A7825">
        <v>39892</v>
      </c>
      <c r="B7825" t="s">
        <v>8343</v>
      </c>
      <c r="C7825" t="s">
        <v>427</v>
      </c>
      <c r="D7825" t="s">
        <v>24891</v>
      </c>
    </row>
    <row r="7826" spans="1:4">
      <c r="A7826">
        <v>790</v>
      </c>
      <c r="B7826" t="s">
        <v>8344</v>
      </c>
      <c r="C7826" t="s">
        <v>427</v>
      </c>
      <c r="D7826" t="s">
        <v>19219</v>
      </c>
    </row>
    <row r="7827" spans="1:4">
      <c r="A7827">
        <v>766</v>
      </c>
      <c r="B7827" t="s">
        <v>8345</v>
      </c>
      <c r="C7827" t="s">
        <v>427</v>
      </c>
      <c r="D7827" t="s">
        <v>19219</v>
      </c>
    </row>
    <row r="7828" spans="1:4">
      <c r="A7828">
        <v>791</v>
      </c>
      <c r="B7828" t="s">
        <v>8346</v>
      </c>
      <c r="C7828" t="s">
        <v>427</v>
      </c>
      <c r="D7828" t="s">
        <v>19219</v>
      </c>
    </row>
    <row r="7829" spans="1:4">
      <c r="A7829">
        <v>767</v>
      </c>
      <c r="B7829" t="s">
        <v>8347</v>
      </c>
      <c r="C7829" t="s">
        <v>427</v>
      </c>
      <c r="D7829" t="s">
        <v>19219</v>
      </c>
    </row>
    <row r="7830" spans="1:4">
      <c r="A7830">
        <v>768</v>
      </c>
      <c r="B7830" t="s">
        <v>8348</v>
      </c>
      <c r="C7830" t="s">
        <v>427</v>
      </c>
      <c r="D7830" t="s">
        <v>19191</v>
      </c>
    </row>
    <row r="7831" spans="1:4">
      <c r="A7831">
        <v>789</v>
      </c>
      <c r="B7831" t="s">
        <v>8349</v>
      </c>
      <c r="C7831" t="s">
        <v>427</v>
      </c>
      <c r="D7831" t="s">
        <v>15943</v>
      </c>
    </row>
    <row r="7832" spans="1:4">
      <c r="A7832">
        <v>769</v>
      </c>
      <c r="B7832" t="s">
        <v>8350</v>
      </c>
      <c r="C7832" t="s">
        <v>427</v>
      </c>
      <c r="D7832" t="s">
        <v>19191</v>
      </c>
    </row>
    <row r="7833" spans="1:4">
      <c r="A7833">
        <v>770</v>
      </c>
      <c r="B7833" t="s">
        <v>8351</v>
      </c>
      <c r="C7833" t="s">
        <v>427</v>
      </c>
      <c r="D7833" t="s">
        <v>15606</v>
      </c>
    </row>
    <row r="7834" spans="1:4">
      <c r="A7834">
        <v>12394</v>
      </c>
      <c r="B7834" t="s">
        <v>8352</v>
      </c>
      <c r="C7834" t="s">
        <v>427</v>
      </c>
      <c r="D7834" t="s">
        <v>15606</v>
      </c>
    </row>
    <row r="7835" spans="1:4">
      <c r="A7835">
        <v>764</v>
      </c>
      <c r="B7835" t="s">
        <v>8353</v>
      </c>
      <c r="C7835" t="s">
        <v>427</v>
      </c>
      <c r="D7835" t="s">
        <v>15784</v>
      </c>
    </row>
    <row r="7836" spans="1:4">
      <c r="A7836">
        <v>765</v>
      </c>
      <c r="B7836" t="s">
        <v>8354</v>
      </c>
      <c r="C7836" t="s">
        <v>427</v>
      </c>
      <c r="D7836" t="s">
        <v>15784</v>
      </c>
    </row>
    <row r="7837" spans="1:4">
      <c r="A7837">
        <v>787</v>
      </c>
      <c r="B7837" t="s">
        <v>8355</v>
      </c>
      <c r="C7837" t="s">
        <v>427</v>
      </c>
      <c r="D7837" t="s">
        <v>22810</v>
      </c>
    </row>
    <row r="7838" spans="1:4">
      <c r="A7838">
        <v>774</v>
      </c>
      <c r="B7838" t="s">
        <v>8356</v>
      </c>
      <c r="C7838" t="s">
        <v>427</v>
      </c>
      <c r="D7838" t="s">
        <v>22810</v>
      </c>
    </row>
    <row r="7839" spans="1:4">
      <c r="A7839">
        <v>773</v>
      </c>
      <c r="B7839" t="s">
        <v>8357</v>
      </c>
      <c r="C7839" t="s">
        <v>427</v>
      </c>
      <c r="D7839" t="s">
        <v>22810</v>
      </c>
    </row>
    <row r="7840" spans="1:4">
      <c r="A7840">
        <v>775</v>
      </c>
      <c r="B7840" t="s">
        <v>8358</v>
      </c>
      <c r="C7840" t="s">
        <v>427</v>
      </c>
      <c r="D7840" t="s">
        <v>22810</v>
      </c>
    </row>
    <row r="7841" spans="1:4">
      <c r="A7841">
        <v>788</v>
      </c>
      <c r="B7841" t="s">
        <v>8359</v>
      </c>
      <c r="C7841" t="s">
        <v>427</v>
      </c>
      <c r="D7841" t="s">
        <v>24892</v>
      </c>
    </row>
    <row r="7842" spans="1:4">
      <c r="A7842">
        <v>772</v>
      </c>
      <c r="B7842" t="s">
        <v>8360</v>
      </c>
      <c r="C7842" t="s">
        <v>427</v>
      </c>
      <c r="D7842" t="s">
        <v>24892</v>
      </c>
    </row>
    <row r="7843" spans="1:4">
      <c r="A7843">
        <v>771</v>
      </c>
      <c r="B7843" t="s">
        <v>8361</v>
      </c>
      <c r="C7843" t="s">
        <v>427</v>
      </c>
      <c r="D7843" t="s">
        <v>24892</v>
      </c>
    </row>
    <row r="7844" spans="1:4">
      <c r="A7844">
        <v>779</v>
      </c>
      <c r="B7844" t="s">
        <v>8362</v>
      </c>
      <c r="C7844" t="s">
        <v>427</v>
      </c>
      <c r="D7844" t="s">
        <v>15580</v>
      </c>
    </row>
    <row r="7845" spans="1:4">
      <c r="A7845">
        <v>776</v>
      </c>
      <c r="B7845" t="s">
        <v>8363</v>
      </c>
      <c r="C7845" t="s">
        <v>427</v>
      </c>
      <c r="D7845" t="s">
        <v>24893</v>
      </c>
    </row>
    <row r="7846" spans="1:4">
      <c r="A7846">
        <v>777</v>
      </c>
      <c r="B7846" t="s">
        <v>8364</v>
      </c>
      <c r="C7846" t="s">
        <v>427</v>
      </c>
      <c r="D7846" t="s">
        <v>24894</v>
      </c>
    </row>
    <row r="7847" spans="1:4">
      <c r="A7847">
        <v>780</v>
      </c>
      <c r="B7847" t="s">
        <v>8365</v>
      </c>
      <c r="C7847" t="s">
        <v>427</v>
      </c>
      <c r="D7847" t="s">
        <v>24895</v>
      </c>
    </row>
    <row r="7848" spans="1:4">
      <c r="A7848">
        <v>778</v>
      </c>
      <c r="B7848" t="s">
        <v>8366</v>
      </c>
      <c r="C7848" t="s">
        <v>427</v>
      </c>
      <c r="D7848" t="s">
        <v>24893</v>
      </c>
    </row>
    <row r="7849" spans="1:4">
      <c r="A7849">
        <v>781</v>
      </c>
      <c r="B7849" t="s">
        <v>8367</v>
      </c>
      <c r="C7849" t="s">
        <v>427</v>
      </c>
      <c r="D7849" t="s">
        <v>24896</v>
      </c>
    </row>
    <row r="7850" spans="1:4">
      <c r="A7850">
        <v>786</v>
      </c>
      <c r="B7850" t="s">
        <v>8368</v>
      </c>
      <c r="C7850" t="s">
        <v>427</v>
      </c>
      <c r="D7850" t="s">
        <v>24896</v>
      </c>
    </row>
    <row r="7851" spans="1:4">
      <c r="A7851">
        <v>782</v>
      </c>
      <c r="B7851" t="s">
        <v>8369</v>
      </c>
      <c r="C7851" t="s">
        <v>427</v>
      </c>
      <c r="D7851" t="s">
        <v>24896</v>
      </c>
    </row>
    <row r="7852" spans="1:4">
      <c r="A7852">
        <v>783</v>
      </c>
      <c r="B7852" t="s">
        <v>8370</v>
      </c>
      <c r="C7852" t="s">
        <v>427</v>
      </c>
      <c r="D7852" t="s">
        <v>24897</v>
      </c>
    </row>
    <row r="7853" spans="1:4">
      <c r="A7853">
        <v>785</v>
      </c>
      <c r="B7853" t="s">
        <v>8371</v>
      </c>
      <c r="C7853" t="s">
        <v>427</v>
      </c>
      <c r="D7853" t="s">
        <v>24898</v>
      </c>
    </row>
    <row r="7854" spans="1:4">
      <c r="A7854">
        <v>784</v>
      </c>
      <c r="B7854" t="s">
        <v>8372</v>
      </c>
      <c r="C7854" t="s">
        <v>427</v>
      </c>
      <c r="D7854" t="s">
        <v>24899</v>
      </c>
    </row>
    <row r="7855" spans="1:4">
      <c r="A7855">
        <v>831</v>
      </c>
      <c r="B7855" t="s">
        <v>8373</v>
      </c>
      <c r="C7855" t="s">
        <v>427</v>
      </c>
      <c r="D7855" t="s">
        <v>24900</v>
      </c>
    </row>
    <row r="7856" spans="1:4">
      <c r="A7856">
        <v>828</v>
      </c>
      <c r="B7856" t="s">
        <v>8374</v>
      </c>
      <c r="C7856" t="s">
        <v>427</v>
      </c>
      <c r="D7856" t="s">
        <v>15469</v>
      </c>
    </row>
    <row r="7857" spans="1:4">
      <c r="A7857">
        <v>829</v>
      </c>
      <c r="B7857" t="s">
        <v>8375</v>
      </c>
      <c r="C7857" t="s">
        <v>427</v>
      </c>
      <c r="D7857" t="s">
        <v>19491</v>
      </c>
    </row>
    <row r="7858" spans="1:4">
      <c r="A7858">
        <v>812</v>
      </c>
      <c r="B7858" t="s">
        <v>8376</v>
      </c>
      <c r="C7858" t="s">
        <v>427</v>
      </c>
      <c r="D7858" t="s">
        <v>24584</v>
      </c>
    </row>
    <row r="7859" spans="1:4">
      <c r="A7859">
        <v>819</v>
      </c>
      <c r="B7859" t="s">
        <v>8377</v>
      </c>
      <c r="C7859" t="s">
        <v>427</v>
      </c>
      <c r="D7859" t="s">
        <v>22876</v>
      </c>
    </row>
    <row r="7860" spans="1:4">
      <c r="A7860">
        <v>818</v>
      </c>
      <c r="B7860" t="s">
        <v>8378</v>
      </c>
      <c r="C7860" t="s">
        <v>427</v>
      </c>
      <c r="D7860" t="s">
        <v>22445</v>
      </c>
    </row>
    <row r="7861" spans="1:4">
      <c r="A7861">
        <v>823</v>
      </c>
      <c r="B7861" t="s">
        <v>8379</v>
      </c>
      <c r="C7861" t="s">
        <v>427</v>
      </c>
      <c r="D7861" t="s">
        <v>17733</v>
      </c>
    </row>
    <row r="7862" spans="1:4">
      <c r="A7862">
        <v>830</v>
      </c>
      <c r="B7862" t="s">
        <v>8380</v>
      </c>
      <c r="C7862" t="s">
        <v>427</v>
      </c>
      <c r="D7862" t="s">
        <v>15885</v>
      </c>
    </row>
    <row r="7863" spans="1:4">
      <c r="A7863">
        <v>826</v>
      </c>
      <c r="B7863" t="s">
        <v>8381</v>
      </c>
      <c r="C7863" t="s">
        <v>427</v>
      </c>
      <c r="D7863" t="s">
        <v>18260</v>
      </c>
    </row>
    <row r="7864" spans="1:4">
      <c r="A7864">
        <v>827</v>
      </c>
      <c r="B7864" t="s">
        <v>8382</v>
      </c>
      <c r="C7864" t="s">
        <v>427</v>
      </c>
      <c r="D7864" t="s">
        <v>19628</v>
      </c>
    </row>
    <row r="7865" spans="1:4">
      <c r="A7865">
        <v>832</v>
      </c>
      <c r="B7865" t="s">
        <v>8383</v>
      </c>
      <c r="C7865" t="s">
        <v>427</v>
      </c>
      <c r="D7865" t="s">
        <v>19117</v>
      </c>
    </row>
    <row r="7866" spans="1:4">
      <c r="A7866">
        <v>833</v>
      </c>
      <c r="B7866" t="s">
        <v>8384</v>
      </c>
      <c r="C7866" t="s">
        <v>427</v>
      </c>
      <c r="D7866" t="s">
        <v>15774</v>
      </c>
    </row>
    <row r="7867" spans="1:4">
      <c r="A7867">
        <v>834</v>
      </c>
      <c r="B7867" t="s">
        <v>8385</v>
      </c>
      <c r="C7867" t="s">
        <v>427</v>
      </c>
      <c r="D7867" t="s">
        <v>17272</v>
      </c>
    </row>
    <row r="7868" spans="1:4">
      <c r="A7868">
        <v>825</v>
      </c>
      <c r="B7868" t="s">
        <v>8386</v>
      </c>
      <c r="C7868" t="s">
        <v>427</v>
      </c>
      <c r="D7868" t="s">
        <v>24901</v>
      </c>
    </row>
    <row r="7869" spans="1:4">
      <c r="A7869">
        <v>813</v>
      </c>
      <c r="B7869" t="s">
        <v>8387</v>
      </c>
      <c r="C7869" t="s">
        <v>427</v>
      </c>
      <c r="D7869" t="s">
        <v>24902</v>
      </c>
    </row>
    <row r="7870" spans="1:4">
      <c r="A7870">
        <v>820</v>
      </c>
      <c r="B7870" t="s">
        <v>8388</v>
      </c>
      <c r="C7870" t="s">
        <v>427</v>
      </c>
      <c r="D7870" t="s">
        <v>19133</v>
      </c>
    </row>
    <row r="7871" spans="1:4">
      <c r="A7871">
        <v>816</v>
      </c>
      <c r="B7871" t="s">
        <v>8389</v>
      </c>
      <c r="C7871" t="s">
        <v>427</v>
      </c>
      <c r="D7871" t="s">
        <v>18621</v>
      </c>
    </row>
    <row r="7872" spans="1:4">
      <c r="A7872">
        <v>814</v>
      </c>
      <c r="B7872" t="s">
        <v>8390</v>
      </c>
      <c r="C7872" t="s">
        <v>427</v>
      </c>
      <c r="D7872" t="s">
        <v>16936</v>
      </c>
    </row>
    <row r="7873" spans="1:4">
      <c r="A7873">
        <v>815</v>
      </c>
      <c r="B7873" t="s">
        <v>8391</v>
      </c>
      <c r="C7873" t="s">
        <v>427</v>
      </c>
      <c r="D7873" t="s">
        <v>16905</v>
      </c>
    </row>
    <row r="7874" spans="1:4">
      <c r="A7874">
        <v>822</v>
      </c>
      <c r="B7874" t="s">
        <v>8392</v>
      </c>
      <c r="C7874" t="s">
        <v>427</v>
      </c>
      <c r="D7874" t="s">
        <v>18075</v>
      </c>
    </row>
    <row r="7875" spans="1:4">
      <c r="A7875">
        <v>821</v>
      </c>
      <c r="B7875" t="s">
        <v>8393</v>
      </c>
      <c r="C7875" t="s">
        <v>427</v>
      </c>
      <c r="D7875" t="s">
        <v>24903</v>
      </c>
    </row>
    <row r="7876" spans="1:4">
      <c r="A7876">
        <v>817</v>
      </c>
      <c r="B7876" t="s">
        <v>8394</v>
      </c>
      <c r="C7876" t="s">
        <v>427</v>
      </c>
      <c r="D7876" t="s">
        <v>20299</v>
      </c>
    </row>
    <row r="7877" spans="1:4">
      <c r="A7877">
        <v>20086</v>
      </c>
      <c r="B7877" t="s">
        <v>8395</v>
      </c>
      <c r="C7877" t="s">
        <v>427</v>
      </c>
      <c r="D7877" t="s">
        <v>24904</v>
      </c>
    </row>
    <row r="7878" spans="1:4">
      <c r="A7878">
        <v>39191</v>
      </c>
      <c r="B7878" t="s">
        <v>8396</v>
      </c>
      <c r="C7878" t="s">
        <v>427</v>
      </c>
      <c r="D7878" t="s">
        <v>19224</v>
      </c>
    </row>
    <row r="7879" spans="1:4">
      <c r="A7879">
        <v>39190</v>
      </c>
      <c r="B7879" t="s">
        <v>8397</v>
      </c>
      <c r="C7879" t="s">
        <v>427</v>
      </c>
      <c r="D7879" t="s">
        <v>17376</v>
      </c>
    </row>
    <row r="7880" spans="1:4">
      <c r="A7880">
        <v>39189</v>
      </c>
      <c r="B7880" t="s">
        <v>8398</v>
      </c>
      <c r="C7880" t="s">
        <v>427</v>
      </c>
      <c r="D7880" t="s">
        <v>20357</v>
      </c>
    </row>
    <row r="7881" spans="1:4">
      <c r="A7881">
        <v>39186</v>
      </c>
      <c r="B7881" t="s">
        <v>8399</v>
      </c>
      <c r="C7881" t="s">
        <v>427</v>
      </c>
      <c r="D7881" t="s">
        <v>16900</v>
      </c>
    </row>
    <row r="7882" spans="1:4">
      <c r="A7882">
        <v>39188</v>
      </c>
      <c r="B7882" t="s">
        <v>8400</v>
      </c>
      <c r="C7882" t="s">
        <v>427</v>
      </c>
      <c r="D7882" t="s">
        <v>15723</v>
      </c>
    </row>
    <row r="7883" spans="1:4">
      <c r="A7883">
        <v>39187</v>
      </c>
      <c r="B7883" t="s">
        <v>8401</v>
      </c>
      <c r="C7883" t="s">
        <v>427</v>
      </c>
      <c r="D7883" t="s">
        <v>21862</v>
      </c>
    </row>
    <row r="7884" spans="1:4">
      <c r="A7884">
        <v>39184</v>
      </c>
      <c r="B7884" t="s">
        <v>8402</v>
      </c>
      <c r="C7884" t="s">
        <v>427</v>
      </c>
      <c r="D7884" t="s">
        <v>15688</v>
      </c>
    </row>
    <row r="7885" spans="1:4">
      <c r="A7885">
        <v>39185</v>
      </c>
      <c r="B7885" t="s">
        <v>8403</v>
      </c>
      <c r="C7885" t="s">
        <v>427</v>
      </c>
      <c r="D7885" t="s">
        <v>24902</v>
      </c>
    </row>
    <row r="7886" spans="1:4">
      <c r="A7886">
        <v>39198</v>
      </c>
      <c r="B7886" t="s">
        <v>8404</v>
      </c>
      <c r="C7886" t="s">
        <v>427</v>
      </c>
      <c r="D7886" t="s">
        <v>18093</v>
      </c>
    </row>
    <row r="7887" spans="1:4">
      <c r="A7887">
        <v>39197</v>
      </c>
      <c r="B7887" t="s">
        <v>8405</v>
      </c>
      <c r="C7887" t="s">
        <v>427</v>
      </c>
      <c r="D7887" t="s">
        <v>20104</v>
      </c>
    </row>
    <row r="7888" spans="1:4">
      <c r="A7888">
        <v>39196</v>
      </c>
      <c r="B7888" t="s">
        <v>8406</v>
      </c>
      <c r="C7888" t="s">
        <v>427</v>
      </c>
      <c r="D7888" t="s">
        <v>24905</v>
      </c>
    </row>
    <row r="7889" spans="1:4">
      <c r="A7889">
        <v>39199</v>
      </c>
      <c r="B7889" t="s">
        <v>8407</v>
      </c>
      <c r="C7889" t="s">
        <v>427</v>
      </c>
      <c r="D7889" t="s">
        <v>23081</v>
      </c>
    </row>
    <row r="7890" spans="1:4">
      <c r="A7890">
        <v>39195</v>
      </c>
      <c r="B7890" t="s">
        <v>8408</v>
      </c>
      <c r="C7890" t="s">
        <v>427</v>
      </c>
      <c r="D7890" t="s">
        <v>18110</v>
      </c>
    </row>
    <row r="7891" spans="1:4">
      <c r="A7891">
        <v>39194</v>
      </c>
      <c r="B7891" t="s">
        <v>8409</v>
      </c>
      <c r="C7891" t="s">
        <v>427</v>
      </c>
      <c r="D7891" t="s">
        <v>18652</v>
      </c>
    </row>
    <row r="7892" spans="1:4">
      <c r="A7892">
        <v>39193</v>
      </c>
      <c r="B7892" t="s">
        <v>8410</v>
      </c>
      <c r="C7892" t="s">
        <v>427</v>
      </c>
      <c r="D7892" t="s">
        <v>24906</v>
      </c>
    </row>
    <row r="7893" spans="1:4">
      <c r="A7893">
        <v>39192</v>
      </c>
      <c r="B7893" t="s">
        <v>8411</v>
      </c>
      <c r="C7893" t="s">
        <v>427</v>
      </c>
      <c r="D7893" t="s">
        <v>22616</v>
      </c>
    </row>
    <row r="7894" spans="1:4">
      <c r="A7894">
        <v>39920</v>
      </c>
      <c r="B7894" t="s">
        <v>8412</v>
      </c>
      <c r="C7894" t="s">
        <v>427</v>
      </c>
      <c r="D7894" t="s">
        <v>15471</v>
      </c>
    </row>
    <row r="7895" spans="1:4">
      <c r="A7895">
        <v>39201</v>
      </c>
      <c r="B7895" t="s">
        <v>8413</v>
      </c>
      <c r="C7895" t="s">
        <v>427</v>
      </c>
      <c r="D7895" t="s">
        <v>24907</v>
      </c>
    </row>
    <row r="7896" spans="1:4">
      <c r="A7896">
        <v>39200</v>
      </c>
      <c r="B7896" t="s">
        <v>8414</v>
      </c>
      <c r="C7896" t="s">
        <v>427</v>
      </c>
      <c r="D7896" t="s">
        <v>24908</v>
      </c>
    </row>
    <row r="7897" spans="1:4">
      <c r="A7897">
        <v>39203</v>
      </c>
      <c r="B7897" t="s">
        <v>8415</v>
      </c>
      <c r="C7897" t="s">
        <v>427</v>
      </c>
      <c r="D7897" t="s">
        <v>14975</v>
      </c>
    </row>
    <row r="7898" spans="1:4">
      <c r="A7898">
        <v>39202</v>
      </c>
      <c r="B7898" t="s">
        <v>8416</v>
      </c>
      <c r="C7898" t="s">
        <v>427</v>
      </c>
      <c r="D7898" t="s">
        <v>24909</v>
      </c>
    </row>
    <row r="7899" spans="1:4">
      <c r="A7899">
        <v>39205</v>
      </c>
      <c r="B7899" t="s">
        <v>8417</v>
      </c>
      <c r="C7899" t="s">
        <v>427</v>
      </c>
      <c r="D7899" t="s">
        <v>24896</v>
      </c>
    </row>
    <row r="7900" spans="1:4">
      <c r="A7900">
        <v>39204</v>
      </c>
      <c r="B7900" t="s">
        <v>8418</v>
      </c>
      <c r="C7900" t="s">
        <v>427</v>
      </c>
      <c r="D7900" t="s">
        <v>24910</v>
      </c>
    </row>
    <row r="7901" spans="1:4">
      <c r="A7901">
        <v>39206</v>
      </c>
      <c r="B7901" t="s">
        <v>8419</v>
      </c>
      <c r="C7901" t="s">
        <v>427</v>
      </c>
      <c r="D7901" t="s">
        <v>18641</v>
      </c>
    </row>
    <row r="7902" spans="1:4">
      <c r="A7902">
        <v>797</v>
      </c>
      <c r="B7902" t="s">
        <v>8420</v>
      </c>
      <c r="C7902" t="s">
        <v>427</v>
      </c>
      <c r="D7902" t="s">
        <v>20518</v>
      </c>
    </row>
    <row r="7903" spans="1:4">
      <c r="A7903">
        <v>798</v>
      </c>
      <c r="B7903" t="s">
        <v>8421</v>
      </c>
      <c r="C7903" t="s">
        <v>427</v>
      </c>
      <c r="D7903" t="s">
        <v>15832</v>
      </c>
    </row>
    <row r="7904" spans="1:4">
      <c r="A7904">
        <v>796</v>
      </c>
      <c r="B7904" t="s">
        <v>8422</v>
      </c>
      <c r="C7904" t="s">
        <v>427</v>
      </c>
      <c r="D7904" t="s">
        <v>18331</v>
      </c>
    </row>
    <row r="7905" spans="1:4">
      <c r="A7905">
        <v>799</v>
      </c>
      <c r="B7905" t="s">
        <v>8423</v>
      </c>
      <c r="C7905" t="s">
        <v>427</v>
      </c>
      <c r="D7905" t="s">
        <v>20182</v>
      </c>
    </row>
    <row r="7906" spans="1:4">
      <c r="A7906">
        <v>792</v>
      </c>
      <c r="B7906" t="s">
        <v>8424</v>
      </c>
      <c r="C7906" t="s">
        <v>427</v>
      </c>
      <c r="D7906" t="s">
        <v>15797</v>
      </c>
    </row>
    <row r="7907" spans="1:4">
      <c r="A7907">
        <v>804</v>
      </c>
      <c r="B7907" t="s">
        <v>8425</v>
      </c>
      <c r="C7907" t="s">
        <v>427</v>
      </c>
      <c r="D7907" t="s">
        <v>20363</v>
      </c>
    </row>
    <row r="7908" spans="1:4">
      <c r="A7908">
        <v>793</v>
      </c>
      <c r="B7908" t="s">
        <v>8426</v>
      </c>
      <c r="C7908" t="s">
        <v>427</v>
      </c>
      <c r="D7908" t="s">
        <v>18123</v>
      </c>
    </row>
    <row r="7909" spans="1:4">
      <c r="A7909">
        <v>801</v>
      </c>
      <c r="B7909" t="s">
        <v>8427</v>
      </c>
      <c r="C7909" t="s">
        <v>427</v>
      </c>
      <c r="D7909" t="s">
        <v>24353</v>
      </c>
    </row>
    <row r="7910" spans="1:4">
      <c r="A7910">
        <v>794</v>
      </c>
      <c r="B7910" t="s">
        <v>8428</v>
      </c>
      <c r="C7910" t="s">
        <v>427</v>
      </c>
      <c r="D7910" t="s">
        <v>23640</v>
      </c>
    </row>
    <row r="7911" spans="1:4">
      <c r="A7911">
        <v>802</v>
      </c>
      <c r="B7911" t="s">
        <v>8429</v>
      </c>
      <c r="C7911" t="s">
        <v>427</v>
      </c>
      <c r="D7911" t="s">
        <v>16964</v>
      </c>
    </row>
    <row r="7912" spans="1:4">
      <c r="A7912">
        <v>803</v>
      </c>
      <c r="B7912" t="s">
        <v>8430</v>
      </c>
      <c r="C7912" t="s">
        <v>427</v>
      </c>
      <c r="D7912" t="s">
        <v>24911</v>
      </c>
    </row>
    <row r="7913" spans="1:4">
      <c r="A7913">
        <v>38001</v>
      </c>
      <c r="B7913" t="s">
        <v>8431</v>
      </c>
      <c r="C7913" t="s">
        <v>427</v>
      </c>
      <c r="D7913" t="s">
        <v>15766</v>
      </c>
    </row>
    <row r="7914" spans="1:4">
      <c r="A7914">
        <v>38002</v>
      </c>
      <c r="B7914" t="s">
        <v>8432</v>
      </c>
      <c r="C7914" t="s">
        <v>427</v>
      </c>
      <c r="D7914" t="s">
        <v>15569</v>
      </c>
    </row>
    <row r="7915" spans="1:4">
      <c r="A7915">
        <v>38003</v>
      </c>
      <c r="B7915" t="s">
        <v>8433</v>
      </c>
      <c r="C7915" t="s">
        <v>427</v>
      </c>
      <c r="D7915" t="s">
        <v>18628</v>
      </c>
    </row>
    <row r="7916" spans="1:4">
      <c r="A7916">
        <v>38004</v>
      </c>
      <c r="B7916" t="s">
        <v>8434</v>
      </c>
      <c r="C7916" t="s">
        <v>427</v>
      </c>
      <c r="D7916" t="s">
        <v>24107</v>
      </c>
    </row>
    <row r="7917" spans="1:4">
      <c r="A7917">
        <v>36327</v>
      </c>
      <c r="B7917" t="s">
        <v>8435</v>
      </c>
      <c r="C7917" t="s">
        <v>427</v>
      </c>
      <c r="D7917" t="s">
        <v>24912</v>
      </c>
    </row>
    <row r="7918" spans="1:4">
      <c r="A7918">
        <v>38992</v>
      </c>
      <c r="B7918" t="s">
        <v>8436</v>
      </c>
      <c r="C7918" t="s">
        <v>427</v>
      </c>
      <c r="D7918" t="s">
        <v>15699</v>
      </c>
    </row>
    <row r="7919" spans="1:4">
      <c r="A7919">
        <v>38993</v>
      </c>
      <c r="B7919" t="s">
        <v>8437</v>
      </c>
      <c r="C7919" t="s">
        <v>427</v>
      </c>
      <c r="D7919" t="s">
        <v>23609</v>
      </c>
    </row>
    <row r="7920" spans="1:4">
      <c r="A7920">
        <v>38418</v>
      </c>
      <c r="B7920" t="s">
        <v>8438</v>
      </c>
      <c r="C7920" t="s">
        <v>427</v>
      </c>
      <c r="D7920" t="s">
        <v>19268</v>
      </c>
    </row>
    <row r="7921" spans="1:4">
      <c r="A7921">
        <v>39178</v>
      </c>
      <c r="B7921" t="s">
        <v>8439</v>
      </c>
      <c r="C7921" t="s">
        <v>427</v>
      </c>
      <c r="D7921" t="s">
        <v>15708</v>
      </c>
    </row>
    <row r="7922" spans="1:4">
      <c r="A7922">
        <v>39177</v>
      </c>
      <c r="B7922" t="s">
        <v>8440</v>
      </c>
      <c r="C7922" t="s">
        <v>427</v>
      </c>
      <c r="D7922" t="s">
        <v>15544</v>
      </c>
    </row>
    <row r="7923" spans="1:4">
      <c r="A7923">
        <v>39174</v>
      </c>
      <c r="B7923" t="s">
        <v>8441</v>
      </c>
      <c r="C7923" t="s">
        <v>427</v>
      </c>
      <c r="D7923" t="s">
        <v>15357</v>
      </c>
    </row>
    <row r="7924" spans="1:4">
      <c r="A7924">
        <v>39176</v>
      </c>
      <c r="B7924" t="s">
        <v>8442</v>
      </c>
      <c r="C7924" t="s">
        <v>427</v>
      </c>
      <c r="D7924" t="s">
        <v>15474</v>
      </c>
    </row>
    <row r="7925" spans="1:4">
      <c r="A7925">
        <v>39180</v>
      </c>
      <c r="B7925" t="s">
        <v>8443</v>
      </c>
      <c r="C7925" t="s">
        <v>427</v>
      </c>
      <c r="D7925" t="s">
        <v>24368</v>
      </c>
    </row>
    <row r="7926" spans="1:4">
      <c r="A7926">
        <v>39179</v>
      </c>
      <c r="B7926" t="s">
        <v>8444</v>
      </c>
      <c r="C7926" t="s">
        <v>427</v>
      </c>
      <c r="D7926" t="s">
        <v>14754</v>
      </c>
    </row>
    <row r="7927" spans="1:4">
      <c r="A7927">
        <v>39175</v>
      </c>
      <c r="B7927" t="s">
        <v>8445</v>
      </c>
      <c r="C7927" t="s">
        <v>427</v>
      </c>
      <c r="D7927" t="s">
        <v>15637</v>
      </c>
    </row>
    <row r="7928" spans="1:4">
      <c r="A7928">
        <v>39217</v>
      </c>
      <c r="B7928" t="s">
        <v>8446</v>
      </c>
      <c r="C7928" t="s">
        <v>427</v>
      </c>
      <c r="D7928" t="s">
        <v>15603</v>
      </c>
    </row>
    <row r="7929" spans="1:4">
      <c r="A7929">
        <v>39181</v>
      </c>
      <c r="B7929" t="s">
        <v>8447</v>
      </c>
      <c r="C7929" t="s">
        <v>427</v>
      </c>
      <c r="D7929" t="s">
        <v>15586</v>
      </c>
    </row>
    <row r="7930" spans="1:4">
      <c r="A7930">
        <v>39182</v>
      </c>
      <c r="B7930" t="s">
        <v>8448</v>
      </c>
      <c r="C7930" t="s">
        <v>427</v>
      </c>
      <c r="D7930" t="s">
        <v>18150</v>
      </c>
    </row>
    <row r="7931" spans="1:4">
      <c r="A7931">
        <v>12616</v>
      </c>
      <c r="B7931" t="s">
        <v>8449</v>
      </c>
      <c r="C7931" t="s">
        <v>427</v>
      </c>
      <c r="D7931" t="s">
        <v>17155</v>
      </c>
    </row>
    <row r="7932" spans="1:4">
      <c r="A7932">
        <v>1049</v>
      </c>
      <c r="B7932" t="s">
        <v>8450</v>
      </c>
      <c r="C7932" t="s">
        <v>427</v>
      </c>
      <c r="D7932" t="s">
        <v>20138</v>
      </c>
    </row>
    <row r="7933" spans="1:4">
      <c r="A7933">
        <v>1099</v>
      </c>
      <c r="B7933" t="s">
        <v>8451</v>
      </c>
      <c r="C7933" t="s">
        <v>427</v>
      </c>
      <c r="D7933" t="s">
        <v>15580</v>
      </c>
    </row>
    <row r="7934" spans="1:4">
      <c r="A7934">
        <v>39678</v>
      </c>
      <c r="B7934" t="s">
        <v>8452</v>
      </c>
      <c r="C7934" t="s">
        <v>427</v>
      </c>
      <c r="D7934" t="s">
        <v>15451</v>
      </c>
    </row>
    <row r="7935" spans="1:4">
      <c r="A7935">
        <v>1050</v>
      </c>
      <c r="B7935" t="s">
        <v>8453</v>
      </c>
      <c r="C7935" t="s">
        <v>427</v>
      </c>
      <c r="D7935" t="s">
        <v>18098</v>
      </c>
    </row>
    <row r="7936" spans="1:4">
      <c r="A7936">
        <v>1101</v>
      </c>
      <c r="B7936" t="s">
        <v>8454</v>
      </c>
      <c r="C7936" t="s">
        <v>427</v>
      </c>
      <c r="D7936" t="s">
        <v>23622</v>
      </c>
    </row>
    <row r="7937" spans="1:4">
      <c r="A7937">
        <v>1100</v>
      </c>
      <c r="B7937" t="s">
        <v>8455</v>
      </c>
      <c r="C7937" t="s">
        <v>427</v>
      </c>
      <c r="D7937" t="s">
        <v>19196</v>
      </c>
    </row>
    <row r="7938" spans="1:4">
      <c r="A7938">
        <v>39679</v>
      </c>
      <c r="B7938" t="s">
        <v>8456</v>
      </c>
      <c r="C7938" t="s">
        <v>427</v>
      </c>
      <c r="D7938" t="s">
        <v>24480</v>
      </c>
    </row>
    <row r="7939" spans="1:4">
      <c r="A7939">
        <v>1098</v>
      </c>
      <c r="B7939" t="s">
        <v>8457</v>
      </c>
      <c r="C7939" t="s">
        <v>427</v>
      </c>
      <c r="D7939" t="s">
        <v>24913</v>
      </c>
    </row>
    <row r="7940" spans="1:4">
      <c r="A7940">
        <v>1102</v>
      </c>
      <c r="B7940" t="s">
        <v>8458</v>
      </c>
      <c r="C7940" t="s">
        <v>427</v>
      </c>
      <c r="D7940" t="s">
        <v>24914</v>
      </c>
    </row>
    <row r="7941" spans="1:4">
      <c r="A7941">
        <v>1051</v>
      </c>
      <c r="B7941" t="s">
        <v>8459</v>
      </c>
      <c r="C7941" t="s">
        <v>427</v>
      </c>
      <c r="D7941" t="s">
        <v>23919</v>
      </c>
    </row>
    <row r="7942" spans="1:4">
      <c r="A7942">
        <v>37399</v>
      </c>
      <c r="B7942" t="s">
        <v>8460</v>
      </c>
      <c r="C7942" t="s">
        <v>427</v>
      </c>
      <c r="D7942" t="s">
        <v>24915</v>
      </c>
    </row>
    <row r="7943" spans="1:4">
      <c r="A7943">
        <v>41955</v>
      </c>
      <c r="B7943" t="s">
        <v>8461</v>
      </c>
      <c r="C7943" t="s">
        <v>430</v>
      </c>
      <c r="D7943" t="s">
        <v>24916</v>
      </c>
    </row>
    <row r="7944" spans="1:4">
      <c r="A7944">
        <v>41953</v>
      </c>
      <c r="B7944" t="s">
        <v>8462</v>
      </c>
      <c r="C7944" t="s">
        <v>430</v>
      </c>
      <c r="D7944" t="s">
        <v>24917</v>
      </c>
    </row>
    <row r="7945" spans="1:4">
      <c r="A7945">
        <v>41954</v>
      </c>
      <c r="B7945" t="s">
        <v>8463</v>
      </c>
      <c r="C7945" t="s">
        <v>430</v>
      </c>
      <c r="D7945" t="s">
        <v>22802</v>
      </c>
    </row>
    <row r="7946" spans="1:4">
      <c r="A7946">
        <v>25004</v>
      </c>
      <c r="B7946" t="s">
        <v>8464</v>
      </c>
      <c r="C7946" t="s">
        <v>430</v>
      </c>
      <c r="D7946" t="s">
        <v>23080</v>
      </c>
    </row>
    <row r="7947" spans="1:4">
      <c r="A7947">
        <v>25002</v>
      </c>
      <c r="B7947" t="s">
        <v>8465</v>
      </c>
      <c r="C7947" t="s">
        <v>430</v>
      </c>
      <c r="D7947" t="s">
        <v>18699</v>
      </c>
    </row>
    <row r="7948" spans="1:4">
      <c r="A7948">
        <v>37409</v>
      </c>
      <c r="B7948" t="s">
        <v>8466</v>
      </c>
      <c r="C7948" t="s">
        <v>430</v>
      </c>
      <c r="D7948" t="s">
        <v>24918</v>
      </c>
    </row>
    <row r="7949" spans="1:4">
      <c r="A7949">
        <v>841</v>
      </c>
      <c r="B7949" t="s">
        <v>8467</v>
      </c>
      <c r="C7949" t="s">
        <v>430</v>
      </c>
      <c r="D7949" t="s">
        <v>24919</v>
      </c>
    </row>
    <row r="7950" spans="1:4">
      <c r="A7950">
        <v>25005</v>
      </c>
      <c r="B7950" t="s">
        <v>8468</v>
      </c>
      <c r="C7950" t="s">
        <v>430</v>
      </c>
      <c r="D7950" t="s">
        <v>24920</v>
      </c>
    </row>
    <row r="7951" spans="1:4">
      <c r="A7951">
        <v>25003</v>
      </c>
      <c r="B7951" t="s">
        <v>8469</v>
      </c>
      <c r="C7951" t="s">
        <v>430</v>
      </c>
      <c r="D7951" t="s">
        <v>17404</v>
      </c>
    </row>
    <row r="7952" spans="1:4">
      <c r="A7952">
        <v>37410</v>
      </c>
      <c r="B7952" t="s">
        <v>8470</v>
      </c>
      <c r="C7952" t="s">
        <v>430</v>
      </c>
      <c r="D7952" t="s">
        <v>24920</v>
      </c>
    </row>
    <row r="7953" spans="1:4">
      <c r="A7953">
        <v>842</v>
      </c>
      <c r="B7953" t="s">
        <v>8471</v>
      </c>
      <c r="C7953" t="s">
        <v>430</v>
      </c>
      <c r="D7953" t="s">
        <v>18131</v>
      </c>
    </row>
    <row r="7954" spans="1:4">
      <c r="A7954">
        <v>862</v>
      </c>
      <c r="B7954" t="s">
        <v>8472</v>
      </c>
      <c r="C7954" t="s">
        <v>429</v>
      </c>
      <c r="D7954" t="s">
        <v>17192</v>
      </c>
    </row>
    <row r="7955" spans="1:4">
      <c r="A7955">
        <v>866</v>
      </c>
      <c r="B7955" t="s">
        <v>8473</v>
      </c>
      <c r="C7955" t="s">
        <v>429</v>
      </c>
      <c r="D7955" t="s">
        <v>24921</v>
      </c>
    </row>
    <row r="7956" spans="1:4">
      <c r="A7956">
        <v>892</v>
      </c>
      <c r="B7956" t="s">
        <v>8474</v>
      </c>
      <c r="C7956" t="s">
        <v>429</v>
      </c>
      <c r="D7956" t="s">
        <v>24922</v>
      </c>
    </row>
    <row r="7957" spans="1:4">
      <c r="A7957">
        <v>857</v>
      </c>
      <c r="B7957" t="s">
        <v>8475</v>
      </c>
      <c r="C7957" t="s">
        <v>429</v>
      </c>
      <c r="D7957" t="s">
        <v>18339</v>
      </c>
    </row>
    <row r="7958" spans="1:4">
      <c r="A7958">
        <v>37404</v>
      </c>
      <c r="B7958" t="s">
        <v>8476</v>
      </c>
      <c r="C7958" t="s">
        <v>429</v>
      </c>
      <c r="D7958" t="s">
        <v>24923</v>
      </c>
    </row>
    <row r="7959" spans="1:4">
      <c r="A7959">
        <v>868</v>
      </c>
      <c r="B7959" t="s">
        <v>8477</v>
      </c>
      <c r="C7959" t="s">
        <v>429</v>
      </c>
      <c r="D7959" t="s">
        <v>18329</v>
      </c>
    </row>
    <row r="7960" spans="1:4">
      <c r="A7960">
        <v>870</v>
      </c>
      <c r="B7960" t="s">
        <v>8478</v>
      </c>
      <c r="C7960" t="s">
        <v>429</v>
      </c>
      <c r="D7960" t="s">
        <v>19430</v>
      </c>
    </row>
    <row r="7961" spans="1:4">
      <c r="A7961">
        <v>863</v>
      </c>
      <c r="B7961" t="s">
        <v>8479</v>
      </c>
      <c r="C7961" t="s">
        <v>429</v>
      </c>
      <c r="D7961" t="s">
        <v>18593</v>
      </c>
    </row>
    <row r="7962" spans="1:4">
      <c r="A7962">
        <v>867</v>
      </c>
      <c r="B7962" t="s">
        <v>7741</v>
      </c>
      <c r="C7962" t="s">
        <v>429</v>
      </c>
      <c r="D7962" t="s">
        <v>18876</v>
      </c>
    </row>
    <row r="7963" spans="1:4">
      <c r="A7963">
        <v>891</v>
      </c>
      <c r="B7963" t="s">
        <v>8480</v>
      </c>
      <c r="C7963" t="s">
        <v>429</v>
      </c>
      <c r="D7963" t="s">
        <v>24924</v>
      </c>
    </row>
    <row r="7964" spans="1:4">
      <c r="A7964">
        <v>864</v>
      </c>
      <c r="B7964" t="s">
        <v>8481</v>
      </c>
      <c r="C7964" t="s">
        <v>429</v>
      </c>
      <c r="D7964" t="s">
        <v>24925</v>
      </c>
    </row>
    <row r="7965" spans="1:4">
      <c r="A7965">
        <v>865</v>
      </c>
      <c r="B7965" t="s">
        <v>8482</v>
      </c>
      <c r="C7965" t="s">
        <v>429</v>
      </c>
      <c r="D7965" t="s">
        <v>24926</v>
      </c>
    </row>
    <row r="7966" spans="1:4">
      <c r="A7966">
        <v>1006</v>
      </c>
      <c r="B7966" t="s">
        <v>8483</v>
      </c>
      <c r="C7966" t="s">
        <v>429</v>
      </c>
      <c r="D7966" t="s">
        <v>24927</v>
      </c>
    </row>
    <row r="7967" spans="1:4">
      <c r="A7967">
        <v>948</v>
      </c>
      <c r="B7967" t="s">
        <v>8484</v>
      </c>
      <c r="C7967" t="s">
        <v>429</v>
      </c>
      <c r="D7967" t="s">
        <v>19270</v>
      </c>
    </row>
    <row r="7968" spans="1:4">
      <c r="A7968">
        <v>947</v>
      </c>
      <c r="B7968" t="s">
        <v>8485</v>
      </c>
      <c r="C7968" t="s">
        <v>429</v>
      </c>
      <c r="D7968" t="s">
        <v>24928</v>
      </c>
    </row>
    <row r="7969" spans="1:4">
      <c r="A7969">
        <v>911</v>
      </c>
      <c r="B7969" t="s">
        <v>8486</v>
      </c>
      <c r="C7969" t="s">
        <v>429</v>
      </c>
      <c r="D7969" t="s">
        <v>24929</v>
      </c>
    </row>
    <row r="7970" spans="1:4">
      <c r="A7970">
        <v>925</v>
      </c>
      <c r="B7970" t="s">
        <v>8487</v>
      </c>
      <c r="C7970" t="s">
        <v>429</v>
      </c>
      <c r="D7970" t="s">
        <v>24930</v>
      </c>
    </row>
    <row r="7971" spans="1:4">
      <c r="A7971">
        <v>954</v>
      </c>
      <c r="B7971" t="s">
        <v>8488</v>
      </c>
      <c r="C7971" t="s">
        <v>429</v>
      </c>
      <c r="D7971" t="s">
        <v>14956</v>
      </c>
    </row>
    <row r="7972" spans="1:4">
      <c r="A7972">
        <v>901</v>
      </c>
      <c r="B7972" t="s">
        <v>8489</v>
      </c>
      <c r="C7972" t="s">
        <v>429</v>
      </c>
      <c r="D7972" t="s">
        <v>24931</v>
      </c>
    </row>
    <row r="7973" spans="1:4">
      <c r="A7973">
        <v>926</v>
      </c>
      <c r="B7973" t="s">
        <v>8490</v>
      </c>
      <c r="C7973" t="s">
        <v>429</v>
      </c>
      <c r="D7973" t="s">
        <v>24932</v>
      </c>
    </row>
    <row r="7974" spans="1:4">
      <c r="A7974">
        <v>912</v>
      </c>
      <c r="B7974" t="s">
        <v>8491</v>
      </c>
      <c r="C7974" t="s">
        <v>429</v>
      </c>
      <c r="D7974" t="s">
        <v>24933</v>
      </c>
    </row>
    <row r="7975" spans="1:4">
      <c r="A7975">
        <v>955</v>
      </c>
      <c r="B7975" t="s">
        <v>8492</v>
      </c>
      <c r="C7975" t="s">
        <v>429</v>
      </c>
      <c r="D7975" t="s">
        <v>24934</v>
      </c>
    </row>
    <row r="7976" spans="1:4">
      <c r="A7976">
        <v>946</v>
      </c>
      <c r="B7976" t="s">
        <v>8493</v>
      </c>
      <c r="C7976" t="s">
        <v>429</v>
      </c>
      <c r="D7976" t="s">
        <v>24935</v>
      </c>
    </row>
    <row r="7977" spans="1:4">
      <c r="A7977">
        <v>953</v>
      </c>
      <c r="B7977" t="s">
        <v>8494</v>
      </c>
      <c r="C7977" t="s">
        <v>429</v>
      </c>
      <c r="D7977" t="s">
        <v>24936</v>
      </c>
    </row>
    <row r="7978" spans="1:4">
      <c r="A7978">
        <v>902</v>
      </c>
      <c r="B7978" t="s">
        <v>8495</v>
      </c>
      <c r="C7978" t="s">
        <v>429</v>
      </c>
      <c r="D7978" t="s">
        <v>24937</v>
      </c>
    </row>
    <row r="7979" spans="1:4">
      <c r="A7979">
        <v>927</v>
      </c>
      <c r="B7979" t="s">
        <v>8496</v>
      </c>
      <c r="C7979" t="s">
        <v>429</v>
      </c>
      <c r="D7979" t="s">
        <v>24938</v>
      </c>
    </row>
    <row r="7980" spans="1:4">
      <c r="A7980">
        <v>913</v>
      </c>
      <c r="B7980" t="s">
        <v>8497</v>
      </c>
      <c r="C7980" t="s">
        <v>429</v>
      </c>
      <c r="D7980" t="s">
        <v>24939</v>
      </c>
    </row>
    <row r="7981" spans="1:4">
      <c r="A7981">
        <v>903</v>
      </c>
      <c r="B7981" t="s">
        <v>8498</v>
      </c>
      <c r="C7981" t="s">
        <v>429</v>
      </c>
      <c r="D7981" t="s">
        <v>20580</v>
      </c>
    </row>
    <row r="7982" spans="1:4">
      <c r="A7982">
        <v>945</v>
      </c>
      <c r="B7982" t="s">
        <v>8499</v>
      </c>
      <c r="C7982" t="s">
        <v>429</v>
      </c>
      <c r="D7982" t="s">
        <v>18244</v>
      </c>
    </row>
    <row r="7983" spans="1:4">
      <c r="A7983">
        <v>914</v>
      </c>
      <c r="B7983" t="s">
        <v>8500</v>
      </c>
      <c r="C7983" t="s">
        <v>429</v>
      </c>
      <c r="D7983" t="s">
        <v>21776</v>
      </c>
    </row>
    <row r="7984" spans="1:4">
      <c r="A7984">
        <v>993</v>
      </c>
      <c r="B7984" t="s">
        <v>8501</v>
      </c>
      <c r="C7984" t="s">
        <v>429</v>
      </c>
      <c r="D7984" t="s">
        <v>20139</v>
      </c>
    </row>
    <row r="7985" spans="1:4">
      <c r="A7985">
        <v>1020</v>
      </c>
      <c r="B7985" t="s">
        <v>8502</v>
      </c>
      <c r="C7985" t="s">
        <v>429</v>
      </c>
      <c r="D7985" t="s">
        <v>15830</v>
      </c>
    </row>
    <row r="7986" spans="1:4">
      <c r="A7986">
        <v>1017</v>
      </c>
      <c r="B7986" t="s">
        <v>8503</v>
      </c>
      <c r="C7986" t="s">
        <v>429</v>
      </c>
      <c r="D7986" t="s">
        <v>19850</v>
      </c>
    </row>
    <row r="7987" spans="1:4">
      <c r="A7987">
        <v>999</v>
      </c>
      <c r="B7987" t="s">
        <v>8504</v>
      </c>
      <c r="C7987" t="s">
        <v>429</v>
      </c>
      <c r="D7987" t="s">
        <v>24940</v>
      </c>
    </row>
    <row r="7988" spans="1:4">
      <c r="A7988">
        <v>995</v>
      </c>
      <c r="B7988" t="s">
        <v>8505</v>
      </c>
      <c r="C7988" t="s">
        <v>429</v>
      </c>
      <c r="D7988" t="s">
        <v>15634</v>
      </c>
    </row>
    <row r="7989" spans="1:4">
      <c r="A7989">
        <v>1000</v>
      </c>
      <c r="B7989" t="s">
        <v>8506</v>
      </c>
      <c r="C7989" t="s">
        <v>429</v>
      </c>
      <c r="D7989" t="s">
        <v>24941</v>
      </c>
    </row>
    <row r="7990" spans="1:4">
      <c r="A7990">
        <v>1022</v>
      </c>
      <c r="B7990" t="s">
        <v>8507</v>
      </c>
      <c r="C7990" t="s">
        <v>429</v>
      </c>
      <c r="D7990" t="s">
        <v>24342</v>
      </c>
    </row>
    <row r="7991" spans="1:4">
      <c r="A7991">
        <v>1015</v>
      </c>
      <c r="B7991" t="s">
        <v>8508</v>
      </c>
      <c r="C7991" t="s">
        <v>429</v>
      </c>
      <c r="D7991" t="s">
        <v>24942</v>
      </c>
    </row>
    <row r="7992" spans="1:4">
      <c r="A7992">
        <v>996</v>
      </c>
      <c r="B7992" t="s">
        <v>8509</v>
      </c>
      <c r="C7992" t="s">
        <v>429</v>
      </c>
      <c r="D7992" t="s">
        <v>24943</v>
      </c>
    </row>
    <row r="7993" spans="1:4">
      <c r="A7993">
        <v>1001</v>
      </c>
      <c r="B7993" t="s">
        <v>8510</v>
      </c>
      <c r="C7993" t="s">
        <v>429</v>
      </c>
      <c r="D7993" t="s">
        <v>24944</v>
      </c>
    </row>
    <row r="7994" spans="1:4">
      <c r="A7994">
        <v>1019</v>
      </c>
      <c r="B7994" t="s">
        <v>8511</v>
      </c>
      <c r="C7994" t="s">
        <v>429</v>
      </c>
      <c r="D7994" t="s">
        <v>24945</v>
      </c>
    </row>
    <row r="7995" spans="1:4">
      <c r="A7995">
        <v>1021</v>
      </c>
      <c r="B7995" t="s">
        <v>8512</v>
      </c>
      <c r="C7995" t="s">
        <v>429</v>
      </c>
      <c r="D7995" t="s">
        <v>17228</v>
      </c>
    </row>
    <row r="7996" spans="1:4">
      <c r="A7996">
        <v>39249</v>
      </c>
      <c r="B7996" t="s">
        <v>8513</v>
      </c>
      <c r="C7996" t="s">
        <v>429</v>
      </c>
      <c r="D7996" t="s">
        <v>24946</v>
      </c>
    </row>
    <row r="7997" spans="1:4">
      <c r="A7997">
        <v>1018</v>
      </c>
      <c r="B7997" t="s">
        <v>8514</v>
      </c>
      <c r="C7997" t="s">
        <v>429</v>
      </c>
      <c r="D7997" t="s">
        <v>24947</v>
      </c>
    </row>
    <row r="7998" spans="1:4">
      <c r="A7998">
        <v>39250</v>
      </c>
      <c r="B7998" t="s">
        <v>8515</v>
      </c>
      <c r="C7998" t="s">
        <v>429</v>
      </c>
      <c r="D7998" t="s">
        <v>24948</v>
      </c>
    </row>
    <row r="7999" spans="1:4">
      <c r="A7999">
        <v>994</v>
      </c>
      <c r="B7999" t="s">
        <v>8516</v>
      </c>
      <c r="C7999" t="s">
        <v>429</v>
      </c>
      <c r="D7999" t="s">
        <v>14941</v>
      </c>
    </row>
    <row r="8000" spans="1:4">
      <c r="A8000">
        <v>977</v>
      </c>
      <c r="B8000" t="s">
        <v>8517</v>
      </c>
      <c r="C8000" t="s">
        <v>429</v>
      </c>
      <c r="D8000" t="s">
        <v>24949</v>
      </c>
    </row>
    <row r="8001" spans="1:4">
      <c r="A8001">
        <v>998</v>
      </c>
      <c r="B8001" t="s">
        <v>8518</v>
      </c>
      <c r="C8001" t="s">
        <v>429</v>
      </c>
      <c r="D8001" t="s">
        <v>24950</v>
      </c>
    </row>
    <row r="8002" spans="1:4">
      <c r="A8002">
        <v>39251</v>
      </c>
      <c r="B8002" t="s">
        <v>8519</v>
      </c>
      <c r="C8002" t="s">
        <v>429</v>
      </c>
      <c r="D8002" t="s">
        <v>15603</v>
      </c>
    </row>
    <row r="8003" spans="1:4">
      <c r="A8003">
        <v>1011</v>
      </c>
      <c r="B8003" t="s">
        <v>8520</v>
      </c>
      <c r="C8003" t="s">
        <v>429</v>
      </c>
      <c r="D8003" t="s">
        <v>15474</v>
      </c>
    </row>
    <row r="8004" spans="1:4">
      <c r="A8004">
        <v>39252</v>
      </c>
      <c r="B8004" t="s">
        <v>8521</v>
      </c>
      <c r="C8004" t="s">
        <v>429</v>
      </c>
      <c r="D8004" t="s">
        <v>15477</v>
      </c>
    </row>
    <row r="8005" spans="1:4">
      <c r="A8005">
        <v>1013</v>
      </c>
      <c r="B8005" t="s">
        <v>8522</v>
      </c>
      <c r="C8005" t="s">
        <v>429</v>
      </c>
      <c r="D8005" t="s">
        <v>20098</v>
      </c>
    </row>
    <row r="8006" spans="1:4">
      <c r="A8006">
        <v>980</v>
      </c>
      <c r="B8006" t="s">
        <v>8523</v>
      </c>
      <c r="C8006" t="s">
        <v>429</v>
      </c>
      <c r="D8006" t="s">
        <v>21632</v>
      </c>
    </row>
    <row r="8007" spans="1:4">
      <c r="A8007">
        <v>39237</v>
      </c>
      <c r="B8007" t="s">
        <v>8524</v>
      </c>
      <c r="C8007" t="s">
        <v>429</v>
      </c>
      <c r="D8007" t="s">
        <v>24951</v>
      </c>
    </row>
    <row r="8008" spans="1:4">
      <c r="A8008">
        <v>39238</v>
      </c>
      <c r="B8008" t="s">
        <v>8525</v>
      </c>
      <c r="C8008" t="s">
        <v>429</v>
      </c>
      <c r="D8008" t="s">
        <v>24952</v>
      </c>
    </row>
    <row r="8009" spans="1:4">
      <c r="A8009">
        <v>979</v>
      </c>
      <c r="B8009" t="s">
        <v>8526</v>
      </c>
      <c r="C8009" t="s">
        <v>429</v>
      </c>
      <c r="D8009" t="s">
        <v>17145</v>
      </c>
    </row>
    <row r="8010" spans="1:4">
      <c r="A8010">
        <v>39239</v>
      </c>
      <c r="B8010" t="s">
        <v>8527</v>
      </c>
      <c r="C8010" t="s">
        <v>429</v>
      </c>
      <c r="D8010" t="s">
        <v>24953</v>
      </c>
    </row>
    <row r="8011" spans="1:4">
      <c r="A8011">
        <v>1014</v>
      </c>
      <c r="B8011" t="s">
        <v>8528</v>
      </c>
      <c r="C8011" t="s">
        <v>429</v>
      </c>
      <c r="D8011" t="s">
        <v>17731</v>
      </c>
    </row>
    <row r="8012" spans="1:4">
      <c r="A8012">
        <v>39240</v>
      </c>
      <c r="B8012" t="s">
        <v>8529</v>
      </c>
      <c r="C8012" t="s">
        <v>429</v>
      </c>
      <c r="D8012" t="s">
        <v>24954</v>
      </c>
    </row>
    <row r="8013" spans="1:4">
      <c r="A8013">
        <v>39232</v>
      </c>
      <c r="B8013" t="s">
        <v>8530</v>
      </c>
      <c r="C8013" t="s">
        <v>429</v>
      </c>
      <c r="D8013" t="s">
        <v>24955</v>
      </c>
    </row>
    <row r="8014" spans="1:4">
      <c r="A8014">
        <v>39233</v>
      </c>
      <c r="B8014" t="s">
        <v>8531</v>
      </c>
      <c r="C8014" t="s">
        <v>429</v>
      </c>
      <c r="D8014" t="s">
        <v>23997</v>
      </c>
    </row>
    <row r="8015" spans="1:4">
      <c r="A8015">
        <v>981</v>
      </c>
      <c r="B8015" t="s">
        <v>8532</v>
      </c>
      <c r="C8015" t="s">
        <v>429</v>
      </c>
      <c r="D8015" t="s">
        <v>20183</v>
      </c>
    </row>
    <row r="8016" spans="1:4">
      <c r="A8016">
        <v>39234</v>
      </c>
      <c r="B8016" t="s">
        <v>8533</v>
      </c>
      <c r="C8016" t="s">
        <v>429</v>
      </c>
      <c r="D8016" t="s">
        <v>24376</v>
      </c>
    </row>
    <row r="8017" spans="1:4">
      <c r="A8017">
        <v>982</v>
      </c>
      <c r="B8017" t="s">
        <v>8534</v>
      </c>
      <c r="C8017" t="s">
        <v>429</v>
      </c>
      <c r="D8017" t="s">
        <v>15287</v>
      </c>
    </row>
    <row r="8018" spans="1:4">
      <c r="A8018">
        <v>39235</v>
      </c>
      <c r="B8018" t="s">
        <v>8535</v>
      </c>
      <c r="C8018" t="s">
        <v>429</v>
      </c>
      <c r="D8018" t="s">
        <v>24956</v>
      </c>
    </row>
    <row r="8019" spans="1:4">
      <c r="A8019">
        <v>39236</v>
      </c>
      <c r="B8019" t="s">
        <v>8536</v>
      </c>
      <c r="C8019" t="s">
        <v>429</v>
      </c>
      <c r="D8019" t="s">
        <v>24957</v>
      </c>
    </row>
    <row r="8020" spans="1:4">
      <c r="A8020">
        <v>876</v>
      </c>
      <c r="B8020" t="s">
        <v>8537</v>
      </c>
      <c r="C8020" t="s">
        <v>429</v>
      </c>
      <c r="D8020" t="s">
        <v>24958</v>
      </c>
    </row>
    <row r="8021" spans="1:4">
      <c r="A8021">
        <v>877</v>
      </c>
      <c r="B8021" t="s">
        <v>8538</v>
      </c>
      <c r="C8021" t="s">
        <v>429</v>
      </c>
      <c r="D8021" t="s">
        <v>24959</v>
      </c>
    </row>
    <row r="8022" spans="1:4">
      <c r="A8022">
        <v>882</v>
      </c>
      <c r="B8022" t="s">
        <v>8539</v>
      </c>
      <c r="C8022" t="s">
        <v>429</v>
      </c>
      <c r="D8022" t="s">
        <v>24960</v>
      </c>
    </row>
    <row r="8023" spans="1:4">
      <c r="A8023">
        <v>878</v>
      </c>
      <c r="B8023" t="s">
        <v>8540</v>
      </c>
      <c r="C8023" t="s">
        <v>429</v>
      </c>
      <c r="D8023" t="s">
        <v>24961</v>
      </c>
    </row>
    <row r="8024" spans="1:4">
      <c r="A8024">
        <v>879</v>
      </c>
      <c r="B8024" t="s">
        <v>8541</v>
      </c>
      <c r="C8024" t="s">
        <v>429</v>
      </c>
      <c r="D8024" t="s">
        <v>24962</v>
      </c>
    </row>
    <row r="8025" spans="1:4">
      <c r="A8025">
        <v>880</v>
      </c>
      <c r="B8025" t="s">
        <v>8542</v>
      </c>
      <c r="C8025" t="s">
        <v>429</v>
      </c>
      <c r="D8025" t="s">
        <v>21934</v>
      </c>
    </row>
    <row r="8026" spans="1:4">
      <c r="A8026">
        <v>873</v>
      </c>
      <c r="B8026" t="s">
        <v>8543</v>
      </c>
      <c r="C8026" t="s">
        <v>429</v>
      </c>
      <c r="D8026" t="s">
        <v>24779</v>
      </c>
    </row>
    <row r="8027" spans="1:4">
      <c r="A8027">
        <v>881</v>
      </c>
      <c r="B8027" t="s">
        <v>8544</v>
      </c>
      <c r="C8027" t="s">
        <v>429</v>
      </c>
      <c r="D8027" t="s">
        <v>21143</v>
      </c>
    </row>
    <row r="8028" spans="1:4">
      <c r="A8028">
        <v>874</v>
      </c>
      <c r="B8028" t="s">
        <v>8545</v>
      </c>
      <c r="C8028" t="s">
        <v>429</v>
      </c>
      <c r="D8028" t="s">
        <v>23291</v>
      </c>
    </row>
    <row r="8029" spans="1:4">
      <c r="A8029">
        <v>875</v>
      </c>
      <c r="B8029" t="s">
        <v>8546</v>
      </c>
      <c r="C8029" t="s">
        <v>429</v>
      </c>
      <c r="D8029" t="s">
        <v>24963</v>
      </c>
    </row>
    <row r="8030" spans="1:4">
      <c r="A8030">
        <v>983</v>
      </c>
      <c r="B8030" t="s">
        <v>8547</v>
      </c>
      <c r="C8030" t="s">
        <v>429</v>
      </c>
      <c r="D8030" t="s">
        <v>15761</v>
      </c>
    </row>
    <row r="8031" spans="1:4">
      <c r="A8031">
        <v>985</v>
      </c>
      <c r="B8031" t="s">
        <v>8548</v>
      </c>
      <c r="C8031" t="s">
        <v>429</v>
      </c>
      <c r="D8031" t="s">
        <v>17149</v>
      </c>
    </row>
    <row r="8032" spans="1:4">
      <c r="A8032">
        <v>990</v>
      </c>
      <c r="B8032" t="s">
        <v>8549</v>
      </c>
      <c r="C8032" t="s">
        <v>429</v>
      </c>
      <c r="D8032" t="s">
        <v>22649</v>
      </c>
    </row>
    <row r="8033" spans="1:4">
      <c r="A8033">
        <v>39241</v>
      </c>
      <c r="B8033" t="s">
        <v>8550</v>
      </c>
      <c r="C8033" t="s">
        <v>429</v>
      </c>
      <c r="D8033" t="s">
        <v>15654</v>
      </c>
    </row>
    <row r="8034" spans="1:4">
      <c r="A8034">
        <v>1005</v>
      </c>
      <c r="B8034" t="s">
        <v>8551</v>
      </c>
      <c r="C8034" t="s">
        <v>429</v>
      </c>
      <c r="D8034" t="s">
        <v>24964</v>
      </c>
    </row>
    <row r="8035" spans="1:4">
      <c r="A8035">
        <v>984</v>
      </c>
      <c r="B8035" t="s">
        <v>8552</v>
      </c>
      <c r="C8035" t="s">
        <v>429</v>
      </c>
      <c r="D8035" t="s">
        <v>17721</v>
      </c>
    </row>
    <row r="8036" spans="1:4">
      <c r="A8036">
        <v>991</v>
      </c>
      <c r="B8036" t="s">
        <v>8553</v>
      </c>
      <c r="C8036" t="s">
        <v>429</v>
      </c>
      <c r="D8036" t="s">
        <v>24965</v>
      </c>
    </row>
    <row r="8037" spans="1:4">
      <c r="A8037">
        <v>986</v>
      </c>
      <c r="B8037" t="s">
        <v>8554</v>
      </c>
      <c r="C8037" t="s">
        <v>429</v>
      </c>
      <c r="D8037" t="s">
        <v>16015</v>
      </c>
    </row>
    <row r="8038" spans="1:4">
      <c r="A8038">
        <v>1024</v>
      </c>
      <c r="B8038" t="s">
        <v>8555</v>
      </c>
      <c r="C8038" t="s">
        <v>429</v>
      </c>
      <c r="D8038" t="s">
        <v>14830</v>
      </c>
    </row>
    <row r="8039" spans="1:4">
      <c r="A8039">
        <v>987</v>
      </c>
      <c r="B8039" t="s">
        <v>8556</v>
      </c>
      <c r="C8039" t="s">
        <v>429</v>
      </c>
      <c r="D8039" t="s">
        <v>14769</v>
      </c>
    </row>
    <row r="8040" spans="1:4">
      <c r="A8040">
        <v>1003</v>
      </c>
      <c r="B8040" t="s">
        <v>8557</v>
      </c>
      <c r="C8040" t="s">
        <v>429</v>
      </c>
      <c r="D8040" t="s">
        <v>19243</v>
      </c>
    </row>
    <row r="8041" spans="1:4">
      <c r="A8041">
        <v>992</v>
      </c>
      <c r="B8041" t="s">
        <v>8558</v>
      </c>
      <c r="C8041" t="s">
        <v>429</v>
      </c>
      <c r="D8041" t="s">
        <v>24966</v>
      </c>
    </row>
    <row r="8042" spans="1:4">
      <c r="A8042">
        <v>1007</v>
      </c>
      <c r="B8042" t="s">
        <v>8559</v>
      </c>
      <c r="C8042" t="s">
        <v>429</v>
      </c>
      <c r="D8042" t="s">
        <v>24967</v>
      </c>
    </row>
    <row r="8043" spans="1:4">
      <c r="A8043">
        <v>39242</v>
      </c>
      <c r="B8043" t="s">
        <v>8560</v>
      </c>
      <c r="C8043" t="s">
        <v>429</v>
      </c>
      <c r="D8043" t="s">
        <v>24968</v>
      </c>
    </row>
    <row r="8044" spans="1:4">
      <c r="A8044">
        <v>1008</v>
      </c>
      <c r="B8044" t="s">
        <v>8561</v>
      </c>
      <c r="C8044" t="s">
        <v>429</v>
      </c>
      <c r="D8044" t="s">
        <v>22687</v>
      </c>
    </row>
    <row r="8045" spans="1:4">
      <c r="A8045">
        <v>988</v>
      </c>
      <c r="B8045" t="s">
        <v>8562</v>
      </c>
      <c r="C8045" t="s">
        <v>429</v>
      </c>
      <c r="D8045" t="s">
        <v>22654</v>
      </c>
    </row>
    <row r="8046" spans="1:4">
      <c r="A8046">
        <v>989</v>
      </c>
      <c r="B8046" t="s">
        <v>8563</v>
      </c>
      <c r="C8046" t="s">
        <v>429</v>
      </c>
      <c r="D8046" t="s">
        <v>24969</v>
      </c>
    </row>
    <row r="8047" spans="1:4">
      <c r="A8047">
        <v>39598</v>
      </c>
      <c r="B8047" t="s">
        <v>8564</v>
      </c>
      <c r="C8047" t="s">
        <v>429</v>
      </c>
      <c r="D8047" t="s">
        <v>24970</v>
      </c>
    </row>
    <row r="8048" spans="1:4">
      <c r="A8048">
        <v>39599</v>
      </c>
      <c r="B8048" t="s">
        <v>8565</v>
      </c>
      <c r="C8048" t="s">
        <v>429</v>
      </c>
      <c r="D8048" t="s">
        <v>19183</v>
      </c>
    </row>
    <row r="8049" spans="1:4">
      <c r="A8049">
        <v>34602</v>
      </c>
      <c r="B8049" t="s">
        <v>8566</v>
      </c>
      <c r="C8049" t="s">
        <v>429</v>
      </c>
      <c r="D8049" t="s">
        <v>19247</v>
      </c>
    </row>
    <row r="8050" spans="1:4">
      <c r="A8050">
        <v>34603</v>
      </c>
      <c r="B8050" t="s">
        <v>8567</v>
      </c>
      <c r="C8050" t="s">
        <v>429</v>
      </c>
      <c r="D8050" t="s">
        <v>20524</v>
      </c>
    </row>
    <row r="8051" spans="1:4">
      <c r="A8051">
        <v>34607</v>
      </c>
      <c r="B8051" t="s">
        <v>8568</v>
      </c>
      <c r="C8051" t="s">
        <v>429</v>
      </c>
      <c r="D8051" t="s">
        <v>18169</v>
      </c>
    </row>
    <row r="8052" spans="1:4">
      <c r="A8052">
        <v>34609</v>
      </c>
      <c r="B8052" t="s">
        <v>8569</v>
      </c>
      <c r="C8052" t="s">
        <v>429</v>
      </c>
      <c r="D8052" t="s">
        <v>23034</v>
      </c>
    </row>
    <row r="8053" spans="1:4">
      <c r="A8053">
        <v>34618</v>
      </c>
      <c r="B8053" t="s">
        <v>8570</v>
      </c>
      <c r="C8053" t="s">
        <v>429</v>
      </c>
      <c r="D8053" t="s">
        <v>24971</v>
      </c>
    </row>
    <row r="8054" spans="1:4">
      <c r="A8054">
        <v>34620</v>
      </c>
      <c r="B8054" t="s">
        <v>8571</v>
      </c>
      <c r="C8054" t="s">
        <v>429</v>
      </c>
      <c r="D8054" t="s">
        <v>24972</v>
      </c>
    </row>
    <row r="8055" spans="1:4">
      <c r="A8055">
        <v>34621</v>
      </c>
      <c r="B8055" t="s">
        <v>8572</v>
      </c>
      <c r="C8055" t="s">
        <v>429</v>
      </c>
      <c r="D8055" t="s">
        <v>15432</v>
      </c>
    </row>
    <row r="8056" spans="1:4">
      <c r="A8056">
        <v>34622</v>
      </c>
      <c r="B8056" t="s">
        <v>8573</v>
      </c>
      <c r="C8056" t="s">
        <v>429</v>
      </c>
      <c r="D8056" t="s">
        <v>24973</v>
      </c>
    </row>
    <row r="8057" spans="1:4">
      <c r="A8057">
        <v>34624</v>
      </c>
      <c r="B8057" t="s">
        <v>8574</v>
      </c>
      <c r="C8057" t="s">
        <v>429</v>
      </c>
      <c r="D8057" t="s">
        <v>16929</v>
      </c>
    </row>
    <row r="8058" spans="1:4">
      <c r="A8058">
        <v>34626</v>
      </c>
      <c r="B8058" t="s">
        <v>8575</v>
      </c>
      <c r="C8058" t="s">
        <v>429</v>
      </c>
      <c r="D8058" t="s">
        <v>14774</v>
      </c>
    </row>
    <row r="8059" spans="1:4">
      <c r="A8059">
        <v>34627</v>
      </c>
      <c r="B8059" t="s">
        <v>8576</v>
      </c>
      <c r="C8059" t="s">
        <v>429</v>
      </c>
      <c r="D8059" t="s">
        <v>19588</v>
      </c>
    </row>
    <row r="8060" spans="1:4">
      <c r="A8060">
        <v>34629</v>
      </c>
      <c r="B8060" t="s">
        <v>8577</v>
      </c>
      <c r="C8060" t="s">
        <v>429</v>
      </c>
      <c r="D8060" t="s">
        <v>24016</v>
      </c>
    </row>
    <row r="8061" spans="1:4">
      <c r="A8061">
        <v>39257</v>
      </c>
      <c r="B8061" t="s">
        <v>8578</v>
      </c>
      <c r="C8061" t="s">
        <v>429</v>
      </c>
      <c r="D8061" t="s">
        <v>24840</v>
      </c>
    </row>
    <row r="8062" spans="1:4">
      <c r="A8062">
        <v>39261</v>
      </c>
      <c r="B8062" t="s">
        <v>8579</v>
      </c>
      <c r="C8062" t="s">
        <v>429</v>
      </c>
      <c r="D8062" t="s">
        <v>24974</v>
      </c>
    </row>
    <row r="8063" spans="1:4">
      <c r="A8063">
        <v>39268</v>
      </c>
      <c r="B8063" t="s">
        <v>8580</v>
      </c>
      <c r="C8063" t="s">
        <v>429</v>
      </c>
      <c r="D8063" t="s">
        <v>24975</v>
      </c>
    </row>
    <row r="8064" spans="1:4">
      <c r="A8064">
        <v>39262</v>
      </c>
      <c r="B8064" t="s">
        <v>8581</v>
      </c>
      <c r="C8064" t="s">
        <v>429</v>
      </c>
      <c r="D8064" t="s">
        <v>24976</v>
      </c>
    </row>
    <row r="8065" spans="1:4">
      <c r="A8065">
        <v>39258</v>
      </c>
      <c r="B8065" t="s">
        <v>8582</v>
      </c>
      <c r="C8065" t="s">
        <v>429</v>
      </c>
      <c r="D8065" t="s">
        <v>22070</v>
      </c>
    </row>
    <row r="8066" spans="1:4">
      <c r="A8066">
        <v>39263</v>
      </c>
      <c r="B8066" t="s">
        <v>8583</v>
      </c>
      <c r="C8066" t="s">
        <v>429</v>
      </c>
      <c r="D8066" t="s">
        <v>24977</v>
      </c>
    </row>
    <row r="8067" spans="1:4">
      <c r="A8067">
        <v>39264</v>
      </c>
      <c r="B8067" t="s">
        <v>8584</v>
      </c>
      <c r="C8067" t="s">
        <v>429</v>
      </c>
      <c r="D8067" t="s">
        <v>23750</v>
      </c>
    </row>
    <row r="8068" spans="1:4">
      <c r="A8068">
        <v>39259</v>
      </c>
      <c r="B8068" t="s">
        <v>8585</v>
      </c>
      <c r="C8068" t="s">
        <v>429</v>
      </c>
      <c r="D8068" t="s">
        <v>19635</v>
      </c>
    </row>
    <row r="8069" spans="1:4">
      <c r="A8069">
        <v>39265</v>
      </c>
      <c r="B8069" t="s">
        <v>8586</v>
      </c>
      <c r="C8069" t="s">
        <v>429</v>
      </c>
      <c r="D8069" t="s">
        <v>21093</v>
      </c>
    </row>
    <row r="8070" spans="1:4">
      <c r="A8070">
        <v>39260</v>
      </c>
      <c r="B8070" t="s">
        <v>8587</v>
      </c>
      <c r="C8070" t="s">
        <v>429</v>
      </c>
      <c r="D8070" t="s">
        <v>20283</v>
      </c>
    </row>
    <row r="8071" spans="1:4">
      <c r="A8071">
        <v>39266</v>
      </c>
      <c r="B8071" t="s">
        <v>8588</v>
      </c>
      <c r="C8071" t="s">
        <v>429</v>
      </c>
      <c r="D8071" t="s">
        <v>24978</v>
      </c>
    </row>
    <row r="8072" spans="1:4">
      <c r="A8072">
        <v>39267</v>
      </c>
      <c r="B8072" t="s">
        <v>8589</v>
      </c>
      <c r="C8072" t="s">
        <v>429</v>
      </c>
      <c r="D8072" t="s">
        <v>18604</v>
      </c>
    </row>
    <row r="8073" spans="1:4">
      <c r="A8073">
        <v>11901</v>
      </c>
      <c r="B8073" t="s">
        <v>8590</v>
      </c>
      <c r="C8073" t="s">
        <v>429</v>
      </c>
      <c r="D8073" t="s">
        <v>15284</v>
      </c>
    </row>
    <row r="8074" spans="1:4">
      <c r="A8074">
        <v>11902</v>
      </c>
      <c r="B8074" t="s">
        <v>8591</v>
      </c>
      <c r="C8074" t="s">
        <v>429</v>
      </c>
      <c r="D8074" t="s">
        <v>24630</v>
      </c>
    </row>
    <row r="8075" spans="1:4">
      <c r="A8075">
        <v>11903</v>
      </c>
      <c r="B8075" t="s">
        <v>8592</v>
      </c>
      <c r="C8075" t="s">
        <v>429</v>
      </c>
      <c r="D8075" t="s">
        <v>20715</v>
      </c>
    </row>
    <row r="8076" spans="1:4">
      <c r="A8076">
        <v>11904</v>
      </c>
      <c r="B8076" t="s">
        <v>8593</v>
      </c>
      <c r="C8076" t="s">
        <v>429</v>
      </c>
      <c r="D8076" t="s">
        <v>20168</v>
      </c>
    </row>
    <row r="8077" spans="1:4">
      <c r="A8077">
        <v>11905</v>
      </c>
      <c r="B8077" t="s">
        <v>8594</v>
      </c>
      <c r="C8077" t="s">
        <v>429</v>
      </c>
      <c r="D8077" t="s">
        <v>24901</v>
      </c>
    </row>
    <row r="8078" spans="1:4">
      <c r="A8078">
        <v>11906</v>
      </c>
      <c r="B8078" t="s">
        <v>8595</v>
      </c>
      <c r="C8078" t="s">
        <v>429</v>
      </c>
      <c r="D8078" t="s">
        <v>14939</v>
      </c>
    </row>
    <row r="8079" spans="1:4">
      <c r="A8079">
        <v>11919</v>
      </c>
      <c r="B8079" t="s">
        <v>8596</v>
      </c>
      <c r="C8079" t="s">
        <v>429</v>
      </c>
      <c r="D8079" t="s">
        <v>17215</v>
      </c>
    </row>
    <row r="8080" spans="1:4">
      <c r="A8080">
        <v>11920</v>
      </c>
      <c r="B8080" t="s">
        <v>8597</v>
      </c>
      <c r="C8080" t="s">
        <v>429</v>
      </c>
      <c r="D8080" t="s">
        <v>16895</v>
      </c>
    </row>
    <row r="8081" spans="1:4">
      <c r="A8081">
        <v>11924</v>
      </c>
      <c r="B8081" t="s">
        <v>8598</v>
      </c>
      <c r="C8081" t="s">
        <v>429</v>
      </c>
      <c r="D8081" t="s">
        <v>24979</v>
      </c>
    </row>
    <row r="8082" spans="1:4">
      <c r="A8082">
        <v>11921</v>
      </c>
      <c r="B8082" t="s">
        <v>8599</v>
      </c>
      <c r="C8082" t="s">
        <v>429</v>
      </c>
      <c r="D8082" t="s">
        <v>24980</v>
      </c>
    </row>
    <row r="8083" spans="1:4">
      <c r="A8083">
        <v>11922</v>
      </c>
      <c r="B8083" t="s">
        <v>8600</v>
      </c>
      <c r="C8083" t="s">
        <v>429</v>
      </c>
      <c r="D8083" t="s">
        <v>24981</v>
      </c>
    </row>
    <row r="8084" spans="1:4">
      <c r="A8084">
        <v>11923</v>
      </c>
      <c r="B8084" t="s">
        <v>8601</v>
      </c>
      <c r="C8084" t="s">
        <v>429</v>
      </c>
      <c r="D8084" t="s">
        <v>24982</v>
      </c>
    </row>
    <row r="8085" spans="1:4">
      <c r="A8085">
        <v>11916</v>
      </c>
      <c r="B8085" t="s">
        <v>8602</v>
      </c>
      <c r="C8085" t="s">
        <v>429</v>
      </c>
      <c r="D8085" t="s">
        <v>22071</v>
      </c>
    </row>
    <row r="8086" spans="1:4">
      <c r="A8086">
        <v>11914</v>
      </c>
      <c r="B8086" t="s">
        <v>8603</v>
      </c>
      <c r="C8086" t="s">
        <v>429</v>
      </c>
      <c r="D8086" t="s">
        <v>24983</v>
      </c>
    </row>
    <row r="8087" spans="1:4">
      <c r="A8087">
        <v>11917</v>
      </c>
      <c r="B8087" t="s">
        <v>8604</v>
      </c>
      <c r="C8087" t="s">
        <v>429</v>
      </c>
      <c r="D8087" t="s">
        <v>19593</v>
      </c>
    </row>
    <row r="8088" spans="1:4">
      <c r="A8088">
        <v>11918</v>
      </c>
      <c r="B8088" t="s">
        <v>8605</v>
      </c>
      <c r="C8088" t="s">
        <v>429</v>
      </c>
      <c r="D8088" t="s">
        <v>17831</v>
      </c>
    </row>
    <row r="8089" spans="1:4">
      <c r="A8089">
        <v>37734</v>
      </c>
      <c r="B8089" t="s">
        <v>8606</v>
      </c>
      <c r="C8089" t="s">
        <v>427</v>
      </c>
      <c r="D8089" t="s">
        <v>24984</v>
      </c>
    </row>
    <row r="8090" spans="1:4">
      <c r="A8090">
        <v>42251</v>
      </c>
      <c r="B8090" t="s">
        <v>8607</v>
      </c>
      <c r="C8090" t="s">
        <v>427</v>
      </c>
      <c r="D8090" t="s">
        <v>24985</v>
      </c>
    </row>
    <row r="8091" spans="1:4">
      <c r="A8091">
        <v>37733</v>
      </c>
      <c r="B8091" t="s">
        <v>8608</v>
      </c>
      <c r="C8091" t="s">
        <v>427</v>
      </c>
      <c r="D8091" t="s">
        <v>24986</v>
      </c>
    </row>
    <row r="8092" spans="1:4">
      <c r="A8092">
        <v>37735</v>
      </c>
      <c r="B8092" t="s">
        <v>8609</v>
      </c>
      <c r="C8092" t="s">
        <v>427</v>
      </c>
      <c r="D8092" t="s">
        <v>24987</v>
      </c>
    </row>
    <row r="8093" spans="1:4">
      <c r="A8093">
        <v>5090</v>
      </c>
      <c r="B8093" t="s">
        <v>8610</v>
      </c>
      <c r="C8093" t="s">
        <v>427</v>
      </c>
      <c r="D8093" t="s">
        <v>24425</v>
      </c>
    </row>
    <row r="8094" spans="1:4">
      <c r="A8094">
        <v>5085</v>
      </c>
      <c r="B8094" t="s">
        <v>8611</v>
      </c>
      <c r="C8094" t="s">
        <v>427</v>
      </c>
      <c r="D8094" t="s">
        <v>15743</v>
      </c>
    </row>
    <row r="8095" spans="1:4">
      <c r="A8095">
        <v>43603</v>
      </c>
      <c r="B8095" t="s">
        <v>8612</v>
      </c>
      <c r="C8095" t="s">
        <v>427</v>
      </c>
      <c r="D8095" t="s">
        <v>24988</v>
      </c>
    </row>
    <row r="8096" spans="1:4">
      <c r="A8096">
        <v>38374</v>
      </c>
      <c r="B8096" t="s">
        <v>8613</v>
      </c>
      <c r="C8096" t="s">
        <v>427</v>
      </c>
      <c r="D8096" t="s">
        <v>24989</v>
      </c>
    </row>
    <row r="8097" spans="1:4">
      <c r="A8097">
        <v>20209</v>
      </c>
      <c r="B8097" t="s">
        <v>8614</v>
      </c>
      <c r="C8097" t="s">
        <v>429</v>
      </c>
      <c r="D8097" t="s">
        <v>18267</v>
      </c>
    </row>
    <row r="8098" spans="1:4">
      <c r="A8098">
        <v>20212</v>
      </c>
      <c r="B8098" t="s">
        <v>8615</v>
      </c>
      <c r="C8098" t="s">
        <v>429</v>
      </c>
      <c r="D8098" t="s">
        <v>23092</v>
      </c>
    </row>
    <row r="8099" spans="1:4">
      <c r="A8099">
        <v>4433</v>
      </c>
      <c r="B8099" t="s">
        <v>8616</v>
      </c>
      <c r="C8099" t="s">
        <v>429</v>
      </c>
      <c r="D8099" t="s">
        <v>20298</v>
      </c>
    </row>
    <row r="8100" spans="1:4">
      <c r="A8100">
        <v>4430</v>
      </c>
      <c r="B8100" t="s">
        <v>8617</v>
      </c>
      <c r="C8100" t="s">
        <v>429</v>
      </c>
      <c r="D8100" t="s">
        <v>22760</v>
      </c>
    </row>
    <row r="8101" spans="1:4">
      <c r="A8101">
        <v>4400</v>
      </c>
      <c r="B8101" t="s">
        <v>8618</v>
      </c>
      <c r="C8101" t="s">
        <v>429</v>
      </c>
      <c r="D8101" t="s">
        <v>24025</v>
      </c>
    </row>
    <row r="8102" spans="1:4">
      <c r="A8102">
        <v>2729</v>
      </c>
      <c r="B8102" t="s">
        <v>8619</v>
      </c>
      <c r="C8102" t="s">
        <v>427</v>
      </c>
      <c r="D8102" t="s">
        <v>18804</v>
      </c>
    </row>
    <row r="8103" spans="1:4">
      <c r="A8103">
        <v>4513</v>
      </c>
      <c r="B8103" t="s">
        <v>8620</v>
      </c>
      <c r="C8103" t="s">
        <v>429</v>
      </c>
      <c r="D8103" t="s">
        <v>18148</v>
      </c>
    </row>
    <row r="8104" spans="1:4">
      <c r="A8104">
        <v>11871</v>
      </c>
      <c r="B8104" t="s">
        <v>8621</v>
      </c>
      <c r="C8104" t="s">
        <v>427</v>
      </c>
      <c r="D8104" t="s">
        <v>24990</v>
      </c>
    </row>
    <row r="8105" spans="1:4">
      <c r="A8105">
        <v>34636</v>
      </c>
      <c r="B8105" t="s">
        <v>8622</v>
      </c>
      <c r="C8105" t="s">
        <v>427</v>
      </c>
      <c r="D8105" t="s">
        <v>24991</v>
      </c>
    </row>
    <row r="8106" spans="1:4">
      <c r="A8106">
        <v>34639</v>
      </c>
      <c r="B8106" t="s">
        <v>8623</v>
      </c>
      <c r="C8106" t="s">
        <v>427</v>
      </c>
      <c r="D8106" t="s">
        <v>24992</v>
      </c>
    </row>
    <row r="8107" spans="1:4">
      <c r="A8107">
        <v>34640</v>
      </c>
      <c r="B8107" t="s">
        <v>8624</v>
      </c>
      <c r="C8107" t="s">
        <v>427</v>
      </c>
      <c r="D8107" t="s">
        <v>24993</v>
      </c>
    </row>
    <row r="8108" spans="1:4">
      <c r="A8108">
        <v>34637</v>
      </c>
      <c r="B8108" t="s">
        <v>8625</v>
      </c>
      <c r="C8108" t="s">
        <v>427</v>
      </c>
      <c r="D8108" t="s">
        <v>24994</v>
      </c>
    </row>
    <row r="8109" spans="1:4">
      <c r="A8109">
        <v>34638</v>
      </c>
      <c r="B8109" t="s">
        <v>8626</v>
      </c>
      <c r="C8109" t="s">
        <v>427</v>
      </c>
      <c r="D8109" t="s">
        <v>24995</v>
      </c>
    </row>
    <row r="8110" spans="1:4">
      <c r="A8110">
        <v>11868</v>
      </c>
      <c r="B8110" t="s">
        <v>8627</v>
      </c>
      <c r="C8110" t="s">
        <v>427</v>
      </c>
      <c r="D8110" t="s">
        <v>24996</v>
      </c>
    </row>
    <row r="8111" spans="1:4">
      <c r="A8111">
        <v>37106</v>
      </c>
      <c r="B8111" t="s">
        <v>8628</v>
      </c>
      <c r="C8111" t="s">
        <v>427</v>
      </c>
      <c r="D8111" t="s">
        <v>24997</v>
      </c>
    </row>
    <row r="8112" spans="1:4">
      <c r="A8112">
        <v>11869</v>
      </c>
      <c r="B8112" t="s">
        <v>8629</v>
      </c>
      <c r="C8112" t="s">
        <v>427</v>
      </c>
      <c r="D8112" t="s">
        <v>24998</v>
      </c>
    </row>
    <row r="8113" spans="1:4">
      <c r="A8113">
        <v>37104</v>
      </c>
      <c r="B8113" t="s">
        <v>8630</v>
      </c>
      <c r="C8113" t="s">
        <v>427</v>
      </c>
      <c r="D8113" t="s">
        <v>24999</v>
      </c>
    </row>
    <row r="8114" spans="1:4">
      <c r="A8114">
        <v>37105</v>
      </c>
      <c r="B8114" t="s">
        <v>8631</v>
      </c>
      <c r="C8114" t="s">
        <v>427</v>
      </c>
      <c r="D8114" t="s">
        <v>25000</v>
      </c>
    </row>
    <row r="8115" spans="1:4">
      <c r="A8115">
        <v>34641</v>
      </c>
      <c r="B8115" t="s">
        <v>8632</v>
      </c>
      <c r="C8115" t="s">
        <v>427</v>
      </c>
      <c r="D8115" t="s">
        <v>25001</v>
      </c>
    </row>
    <row r="8116" spans="1:4">
      <c r="A8116">
        <v>43434</v>
      </c>
      <c r="B8116" t="s">
        <v>8633</v>
      </c>
      <c r="C8116" t="s">
        <v>427</v>
      </c>
      <c r="D8116" t="s">
        <v>25002</v>
      </c>
    </row>
    <row r="8117" spans="1:4">
      <c r="A8117">
        <v>43435</v>
      </c>
      <c r="B8117" t="s">
        <v>8634</v>
      </c>
      <c r="C8117" t="s">
        <v>427</v>
      </c>
      <c r="D8117" t="s">
        <v>25003</v>
      </c>
    </row>
    <row r="8118" spans="1:4">
      <c r="A8118">
        <v>43436</v>
      </c>
      <c r="B8118" t="s">
        <v>8635</v>
      </c>
      <c r="C8118" t="s">
        <v>427</v>
      </c>
      <c r="D8118" t="s">
        <v>25004</v>
      </c>
    </row>
    <row r="8119" spans="1:4">
      <c r="A8119">
        <v>43437</v>
      </c>
      <c r="B8119" t="s">
        <v>8636</v>
      </c>
      <c r="C8119" t="s">
        <v>427</v>
      </c>
      <c r="D8119" t="s">
        <v>25005</v>
      </c>
    </row>
    <row r="8120" spans="1:4">
      <c r="A8120">
        <v>43438</v>
      </c>
      <c r="B8120" t="s">
        <v>8637</v>
      </c>
      <c r="C8120" t="s">
        <v>427</v>
      </c>
      <c r="D8120" t="s">
        <v>25006</v>
      </c>
    </row>
    <row r="8121" spans="1:4">
      <c r="A8121">
        <v>41627</v>
      </c>
      <c r="B8121" t="s">
        <v>8638</v>
      </c>
      <c r="C8121" t="s">
        <v>427</v>
      </c>
      <c r="D8121" t="s">
        <v>25007</v>
      </c>
    </row>
    <row r="8122" spans="1:4">
      <c r="A8122">
        <v>41628</v>
      </c>
      <c r="B8122" t="s">
        <v>8639</v>
      </c>
      <c r="C8122" t="s">
        <v>427</v>
      </c>
      <c r="D8122" t="s">
        <v>25008</v>
      </c>
    </row>
    <row r="8123" spans="1:4">
      <c r="A8123">
        <v>41629</v>
      </c>
      <c r="B8123" t="s">
        <v>8640</v>
      </c>
      <c r="C8123" t="s">
        <v>427</v>
      </c>
      <c r="D8123" t="s">
        <v>25009</v>
      </c>
    </row>
    <row r="8124" spans="1:4">
      <c r="A8124">
        <v>43429</v>
      </c>
      <c r="B8124" t="s">
        <v>8641</v>
      </c>
      <c r="C8124" t="s">
        <v>427</v>
      </c>
      <c r="D8124" t="s">
        <v>25010</v>
      </c>
    </row>
    <row r="8125" spans="1:4">
      <c r="A8125">
        <v>43430</v>
      </c>
      <c r="B8125" t="s">
        <v>8642</v>
      </c>
      <c r="C8125" t="s">
        <v>427</v>
      </c>
      <c r="D8125" t="s">
        <v>25011</v>
      </c>
    </row>
    <row r="8126" spans="1:4">
      <c r="A8126">
        <v>43431</v>
      </c>
      <c r="B8126" t="s">
        <v>8643</v>
      </c>
      <c r="C8126" t="s">
        <v>427</v>
      </c>
      <c r="D8126" t="s">
        <v>25012</v>
      </c>
    </row>
    <row r="8127" spans="1:4">
      <c r="A8127">
        <v>43432</v>
      </c>
      <c r="B8127" t="s">
        <v>8644</v>
      </c>
      <c r="C8127" t="s">
        <v>427</v>
      </c>
      <c r="D8127" t="s">
        <v>25013</v>
      </c>
    </row>
    <row r="8128" spans="1:4">
      <c r="A8128">
        <v>43433</v>
      </c>
      <c r="B8128" t="s">
        <v>8645</v>
      </c>
      <c r="C8128" t="s">
        <v>427</v>
      </c>
      <c r="D8128" t="s">
        <v>25014</v>
      </c>
    </row>
    <row r="8129" spans="1:4">
      <c r="A8129">
        <v>43094</v>
      </c>
      <c r="B8129" t="s">
        <v>8646</v>
      </c>
      <c r="C8129" t="s">
        <v>427</v>
      </c>
      <c r="D8129" t="s">
        <v>25015</v>
      </c>
    </row>
    <row r="8130" spans="1:4">
      <c r="A8130">
        <v>43093</v>
      </c>
      <c r="B8130" t="s">
        <v>8647</v>
      </c>
      <c r="C8130" t="s">
        <v>427</v>
      </c>
      <c r="D8130" t="s">
        <v>25016</v>
      </c>
    </row>
    <row r="8131" spans="1:4">
      <c r="A8131">
        <v>1030</v>
      </c>
      <c r="B8131" t="s">
        <v>8648</v>
      </c>
      <c r="C8131" t="s">
        <v>427</v>
      </c>
      <c r="D8131" t="s">
        <v>23975</v>
      </c>
    </row>
    <row r="8132" spans="1:4">
      <c r="A8132">
        <v>11694</v>
      </c>
      <c r="B8132" t="s">
        <v>8649</v>
      </c>
      <c r="C8132" t="s">
        <v>427</v>
      </c>
      <c r="D8132" t="s">
        <v>25017</v>
      </c>
    </row>
    <row r="8133" spans="1:4">
      <c r="A8133">
        <v>11881</v>
      </c>
      <c r="B8133" t="s">
        <v>8650</v>
      </c>
      <c r="C8133" t="s">
        <v>427</v>
      </c>
      <c r="D8133" t="s">
        <v>24676</v>
      </c>
    </row>
    <row r="8134" spans="1:4">
      <c r="A8134">
        <v>35277</v>
      </c>
      <c r="B8134" t="s">
        <v>8651</v>
      </c>
      <c r="C8134" t="s">
        <v>427</v>
      </c>
      <c r="D8134" t="s">
        <v>25018</v>
      </c>
    </row>
    <row r="8135" spans="1:4">
      <c r="A8135">
        <v>10521</v>
      </c>
      <c r="B8135" t="s">
        <v>8652</v>
      </c>
      <c r="C8135" t="s">
        <v>427</v>
      </c>
      <c r="D8135" t="s">
        <v>25019</v>
      </c>
    </row>
    <row r="8136" spans="1:4">
      <c r="A8136">
        <v>10885</v>
      </c>
      <c r="B8136" t="s">
        <v>8653</v>
      </c>
      <c r="C8136" t="s">
        <v>427</v>
      </c>
      <c r="D8136" t="s">
        <v>25020</v>
      </c>
    </row>
    <row r="8137" spans="1:4">
      <c r="A8137">
        <v>20962</v>
      </c>
      <c r="B8137" t="s">
        <v>8654</v>
      </c>
      <c r="C8137" t="s">
        <v>427</v>
      </c>
      <c r="D8137" t="s">
        <v>25021</v>
      </c>
    </row>
    <row r="8138" spans="1:4">
      <c r="A8138">
        <v>20963</v>
      </c>
      <c r="B8138" t="s">
        <v>8655</v>
      </c>
      <c r="C8138" t="s">
        <v>427</v>
      </c>
      <c r="D8138" t="s">
        <v>25022</v>
      </c>
    </row>
    <row r="8139" spans="1:4">
      <c r="A8139">
        <v>34643</v>
      </c>
      <c r="B8139" t="s">
        <v>8656</v>
      </c>
      <c r="C8139" t="s">
        <v>427</v>
      </c>
      <c r="D8139" t="s">
        <v>25023</v>
      </c>
    </row>
    <row r="8140" spans="1:4">
      <c r="A8140">
        <v>41480</v>
      </c>
      <c r="B8140" t="s">
        <v>8657</v>
      </c>
      <c r="C8140" t="s">
        <v>427</v>
      </c>
      <c r="D8140" t="s">
        <v>25024</v>
      </c>
    </row>
    <row r="8141" spans="1:4">
      <c r="A8141">
        <v>41474</v>
      </c>
      <c r="B8141" t="s">
        <v>8658</v>
      </c>
      <c r="C8141" t="s">
        <v>427</v>
      </c>
      <c r="D8141" t="s">
        <v>25025</v>
      </c>
    </row>
    <row r="8142" spans="1:4">
      <c r="A8142">
        <v>41475</v>
      </c>
      <c r="B8142" t="s">
        <v>8659</v>
      </c>
      <c r="C8142" t="s">
        <v>427</v>
      </c>
      <c r="D8142" t="s">
        <v>25026</v>
      </c>
    </row>
    <row r="8143" spans="1:4">
      <c r="A8143">
        <v>41476</v>
      </c>
      <c r="B8143" t="s">
        <v>8660</v>
      </c>
      <c r="C8143" t="s">
        <v>427</v>
      </c>
      <c r="D8143" t="s">
        <v>16435</v>
      </c>
    </row>
    <row r="8144" spans="1:4">
      <c r="A8144">
        <v>2555</v>
      </c>
      <c r="B8144" t="s">
        <v>8661</v>
      </c>
      <c r="C8144" t="s">
        <v>427</v>
      </c>
      <c r="D8144" t="s">
        <v>15303</v>
      </c>
    </row>
    <row r="8145" spans="1:4">
      <c r="A8145">
        <v>2556</v>
      </c>
      <c r="B8145" t="s">
        <v>8662</v>
      </c>
      <c r="C8145" t="s">
        <v>427</v>
      </c>
      <c r="D8145" t="s">
        <v>25027</v>
      </c>
    </row>
    <row r="8146" spans="1:4">
      <c r="A8146">
        <v>2557</v>
      </c>
      <c r="B8146" t="s">
        <v>8663</v>
      </c>
      <c r="C8146" t="s">
        <v>427</v>
      </c>
      <c r="D8146" t="s">
        <v>24352</v>
      </c>
    </row>
    <row r="8147" spans="1:4">
      <c r="A8147">
        <v>10569</v>
      </c>
      <c r="B8147" t="s">
        <v>8664</v>
      </c>
      <c r="C8147" t="s">
        <v>427</v>
      </c>
      <c r="D8147" t="s">
        <v>24352</v>
      </c>
    </row>
    <row r="8148" spans="1:4">
      <c r="A8148">
        <v>39810</v>
      </c>
      <c r="B8148" t="s">
        <v>8665</v>
      </c>
      <c r="C8148" t="s">
        <v>427</v>
      </c>
      <c r="D8148" t="s">
        <v>25028</v>
      </c>
    </row>
    <row r="8149" spans="1:4">
      <c r="A8149">
        <v>39811</v>
      </c>
      <c r="B8149" t="s">
        <v>8666</v>
      </c>
      <c r="C8149" t="s">
        <v>427</v>
      </c>
      <c r="D8149" t="s">
        <v>25029</v>
      </c>
    </row>
    <row r="8150" spans="1:4">
      <c r="A8150">
        <v>39812</v>
      </c>
      <c r="B8150" t="s">
        <v>8667</v>
      </c>
      <c r="C8150" t="s">
        <v>427</v>
      </c>
      <c r="D8150" t="s">
        <v>25030</v>
      </c>
    </row>
    <row r="8151" spans="1:4">
      <c r="A8151">
        <v>43096</v>
      </c>
      <c r="B8151" t="s">
        <v>8668</v>
      </c>
      <c r="C8151" t="s">
        <v>427</v>
      </c>
      <c r="D8151" t="s">
        <v>25031</v>
      </c>
    </row>
    <row r="8152" spans="1:4">
      <c r="A8152">
        <v>43102</v>
      </c>
      <c r="B8152" t="s">
        <v>8669</v>
      </c>
      <c r="C8152" t="s">
        <v>427</v>
      </c>
      <c r="D8152" t="s">
        <v>25032</v>
      </c>
    </row>
    <row r="8153" spans="1:4">
      <c r="A8153">
        <v>43103</v>
      </c>
      <c r="B8153" t="s">
        <v>8670</v>
      </c>
      <c r="C8153" t="s">
        <v>427</v>
      </c>
      <c r="D8153" t="s">
        <v>17077</v>
      </c>
    </row>
    <row r="8154" spans="1:4">
      <c r="A8154">
        <v>43098</v>
      </c>
      <c r="B8154" t="s">
        <v>8671</v>
      </c>
      <c r="C8154" t="s">
        <v>427</v>
      </c>
      <c r="D8154" t="s">
        <v>25033</v>
      </c>
    </row>
    <row r="8155" spans="1:4">
      <c r="A8155">
        <v>43097</v>
      </c>
      <c r="B8155" t="s">
        <v>8672</v>
      </c>
      <c r="C8155" t="s">
        <v>427</v>
      </c>
      <c r="D8155" t="s">
        <v>25034</v>
      </c>
    </row>
    <row r="8156" spans="1:4">
      <c r="A8156">
        <v>43104</v>
      </c>
      <c r="B8156" t="s">
        <v>8673</v>
      </c>
      <c r="C8156" t="s">
        <v>427</v>
      </c>
      <c r="D8156" t="s">
        <v>25035</v>
      </c>
    </row>
    <row r="8157" spans="1:4">
      <c r="A8157">
        <v>39771</v>
      </c>
      <c r="B8157" t="s">
        <v>8674</v>
      </c>
      <c r="C8157" t="s">
        <v>427</v>
      </c>
      <c r="D8157" t="s">
        <v>19674</v>
      </c>
    </row>
    <row r="8158" spans="1:4">
      <c r="A8158">
        <v>39772</v>
      </c>
      <c r="B8158" t="s">
        <v>8675</v>
      </c>
      <c r="C8158" t="s">
        <v>427</v>
      </c>
      <c r="D8158" t="s">
        <v>25036</v>
      </c>
    </row>
    <row r="8159" spans="1:4">
      <c r="A8159">
        <v>39773</v>
      </c>
      <c r="B8159" t="s">
        <v>8676</v>
      </c>
      <c r="C8159" t="s">
        <v>427</v>
      </c>
      <c r="D8159" t="s">
        <v>25037</v>
      </c>
    </row>
    <row r="8160" spans="1:4">
      <c r="A8160">
        <v>39774</v>
      </c>
      <c r="B8160" t="s">
        <v>8677</v>
      </c>
      <c r="C8160" t="s">
        <v>427</v>
      </c>
      <c r="D8160" t="s">
        <v>25038</v>
      </c>
    </row>
    <row r="8161" spans="1:4">
      <c r="A8161">
        <v>39775</v>
      </c>
      <c r="B8161" t="s">
        <v>8678</v>
      </c>
      <c r="C8161" t="s">
        <v>427</v>
      </c>
      <c r="D8161" t="s">
        <v>25039</v>
      </c>
    </row>
    <row r="8162" spans="1:4">
      <c r="A8162">
        <v>39776</v>
      </c>
      <c r="B8162" t="s">
        <v>8679</v>
      </c>
      <c r="C8162" t="s">
        <v>427</v>
      </c>
      <c r="D8162" t="s">
        <v>25040</v>
      </c>
    </row>
    <row r="8163" spans="1:4">
      <c r="A8163">
        <v>39777</v>
      </c>
      <c r="B8163" t="s">
        <v>8680</v>
      </c>
      <c r="C8163" t="s">
        <v>427</v>
      </c>
      <c r="D8163" t="s">
        <v>25041</v>
      </c>
    </row>
    <row r="8164" spans="1:4">
      <c r="A8164">
        <v>20254</v>
      </c>
      <c r="B8164" t="s">
        <v>8681</v>
      </c>
      <c r="C8164" t="s">
        <v>427</v>
      </c>
      <c r="D8164" t="s">
        <v>18541</v>
      </c>
    </row>
    <row r="8165" spans="1:4">
      <c r="A8165">
        <v>20253</v>
      </c>
      <c r="B8165" t="s">
        <v>8682</v>
      </c>
      <c r="C8165" t="s">
        <v>427</v>
      </c>
      <c r="D8165" t="s">
        <v>19443</v>
      </c>
    </row>
    <row r="8166" spans="1:4">
      <c r="A8166">
        <v>11247</v>
      </c>
      <c r="B8166" t="s">
        <v>8683</v>
      </c>
      <c r="C8166" t="s">
        <v>427</v>
      </c>
      <c r="D8166" t="s">
        <v>25042</v>
      </c>
    </row>
    <row r="8167" spans="1:4">
      <c r="A8167">
        <v>11250</v>
      </c>
      <c r="B8167" t="s">
        <v>8684</v>
      </c>
      <c r="C8167" t="s">
        <v>427</v>
      </c>
      <c r="D8167" t="s">
        <v>25043</v>
      </c>
    </row>
    <row r="8168" spans="1:4">
      <c r="A8168">
        <v>11249</v>
      </c>
      <c r="B8168" t="s">
        <v>8685</v>
      </c>
      <c r="C8168" t="s">
        <v>427</v>
      </c>
      <c r="D8168" t="s">
        <v>25044</v>
      </c>
    </row>
    <row r="8169" spans="1:4">
      <c r="A8169">
        <v>11251</v>
      </c>
      <c r="B8169" t="s">
        <v>8686</v>
      </c>
      <c r="C8169" t="s">
        <v>427</v>
      </c>
      <c r="D8169" t="s">
        <v>25045</v>
      </c>
    </row>
    <row r="8170" spans="1:4">
      <c r="A8170">
        <v>11253</v>
      </c>
      <c r="B8170" t="s">
        <v>8687</v>
      </c>
      <c r="C8170" t="s">
        <v>427</v>
      </c>
      <c r="D8170" t="s">
        <v>25046</v>
      </c>
    </row>
    <row r="8171" spans="1:4">
      <c r="A8171">
        <v>11255</v>
      </c>
      <c r="B8171" t="s">
        <v>8688</v>
      </c>
      <c r="C8171" t="s">
        <v>427</v>
      </c>
      <c r="D8171" t="s">
        <v>25047</v>
      </c>
    </row>
    <row r="8172" spans="1:4">
      <c r="A8172">
        <v>14055</v>
      </c>
      <c r="B8172" t="s">
        <v>8689</v>
      </c>
      <c r="C8172" t="s">
        <v>427</v>
      </c>
      <c r="D8172" t="s">
        <v>25048</v>
      </c>
    </row>
    <row r="8173" spans="1:4">
      <c r="A8173">
        <v>11256</v>
      </c>
      <c r="B8173" t="s">
        <v>8690</v>
      </c>
      <c r="C8173" t="s">
        <v>427</v>
      </c>
      <c r="D8173" t="s">
        <v>25049</v>
      </c>
    </row>
    <row r="8174" spans="1:4">
      <c r="A8174">
        <v>1872</v>
      </c>
      <c r="B8174" t="s">
        <v>8691</v>
      </c>
      <c r="C8174" t="s">
        <v>427</v>
      </c>
      <c r="D8174" t="s">
        <v>14841</v>
      </c>
    </row>
    <row r="8175" spans="1:4">
      <c r="A8175">
        <v>1873</v>
      </c>
      <c r="B8175" t="s">
        <v>8692</v>
      </c>
      <c r="C8175" t="s">
        <v>427</v>
      </c>
      <c r="D8175" t="s">
        <v>15537</v>
      </c>
    </row>
    <row r="8176" spans="1:4">
      <c r="A8176">
        <v>39693</v>
      </c>
      <c r="B8176" t="s">
        <v>8693</v>
      </c>
      <c r="C8176" t="s">
        <v>427</v>
      </c>
      <c r="D8176" t="s">
        <v>25050</v>
      </c>
    </row>
    <row r="8177" spans="1:4">
      <c r="A8177">
        <v>39692</v>
      </c>
      <c r="B8177" t="s">
        <v>8694</v>
      </c>
      <c r="C8177" t="s">
        <v>427</v>
      </c>
      <c r="D8177" t="s">
        <v>25051</v>
      </c>
    </row>
    <row r="8178" spans="1:4">
      <c r="A8178">
        <v>1062</v>
      </c>
      <c r="B8178" t="s">
        <v>8695</v>
      </c>
      <c r="C8178" t="s">
        <v>427</v>
      </c>
      <c r="D8178" t="s">
        <v>25052</v>
      </c>
    </row>
    <row r="8179" spans="1:4">
      <c r="A8179">
        <v>39686</v>
      </c>
      <c r="B8179" t="s">
        <v>8696</v>
      </c>
      <c r="C8179" t="s">
        <v>427</v>
      </c>
      <c r="D8179" t="s">
        <v>25053</v>
      </c>
    </row>
    <row r="8180" spans="1:4">
      <c r="A8180">
        <v>43095</v>
      </c>
      <c r="B8180" t="s">
        <v>8697</v>
      </c>
      <c r="C8180" t="s">
        <v>427</v>
      </c>
      <c r="D8180" t="s">
        <v>25054</v>
      </c>
    </row>
    <row r="8181" spans="1:4">
      <c r="A8181">
        <v>1871</v>
      </c>
      <c r="B8181" t="s">
        <v>8698</v>
      </c>
      <c r="C8181" t="s">
        <v>427</v>
      </c>
      <c r="D8181" t="s">
        <v>14754</v>
      </c>
    </row>
    <row r="8182" spans="1:4">
      <c r="A8182">
        <v>12001</v>
      </c>
      <c r="B8182" t="s">
        <v>8699</v>
      </c>
      <c r="C8182" t="s">
        <v>427</v>
      </c>
      <c r="D8182" t="s">
        <v>23556</v>
      </c>
    </row>
    <row r="8183" spans="1:4">
      <c r="A8183">
        <v>11882</v>
      </c>
      <c r="B8183" t="s">
        <v>8700</v>
      </c>
      <c r="C8183" t="s">
        <v>427</v>
      </c>
      <c r="D8183" t="s">
        <v>25055</v>
      </c>
    </row>
    <row r="8184" spans="1:4">
      <c r="A8184">
        <v>1068</v>
      </c>
      <c r="B8184" t="s">
        <v>8701</v>
      </c>
      <c r="C8184" t="s">
        <v>427</v>
      </c>
      <c r="D8184" t="s">
        <v>25056</v>
      </c>
    </row>
    <row r="8185" spans="1:4">
      <c r="A8185">
        <v>39690</v>
      </c>
      <c r="B8185" t="s">
        <v>8702</v>
      </c>
      <c r="C8185" t="s">
        <v>427</v>
      </c>
      <c r="D8185" t="s">
        <v>25057</v>
      </c>
    </row>
    <row r="8186" spans="1:4">
      <c r="A8186">
        <v>39691</v>
      </c>
      <c r="B8186" t="s">
        <v>8703</v>
      </c>
      <c r="C8186" t="s">
        <v>427</v>
      </c>
      <c r="D8186" t="s">
        <v>25058</v>
      </c>
    </row>
    <row r="8187" spans="1:4">
      <c r="A8187">
        <v>39808</v>
      </c>
      <c r="B8187" t="s">
        <v>8704</v>
      </c>
      <c r="C8187" t="s">
        <v>427</v>
      </c>
      <c r="D8187" t="s">
        <v>17806</v>
      </c>
    </row>
    <row r="8188" spans="1:4">
      <c r="A8188">
        <v>39809</v>
      </c>
      <c r="B8188" t="s">
        <v>8705</v>
      </c>
      <c r="C8188" t="s">
        <v>427</v>
      </c>
      <c r="D8188" t="s">
        <v>25059</v>
      </c>
    </row>
    <row r="8189" spans="1:4">
      <c r="A8189">
        <v>43439</v>
      </c>
      <c r="B8189" t="s">
        <v>8706</v>
      </c>
      <c r="C8189" t="s">
        <v>427</v>
      </c>
      <c r="D8189" t="s">
        <v>25060</v>
      </c>
    </row>
    <row r="8190" spans="1:4">
      <c r="A8190">
        <v>5103</v>
      </c>
      <c r="B8190" t="s">
        <v>8707</v>
      </c>
      <c r="C8190" t="s">
        <v>427</v>
      </c>
      <c r="D8190" t="s">
        <v>21666</v>
      </c>
    </row>
    <row r="8191" spans="1:4">
      <c r="A8191">
        <v>11880</v>
      </c>
      <c r="B8191" t="s">
        <v>8708</v>
      </c>
      <c r="C8191" t="s">
        <v>427</v>
      </c>
      <c r="D8191" t="s">
        <v>25061</v>
      </c>
    </row>
    <row r="8192" spans="1:4">
      <c r="A8192">
        <v>11714</v>
      </c>
      <c r="B8192" t="s">
        <v>8709</v>
      </c>
      <c r="C8192" t="s">
        <v>427</v>
      </c>
      <c r="D8192" t="s">
        <v>24047</v>
      </c>
    </row>
    <row r="8193" spans="1:4">
      <c r="A8193">
        <v>11712</v>
      </c>
      <c r="B8193" t="s">
        <v>8710</v>
      </c>
      <c r="C8193" t="s">
        <v>427</v>
      </c>
      <c r="D8193" t="s">
        <v>25062</v>
      </c>
    </row>
    <row r="8194" spans="1:4">
      <c r="A8194">
        <v>11717</v>
      </c>
      <c r="B8194" t="s">
        <v>8711</v>
      </c>
      <c r="C8194" t="s">
        <v>427</v>
      </c>
      <c r="D8194" t="s">
        <v>17577</v>
      </c>
    </row>
    <row r="8195" spans="1:4">
      <c r="A8195">
        <v>1106</v>
      </c>
      <c r="B8195" t="s">
        <v>8712</v>
      </c>
      <c r="C8195" t="s">
        <v>430</v>
      </c>
      <c r="D8195" t="s">
        <v>15479</v>
      </c>
    </row>
    <row r="8196" spans="1:4">
      <c r="A8196">
        <v>11161</v>
      </c>
      <c r="B8196" t="s">
        <v>8713</v>
      </c>
      <c r="C8196" t="s">
        <v>430</v>
      </c>
      <c r="D8196" t="s">
        <v>15781</v>
      </c>
    </row>
    <row r="8197" spans="1:4">
      <c r="A8197">
        <v>1107</v>
      </c>
      <c r="B8197" t="s">
        <v>8714</v>
      </c>
      <c r="C8197" t="s">
        <v>430</v>
      </c>
      <c r="D8197" t="s">
        <v>24453</v>
      </c>
    </row>
    <row r="8198" spans="1:4">
      <c r="A8198">
        <v>44479</v>
      </c>
      <c r="B8198" t="s">
        <v>8715</v>
      </c>
      <c r="C8198" t="s">
        <v>430</v>
      </c>
      <c r="D8198" t="s">
        <v>15765</v>
      </c>
    </row>
    <row r="8199" spans="1:4">
      <c r="A8199">
        <v>41068</v>
      </c>
      <c r="B8199" t="s">
        <v>8716</v>
      </c>
      <c r="C8199" t="s">
        <v>433</v>
      </c>
      <c r="D8199" t="s">
        <v>25063</v>
      </c>
    </row>
    <row r="8200" spans="1:4">
      <c r="A8200">
        <v>4759</v>
      </c>
      <c r="B8200" t="s">
        <v>13436</v>
      </c>
      <c r="C8200" t="s">
        <v>432</v>
      </c>
      <c r="D8200" t="s">
        <v>15600</v>
      </c>
    </row>
    <row r="8201" spans="1:4">
      <c r="A8201">
        <v>1108</v>
      </c>
      <c r="B8201" t="s">
        <v>8717</v>
      </c>
      <c r="C8201" t="s">
        <v>429</v>
      </c>
      <c r="D8201" t="s">
        <v>20111</v>
      </c>
    </row>
    <row r="8202" spans="1:4">
      <c r="A8202">
        <v>1117</v>
      </c>
      <c r="B8202" t="s">
        <v>8718</v>
      </c>
      <c r="C8202" t="s">
        <v>429</v>
      </c>
      <c r="D8202" t="s">
        <v>25064</v>
      </c>
    </row>
    <row r="8203" spans="1:4">
      <c r="A8203">
        <v>1118</v>
      </c>
      <c r="B8203" t="s">
        <v>8719</v>
      </c>
      <c r="C8203" t="s">
        <v>429</v>
      </c>
      <c r="D8203" t="s">
        <v>25065</v>
      </c>
    </row>
    <row r="8204" spans="1:4">
      <c r="A8204">
        <v>1110</v>
      </c>
      <c r="B8204" t="s">
        <v>8720</v>
      </c>
      <c r="C8204" t="s">
        <v>429</v>
      </c>
      <c r="D8204" t="s">
        <v>25065</v>
      </c>
    </row>
    <row r="8205" spans="1:4">
      <c r="A8205">
        <v>12618</v>
      </c>
      <c r="B8205" t="s">
        <v>8721</v>
      </c>
      <c r="C8205" t="s">
        <v>427</v>
      </c>
      <c r="D8205" t="s">
        <v>25066</v>
      </c>
    </row>
    <row r="8206" spans="1:4">
      <c r="A8206">
        <v>40784</v>
      </c>
      <c r="B8206" t="s">
        <v>8722</v>
      </c>
      <c r="C8206" t="s">
        <v>429</v>
      </c>
      <c r="D8206" t="s">
        <v>25067</v>
      </c>
    </row>
    <row r="8207" spans="1:4">
      <c r="A8207">
        <v>40782</v>
      </c>
      <c r="B8207" t="s">
        <v>8723</v>
      </c>
      <c r="C8207" t="s">
        <v>429</v>
      </c>
      <c r="D8207" t="s">
        <v>25068</v>
      </c>
    </row>
    <row r="8208" spans="1:4">
      <c r="A8208">
        <v>40783</v>
      </c>
      <c r="B8208" t="s">
        <v>8724</v>
      </c>
      <c r="C8208" t="s">
        <v>429</v>
      </c>
      <c r="D8208" t="s">
        <v>25069</v>
      </c>
    </row>
    <row r="8209" spans="1:4">
      <c r="A8209">
        <v>1109</v>
      </c>
      <c r="B8209" t="s">
        <v>8725</v>
      </c>
      <c r="C8209" t="s">
        <v>429</v>
      </c>
      <c r="D8209" t="s">
        <v>20111</v>
      </c>
    </row>
    <row r="8210" spans="1:4">
      <c r="A8210">
        <v>1119</v>
      </c>
      <c r="B8210" t="s">
        <v>8726</v>
      </c>
      <c r="C8210" t="s">
        <v>429</v>
      </c>
      <c r="D8210" t="s">
        <v>15785</v>
      </c>
    </row>
    <row r="8211" spans="1:4">
      <c r="A8211">
        <v>13115</v>
      </c>
      <c r="B8211" t="s">
        <v>8727</v>
      </c>
      <c r="C8211" t="s">
        <v>429</v>
      </c>
      <c r="D8211" t="s">
        <v>19625</v>
      </c>
    </row>
    <row r="8212" spans="1:4">
      <c r="A8212">
        <v>10541</v>
      </c>
      <c r="B8212" t="s">
        <v>8728</v>
      </c>
      <c r="C8212" t="s">
        <v>429</v>
      </c>
      <c r="D8212" t="s">
        <v>23868</v>
      </c>
    </row>
    <row r="8213" spans="1:4">
      <c r="A8213">
        <v>10542</v>
      </c>
      <c r="B8213" t="s">
        <v>8729</v>
      </c>
      <c r="C8213" t="s">
        <v>429</v>
      </c>
      <c r="D8213" t="s">
        <v>24980</v>
      </c>
    </row>
    <row r="8214" spans="1:4">
      <c r="A8214">
        <v>10543</v>
      </c>
      <c r="B8214" t="s">
        <v>8730</v>
      </c>
      <c r="C8214" t="s">
        <v>429</v>
      </c>
      <c r="D8214" t="s">
        <v>17408</v>
      </c>
    </row>
    <row r="8215" spans="1:4">
      <c r="A8215">
        <v>10544</v>
      </c>
      <c r="B8215" t="s">
        <v>8731</v>
      </c>
      <c r="C8215" t="s">
        <v>429</v>
      </c>
      <c r="D8215" t="s">
        <v>18210</v>
      </c>
    </row>
    <row r="8216" spans="1:4">
      <c r="A8216">
        <v>10545</v>
      </c>
      <c r="B8216" t="s">
        <v>8732</v>
      </c>
      <c r="C8216" t="s">
        <v>429</v>
      </c>
      <c r="D8216" t="s">
        <v>25070</v>
      </c>
    </row>
    <row r="8217" spans="1:4">
      <c r="A8217">
        <v>38365</v>
      </c>
      <c r="B8217" t="s">
        <v>8733</v>
      </c>
      <c r="C8217" t="s">
        <v>426</v>
      </c>
      <c r="D8217" t="s">
        <v>15661</v>
      </c>
    </row>
    <row r="8218" spans="1:4">
      <c r="A8218">
        <v>37745</v>
      </c>
      <c r="B8218" t="s">
        <v>8734</v>
      </c>
      <c r="C8218" t="s">
        <v>427</v>
      </c>
      <c r="D8218" t="s">
        <v>25071</v>
      </c>
    </row>
    <row r="8219" spans="1:4">
      <c r="A8219">
        <v>37754</v>
      </c>
      <c r="B8219" t="s">
        <v>8735</v>
      </c>
      <c r="C8219" t="s">
        <v>427</v>
      </c>
      <c r="D8219" t="s">
        <v>25072</v>
      </c>
    </row>
    <row r="8220" spans="1:4">
      <c r="A8220">
        <v>37761</v>
      </c>
      <c r="B8220" t="s">
        <v>8736</v>
      </c>
      <c r="C8220" t="s">
        <v>427</v>
      </c>
      <c r="D8220" t="s">
        <v>25073</v>
      </c>
    </row>
    <row r="8221" spans="1:4">
      <c r="A8221">
        <v>37757</v>
      </c>
      <c r="B8221" t="s">
        <v>8737</v>
      </c>
      <c r="C8221" t="s">
        <v>427</v>
      </c>
      <c r="D8221" t="s">
        <v>25074</v>
      </c>
    </row>
    <row r="8222" spans="1:4">
      <c r="A8222">
        <v>37759</v>
      </c>
      <c r="B8222" t="s">
        <v>8738</v>
      </c>
      <c r="C8222" t="s">
        <v>427</v>
      </c>
      <c r="D8222" t="s">
        <v>25075</v>
      </c>
    </row>
    <row r="8223" spans="1:4">
      <c r="A8223">
        <v>37766</v>
      </c>
      <c r="B8223" t="s">
        <v>8739</v>
      </c>
      <c r="C8223" t="s">
        <v>427</v>
      </c>
      <c r="D8223" t="s">
        <v>25076</v>
      </c>
    </row>
    <row r="8224" spans="1:4">
      <c r="A8224">
        <v>37752</v>
      </c>
      <c r="B8224" t="s">
        <v>8740</v>
      </c>
      <c r="C8224" t="s">
        <v>427</v>
      </c>
      <c r="D8224" t="s">
        <v>25077</v>
      </c>
    </row>
    <row r="8225" spans="1:4">
      <c r="A8225">
        <v>37760</v>
      </c>
      <c r="B8225" t="s">
        <v>8741</v>
      </c>
      <c r="C8225" t="s">
        <v>427</v>
      </c>
      <c r="D8225" t="s">
        <v>25078</v>
      </c>
    </row>
    <row r="8226" spans="1:4">
      <c r="A8226">
        <v>37765</v>
      </c>
      <c r="B8226" t="s">
        <v>8742</v>
      </c>
      <c r="C8226" t="s">
        <v>427</v>
      </c>
      <c r="D8226" t="s">
        <v>25079</v>
      </c>
    </row>
    <row r="8227" spans="1:4">
      <c r="A8227">
        <v>37746</v>
      </c>
      <c r="B8227" t="s">
        <v>8743</v>
      </c>
      <c r="C8227" t="s">
        <v>427</v>
      </c>
      <c r="D8227" t="s">
        <v>25080</v>
      </c>
    </row>
    <row r="8228" spans="1:4">
      <c r="A8228">
        <v>37750</v>
      </c>
      <c r="B8228" t="s">
        <v>8744</v>
      </c>
      <c r="C8228" t="s">
        <v>427</v>
      </c>
      <c r="D8228" t="s">
        <v>25081</v>
      </c>
    </row>
    <row r="8229" spans="1:4">
      <c r="A8229">
        <v>37756</v>
      </c>
      <c r="B8229" t="s">
        <v>8745</v>
      </c>
      <c r="C8229" t="s">
        <v>427</v>
      </c>
      <c r="D8229" t="s">
        <v>25073</v>
      </c>
    </row>
    <row r="8230" spans="1:4">
      <c r="A8230">
        <v>37755</v>
      </c>
      <c r="B8230" t="s">
        <v>8746</v>
      </c>
      <c r="C8230" t="s">
        <v>427</v>
      </c>
      <c r="D8230" t="s">
        <v>25082</v>
      </c>
    </row>
    <row r="8231" spans="1:4">
      <c r="A8231">
        <v>37758</v>
      </c>
      <c r="B8231" t="s">
        <v>8747</v>
      </c>
      <c r="C8231" t="s">
        <v>427</v>
      </c>
      <c r="D8231" t="s">
        <v>25083</v>
      </c>
    </row>
    <row r="8232" spans="1:4">
      <c r="A8232">
        <v>37747</v>
      </c>
      <c r="B8232" t="s">
        <v>8748</v>
      </c>
      <c r="C8232" t="s">
        <v>427</v>
      </c>
      <c r="D8232" t="s">
        <v>25084</v>
      </c>
    </row>
    <row r="8233" spans="1:4">
      <c r="A8233">
        <v>37767</v>
      </c>
      <c r="B8233" t="s">
        <v>8749</v>
      </c>
      <c r="C8233" t="s">
        <v>427</v>
      </c>
      <c r="D8233" t="s">
        <v>25085</v>
      </c>
    </row>
    <row r="8234" spans="1:4">
      <c r="A8234">
        <v>37751</v>
      </c>
      <c r="B8234" t="s">
        <v>8750</v>
      </c>
      <c r="C8234" t="s">
        <v>427</v>
      </c>
      <c r="D8234" t="s">
        <v>25085</v>
      </c>
    </row>
    <row r="8235" spans="1:4">
      <c r="A8235">
        <v>37749</v>
      </c>
      <c r="B8235" t="s">
        <v>8751</v>
      </c>
      <c r="C8235" t="s">
        <v>427</v>
      </c>
      <c r="D8235" t="s">
        <v>25086</v>
      </c>
    </row>
    <row r="8236" spans="1:4">
      <c r="A8236">
        <v>1159</v>
      </c>
      <c r="B8236" t="s">
        <v>8752</v>
      </c>
      <c r="C8236" t="s">
        <v>427</v>
      </c>
      <c r="D8236" t="s">
        <v>25087</v>
      </c>
    </row>
    <row r="8237" spans="1:4">
      <c r="A8237">
        <v>12114</v>
      </c>
      <c r="B8237" t="s">
        <v>8753</v>
      </c>
      <c r="C8237" t="s">
        <v>427</v>
      </c>
      <c r="D8237" t="s">
        <v>25088</v>
      </c>
    </row>
    <row r="8238" spans="1:4">
      <c r="A8238">
        <v>38106</v>
      </c>
      <c r="B8238" t="s">
        <v>8754</v>
      </c>
      <c r="C8238" t="s">
        <v>427</v>
      </c>
      <c r="D8238" t="s">
        <v>25089</v>
      </c>
    </row>
    <row r="8239" spans="1:4">
      <c r="A8239">
        <v>38085</v>
      </c>
      <c r="B8239" t="s">
        <v>8755</v>
      </c>
      <c r="C8239" t="s">
        <v>427</v>
      </c>
      <c r="D8239" t="s">
        <v>23893</v>
      </c>
    </row>
    <row r="8240" spans="1:4">
      <c r="A8240">
        <v>38599</v>
      </c>
      <c r="B8240" t="s">
        <v>8756</v>
      </c>
      <c r="C8240" t="s">
        <v>427</v>
      </c>
      <c r="D8240" t="s">
        <v>15418</v>
      </c>
    </row>
    <row r="8241" spans="1:4">
      <c r="A8241">
        <v>38596</v>
      </c>
      <c r="B8241" t="s">
        <v>8757</v>
      </c>
      <c r="C8241" t="s">
        <v>427</v>
      </c>
      <c r="D8241" t="s">
        <v>22449</v>
      </c>
    </row>
    <row r="8242" spans="1:4">
      <c r="A8242">
        <v>38600</v>
      </c>
      <c r="B8242" t="s">
        <v>8758</v>
      </c>
      <c r="C8242" t="s">
        <v>427</v>
      </c>
      <c r="D8242" t="s">
        <v>18050</v>
      </c>
    </row>
    <row r="8243" spans="1:4">
      <c r="A8243">
        <v>38597</v>
      </c>
      <c r="B8243" t="s">
        <v>8759</v>
      </c>
      <c r="C8243" t="s">
        <v>427</v>
      </c>
      <c r="D8243" t="s">
        <v>23635</v>
      </c>
    </row>
    <row r="8244" spans="1:4">
      <c r="A8244">
        <v>659</v>
      </c>
      <c r="B8244" t="s">
        <v>8760</v>
      </c>
      <c r="C8244" t="s">
        <v>427</v>
      </c>
      <c r="D8244" t="s">
        <v>23606</v>
      </c>
    </row>
    <row r="8245" spans="1:4">
      <c r="A8245">
        <v>660</v>
      </c>
      <c r="B8245" t="s">
        <v>8761</v>
      </c>
      <c r="C8245" t="s">
        <v>427</v>
      </c>
      <c r="D8245" t="s">
        <v>15652</v>
      </c>
    </row>
    <row r="8246" spans="1:4">
      <c r="A8246">
        <v>658</v>
      </c>
      <c r="B8246" t="s">
        <v>8762</v>
      </c>
      <c r="C8246" t="s">
        <v>427</v>
      </c>
      <c r="D8246" t="s">
        <v>24970</v>
      </c>
    </row>
    <row r="8247" spans="1:4">
      <c r="A8247">
        <v>38548</v>
      </c>
      <c r="B8247" t="s">
        <v>8763</v>
      </c>
      <c r="C8247" t="s">
        <v>427</v>
      </c>
      <c r="D8247" t="s">
        <v>15807</v>
      </c>
    </row>
    <row r="8248" spans="1:4">
      <c r="A8248">
        <v>34649</v>
      </c>
      <c r="B8248" t="s">
        <v>8764</v>
      </c>
      <c r="C8248" t="s">
        <v>427</v>
      </c>
      <c r="D8248" t="s">
        <v>25090</v>
      </c>
    </row>
    <row r="8249" spans="1:4">
      <c r="A8249">
        <v>34655</v>
      </c>
      <c r="B8249" t="s">
        <v>8765</v>
      </c>
      <c r="C8249" t="s">
        <v>427</v>
      </c>
      <c r="D8249" t="s">
        <v>25091</v>
      </c>
    </row>
    <row r="8250" spans="1:4">
      <c r="A8250">
        <v>40607</v>
      </c>
      <c r="B8250" t="s">
        <v>8766</v>
      </c>
      <c r="C8250" t="s">
        <v>427</v>
      </c>
      <c r="D8250" t="s">
        <v>18310</v>
      </c>
    </row>
    <row r="8251" spans="1:4">
      <c r="A8251">
        <v>567</v>
      </c>
      <c r="B8251" t="s">
        <v>8767</v>
      </c>
      <c r="C8251" t="s">
        <v>429</v>
      </c>
      <c r="D8251" t="s">
        <v>16650</v>
      </c>
    </row>
    <row r="8252" spans="1:4">
      <c r="A8252">
        <v>574</v>
      </c>
      <c r="B8252" t="s">
        <v>8768</v>
      </c>
      <c r="C8252" t="s">
        <v>429</v>
      </c>
      <c r="D8252" t="s">
        <v>25092</v>
      </c>
    </row>
    <row r="8253" spans="1:4">
      <c r="A8253">
        <v>568</v>
      </c>
      <c r="B8253" t="s">
        <v>8769</v>
      </c>
      <c r="C8253" t="s">
        <v>429</v>
      </c>
      <c r="D8253" t="s">
        <v>19351</v>
      </c>
    </row>
    <row r="8254" spans="1:4">
      <c r="A8254">
        <v>585</v>
      </c>
      <c r="B8254" t="s">
        <v>8770</v>
      </c>
      <c r="C8254" t="s">
        <v>430</v>
      </c>
      <c r="D8254" t="s">
        <v>25093</v>
      </c>
    </row>
    <row r="8255" spans="1:4">
      <c r="A8255">
        <v>4777</v>
      </c>
      <c r="B8255" t="s">
        <v>8771</v>
      </c>
      <c r="C8255" t="s">
        <v>430</v>
      </c>
      <c r="D8255" t="s">
        <v>20385</v>
      </c>
    </row>
    <row r="8256" spans="1:4">
      <c r="A8256">
        <v>587</v>
      </c>
      <c r="B8256" t="s">
        <v>8772</v>
      </c>
      <c r="C8256" t="s">
        <v>430</v>
      </c>
      <c r="D8256" t="s">
        <v>15274</v>
      </c>
    </row>
    <row r="8257" spans="1:4">
      <c r="A8257">
        <v>590</v>
      </c>
      <c r="B8257" t="s">
        <v>8773</v>
      </c>
      <c r="C8257" t="s">
        <v>430</v>
      </c>
      <c r="D8257" t="s">
        <v>25094</v>
      </c>
    </row>
    <row r="8258" spans="1:4">
      <c r="A8258">
        <v>592</v>
      </c>
      <c r="B8258" t="s">
        <v>8774</v>
      </c>
      <c r="C8258" t="s">
        <v>430</v>
      </c>
      <c r="D8258" t="s">
        <v>15274</v>
      </c>
    </row>
    <row r="8259" spans="1:4">
      <c r="A8259">
        <v>586</v>
      </c>
      <c r="B8259" t="s">
        <v>8775</v>
      </c>
      <c r="C8259" t="s">
        <v>429</v>
      </c>
      <c r="D8259" t="s">
        <v>17279</v>
      </c>
    </row>
    <row r="8260" spans="1:4">
      <c r="A8260">
        <v>591</v>
      </c>
      <c r="B8260" t="s">
        <v>8776</v>
      </c>
      <c r="C8260" t="s">
        <v>430</v>
      </c>
      <c r="D8260" t="s">
        <v>25093</v>
      </c>
    </row>
    <row r="8261" spans="1:4">
      <c r="A8261">
        <v>588</v>
      </c>
      <c r="B8261" t="s">
        <v>8777</v>
      </c>
      <c r="C8261" t="s">
        <v>429</v>
      </c>
      <c r="D8261" t="s">
        <v>25095</v>
      </c>
    </row>
    <row r="8262" spans="1:4">
      <c r="A8262">
        <v>589</v>
      </c>
      <c r="B8262" t="s">
        <v>8778</v>
      </c>
      <c r="C8262" t="s">
        <v>429</v>
      </c>
      <c r="D8262" t="s">
        <v>25096</v>
      </c>
    </row>
    <row r="8263" spans="1:4">
      <c r="A8263">
        <v>584</v>
      </c>
      <c r="B8263" t="s">
        <v>8779</v>
      </c>
      <c r="C8263" t="s">
        <v>429</v>
      </c>
      <c r="D8263" t="s">
        <v>25097</v>
      </c>
    </row>
    <row r="8264" spans="1:4">
      <c r="A8264">
        <v>1165</v>
      </c>
      <c r="B8264" t="s">
        <v>8780</v>
      </c>
      <c r="C8264" t="s">
        <v>427</v>
      </c>
      <c r="D8264" t="s">
        <v>22081</v>
      </c>
    </row>
    <row r="8265" spans="1:4">
      <c r="A8265">
        <v>1164</v>
      </c>
      <c r="B8265" t="s">
        <v>8781</v>
      </c>
      <c r="C8265" t="s">
        <v>427</v>
      </c>
      <c r="D8265" t="s">
        <v>18626</v>
      </c>
    </row>
    <row r="8266" spans="1:4">
      <c r="A8266">
        <v>1162</v>
      </c>
      <c r="B8266" t="s">
        <v>8782</v>
      </c>
      <c r="C8266" t="s">
        <v>427</v>
      </c>
      <c r="D8266" t="s">
        <v>15478</v>
      </c>
    </row>
    <row r="8267" spans="1:4">
      <c r="A8267">
        <v>12395</v>
      </c>
      <c r="B8267" t="s">
        <v>8783</v>
      </c>
      <c r="C8267" t="s">
        <v>427</v>
      </c>
      <c r="D8267" t="s">
        <v>25098</v>
      </c>
    </row>
    <row r="8268" spans="1:4">
      <c r="A8268">
        <v>1170</v>
      </c>
      <c r="B8268" t="s">
        <v>8784</v>
      </c>
      <c r="C8268" t="s">
        <v>427</v>
      </c>
      <c r="D8268" t="s">
        <v>18051</v>
      </c>
    </row>
    <row r="8269" spans="1:4">
      <c r="A8269">
        <v>1169</v>
      </c>
      <c r="B8269" t="s">
        <v>8785</v>
      </c>
      <c r="C8269" t="s">
        <v>427</v>
      </c>
      <c r="D8269" t="s">
        <v>19669</v>
      </c>
    </row>
    <row r="8270" spans="1:4">
      <c r="A8270">
        <v>1166</v>
      </c>
      <c r="B8270" t="s">
        <v>8786</v>
      </c>
      <c r="C8270" t="s">
        <v>427</v>
      </c>
      <c r="D8270" t="s">
        <v>25099</v>
      </c>
    </row>
    <row r="8271" spans="1:4">
      <c r="A8271">
        <v>1163</v>
      </c>
      <c r="B8271" t="s">
        <v>8787</v>
      </c>
      <c r="C8271" t="s">
        <v>427</v>
      </c>
      <c r="D8271" t="s">
        <v>18109</v>
      </c>
    </row>
    <row r="8272" spans="1:4">
      <c r="A8272">
        <v>12396</v>
      </c>
      <c r="B8272" t="s">
        <v>8788</v>
      </c>
      <c r="C8272" t="s">
        <v>427</v>
      </c>
      <c r="D8272" t="s">
        <v>25098</v>
      </c>
    </row>
    <row r="8273" spans="1:4">
      <c r="A8273">
        <v>1168</v>
      </c>
      <c r="B8273" t="s">
        <v>8789</v>
      </c>
      <c r="C8273" t="s">
        <v>427</v>
      </c>
      <c r="D8273" t="s">
        <v>20374</v>
      </c>
    </row>
    <row r="8274" spans="1:4">
      <c r="A8274">
        <v>1167</v>
      </c>
      <c r="B8274" t="s">
        <v>8790</v>
      </c>
      <c r="C8274" t="s">
        <v>427</v>
      </c>
      <c r="D8274" t="s">
        <v>25100</v>
      </c>
    </row>
    <row r="8275" spans="1:4">
      <c r="A8275">
        <v>36331</v>
      </c>
      <c r="B8275" t="s">
        <v>8791</v>
      </c>
      <c r="C8275" t="s">
        <v>427</v>
      </c>
      <c r="D8275" t="s">
        <v>15456</v>
      </c>
    </row>
    <row r="8276" spans="1:4">
      <c r="A8276">
        <v>36346</v>
      </c>
      <c r="B8276" t="s">
        <v>8792</v>
      </c>
      <c r="C8276" t="s">
        <v>427</v>
      </c>
      <c r="D8276" t="s">
        <v>20076</v>
      </c>
    </row>
    <row r="8277" spans="1:4">
      <c r="A8277">
        <v>1210</v>
      </c>
      <c r="B8277" t="s">
        <v>8793</v>
      </c>
      <c r="C8277" t="s">
        <v>427</v>
      </c>
      <c r="D8277" t="s">
        <v>15563</v>
      </c>
    </row>
    <row r="8278" spans="1:4">
      <c r="A8278">
        <v>1203</v>
      </c>
      <c r="B8278" t="s">
        <v>8794</v>
      </c>
      <c r="C8278" t="s">
        <v>427</v>
      </c>
      <c r="D8278" t="s">
        <v>18067</v>
      </c>
    </row>
    <row r="8279" spans="1:4">
      <c r="A8279">
        <v>1197</v>
      </c>
      <c r="B8279" t="s">
        <v>8795</v>
      </c>
      <c r="C8279" t="s">
        <v>427</v>
      </c>
      <c r="D8279" t="s">
        <v>15742</v>
      </c>
    </row>
    <row r="8280" spans="1:4">
      <c r="A8280">
        <v>1202</v>
      </c>
      <c r="B8280" t="s">
        <v>8796</v>
      </c>
      <c r="C8280" t="s">
        <v>427</v>
      </c>
      <c r="D8280" t="s">
        <v>15669</v>
      </c>
    </row>
    <row r="8281" spans="1:4">
      <c r="A8281">
        <v>1188</v>
      </c>
      <c r="B8281" t="s">
        <v>8797</v>
      </c>
      <c r="C8281" t="s">
        <v>427</v>
      </c>
      <c r="D8281" t="s">
        <v>24648</v>
      </c>
    </row>
    <row r="8282" spans="1:4">
      <c r="A8282">
        <v>1211</v>
      </c>
      <c r="B8282" t="s">
        <v>8798</v>
      </c>
      <c r="C8282" t="s">
        <v>427</v>
      </c>
      <c r="D8282" t="s">
        <v>16908</v>
      </c>
    </row>
    <row r="8283" spans="1:4">
      <c r="A8283">
        <v>1198</v>
      </c>
      <c r="B8283" t="s">
        <v>8799</v>
      </c>
      <c r="C8283" t="s">
        <v>427</v>
      </c>
      <c r="D8283" t="s">
        <v>15509</v>
      </c>
    </row>
    <row r="8284" spans="1:4">
      <c r="A8284">
        <v>1199</v>
      </c>
      <c r="B8284" t="s">
        <v>8800</v>
      </c>
      <c r="C8284" t="s">
        <v>427</v>
      </c>
      <c r="D8284" t="s">
        <v>25101</v>
      </c>
    </row>
    <row r="8285" spans="1:4">
      <c r="A8285">
        <v>20088</v>
      </c>
      <c r="B8285" t="s">
        <v>8801</v>
      </c>
      <c r="C8285" t="s">
        <v>427</v>
      </c>
      <c r="D8285" t="s">
        <v>20280</v>
      </c>
    </row>
    <row r="8286" spans="1:4">
      <c r="A8286">
        <v>20089</v>
      </c>
      <c r="B8286" t="s">
        <v>8802</v>
      </c>
      <c r="C8286" t="s">
        <v>427</v>
      </c>
      <c r="D8286" t="s">
        <v>25102</v>
      </c>
    </row>
    <row r="8287" spans="1:4">
      <c r="A8287">
        <v>20087</v>
      </c>
      <c r="B8287" t="s">
        <v>8803</v>
      </c>
      <c r="C8287" t="s">
        <v>427</v>
      </c>
      <c r="D8287" t="s">
        <v>18173</v>
      </c>
    </row>
    <row r="8288" spans="1:4">
      <c r="A8288">
        <v>1200</v>
      </c>
      <c r="B8288" t="s">
        <v>8804</v>
      </c>
      <c r="C8288" t="s">
        <v>427</v>
      </c>
      <c r="D8288" t="s">
        <v>24417</v>
      </c>
    </row>
    <row r="8289" spans="1:4">
      <c r="A8289">
        <v>12909</v>
      </c>
      <c r="B8289" t="s">
        <v>8805</v>
      </c>
      <c r="C8289" t="s">
        <v>427</v>
      </c>
      <c r="D8289" t="s">
        <v>19244</v>
      </c>
    </row>
    <row r="8290" spans="1:4">
      <c r="A8290">
        <v>12910</v>
      </c>
      <c r="B8290" t="s">
        <v>8806</v>
      </c>
      <c r="C8290" t="s">
        <v>427</v>
      </c>
      <c r="D8290" t="s">
        <v>15720</v>
      </c>
    </row>
    <row r="8291" spans="1:4">
      <c r="A8291">
        <v>1184</v>
      </c>
      <c r="B8291" t="s">
        <v>8807</v>
      </c>
      <c r="C8291" t="s">
        <v>427</v>
      </c>
      <c r="D8291" t="s">
        <v>25103</v>
      </c>
    </row>
    <row r="8292" spans="1:4">
      <c r="A8292">
        <v>1191</v>
      </c>
      <c r="B8292" t="s">
        <v>8808</v>
      </c>
      <c r="C8292" t="s">
        <v>427</v>
      </c>
      <c r="D8292" t="s">
        <v>15477</v>
      </c>
    </row>
    <row r="8293" spans="1:4">
      <c r="A8293">
        <v>1185</v>
      </c>
      <c r="B8293" t="s">
        <v>8809</v>
      </c>
      <c r="C8293" t="s">
        <v>427</v>
      </c>
      <c r="D8293" t="s">
        <v>15468</v>
      </c>
    </row>
    <row r="8294" spans="1:4">
      <c r="A8294">
        <v>1189</v>
      </c>
      <c r="B8294" t="s">
        <v>8810</v>
      </c>
      <c r="C8294" t="s">
        <v>427</v>
      </c>
      <c r="D8294" t="s">
        <v>15764</v>
      </c>
    </row>
    <row r="8295" spans="1:4">
      <c r="A8295">
        <v>1193</v>
      </c>
      <c r="B8295" t="s">
        <v>8811</v>
      </c>
      <c r="C8295" t="s">
        <v>427</v>
      </c>
      <c r="D8295" t="s">
        <v>14755</v>
      </c>
    </row>
    <row r="8296" spans="1:4">
      <c r="A8296">
        <v>1194</v>
      </c>
      <c r="B8296" t="s">
        <v>8812</v>
      </c>
      <c r="C8296" t="s">
        <v>427</v>
      </c>
      <c r="D8296" t="s">
        <v>25104</v>
      </c>
    </row>
    <row r="8297" spans="1:4">
      <c r="A8297">
        <v>1195</v>
      </c>
      <c r="B8297" t="s">
        <v>8813</v>
      </c>
      <c r="C8297" t="s">
        <v>427</v>
      </c>
      <c r="D8297" t="s">
        <v>16905</v>
      </c>
    </row>
    <row r="8298" spans="1:4">
      <c r="A8298">
        <v>1204</v>
      </c>
      <c r="B8298" t="s">
        <v>8814</v>
      </c>
      <c r="C8298" t="s">
        <v>427</v>
      </c>
      <c r="D8298" t="s">
        <v>18687</v>
      </c>
    </row>
    <row r="8299" spans="1:4">
      <c r="A8299">
        <v>1205</v>
      </c>
      <c r="B8299" t="s">
        <v>8815</v>
      </c>
      <c r="C8299" t="s">
        <v>427</v>
      </c>
      <c r="D8299" t="s">
        <v>17472</v>
      </c>
    </row>
    <row r="8300" spans="1:4">
      <c r="A8300">
        <v>1207</v>
      </c>
      <c r="B8300" t="s">
        <v>8816</v>
      </c>
      <c r="C8300" t="s">
        <v>427</v>
      </c>
      <c r="D8300" t="s">
        <v>25105</v>
      </c>
    </row>
    <row r="8301" spans="1:4">
      <c r="A8301">
        <v>1206</v>
      </c>
      <c r="B8301" t="s">
        <v>8817</v>
      </c>
      <c r="C8301" t="s">
        <v>427</v>
      </c>
      <c r="D8301" t="s">
        <v>20385</v>
      </c>
    </row>
    <row r="8302" spans="1:4">
      <c r="A8302">
        <v>1183</v>
      </c>
      <c r="B8302" t="s">
        <v>8818</v>
      </c>
      <c r="C8302" t="s">
        <v>427</v>
      </c>
      <c r="D8302" t="s">
        <v>22733</v>
      </c>
    </row>
    <row r="8303" spans="1:4">
      <c r="A8303">
        <v>42685</v>
      </c>
      <c r="B8303" t="s">
        <v>8819</v>
      </c>
      <c r="C8303" t="s">
        <v>427</v>
      </c>
      <c r="D8303" t="s">
        <v>25106</v>
      </c>
    </row>
    <row r="8304" spans="1:4">
      <c r="A8304">
        <v>42686</v>
      </c>
      <c r="B8304" t="s">
        <v>8820</v>
      </c>
      <c r="C8304" t="s">
        <v>427</v>
      </c>
      <c r="D8304" t="s">
        <v>25107</v>
      </c>
    </row>
    <row r="8305" spans="1:4">
      <c r="A8305">
        <v>12894</v>
      </c>
      <c r="B8305" t="s">
        <v>8821</v>
      </c>
      <c r="C8305" t="s">
        <v>427</v>
      </c>
      <c r="D8305" t="s">
        <v>19589</v>
      </c>
    </row>
    <row r="8306" spans="1:4">
      <c r="A8306">
        <v>12895</v>
      </c>
      <c r="B8306" t="s">
        <v>8822</v>
      </c>
      <c r="C8306" t="s">
        <v>427</v>
      </c>
      <c r="D8306" t="s">
        <v>23183</v>
      </c>
    </row>
    <row r="8307" spans="1:4">
      <c r="A8307">
        <v>1631</v>
      </c>
      <c r="B8307" t="s">
        <v>8823</v>
      </c>
      <c r="C8307" t="s">
        <v>427</v>
      </c>
      <c r="D8307" t="s">
        <v>18801</v>
      </c>
    </row>
    <row r="8308" spans="1:4">
      <c r="A8308">
        <v>1633</v>
      </c>
      <c r="B8308" t="s">
        <v>8824</v>
      </c>
      <c r="C8308" t="s">
        <v>427</v>
      </c>
      <c r="D8308" t="s">
        <v>25108</v>
      </c>
    </row>
    <row r="8309" spans="1:4">
      <c r="A8309">
        <v>10818</v>
      </c>
      <c r="B8309" t="s">
        <v>8825</v>
      </c>
      <c r="C8309" t="s">
        <v>430</v>
      </c>
      <c r="D8309" t="s">
        <v>25109</v>
      </c>
    </row>
    <row r="8310" spans="1:4">
      <c r="A8310">
        <v>41410</v>
      </c>
      <c r="B8310" t="s">
        <v>8826</v>
      </c>
      <c r="C8310" t="s">
        <v>427</v>
      </c>
      <c r="D8310" t="s">
        <v>18124</v>
      </c>
    </row>
    <row r="8311" spans="1:4">
      <c r="A8311">
        <v>41411</v>
      </c>
      <c r="B8311" t="s">
        <v>8827</v>
      </c>
      <c r="C8311" t="s">
        <v>427</v>
      </c>
      <c r="D8311" t="s">
        <v>25110</v>
      </c>
    </row>
    <row r="8312" spans="1:4">
      <c r="A8312">
        <v>41412</v>
      </c>
      <c r="B8312" t="s">
        <v>8828</v>
      </c>
      <c r="C8312" t="s">
        <v>427</v>
      </c>
      <c r="D8312" t="s">
        <v>25111</v>
      </c>
    </row>
    <row r="8313" spans="1:4">
      <c r="A8313">
        <v>41413</v>
      </c>
      <c r="B8313" t="s">
        <v>8829</v>
      </c>
      <c r="C8313" t="s">
        <v>427</v>
      </c>
      <c r="D8313" t="s">
        <v>25112</v>
      </c>
    </row>
    <row r="8314" spans="1:4">
      <c r="A8314">
        <v>39359</v>
      </c>
      <c r="B8314" t="s">
        <v>8830</v>
      </c>
      <c r="C8314" t="s">
        <v>427</v>
      </c>
      <c r="D8314" t="s">
        <v>25113</v>
      </c>
    </row>
    <row r="8315" spans="1:4">
      <c r="A8315">
        <v>39360</v>
      </c>
      <c r="B8315" t="s">
        <v>8831</v>
      </c>
      <c r="C8315" t="s">
        <v>427</v>
      </c>
      <c r="D8315" t="s">
        <v>20898</v>
      </c>
    </row>
    <row r="8316" spans="1:4">
      <c r="A8316">
        <v>10710</v>
      </c>
      <c r="B8316" t="s">
        <v>8832</v>
      </c>
      <c r="C8316" t="s">
        <v>426</v>
      </c>
      <c r="D8316" t="s">
        <v>19712</v>
      </c>
    </row>
    <row r="8317" spans="1:4">
      <c r="A8317">
        <v>10709</v>
      </c>
      <c r="B8317" t="s">
        <v>8833</v>
      </c>
      <c r="C8317" t="s">
        <v>426</v>
      </c>
      <c r="D8317" t="s">
        <v>19713</v>
      </c>
    </row>
    <row r="8318" spans="1:4">
      <c r="A8318">
        <v>39636</v>
      </c>
      <c r="B8318" t="s">
        <v>8834</v>
      </c>
      <c r="C8318" t="s">
        <v>426</v>
      </c>
      <c r="D8318" t="s">
        <v>19711</v>
      </c>
    </row>
    <row r="8319" spans="1:4">
      <c r="A8319">
        <v>10708</v>
      </c>
      <c r="B8319" t="s">
        <v>8835</v>
      </c>
      <c r="C8319" t="s">
        <v>426</v>
      </c>
      <c r="D8319" t="s">
        <v>24114</v>
      </c>
    </row>
    <row r="8320" spans="1:4">
      <c r="A8320">
        <v>39635</v>
      </c>
      <c r="B8320" t="s">
        <v>8836</v>
      </c>
      <c r="C8320" t="s">
        <v>426</v>
      </c>
      <c r="D8320" t="s">
        <v>25114</v>
      </c>
    </row>
    <row r="8321" spans="1:4">
      <c r="A8321">
        <v>6117</v>
      </c>
      <c r="B8321" t="s">
        <v>20479</v>
      </c>
      <c r="C8321" t="s">
        <v>432</v>
      </c>
      <c r="D8321" t="s">
        <v>23645</v>
      </c>
    </row>
    <row r="8322" spans="1:4">
      <c r="A8322">
        <v>40913</v>
      </c>
      <c r="B8322" t="s">
        <v>8837</v>
      </c>
      <c r="C8322" t="s">
        <v>433</v>
      </c>
      <c r="D8322" t="s">
        <v>24635</v>
      </c>
    </row>
    <row r="8323" spans="1:4">
      <c r="A8323">
        <v>1214</v>
      </c>
      <c r="B8323" t="s">
        <v>20480</v>
      </c>
      <c r="C8323" t="s">
        <v>432</v>
      </c>
      <c r="D8323" t="s">
        <v>19233</v>
      </c>
    </row>
    <row r="8324" spans="1:4">
      <c r="A8324">
        <v>40915</v>
      </c>
      <c r="B8324" t="s">
        <v>8838</v>
      </c>
      <c r="C8324" t="s">
        <v>433</v>
      </c>
      <c r="D8324" t="s">
        <v>25115</v>
      </c>
    </row>
    <row r="8325" spans="1:4">
      <c r="A8325">
        <v>1213</v>
      </c>
      <c r="B8325" t="s">
        <v>20481</v>
      </c>
      <c r="C8325" t="s">
        <v>432</v>
      </c>
      <c r="D8325" t="s">
        <v>20265</v>
      </c>
    </row>
    <row r="8326" spans="1:4">
      <c r="A8326">
        <v>40914</v>
      </c>
      <c r="B8326" t="s">
        <v>8839</v>
      </c>
      <c r="C8326" t="s">
        <v>433</v>
      </c>
      <c r="D8326" t="s">
        <v>24644</v>
      </c>
    </row>
    <row r="8327" spans="1:4">
      <c r="A8327">
        <v>5091</v>
      </c>
      <c r="B8327" t="s">
        <v>8840</v>
      </c>
      <c r="C8327" t="s">
        <v>427</v>
      </c>
      <c r="D8327" t="s">
        <v>19141</v>
      </c>
    </row>
    <row r="8328" spans="1:4">
      <c r="A8328">
        <v>14615</v>
      </c>
      <c r="B8328" t="s">
        <v>8841</v>
      </c>
      <c r="C8328" t="s">
        <v>427</v>
      </c>
      <c r="D8328" t="s">
        <v>25116</v>
      </c>
    </row>
    <row r="8329" spans="1:4">
      <c r="A8329">
        <v>2711</v>
      </c>
      <c r="B8329" t="s">
        <v>8842</v>
      </c>
      <c r="C8329" t="s">
        <v>427</v>
      </c>
      <c r="D8329" t="s">
        <v>25117</v>
      </c>
    </row>
    <row r="8330" spans="1:4">
      <c r="A8330">
        <v>37727</v>
      </c>
      <c r="B8330" t="s">
        <v>8843</v>
      </c>
      <c r="C8330" t="s">
        <v>427</v>
      </c>
      <c r="D8330" t="s">
        <v>25118</v>
      </c>
    </row>
    <row r="8331" spans="1:4">
      <c r="A8331">
        <v>37728</v>
      </c>
      <c r="B8331" t="s">
        <v>8844</v>
      </c>
      <c r="C8331" t="s">
        <v>427</v>
      </c>
      <c r="D8331" t="s">
        <v>25119</v>
      </c>
    </row>
    <row r="8332" spans="1:4">
      <c r="A8332">
        <v>37729</v>
      </c>
      <c r="B8332" t="s">
        <v>8845</v>
      </c>
      <c r="C8332" t="s">
        <v>427</v>
      </c>
      <c r="D8332" t="s">
        <v>25120</v>
      </c>
    </row>
    <row r="8333" spans="1:4">
      <c r="A8333">
        <v>37730</v>
      </c>
      <c r="B8333" t="s">
        <v>8846</v>
      </c>
      <c r="C8333" t="s">
        <v>427</v>
      </c>
      <c r="D8333" t="s">
        <v>25121</v>
      </c>
    </row>
    <row r="8334" spans="1:4">
      <c r="A8334">
        <v>37731</v>
      </c>
      <c r="B8334" t="s">
        <v>8847</v>
      </c>
      <c r="C8334" t="s">
        <v>427</v>
      </c>
      <c r="D8334" t="s">
        <v>25122</v>
      </c>
    </row>
    <row r="8335" spans="1:4">
      <c r="A8335">
        <v>37732</v>
      </c>
      <c r="B8335" t="s">
        <v>8848</v>
      </c>
      <c r="C8335" t="s">
        <v>427</v>
      </c>
      <c r="D8335" t="s">
        <v>25123</v>
      </c>
    </row>
    <row r="8336" spans="1:4">
      <c r="A8336">
        <v>42256</v>
      </c>
      <c r="B8336" t="s">
        <v>8849</v>
      </c>
      <c r="C8336" t="s">
        <v>430</v>
      </c>
      <c r="D8336" t="s">
        <v>22066</v>
      </c>
    </row>
    <row r="8337" spans="1:4">
      <c r="A8337">
        <v>42250</v>
      </c>
      <c r="B8337" t="s">
        <v>13437</v>
      </c>
      <c r="C8337" t="s">
        <v>437</v>
      </c>
      <c r="D8337" t="s">
        <v>25124</v>
      </c>
    </row>
    <row r="8338" spans="1:4">
      <c r="A8338">
        <v>4743</v>
      </c>
      <c r="B8338" t="s">
        <v>8850</v>
      </c>
      <c r="C8338" t="s">
        <v>431</v>
      </c>
      <c r="D8338" t="s">
        <v>25125</v>
      </c>
    </row>
    <row r="8339" spans="1:4">
      <c r="A8339">
        <v>4744</v>
      </c>
      <c r="B8339" t="s">
        <v>8851</v>
      </c>
      <c r="C8339" t="s">
        <v>431</v>
      </c>
      <c r="D8339" t="s">
        <v>25126</v>
      </c>
    </row>
    <row r="8340" spans="1:4">
      <c r="A8340">
        <v>4745</v>
      </c>
      <c r="B8340" t="s">
        <v>8852</v>
      </c>
      <c r="C8340" t="s">
        <v>431</v>
      </c>
      <c r="D8340" t="s">
        <v>25127</v>
      </c>
    </row>
    <row r="8341" spans="1:4">
      <c r="A8341">
        <v>36496</v>
      </c>
      <c r="B8341" t="s">
        <v>8853</v>
      </c>
      <c r="C8341" t="s">
        <v>427</v>
      </c>
      <c r="D8341" t="s">
        <v>25128</v>
      </c>
    </row>
    <row r="8342" spans="1:4">
      <c r="A8342">
        <v>10630</v>
      </c>
      <c r="B8342" t="s">
        <v>8854</v>
      </c>
      <c r="C8342" t="s">
        <v>427</v>
      </c>
      <c r="D8342" t="s">
        <v>25129</v>
      </c>
    </row>
    <row r="8343" spans="1:4">
      <c r="A8343">
        <v>37762</v>
      </c>
      <c r="B8343" t="s">
        <v>8855</v>
      </c>
      <c r="C8343" t="s">
        <v>427</v>
      </c>
      <c r="D8343" t="s">
        <v>25130</v>
      </c>
    </row>
    <row r="8344" spans="1:4">
      <c r="A8344">
        <v>37763</v>
      </c>
      <c r="B8344" t="s">
        <v>8856</v>
      </c>
      <c r="C8344" t="s">
        <v>427</v>
      </c>
      <c r="D8344" t="s">
        <v>25131</v>
      </c>
    </row>
    <row r="8345" spans="1:4">
      <c r="A8345">
        <v>41992</v>
      </c>
      <c r="B8345" t="s">
        <v>8857</v>
      </c>
      <c r="C8345" t="s">
        <v>427</v>
      </c>
      <c r="D8345" t="s">
        <v>25132</v>
      </c>
    </row>
    <row r="8346" spans="1:4">
      <c r="A8346">
        <v>13215</v>
      </c>
      <c r="B8346" t="s">
        <v>8858</v>
      </c>
      <c r="C8346" t="s">
        <v>427</v>
      </c>
      <c r="D8346" t="s">
        <v>25133</v>
      </c>
    </row>
    <row r="8347" spans="1:4">
      <c r="A8347">
        <v>4235</v>
      </c>
      <c r="B8347" t="s">
        <v>8859</v>
      </c>
      <c r="C8347" t="s">
        <v>432</v>
      </c>
      <c r="D8347" t="s">
        <v>17188</v>
      </c>
    </row>
    <row r="8348" spans="1:4">
      <c r="A8348">
        <v>40976</v>
      </c>
      <c r="B8348" t="s">
        <v>8860</v>
      </c>
      <c r="C8348" t="s">
        <v>433</v>
      </c>
      <c r="D8348" t="s">
        <v>25134</v>
      </c>
    </row>
    <row r="8349" spans="1:4">
      <c r="A8349">
        <v>39013</v>
      </c>
      <c r="B8349" t="s">
        <v>8861</v>
      </c>
      <c r="C8349" t="s">
        <v>427</v>
      </c>
      <c r="D8349" t="s">
        <v>15766</v>
      </c>
    </row>
    <row r="8350" spans="1:4">
      <c r="A8350">
        <v>43091</v>
      </c>
      <c r="B8350" t="s">
        <v>8862</v>
      </c>
      <c r="C8350" t="s">
        <v>427</v>
      </c>
      <c r="D8350" t="s">
        <v>25135</v>
      </c>
    </row>
    <row r="8351" spans="1:4">
      <c r="A8351">
        <v>43092</v>
      </c>
      <c r="B8351" t="s">
        <v>8863</v>
      </c>
      <c r="C8351" t="s">
        <v>427</v>
      </c>
      <c r="D8351" t="s">
        <v>25136</v>
      </c>
    </row>
    <row r="8352" spans="1:4">
      <c r="A8352">
        <v>43089</v>
      </c>
      <c r="B8352" t="s">
        <v>8864</v>
      </c>
      <c r="C8352" t="s">
        <v>427</v>
      </c>
      <c r="D8352" t="s">
        <v>25137</v>
      </c>
    </row>
    <row r="8353" spans="1:4">
      <c r="A8353">
        <v>43090</v>
      </c>
      <c r="B8353" t="s">
        <v>8865</v>
      </c>
      <c r="C8353" t="s">
        <v>427</v>
      </c>
      <c r="D8353" t="s">
        <v>25138</v>
      </c>
    </row>
    <row r="8354" spans="1:4">
      <c r="A8354">
        <v>41967</v>
      </c>
      <c r="B8354" t="s">
        <v>8866</v>
      </c>
      <c r="C8354" t="s">
        <v>428</v>
      </c>
      <c r="D8354" t="s">
        <v>16412</v>
      </c>
    </row>
    <row r="8355" spans="1:4">
      <c r="A8355">
        <v>12760</v>
      </c>
      <c r="B8355" t="s">
        <v>8867</v>
      </c>
      <c r="C8355" t="s">
        <v>426</v>
      </c>
      <c r="D8355" t="s">
        <v>25139</v>
      </c>
    </row>
    <row r="8356" spans="1:4">
      <c r="A8356">
        <v>12759</v>
      </c>
      <c r="B8356" t="s">
        <v>8868</v>
      </c>
      <c r="C8356" t="s">
        <v>426</v>
      </c>
      <c r="D8356" t="s">
        <v>25140</v>
      </c>
    </row>
    <row r="8357" spans="1:4">
      <c r="A8357">
        <v>43105</v>
      </c>
      <c r="B8357" t="s">
        <v>8869</v>
      </c>
      <c r="C8357" t="s">
        <v>430</v>
      </c>
      <c r="D8357" t="s">
        <v>25141</v>
      </c>
    </row>
    <row r="8358" spans="1:4">
      <c r="A8358">
        <v>40424</v>
      </c>
      <c r="B8358" t="s">
        <v>8870</v>
      </c>
      <c r="C8358" t="s">
        <v>430</v>
      </c>
      <c r="D8358" t="s">
        <v>21860</v>
      </c>
    </row>
    <row r="8359" spans="1:4">
      <c r="A8359">
        <v>1325</v>
      </c>
      <c r="B8359" t="s">
        <v>8871</v>
      </c>
      <c r="C8359" t="s">
        <v>430</v>
      </c>
      <c r="D8359" t="s">
        <v>16933</v>
      </c>
    </row>
    <row r="8360" spans="1:4">
      <c r="A8360">
        <v>1327</v>
      </c>
      <c r="B8360" t="s">
        <v>8872</v>
      </c>
      <c r="C8360" t="s">
        <v>430</v>
      </c>
      <c r="D8360" t="s">
        <v>18074</v>
      </c>
    </row>
    <row r="8361" spans="1:4">
      <c r="A8361">
        <v>1328</v>
      </c>
      <c r="B8361" t="s">
        <v>8873</v>
      </c>
      <c r="C8361" t="s">
        <v>430</v>
      </c>
      <c r="D8361" t="s">
        <v>16091</v>
      </c>
    </row>
    <row r="8362" spans="1:4">
      <c r="A8362">
        <v>1321</v>
      </c>
      <c r="B8362" t="s">
        <v>8874</v>
      </c>
      <c r="C8362" t="s">
        <v>430</v>
      </c>
      <c r="D8362" t="s">
        <v>16916</v>
      </c>
    </row>
    <row r="8363" spans="1:4">
      <c r="A8363">
        <v>1318</v>
      </c>
      <c r="B8363" t="s">
        <v>8875</v>
      </c>
      <c r="C8363" t="s">
        <v>430</v>
      </c>
      <c r="D8363" t="s">
        <v>14933</v>
      </c>
    </row>
    <row r="8364" spans="1:4">
      <c r="A8364">
        <v>1322</v>
      </c>
      <c r="B8364" t="s">
        <v>8876</v>
      </c>
      <c r="C8364" t="s">
        <v>430</v>
      </c>
      <c r="D8364" t="s">
        <v>21873</v>
      </c>
    </row>
    <row r="8365" spans="1:4">
      <c r="A8365">
        <v>1323</v>
      </c>
      <c r="B8365" t="s">
        <v>8877</v>
      </c>
      <c r="C8365" t="s">
        <v>430</v>
      </c>
      <c r="D8365" t="s">
        <v>21873</v>
      </c>
    </row>
    <row r="8366" spans="1:4">
      <c r="A8366">
        <v>1319</v>
      </c>
      <c r="B8366" t="s">
        <v>8878</v>
      </c>
      <c r="C8366" t="s">
        <v>430</v>
      </c>
      <c r="D8366" t="s">
        <v>17728</v>
      </c>
    </row>
    <row r="8367" spans="1:4">
      <c r="A8367">
        <v>11026</v>
      </c>
      <c r="B8367" t="s">
        <v>8879</v>
      </c>
      <c r="C8367" t="s">
        <v>430</v>
      </c>
      <c r="D8367" t="s">
        <v>25142</v>
      </c>
    </row>
    <row r="8368" spans="1:4">
      <c r="A8368">
        <v>11027</v>
      </c>
      <c r="B8368" t="s">
        <v>8880</v>
      </c>
      <c r="C8368" t="s">
        <v>430</v>
      </c>
      <c r="D8368" t="s">
        <v>21646</v>
      </c>
    </row>
    <row r="8369" spans="1:4">
      <c r="A8369">
        <v>11046</v>
      </c>
      <c r="B8369" t="s">
        <v>8881</v>
      </c>
      <c r="C8369" t="s">
        <v>430</v>
      </c>
      <c r="D8369" t="s">
        <v>18864</v>
      </c>
    </row>
    <row r="8370" spans="1:4">
      <c r="A8370">
        <v>11047</v>
      </c>
      <c r="B8370" t="s">
        <v>8882</v>
      </c>
      <c r="C8370" t="s">
        <v>430</v>
      </c>
      <c r="D8370" t="s">
        <v>24315</v>
      </c>
    </row>
    <row r="8371" spans="1:4">
      <c r="A8371">
        <v>43668</v>
      </c>
      <c r="B8371" t="s">
        <v>8883</v>
      </c>
      <c r="C8371" t="s">
        <v>430</v>
      </c>
      <c r="D8371" t="s">
        <v>18237</v>
      </c>
    </row>
    <row r="8372" spans="1:4">
      <c r="A8372">
        <v>11049</v>
      </c>
      <c r="B8372" t="s">
        <v>8884</v>
      </c>
      <c r="C8372" t="s">
        <v>430</v>
      </c>
      <c r="D8372" t="s">
        <v>16637</v>
      </c>
    </row>
    <row r="8373" spans="1:4">
      <c r="A8373">
        <v>43106</v>
      </c>
      <c r="B8373" t="s">
        <v>8885</v>
      </c>
      <c r="C8373" t="s">
        <v>430</v>
      </c>
      <c r="D8373" t="s">
        <v>15168</v>
      </c>
    </row>
    <row r="8374" spans="1:4">
      <c r="A8374">
        <v>11051</v>
      </c>
      <c r="B8374" t="s">
        <v>8886</v>
      </c>
      <c r="C8374" t="s">
        <v>430</v>
      </c>
      <c r="D8374" t="s">
        <v>14861</v>
      </c>
    </row>
    <row r="8375" spans="1:4">
      <c r="A8375">
        <v>11061</v>
      </c>
      <c r="B8375" t="s">
        <v>8887</v>
      </c>
      <c r="C8375" t="s">
        <v>430</v>
      </c>
      <c r="D8375" t="s">
        <v>19620</v>
      </c>
    </row>
    <row r="8376" spans="1:4">
      <c r="A8376">
        <v>43667</v>
      </c>
      <c r="B8376" t="s">
        <v>8888</v>
      </c>
      <c r="C8376" t="s">
        <v>430</v>
      </c>
      <c r="D8376" t="s">
        <v>20265</v>
      </c>
    </row>
    <row r="8377" spans="1:4">
      <c r="A8377">
        <v>1333</v>
      </c>
      <c r="B8377" t="s">
        <v>8889</v>
      </c>
      <c r="C8377" t="s">
        <v>430</v>
      </c>
      <c r="D8377" t="s">
        <v>15191</v>
      </c>
    </row>
    <row r="8378" spans="1:4">
      <c r="A8378">
        <v>1330</v>
      </c>
      <c r="B8378" t="s">
        <v>8890</v>
      </c>
      <c r="C8378" t="s">
        <v>430</v>
      </c>
      <c r="D8378" t="s">
        <v>18056</v>
      </c>
    </row>
    <row r="8379" spans="1:4">
      <c r="A8379">
        <v>10957</v>
      </c>
      <c r="B8379" t="s">
        <v>8891</v>
      </c>
      <c r="C8379" t="s">
        <v>430</v>
      </c>
      <c r="D8379" t="s">
        <v>22711</v>
      </c>
    </row>
    <row r="8380" spans="1:4">
      <c r="A8380">
        <v>1332</v>
      </c>
      <c r="B8380" t="s">
        <v>8892</v>
      </c>
      <c r="C8380" t="s">
        <v>430</v>
      </c>
      <c r="D8380" t="s">
        <v>25143</v>
      </c>
    </row>
    <row r="8381" spans="1:4">
      <c r="A8381">
        <v>1334</v>
      </c>
      <c r="B8381" t="s">
        <v>8893</v>
      </c>
      <c r="C8381" t="s">
        <v>430</v>
      </c>
      <c r="D8381" t="s">
        <v>16904</v>
      </c>
    </row>
    <row r="8382" spans="1:4">
      <c r="A8382">
        <v>1335</v>
      </c>
      <c r="B8382" t="s">
        <v>8894</v>
      </c>
      <c r="C8382" t="s">
        <v>430</v>
      </c>
      <c r="D8382" t="s">
        <v>18561</v>
      </c>
    </row>
    <row r="8383" spans="1:4">
      <c r="A8383">
        <v>40425</v>
      </c>
      <c r="B8383" t="s">
        <v>8895</v>
      </c>
      <c r="C8383" t="s">
        <v>430</v>
      </c>
      <c r="D8383" t="s">
        <v>19581</v>
      </c>
    </row>
    <row r="8384" spans="1:4">
      <c r="A8384">
        <v>1337</v>
      </c>
      <c r="B8384" t="s">
        <v>8896</v>
      </c>
      <c r="C8384" t="s">
        <v>430</v>
      </c>
      <c r="D8384" t="s">
        <v>22711</v>
      </c>
    </row>
    <row r="8385" spans="1:4">
      <c r="A8385">
        <v>1338</v>
      </c>
      <c r="B8385" t="s">
        <v>8897</v>
      </c>
      <c r="C8385" t="s">
        <v>426</v>
      </c>
      <c r="D8385" t="s">
        <v>15325</v>
      </c>
    </row>
    <row r="8386" spans="1:4">
      <c r="A8386">
        <v>1340</v>
      </c>
      <c r="B8386" t="s">
        <v>8898</v>
      </c>
      <c r="C8386" t="s">
        <v>426</v>
      </c>
      <c r="D8386" t="s">
        <v>25144</v>
      </c>
    </row>
    <row r="8387" spans="1:4">
      <c r="A8387">
        <v>1341</v>
      </c>
      <c r="B8387" t="s">
        <v>8899</v>
      </c>
      <c r="C8387" t="s">
        <v>426</v>
      </c>
      <c r="D8387" t="s">
        <v>25145</v>
      </c>
    </row>
    <row r="8388" spans="1:4">
      <c r="A8388">
        <v>34659</v>
      </c>
      <c r="B8388" t="s">
        <v>8900</v>
      </c>
      <c r="C8388" t="s">
        <v>426</v>
      </c>
      <c r="D8388" t="s">
        <v>22872</v>
      </c>
    </row>
    <row r="8389" spans="1:4">
      <c r="A8389">
        <v>34514</v>
      </c>
      <c r="B8389" t="s">
        <v>8901</v>
      </c>
      <c r="C8389" t="s">
        <v>426</v>
      </c>
      <c r="D8389" t="s">
        <v>25146</v>
      </c>
    </row>
    <row r="8390" spans="1:4">
      <c r="A8390">
        <v>34660</v>
      </c>
      <c r="B8390" t="s">
        <v>8902</v>
      </c>
      <c r="C8390" t="s">
        <v>426</v>
      </c>
      <c r="D8390" t="s">
        <v>25147</v>
      </c>
    </row>
    <row r="8391" spans="1:4">
      <c r="A8391">
        <v>34661</v>
      </c>
      <c r="B8391" t="s">
        <v>8903</v>
      </c>
      <c r="C8391" t="s">
        <v>426</v>
      </c>
      <c r="D8391" t="s">
        <v>25148</v>
      </c>
    </row>
    <row r="8392" spans="1:4">
      <c r="A8392">
        <v>34667</v>
      </c>
      <c r="B8392" t="s">
        <v>8904</v>
      </c>
      <c r="C8392" t="s">
        <v>426</v>
      </c>
      <c r="D8392" t="s">
        <v>17423</v>
      </c>
    </row>
    <row r="8393" spans="1:4">
      <c r="A8393">
        <v>34668</v>
      </c>
      <c r="B8393" t="s">
        <v>8905</v>
      </c>
      <c r="C8393" t="s">
        <v>426</v>
      </c>
      <c r="D8393" t="s">
        <v>25149</v>
      </c>
    </row>
    <row r="8394" spans="1:4">
      <c r="A8394">
        <v>34741</v>
      </c>
      <c r="B8394" t="s">
        <v>8906</v>
      </c>
      <c r="C8394" t="s">
        <v>426</v>
      </c>
      <c r="D8394" t="s">
        <v>18363</v>
      </c>
    </row>
    <row r="8395" spans="1:4">
      <c r="A8395">
        <v>34664</v>
      </c>
      <c r="B8395" t="s">
        <v>8907</v>
      </c>
      <c r="C8395" t="s">
        <v>426</v>
      </c>
      <c r="D8395" t="s">
        <v>25150</v>
      </c>
    </row>
    <row r="8396" spans="1:4">
      <c r="A8396">
        <v>34665</v>
      </c>
      <c r="B8396" t="s">
        <v>8908</v>
      </c>
      <c r="C8396" t="s">
        <v>426</v>
      </c>
      <c r="D8396" t="s">
        <v>25151</v>
      </c>
    </row>
    <row r="8397" spans="1:4">
      <c r="A8397">
        <v>34666</v>
      </c>
      <c r="B8397" t="s">
        <v>8909</v>
      </c>
      <c r="C8397" t="s">
        <v>426</v>
      </c>
      <c r="D8397" t="s">
        <v>25152</v>
      </c>
    </row>
    <row r="8398" spans="1:4">
      <c r="A8398">
        <v>34669</v>
      </c>
      <c r="B8398" t="s">
        <v>8910</v>
      </c>
      <c r="C8398" t="s">
        <v>426</v>
      </c>
      <c r="D8398" t="s">
        <v>25153</v>
      </c>
    </row>
    <row r="8399" spans="1:4">
      <c r="A8399">
        <v>34670</v>
      </c>
      <c r="B8399" t="s">
        <v>8911</v>
      </c>
      <c r="C8399" t="s">
        <v>426</v>
      </c>
      <c r="D8399" t="s">
        <v>25154</v>
      </c>
    </row>
    <row r="8400" spans="1:4">
      <c r="A8400">
        <v>34671</v>
      </c>
      <c r="B8400" t="s">
        <v>8912</v>
      </c>
      <c r="C8400" t="s">
        <v>426</v>
      </c>
      <c r="D8400" t="s">
        <v>25092</v>
      </c>
    </row>
    <row r="8401" spans="1:4">
      <c r="A8401">
        <v>34672</v>
      </c>
      <c r="B8401" t="s">
        <v>8913</v>
      </c>
      <c r="C8401" t="s">
        <v>426</v>
      </c>
      <c r="D8401" t="s">
        <v>25034</v>
      </c>
    </row>
    <row r="8402" spans="1:4">
      <c r="A8402">
        <v>34673</v>
      </c>
      <c r="B8402" t="s">
        <v>8914</v>
      </c>
      <c r="C8402" t="s">
        <v>426</v>
      </c>
      <c r="D8402" t="s">
        <v>25155</v>
      </c>
    </row>
    <row r="8403" spans="1:4">
      <c r="A8403">
        <v>34674</v>
      </c>
      <c r="B8403" t="s">
        <v>8915</v>
      </c>
      <c r="C8403" t="s">
        <v>426</v>
      </c>
      <c r="D8403" t="s">
        <v>25156</v>
      </c>
    </row>
    <row r="8404" spans="1:4">
      <c r="A8404">
        <v>34675</v>
      </c>
      <c r="B8404" t="s">
        <v>8916</v>
      </c>
      <c r="C8404" t="s">
        <v>426</v>
      </c>
      <c r="D8404" t="s">
        <v>25157</v>
      </c>
    </row>
    <row r="8405" spans="1:4">
      <c r="A8405">
        <v>34676</v>
      </c>
      <c r="B8405" t="s">
        <v>8917</v>
      </c>
      <c r="C8405" t="s">
        <v>426</v>
      </c>
      <c r="D8405" t="s">
        <v>25158</v>
      </c>
    </row>
    <row r="8406" spans="1:4">
      <c r="A8406">
        <v>34677</v>
      </c>
      <c r="B8406" t="s">
        <v>8918</v>
      </c>
      <c r="C8406" t="s">
        <v>426</v>
      </c>
      <c r="D8406" t="s">
        <v>24356</v>
      </c>
    </row>
    <row r="8407" spans="1:4">
      <c r="A8407">
        <v>43126</v>
      </c>
      <c r="B8407" t="s">
        <v>8919</v>
      </c>
      <c r="C8407" t="s">
        <v>426</v>
      </c>
      <c r="D8407" t="s">
        <v>25159</v>
      </c>
    </row>
    <row r="8408" spans="1:4">
      <c r="A8408">
        <v>43124</v>
      </c>
      <c r="B8408" t="s">
        <v>8920</v>
      </c>
      <c r="C8408" t="s">
        <v>426</v>
      </c>
      <c r="D8408" t="s">
        <v>25160</v>
      </c>
    </row>
    <row r="8409" spans="1:4">
      <c r="A8409">
        <v>43125</v>
      </c>
      <c r="B8409" t="s">
        <v>8921</v>
      </c>
      <c r="C8409" t="s">
        <v>426</v>
      </c>
      <c r="D8409" t="s">
        <v>25161</v>
      </c>
    </row>
    <row r="8410" spans="1:4">
      <c r="A8410">
        <v>40623</v>
      </c>
      <c r="B8410" t="s">
        <v>8922</v>
      </c>
      <c r="C8410" t="s">
        <v>434</v>
      </c>
      <c r="D8410" t="s">
        <v>25162</v>
      </c>
    </row>
    <row r="8411" spans="1:4">
      <c r="A8411">
        <v>43701</v>
      </c>
      <c r="B8411" t="s">
        <v>8923</v>
      </c>
      <c r="C8411" t="s">
        <v>430</v>
      </c>
      <c r="D8411" t="s">
        <v>15901</v>
      </c>
    </row>
    <row r="8412" spans="1:4">
      <c r="A8412">
        <v>1345</v>
      </c>
      <c r="B8412" t="s">
        <v>8924</v>
      </c>
      <c r="C8412" t="s">
        <v>426</v>
      </c>
      <c r="D8412" t="s">
        <v>23465</v>
      </c>
    </row>
    <row r="8413" spans="1:4">
      <c r="A8413">
        <v>1346</v>
      </c>
      <c r="B8413" t="s">
        <v>8925</v>
      </c>
      <c r="C8413" t="s">
        <v>426</v>
      </c>
      <c r="D8413" t="s">
        <v>22132</v>
      </c>
    </row>
    <row r="8414" spans="1:4">
      <c r="A8414">
        <v>1347</v>
      </c>
      <c r="B8414" t="s">
        <v>8926</v>
      </c>
      <c r="C8414" t="s">
        <v>426</v>
      </c>
      <c r="D8414" t="s">
        <v>25163</v>
      </c>
    </row>
    <row r="8415" spans="1:4">
      <c r="A8415">
        <v>43678</v>
      </c>
      <c r="B8415" t="s">
        <v>8927</v>
      </c>
      <c r="C8415" t="s">
        <v>426</v>
      </c>
      <c r="D8415" t="s">
        <v>25164</v>
      </c>
    </row>
    <row r="8416" spans="1:4">
      <c r="A8416">
        <v>43680</v>
      </c>
      <c r="B8416" t="s">
        <v>8928</v>
      </c>
      <c r="C8416" t="s">
        <v>426</v>
      </c>
      <c r="D8416" t="s">
        <v>25165</v>
      </c>
    </row>
    <row r="8417" spans="1:4">
      <c r="A8417">
        <v>43679</v>
      </c>
      <c r="B8417" t="s">
        <v>8929</v>
      </c>
      <c r="C8417" t="s">
        <v>426</v>
      </c>
      <c r="D8417" t="s">
        <v>25166</v>
      </c>
    </row>
    <row r="8418" spans="1:4">
      <c r="A8418">
        <v>1355</v>
      </c>
      <c r="B8418" t="s">
        <v>8930</v>
      </c>
      <c r="C8418" t="s">
        <v>426</v>
      </c>
      <c r="D8418" t="s">
        <v>21972</v>
      </c>
    </row>
    <row r="8419" spans="1:4">
      <c r="A8419">
        <v>1358</v>
      </c>
      <c r="B8419" t="s">
        <v>8931</v>
      </c>
      <c r="C8419" t="s">
        <v>426</v>
      </c>
      <c r="D8419" t="s">
        <v>22942</v>
      </c>
    </row>
    <row r="8420" spans="1:4">
      <c r="A8420">
        <v>43681</v>
      </c>
      <c r="B8420" t="s">
        <v>8932</v>
      </c>
      <c r="C8420" t="s">
        <v>426</v>
      </c>
      <c r="D8420" t="s">
        <v>25167</v>
      </c>
    </row>
    <row r="8421" spans="1:4">
      <c r="A8421">
        <v>43677</v>
      </c>
      <c r="B8421" t="s">
        <v>8933</v>
      </c>
      <c r="C8421" t="s">
        <v>426</v>
      </c>
      <c r="D8421" t="s">
        <v>25168</v>
      </c>
    </row>
    <row r="8422" spans="1:4">
      <c r="A8422">
        <v>43682</v>
      </c>
      <c r="B8422" t="s">
        <v>8934</v>
      </c>
      <c r="C8422" t="s">
        <v>426</v>
      </c>
      <c r="D8422" t="s">
        <v>19747</v>
      </c>
    </row>
    <row r="8423" spans="1:4">
      <c r="A8423">
        <v>20971</v>
      </c>
      <c r="B8423" t="s">
        <v>8935</v>
      </c>
      <c r="C8423" t="s">
        <v>427</v>
      </c>
      <c r="D8423" t="s">
        <v>16956</v>
      </c>
    </row>
    <row r="8424" spans="1:4">
      <c r="A8424">
        <v>13279</v>
      </c>
      <c r="B8424" t="s">
        <v>8936</v>
      </c>
      <c r="C8424" t="s">
        <v>430</v>
      </c>
      <c r="D8424" t="s">
        <v>25169</v>
      </c>
    </row>
    <row r="8425" spans="1:4">
      <c r="A8425">
        <v>11977</v>
      </c>
      <c r="B8425" t="s">
        <v>8937</v>
      </c>
      <c r="C8425" t="s">
        <v>427</v>
      </c>
      <c r="D8425" t="s">
        <v>17241</v>
      </c>
    </row>
    <row r="8426" spans="1:4">
      <c r="A8426">
        <v>11975</v>
      </c>
      <c r="B8426" t="s">
        <v>8938</v>
      </c>
      <c r="C8426" t="s">
        <v>427</v>
      </c>
      <c r="D8426" t="s">
        <v>25170</v>
      </c>
    </row>
    <row r="8427" spans="1:4">
      <c r="A8427">
        <v>39746</v>
      </c>
      <c r="B8427" t="s">
        <v>8939</v>
      </c>
      <c r="C8427" t="s">
        <v>427</v>
      </c>
      <c r="D8427" t="s">
        <v>25171</v>
      </c>
    </row>
    <row r="8428" spans="1:4">
      <c r="A8428">
        <v>11976</v>
      </c>
      <c r="B8428" t="s">
        <v>8940</v>
      </c>
      <c r="C8428" t="s">
        <v>427</v>
      </c>
      <c r="D8428" t="s">
        <v>15542</v>
      </c>
    </row>
    <row r="8429" spans="1:4">
      <c r="A8429">
        <v>1368</v>
      </c>
      <c r="B8429" t="s">
        <v>8941</v>
      </c>
      <c r="C8429" t="s">
        <v>427</v>
      </c>
      <c r="D8429" t="s">
        <v>21973</v>
      </c>
    </row>
    <row r="8430" spans="1:4">
      <c r="A8430">
        <v>1367</v>
      </c>
      <c r="B8430" t="s">
        <v>8942</v>
      </c>
      <c r="C8430" t="s">
        <v>427</v>
      </c>
      <c r="D8430" t="s">
        <v>25172</v>
      </c>
    </row>
    <row r="8431" spans="1:4">
      <c r="A8431">
        <v>41899</v>
      </c>
      <c r="B8431" t="s">
        <v>8943</v>
      </c>
      <c r="C8431" t="s">
        <v>437</v>
      </c>
      <c r="D8431" t="s">
        <v>25173</v>
      </c>
    </row>
    <row r="8432" spans="1:4">
      <c r="A8432">
        <v>1380</v>
      </c>
      <c r="B8432" t="s">
        <v>8944</v>
      </c>
      <c r="C8432" t="s">
        <v>430</v>
      </c>
      <c r="D8432" t="s">
        <v>24281</v>
      </c>
    </row>
    <row r="8433" spans="1:4">
      <c r="A8433">
        <v>1375</v>
      </c>
      <c r="B8433" t="s">
        <v>8945</v>
      </c>
      <c r="C8433" t="s">
        <v>430</v>
      </c>
      <c r="D8433" t="s">
        <v>16939</v>
      </c>
    </row>
    <row r="8434" spans="1:4">
      <c r="A8434">
        <v>1379</v>
      </c>
      <c r="B8434" t="s">
        <v>8946</v>
      </c>
      <c r="C8434" t="s">
        <v>430</v>
      </c>
      <c r="D8434" t="s">
        <v>24453</v>
      </c>
    </row>
    <row r="8435" spans="1:4">
      <c r="A8435">
        <v>13284</v>
      </c>
      <c r="B8435" t="s">
        <v>8947</v>
      </c>
      <c r="C8435" t="s">
        <v>430</v>
      </c>
      <c r="D8435" t="s">
        <v>24453</v>
      </c>
    </row>
    <row r="8436" spans="1:4">
      <c r="A8436">
        <v>44528</v>
      </c>
      <c r="B8436" t="s">
        <v>13438</v>
      </c>
      <c r="C8436" t="s">
        <v>430</v>
      </c>
      <c r="D8436" t="s">
        <v>15834</v>
      </c>
    </row>
    <row r="8437" spans="1:4">
      <c r="A8437">
        <v>34753</v>
      </c>
      <c r="B8437" t="s">
        <v>8948</v>
      </c>
      <c r="C8437" t="s">
        <v>430</v>
      </c>
      <c r="D8437" t="s">
        <v>15724</v>
      </c>
    </row>
    <row r="8438" spans="1:4">
      <c r="A8438">
        <v>420</v>
      </c>
      <c r="B8438" t="s">
        <v>8949</v>
      </c>
      <c r="C8438" t="s">
        <v>427</v>
      </c>
      <c r="D8438" t="s">
        <v>17782</v>
      </c>
    </row>
    <row r="8439" spans="1:4">
      <c r="A8439">
        <v>12327</v>
      </c>
      <c r="B8439" t="s">
        <v>8950</v>
      </c>
      <c r="C8439" t="s">
        <v>427</v>
      </c>
      <c r="D8439" t="s">
        <v>25174</v>
      </c>
    </row>
    <row r="8440" spans="1:4">
      <c r="A8440">
        <v>36148</v>
      </c>
      <c r="B8440" t="s">
        <v>8951</v>
      </c>
      <c r="C8440" t="s">
        <v>427</v>
      </c>
      <c r="D8440" t="s">
        <v>24887</v>
      </c>
    </row>
    <row r="8441" spans="1:4">
      <c r="A8441">
        <v>12329</v>
      </c>
      <c r="B8441" t="s">
        <v>8952</v>
      </c>
      <c r="C8441" t="s">
        <v>430</v>
      </c>
      <c r="D8441" t="s">
        <v>22767</v>
      </c>
    </row>
    <row r="8442" spans="1:4">
      <c r="A8442">
        <v>1339</v>
      </c>
      <c r="B8442" t="s">
        <v>8953</v>
      </c>
      <c r="C8442" t="s">
        <v>430</v>
      </c>
      <c r="D8442" t="s">
        <v>25175</v>
      </c>
    </row>
    <row r="8443" spans="1:4">
      <c r="A8443">
        <v>44396</v>
      </c>
      <c r="B8443" t="s">
        <v>8954</v>
      </c>
      <c r="C8443" t="s">
        <v>430</v>
      </c>
      <c r="D8443" t="s">
        <v>25176</v>
      </c>
    </row>
    <row r="8444" spans="1:4">
      <c r="A8444">
        <v>44327</v>
      </c>
      <c r="B8444" t="s">
        <v>8955</v>
      </c>
      <c r="C8444" t="s">
        <v>428</v>
      </c>
      <c r="D8444" t="s">
        <v>25177</v>
      </c>
    </row>
    <row r="8445" spans="1:4">
      <c r="A8445">
        <v>37418</v>
      </c>
      <c r="B8445" t="s">
        <v>8956</v>
      </c>
      <c r="C8445" t="s">
        <v>427</v>
      </c>
      <c r="D8445" t="s">
        <v>22594</v>
      </c>
    </row>
    <row r="8446" spans="1:4">
      <c r="A8446">
        <v>37419</v>
      </c>
      <c r="B8446" t="s">
        <v>8957</v>
      </c>
      <c r="C8446" t="s">
        <v>427</v>
      </c>
      <c r="D8446" t="s">
        <v>25178</v>
      </c>
    </row>
    <row r="8447" spans="1:4">
      <c r="A8447">
        <v>1427</v>
      </c>
      <c r="B8447" t="s">
        <v>8958</v>
      </c>
      <c r="C8447" t="s">
        <v>427</v>
      </c>
      <c r="D8447" t="s">
        <v>18228</v>
      </c>
    </row>
    <row r="8448" spans="1:4">
      <c r="A8448">
        <v>1402</v>
      </c>
      <c r="B8448" t="s">
        <v>8959</v>
      </c>
      <c r="C8448" t="s">
        <v>427</v>
      </c>
      <c r="D8448" t="s">
        <v>25179</v>
      </c>
    </row>
    <row r="8449" spans="1:4">
      <c r="A8449">
        <v>1420</v>
      </c>
      <c r="B8449" t="s">
        <v>8960</v>
      </c>
      <c r="C8449" t="s">
        <v>427</v>
      </c>
      <c r="D8449" t="s">
        <v>15740</v>
      </c>
    </row>
    <row r="8450" spans="1:4">
      <c r="A8450">
        <v>1419</v>
      </c>
      <c r="B8450" t="s">
        <v>8961</v>
      </c>
      <c r="C8450" t="s">
        <v>427</v>
      </c>
      <c r="D8450" t="s">
        <v>16090</v>
      </c>
    </row>
    <row r="8451" spans="1:4">
      <c r="A8451">
        <v>1414</v>
      </c>
      <c r="B8451" t="s">
        <v>8962</v>
      </c>
      <c r="C8451" t="s">
        <v>427</v>
      </c>
      <c r="D8451" t="s">
        <v>21874</v>
      </c>
    </row>
    <row r="8452" spans="1:4">
      <c r="A8452">
        <v>1413</v>
      </c>
      <c r="B8452" t="s">
        <v>8963</v>
      </c>
      <c r="C8452" t="s">
        <v>427</v>
      </c>
      <c r="D8452" t="s">
        <v>15049</v>
      </c>
    </row>
    <row r="8453" spans="1:4">
      <c r="A8453">
        <v>1412</v>
      </c>
      <c r="B8453" t="s">
        <v>8964</v>
      </c>
      <c r="C8453" t="s">
        <v>427</v>
      </c>
      <c r="D8453" t="s">
        <v>16948</v>
      </c>
    </row>
    <row r="8454" spans="1:4">
      <c r="A8454">
        <v>1411</v>
      </c>
      <c r="B8454" t="s">
        <v>8965</v>
      </c>
      <c r="C8454" t="s">
        <v>427</v>
      </c>
      <c r="D8454" t="s">
        <v>25180</v>
      </c>
    </row>
    <row r="8455" spans="1:4">
      <c r="A8455">
        <v>1406</v>
      </c>
      <c r="B8455" t="s">
        <v>8966</v>
      </c>
      <c r="C8455" t="s">
        <v>427</v>
      </c>
      <c r="D8455" t="s">
        <v>20270</v>
      </c>
    </row>
    <row r="8456" spans="1:4">
      <c r="A8456">
        <v>1407</v>
      </c>
      <c r="B8456" t="s">
        <v>8967</v>
      </c>
      <c r="C8456" t="s">
        <v>427</v>
      </c>
      <c r="D8456" t="s">
        <v>17279</v>
      </c>
    </row>
    <row r="8457" spans="1:4">
      <c r="A8457">
        <v>1404</v>
      </c>
      <c r="B8457" t="s">
        <v>8968</v>
      </c>
      <c r="C8457" t="s">
        <v>427</v>
      </c>
      <c r="D8457" t="s">
        <v>23008</v>
      </c>
    </row>
    <row r="8458" spans="1:4">
      <c r="A8458">
        <v>11281</v>
      </c>
      <c r="B8458" t="s">
        <v>8969</v>
      </c>
      <c r="C8458" t="s">
        <v>427</v>
      </c>
      <c r="D8458" t="s">
        <v>25181</v>
      </c>
    </row>
    <row r="8459" spans="1:4">
      <c r="A8459">
        <v>1442</v>
      </c>
      <c r="B8459" t="s">
        <v>8970</v>
      </c>
      <c r="C8459" t="s">
        <v>427</v>
      </c>
      <c r="D8459" t="s">
        <v>25182</v>
      </c>
    </row>
    <row r="8460" spans="1:4">
      <c r="A8460">
        <v>13457</v>
      </c>
      <c r="B8460" t="s">
        <v>8971</v>
      </c>
      <c r="C8460" t="s">
        <v>427</v>
      </c>
      <c r="D8460" t="s">
        <v>25183</v>
      </c>
    </row>
    <row r="8461" spans="1:4">
      <c r="A8461">
        <v>40699</v>
      </c>
      <c r="B8461" t="s">
        <v>8972</v>
      </c>
      <c r="C8461" t="s">
        <v>427</v>
      </c>
      <c r="D8461" t="s">
        <v>25184</v>
      </c>
    </row>
    <row r="8462" spans="1:4">
      <c r="A8462">
        <v>40701</v>
      </c>
      <c r="B8462" t="s">
        <v>8973</v>
      </c>
      <c r="C8462" t="s">
        <v>427</v>
      </c>
      <c r="D8462" t="s">
        <v>25185</v>
      </c>
    </row>
    <row r="8463" spans="1:4">
      <c r="A8463">
        <v>40700</v>
      </c>
      <c r="B8463" t="s">
        <v>8974</v>
      </c>
      <c r="C8463" t="s">
        <v>427</v>
      </c>
      <c r="D8463" t="s">
        <v>25186</v>
      </c>
    </row>
    <row r="8464" spans="1:4">
      <c r="A8464">
        <v>13458</v>
      </c>
      <c r="B8464" t="s">
        <v>8975</v>
      </c>
      <c r="C8464" t="s">
        <v>427</v>
      </c>
      <c r="D8464" t="s">
        <v>25187</v>
      </c>
    </row>
    <row r="8465" spans="1:4">
      <c r="A8465">
        <v>11134</v>
      </c>
      <c r="B8465" t="s">
        <v>8976</v>
      </c>
      <c r="C8465" t="s">
        <v>426</v>
      </c>
      <c r="D8465" t="s">
        <v>23236</v>
      </c>
    </row>
    <row r="8466" spans="1:4">
      <c r="A8466">
        <v>11135</v>
      </c>
      <c r="B8466" t="s">
        <v>8977</v>
      </c>
      <c r="C8466" t="s">
        <v>426</v>
      </c>
      <c r="D8466" t="s">
        <v>25188</v>
      </c>
    </row>
    <row r="8467" spans="1:4">
      <c r="A8467">
        <v>11136</v>
      </c>
      <c r="B8467" t="s">
        <v>8978</v>
      </c>
      <c r="C8467" t="s">
        <v>426</v>
      </c>
      <c r="D8467" t="s">
        <v>25189</v>
      </c>
    </row>
    <row r="8468" spans="1:4">
      <c r="A8468">
        <v>34743</v>
      </c>
      <c r="B8468" t="s">
        <v>8979</v>
      </c>
      <c r="C8468" t="s">
        <v>426</v>
      </c>
      <c r="D8468" t="s">
        <v>25190</v>
      </c>
    </row>
    <row r="8469" spans="1:4">
      <c r="A8469">
        <v>11137</v>
      </c>
      <c r="B8469" t="s">
        <v>8980</v>
      </c>
      <c r="C8469" t="s">
        <v>426</v>
      </c>
      <c r="D8469" t="s">
        <v>25191</v>
      </c>
    </row>
    <row r="8470" spans="1:4">
      <c r="A8470">
        <v>34745</v>
      </c>
      <c r="B8470" t="s">
        <v>8981</v>
      </c>
      <c r="C8470" t="s">
        <v>426</v>
      </c>
      <c r="D8470" t="s">
        <v>25192</v>
      </c>
    </row>
    <row r="8471" spans="1:4">
      <c r="A8471">
        <v>34746</v>
      </c>
      <c r="B8471" t="s">
        <v>8982</v>
      </c>
      <c r="C8471" t="s">
        <v>426</v>
      </c>
      <c r="D8471" t="s">
        <v>21703</v>
      </c>
    </row>
    <row r="8472" spans="1:4">
      <c r="A8472">
        <v>1360</v>
      </c>
      <c r="B8472" t="s">
        <v>8983</v>
      </c>
      <c r="C8472" t="s">
        <v>426</v>
      </c>
      <c r="D8472" t="s">
        <v>22787</v>
      </c>
    </row>
    <row r="8473" spans="1:4">
      <c r="A8473">
        <v>36524</v>
      </c>
      <c r="B8473" t="s">
        <v>8984</v>
      </c>
      <c r="C8473" t="s">
        <v>427</v>
      </c>
      <c r="D8473" t="s">
        <v>25193</v>
      </c>
    </row>
    <row r="8474" spans="1:4">
      <c r="A8474">
        <v>36526</v>
      </c>
      <c r="B8474" t="s">
        <v>8985</v>
      </c>
      <c r="C8474" t="s">
        <v>427</v>
      </c>
      <c r="D8474" t="s">
        <v>25194</v>
      </c>
    </row>
    <row r="8475" spans="1:4">
      <c r="A8475">
        <v>36523</v>
      </c>
      <c r="B8475" t="s">
        <v>8986</v>
      </c>
      <c r="C8475" t="s">
        <v>427</v>
      </c>
      <c r="D8475" t="s">
        <v>25195</v>
      </c>
    </row>
    <row r="8476" spans="1:4">
      <c r="A8476">
        <v>36527</v>
      </c>
      <c r="B8476" t="s">
        <v>8987</v>
      </c>
      <c r="C8476" t="s">
        <v>427</v>
      </c>
      <c r="D8476" t="s">
        <v>25196</v>
      </c>
    </row>
    <row r="8477" spans="1:4">
      <c r="A8477">
        <v>13803</v>
      </c>
      <c r="B8477" t="s">
        <v>8988</v>
      </c>
      <c r="C8477" t="s">
        <v>427</v>
      </c>
      <c r="D8477" t="s">
        <v>25197</v>
      </c>
    </row>
    <row r="8478" spans="1:4">
      <c r="A8478">
        <v>38642</v>
      </c>
      <c r="B8478" t="s">
        <v>8989</v>
      </c>
      <c r="C8478" t="s">
        <v>427</v>
      </c>
      <c r="D8478" t="s">
        <v>25198</v>
      </c>
    </row>
    <row r="8479" spans="1:4">
      <c r="A8479">
        <v>36522</v>
      </c>
      <c r="B8479" t="s">
        <v>8990</v>
      </c>
      <c r="C8479" t="s">
        <v>427</v>
      </c>
      <c r="D8479" t="s">
        <v>25199</v>
      </c>
    </row>
    <row r="8480" spans="1:4">
      <c r="A8480">
        <v>36525</v>
      </c>
      <c r="B8480" t="s">
        <v>8991</v>
      </c>
      <c r="C8480" t="s">
        <v>427</v>
      </c>
      <c r="D8480" t="s">
        <v>25200</v>
      </c>
    </row>
    <row r="8481" spans="1:4">
      <c r="A8481">
        <v>34348</v>
      </c>
      <c r="B8481" t="s">
        <v>8992</v>
      </c>
      <c r="C8481" t="s">
        <v>429</v>
      </c>
      <c r="D8481" t="s">
        <v>19457</v>
      </c>
    </row>
    <row r="8482" spans="1:4">
      <c r="A8482">
        <v>34347</v>
      </c>
      <c r="B8482" t="s">
        <v>8993</v>
      </c>
      <c r="C8482" t="s">
        <v>429</v>
      </c>
      <c r="D8482" t="s">
        <v>20961</v>
      </c>
    </row>
    <row r="8483" spans="1:4">
      <c r="A8483">
        <v>11146</v>
      </c>
      <c r="B8483" t="s">
        <v>8994</v>
      </c>
      <c r="C8483" t="s">
        <v>431</v>
      </c>
      <c r="D8483" t="s">
        <v>25201</v>
      </c>
    </row>
    <row r="8484" spans="1:4">
      <c r="A8484">
        <v>11147</v>
      </c>
      <c r="B8484" t="s">
        <v>8995</v>
      </c>
      <c r="C8484" t="s">
        <v>431</v>
      </c>
      <c r="D8484" t="s">
        <v>25202</v>
      </c>
    </row>
    <row r="8485" spans="1:4">
      <c r="A8485">
        <v>34872</v>
      </c>
      <c r="B8485" t="s">
        <v>8996</v>
      </c>
      <c r="C8485" t="s">
        <v>431</v>
      </c>
      <c r="D8485" t="s">
        <v>25203</v>
      </c>
    </row>
    <row r="8486" spans="1:4">
      <c r="A8486">
        <v>34491</v>
      </c>
      <c r="B8486" t="s">
        <v>8997</v>
      </c>
      <c r="C8486" t="s">
        <v>431</v>
      </c>
      <c r="D8486" t="s">
        <v>25204</v>
      </c>
    </row>
    <row r="8487" spans="1:4">
      <c r="A8487">
        <v>34770</v>
      </c>
      <c r="B8487" t="s">
        <v>8998</v>
      </c>
      <c r="C8487" t="s">
        <v>437</v>
      </c>
      <c r="D8487" t="s">
        <v>25205</v>
      </c>
    </row>
    <row r="8488" spans="1:4">
      <c r="A8488">
        <v>1518</v>
      </c>
      <c r="B8488" t="s">
        <v>8999</v>
      </c>
      <c r="C8488" t="s">
        <v>437</v>
      </c>
      <c r="D8488" t="s">
        <v>25206</v>
      </c>
    </row>
    <row r="8489" spans="1:4">
      <c r="A8489">
        <v>41965</v>
      </c>
      <c r="B8489" t="s">
        <v>9000</v>
      </c>
      <c r="C8489" t="s">
        <v>437</v>
      </c>
      <c r="D8489" t="s">
        <v>25207</v>
      </c>
    </row>
    <row r="8490" spans="1:4">
      <c r="A8490">
        <v>34492</v>
      </c>
      <c r="B8490" t="s">
        <v>9001</v>
      </c>
      <c r="C8490" t="s">
        <v>431</v>
      </c>
      <c r="D8490" t="s">
        <v>25208</v>
      </c>
    </row>
    <row r="8491" spans="1:4">
      <c r="A8491">
        <v>1524</v>
      </c>
      <c r="B8491" t="s">
        <v>9002</v>
      </c>
      <c r="C8491" t="s">
        <v>431</v>
      </c>
      <c r="D8491" t="s">
        <v>25209</v>
      </c>
    </row>
    <row r="8492" spans="1:4">
      <c r="A8492">
        <v>38404</v>
      </c>
      <c r="B8492" t="s">
        <v>9003</v>
      </c>
      <c r="C8492" t="s">
        <v>431</v>
      </c>
      <c r="D8492" t="s">
        <v>25210</v>
      </c>
    </row>
    <row r="8493" spans="1:4">
      <c r="A8493">
        <v>39849</v>
      </c>
      <c r="B8493" t="s">
        <v>9004</v>
      </c>
      <c r="C8493" t="s">
        <v>431</v>
      </c>
      <c r="D8493" t="s">
        <v>25211</v>
      </c>
    </row>
    <row r="8494" spans="1:4">
      <c r="A8494">
        <v>38464</v>
      </c>
      <c r="B8494" t="s">
        <v>9005</v>
      </c>
      <c r="C8494" t="s">
        <v>431</v>
      </c>
      <c r="D8494" t="s">
        <v>25212</v>
      </c>
    </row>
    <row r="8495" spans="1:4">
      <c r="A8495">
        <v>34493</v>
      </c>
      <c r="B8495" t="s">
        <v>9006</v>
      </c>
      <c r="C8495" t="s">
        <v>431</v>
      </c>
      <c r="D8495" t="s">
        <v>25213</v>
      </c>
    </row>
    <row r="8496" spans="1:4">
      <c r="A8496">
        <v>1527</v>
      </c>
      <c r="B8496" t="s">
        <v>9007</v>
      </c>
      <c r="C8496" t="s">
        <v>431</v>
      </c>
      <c r="D8496" t="s">
        <v>25214</v>
      </c>
    </row>
    <row r="8497" spans="1:4">
      <c r="A8497">
        <v>38405</v>
      </c>
      <c r="B8497" t="s">
        <v>9008</v>
      </c>
      <c r="C8497" t="s">
        <v>431</v>
      </c>
      <c r="D8497" t="s">
        <v>25215</v>
      </c>
    </row>
    <row r="8498" spans="1:4">
      <c r="A8498">
        <v>38408</v>
      </c>
      <c r="B8498" t="s">
        <v>9009</v>
      </c>
      <c r="C8498" t="s">
        <v>431</v>
      </c>
      <c r="D8498" t="s">
        <v>25216</v>
      </c>
    </row>
    <row r="8499" spans="1:4">
      <c r="A8499">
        <v>34494</v>
      </c>
      <c r="B8499" t="s">
        <v>9010</v>
      </c>
      <c r="C8499" t="s">
        <v>431</v>
      </c>
      <c r="D8499" t="s">
        <v>25217</v>
      </c>
    </row>
    <row r="8500" spans="1:4">
      <c r="A8500">
        <v>1525</v>
      </c>
      <c r="B8500" t="s">
        <v>9011</v>
      </c>
      <c r="C8500" t="s">
        <v>431</v>
      </c>
      <c r="D8500" t="s">
        <v>25218</v>
      </c>
    </row>
    <row r="8501" spans="1:4">
      <c r="A8501">
        <v>38406</v>
      </c>
      <c r="B8501" t="s">
        <v>9012</v>
      </c>
      <c r="C8501" t="s">
        <v>431</v>
      </c>
      <c r="D8501" t="s">
        <v>25219</v>
      </c>
    </row>
    <row r="8502" spans="1:4">
      <c r="A8502">
        <v>38409</v>
      </c>
      <c r="B8502" t="s">
        <v>9013</v>
      </c>
      <c r="C8502" t="s">
        <v>431</v>
      </c>
      <c r="D8502" t="s">
        <v>25220</v>
      </c>
    </row>
    <row r="8503" spans="1:4">
      <c r="A8503">
        <v>43360</v>
      </c>
      <c r="B8503" t="s">
        <v>9014</v>
      </c>
      <c r="C8503" t="s">
        <v>431</v>
      </c>
      <c r="D8503" t="s">
        <v>25221</v>
      </c>
    </row>
    <row r="8504" spans="1:4">
      <c r="A8504">
        <v>34495</v>
      </c>
      <c r="B8504" t="s">
        <v>9015</v>
      </c>
      <c r="C8504" t="s">
        <v>431</v>
      </c>
      <c r="D8504" t="s">
        <v>25222</v>
      </c>
    </row>
    <row r="8505" spans="1:4">
      <c r="A8505">
        <v>11145</v>
      </c>
      <c r="B8505" t="s">
        <v>9016</v>
      </c>
      <c r="C8505" t="s">
        <v>431</v>
      </c>
      <c r="D8505" t="s">
        <v>25203</v>
      </c>
    </row>
    <row r="8506" spans="1:4">
      <c r="A8506">
        <v>34496</v>
      </c>
      <c r="B8506" t="s">
        <v>9017</v>
      </c>
      <c r="C8506" t="s">
        <v>431</v>
      </c>
      <c r="D8506" t="s">
        <v>25223</v>
      </c>
    </row>
    <row r="8507" spans="1:4">
      <c r="A8507">
        <v>34479</v>
      </c>
      <c r="B8507" t="s">
        <v>9018</v>
      </c>
      <c r="C8507" t="s">
        <v>431</v>
      </c>
      <c r="D8507" t="s">
        <v>25204</v>
      </c>
    </row>
    <row r="8508" spans="1:4">
      <c r="A8508">
        <v>34481</v>
      </c>
      <c r="B8508" t="s">
        <v>9019</v>
      </c>
      <c r="C8508" t="s">
        <v>431</v>
      </c>
      <c r="D8508" t="s">
        <v>25224</v>
      </c>
    </row>
    <row r="8509" spans="1:4">
      <c r="A8509">
        <v>34483</v>
      </c>
      <c r="B8509" t="s">
        <v>9020</v>
      </c>
      <c r="C8509" t="s">
        <v>431</v>
      </c>
      <c r="D8509" t="s">
        <v>25225</v>
      </c>
    </row>
    <row r="8510" spans="1:4">
      <c r="A8510">
        <v>34485</v>
      </c>
      <c r="B8510" t="s">
        <v>9021</v>
      </c>
      <c r="C8510" t="s">
        <v>431</v>
      </c>
      <c r="D8510" t="s">
        <v>25226</v>
      </c>
    </row>
    <row r="8511" spans="1:4">
      <c r="A8511">
        <v>14041</v>
      </c>
      <c r="B8511" t="s">
        <v>9022</v>
      </c>
      <c r="C8511" t="s">
        <v>431</v>
      </c>
      <c r="D8511" t="s">
        <v>25227</v>
      </c>
    </row>
    <row r="8512" spans="1:4">
      <c r="A8512">
        <v>1523</v>
      </c>
      <c r="B8512" t="s">
        <v>9023</v>
      </c>
      <c r="C8512" t="s">
        <v>431</v>
      </c>
      <c r="D8512" t="s">
        <v>25228</v>
      </c>
    </row>
    <row r="8513" spans="1:4">
      <c r="A8513">
        <v>14052</v>
      </c>
      <c r="B8513" t="s">
        <v>9024</v>
      </c>
      <c r="C8513" t="s">
        <v>427</v>
      </c>
      <c r="D8513" t="s">
        <v>23643</v>
      </c>
    </row>
    <row r="8514" spans="1:4">
      <c r="A8514">
        <v>14054</v>
      </c>
      <c r="B8514" t="s">
        <v>9025</v>
      </c>
      <c r="C8514" t="s">
        <v>427</v>
      </c>
      <c r="D8514" t="s">
        <v>16932</v>
      </c>
    </row>
    <row r="8515" spans="1:4">
      <c r="A8515">
        <v>14053</v>
      </c>
      <c r="B8515" t="s">
        <v>9026</v>
      </c>
      <c r="C8515" t="s">
        <v>427</v>
      </c>
      <c r="D8515" t="s">
        <v>24632</v>
      </c>
    </row>
    <row r="8516" spans="1:4">
      <c r="A8516">
        <v>2558</v>
      </c>
      <c r="B8516" t="s">
        <v>9027</v>
      </c>
      <c r="C8516" t="s">
        <v>427</v>
      </c>
      <c r="D8516" t="s">
        <v>24456</v>
      </c>
    </row>
    <row r="8517" spans="1:4">
      <c r="A8517">
        <v>2560</v>
      </c>
      <c r="B8517" t="s">
        <v>9028</v>
      </c>
      <c r="C8517" t="s">
        <v>427</v>
      </c>
      <c r="D8517" t="s">
        <v>16917</v>
      </c>
    </row>
    <row r="8518" spans="1:4">
      <c r="A8518">
        <v>2559</v>
      </c>
      <c r="B8518" t="s">
        <v>9029</v>
      </c>
      <c r="C8518" t="s">
        <v>427</v>
      </c>
      <c r="D8518" t="s">
        <v>21632</v>
      </c>
    </row>
    <row r="8519" spans="1:4">
      <c r="A8519">
        <v>2592</v>
      </c>
      <c r="B8519" t="s">
        <v>9030</v>
      </c>
      <c r="C8519" t="s">
        <v>427</v>
      </c>
      <c r="D8519" t="s">
        <v>25229</v>
      </c>
    </row>
    <row r="8520" spans="1:4">
      <c r="A8520">
        <v>2566</v>
      </c>
      <c r="B8520" t="s">
        <v>9031</v>
      </c>
      <c r="C8520" t="s">
        <v>427</v>
      </c>
      <c r="D8520" t="s">
        <v>25230</v>
      </c>
    </row>
    <row r="8521" spans="1:4">
      <c r="A8521">
        <v>2589</v>
      </c>
      <c r="B8521" t="s">
        <v>9032</v>
      </c>
      <c r="C8521" t="s">
        <v>427</v>
      </c>
      <c r="D8521" t="s">
        <v>20345</v>
      </c>
    </row>
    <row r="8522" spans="1:4">
      <c r="A8522">
        <v>2591</v>
      </c>
      <c r="B8522" t="s">
        <v>9033</v>
      </c>
      <c r="C8522" t="s">
        <v>427</v>
      </c>
      <c r="D8522" t="s">
        <v>17269</v>
      </c>
    </row>
    <row r="8523" spans="1:4">
      <c r="A8523">
        <v>2590</v>
      </c>
      <c r="B8523" t="s">
        <v>9034</v>
      </c>
      <c r="C8523" t="s">
        <v>427</v>
      </c>
      <c r="D8523" t="s">
        <v>14869</v>
      </c>
    </row>
    <row r="8524" spans="1:4">
      <c r="A8524">
        <v>2567</v>
      </c>
      <c r="B8524" t="s">
        <v>9035</v>
      </c>
      <c r="C8524" t="s">
        <v>427</v>
      </c>
      <c r="D8524" t="s">
        <v>17931</v>
      </c>
    </row>
    <row r="8525" spans="1:4">
      <c r="A8525">
        <v>2565</v>
      </c>
      <c r="B8525" t="s">
        <v>9036</v>
      </c>
      <c r="C8525" t="s">
        <v>427</v>
      </c>
      <c r="D8525" t="s">
        <v>17214</v>
      </c>
    </row>
    <row r="8526" spans="1:4">
      <c r="A8526">
        <v>2568</v>
      </c>
      <c r="B8526" t="s">
        <v>9037</v>
      </c>
      <c r="C8526" t="s">
        <v>427</v>
      </c>
      <c r="D8526" t="s">
        <v>25231</v>
      </c>
    </row>
    <row r="8527" spans="1:4">
      <c r="A8527">
        <v>2594</v>
      </c>
      <c r="B8527" t="s">
        <v>9038</v>
      </c>
      <c r="C8527" t="s">
        <v>427</v>
      </c>
      <c r="D8527" t="s">
        <v>25232</v>
      </c>
    </row>
    <row r="8528" spans="1:4">
      <c r="A8528">
        <v>2587</v>
      </c>
      <c r="B8528" t="s">
        <v>9039</v>
      </c>
      <c r="C8528" t="s">
        <v>427</v>
      </c>
      <c r="D8528" t="s">
        <v>18413</v>
      </c>
    </row>
    <row r="8529" spans="1:4">
      <c r="A8529">
        <v>2588</v>
      </c>
      <c r="B8529" t="s">
        <v>9040</v>
      </c>
      <c r="C8529" t="s">
        <v>427</v>
      </c>
      <c r="D8529" t="s">
        <v>18329</v>
      </c>
    </row>
    <row r="8530" spans="1:4">
      <c r="A8530">
        <v>2569</v>
      </c>
      <c r="B8530" t="s">
        <v>9041</v>
      </c>
      <c r="C8530" t="s">
        <v>427</v>
      </c>
      <c r="D8530" t="s">
        <v>18041</v>
      </c>
    </row>
    <row r="8531" spans="1:4">
      <c r="A8531">
        <v>2570</v>
      </c>
      <c r="B8531" t="s">
        <v>9042</v>
      </c>
      <c r="C8531" t="s">
        <v>427</v>
      </c>
      <c r="D8531" t="s">
        <v>18560</v>
      </c>
    </row>
    <row r="8532" spans="1:4">
      <c r="A8532">
        <v>2571</v>
      </c>
      <c r="B8532" t="s">
        <v>9043</v>
      </c>
      <c r="C8532" t="s">
        <v>427</v>
      </c>
      <c r="D8532" t="s">
        <v>19825</v>
      </c>
    </row>
    <row r="8533" spans="1:4">
      <c r="A8533">
        <v>2593</v>
      </c>
      <c r="B8533" t="s">
        <v>9044</v>
      </c>
      <c r="C8533" t="s">
        <v>427</v>
      </c>
      <c r="D8533" t="s">
        <v>15604</v>
      </c>
    </row>
    <row r="8534" spans="1:4">
      <c r="A8534">
        <v>2572</v>
      </c>
      <c r="B8534" t="s">
        <v>9045</v>
      </c>
      <c r="C8534" t="s">
        <v>427</v>
      </c>
      <c r="D8534" t="s">
        <v>25233</v>
      </c>
    </row>
    <row r="8535" spans="1:4">
      <c r="A8535">
        <v>2595</v>
      </c>
      <c r="B8535" t="s">
        <v>9046</v>
      </c>
      <c r="C8535" t="s">
        <v>427</v>
      </c>
      <c r="D8535" t="s">
        <v>25234</v>
      </c>
    </row>
    <row r="8536" spans="1:4">
      <c r="A8536">
        <v>2576</v>
      </c>
      <c r="B8536" t="s">
        <v>9047</v>
      </c>
      <c r="C8536" t="s">
        <v>427</v>
      </c>
      <c r="D8536" t="s">
        <v>25235</v>
      </c>
    </row>
    <row r="8537" spans="1:4">
      <c r="A8537">
        <v>2575</v>
      </c>
      <c r="B8537" t="s">
        <v>9048</v>
      </c>
      <c r="C8537" t="s">
        <v>427</v>
      </c>
      <c r="D8537" t="s">
        <v>25236</v>
      </c>
    </row>
    <row r="8538" spans="1:4">
      <c r="A8538">
        <v>2573</v>
      </c>
      <c r="B8538" t="s">
        <v>9049</v>
      </c>
      <c r="C8538" t="s">
        <v>427</v>
      </c>
      <c r="D8538" t="s">
        <v>14943</v>
      </c>
    </row>
    <row r="8539" spans="1:4">
      <c r="A8539">
        <v>2586</v>
      </c>
      <c r="B8539" t="s">
        <v>9050</v>
      </c>
      <c r="C8539" t="s">
        <v>427</v>
      </c>
      <c r="D8539" t="s">
        <v>18102</v>
      </c>
    </row>
    <row r="8540" spans="1:4">
      <c r="A8540">
        <v>2577</v>
      </c>
      <c r="B8540" t="s">
        <v>9051</v>
      </c>
      <c r="C8540" t="s">
        <v>427</v>
      </c>
      <c r="D8540" t="s">
        <v>25237</v>
      </c>
    </row>
    <row r="8541" spans="1:4">
      <c r="A8541">
        <v>2574</v>
      </c>
      <c r="B8541" t="s">
        <v>9052</v>
      </c>
      <c r="C8541" t="s">
        <v>427</v>
      </c>
      <c r="D8541" t="s">
        <v>18100</v>
      </c>
    </row>
    <row r="8542" spans="1:4">
      <c r="A8542">
        <v>2578</v>
      </c>
      <c r="B8542" t="s">
        <v>9053</v>
      </c>
      <c r="C8542" t="s">
        <v>427</v>
      </c>
      <c r="D8542" t="s">
        <v>25238</v>
      </c>
    </row>
    <row r="8543" spans="1:4">
      <c r="A8543">
        <v>2585</v>
      </c>
      <c r="B8543" t="s">
        <v>9054</v>
      </c>
      <c r="C8543" t="s">
        <v>427</v>
      </c>
      <c r="D8543" t="s">
        <v>22856</v>
      </c>
    </row>
    <row r="8544" spans="1:4">
      <c r="A8544">
        <v>12008</v>
      </c>
      <c r="B8544" t="s">
        <v>9055</v>
      </c>
      <c r="C8544" t="s">
        <v>427</v>
      </c>
      <c r="D8544" t="s">
        <v>25239</v>
      </c>
    </row>
    <row r="8545" spans="1:4">
      <c r="A8545">
        <v>2582</v>
      </c>
      <c r="B8545" t="s">
        <v>9056</v>
      </c>
      <c r="C8545" t="s">
        <v>427</v>
      </c>
      <c r="D8545" t="s">
        <v>18047</v>
      </c>
    </row>
    <row r="8546" spans="1:4">
      <c r="A8546">
        <v>2597</v>
      </c>
      <c r="B8546" t="s">
        <v>9057</v>
      </c>
      <c r="C8546" t="s">
        <v>427</v>
      </c>
      <c r="D8546" t="s">
        <v>22708</v>
      </c>
    </row>
    <row r="8547" spans="1:4">
      <c r="A8547">
        <v>2579</v>
      </c>
      <c r="B8547" t="s">
        <v>9058</v>
      </c>
      <c r="C8547" t="s">
        <v>427</v>
      </c>
      <c r="D8547" t="s">
        <v>19297</v>
      </c>
    </row>
    <row r="8548" spans="1:4">
      <c r="A8548">
        <v>2581</v>
      </c>
      <c r="B8548" t="s">
        <v>9059</v>
      </c>
      <c r="C8548" t="s">
        <v>427</v>
      </c>
      <c r="D8548" t="s">
        <v>16965</v>
      </c>
    </row>
    <row r="8549" spans="1:4">
      <c r="A8549">
        <v>2596</v>
      </c>
      <c r="B8549" t="s">
        <v>9060</v>
      </c>
      <c r="C8549" t="s">
        <v>427</v>
      </c>
      <c r="D8549" t="s">
        <v>25240</v>
      </c>
    </row>
    <row r="8550" spans="1:4">
      <c r="A8550">
        <v>2580</v>
      </c>
      <c r="B8550" t="s">
        <v>9061</v>
      </c>
      <c r="C8550" t="s">
        <v>427</v>
      </c>
      <c r="D8550" t="s">
        <v>19229</v>
      </c>
    </row>
    <row r="8551" spans="1:4">
      <c r="A8551">
        <v>2583</v>
      </c>
      <c r="B8551" t="s">
        <v>9062</v>
      </c>
      <c r="C8551" t="s">
        <v>427</v>
      </c>
      <c r="D8551" t="s">
        <v>25241</v>
      </c>
    </row>
    <row r="8552" spans="1:4">
      <c r="A8552">
        <v>2584</v>
      </c>
      <c r="B8552" t="s">
        <v>9063</v>
      </c>
      <c r="C8552" t="s">
        <v>427</v>
      </c>
      <c r="D8552" t="s">
        <v>25242</v>
      </c>
    </row>
    <row r="8553" spans="1:4">
      <c r="A8553">
        <v>12010</v>
      </c>
      <c r="B8553" t="s">
        <v>9064</v>
      </c>
      <c r="C8553" t="s">
        <v>427</v>
      </c>
      <c r="D8553" t="s">
        <v>22082</v>
      </c>
    </row>
    <row r="8554" spans="1:4">
      <c r="A8554">
        <v>39329</v>
      </c>
      <c r="B8554" t="s">
        <v>9065</v>
      </c>
      <c r="C8554" t="s">
        <v>427</v>
      </c>
      <c r="D8554" t="s">
        <v>20277</v>
      </c>
    </row>
    <row r="8555" spans="1:4">
      <c r="A8555">
        <v>39330</v>
      </c>
      <c r="B8555" t="s">
        <v>9066</v>
      </c>
      <c r="C8555" t="s">
        <v>427</v>
      </c>
      <c r="D8555" t="s">
        <v>17215</v>
      </c>
    </row>
    <row r="8556" spans="1:4">
      <c r="A8556">
        <v>39332</v>
      </c>
      <c r="B8556" t="s">
        <v>9067</v>
      </c>
      <c r="C8556" t="s">
        <v>427</v>
      </c>
      <c r="D8556" t="s">
        <v>15830</v>
      </c>
    </row>
    <row r="8557" spans="1:4">
      <c r="A8557">
        <v>39331</v>
      </c>
      <c r="B8557" t="s">
        <v>9068</v>
      </c>
      <c r="C8557" t="s">
        <v>427</v>
      </c>
      <c r="D8557" t="s">
        <v>20581</v>
      </c>
    </row>
    <row r="8558" spans="1:4">
      <c r="A8558">
        <v>39333</v>
      </c>
      <c r="B8558" t="s">
        <v>9069</v>
      </c>
      <c r="C8558" t="s">
        <v>427</v>
      </c>
      <c r="D8558" t="s">
        <v>22706</v>
      </c>
    </row>
    <row r="8559" spans="1:4">
      <c r="A8559">
        <v>39335</v>
      </c>
      <c r="B8559" t="s">
        <v>9070</v>
      </c>
      <c r="C8559" t="s">
        <v>427</v>
      </c>
      <c r="D8559" t="s">
        <v>25243</v>
      </c>
    </row>
    <row r="8560" spans="1:4">
      <c r="A8560">
        <v>39334</v>
      </c>
      <c r="B8560" t="s">
        <v>9071</v>
      </c>
      <c r="C8560" t="s">
        <v>427</v>
      </c>
      <c r="D8560" t="s">
        <v>18490</v>
      </c>
    </row>
    <row r="8561" spans="1:4">
      <c r="A8561">
        <v>12016</v>
      </c>
      <c r="B8561" t="s">
        <v>9072</v>
      </c>
      <c r="C8561" t="s">
        <v>427</v>
      </c>
      <c r="D8561" t="s">
        <v>15222</v>
      </c>
    </row>
    <row r="8562" spans="1:4">
      <c r="A8562">
        <v>12015</v>
      </c>
      <c r="B8562" t="s">
        <v>9073</v>
      </c>
      <c r="C8562" t="s">
        <v>427</v>
      </c>
      <c r="D8562" t="s">
        <v>17249</v>
      </c>
    </row>
    <row r="8563" spans="1:4">
      <c r="A8563">
        <v>12020</v>
      </c>
      <c r="B8563" t="s">
        <v>9074</v>
      </c>
      <c r="C8563" t="s">
        <v>427</v>
      </c>
      <c r="D8563" t="s">
        <v>15222</v>
      </c>
    </row>
    <row r="8564" spans="1:4">
      <c r="A8564">
        <v>12019</v>
      </c>
      <c r="B8564" t="s">
        <v>9075</v>
      </c>
      <c r="C8564" t="s">
        <v>427</v>
      </c>
      <c r="D8564" t="s">
        <v>17249</v>
      </c>
    </row>
    <row r="8565" spans="1:4">
      <c r="A8565">
        <v>39336</v>
      </c>
      <c r="B8565" t="s">
        <v>9076</v>
      </c>
      <c r="C8565" t="s">
        <v>427</v>
      </c>
      <c r="D8565" t="s">
        <v>17215</v>
      </c>
    </row>
    <row r="8566" spans="1:4">
      <c r="A8566">
        <v>39338</v>
      </c>
      <c r="B8566" t="s">
        <v>9077</v>
      </c>
      <c r="C8566" t="s">
        <v>427</v>
      </c>
      <c r="D8566" t="s">
        <v>15830</v>
      </c>
    </row>
    <row r="8567" spans="1:4">
      <c r="A8567">
        <v>39337</v>
      </c>
      <c r="B8567" t="s">
        <v>9078</v>
      </c>
      <c r="C8567" t="s">
        <v>427</v>
      </c>
      <c r="D8567" t="s">
        <v>20581</v>
      </c>
    </row>
    <row r="8568" spans="1:4">
      <c r="A8568">
        <v>39341</v>
      </c>
      <c r="B8568" t="s">
        <v>9079</v>
      </c>
      <c r="C8568" t="s">
        <v>427</v>
      </c>
      <c r="D8568" t="s">
        <v>25244</v>
      </c>
    </row>
    <row r="8569" spans="1:4">
      <c r="A8569">
        <v>39340</v>
      </c>
      <c r="B8569" t="s">
        <v>9080</v>
      </c>
      <c r="C8569" t="s">
        <v>427</v>
      </c>
      <c r="D8569" t="s">
        <v>17293</v>
      </c>
    </row>
    <row r="8570" spans="1:4">
      <c r="A8570">
        <v>12025</v>
      </c>
      <c r="B8570" t="s">
        <v>9081</v>
      </c>
      <c r="C8570" t="s">
        <v>427</v>
      </c>
      <c r="D8570" t="s">
        <v>25245</v>
      </c>
    </row>
    <row r="8571" spans="1:4">
      <c r="A8571">
        <v>39342</v>
      </c>
      <c r="B8571" t="s">
        <v>9082</v>
      </c>
      <c r="C8571" t="s">
        <v>427</v>
      </c>
      <c r="D8571" t="s">
        <v>25244</v>
      </c>
    </row>
    <row r="8572" spans="1:4">
      <c r="A8572">
        <v>39343</v>
      </c>
      <c r="B8572" t="s">
        <v>9083</v>
      </c>
      <c r="C8572" t="s">
        <v>427</v>
      </c>
      <c r="D8572" t="s">
        <v>14742</v>
      </c>
    </row>
    <row r="8573" spans="1:4">
      <c r="A8573">
        <v>39345</v>
      </c>
      <c r="B8573" t="s">
        <v>9084</v>
      </c>
      <c r="C8573" t="s">
        <v>427</v>
      </c>
      <c r="D8573" t="s">
        <v>24023</v>
      </c>
    </row>
    <row r="8574" spans="1:4">
      <c r="A8574">
        <v>39344</v>
      </c>
      <c r="B8574" t="s">
        <v>9085</v>
      </c>
      <c r="C8574" t="s">
        <v>427</v>
      </c>
      <c r="D8574" t="s">
        <v>15978</v>
      </c>
    </row>
    <row r="8575" spans="1:4">
      <c r="A8575">
        <v>12623</v>
      </c>
      <c r="B8575" t="s">
        <v>9086</v>
      </c>
      <c r="C8575" t="s">
        <v>429</v>
      </c>
      <c r="D8575" t="s">
        <v>21035</v>
      </c>
    </row>
    <row r="8576" spans="1:4">
      <c r="A8576">
        <v>34498</v>
      </c>
      <c r="B8576" t="s">
        <v>9087</v>
      </c>
      <c r="C8576" t="s">
        <v>427</v>
      </c>
      <c r="D8576" t="s">
        <v>25246</v>
      </c>
    </row>
    <row r="8577" spans="1:4">
      <c r="A8577">
        <v>13244</v>
      </c>
      <c r="B8577" t="s">
        <v>9088</v>
      </c>
      <c r="C8577" t="s">
        <v>427</v>
      </c>
      <c r="D8577" t="s">
        <v>25247</v>
      </c>
    </row>
    <row r="8578" spans="1:4">
      <c r="A8578">
        <v>38998</v>
      </c>
      <c r="B8578" t="s">
        <v>9089</v>
      </c>
      <c r="C8578" t="s">
        <v>427</v>
      </c>
      <c r="D8578" t="s">
        <v>19763</v>
      </c>
    </row>
    <row r="8579" spans="1:4">
      <c r="A8579">
        <v>38999</v>
      </c>
      <c r="B8579" t="s">
        <v>9090</v>
      </c>
      <c r="C8579" t="s">
        <v>427</v>
      </c>
      <c r="D8579" t="s">
        <v>17325</v>
      </c>
    </row>
    <row r="8580" spans="1:4">
      <c r="A8580">
        <v>38996</v>
      </c>
      <c r="B8580" t="s">
        <v>9091</v>
      </c>
      <c r="C8580" t="s">
        <v>427</v>
      </c>
      <c r="D8580" t="s">
        <v>18216</v>
      </c>
    </row>
    <row r="8581" spans="1:4">
      <c r="A8581">
        <v>38997</v>
      </c>
      <c r="B8581" t="s">
        <v>9092</v>
      </c>
      <c r="C8581" t="s">
        <v>427</v>
      </c>
      <c r="D8581" t="s">
        <v>25248</v>
      </c>
    </row>
    <row r="8582" spans="1:4">
      <c r="A8582">
        <v>39862</v>
      </c>
      <c r="B8582" t="s">
        <v>9093</v>
      </c>
      <c r="C8582" t="s">
        <v>427</v>
      </c>
      <c r="D8582" t="s">
        <v>20787</v>
      </c>
    </row>
    <row r="8583" spans="1:4">
      <c r="A8583">
        <v>39863</v>
      </c>
      <c r="B8583" t="s">
        <v>9094</v>
      </c>
      <c r="C8583" t="s">
        <v>427</v>
      </c>
      <c r="D8583" t="s">
        <v>20290</v>
      </c>
    </row>
    <row r="8584" spans="1:4">
      <c r="A8584">
        <v>39864</v>
      </c>
      <c r="B8584" t="s">
        <v>9095</v>
      </c>
      <c r="C8584" t="s">
        <v>427</v>
      </c>
      <c r="D8584" t="s">
        <v>15982</v>
      </c>
    </row>
    <row r="8585" spans="1:4">
      <c r="A8585">
        <v>39865</v>
      </c>
      <c r="B8585" t="s">
        <v>9096</v>
      </c>
      <c r="C8585" t="s">
        <v>427</v>
      </c>
      <c r="D8585" t="s">
        <v>20883</v>
      </c>
    </row>
    <row r="8586" spans="1:4">
      <c r="A8586">
        <v>2517</v>
      </c>
      <c r="B8586" t="s">
        <v>9097</v>
      </c>
      <c r="C8586" t="s">
        <v>427</v>
      </c>
      <c r="D8586" t="s">
        <v>25249</v>
      </c>
    </row>
    <row r="8587" spans="1:4">
      <c r="A8587">
        <v>2522</v>
      </c>
      <c r="B8587" t="s">
        <v>9098</v>
      </c>
      <c r="C8587" t="s">
        <v>427</v>
      </c>
      <c r="D8587" t="s">
        <v>25250</v>
      </c>
    </row>
    <row r="8588" spans="1:4">
      <c r="A8588">
        <v>2548</v>
      </c>
      <c r="B8588" t="s">
        <v>9099</v>
      </c>
      <c r="C8588" t="s">
        <v>427</v>
      </c>
      <c r="D8588" t="s">
        <v>25251</v>
      </c>
    </row>
    <row r="8589" spans="1:4">
      <c r="A8589">
        <v>2516</v>
      </c>
      <c r="B8589" t="s">
        <v>9100</v>
      </c>
      <c r="C8589" t="s">
        <v>427</v>
      </c>
      <c r="D8589" t="s">
        <v>25252</v>
      </c>
    </row>
    <row r="8590" spans="1:4">
      <c r="A8590">
        <v>2518</v>
      </c>
      <c r="B8590" t="s">
        <v>9101</v>
      </c>
      <c r="C8590" t="s">
        <v>427</v>
      </c>
      <c r="D8590" t="s">
        <v>25253</v>
      </c>
    </row>
    <row r="8591" spans="1:4">
      <c r="A8591">
        <v>2521</v>
      </c>
      <c r="B8591" t="s">
        <v>9102</v>
      </c>
      <c r="C8591" t="s">
        <v>427</v>
      </c>
      <c r="D8591" t="s">
        <v>22813</v>
      </c>
    </row>
    <row r="8592" spans="1:4">
      <c r="A8592">
        <v>2515</v>
      </c>
      <c r="B8592" t="s">
        <v>9103</v>
      </c>
      <c r="C8592" t="s">
        <v>427</v>
      </c>
      <c r="D8592" t="s">
        <v>25254</v>
      </c>
    </row>
    <row r="8593" spans="1:4">
      <c r="A8593">
        <v>2519</v>
      </c>
      <c r="B8593" t="s">
        <v>9104</v>
      </c>
      <c r="C8593" t="s">
        <v>427</v>
      </c>
      <c r="D8593" t="s">
        <v>24921</v>
      </c>
    </row>
    <row r="8594" spans="1:4">
      <c r="A8594">
        <v>2520</v>
      </c>
      <c r="B8594" t="s">
        <v>9105</v>
      </c>
      <c r="C8594" t="s">
        <v>427</v>
      </c>
      <c r="D8594" t="s">
        <v>25255</v>
      </c>
    </row>
    <row r="8595" spans="1:4">
      <c r="A8595">
        <v>1602</v>
      </c>
      <c r="B8595" t="s">
        <v>9106</v>
      </c>
      <c r="C8595" t="s">
        <v>427</v>
      </c>
      <c r="D8595" t="s">
        <v>25256</v>
      </c>
    </row>
    <row r="8596" spans="1:4">
      <c r="A8596">
        <v>1601</v>
      </c>
      <c r="B8596" t="s">
        <v>9107</v>
      </c>
      <c r="C8596" t="s">
        <v>427</v>
      </c>
      <c r="D8596" t="s">
        <v>25257</v>
      </c>
    </row>
    <row r="8597" spans="1:4">
      <c r="A8597">
        <v>1598</v>
      </c>
      <c r="B8597" t="s">
        <v>9108</v>
      </c>
      <c r="C8597" t="s">
        <v>427</v>
      </c>
      <c r="D8597" t="s">
        <v>23550</v>
      </c>
    </row>
    <row r="8598" spans="1:4">
      <c r="A8598">
        <v>1600</v>
      </c>
      <c r="B8598" t="s">
        <v>9109</v>
      </c>
      <c r="C8598" t="s">
        <v>427</v>
      </c>
      <c r="D8598" t="s">
        <v>22102</v>
      </c>
    </row>
    <row r="8599" spans="1:4">
      <c r="A8599">
        <v>1603</v>
      </c>
      <c r="B8599" t="s">
        <v>9110</v>
      </c>
      <c r="C8599" t="s">
        <v>427</v>
      </c>
      <c r="D8599" t="s">
        <v>25258</v>
      </c>
    </row>
    <row r="8600" spans="1:4">
      <c r="A8600">
        <v>1599</v>
      </c>
      <c r="B8600" t="s">
        <v>9111</v>
      </c>
      <c r="C8600" t="s">
        <v>427</v>
      </c>
      <c r="D8600" t="s">
        <v>15191</v>
      </c>
    </row>
    <row r="8601" spans="1:4">
      <c r="A8601">
        <v>1597</v>
      </c>
      <c r="B8601" t="s">
        <v>9112</v>
      </c>
      <c r="C8601" t="s">
        <v>427</v>
      </c>
      <c r="D8601" t="s">
        <v>24282</v>
      </c>
    </row>
    <row r="8602" spans="1:4">
      <c r="A8602">
        <v>39600</v>
      </c>
      <c r="B8602" t="s">
        <v>9113</v>
      </c>
      <c r="C8602" t="s">
        <v>427</v>
      </c>
      <c r="D8602" t="s">
        <v>19292</v>
      </c>
    </row>
    <row r="8603" spans="1:4">
      <c r="A8603">
        <v>39601</v>
      </c>
      <c r="B8603" t="s">
        <v>9114</v>
      </c>
      <c r="C8603" t="s">
        <v>427</v>
      </c>
      <c r="D8603" t="s">
        <v>23119</v>
      </c>
    </row>
    <row r="8604" spans="1:4">
      <c r="A8604">
        <v>39602</v>
      </c>
      <c r="B8604" t="s">
        <v>9115</v>
      </c>
      <c r="C8604" t="s">
        <v>427</v>
      </c>
      <c r="D8604" t="s">
        <v>25259</v>
      </c>
    </row>
    <row r="8605" spans="1:4">
      <c r="A8605">
        <v>39603</v>
      </c>
      <c r="B8605" t="s">
        <v>9116</v>
      </c>
      <c r="C8605" t="s">
        <v>427</v>
      </c>
      <c r="D8605" t="s">
        <v>14826</v>
      </c>
    </row>
    <row r="8606" spans="1:4">
      <c r="A8606">
        <v>11821</v>
      </c>
      <c r="B8606" t="s">
        <v>9117</v>
      </c>
      <c r="C8606" t="s">
        <v>427</v>
      </c>
      <c r="D8606" t="s">
        <v>19606</v>
      </c>
    </row>
    <row r="8607" spans="1:4">
      <c r="A8607">
        <v>1562</v>
      </c>
      <c r="B8607" t="s">
        <v>9118</v>
      </c>
      <c r="C8607" t="s">
        <v>427</v>
      </c>
      <c r="D8607" t="s">
        <v>25260</v>
      </c>
    </row>
    <row r="8608" spans="1:4">
      <c r="A8608">
        <v>1563</v>
      </c>
      <c r="B8608" t="s">
        <v>9119</v>
      </c>
      <c r="C8608" t="s">
        <v>427</v>
      </c>
      <c r="D8608" t="s">
        <v>18248</v>
      </c>
    </row>
    <row r="8609" spans="1:4">
      <c r="A8609">
        <v>11856</v>
      </c>
      <c r="B8609" t="s">
        <v>9120</v>
      </c>
      <c r="C8609" t="s">
        <v>427</v>
      </c>
      <c r="D8609" t="s">
        <v>17258</v>
      </c>
    </row>
    <row r="8610" spans="1:4">
      <c r="A8610">
        <v>11857</v>
      </c>
      <c r="B8610" t="s">
        <v>9121</v>
      </c>
      <c r="C8610" t="s">
        <v>427</v>
      </c>
      <c r="D8610" t="s">
        <v>25261</v>
      </c>
    </row>
    <row r="8611" spans="1:4">
      <c r="A8611">
        <v>11858</v>
      </c>
      <c r="B8611" t="s">
        <v>9122</v>
      </c>
      <c r="C8611" t="s">
        <v>427</v>
      </c>
      <c r="D8611" t="s">
        <v>25262</v>
      </c>
    </row>
    <row r="8612" spans="1:4">
      <c r="A8612">
        <v>1539</v>
      </c>
      <c r="B8612" t="s">
        <v>9123</v>
      </c>
      <c r="C8612" t="s">
        <v>427</v>
      </c>
      <c r="D8612" t="s">
        <v>20366</v>
      </c>
    </row>
    <row r="8613" spans="1:4">
      <c r="A8613">
        <v>11859</v>
      </c>
      <c r="B8613" t="s">
        <v>9124</v>
      </c>
      <c r="C8613" t="s">
        <v>427</v>
      </c>
      <c r="D8613" t="s">
        <v>14790</v>
      </c>
    </row>
    <row r="8614" spans="1:4">
      <c r="A8614">
        <v>1550</v>
      </c>
      <c r="B8614" t="s">
        <v>9125</v>
      </c>
      <c r="C8614" t="s">
        <v>427</v>
      </c>
      <c r="D8614" t="s">
        <v>15287</v>
      </c>
    </row>
    <row r="8615" spans="1:4">
      <c r="A8615">
        <v>11854</v>
      </c>
      <c r="B8615" t="s">
        <v>9126</v>
      </c>
      <c r="C8615" t="s">
        <v>427</v>
      </c>
      <c r="D8615" t="s">
        <v>15824</v>
      </c>
    </row>
    <row r="8616" spans="1:4">
      <c r="A8616">
        <v>11862</v>
      </c>
      <c r="B8616" t="s">
        <v>9127</v>
      </c>
      <c r="C8616" t="s">
        <v>427</v>
      </c>
      <c r="D8616" t="s">
        <v>14741</v>
      </c>
    </row>
    <row r="8617" spans="1:4">
      <c r="A8617">
        <v>11863</v>
      </c>
      <c r="B8617" t="s">
        <v>9128</v>
      </c>
      <c r="C8617" t="s">
        <v>427</v>
      </c>
      <c r="D8617" t="s">
        <v>25263</v>
      </c>
    </row>
    <row r="8618" spans="1:4">
      <c r="A8618">
        <v>11855</v>
      </c>
      <c r="B8618" t="s">
        <v>9129</v>
      </c>
      <c r="C8618" t="s">
        <v>427</v>
      </c>
      <c r="D8618" t="s">
        <v>23619</v>
      </c>
    </row>
    <row r="8619" spans="1:4">
      <c r="A8619">
        <v>11864</v>
      </c>
      <c r="B8619" t="s">
        <v>9130</v>
      </c>
      <c r="C8619" t="s">
        <v>427</v>
      </c>
      <c r="D8619" t="s">
        <v>25264</v>
      </c>
    </row>
    <row r="8620" spans="1:4">
      <c r="A8620">
        <v>2527</v>
      </c>
      <c r="B8620" t="s">
        <v>9131</v>
      </c>
      <c r="C8620" t="s">
        <v>427</v>
      </c>
      <c r="D8620" t="s">
        <v>14757</v>
      </c>
    </row>
    <row r="8621" spans="1:4">
      <c r="A8621">
        <v>2526</v>
      </c>
      <c r="B8621" t="s">
        <v>9132</v>
      </c>
      <c r="C8621" t="s">
        <v>427</v>
      </c>
      <c r="D8621" t="s">
        <v>24304</v>
      </c>
    </row>
    <row r="8622" spans="1:4">
      <c r="A8622">
        <v>2487</v>
      </c>
      <c r="B8622" t="s">
        <v>9133</v>
      </c>
      <c r="C8622" t="s">
        <v>427</v>
      </c>
      <c r="D8622" t="s">
        <v>24384</v>
      </c>
    </row>
    <row r="8623" spans="1:4">
      <c r="A8623">
        <v>2483</v>
      </c>
      <c r="B8623" t="s">
        <v>9134</v>
      </c>
      <c r="C8623" t="s">
        <v>427</v>
      </c>
      <c r="D8623" t="s">
        <v>24844</v>
      </c>
    </row>
    <row r="8624" spans="1:4">
      <c r="A8624">
        <v>2528</v>
      </c>
      <c r="B8624" t="s">
        <v>9135</v>
      </c>
      <c r="C8624" t="s">
        <v>427</v>
      </c>
      <c r="D8624" t="s">
        <v>22509</v>
      </c>
    </row>
    <row r="8625" spans="1:4">
      <c r="A8625">
        <v>2489</v>
      </c>
      <c r="B8625" t="s">
        <v>9136</v>
      </c>
      <c r="C8625" t="s">
        <v>427</v>
      </c>
      <c r="D8625" t="s">
        <v>25265</v>
      </c>
    </row>
    <row r="8626" spans="1:4">
      <c r="A8626">
        <v>2488</v>
      </c>
      <c r="B8626" t="s">
        <v>9137</v>
      </c>
      <c r="C8626" t="s">
        <v>427</v>
      </c>
      <c r="D8626" t="s">
        <v>24630</v>
      </c>
    </row>
    <row r="8627" spans="1:4">
      <c r="A8627">
        <v>2484</v>
      </c>
      <c r="B8627" t="s">
        <v>9138</v>
      </c>
      <c r="C8627" t="s">
        <v>427</v>
      </c>
      <c r="D8627" t="s">
        <v>22316</v>
      </c>
    </row>
    <row r="8628" spans="1:4">
      <c r="A8628">
        <v>2485</v>
      </c>
      <c r="B8628" t="s">
        <v>9139</v>
      </c>
      <c r="C8628" t="s">
        <v>427</v>
      </c>
      <c r="D8628" t="s">
        <v>25266</v>
      </c>
    </row>
    <row r="8629" spans="1:4">
      <c r="A8629">
        <v>38005</v>
      </c>
      <c r="B8629" t="s">
        <v>9140</v>
      </c>
      <c r="C8629" t="s">
        <v>427</v>
      </c>
      <c r="D8629" t="s">
        <v>17402</v>
      </c>
    </row>
    <row r="8630" spans="1:4">
      <c r="A8630">
        <v>38006</v>
      </c>
      <c r="B8630" t="s">
        <v>9141</v>
      </c>
      <c r="C8630" t="s">
        <v>427</v>
      </c>
      <c r="D8630" t="s">
        <v>19792</v>
      </c>
    </row>
    <row r="8631" spans="1:4">
      <c r="A8631">
        <v>38428</v>
      </c>
      <c r="B8631" t="s">
        <v>9142</v>
      </c>
      <c r="C8631" t="s">
        <v>427</v>
      </c>
      <c r="D8631" t="s">
        <v>25267</v>
      </c>
    </row>
    <row r="8632" spans="1:4">
      <c r="A8632">
        <v>38007</v>
      </c>
      <c r="B8632" t="s">
        <v>9143</v>
      </c>
      <c r="C8632" t="s">
        <v>427</v>
      </c>
      <c r="D8632" t="s">
        <v>21744</v>
      </c>
    </row>
    <row r="8633" spans="1:4">
      <c r="A8633">
        <v>38008</v>
      </c>
      <c r="B8633" t="s">
        <v>9144</v>
      </c>
      <c r="C8633" t="s">
        <v>427</v>
      </c>
      <c r="D8633" t="s">
        <v>25268</v>
      </c>
    </row>
    <row r="8634" spans="1:4">
      <c r="A8634">
        <v>38009</v>
      </c>
      <c r="B8634" t="s">
        <v>9145</v>
      </c>
      <c r="C8634" t="s">
        <v>427</v>
      </c>
      <c r="D8634" t="s">
        <v>25269</v>
      </c>
    </row>
    <row r="8635" spans="1:4">
      <c r="A8635">
        <v>39279</v>
      </c>
      <c r="B8635" t="s">
        <v>9146</v>
      </c>
      <c r="C8635" t="s">
        <v>427</v>
      </c>
      <c r="D8635" t="s">
        <v>23905</v>
      </c>
    </row>
    <row r="8636" spans="1:4">
      <c r="A8636">
        <v>38845</v>
      </c>
      <c r="B8636" t="s">
        <v>9147</v>
      </c>
      <c r="C8636" t="s">
        <v>427</v>
      </c>
      <c r="D8636" t="s">
        <v>25270</v>
      </c>
    </row>
    <row r="8637" spans="1:4">
      <c r="A8637">
        <v>39280</v>
      </c>
      <c r="B8637" t="s">
        <v>9148</v>
      </c>
      <c r="C8637" t="s">
        <v>427</v>
      </c>
      <c r="D8637" t="s">
        <v>17143</v>
      </c>
    </row>
    <row r="8638" spans="1:4">
      <c r="A8638">
        <v>39281</v>
      </c>
      <c r="B8638" t="s">
        <v>9149</v>
      </c>
      <c r="C8638" t="s">
        <v>427</v>
      </c>
      <c r="D8638" t="s">
        <v>15028</v>
      </c>
    </row>
    <row r="8639" spans="1:4">
      <c r="A8639">
        <v>38849</v>
      </c>
      <c r="B8639" t="s">
        <v>9150</v>
      </c>
      <c r="C8639" t="s">
        <v>427</v>
      </c>
      <c r="D8639" t="s">
        <v>21422</v>
      </c>
    </row>
    <row r="8640" spans="1:4">
      <c r="A8640">
        <v>39282</v>
      </c>
      <c r="B8640" t="s">
        <v>9151</v>
      </c>
      <c r="C8640" t="s">
        <v>427</v>
      </c>
      <c r="D8640" t="s">
        <v>18385</v>
      </c>
    </row>
    <row r="8641" spans="1:4">
      <c r="A8641">
        <v>38852</v>
      </c>
      <c r="B8641" t="s">
        <v>9152</v>
      </c>
      <c r="C8641" t="s">
        <v>427</v>
      </c>
      <c r="D8641" t="s">
        <v>25271</v>
      </c>
    </row>
    <row r="8642" spans="1:4">
      <c r="A8642">
        <v>38844</v>
      </c>
      <c r="B8642" t="s">
        <v>9153</v>
      </c>
      <c r="C8642" t="s">
        <v>427</v>
      </c>
      <c r="D8642" t="s">
        <v>16324</v>
      </c>
    </row>
    <row r="8643" spans="1:4">
      <c r="A8643">
        <v>38846</v>
      </c>
      <c r="B8643" t="s">
        <v>9154</v>
      </c>
      <c r="C8643" t="s">
        <v>427</v>
      </c>
      <c r="D8643" t="s">
        <v>16960</v>
      </c>
    </row>
    <row r="8644" spans="1:4">
      <c r="A8644">
        <v>38847</v>
      </c>
      <c r="B8644" t="s">
        <v>9155</v>
      </c>
      <c r="C8644" t="s">
        <v>427</v>
      </c>
      <c r="D8644" t="s">
        <v>25272</v>
      </c>
    </row>
    <row r="8645" spans="1:4">
      <c r="A8645">
        <v>38850</v>
      </c>
      <c r="B8645" t="s">
        <v>9156</v>
      </c>
      <c r="C8645" t="s">
        <v>427</v>
      </c>
      <c r="D8645" t="s">
        <v>24492</v>
      </c>
    </row>
    <row r="8646" spans="1:4">
      <c r="A8646">
        <v>38848</v>
      </c>
      <c r="B8646" t="s">
        <v>9157</v>
      </c>
      <c r="C8646" t="s">
        <v>427</v>
      </c>
      <c r="D8646" t="s">
        <v>19545</v>
      </c>
    </row>
    <row r="8647" spans="1:4">
      <c r="A8647">
        <v>38851</v>
      </c>
      <c r="B8647" t="s">
        <v>9158</v>
      </c>
      <c r="C8647" t="s">
        <v>427</v>
      </c>
      <c r="D8647" t="s">
        <v>25273</v>
      </c>
    </row>
    <row r="8648" spans="1:4">
      <c r="A8648">
        <v>38860</v>
      </c>
      <c r="B8648" t="s">
        <v>9159</v>
      </c>
      <c r="C8648" t="s">
        <v>427</v>
      </c>
      <c r="D8648" t="s">
        <v>17727</v>
      </c>
    </row>
    <row r="8649" spans="1:4">
      <c r="A8649">
        <v>38861</v>
      </c>
      <c r="B8649" t="s">
        <v>9160</v>
      </c>
      <c r="C8649" t="s">
        <v>427</v>
      </c>
      <c r="D8649" t="s">
        <v>22451</v>
      </c>
    </row>
    <row r="8650" spans="1:4">
      <c r="A8650">
        <v>38862</v>
      </c>
      <c r="B8650" t="s">
        <v>9161</v>
      </c>
      <c r="C8650" t="s">
        <v>427</v>
      </c>
      <c r="D8650" t="s">
        <v>24599</v>
      </c>
    </row>
    <row r="8651" spans="1:4">
      <c r="A8651">
        <v>38863</v>
      </c>
      <c r="B8651" t="s">
        <v>9162</v>
      </c>
      <c r="C8651" t="s">
        <v>427</v>
      </c>
      <c r="D8651" t="s">
        <v>17237</v>
      </c>
    </row>
    <row r="8652" spans="1:4">
      <c r="A8652">
        <v>38865</v>
      </c>
      <c r="B8652" t="s">
        <v>9163</v>
      </c>
      <c r="C8652" t="s">
        <v>427</v>
      </c>
      <c r="D8652" t="s">
        <v>25274</v>
      </c>
    </row>
    <row r="8653" spans="1:4">
      <c r="A8653">
        <v>38864</v>
      </c>
      <c r="B8653" t="s">
        <v>9164</v>
      </c>
      <c r="C8653" t="s">
        <v>427</v>
      </c>
      <c r="D8653" t="s">
        <v>17220</v>
      </c>
    </row>
    <row r="8654" spans="1:4">
      <c r="A8654">
        <v>38866</v>
      </c>
      <c r="B8654" t="s">
        <v>9165</v>
      </c>
      <c r="C8654" t="s">
        <v>427</v>
      </c>
      <c r="D8654" t="s">
        <v>15190</v>
      </c>
    </row>
    <row r="8655" spans="1:4">
      <c r="A8655">
        <v>38868</v>
      </c>
      <c r="B8655" t="s">
        <v>9166</v>
      </c>
      <c r="C8655" t="s">
        <v>427</v>
      </c>
      <c r="D8655" t="s">
        <v>25275</v>
      </c>
    </row>
    <row r="8656" spans="1:4">
      <c r="A8656">
        <v>38853</v>
      </c>
      <c r="B8656" t="s">
        <v>9167</v>
      </c>
      <c r="C8656" t="s">
        <v>427</v>
      </c>
      <c r="D8656" t="s">
        <v>25276</v>
      </c>
    </row>
    <row r="8657" spans="1:4">
      <c r="A8657">
        <v>38854</v>
      </c>
      <c r="B8657" t="s">
        <v>9168</v>
      </c>
      <c r="C8657" t="s">
        <v>427</v>
      </c>
      <c r="D8657" t="s">
        <v>21035</v>
      </c>
    </row>
    <row r="8658" spans="1:4">
      <c r="A8658">
        <v>38855</v>
      </c>
      <c r="B8658" t="s">
        <v>9169</v>
      </c>
      <c r="C8658" t="s">
        <v>427</v>
      </c>
      <c r="D8658" t="s">
        <v>25277</v>
      </c>
    </row>
    <row r="8659" spans="1:4">
      <c r="A8659">
        <v>38856</v>
      </c>
      <c r="B8659" t="s">
        <v>9170</v>
      </c>
      <c r="C8659" t="s">
        <v>427</v>
      </c>
      <c r="D8659" t="s">
        <v>15879</v>
      </c>
    </row>
    <row r="8660" spans="1:4">
      <c r="A8660">
        <v>38857</v>
      </c>
      <c r="B8660" t="s">
        <v>9171</v>
      </c>
      <c r="C8660" t="s">
        <v>427</v>
      </c>
      <c r="D8660" t="s">
        <v>20298</v>
      </c>
    </row>
    <row r="8661" spans="1:4">
      <c r="A8661">
        <v>38858</v>
      </c>
      <c r="B8661" t="s">
        <v>9172</v>
      </c>
      <c r="C8661" t="s">
        <v>427</v>
      </c>
      <c r="D8661" t="s">
        <v>16892</v>
      </c>
    </row>
    <row r="8662" spans="1:4">
      <c r="A8662">
        <v>38859</v>
      </c>
      <c r="B8662" t="s">
        <v>9173</v>
      </c>
      <c r="C8662" t="s">
        <v>427</v>
      </c>
      <c r="D8662" t="s">
        <v>24740</v>
      </c>
    </row>
    <row r="8663" spans="1:4">
      <c r="A8663">
        <v>3104</v>
      </c>
      <c r="B8663" t="s">
        <v>13439</v>
      </c>
      <c r="C8663" t="s">
        <v>438</v>
      </c>
      <c r="D8663" t="s">
        <v>25278</v>
      </c>
    </row>
    <row r="8664" spans="1:4">
      <c r="A8664">
        <v>1607</v>
      </c>
      <c r="B8664" t="s">
        <v>9174</v>
      </c>
      <c r="C8664" t="s">
        <v>438</v>
      </c>
      <c r="D8664" t="s">
        <v>15377</v>
      </c>
    </row>
    <row r="8665" spans="1:4">
      <c r="A8665">
        <v>38169</v>
      </c>
      <c r="B8665" t="s">
        <v>9175</v>
      </c>
      <c r="C8665" t="s">
        <v>438</v>
      </c>
      <c r="D8665" t="s">
        <v>25279</v>
      </c>
    </row>
    <row r="8666" spans="1:4">
      <c r="A8666">
        <v>6142</v>
      </c>
      <c r="B8666" t="s">
        <v>9176</v>
      </c>
      <c r="C8666" t="s">
        <v>427</v>
      </c>
      <c r="D8666" t="s">
        <v>17204</v>
      </c>
    </row>
    <row r="8667" spans="1:4">
      <c r="A8667">
        <v>11686</v>
      </c>
      <c r="B8667" t="s">
        <v>9177</v>
      </c>
      <c r="C8667" t="s">
        <v>427</v>
      </c>
      <c r="D8667" t="s">
        <v>25280</v>
      </c>
    </row>
    <row r="8668" spans="1:4">
      <c r="A8668">
        <v>37598</v>
      </c>
      <c r="B8668" t="s">
        <v>9178</v>
      </c>
      <c r="C8668" t="s">
        <v>427</v>
      </c>
      <c r="D8668" t="s">
        <v>25281</v>
      </c>
    </row>
    <row r="8669" spans="1:4">
      <c r="A8669">
        <v>25398</v>
      </c>
      <c r="B8669" t="s">
        <v>9179</v>
      </c>
      <c r="C8669" t="s">
        <v>427</v>
      </c>
      <c r="D8669" t="s">
        <v>25282</v>
      </c>
    </row>
    <row r="8670" spans="1:4">
      <c r="A8670">
        <v>25399</v>
      </c>
      <c r="B8670" t="s">
        <v>9180</v>
      </c>
      <c r="C8670" t="s">
        <v>427</v>
      </c>
      <c r="D8670" t="s">
        <v>25283</v>
      </c>
    </row>
    <row r="8671" spans="1:4">
      <c r="A8671">
        <v>43440</v>
      </c>
      <c r="B8671" t="s">
        <v>9181</v>
      </c>
      <c r="C8671" t="s">
        <v>427</v>
      </c>
      <c r="D8671" t="s">
        <v>25284</v>
      </c>
    </row>
    <row r="8672" spans="1:4">
      <c r="A8672">
        <v>10667</v>
      </c>
      <c r="B8672" t="s">
        <v>9182</v>
      </c>
      <c r="C8672" t="s">
        <v>427</v>
      </c>
      <c r="D8672" t="s">
        <v>25285</v>
      </c>
    </row>
    <row r="8673" spans="1:4">
      <c r="A8673">
        <v>1613</v>
      </c>
      <c r="B8673" t="s">
        <v>9183</v>
      </c>
      <c r="C8673" t="s">
        <v>427</v>
      </c>
      <c r="D8673" t="s">
        <v>25286</v>
      </c>
    </row>
    <row r="8674" spans="1:4">
      <c r="A8674">
        <v>1626</v>
      </c>
      <c r="B8674" t="s">
        <v>9184</v>
      </c>
      <c r="C8674" t="s">
        <v>427</v>
      </c>
      <c r="D8674" t="s">
        <v>25287</v>
      </c>
    </row>
    <row r="8675" spans="1:4">
      <c r="A8675">
        <v>1625</v>
      </c>
      <c r="B8675" t="s">
        <v>9185</v>
      </c>
      <c r="C8675" t="s">
        <v>427</v>
      </c>
      <c r="D8675" t="s">
        <v>25288</v>
      </c>
    </row>
    <row r="8676" spans="1:4">
      <c r="A8676">
        <v>1622</v>
      </c>
      <c r="B8676" t="s">
        <v>9186</v>
      </c>
      <c r="C8676" t="s">
        <v>427</v>
      </c>
      <c r="D8676" t="s">
        <v>25289</v>
      </c>
    </row>
    <row r="8677" spans="1:4">
      <c r="A8677">
        <v>1620</v>
      </c>
      <c r="B8677" t="s">
        <v>9187</v>
      </c>
      <c r="C8677" t="s">
        <v>427</v>
      </c>
      <c r="D8677" t="s">
        <v>25290</v>
      </c>
    </row>
    <row r="8678" spans="1:4">
      <c r="A8678">
        <v>1629</v>
      </c>
      <c r="B8678" t="s">
        <v>9188</v>
      </c>
      <c r="C8678" t="s">
        <v>427</v>
      </c>
      <c r="D8678" t="s">
        <v>25291</v>
      </c>
    </row>
    <row r="8679" spans="1:4">
      <c r="A8679">
        <v>1627</v>
      </c>
      <c r="B8679" t="s">
        <v>9189</v>
      </c>
      <c r="C8679" t="s">
        <v>427</v>
      </c>
      <c r="D8679" t="s">
        <v>25292</v>
      </c>
    </row>
    <row r="8680" spans="1:4">
      <c r="A8680">
        <v>1623</v>
      </c>
      <c r="B8680" t="s">
        <v>9190</v>
      </c>
      <c r="C8680" t="s">
        <v>427</v>
      </c>
      <c r="D8680" t="s">
        <v>25293</v>
      </c>
    </row>
    <row r="8681" spans="1:4">
      <c r="A8681">
        <v>1619</v>
      </c>
      <c r="B8681" t="s">
        <v>9191</v>
      </c>
      <c r="C8681" t="s">
        <v>427</v>
      </c>
      <c r="D8681" t="s">
        <v>25294</v>
      </c>
    </row>
    <row r="8682" spans="1:4">
      <c r="A8682">
        <v>1630</v>
      </c>
      <c r="B8682" t="s">
        <v>9192</v>
      </c>
      <c r="C8682" t="s">
        <v>427</v>
      </c>
      <c r="D8682" t="s">
        <v>25295</v>
      </c>
    </row>
    <row r="8683" spans="1:4">
      <c r="A8683">
        <v>1616</v>
      </c>
      <c r="B8683" t="s">
        <v>9193</v>
      </c>
      <c r="C8683" t="s">
        <v>427</v>
      </c>
      <c r="D8683" t="s">
        <v>25296</v>
      </c>
    </row>
    <row r="8684" spans="1:4">
      <c r="A8684">
        <v>1614</v>
      </c>
      <c r="B8684" t="s">
        <v>9194</v>
      </c>
      <c r="C8684" t="s">
        <v>427</v>
      </c>
      <c r="D8684" t="s">
        <v>25297</v>
      </c>
    </row>
    <row r="8685" spans="1:4">
      <c r="A8685">
        <v>1617</v>
      </c>
      <c r="B8685" t="s">
        <v>9195</v>
      </c>
      <c r="C8685" t="s">
        <v>427</v>
      </c>
      <c r="D8685" t="s">
        <v>25298</v>
      </c>
    </row>
    <row r="8686" spans="1:4">
      <c r="A8686">
        <v>1621</v>
      </c>
      <c r="B8686" t="s">
        <v>9196</v>
      </c>
      <c r="C8686" t="s">
        <v>427</v>
      </c>
      <c r="D8686" t="s">
        <v>25299</v>
      </c>
    </row>
    <row r="8687" spans="1:4">
      <c r="A8687">
        <v>1624</v>
      </c>
      <c r="B8687" t="s">
        <v>9197</v>
      </c>
      <c r="C8687" t="s">
        <v>427</v>
      </c>
      <c r="D8687" t="s">
        <v>25300</v>
      </c>
    </row>
    <row r="8688" spans="1:4">
      <c r="A8688">
        <v>1615</v>
      </c>
      <c r="B8688" t="s">
        <v>9198</v>
      </c>
      <c r="C8688" t="s">
        <v>427</v>
      </c>
      <c r="D8688" t="s">
        <v>25301</v>
      </c>
    </row>
    <row r="8689" spans="1:4">
      <c r="A8689">
        <v>1612</v>
      </c>
      <c r="B8689" t="s">
        <v>9199</v>
      </c>
      <c r="C8689" t="s">
        <v>427</v>
      </c>
      <c r="D8689" t="s">
        <v>25302</v>
      </c>
    </row>
    <row r="8690" spans="1:4">
      <c r="A8690">
        <v>1618</v>
      </c>
      <c r="B8690" t="s">
        <v>9200</v>
      </c>
      <c r="C8690" t="s">
        <v>427</v>
      </c>
      <c r="D8690" t="s">
        <v>25303</v>
      </c>
    </row>
    <row r="8691" spans="1:4">
      <c r="A8691">
        <v>14211</v>
      </c>
      <c r="B8691" t="s">
        <v>9201</v>
      </c>
      <c r="C8691" t="s">
        <v>427</v>
      </c>
      <c r="D8691" t="s">
        <v>25304</v>
      </c>
    </row>
    <row r="8692" spans="1:4">
      <c r="A8692">
        <v>43657</v>
      </c>
      <c r="B8692" t="s">
        <v>9202</v>
      </c>
      <c r="C8692" t="s">
        <v>429</v>
      </c>
      <c r="D8692" t="s">
        <v>25305</v>
      </c>
    </row>
    <row r="8693" spans="1:4">
      <c r="A8693">
        <v>34500</v>
      </c>
      <c r="B8693" t="s">
        <v>9203</v>
      </c>
      <c r="C8693" t="s">
        <v>432</v>
      </c>
      <c r="D8693" t="s">
        <v>25306</v>
      </c>
    </row>
    <row r="8694" spans="1:4">
      <c r="A8694">
        <v>40934</v>
      </c>
      <c r="B8694" t="s">
        <v>9204</v>
      </c>
      <c r="C8694" t="s">
        <v>433</v>
      </c>
      <c r="D8694" t="s">
        <v>25307</v>
      </c>
    </row>
    <row r="8695" spans="1:4">
      <c r="A8695">
        <v>38200</v>
      </c>
      <c r="B8695" t="s">
        <v>9205</v>
      </c>
      <c r="C8695" t="s">
        <v>439</v>
      </c>
      <c r="D8695" t="s">
        <v>25308</v>
      </c>
    </row>
    <row r="8696" spans="1:4">
      <c r="A8696">
        <v>39269</v>
      </c>
      <c r="B8696" t="s">
        <v>9206</v>
      </c>
      <c r="C8696" t="s">
        <v>429</v>
      </c>
      <c r="D8696" t="s">
        <v>15761</v>
      </c>
    </row>
    <row r="8697" spans="1:4">
      <c r="A8697">
        <v>11889</v>
      </c>
      <c r="B8697" t="s">
        <v>9207</v>
      </c>
      <c r="C8697" t="s">
        <v>429</v>
      </c>
      <c r="D8697" t="s">
        <v>20171</v>
      </c>
    </row>
    <row r="8698" spans="1:4">
      <c r="A8698">
        <v>39270</v>
      </c>
      <c r="B8698" t="s">
        <v>9208</v>
      </c>
      <c r="C8698" t="s">
        <v>429</v>
      </c>
      <c r="D8698" t="s">
        <v>17731</v>
      </c>
    </row>
    <row r="8699" spans="1:4">
      <c r="A8699">
        <v>11890</v>
      </c>
      <c r="B8699" t="s">
        <v>9209</v>
      </c>
      <c r="C8699" t="s">
        <v>429</v>
      </c>
      <c r="D8699" t="s">
        <v>24339</v>
      </c>
    </row>
    <row r="8700" spans="1:4">
      <c r="A8700">
        <v>11891</v>
      </c>
      <c r="B8700" t="s">
        <v>9210</v>
      </c>
      <c r="C8700" t="s">
        <v>429</v>
      </c>
      <c r="D8700" t="s">
        <v>15155</v>
      </c>
    </row>
    <row r="8701" spans="1:4">
      <c r="A8701">
        <v>11892</v>
      </c>
      <c r="B8701" t="s">
        <v>9211</v>
      </c>
      <c r="C8701" t="s">
        <v>429</v>
      </c>
      <c r="D8701" t="s">
        <v>14942</v>
      </c>
    </row>
    <row r="8702" spans="1:4">
      <c r="A8702">
        <v>37601</v>
      </c>
      <c r="B8702" t="s">
        <v>9212</v>
      </c>
      <c r="C8702" t="s">
        <v>429</v>
      </c>
      <c r="D8702" t="s">
        <v>18054</v>
      </c>
    </row>
    <row r="8703" spans="1:4">
      <c r="A8703">
        <v>1634</v>
      </c>
      <c r="B8703" t="s">
        <v>9213</v>
      </c>
      <c r="C8703" t="s">
        <v>429</v>
      </c>
      <c r="D8703" t="s">
        <v>15222</v>
      </c>
    </row>
    <row r="8704" spans="1:4">
      <c r="A8704">
        <v>5086</v>
      </c>
      <c r="B8704" t="s">
        <v>9214</v>
      </c>
      <c r="C8704" t="s">
        <v>430</v>
      </c>
      <c r="D8704" t="s">
        <v>20871</v>
      </c>
    </row>
    <row r="8705" spans="1:4">
      <c r="A8705">
        <v>11280</v>
      </c>
      <c r="B8705" t="s">
        <v>9215</v>
      </c>
      <c r="C8705" t="s">
        <v>427</v>
      </c>
      <c r="D8705" t="s">
        <v>25309</v>
      </c>
    </row>
    <row r="8706" spans="1:4">
      <c r="A8706">
        <v>40519</v>
      </c>
      <c r="B8706" t="s">
        <v>9216</v>
      </c>
      <c r="C8706" t="s">
        <v>427</v>
      </c>
      <c r="D8706" t="s">
        <v>25310</v>
      </c>
    </row>
    <row r="8707" spans="1:4">
      <c r="A8707">
        <v>39869</v>
      </c>
      <c r="B8707" t="s">
        <v>9217</v>
      </c>
      <c r="C8707" t="s">
        <v>427</v>
      </c>
      <c r="D8707" t="s">
        <v>15557</v>
      </c>
    </row>
    <row r="8708" spans="1:4">
      <c r="A8708">
        <v>39870</v>
      </c>
      <c r="B8708" t="s">
        <v>9218</v>
      </c>
      <c r="C8708" t="s">
        <v>427</v>
      </c>
      <c r="D8708" t="s">
        <v>22823</v>
      </c>
    </row>
    <row r="8709" spans="1:4">
      <c r="A8709">
        <v>39871</v>
      </c>
      <c r="B8709" t="s">
        <v>9219</v>
      </c>
      <c r="C8709" t="s">
        <v>427</v>
      </c>
      <c r="D8709" t="s">
        <v>14747</v>
      </c>
    </row>
    <row r="8710" spans="1:4">
      <c r="A8710">
        <v>12722</v>
      </c>
      <c r="B8710" t="s">
        <v>9220</v>
      </c>
      <c r="C8710" t="s">
        <v>427</v>
      </c>
      <c r="D8710" t="s">
        <v>25311</v>
      </c>
    </row>
    <row r="8711" spans="1:4">
      <c r="A8711">
        <v>12714</v>
      </c>
      <c r="B8711" t="s">
        <v>9221</v>
      </c>
      <c r="C8711" t="s">
        <v>427</v>
      </c>
      <c r="D8711" t="s">
        <v>15036</v>
      </c>
    </row>
    <row r="8712" spans="1:4">
      <c r="A8712">
        <v>12715</v>
      </c>
      <c r="B8712" t="s">
        <v>9222</v>
      </c>
      <c r="C8712" t="s">
        <v>427</v>
      </c>
      <c r="D8712" t="s">
        <v>19223</v>
      </c>
    </row>
    <row r="8713" spans="1:4">
      <c r="A8713">
        <v>12716</v>
      </c>
      <c r="B8713" t="s">
        <v>9223</v>
      </c>
      <c r="C8713" t="s">
        <v>427</v>
      </c>
      <c r="D8713" t="s">
        <v>18690</v>
      </c>
    </row>
    <row r="8714" spans="1:4">
      <c r="A8714">
        <v>12717</v>
      </c>
      <c r="B8714" t="s">
        <v>9224</v>
      </c>
      <c r="C8714" t="s">
        <v>427</v>
      </c>
      <c r="D8714" t="s">
        <v>25312</v>
      </c>
    </row>
    <row r="8715" spans="1:4">
      <c r="A8715">
        <v>12718</v>
      </c>
      <c r="B8715" t="s">
        <v>9225</v>
      </c>
      <c r="C8715" t="s">
        <v>427</v>
      </c>
      <c r="D8715" t="s">
        <v>25313</v>
      </c>
    </row>
    <row r="8716" spans="1:4">
      <c r="A8716">
        <v>12719</v>
      </c>
      <c r="B8716" t="s">
        <v>9226</v>
      </c>
      <c r="C8716" t="s">
        <v>427</v>
      </c>
      <c r="D8716" t="s">
        <v>25314</v>
      </c>
    </row>
    <row r="8717" spans="1:4">
      <c r="A8717">
        <v>12720</v>
      </c>
      <c r="B8717" t="s">
        <v>9227</v>
      </c>
      <c r="C8717" t="s">
        <v>427</v>
      </c>
      <c r="D8717" t="s">
        <v>25315</v>
      </c>
    </row>
    <row r="8718" spans="1:4">
      <c r="A8718">
        <v>12721</v>
      </c>
      <c r="B8718" t="s">
        <v>9228</v>
      </c>
      <c r="C8718" t="s">
        <v>427</v>
      </c>
      <c r="D8718" t="s">
        <v>25316</v>
      </c>
    </row>
    <row r="8719" spans="1:4">
      <c r="A8719">
        <v>3468</v>
      </c>
      <c r="B8719" t="s">
        <v>9229</v>
      </c>
      <c r="C8719" t="s">
        <v>427</v>
      </c>
      <c r="D8719" t="s">
        <v>24117</v>
      </c>
    </row>
    <row r="8720" spans="1:4">
      <c r="A8720">
        <v>3465</v>
      </c>
      <c r="B8720" t="s">
        <v>9230</v>
      </c>
      <c r="C8720" t="s">
        <v>427</v>
      </c>
      <c r="D8720" t="s">
        <v>19745</v>
      </c>
    </row>
    <row r="8721" spans="1:4">
      <c r="A8721">
        <v>12403</v>
      </c>
      <c r="B8721" t="s">
        <v>9231</v>
      </c>
      <c r="C8721" t="s">
        <v>427</v>
      </c>
      <c r="D8721" t="s">
        <v>15406</v>
      </c>
    </row>
    <row r="8722" spans="1:4">
      <c r="A8722">
        <v>3463</v>
      </c>
      <c r="B8722" t="s">
        <v>9232</v>
      </c>
      <c r="C8722" t="s">
        <v>427</v>
      </c>
      <c r="D8722" t="s">
        <v>15880</v>
      </c>
    </row>
    <row r="8723" spans="1:4">
      <c r="A8723">
        <v>3464</v>
      </c>
      <c r="B8723" t="s">
        <v>9233</v>
      </c>
      <c r="C8723" t="s">
        <v>427</v>
      </c>
      <c r="D8723" t="s">
        <v>15880</v>
      </c>
    </row>
    <row r="8724" spans="1:4">
      <c r="A8724">
        <v>3466</v>
      </c>
      <c r="B8724" t="s">
        <v>9234</v>
      </c>
      <c r="C8724" t="s">
        <v>427</v>
      </c>
      <c r="D8724" t="s">
        <v>18524</v>
      </c>
    </row>
    <row r="8725" spans="1:4">
      <c r="A8725">
        <v>3467</v>
      </c>
      <c r="B8725" t="s">
        <v>9235</v>
      </c>
      <c r="C8725" t="s">
        <v>427</v>
      </c>
      <c r="D8725" t="s">
        <v>25317</v>
      </c>
    </row>
    <row r="8726" spans="1:4">
      <c r="A8726">
        <v>3462</v>
      </c>
      <c r="B8726" t="s">
        <v>9236</v>
      </c>
      <c r="C8726" t="s">
        <v>427</v>
      </c>
      <c r="D8726" t="s">
        <v>19201</v>
      </c>
    </row>
    <row r="8727" spans="1:4">
      <c r="A8727">
        <v>3446</v>
      </c>
      <c r="B8727" t="s">
        <v>9237</v>
      </c>
      <c r="C8727" t="s">
        <v>427</v>
      </c>
      <c r="D8727" t="s">
        <v>20883</v>
      </c>
    </row>
    <row r="8728" spans="1:4">
      <c r="A8728">
        <v>3445</v>
      </c>
      <c r="B8728" t="s">
        <v>9238</v>
      </c>
      <c r="C8728" t="s">
        <v>427</v>
      </c>
      <c r="D8728" t="s">
        <v>19114</v>
      </c>
    </row>
    <row r="8729" spans="1:4">
      <c r="A8729">
        <v>3441</v>
      </c>
      <c r="B8729" t="s">
        <v>9239</v>
      </c>
      <c r="C8729" t="s">
        <v>427</v>
      </c>
      <c r="D8729" t="s">
        <v>15332</v>
      </c>
    </row>
    <row r="8730" spans="1:4">
      <c r="A8730">
        <v>3444</v>
      </c>
      <c r="B8730" t="s">
        <v>9240</v>
      </c>
      <c r="C8730" t="s">
        <v>427</v>
      </c>
      <c r="D8730" t="s">
        <v>19226</v>
      </c>
    </row>
    <row r="8731" spans="1:4">
      <c r="A8731">
        <v>12402</v>
      </c>
      <c r="B8731" t="s">
        <v>9241</v>
      </c>
      <c r="C8731" t="s">
        <v>427</v>
      </c>
      <c r="D8731" t="s">
        <v>25318</v>
      </c>
    </row>
    <row r="8732" spans="1:4">
      <c r="A8732">
        <v>3447</v>
      </c>
      <c r="B8732" t="s">
        <v>9242</v>
      </c>
      <c r="C8732" t="s">
        <v>427</v>
      </c>
      <c r="D8732" t="s">
        <v>25319</v>
      </c>
    </row>
    <row r="8733" spans="1:4">
      <c r="A8733">
        <v>3442</v>
      </c>
      <c r="B8733" t="s">
        <v>9243</v>
      </c>
      <c r="C8733" t="s">
        <v>427</v>
      </c>
      <c r="D8733" t="s">
        <v>24832</v>
      </c>
    </row>
    <row r="8734" spans="1:4">
      <c r="A8734">
        <v>3448</v>
      </c>
      <c r="B8734" t="s">
        <v>9244</v>
      </c>
      <c r="C8734" t="s">
        <v>427</v>
      </c>
      <c r="D8734" t="s">
        <v>25320</v>
      </c>
    </row>
    <row r="8735" spans="1:4">
      <c r="A8735">
        <v>3449</v>
      </c>
      <c r="B8735" t="s">
        <v>9245</v>
      </c>
      <c r="C8735" t="s">
        <v>427</v>
      </c>
      <c r="D8735" t="s">
        <v>25321</v>
      </c>
    </row>
    <row r="8736" spans="1:4">
      <c r="A8736">
        <v>37438</v>
      </c>
      <c r="B8736" t="s">
        <v>9246</v>
      </c>
      <c r="C8736" t="s">
        <v>427</v>
      </c>
      <c r="D8736" t="s">
        <v>25322</v>
      </c>
    </row>
    <row r="8737" spans="1:4">
      <c r="A8737">
        <v>37439</v>
      </c>
      <c r="B8737" t="s">
        <v>9247</v>
      </c>
      <c r="C8737" t="s">
        <v>427</v>
      </c>
      <c r="D8737" t="s">
        <v>25323</v>
      </c>
    </row>
    <row r="8738" spans="1:4">
      <c r="A8738">
        <v>37435</v>
      </c>
      <c r="B8738" t="s">
        <v>9248</v>
      </c>
      <c r="C8738" t="s">
        <v>427</v>
      </c>
      <c r="D8738" t="s">
        <v>17333</v>
      </c>
    </row>
    <row r="8739" spans="1:4">
      <c r="A8739">
        <v>37436</v>
      </c>
      <c r="B8739" t="s">
        <v>9249</v>
      </c>
      <c r="C8739" t="s">
        <v>427</v>
      </c>
      <c r="D8739" t="s">
        <v>16398</v>
      </c>
    </row>
    <row r="8740" spans="1:4">
      <c r="A8740">
        <v>37437</v>
      </c>
      <c r="B8740" t="s">
        <v>9250</v>
      </c>
      <c r="C8740" t="s">
        <v>427</v>
      </c>
      <c r="D8740" t="s">
        <v>18456</v>
      </c>
    </row>
    <row r="8741" spans="1:4">
      <c r="A8741">
        <v>3473</v>
      </c>
      <c r="B8741" t="s">
        <v>9251</v>
      </c>
      <c r="C8741" t="s">
        <v>427</v>
      </c>
      <c r="D8741" t="s">
        <v>15743</v>
      </c>
    </row>
    <row r="8742" spans="1:4">
      <c r="A8742">
        <v>3474</v>
      </c>
      <c r="B8742" t="s">
        <v>9252</v>
      </c>
      <c r="C8742" t="s">
        <v>427</v>
      </c>
      <c r="D8742" t="s">
        <v>16777</v>
      </c>
    </row>
    <row r="8743" spans="1:4">
      <c r="A8743">
        <v>3450</v>
      </c>
      <c r="B8743" t="s">
        <v>9253</v>
      </c>
      <c r="C8743" t="s">
        <v>427</v>
      </c>
      <c r="D8743" t="s">
        <v>19594</v>
      </c>
    </row>
    <row r="8744" spans="1:4">
      <c r="A8744">
        <v>3443</v>
      </c>
      <c r="B8744" t="s">
        <v>9254</v>
      </c>
      <c r="C8744" t="s">
        <v>427</v>
      </c>
      <c r="D8744" t="s">
        <v>19203</v>
      </c>
    </row>
    <row r="8745" spans="1:4">
      <c r="A8745">
        <v>3453</v>
      </c>
      <c r="B8745" t="s">
        <v>9255</v>
      </c>
      <c r="C8745" t="s">
        <v>427</v>
      </c>
      <c r="D8745" t="s">
        <v>16738</v>
      </c>
    </row>
    <row r="8746" spans="1:4">
      <c r="A8746">
        <v>3452</v>
      </c>
      <c r="B8746" t="s">
        <v>9256</v>
      </c>
      <c r="C8746" t="s">
        <v>427</v>
      </c>
      <c r="D8746" t="s">
        <v>25324</v>
      </c>
    </row>
    <row r="8747" spans="1:4">
      <c r="A8747">
        <v>3451</v>
      </c>
      <c r="B8747" t="s">
        <v>9257</v>
      </c>
      <c r="C8747" t="s">
        <v>427</v>
      </c>
      <c r="D8747" t="s">
        <v>19764</v>
      </c>
    </row>
    <row r="8748" spans="1:4">
      <c r="A8748">
        <v>3454</v>
      </c>
      <c r="B8748" t="s">
        <v>9258</v>
      </c>
      <c r="C8748" t="s">
        <v>427</v>
      </c>
      <c r="D8748" t="s">
        <v>14907</v>
      </c>
    </row>
    <row r="8749" spans="1:4">
      <c r="A8749">
        <v>3458</v>
      </c>
      <c r="B8749" t="s">
        <v>9259</v>
      </c>
      <c r="C8749" t="s">
        <v>427</v>
      </c>
      <c r="D8749" t="s">
        <v>25325</v>
      </c>
    </row>
    <row r="8750" spans="1:4">
      <c r="A8750">
        <v>3457</v>
      </c>
      <c r="B8750" t="s">
        <v>9260</v>
      </c>
      <c r="C8750" t="s">
        <v>427</v>
      </c>
      <c r="D8750" t="s">
        <v>25326</v>
      </c>
    </row>
    <row r="8751" spans="1:4">
      <c r="A8751">
        <v>3455</v>
      </c>
      <c r="B8751" t="s">
        <v>9261</v>
      </c>
      <c r="C8751" t="s">
        <v>427</v>
      </c>
      <c r="D8751" t="s">
        <v>19256</v>
      </c>
    </row>
    <row r="8752" spans="1:4">
      <c r="A8752">
        <v>3472</v>
      </c>
      <c r="B8752" t="s">
        <v>9262</v>
      </c>
      <c r="C8752" t="s">
        <v>427</v>
      </c>
      <c r="D8752" t="s">
        <v>24126</v>
      </c>
    </row>
    <row r="8753" spans="1:4">
      <c r="A8753">
        <v>3470</v>
      </c>
      <c r="B8753" t="s">
        <v>9263</v>
      </c>
      <c r="C8753" t="s">
        <v>427</v>
      </c>
      <c r="D8753" t="s">
        <v>22514</v>
      </c>
    </row>
    <row r="8754" spans="1:4">
      <c r="A8754">
        <v>3471</v>
      </c>
      <c r="B8754" t="s">
        <v>9264</v>
      </c>
      <c r="C8754" t="s">
        <v>427</v>
      </c>
      <c r="D8754" t="s">
        <v>22961</v>
      </c>
    </row>
    <row r="8755" spans="1:4">
      <c r="A8755">
        <v>3456</v>
      </c>
      <c r="B8755" t="s">
        <v>9265</v>
      </c>
      <c r="C8755" t="s">
        <v>427</v>
      </c>
      <c r="D8755" t="s">
        <v>18123</v>
      </c>
    </row>
    <row r="8756" spans="1:4">
      <c r="A8756">
        <v>3459</v>
      </c>
      <c r="B8756" t="s">
        <v>9266</v>
      </c>
      <c r="C8756" t="s">
        <v>427</v>
      </c>
      <c r="D8756" t="s">
        <v>25327</v>
      </c>
    </row>
    <row r="8757" spans="1:4">
      <c r="A8757">
        <v>3469</v>
      </c>
      <c r="B8757" t="s">
        <v>9267</v>
      </c>
      <c r="C8757" t="s">
        <v>427</v>
      </c>
      <c r="D8757" t="s">
        <v>25328</v>
      </c>
    </row>
    <row r="8758" spans="1:4">
      <c r="A8758">
        <v>3460</v>
      </c>
      <c r="B8758" t="s">
        <v>9268</v>
      </c>
      <c r="C8758" t="s">
        <v>427</v>
      </c>
      <c r="D8758" t="s">
        <v>25329</v>
      </c>
    </row>
    <row r="8759" spans="1:4">
      <c r="A8759">
        <v>3461</v>
      </c>
      <c r="B8759" t="s">
        <v>9269</v>
      </c>
      <c r="C8759" t="s">
        <v>427</v>
      </c>
      <c r="D8759" t="s">
        <v>25330</v>
      </c>
    </row>
    <row r="8760" spans="1:4">
      <c r="A8760">
        <v>37433</v>
      </c>
      <c r="B8760" t="s">
        <v>9270</v>
      </c>
      <c r="C8760" t="s">
        <v>427</v>
      </c>
      <c r="D8760" t="s">
        <v>25322</v>
      </c>
    </row>
    <row r="8761" spans="1:4">
      <c r="A8761">
        <v>37430</v>
      </c>
      <c r="B8761" t="s">
        <v>9271</v>
      </c>
      <c r="C8761" t="s">
        <v>427</v>
      </c>
      <c r="D8761" t="s">
        <v>25331</v>
      </c>
    </row>
    <row r="8762" spans="1:4">
      <c r="A8762">
        <v>37434</v>
      </c>
      <c r="B8762" t="s">
        <v>9272</v>
      </c>
      <c r="C8762" t="s">
        <v>427</v>
      </c>
      <c r="D8762" t="s">
        <v>25332</v>
      </c>
    </row>
    <row r="8763" spans="1:4">
      <c r="A8763">
        <v>37431</v>
      </c>
      <c r="B8763" t="s">
        <v>9273</v>
      </c>
      <c r="C8763" t="s">
        <v>427</v>
      </c>
      <c r="D8763" t="s">
        <v>25333</v>
      </c>
    </row>
    <row r="8764" spans="1:4">
      <c r="A8764">
        <v>37432</v>
      </c>
      <c r="B8764" t="s">
        <v>9274</v>
      </c>
      <c r="C8764" t="s">
        <v>427</v>
      </c>
      <c r="D8764" t="s">
        <v>25334</v>
      </c>
    </row>
    <row r="8765" spans="1:4">
      <c r="A8765">
        <v>37413</v>
      </c>
      <c r="B8765" t="s">
        <v>9275</v>
      </c>
      <c r="C8765" t="s">
        <v>427</v>
      </c>
      <c r="D8765" t="s">
        <v>15239</v>
      </c>
    </row>
    <row r="8766" spans="1:4">
      <c r="A8766">
        <v>37414</v>
      </c>
      <c r="B8766" t="s">
        <v>9276</v>
      </c>
      <c r="C8766" t="s">
        <v>427</v>
      </c>
      <c r="D8766" t="s">
        <v>23559</v>
      </c>
    </row>
    <row r="8767" spans="1:4">
      <c r="A8767">
        <v>37415</v>
      </c>
      <c r="B8767" t="s">
        <v>9277</v>
      </c>
      <c r="C8767" t="s">
        <v>427</v>
      </c>
      <c r="D8767" t="s">
        <v>24283</v>
      </c>
    </row>
    <row r="8768" spans="1:4">
      <c r="A8768">
        <v>37416</v>
      </c>
      <c r="B8768" t="s">
        <v>9278</v>
      </c>
      <c r="C8768" t="s">
        <v>427</v>
      </c>
      <c r="D8768" t="s">
        <v>15478</v>
      </c>
    </row>
    <row r="8769" spans="1:4">
      <c r="A8769">
        <v>37417</v>
      </c>
      <c r="B8769" t="s">
        <v>9279</v>
      </c>
      <c r="C8769" t="s">
        <v>427</v>
      </c>
      <c r="D8769" t="s">
        <v>19266</v>
      </c>
    </row>
    <row r="8770" spans="1:4">
      <c r="A8770">
        <v>43590</v>
      </c>
      <c r="B8770" t="s">
        <v>9280</v>
      </c>
      <c r="C8770" t="s">
        <v>427</v>
      </c>
      <c r="D8770" t="s">
        <v>25335</v>
      </c>
    </row>
    <row r="8771" spans="1:4">
      <c r="A8771">
        <v>43589</v>
      </c>
      <c r="B8771" t="s">
        <v>9281</v>
      </c>
      <c r="C8771" t="s">
        <v>427</v>
      </c>
      <c r="D8771" t="s">
        <v>21037</v>
      </c>
    </row>
    <row r="8772" spans="1:4">
      <c r="A8772">
        <v>34519</v>
      </c>
      <c r="B8772" t="s">
        <v>9282</v>
      </c>
      <c r="C8772" t="s">
        <v>427</v>
      </c>
      <c r="D8772" t="s">
        <v>25336</v>
      </c>
    </row>
    <row r="8773" spans="1:4">
      <c r="A8773">
        <v>1649</v>
      </c>
      <c r="B8773" t="s">
        <v>9283</v>
      </c>
      <c r="C8773" t="s">
        <v>427</v>
      </c>
      <c r="D8773" t="s">
        <v>25337</v>
      </c>
    </row>
    <row r="8774" spans="1:4">
      <c r="A8774">
        <v>1653</v>
      </c>
      <c r="B8774" t="s">
        <v>9284</v>
      </c>
      <c r="C8774" t="s">
        <v>427</v>
      </c>
      <c r="D8774" t="s">
        <v>20350</v>
      </c>
    </row>
    <row r="8775" spans="1:4">
      <c r="A8775">
        <v>1647</v>
      </c>
      <c r="B8775" t="s">
        <v>9285</v>
      </c>
      <c r="C8775" t="s">
        <v>427</v>
      </c>
      <c r="D8775" t="s">
        <v>20357</v>
      </c>
    </row>
    <row r="8776" spans="1:4">
      <c r="A8776">
        <v>1648</v>
      </c>
      <c r="B8776" t="s">
        <v>9286</v>
      </c>
      <c r="C8776" t="s">
        <v>427</v>
      </c>
      <c r="D8776" t="s">
        <v>25338</v>
      </c>
    </row>
    <row r="8777" spans="1:4">
      <c r="A8777">
        <v>1651</v>
      </c>
      <c r="B8777" t="s">
        <v>9287</v>
      </c>
      <c r="C8777" t="s">
        <v>427</v>
      </c>
      <c r="D8777" t="s">
        <v>25339</v>
      </c>
    </row>
    <row r="8778" spans="1:4">
      <c r="A8778">
        <v>1650</v>
      </c>
      <c r="B8778" t="s">
        <v>9288</v>
      </c>
      <c r="C8778" t="s">
        <v>427</v>
      </c>
      <c r="D8778" t="s">
        <v>25340</v>
      </c>
    </row>
    <row r="8779" spans="1:4">
      <c r="A8779">
        <v>1654</v>
      </c>
      <c r="B8779" t="s">
        <v>9289</v>
      </c>
      <c r="C8779" t="s">
        <v>427</v>
      </c>
      <c r="D8779" t="s">
        <v>18551</v>
      </c>
    </row>
    <row r="8780" spans="1:4">
      <c r="A8780">
        <v>1652</v>
      </c>
      <c r="B8780" t="s">
        <v>9290</v>
      </c>
      <c r="C8780" t="s">
        <v>427</v>
      </c>
      <c r="D8780" t="s">
        <v>25341</v>
      </c>
    </row>
    <row r="8781" spans="1:4">
      <c r="A8781">
        <v>10510</v>
      </c>
      <c r="B8781" t="s">
        <v>9291</v>
      </c>
      <c r="C8781" t="s">
        <v>427</v>
      </c>
      <c r="D8781" t="s">
        <v>25342</v>
      </c>
    </row>
    <row r="8782" spans="1:4">
      <c r="A8782">
        <v>1747</v>
      </c>
      <c r="B8782" t="s">
        <v>9292</v>
      </c>
      <c r="C8782" t="s">
        <v>427</v>
      </c>
      <c r="D8782" t="s">
        <v>25343</v>
      </c>
    </row>
    <row r="8783" spans="1:4">
      <c r="A8783">
        <v>1744</v>
      </c>
      <c r="B8783" t="s">
        <v>9293</v>
      </c>
      <c r="C8783" t="s">
        <v>427</v>
      </c>
      <c r="D8783" t="s">
        <v>25344</v>
      </c>
    </row>
    <row r="8784" spans="1:4">
      <c r="A8784">
        <v>1743</v>
      </c>
      <c r="B8784" t="s">
        <v>9294</v>
      </c>
      <c r="C8784" t="s">
        <v>427</v>
      </c>
      <c r="D8784" t="s">
        <v>25345</v>
      </c>
    </row>
    <row r="8785" spans="1:4">
      <c r="A8785">
        <v>39640</v>
      </c>
      <c r="B8785" t="s">
        <v>9295</v>
      </c>
      <c r="C8785" t="s">
        <v>427</v>
      </c>
      <c r="D8785" t="s">
        <v>19235</v>
      </c>
    </row>
    <row r="8786" spans="1:4">
      <c r="A8786">
        <v>7216</v>
      </c>
      <c r="B8786" t="s">
        <v>9296</v>
      </c>
      <c r="C8786" t="s">
        <v>427</v>
      </c>
      <c r="D8786" t="s">
        <v>25346</v>
      </c>
    </row>
    <row r="8787" spans="1:4">
      <c r="A8787">
        <v>20235</v>
      </c>
      <c r="B8787" t="s">
        <v>9297</v>
      </c>
      <c r="C8787" t="s">
        <v>427</v>
      </c>
      <c r="D8787" t="s">
        <v>17892</v>
      </c>
    </row>
    <row r="8788" spans="1:4">
      <c r="A8788">
        <v>7181</v>
      </c>
      <c r="B8788" t="s">
        <v>9298</v>
      </c>
      <c r="C8788" t="s">
        <v>427</v>
      </c>
      <c r="D8788" t="s">
        <v>24347</v>
      </c>
    </row>
    <row r="8789" spans="1:4">
      <c r="A8789">
        <v>40742</v>
      </c>
      <c r="B8789" t="s">
        <v>9299</v>
      </c>
      <c r="C8789" t="s">
        <v>427</v>
      </c>
      <c r="D8789" t="s">
        <v>15202</v>
      </c>
    </row>
    <row r="8790" spans="1:4">
      <c r="A8790">
        <v>7214</v>
      </c>
      <c r="B8790" t="s">
        <v>9300</v>
      </c>
      <c r="C8790" t="s">
        <v>427</v>
      </c>
      <c r="D8790" t="s">
        <v>22654</v>
      </c>
    </row>
    <row r="8791" spans="1:4">
      <c r="A8791">
        <v>7219</v>
      </c>
      <c r="B8791" t="s">
        <v>9301</v>
      </c>
      <c r="C8791" t="s">
        <v>427</v>
      </c>
      <c r="D8791" t="s">
        <v>25347</v>
      </c>
    </row>
    <row r="8792" spans="1:4">
      <c r="A8792">
        <v>37972</v>
      </c>
      <c r="B8792" t="s">
        <v>9302</v>
      </c>
      <c r="C8792" t="s">
        <v>427</v>
      </c>
      <c r="D8792" t="s">
        <v>15447</v>
      </c>
    </row>
    <row r="8793" spans="1:4">
      <c r="A8793">
        <v>37973</v>
      </c>
      <c r="B8793" t="s">
        <v>9303</v>
      </c>
      <c r="C8793" t="s">
        <v>427</v>
      </c>
      <c r="D8793" t="s">
        <v>19205</v>
      </c>
    </row>
    <row r="8794" spans="1:4">
      <c r="A8794">
        <v>37971</v>
      </c>
      <c r="B8794" t="s">
        <v>9304</v>
      </c>
      <c r="C8794" t="s">
        <v>427</v>
      </c>
      <c r="D8794" t="s">
        <v>18539</v>
      </c>
    </row>
    <row r="8795" spans="1:4">
      <c r="A8795">
        <v>20094</v>
      </c>
      <c r="B8795" t="s">
        <v>9305</v>
      </c>
      <c r="C8795" t="s">
        <v>427</v>
      </c>
      <c r="D8795" t="s">
        <v>19015</v>
      </c>
    </row>
    <row r="8796" spans="1:4">
      <c r="A8796">
        <v>20095</v>
      </c>
      <c r="B8796" t="s">
        <v>9306</v>
      </c>
      <c r="C8796" t="s">
        <v>427</v>
      </c>
      <c r="D8796" t="s">
        <v>17588</v>
      </c>
    </row>
    <row r="8797" spans="1:4">
      <c r="A8797">
        <v>1954</v>
      </c>
      <c r="B8797" t="s">
        <v>9307</v>
      </c>
      <c r="C8797" t="s">
        <v>427</v>
      </c>
      <c r="D8797" t="s">
        <v>20330</v>
      </c>
    </row>
    <row r="8798" spans="1:4">
      <c r="A8798">
        <v>1926</v>
      </c>
      <c r="B8798" t="s">
        <v>9308</v>
      </c>
      <c r="C8798" t="s">
        <v>427</v>
      </c>
      <c r="D8798" t="s">
        <v>20102</v>
      </c>
    </row>
    <row r="8799" spans="1:4">
      <c r="A8799">
        <v>1927</v>
      </c>
      <c r="B8799" t="s">
        <v>9309</v>
      </c>
      <c r="C8799" t="s">
        <v>427</v>
      </c>
      <c r="D8799" t="s">
        <v>20132</v>
      </c>
    </row>
    <row r="8800" spans="1:4">
      <c r="A8800">
        <v>1923</v>
      </c>
      <c r="B8800" t="s">
        <v>9310</v>
      </c>
      <c r="C8800" t="s">
        <v>427</v>
      </c>
      <c r="D8800" t="s">
        <v>18840</v>
      </c>
    </row>
    <row r="8801" spans="1:4">
      <c r="A8801">
        <v>1929</v>
      </c>
      <c r="B8801" t="s">
        <v>9311</v>
      </c>
      <c r="C8801" t="s">
        <v>427</v>
      </c>
      <c r="D8801" t="s">
        <v>18071</v>
      </c>
    </row>
    <row r="8802" spans="1:4">
      <c r="A8802">
        <v>1930</v>
      </c>
      <c r="B8802" t="s">
        <v>9312</v>
      </c>
      <c r="C8802" t="s">
        <v>427</v>
      </c>
      <c r="D8802" t="s">
        <v>25348</v>
      </c>
    </row>
    <row r="8803" spans="1:4">
      <c r="A8803">
        <v>1924</v>
      </c>
      <c r="B8803" t="s">
        <v>9313</v>
      </c>
      <c r="C8803" t="s">
        <v>427</v>
      </c>
      <c r="D8803" t="s">
        <v>25349</v>
      </c>
    </row>
    <row r="8804" spans="1:4">
      <c r="A8804">
        <v>1922</v>
      </c>
      <c r="B8804" t="s">
        <v>9314</v>
      </c>
      <c r="C8804" t="s">
        <v>427</v>
      </c>
      <c r="D8804" t="s">
        <v>25350</v>
      </c>
    </row>
    <row r="8805" spans="1:4">
      <c r="A8805">
        <v>1953</v>
      </c>
      <c r="B8805" t="s">
        <v>9315</v>
      </c>
      <c r="C8805" t="s">
        <v>427</v>
      </c>
      <c r="D8805" t="s">
        <v>25351</v>
      </c>
    </row>
    <row r="8806" spans="1:4">
      <c r="A8806">
        <v>1962</v>
      </c>
      <c r="B8806" t="s">
        <v>9316</v>
      </c>
      <c r="C8806" t="s">
        <v>427</v>
      </c>
      <c r="D8806" t="s">
        <v>25352</v>
      </c>
    </row>
    <row r="8807" spans="1:4">
      <c r="A8807">
        <v>1955</v>
      </c>
      <c r="B8807" t="s">
        <v>9317</v>
      </c>
      <c r="C8807" t="s">
        <v>427</v>
      </c>
      <c r="D8807" t="s">
        <v>15748</v>
      </c>
    </row>
    <row r="8808" spans="1:4">
      <c r="A8808">
        <v>1956</v>
      </c>
      <c r="B8808" t="s">
        <v>9318</v>
      </c>
      <c r="C8808" t="s">
        <v>427</v>
      </c>
      <c r="D8808" t="s">
        <v>23310</v>
      </c>
    </row>
    <row r="8809" spans="1:4">
      <c r="A8809">
        <v>1957</v>
      </c>
      <c r="B8809" t="s">
        <v>9319</v>
      </c>
      <c r="C8809" t="s">
        <v>427</v>
      </c>
      <c r="D8809" t="s">
        <v>18061</v>
      </c>
    </row>
    <row r="8810" spans="1:4">
      <c r="A8810">
        <v>1958</v>
      </c>
      <c r="B8810" t="s">
        <v>9320</v>
      </c>
      <c r="C8810" t="s">
        <v>427</v>
      </c>
      <c r="D8810" t="s">
        <v>18875</v>
      </c>
    </row>
    <row r="8811" spans="1:4">
      <c r="A8811">
        <v>1959</v>
      </c>
      <c r="B8811" t="s">
        <v>9321</v>
      </c>
      <c r="C8811" t="s">
        <v>427</v>
      </c>
      <c r="D8811" t="s">
        <v>25274</v>
      </c>
    </row>
    <row r="8812" spans="1:4">
      <c r="A8812">
        <v>1925</v>
      </c>
      <c r="B8812" t="s">
        <v>9322</v>
      </c>
      <c r="C8812" t="s">
        <v>427</v>
      </c>
      <c r="D8812" t="s">
        <v>25353</v>
      </c>
    </row>
    <row r="8813" spans="1:4">
      <c r="A8813">
        <v>1960</v>
      </c>
      <c r="B8813" t="s">
        <v>9323</v>
      </c>
      <c r="C8813" t="s">
        <v>427</v>
      </c>
      <c r="D8813" t="s">
        <v>25354</v>
      </c>
    </row>
    <row r="8814" spans="1:4">
      <c r="A8814">
        <v>1961</v>
      </c>
      <c r="B8814" t="s">
        <v>9324</v>
      </c>
      <c r="C8814" t="s">
        <v>427</v>
      </c>
      <c r="D8814" t="s">
        <v>25355</v>
      </c>
    </row>
    <row r="8815" spans="1:4">
      <c r="A8815">
        <v>38426</v>
      </c>
      <c r="B8815" t="s">
        <v>9325</v>
      </c>
      <c r="C8815" t="s">
        <v>427</v>
      </c>
      <c r="D8815" t="s">
        <v>24919</v>
      </c>
    </row>
    <row r="8816" spans="1:4">
      <c r="A8816">
        <v>38423</v>
      </c>
      <c r="B8816" t="s">
        <v>9326</v>
      </c>
      <c r="C8816" t="s">
        <v>427</v>
      </c>
      <c r="D8816" t="s">
        <v>25356</v>
      </c>
    </row>
    <row r="8817" spans="1:4">
      <c r="A8817">
        <v>38421</v>
      </c>
      <c r="B8817" t="s">
        <v>9327</v>
      </c>
      <c r="C8817" t="s">
        <v>427</v>
      </c>
      <c r="D8817" t="s">
        <v>20191</v>
      </c>
    </row>
    <row r="8818" spans="1:4">
      <c r="A8818">
        <v>38422</v>
      </c>
      <c r="B8818" t="s">
        <v>9328</v>
      </c>
      <c r="C8818" t="s">
        <v>427</v>
      </c>
      <c r="D8818" t="s">
        <v>17092</v>
      </c>
    </row>
    <row r="8819" spans="1:4">
      <c r="A8819">
        <v>39866</v>
      </c>
      <c r="B8819" t="s">
        <v>9329</v>
      </c>
      <c r="C8819" t="s">
        <v>427</v>
      </c>
      <c r="D8819" t="s">
        <v>19141</v>
      </c>
    </row>
    <row r="8820" spans="1:4">
      <c r="A8820">
        <v>39867</v>
      </c>
      <c r="B8820" t="s">
        <v>9330</v>
      </c>
      <c r="C8820" t="s">
        <v>427</v>
      </c>
      <c r="D8820" t="s">
        <v>24646</v>
      </c>
    </row>
    <row r="8821" spans="1:4">
      <c r="A8821">
        <v>39868</v>
      </c>
      <c r="B8821" t="s">
        <v>9331</v>
      </c>
      <c r="C8821" t="s">
        <v>427</v>
      </c>
      <c r="D8821" t="s">
        <v>25357</v>
      </c>
    </row>
    <row r="8822" spans="1:4">
      <c r="A8822">
        <v>37999</v>
      </c>
      <c r="B8822" t="s">
        <v>9332</v>
      </c>
      <c r="C8822" t="s">
        <v>427</v>
      </c>
      <c r="D8822" t="s">
        <v>17229</v>
      </c>
    </row>
    <row r="8823" spans="1:4">
      <c r="A8823">
        <v>38000</v>
      </c>
      <c r="B8823" t="s">
        <v>9333</v>
      </c>
      <c r="C8823" t="s">
        <v>427</v>
      </c>
      <c r="D8823" t="s">
        <v>15161</v>
      </c>
    </row>
    <row r="8824" spans="1:4">
      <c r="A8824">
        <v>38129</v>
      </c>
      <c r="B8824" t="s">
        <v>9334</v>
      </c>
      <c r="C8824" t="s">
        <v>427</v>
      </c>
      <c r="D8824" t="s">
        <v>14755</v>
      </c>
    </row>
    <row r="8825" spans="1:4">
      <c r="A8825">
        <v>38025</v>
      </c>
      <c r="B8825" t="s">
        <v>9335</v>
      </c>
      <c r="C8825" t="s">
        <v>427</v>
      </c>
      <c r="D8825" t="s">
        <v>20565</v>
      </c>
    </row>
    <row r="8826" spans="1:4">
      <c r="A8826">
        <v>38026</v>
      </c>
      <c r="B8826" t="s">
        <v>9336</v>
      </c>
      <c r="C8826" t="s">
        <v>427</v>
      </c>
      <c r="D8826" t="s">
        <v>19113</v>
      </c>
    </row>
    <row r="8827" spans="1:4">
      <c r="A8827">
        <v>1858</v>
      </c>
      <c r="B8827" t="s">
        <v>9337</v>
      </c>
      <c r="C8827" t="s">
        <v>427</v>
      </c>
      <c r="D8827" t="s">
        <v>25358</v>
      </c>
    </row>
    <row r="8828" spans="1:4">
      <c r="A8828">
        <v>1844</v>
      </c>
      <c r="B8828" t="s">
        <v>9338</v>
      </c>
      <c r="C8828" t="s">
        <v>427</v>
      </c>
      <c r="D8828" t="s">
        <v>25359</v>
      </c>
    </row>
    <row r="8829" spans="1:4">
      <c r="A8829">
        <v>1863</v>
      </c>
      <c r="B8829" t="s">
        <v>9339</v>
      </c>
      <c r="C8829" t="s">
        <v>427</v>
      </c>
      <c r="D8829" t="s">
        <v>25360</v>
      </c>
    </row>
    <row r="8830" spans="1:4">
      <c r="A8830">
        <v>1865</v>
      </c>
      <c r="B8830" t="s">
        <v>9340</v>
      </c>
      <c r="C8830" t="s">
        <v>427</v>
      </c>
      <c r="D8830" t="s">
        <v>25361</v>
      </c>
    </row>
    <row r="8831" spans="1:4">
      <c r="A8831">
        <v>36355</v>
      </c>
      <c r="B8831" t="s">
        <v>9341</v>
      </c>
      <c r="C8831" t="s">
        <v>427</v>
      </c>
      <c r="D8831" t="s">
        <v>18179</v>
      </c>
    </row>
    <row r="8832" spans="1:4">
      <c r="A8832">
        <v>36356</v>
      </c>
      <c r="B8832" t="s">
        <v>9342</v>
      </c>
      <c r="C8832" t="s">
        <v>427</v>
      </c>
      <c r="D8832" t="s">
        <v>16961</v>
      </c>
    </row>
    <row r="8833" spans="1:4">
      <c r="A8833">
        <v>1932</v>
      </c>
      <c r="B8833" t="s">
        <v>9343</v>
      </c>
      <c r="C8833" t="s">
        <v>427</v>
      </c>
      <c r="D8833" t="s">
        <v>19249</v>
      </c>
    </row>
    <row r="8834" spans="1:4">
      <c r="A8834">
        <v>1933</v>
      </c>
      <c r="B8834" t="s">
        <v>9344</v>
      </c>
      <c r="C8834" t="s">
        <v>427</v>
      </c>
      <c r="D8834" t="s">
        <v>25362</v>
      </c>
    </row>
    <row r="8835" spans="1:4">
      <c r="A8835">
        <v>1951</v>
      </c>
      <c r="B8835" t="s">
        <v>9345</v>
      </c>
      <c r="C8835" t="s">
        <v>427</v>
      </c>
      <c r="D8835" t="s">
        <v>15027</v>
      </c>
    </row>
    <row r="8836" spans="1:4">
      <c r="A8836">
        <v>1966</v>
      </c>
      <c r="B8836" t="s">
        <v>9346</v>
      </c>
      <c r="C8836" t="s">
        <v>427</v>
      </c>
      <c r="D8836" t="s">
        <v>22801</v>
      </c>
    </row>
    <row r="8837" spans="1:4">
      <c r="A8837">
        <v>1952</v>
      </c>
      <c r="B8837" t="s">
        <v>9347</v>
      </c>
      <c r="C8837" t="s">
        <v>427</v>
      </c>
      <c r="D8837" t="s">
        <v>20532</v>
      </c>
    </row>
    <row r="8838" spans="1:4">
      <c r="A8838">
        <v>20104</v>
      </c>
      <c r="B8838" t="s">
        <v>9348</v>
      </c>
      <c r="C8838" t="s">
        <v>427</v>
      </c>
      <c r="D8838" t="s">
        <v>25363</v>
      </c>
    </row>
    <row r="8839" spans="1:4">
      <c r="A8839">
        <v>20105</v>
      </c>
      <c r="B8839" t="s">
        <v>9349</v>
      </c>
      <c r="C8839" t="s">
        <v>427</v>
      </c>
      <c r="D8839" t="s">
        <v>25364</v>
      </c>
    </row>
    <row r="8840" spans="1:4">
      <c r="A8840">
        <v>1965</v>
      </c>
      <c r="B8840" t="s">
        <v>9350</v>
      </c>
      <c r="C8840" t="s">
        <v>427</v>
      </c>
      <c r="D8840" t="s">
        <v>17812</v>
      </c>
    </row>
    <row r="8841" spans="1:4">
      <c r="A8841">
        <v>10765</v>
      </c>
      <c r="B8841" t="s">
        <v>9351</v>
      </c>
      <c r="C8841" t="s">
        <v>427</v>
      </c>
      <c r="D8841" t="s">
        <v>17781</v>
      </c>
    </row>
    <row r="8842" spans="1:4">
      <c r="A8842">
        <v>10767</v>
      </c>
      <c r="B8842" t="s">
        <v>9352</v>
      </c>
      <c r="C8842" t="s">
        <v>427</v>
      </c>
      <c r="D8842" t="s">
        <v>19544</v>
      </c>
    </row>
    <row r="8843" spans="1:4">
      <c r="A8843">
        <v>1970</v>
      </c>
      <c r="B8843" t="s">
        <v>9353</v>
      </c>
      <c r="C8843" t="s">
        <v>427</v>
      </c>
      <c r="D8843" t="s">
        <v>24909</v>
      </c>
    </row>
    <row r="8844" spans="1:4">
      <c r="A8844">
        <v>1967</v>
      </c>
      <c r="B8844" t="s">
        <v>9354</v>
      </c>
      <c r="C8844" t="s">
        <v>427</v>
      </c>
      <c r="D8844" t="s">
        <v>18235</v>
      </c>
    </row>
    <row r="8845" spans="1:4">
      <c r="A8845">
        <v>1968</v>
      </c>
      <c r="B8845" t="s">
        <v>9355</v>
      </c>
      <c r="C8845" t="s">
        <v>427</v>
      </c>
      <c r="D8845" t="s">
        <v>18636</v>
      </c>
    </row>
    <row r="8846" spans="1:4">
      <c r="A8846">
        <v>1969</v>
      </c>
      <c r="B8846" t="s">
        <v>9356</v>
      </c>
      <c r="C8846" t="s">
        <v>427</v>
      </c>
      <c r="D8846" t="s">
        <v>25365</v>
      </c>
    </row>
    <row r="8847" spans="1:4">
      <c r="A8847">
        <v>1839</v>
      </c>
      <c r="B8847" t="s">
        <v>9357</v>
      </c>
      <c r="C8847" t="s">
        <v>427</v>
      </c>
      <c r="D8847" t="s">
        <v>16317</v>
      </c>
    </row>
    <row r="8848" spans="1:4">
      <c r="A8848">
        <v>1835</v>
      </c>
      <c r="B8848" t="s">
        <v>9358</v>
      </c>
      <c r="C8848" t="s">
        <v>427</v>
      </c>
      <c r="D8848" t="s">
        <v>25366</v>
      </c>
    </row>
    <row r="8849" spans="1:4">
      <c r="A8849">
        <v>1823</v>
      </c>
      <c r="B8849" t="s">
        <v>9359</v>
      </c>
      <c r="C8849" t="s">
        <v>427</v>
      </c>
      <c r="D8849" t="s">
        <v>25367</v>
      </c>
    </row>
    <row r="8850" spans="1:4">
      <c r="A8850">
        <v>1827</v>
      </c>
      <c r="B8850" t="s">
        <v>9360</v>
      </c>
      <c r="C8850" t="s">
        <v>427</v>
      </c>
      <c r="D8850" t="s">
        <v>25368</v>
      </c>
    </row>
    <row r="8851" spans="1:4">
      <c r="A8851">
        <v>1831</v>
      </c>
      <c r="B8851" t="s">
        <v>9361</v>
      </c>
      <c r="C8851" t="s">
        <v>427</v>
      </c>
      <c r="D8851" t="s">
        <v>25369</v>
      </c>
    </row>
    <row r="8852" spans="1:4">
      <c r="A8852">
        <v>1825</v>
      </c>
      <c r="B8852" t="s">
        <v>9362</v>
      </c>
      <c r="C8852" t="s">
        <v>427</v>
      </c>
      <c r="D8852" t="s">
        <v>25370</v>
      </c>
    </row>
    <row r="8853" spans="1:4">
      <c r="A8853">
        <v>1828</v>
      </c>
      <c r="B8853" t="s">
        <v>9363</v>
      </c>
      <c r="C8853" t="s">
        <v>427</v>
      </c>
      <c r="D8853" t="s">
        <v>25371</v>
      </c>
    </row>
    <row r="8854" spans="1:4">
      <c r="A8854">
        <v>1845</v>
      </c>
      <c r="B8854" t="s">
        <v>9364</v>
      </c>
      <c r="C8854" t="s">
        <v>427</v>
      </c>
      <c r="D8854" t="s">
        <v>24480</v>
      </c>
    </row>
    <row r="8855" spans="1:4">
      <c r="A8855">
        <v>1824</v>
      </c>
      <c r="B8855" t="s">
        <v>9365</v>
      </c>
      <c r="C8855" t="s">
        <v>427</v>
      </c>
      <c r="D8855" t="s">
        <v>25372</v>
      </c>
    </row>
    <row r="8856" spans="1:4">
      <c r="A8856">
        <v>1941</v>
      </c>
      <c r="B8856" t="s">
        <v>9366</v>
      </c>
      <c r="C8856" t="s">
        <v>427</v>
      </c>
      <c r="D8856" t="s">
        <v>19014</v>
      </c>
    </row>
    <row r="8857" spans="1:4">
      <c r="A8857">
        <v>1940</v>
      </c>
      <c r="B8857" t="s">
        <v>9367</v>
      </c>
      <c r="C8857" t="s">
        <v>427</v>
      </c>
      <c r="D8857" t="s">
        <v>20283</v>
      </c>
    </row>
    <row r="8858" spans="1:4">
      <c r="A8858">
        <v>1937</v>
      </c>
      <c r="B8858" t="s">
        <v>9368</v>
      </c>
      <c r="C8858" t="s">
        <v>427</v>
      </c>
      <c r="D8858" t="s">
        <v>24368</v>
      </c>
    </row>
    <row r="8859" spans="1:4">
      <c r="A8859">
        <v>1939</v>
      </c>
      <c r="B8859" t="s">
        <v>9369</v>
      </c>
      <c r="C8859" t="s">
        <v>427</v>
      </c>
      <c r="D8859" t="s">
        <v>24000</v>
      </c>
    </row>
    <row r="8860" spans="1:4">
      <c r="A8860">
        <v>1942</v>
      </c>
      <c r="B8860" t="s">
        <v>9370</v>
      </c>
      <c r="C8860" t="s">
        <v>427</v>
      </c>
      <c r="D8860" t="s">
        <v>25373</v>
      </c>
    </row>
    <row r="8861" spans="1:4">
      <c r="A8861">
        <v>1938</v>
      </c>
      <c r="B8861" t="s">
        <v>9371</v>
      </c>
      <c r="C8861" t="s">
        <v>427</v>
      </c>
      <c r="D8861" t="s">
        <v>19133</v>
      </c>
    </row>
    <row r="8862" spans="1:4">
      <c r="A8862">
        <v>42692</v>
      </c>
      <c r="B8862" t="s">
        <v>9372</v>
      </c>
      <c r="C8862" t="s">
        <v>427</v>
      </c>
      <c r="D8862" t="s">
        <v>25374</v>
      </c>
    </row>
    <row r="8863" spans="1:4">
      <c r="A8863">
        <v>42693</v>
      </c>
      <c r="B8863" t="s">
        <v>9373</v>
      </c>
      <c r="C8863" t="s">
        <v>427</v>
      </c>
      <c r="D8863" t="s">
        <v>25375</v>
      </c>
    </row>
    <row r="8864" spans="1:4">
      <c r="A8864">
        <v>42695</v>
      </c>
      <c r="B8864" t="s">
        <v>9374</v>
      </c>
      <c r="C8864" t="s">
        <v>427</v>
      </c>
      <c r="D8864" t="s">
        <v>25376</v>
      </c>
    </row>
    <row r="8865" spans="1:4">
      <c r="A8865">
        <v>42694</v>
      </c>
      <c r="B8865" t="s">
        <v>9375</v>
      </c>
      <c r="C8865" t="s">
        <v>427</v>
      </c>
      <c r="D8865" t="s">
        <v>25377</v>
      </c>
    </row>
    <row r="8866" spans="1:4">
      <c r="A8866">
        <v>20097</v>
      </c>
      <c r="B8866" t="s">
        <v>9376</v>
      </c>
      <c r="C8866" t="s">
        <v>427</v>
      </c>
      <c r="D8866" t="s">
        <v>25378</v>
      </c>
    </row>
    <row r="8867" spans="1:4">
      <c r="A8867">
        <v>20098</v>
      </c>
      <c r="B8867" t="s">
        <v>9377</v>
      </c>
      <c r="C8867" t="s">
        <v>427</v>
      </c>
      <c r="D8867" t="s">
        <v>25379</v>
      </c>
    </row>
    <row r="8868" spans="1:4">
      <c r="A8868">
        <v>20096</v>
      </c>
      <c r="B8868" t="s">
        <v>9378</v>
      </c>
      <c r="C8868" t="s">
        <v>427</v>
      </c>
      <c r="D8868" t="s">
        <v>14771</v>
      </c>
    </row>
    <row r="8869" spans="1:4">
      <c r="A8869">
        <v>1964</v>
      </c>
      <c r="B8869" t="s">
        <v>9379</v>
      </c>
      <c r="C8869" t="s">
        <v>427</v>
      </c>
      <c r="D8869" t="s">
        <v>25380</v>
      </c>
    </row>
    <row r="8870" spans="1:4">
      <c r="A8870">
        <v>1880</v>
      </c>
      <c r="B8870" t="s">
        <v>9380</v>
      </c>
      <c r="C8870" t="s">
        <v>427</v>
      </c>
      <c r="D8870" t="s">
        <v>24844</v>
      </c>
    </row>
    <row r="8871" spans="1:4">
      <c r="A8871">
        <v>39274</v>
      </c>
      <c r="B8871" t="s">
        <v>9381</v>
      </c>
      <c r="C8871" t="s">
        <v>427</v>
      </c>
      <c r="D8871" t="s">
        <v>15653</v>
      </c>
    </row>
    <row r="8872" spans="1:4">
      <c r="A8872">
        <v>2628</v>
      </c>
      <c r="B8872" t="s">
        <v>9382</v>
      </c>
      <c r="C8872" t="s">
        <v>427</v>
      </c>
      <c r="D8872" t="s">
        <v>25381</v>
      </c>
    </row>
    <row r="8873" spans="1:4">
      <c r="A8873">
        <v>2622</v>
      </c>
      <c r="B8873" t="s">
        <v>9383</v>
      </c>
      <c r="C8873" t="s">
        <v>427</v>
      </c>
      <c r="D8873" t="s">
        <v>15629</v>
      </c>
    </row>
    <row r="8874" spans="1:4">
      <c r="A8874">
        <v>2623</v>
      </c>
      <c r="B8874" t="s">
        <v>9384</v>
      </c>
      <c r="C8874" t="s">
        <v>427</v>
      </c>
      <c r="D8874" t="s">
        <v>20507</v>
      </c>
    </row>
    <row r="8875" spans="1:4">
      <c r="A8875">
        <v>2624</v>
      </c>
      <c r="B8875" t="s">
        <v>9385</v>
      </c>
      <c r="C8875" t="s">
        <v>427</v>
      </c>
      <c r="D8875" t="s">
        <v>22703</v>
      </c>
    </row>
    <row r="8876" spans="1:4">
      <c r="A8876">
        <v>2625</v>
      </c>
      <c r="B8876" t="s">
        <v>9386</v>
      </c>
      <c r="C8876" t="s">
        <v>427</v>
      </c>
      <c r="D8876" t="s">
        <v>25382</v>
      </c>
    </row>
    <row r="8877" spans="1:4">
      <c r="A8877">
        <v>2626</v>
      </c>
      <c r="B8877" t="s">
        <v>9387</v>
      </c>
      <c r="C8877" t="s">
        <v>427</v>
      </c>
      <c r="D8877" t="s">
        <v>25383</v>
      </c>
    </row>
    <row r="8878" spans="1:4">
      <c r="A8878">
        <v>2630</v>
      </c>
      <c r="B8878" t="s">
        <v>9388</v>
      </c>
      <c r="C8878" t="s">
        <v>427</v>
      </c>
      <c r="D8878" t="s">
        <v>25384</v>
      </c>
    </row>
    <row r="8879" spans="1:4">
      <c r="A8879">
        <v>2627</v>
      </c>
      <c r="B8879" t="s">
        <v>9389</v>
      </c>
      <c r="C8879" t="s">
        <v>427</v>
      </c>
      <c r="D8879" t="s">
        <v>25385</v>
      </c>
    </row>
    <row r="8880" spans="1:4">
      <c r="A8880">
        <v>2629</v>
      </c>
      <c r="B8880" t="s">
        <v>9390</v>
      </c>
      <c r="C8880" t="s">
        <v>427</v>
      </c>
      <c r="D8880" t="s">
        <v>25386</v>
      </c>
    </row>
    <row r="8881" spans="1:4">
      <c r="A8881">
        <v>12033</v>
      </c>
      <c r="B8881" t="s">
        <v>9391</v>
      </c>
      <c r="C8881" t="s">
        <v>427</v>
      </c>
      <c r="D8881" t="s">
        <v>23558</v>
      </c>
    </row>
    <row r="8882" spans="1:4">
      <c r="A8882">
        <v>40408</v>
      </c>
      <c r="B8882" t="s">
        <v>9392</v>
      </c>
      <c r="C8882" t="s">
        <v>427</v>
      </c>
      <c r="D8882" t="s">
        <v>22687</v>
      </c>
    </row>
    <row r="8883" spans="1:4">
      <c r="A8883">
        <v>40409</v>
      </c>
      <c r="B8883" t="s">
        <v>9393</v>
      </c>
      <c r="C8883" t="s">
        <v>427</v>
      </c>
      <c r="D8883" t="s">
        <v>15545</v>
      </c>
    </row>
    <row r="8884" spans="1:4">
      <c r="A8884">
        <v>39276</v>
      </c>
      <c r="B8884" t="s">
        <v>9394</v>
      </c>
      <c r="C8884" t="s">
        <v>427</v>
      </c>
      <c r="D8884" t="s">
        <v>15124</v>
      </c>
    </row>
    <row r="8885" spans="1:4">
      <c r="A8885">
        <v>39277</v>
      </c>
      <c r="B8885" t="s">
        <v>9395</v>
      </c>
      <c r="C8885" t="s">
        <v>427</v>
      </c>
      <c r="D8885" t="s">
        <v>23551</v>
      </c>
    </row>
    <row r="8886" spans="1:4">
      <c r="A8886">
        <v>12034</v>
      </c>
      <c r="B8886" t="s">
        <v>9396</v>
      </c>
      <c r="C8886" t="s">
        <v>427</v>
      </c>
      <c r="D8886" t="s">
        <v>15537</v>
      </c>
    </row>
    <row r="8887" spans="1:4">
      <c r="A8887">
        <v>39879</v>
      </c>
      <c r="B8887" t="s">
        <v>9397</v>
      </c>
      <c r="C8887" t="s">
        <v>427</v>
      </c>
      <c r="D8887" t="s">
        <v>18538</v>
      </c>
    </row>
    <row r="8888" spans="1:4">
      <c r="A8888">
        <v>39880</v>
      </c>
      <c r="B8888" t="s">
        <v>9398</v>
      </c>
      <c r="C8888" t="s">
        <v>427</v>
      </c>
      <c r="D8888" t="s">
        <v>21885</v>
      </c>
    </row>
    <row r="8889" spans="1:4">
      <c r="A8889">
        <v>39881</v>
      </c>
      <c r="B8889" t="s">
        <v>9399</v>
      </c>
      <c r="C8889" t="s">
        <v>427</v>
      </c>
      <c r="D8889" t="s">
        <v>25387</v>
      </c>
    </row>
    <row r="8890" spans="1:4">
      <c r="A8890">
        <v>39882</v>
      </c>
      <c r="B8890" t="s">
        <v>9400</v>
      </c>
      <c r="C8890" t="s">
        <v>427</v>
      </c>
      <c r="D8890" t="s">
        <v>25388</v>
      </c>
    </row>
    <row r="8891" spans="1:4">
      <c r="A8891">
        <v>39883</v>
      </c>
      <c r="B8891" t="s">
        <v>9401</v>
      </c>
      <c r="C8891" t="s">
        <v>427</v>
      </c>
      <c r="D8891" t="s">
        <v>16765</v>
      </c>
    </row>
    <row r="8892" spans="1:4">
      <c r="A8892">
        <v>39884</v>
      </c>
      <c r="B8892" t="s">
        <v>9402</v>
      </c>
      <c r="C8892" t="s">
        <v>427</v>
      </c>
      <c r="D8892" t="s">
        <v>25011</v>
      </c>
    </row>
    <row r="8893" spans="1:4">
      <c r="A8893">
        <v>39885</v>
      </c>
      <c r="B8893" t="s">
        <v>9403</v>
      </c>
      <c r="C8893" t="s">
        <v>427</v>
      </c>
      <c r="D8893" t="s">
        <v>25389</v>
      </c>
    </row>
    <row r="8894" spans="1:4">
      <c r="A8894">
        <v>1777</v>
      </c>
      <c r="B8894" t="s">
        <v>9404</v>
      </c>
      <c r="C8894" t="s">
        <v>427</v>
      </c>
      <c r="D8894" t="s">
        <v>25390</v>
      </c>
    </row>
    <row r="8895" spans="1:4">
      <c r="A8895">
        <v>1819</v>
      </c>
      <c r="B8895" t="s">
        <v>9405</v>
      </c>
      <c r="C8895" t="s">
        <v>427</v>
      </c>
      <c r="D8895" t="s">
        <v>25391</v>
      </c>
    </row>
    <row r="8896" spans="1:4">
      <c r="A8896">
        <v>1775</v>
      </c>
      <c r="B8896" t="s">
        <v>9406</v>
      </c>
      <c r="C8896" t="s">
        <v>427</v>
      </c>
      <c r="D8896" t="s">
        <v>25392</v>
      </c>
    </row>
    <row r="8897" spans="1:4">
      <c r="A8897">
        <v>1776</v>
      </c>
      <c r="B8897" t="s">
        <v>9407</v>
      </c>
      <c r="C8897" t="s">
        <v>427</v>
      </c>
      <c r="D8897" t="s">
        <v>25393</v>
      </c>
    </row>
    <row r="8898" spans="1:4">
      <c r="A8898">
        <v>1778</v>
      </c>
      <c r="B8898" t="s">
        <v>9408</v>
      </c>
      <c r="C8898" t="s">
        <v>427</v>
      </c>
      <c r="D8898" t="s">
        <v>25394</v>
      </c>
    </row>
    <row r="8899" spans="1:4">
      <c r="A8899">
        <v>1818</v>
      </c>
      <c r="B8899" t="s">
        <v>9409</v>
      </c>
      <c r="C8899" t="s">
        <v>427</v>
      </c>
      <c r="D8899" t="s">
        <v>20143</v>
      </c>
    </row>
    <row r="8900" spans="1:4">
      <c r="A8900">
        <v>1820</v>
      </c>
      <c r="B8900" t="s">
        <v>9410</v>
      </c>
      <c r="C8900" t="s">
        <v>427</v>
      </c>
      <c r="D8900" t="s">
        <v>25395</v>
      </c>
    </row>
    <row r="8901" spans="1:4">
      <c r="A8901">
        <v>1779</v>
      </c>
      <c r="B8901" t="s">
        <v>9411</v>
      </c>
      <c r="C8901" t="s">
        <v>427</v>
      </c>
      <c r="D8901" t="s">
        <v>25396</v>
      </c>
    </row>
    <row r="8902" spans="1:4">
      <c r="A8902">
        <v>1780</v>
      </c>
      <c r="B8902" t="s">
        <v>9412</v>
      </c>
      <c r="C8902" t="s">
        <v>427</v>
      </c>
      <c r="D8902" t="s">
        <v>25397</v>
      </c>
    </row>
    <row r="8903" spans="1:4">
      <c r="A8903">
        <v>1783</v>
      </c>
      <c r="B8903" t="s">
        <v>9413</v>
      </c>
      <c r="C8903" t="s">
        <v>427</v>
      </c>
      <c r="D8903" t="s">
        <v>25398</v>
      </c>
    </row>
    <row r="8904" spans="1:4">
      <c r="A8904">
        <v>1782</v>
      </c>
      <c r="B8904" t="s">
        <v>9414</v>
      </c>
      <c r="C8904" t="s">
        <v>427</v>
      </c>
      <c r="D8904" t="s">
        <v>25399</v>
      </c>
    </row>
    <row r="8905" spans="1:4">
      <c r="A8905">
        <v>1817</v>
      </c>
      <c r="B8905" t="s">
        <v>9415</v>
      </c>
      <c r="C8905" t="s">
        <v>427</v>
      </c>
      <c r="D8905" t="s">
        <v>16916</v>
      </c>
    </row>
    <row r="8906" spans="1:4">
      <c r="A8906">
        <v>1781</v>
      </c>
      <c r="B8906" t="s">
        <v>9416</v>
      </c>
      <c r="C8906" t="s">
        <v>427</v>
      </c>
      <c r="D8906" t="s">
        <v>25400</v>
      </c>
    </row>
    <row r="8907" spans="1:4">
      <c r="A8907">
        <v>1784</v>
      </c>
      <c r="B8907" t="s">
        <v>9417</v>
      </c>
      <c r="C8907" t="s">
        <v>427</v>
      </c>
      <c r="D8907" t="s">
        <v>25401</v>
      </c>
    </row>
    <row r="8908" spans="1:4">
      <c r="A8908">
        <v>1810</v>
      </c>
      <c r="B8908" t="s">
        <v>9418</v>
      </c>
      <c r="C8908" t="s">
        <v>427</v>
      </c>
      <c r="D8908" t="s">
        <v>25402</v>
      </c>
    </row>
    <row r="8909" spans="1:4">
      <c r="A8909">
        <v>1811</v>
      </c>
      <c r="B8909" t="s">
        <v>9419</v>
      </c>
      <c r="C8909" t="s">
        <v>427</v>
      </c>
      <c r="D8909" t="s">
        <v>22958</v>
      </c>
    </row>
    <row r="8910" spans="1:4">
      <c r="A8910">
        <v>1812</v>
      </c>
      <c r="B8910" t="s">
        <v>9420</v>
      </c>
      <c r="C8910" t="s">
        <v>427</v>
      </c>
      <c r="D8910" t="s">
        <v>25403</v>
      </c>
    </row>
    <row r="8911" spans="1:4">
      <c r="A8911">
        <v>40386</v>
      </c>
      <c r="B8911" t="s">
        <v>9421</v>
      </c>
      <c r="C8911" t="s">
        <v>427</v>
      </c>
      <c r="D8911" t="s">
        <v>25404</v>
      </c>
    </row>
    <row r="8912" spans="1:4">
      <c r="A8912">
        <v>40384</v>
      </c>
      <c r="B8912" t="s">
        <v>9422</v>
      </c>
      <c r="C8912" t="s">
        <v>427</v>
      </c>
      <c r="D8912" t="s">
        <v>23719</v>
      </c>
    </row>
    <row r="8913" spans="1:4">
      <c r="A8913">
        <v>40379</v>
      </c>
      <c r="B8913" t="s">
        <v>9423</v>
      </c>
      <c r="C8913" t="s">
        <v>427</v>
      </c>
      <c r="D8913" t="s">
        <v>24492</v>
      </c>
    </row>
    <row r="8914" spans="1:4">
      <c r="A8914">
        <v>40423</v>
      </c>
      <c r="B8914" t="s">
        <v>9424</v>
      </c>
      <c r="C8914" t="s">
        <v>427</v>
      </c>
      <c r="D8914" t="s">
        <v>23122</v>
      </c>
    </row>
    <row r="8915" spans="1:4">
      <c r="A8915">
        <v>40389</v>
      </c>
      <c r="B8915" t="s">
        <v>9425</v>
      </c>
      <c r="C8915" t="s">
        <v>427</v>
      </c>
      <c r="D8915" t="s">
        <v>25405</v>
      </c>
    </row>
    <row r="8916" spans="1:4">
      <c r="A8916">
        <v>40388</v>
      </c>
      <c r="B8916" t="s">
        <v>9426</v>
      </c>
      <c r="C8916" t="s">
        <v>427</v>
      </c>
      <c r="D8916" t="s">
        <v>25406</v>
      </c>
    </row>
    <row r="8917" spans="1:4">
      <c r="A8917">
        <v>40381</v>
      </c>
      <c r="B8917" t="s">
        <v>9427</v>
      </c>
      <c r="C8917" t="s">
        <v>427</v>
      </c>
      <c r="D8917" t="s">
        <v>25407</v>
      </c>
    </row>
    <row r="8918" spans="1:4">
      <c r="A8918">
        <v>40391</v>
      </c>
      <c r="B8918" t="s">
        <v>9428</v>
      </c>
      <c r="C8918" t="s">
        <v>427</v>
      </c>
      <c r="D8918" t="s">
        <v>25408</v>
      </c>
    </row>
    <row r="8919" spans="1:4">
      <c r="A8919">
        <v>40414</v>
      </c>
      <c r="B8919" t="s">
        <v>9429</v>
      </c>
      <c r="C8919" t="s">
        <v>427</v>
      </c>
      <c r="D8919" t="s">
        <v>14806</v>
      </c>
    </row>
    <row r="8920" spans="1:4">
      <c r="A8920">
        <v>40416</v>
      </c>
      <c r="B8920" t="s">
        <v>9430</v>
      </c>
      <c r="C8920" t="s">
        <v>427</v>
      </c>
      <c r="D8920" t="s">
        <v>22505</v>
      </c>
    </row>
    <row r="8921" spans="1:4">
      <c r="A8921">
        <v>40418</v>
      </c>
      <c r="B8921" t="s">
        <v>9431</v>
      </c>
      <c r="C8921" t="s">
        <v>427</v>
      </c>
      <c r="D8921" t="s">
        <v>25409</v>
      </c>
    </row>
    <row r="8922" spans="1:4">
      <c r="A8922">
        <v>2609</v>
      </c>
      <c r="B8922" t="s">
        <v>9432</v>
      </c>
      <c r="C8922" t="s">
        <v>427</v>
      </c>
      <c r="D8922" t="s">
        <v>15751</v>
      </c>
    </row>
    <row r="8923" spans="1:4">
      <c r="A8923">
        <v>2634</v>
      </c>
      <c r="B8923" t="s">
        <v>9433</v>
      </c>
      <c r="C8923" t="s">
        <v>427</v>
      </c>
      <c r="D8923" t="s">
        <v>18071</v>
      </c>
    </row>
    <row r="8924" spans="1:4">
      <c r="A8924">
        <v>2611</v>
      </c>
      <c r="B8924" t="s">
        <v>9434</v>
      </c>
      <c r="C8924" t="s">
        <v>427</v>
      </c>
      <c r="D8924" t="s">
        <v>19602</v>
      </c>
    </row>
    <row r="8925" spans="1:4">
      <c r="A8925">
        <v>34359</v>
      </c>
      <c r="B8925" t="s">
        <v>9435</v>
      </c>
      <c r="C8925" t="s">
        <v>427</v>
      </c>
      <c r="D8925" t="s">
        <v>16888</v>
      </c>
    </row>
    <row r="8926" spans="1:4">
      <c r="A8926">
        <v>1789</v>
      </c>
      <c r="B8926" t="s">
        <v>9436</v>
      </c>
      <c r="C8926" t="s">
        <v>427</v>
      </c>
      <c r="D8926" t="s">
        <v>25410</v>
      </c>
    </row>
    <row r="8927" spans="1:4">
      <c r="A8927">
        <v>1788</v>
      </c>
      <c r="B8927" t="s">
        <v>9437</v>
      </c>
      <c r="C8927" t="s">
        <v>427</v>
      </c>
      <c r="D8927" t="s">
        <v>25411</v>
      </c>
    </row>
    <row r="8928" spans="1:4">
      <c r="A8928">
        <v>1786</v>
      </c>
      <c r="B8928" t="s">
        <v>9438</v>
      </c>
      <c r="C8928" t="s">
        <v>427</v>
      </c>
      <c r="D8928" t="s">
        <v>18252</v>
      </c>
    </row>
    <row r="8929" spans="1:4">
      <c r="A8929">
        <v>1787</v>
      </c>
      <c r="B8929" t="s">
        <v>9439</v>
      </c>
      <c r="C8929" t="s">
        <v>427</v>
      </c>
      <c r="D8929" t="s">
        <v>25412</v>
      </c>
    </row>
    <row r="8930" spans="1:4">
      <c r="A8930">
        <v>1791</v>
      </c>
      <c r="B8930" t="s">
        <v>9440</v>
      </c>
      <c r="C8930" t="s">
        <v>427</v>
      </c>
      <c r="D8930" t="s">
        <v>25413</v>
      </c>
    </row>
    <row r="8931" spans="1:4">
      <c r="A8931">
        <v>1790</v>
      </c>
      <c r="B8931" t="s">
        <v>9441</v>
      </c>
      <c r="C8931" t="s">
        <v>427</v>
      </c>
      <c r="D8931" t="s">
        <v>16630</v>
      </c>
    </row>
    <row r="8932" spans="1:4">
      <c r="A8932">
        <v>1813</v>
      </c>
      <c r="B8932" t="s">
        <v>9442</v>
      </c>
      <c r="C8932" t="s">
        <v>427</v>
      </c>
      <c r="D8932" t="s">
        <v>17148</v>
      </c>
    </row>
    <row r="8933" spans="1:4">
      <c r="A8933">
        <v>1792</v>
      </c>
      <c r="B8933" t="s">
        <v>9443</v>
      </c>
      <c r="C8933" t="s">
        <v>427</v>
      </c>
      <c r="D8933" t="s">
        <v>25414</v>
      </c>
    </row>
    <row r="8934" spans="1:4">
      <c r="A8934">
        <v>1793</v>
      </c>
      <c r="B8934" t="s">
        <v>9444</v>
      </c>
      <c r="C8934" t="s">
        <v>427</v>
      </c>
      <c r="D8934" t="s">
        <v>21557</v>
      </c>
    </row>
    <row r="8935" spans="1:4">
      <c r="A8935">
        <v>1809</v>
      </c>
      <c r="B8935" t="s">
        <v>9445</v>
      </c>
      <c r="C8935" t="s">
        <v>427</v>
      </c>
      <c r="D8935" t="s">
        <v>25415</v>
      </c>
    </row>
    <row r="8936" spans="1:4">
      <c r="A8936">
        <v>1814</v>
      </c>
      <c r="B8936" t="s">
        <v>9446</v>
      </c>
      <c r="C8936" t="s">
        <v>427</v>
      </c>
      <c r="D8936" t="s">
        <v>21978</v>
      </c>
    </row>
    <row r="8937" spans="1:4">
      <c r="A8937">
        <v>1803</v>
      </c>
      <c r="B8937" t="s">
        <v>9447</v>
      </c>
      <c r="C8937" t="s">
        <v>427</v>
      </c>
      <c r="D8937" t="s">
        <v>22691</v>
      </c>
    </row>
    <row r="8938" spans="1:4">
      <c r="A8938">
        <v>1805</v>
      </c>
      <c r="B8938" t="s">
        <v>9448</v>
      </c>
      <c r="C8938" t="s">
        <v>427</v>
      </c>
      <c r="D8938" t="s">
        <v>25416</v>
      </c>
    </row>
    <row r="8939" spans="1:4">
      <c r="A8939">
        <v>1821</v>
      </c>
      <c r="B8939" t="s">
        <v>9449</v>
      </c>
      <c r="C8939" t="s">
        <v>427</v>
      </c>
      <c r="D8939" t="s">
        <v>25417</v>
      </c>
    </row>
    <row r="8940" spans="1:4">
      <c r="A8940">
        <v>1806</v>
      </c>
      <c r="B8940" t="s">
        <v>9450</v>
      </c>
      <c r="C8940" t="s">
        <v>427</v>
      </c>
      <c r="D8940" t="s">
        <v>25418</v>
      </c>
    </row>
    <row r="8941" spans="1:4">
      <c r="A8941">
        <v>1804</v>
      </c>
      <c r="B8941" t="s">
        <v>9451</v>
      </c>
      <c r="C8941" t="s">
        <v>427</v>
      </c>
      <c r="D8941" t="s">
        <v>20261</v>
      </c>
    </row>
    <row r="8942" spans="1:4">
      <c r="A8942">
        <v>1807</v>
      </c>
      <c r="B8942" t="s">
        <v>9452</v>
      </c>
      <c r="C8942" t="s">
        <v>427</v>
      </c>
      <c r="D8942" t="s">
        <v>25419</v>
      </c>
    </row>
    <row r="8943" spans="1:4">
      <c r="A8943">
        <v>1808</v>
      </c>
      <c r="B8943" t="s">
        <v>9453</v>
      </c>
      <c r="C8943" t="s">
        <v>427</v>
      </c>
      <c r="D8943" t="s">
        <v>25420</v>
      </c>
    </row>
    <row r="8944" spans="1:4">
      <c r="A8944">
        <v>1797</v>
      </c>
      <c r="B8944" t="s">
        <v>9454</v>
      </c>
      <c r="C8944" t="s">
        <v>427</v>
      </c>
      <c r="D8944" t="s">
        <v>21651</v>
      </c>
    </row>
    <row r="8945" spans="1:4">
      <c r="A8945">
        <v>1796</v>
      </c>
      <c r="B8945" t="s">
        <v>9455</v>
      </c>
      <c r="C8945" t="s">
        <v>427</v>
      </c>
      <c r="D8945" t="s">
        <v>25421</v>
      </c>
    </row>
    <row r="8946" spans="1:4">
      <c r="A8946">
        <v>1794</v>
      </c>
      <c r="B8946" t="s">
        <v>9456</v>
      </c>
      <c r="C8946" t="s">
        <v>427</v>
      </c>
      <c r="D8946" t="s">
        <v>23125</v>
      </c>
    </row>
    <row r="8947" spans="1:4">
      <c r="A8947">
        <v>1816</v>
      </c>
      <c r="B8947" t="s">
        <v>9457</v>
      </c>
      <c r="C8947" t="s">
        <v>427</v>
      </c>
      <c r="D8947" t="s">
        <v>20724</v>
      </c>
    </row>
    <row r="8948" spans="1:4">
      <c r="A8948">
        <v>1815</v>
      </c>
      <c r="B8948" t="s">
        <v>9458</v>
      </c>
      <c r="C8948" t="s">
        <v>427</v>
      </c>
      <c r="D8948" t="s">
        <v>25422</v>
      </c>
    </row>
    <row r="8949" spans="1:4">
      <c r="A8949">
        <v>1798</v>
      </c>
      <c r="B8949" t="s">
        <v>9459</v>
      </c>
      <c r="C8949" t="s">
        <v>427</v>
      </c>
      <c r="D8949" t="s">
        <v>25423</v>
      </c>
    </row>
    <row r="8950" spans="1:4">
      <c r="A8950">
        <v>1795</v>
      </c>
      <c r="B8950" t="s">
        <v>9460</v>
      </c>
      <c r="C8950" t="s">
        <v>427</v>
      </c>
      <c r="D8950" t="s">
        <v>16891</v>
      </c>
    </row>
    <row r="8951" spans="1:4">
      <c r="A8951">
        <v>1799</v>
      </c>
      <c r="B8951" t="s">
        <v>9461</v>
      </c>
      <c r="C8951" t="s">
        <v>427</v>
      </c>
      <c r="D8951" t="s">
        <v>25424</v>
      </c>
    </row>
    <row r="8952" spans="1:4">
      <c r="A8952">
        <v>1800</v>
      </c>
      <c r="B8952" t="s">
        <v>9462</v>
      </c>
      <c r="C8952" t="s">
        <v>427</v>
      </c>
      <c r="D8952" t="s">
        <v>25425</v>
      </c>
    </row>
    <row r="8953" spans="1:4">
      <c r="A8953">
        <v>1802</v>
      </c>
      <c r="B8953" t="s">
        <v>9463</v>
      </c>
      <c r="C8953" t="s">
        <v>427</v>
      </c>
      <c r="D8953" t="s">
        <v>25426</v>
      </c>
    </row>
    <row r="8954" spans="1:4">
      <c r="A8954">
        <v>40385</v>
      </c>
      <c r="B8954" t="s">
        <v>9464</v>
      </c>
      <c r="C8954" t="s">
        <v>427</v>
      </c>
      <c r="D8954" t="s">
        <v>25404</v>
      </c>
    </row>
    <row r="8955" spans="1:4">
      <c r="A8955">
        <v>40383</v>
      </c>
      <c r="B8955" t="s">
        <v>9465</v>
      </c>
      <c r="C8955" t="s">
        <v>427</v>
      </c>
      <c r="D8955" t="s">
        <v>23719</v>
      </c>
    </row>
    <row r="8956" spans="1:4">
      <c r="A8956">
        <v>40378</v>
      </c>
      <c r="B8956" t="s">
        <v>9466</v>
      </c>
      <c r="C8956" t="s">
        <v>427</v>
      </c>
      <c r="D8956" t="s">
        <v>24492</v>
      </c>
    </row>
    <row r="8957" spans="1:4">
      <c r="A8957">
        <v>40382</v>
      </c>
      <c r="B8957" t="s">
        <v>9467</v>
      </c>
      <c r="C8957" t="s">
        <v>427</v>
      </c>
      <c r="D8957" t="s">
        <v>23122</v>
      </c>
    </row>
    <row r="8958" spans="1:4">
      <c r="A8958">
        <v>40422</v>
      </c>
      <c r="B8958" t="s">
        <v>9468</v>
      </c>
      <c r="C8958" t="s">
        <v>427</v>
      </c>
      <c r="D8958" t="s">
        <v>25427</v>
      </c>
    </row>
    <row r="8959" spans="1:4">
      <c r="A8959">
        <v>40387</v>
      </c>
      <c r="B8959" t="s">
        <v>9469</v>
      </c>
      <c r="C8959" t="s">
        <v>427</v>
      </c>
      <c r="D8959" t="s">
        <v>25428</v>
      </c>
    </row>
    <row r="8960" spans="1:4">
      <c r="A8960">
        <v>40380</v>
      </c>
      <c r="B8960" t="s">
        <v>9470</v>
      </c>
      <c r="C8960" t="s">
        <v>427</v>
      </c>
      <c r="D8960" t="s">
        <v>25407</v>
      </c>
    </row>
    <row r="8961" spans="1:4">
      <c r="A8961">
        <v>40390</v>
      </c>
      <c r="B8961" t="s">
        <v>9471</v>
      </c>
      <c r="C8961" t="s">
        <v>427</v>
      </c>
      <c r="D8961" t="s">
        <v>25429</v>
      </c>
    </row>
    <row r="8962" spans="1:4">
      <c r="A8962">
        <v>40413</v>
      </c>
      <c r="B8962" t="s">
        <v>9472</v>
      </c>
      <c r="C8962" t="s">
        <v>427</v>
      </c>
      <c r="D8962" t="s">
        <v>18593</v>
      </c>
    </row>
    <row r="8963" spans="1:4">
      <c r="A8963">
        <v>40415</v>
      </c>
      <c r="B8963" t="s">
        <v>9473</v>
      </c>
      <c r="C8963" t="s">
        <v>427</v>
      </c>
      <c r="D8963" t="s">
        <v>23206</v>
      </c>
    </row>
    <row r="8964" spans="1:4">
      <c r="A8964">
        <v>40417</v>
      </c>
      <c r="B8964" t="s">
        <v>9474</v>
      </c>
      <c r="C8964" t="s">
        <v>427</v>
      </c>
      <c r="D8964" t="s">
        <v>25430</v>
      </c>
    </row>
    <row r="8965" spans="1:4">
      <c r="A8965">
        <v>39271</v>
      </c>
      <c r="B8965" t="s">
        <v>9475</v>
      </c>
      <c r="C8965" t="s">
        <v>427</v>
      </c>
      <c r="D8965" t="s">
        <v>25431</v>
      </c>
    </row>
    <row r="8966" spans="1:4">
      <c r="A8966">
        <v>39273</v>
      </c>
      <c r="B8966" t="s">
        <v>9476</v>
      </c>
      <c r="C8966" t="s">
        <v>427</v>
      </c>
      <c r="D8966" t="s">
        <v>25432</v>
      </c>
    </row>
    <row r="8967" spans="1:4">
      <c r="A8967">
        <v>39272</v>
      </c>
      <c r="B8967" t="s">
        <v>9477</v>
      </c>
      <c r="C8967" t="s">
        <v>427</v>
      </c>
      <c r="D8967" t="s">
        <v>25433</v>
      </c>
    </row>
    <row r="8968" spans="1:4">
      <c r="A8968">
        <v>1875</v>
      </c>
      <c r="B8968" t="s">
        <v>9478</v>
      </c>
      <c r="C8968" t="s">
        <v>427</v>
      </c>
      <c r="D8968" t="s">
        <v>25362</v>
      </c>
    </row>
    <row r="8969" spans="1:4">
      <c r="A8969">
        <v>1874</v>
      </c>
      <c r="B8969" t="s">
        <v>9479</v>
      </c>
      <c r="C8969" t="s">
        <v>427</v>
      </c>
      <c r="D8969" t="s">
        <v>15732</v>
      </c>
    </row>
    <row r="8970" spans="1:4">
      <c r="A8970">
        <v>1870</v>
      </c>
      <c r="B8970" t="s">
        <v>9480</v>
      </c>
      <c r="C8970" t="s">
        <v>427</v>
      </c>
      <c r="D8970" t="s">
        <v>20132</v>
      </c>
    </row>
    <row r="8971" spans="1:4">
      <c r="A8971">
        <v>1884</v>
      </c>
      <c r="B8971" t="s">
        <v>9481</v>
      </c>
      <c r="C8971" t="s">
        <v>427</v>
      </c>
      <c r="D8971" t="s">
        <v>14821</v>
      </c>
    </row>
    <row r="8972" spans="1:4">
      <c r="A8972">
        <v>1887</v>
      </c>
      <c r="B8972" t="s">
        <v>9482</v>
      </c>
      <c r="C8972" t="s">
        <v>427</v>
      </c>
      <c r="D8972" t="s">
        <v>20282</v>
      </c>
    </row>
    <row r="8973" spans="1:4">
      <c r="A8973">
        <v>1876</v>
      </c>
      <c r="B8973" t="s">
        <v>9483</v>
      </c>
      <c r="C8973" t="s">
        <v>427</v>
      </c>
      <c r="D8973" t="s">
        <v>18065</v>
      </c>
    </row>
    <row r="8974" spans="1:4">
      <c r="A8974">
        <v>1879</v>
      </c>
      <c r="B8974" t="s">
        <v>9484</v>
      </c>
      <c r="C8974" t="s">
        <v>427</v>
      </c>
      <c r="D8974" t="s">
        <v>17097</v>
      </c>
    </row>
    <row r="8975" spans="1:4">
      <c r="A8975">
        <v>1877</v>
      </c>
      <c r="B8975" t="s">
        <v>9485</v>
      </c>
      <c r="C8975" t="s">
        <v>427</v>
      </c>
      <c r="D8975" t="s">
        <v>25434</v>
      </c>
    </row>
    <row r="8976" spans="1:4">
      <c r="A8976">
        <v>1878</v>
      </c>
      <c r="B8976" t="s">
        <v>9486</v>
      </c>
      <c r="C8976" t="s">
        <v>427</v>
      </c>
      <c r="D8976" t="s">
        <v>25435</v>
      </c>
    </row>
    <row r="8977" spans="1:4">
      <c r="A8977">
        <v>2621</v>
      </c>
      <c r="B8977" t="s">
        <v>9487</v>
      </c>
      <c r="C8977" t="s">
        <v>427</v>
      </c>
      <c r="D8977" t="s">
        <v>25436</v>
      </c>
    </row>
    <row r="8978" spans="1:4">
      <c r="A8978">
        <v>2616</v>
      </c>
      <c r="B8978" t="s">
        <v>9488</v>
      </c>
      <c r="C8978" t="s">
        <v>427</v>
      </c>
      <c r="D8978" t="s">
        <v>18633</v>
      </c>
    </row>
    <row r="8979" spans="1:4">
      <c r="A8979">
        <v>2633</v>
      </c>
      <c r="B8979" t="s">
        <v>9489</v>
      </c>
      <c r="C8979" t="s">
        <v>427</v>
      </c>
      <c r="D8979" t="s">
        <v>15252</v>
      </c>
    </row>
    <row r="8980" spans="1:4">
      <c r="A8980">
        <v>2617</v>
      </c>
      <c r="B8980" t="s">
        <v>9490</v>
      </c>
      <c r="C8980" t="s">
        <v>427</v>
      </c>
      <c r="D8980" t="s">
        <v>20327</v>
      </c>
    </row>
    <row r="8981" spans="1:4">
      <c r="A8981">
        <v>2618</v>
      </c>
      <c r="B8981" t="s">
        <v>9491</v>
      </c>
      <c r="C8981" t="s">
        <v>427</v>
      </c>
      <c r="D8981" t="s">
        <v>20278</v>
      </c>
    </row>
    <row r="8982" spans="1:4">
      <c r="A8982">
        <v>2632</v>
      </c>
      <c r="B8982" t="s">
        <v>9492</v>
      </c>
      <c r="C8982" t="s">
        <v>427</v>
      </c>
      <c r="D8982" t="s">
        <v>22169</v>
      </c>
    </row>
    <row r="8983" spans="1:4">
      <c r="A8983">
        <v>2631</v>
      </c>
      <c r="B8983" t="s">
        <v>9493</v>
      </c>
      <c r="C8983" t="s">
        <v>427</v>
      </c>
      <c r="D8983" t="s">
        <v>17445</v>
      </c>
    </row>
    <row r="8984" spans="1:4">
      <c r="A8984">
        <v>2619</v>
      </c>
      <c r="B8984" t="s">
        <v>9494</v>
      </c>
      <c r="C8984" t="s">
        <v>427</v>
      </c>
      <c r="D8984" t="s">
        <v>24460</v>
      </c>
    </row>
    <row r="8985" spans="1:4">
      <c r="A8985">
        <v>2620</v>
      </c>
      <c r="B8985" t="s">
        <v>9495</v>
      </c>
      <c r="C8985" t="s">
        <v>427</v>
      </c>
      <c r="D8985" t="s">
        <v>24957</v>
      </c>
    </row>
    <row r="8986" spans="1:4">
      <c r="A8986">
        <v>44472</v>
      </c>
      <c r="B8986" t="s">
        <v>9496</v>
      </c>
      <c r="C8986" t="s">
        <v>427</v>
      </c>
      <c r="D8986" t="s">
        <v>18436</v>
      </c>
    </row>
    <row r="8987" spans="1:4">
      <c r="A8987">
        <v>38369</v>
      </c>
      <c r="B8987" t="s">
        <v>9497</v>
      </c>
      <c r="C8987" t="s">
        <v>427</v>
      </c>
      <c r="D8987" t="s">
        <v>15432</v>
      </c>
    </row>
    <row r="8988" spans="1:4">
      <c r="A8988">
        <v>38370</v>
      </c>
      <c r="B8988" t="s">
        <v>9498</v>
      </c>
      <c r="C8988" t="s">
        <v>427</v>
      </c>
      <c r="D8988" t="s">
        <v>15432</v>
      </c>
    </row>
    <row r="8989" spans="1:4">
      <c r="A8989">
        <v>38372</v>
      </c>
      <c r="B8989" t="s">
        <v>9499</v>
      </c>
      <c r="C8989" t="s">
        <v>427</v>
      </c>
      <c r="D8989" t="s">
        <v>22754</v>
      </c>
    </row>
    <row r="8990" spans="1:4">
      <c r="A8990">
        <v>2357</v>
      </c>
      <c r="B8990" t="s">
        <v>9500</v>
      </c>
      <c r="C8990" t="s">
        <v>432</v>
      </c>
      <c r="D8990" t="s">
        <v>25437</v>
      </c>
    </row>
    <row r="8991" spans="1:4">
      <c r="A8991">
        <v>40806</v>
      </c>
      <c r="B8991" t="s">
        <v>9501</v>
      </c>
      <c r="C8991" t="s">
        <v>433</v>
      </c>
      <c r="D8991" t="s">
        <v>25438</v>
      </c>
    </row>
    <row r="8992" spans="1:4">
      <c r="A8992">
        <v>2355</v>
      </c>
      <c r="B8992" t="s">
        <v>9502</v>
      </c>
      <c r="C8992" t="s">
        <v>432</v>
      </c>
      <c r="D8992" t="s">
        <v>22774</v>
      </c>
    </row>
    <row r="8993" spans="1:4">
      <c r="A8993">
        <v>40805</v>
      </c>
      <c r="B8993" t="s">
        <v>9503</v>
      </c>
      <c r="C8993" t="s">
        <v>433</v>
      </c>
      <c r="D8993" t="s">
        <v>25439</v>
      </c>
    </row>
    <row r="8994" spans="1:4">
      <c r="A8994">
        <v>2358</v>
      </c>
      <c r="B8994" t="s">
        <v>9504</v>
      </c>
      <c r="C8994" t="s">
        <v>432</v>
      </c>
      <c r="D8994" t="s">
        <v>23627</v>
      </c>
    </row>
    <row r="8995" spans="1:4">
      <c r="A8995">
        <v>40807</v>
      </c>
      <c r="B8995" t="s">
        <v>9505</v>
      </c>
      <c r="C8995" t="s">
        <v>433</v>
      </c>
      <c r="D8995" t="s">
        <v>25440</v>
      </c>
    </row>
    <row r="8996" spans="1:4">
      <c r="A8996">
        <v>2359</v>
      </c>
      <c r="B8996" t="s">
        <v>9506</v>
      </c>
      <c r="C8996" t="s">
        <v>432</v>
      </c>
      <c r="D8996" t="s">
        <v>25441</v>
      </c>
    </row>
    <row r="8997" spans="1:4">
      <c r="A8997">
        <v>40808</v>
      </c>
      <c r="B8997" t="s">
        <v>9507</v>
      </c>
      <c r="C8997" t="s">
        <v>433</v>
      </c>
      <c r="D8997" t="s">
        <v>25442</v>
      </c>
    </row>
    <row r="8998" spans="1:4">
      <c r="A8998">
        <v>44330</v>
      </c>
      <c r="B8998" t="s">
        <v>9508</v>
      </c>
      <c r="C8998" t="s">
        <v>428</v>
      </c>
      <c r="D8998" t="s">
        <v>15636</v>
      </c>
    </row>
    <row r="8999" spans="1:4">
      <c r="A8999">
        <v>43144</v>
      </c>
      <c r="B8999" t="s">
        <v>9509</v>
      </c>
      <c r="C8999" t="s">
        <v>430</v>
      </c>
      <c r="D8999" t="s">
        <v>20522</v>
      </c>
    </row>
    <row r="9000" spans="1:4">
      <c r="A9000">
        <v>39397</v>
      </c>
      <c r="B9000" t="s">
        <v>9510</v>
      </c>
      <c r="C9000" t="s">
        <v>428</v>
      </c>
      <c r="D9000" t="s">
        <v>25443</v>
      </c>
    </row>
    <row r="9001" spans="1:4">
      <c r="A9001">
        <v>2692</v>
      </c>
      <c r="B9001" t="s">
        <v>9511</v>
      </c>
      <c r="C9001" t="s">
        <v>428</v>
      </c>
      <c r="D9001" t="s">
        <v>25444</v>
      </c>
    </row>
    <row r="9002" spans="1:4">
      <c r="A9002">
        <v>44329</v>
      </c>
      <c r="B9002" t="s">
        <v>9512</v>
      </c>
      <c r="C9002" t="s">
        <v>428</v>
      </c>
      <c r="D9002" t="s">
        <v>17797</v>
      </c>
    </row>
    <row r="9003" spans="1:4">
      <c r="A9003">
        <v>5318</v>
      </c>
      <c r="B9003" t="s">
        <v>9513</v>
      </c>
      <c r="C9003" t="s">
        <v>428</v>
      </c>
      <c r="D9003" t="s">
        <v>20907</v>
      </c>
    </row>
    <row r="9004" spans="1:4">
      <c r="A9004">
        <v>5330</v>
      </c>
      <c r="B9004" t="s">
        <v>9514</v>
      </c>
      <c r="C9004" t="s">
        <v>428</v>
      </c>
      <c r="D9004" t="s">
        <v>25445</v>
      </c>
    </row>
    <row r="9005" spans="1:4">
      <c r="A9005">
        <v>44532</v>
      </c>
      <c r="B9005" t="s">
        <v>13440</v>
      </c>
      <c r="C9005" t="s">
        <v>427</v>
      </c>
      <c r="D9005" t="s">
        <v>25446</v>
      </c>
    </row>
    <row r="9006" spans="1:4">
      <c r="A9006">
        <v>44531</v>
      </c>
      <c r="B9006" t="s">
        <v>13441</v>
      </c>
      <c r="C9006" t="s">
        <v>427</v>
      </c>
      <c r="D9006" t="s">
        <v>21057</v>
      </c>
    </row>
    <row r="9007" spans="1:4">
      <c r="A9007">
        <v>38140</v>
      </c>
      <c r="B9007" t="s">
        <v>9515</v>
      </c>
      <c r="C9007" t="s">
        <v>427</v>
      </c>
      <c r="D9007" t="s">
        <v>18573</v>
      </c>
    </row>
    <row r="9008" spans="1:4">
      <c r="A9008">
        <v>13887</v>
      </c>
      <c r="B9008" t="s">
        <v>9516</v>
      </c>
      <c r="C9008" t="s">
        <v>427</v>
      </c>
      <c r="D9008" t="s">
        <v>25447</v>
      </c>
    </row>
    <row r="9009" spans="1:4">
      <c r="A9009">
        <v>44495</v>
      </c>
      <c r="B9009" t="s">
        <v>13442</v>
      </c>
      <c r="C9009" t="s">
        <v>427</v>
      </c>
      <c r="D9009" t="s">
        <v>17604</v>
      </c>
    </row>
    <row r="9010" spans="1:4">
      <c r="A9010">
        <v>44533</v>
      </c>
      <c r="B9010" t="s">
        <v>13443</v>
      </c>
      <c r="C9010" t="s">
        <v>427</v>
      </c>
      <c r="D9010" t="s">
        <v>25448</v>
      </c>
    </row>
    <row r="9011" spans="1:4">
      <c r="A9011">
        <v>44534</v>
      </c>
      <c r="B9011" t="s">
        <v>13444</v>
      </c>
      <c r="C9011" t="s">
        <v>427</v>
      </c>
      <c r="D9011" t="s">
        <v>15810</v>
      </c>
    </row>
    <row r="9012" spans="1:4">
      <c r="A9012">
        <v>34544</v>
      </c>
      <c r="B9012" t="s">
        <v>9517</v>
      </c>
      <c r="C9012" t="s">
        <v>427</v>
      </c>
      <c r="D9012" t="s">
        <v>25449</v>
      </c>
    </row>
    <row r="9013" spans="1:4">
      <c r="A9013">
        <v>34729</v>
      </c>
      <c r="B9013" t="s">
        <v>9518</v>
      </c>
      <c r="C9013" t="s">
        <v>427</v>
      </c>
      <c r="D9013" t="s">
        <v>25450</v>
      </c>
    </row>
    <row r="9014" spans="1:4">
      <c r="A9014">
        <v>34734</v>
      </c>
      <c r="B9014" t="s">
        <v>9519</v>
      </c>
      <c r="C9014" t="s">
        <v>427</v>
      </c>
      <c r="D9014" t="s">
        <v>25451</v>
      </c>
    </row>
    <row r="9015" spans="1:4">
      <c r="A9015">
        <v>34738</v>
      </c>
      <c r="B9015" t="s">
        <v>9520</v>
      </c>
      <c r="C9015" t="s">
        <v>427</v>
      </c>
      <c r="D9015" t="s">
        <v>25452</v>
      </c>
    </row>
    <row r="9016" spans="1:4">
      <c r="A9016">
        <v>2391</v>
      </c>
      <c r="B9016" t="s">
        <v>9521</v>
      </c>
      <c r="C9016" t="s">
        <v>427</v>
      </c>
      <c r="D9016" t="s">
        <v>25453</v>
      </c>
    </row>
    <row r="9017" spans="1:4">
      <c r="A9017">
        <v>2374</v>
      </c>
      <c r="B9017" t="s">
        <v>9522</v>
      </c>
      <c r="C9017" t="s">
        <v>427</v>
      </c>
      <c r="D9017" t="s">
        <v>25454</v>
      </c>
    </row>
    <row r="9018" spans="1:4">
      <c r="A9018">
        <v>2377</v>
      </c>
      <c r="B9018" t="s">
        <v>9523</v>
      </c>
      <c r="C9018" t="s">
        <v>427</v>
      </c>
      <c r="D9018" t="s">
        <v>25455</v>
      </c>
    </row>
    <row r="9019" spans="1:4">
      <c r="A9019">
        <v>2393</v>
      </c>
      <c r="B9019" t="s">
        <v>9524</v>
      </c>
      <c r="C9019" t="s">
        <v>427</v>
      </c>
      <c r="D9019" t="s">
        <v>25456</v>
      </c>
    </row>
    <row r="9020" spans="1:4">
      <c r="A9020">
        <v>34705</v>
      </c>
      <c r="B9020" t="s">
        <v>9525</v>
      </c>
      <c r="C9020" t="s">
        <v>427</v>
      </c>
      <c r="D9020" t="s">
        <v>25457</v>
      </c>
    </row>
    <row r="9021" spans="1:4">
      <c r="A9021">
        <v>34707</v>
      </c>
      <c r="B9021" t="s">
        <v>9526</v>
      </c>
      <c r="C9021" t="s">
        <v>427</v>
      </c>
      <c r="D9021" t="s">
        <v>25458</v>
      </c>
    </row>
    <row r="9022" spans="1:4">
      <c r="A9022">
        <v>2378</v>
      </c>
      <c r="B9022" t="s">
        <v>9527</v>
      </c>
      <c r="C9022" t="s">
        <v>427</v>
      </c>
      <c r="D9022" t="s">
        <v>25459</v>
      </c>
    </row>
    <row r="9023" spans="1:4">
      <c r="A9023">
        <v>2379</v>
      </c>
      <c r="B9023" t="s">
        <v>9528</v>
      </c>
      <c r="C9023" t="s">
        <v>427</v>
      </c>
      <c r="D9023" t="s">
        <v>25459</v>
      </c>
    </row>
    <row r="9024" spans="1:4">
      <c r="A9024">
        <v>2376</v>
      </c>
      <c r="B9024" t="s">
        <v>9529</v>
      </c>
      <c r="C9024" t="s">
        <v>427</v>
      </c>
      <c r="D9024" t="s">
        <v>25460</v>
      </c>
    </row>
    <row r="9025" spans="1:4">
      <c r="A9025">
        <v>2394</v>
      </c>
      <c r="B9025" t="s">
        <v>9530</v>
      </c>
      <c r="C9025" t="s">
        <v>427</v>
      </c>
      <c r="D9025" t="s">
        <v>25461</v>
      </c>
    </row>
    <row r="9026" spans="1:4">
      <c r="A9026">
        <v>34686</v>
      </c>
      <c r="B9026" t="s">
        <v>9531</v>
      </c>
      <c r="C9026" t="s">
        <v>427</v>
      </c>
      <c r="D9026" t="s">
        <v>17203</v>
      </c>
    </row>
    <row r="9027" spans="1:4">
      <c r="A9027">
        <v>34616</v>
      </c>
      <c r="B9027" t="s">
        <v>9532</v>
      </c>
      <c r="C9027" t="s">
        <v>427</v>
      </c>
      <c r="D9027" t="s">
        <v>20218</v>
      </c>
    </row>
    <row r="9028" spans="1:4">
      <c r="A9028">
        <v>34623</v>
      </c>
      <c r="B9028" t="s">
        <v>9533</v>
      </c>
      <c r="C9028" t="s">
        <v>427</v>
      </c>
      <c r="D9028" t="s">
        <v>25462</v>
      </c>
    </row>
    <row r="9029" spans="1:4">
      <c r="A9029">
        <v>34628</v>
      </c>
      <c r="B9029" t="s">
        <v>9534</v>
      </c>
      <c r="C9029" t="s">
        <v>427</v>
      </c>
      <c r="D9029" t="s">
        <v>24331</v>
      </c>
    </row>
    <row r="9030" spans="1:4">
      <c r="A9030">
        <v>34653</v>
      </c>
      <c r="B9030" t="s">
        <v>9535</v>
      </c>
      <c r="C9030" t="s">
        <v>427</v>
      </c>
      <c r="D9030" t="s">
        <v>22050</v>
      </c>
    </row>
    <row r="9031" spans="1:4">
      <c r="A9031">
        <v>34688</v>
      </c>
      <c r="B9031" t="s">
        <v>9536</v>
      </c>
      <c r="C9031" t="s">
        <v>427</v>
      </c>
      <c r="D9031" t="s">
        <v>18225</v>
      </c>
    </row>
    <row r="9032" spans="1:4">
      <c r="A9032">
        <v>34709</v>
      </c>
      <c r="B9032" t="s">
        <v>9537</v>
      </c>
      <c r="C9032" t="s">
        <v>427</v>
      </c>
      <c r="D9032" t="s">
        <v>19023</v>
      </c>
    </row>
    <row r="9033" spans="1:4">
      <c r="A9033">
        <v>34714</v>
      </c>
      <c r="B9033" t="s">
        <v>9538</v>
      </c>
      <c r="C9033" t="s">
        <v>427</v>
      </c>
      <c r="D9033" t="s">
        <v>25463</v>
      </c>
    </row>
    <row r="9034" spans="1:4">
      <c r="A9034">
        <v>2388</v>
      </c>
      <c r="B9034" t="s">
        <v>9539</v>
      </c>
      <c r="C9034" t="s">
        <v>427</v>
      </c>
      <c r="D9034" t="s">
        <v>19887</v>
      </c>
    </row>
    <row r="9035" spans="1:4">
      <c r="A9035">
        <v>34606</v>
      </c>
      <c r="B9035" t="s">
        <v>9540</v>
      </c>
      <c r="C9035" t="s">
        <v>427</v>
      </c>
      <c r="D9035" t="s">
        <v>25464</v>
      </c>
    </row>
    <row r="9036" spans="1:4">
      <c r="A9036">
        <v>34689</v>
      </c>
      <c r="B9036" t="s">
        <v>9541</v>
      </c>
      <c r="C9036" t="s">
        <v>427</v>
      </c>
      <c r="D9036" t="s">
        <v>25465</v>
      </c>
    </row>
    <row r="9037" spans="1:4">
      <c r="A9037">
        <v>2370</v>
      </c>
      <c r="B9037" t="s">
        <v>9542</v>
      </c>
      <c r="C9037" t="s">
        <v>427</v>
      </c>
      <c r="D9037" t="s">
        <v>15723</v>
      </c>
    </row>
    <row r="9038" spans="1:4">
      <c r="A9038">
        <v>2386</v>
      </c>
      <c r="B9038" t="s">
        <v>9543</v>
      </c>
      <c r="C9038" t="s">
        <v>427</v>
      </c>
      <c r="D9038" t="s">
        <v>19457</v>
      </c>
    </row>
    <row r="9039" spans="1:4">
      <c r="A9039">
        <v>2392</v>
      </c>
      <c r="B9039" t="s">
        <v>9544</v>
      </c>
      <c r="C9039" t="s">
        <v>427</v>
      </c>
      <c r="D9039" t="s">
        <v>25466</v>
      </c>
    </row>
    <row r="9040" spans="1:4">
      <c r="A9040">
        <v>2373</v>
      </c>
      <c r="B9040" t="s">
        <v>9545</v>
      </c>
      <c r="C9040" t="s">
        <v>427</v>
      </c>
      <c r="D9040" t="s">
        <v>25467</v>
      </c>
    </row>
    <row r="9041" spans="1:4">
      <c r="A9041">
        <v>39465</v>
      </c>
      <c r="B9041" t="s">
        <v>9546</v>
      </c>
      <c r="C9041" t="s">
        <v>427</v>
      </c>
      <c r="D9041" t="s">
        <v>25468</v>
      </c>
    </row>
    <row r="9042" spans="1:4">
      <c r="A9042">
        <v>39466</v>
      </c>
      <c r="B9042" t="s">
        <v>9547</v>
      </c>
      <c r="C9042" t="s">
        <v>427</v>
      </c>
      <c r="D9042" t="s">
        <v>23722</v>
      </c>
    </row>
    <row r="9043" spans="1:4">
      <c r="A9043">
        <v>39467</v>
      </c>
      <c r="B9043" t="s">
        <v>9548</v>
      </c>
      <c r="C9043" t="s">
        <v>427</v>
      </c>
      <c r="D9043" t="s">
        <v>25469</v>
      </c>
    </row>
    <row r="9044" spans="1:4">
      <c r="A9044">
        <v>39468</v>
      </c>
      <c r="B9044" t="s">
        <v>9549</v>
      </c>
      <c r="C9044" t="s">
        <v>427</v>
      </c>
      <c r="D9044" t="s">
        <v>25470</v>
      </c>
    </row>
    <row r="9045" spans="1:4">
      <c r="A9045">
        <v>39469</v>
      </c>
      <c r="B9045" t="s">
        <v>9550</v>
      </c>
      <c r="C9045" t="s">
        <v>427</v>
      </c>
      <c r="D9045" t="s">
        <v>25471</v>
      </c>
    </row>
    <row r="9046" spans="1:4">
      <c r="A9046">
        <v>39470</v>
      </c>
      <c r="B9046" t="s">
        <v>9551</v>
      </c>
      <c r="C9046" t="s">
        <v>427</v>
      </c>
      <c r="D9046" t="s">
        <v>19838</v>
      </c>
    </row>
    <row r="9047" spans="1:4">
      <c r="A9047">
        <v>39471</v>
      </c>
      <c r="B9047" t="s">
        <v>9552</v>
      </c>
      <c r="C9047" t="s">
        <v>427</v>
      </c>
      <c r="D9047" t="s">
        <v>25472</v>
      </c>
    </row>
    <row r="9048" spans="1:4">
      <c r="A9048">
        <v>39472</v>
      </c>
      <c r="B9048" t="s">
        <v>9553</v>
      </c>
      <c r="C9048" t="s">
        <v>427</v>
      </c>
      <c r="D9048" t="s">
        <v>25473</v>
      </c>
    </row>
    <row r="9049" spans="1:4">
      <c r="A9049">
        <v>39473</v>
      </c>
      <c r="B9049" t="s">
        <v>9554</v>
      </c>
      <c r="C9049" t="s">
        <v>427</v>
      </c>
      <c r="D9049" t="s">
        <v>19840</v>
      </c>
    </row>
    <row r="9050" spans="1:4">
      <c r="A9050">
        <v>39474</v>
      </c>
      <c r="B9050" t="s">
        <v>9555</v>
      </c>
      <c r="C9050" t="s">
        <v>427</v>
      </c>
      <c r="D9050" t="s">
        <v>22005</v>
      </c>
    </row>
    <row r="9051" spans="1:4">
      <c r="A9051">
        <v>39475</v>
      </c>
      <c r="B9051" t="s">
        <v>9556</v>
      </c>
      <c r="C9051" t="s">
        <v>427</v>
      </c>
      <c r="D9051" t="s">
        <v>25474</v>
      </c>
    </row>
    <row r="9052" spans="1:4">
      <c r="A9052">
        <v>39476</v>
      </c>
      <c r="B9052" t="s">
        <v>9557</v>
      </c>
      <c r="C9052" t="s">
        <v>427</v>
      </c>
      <c r="D9052" t="s">
        <v>25475</v>
      </c>
    </row>
    <row r="9053" spans="1:4">
      <c r="A9053">
        <v>39477</v>
      </c>
      <c r="B9053" t="s">
        <v>9558</v>
      </c>
      <c r="C9053" t="s">
        <v>427</v>
      </c>
      <c r="D9053" t="s">
        <v>25476</v>
      </c>
    </row>
    <row r="9054" spans="1:4">
      <c r="A9054">
        <v>39478</v>
      </c>
      <c r="B9054" t="s">
        <v>9559</v>
      </c>
      <c r="C9054" t="s">
        <v>427</v>
      </c>
      <c r="D9054" t="s">
        <v>25477</v>
      </c>
    </row>
    <row r="9055" spans="1:4">
      <c r="A9055">
        <v>39479</v>
      </c>
      <c r="B9055" t="s">
        <v>9560</v>
      </c>
      <c r="C9055" t="s">
        <v>427</v>
      </c>
      <c r="D9055" t="s">
        <v>21789</v>
      </c>
    </row>
    <row r="9056" spans="1:4">
      <c r="A9056">
        <v>39480</v>
      </c>
      <c r="B9056" t="s">
        <v>9561</v>
      </c>
      <c r="C9056" t="s">
        <v>427</v>
      </c>
      <c r="D9056" t="s">
        <v>25478</v>
      </c>
    </row>
    <row r="9057" spans="1:4">
      <c r="A9057">
        <v>39459</v>
      </c>
      <c r="B9057" t="s">
        <v>9562</v>
      </c>
      <c r="C9057" t="s">
        <v>427</v>
      </c>
      <c r="D9057" t="s">
        <v>25479</v>
      </c>
    </row>
    <row r="9058" spans="1:4">
      <c r="A9058">
        <v>39445</v>
      </c>
      <c r="B9058" t="s">
        <v>9563</v>
      </c>
      <c r="C9058" t="s">
        <v>427</v>
      </c>
      <c r="D9058" t="s">
        <v>25480</v>
      </c>
    </row>
    <row r="9059" spans="1:4">
      <c r="A9059">
        <v>39446</v>
      </c>
      <c r="B9059" t="s">
        <v>9564</v>
      </c>
      <c r="C9059" t="s">
        <v>427</v>
      </c>
      <c r="D9059" t="s">
        <v>25481</v>
      </c>
    </row>
    <row r="9060" spans="1:4">
      <c r="A9060">
        <v>39447</v>
      </c>
      <c r="B9060" t="s">
        <v>9565</v>
      </c>
      <c r="C9060" t="s">
        <v>427</v>
      </c>
      <c r="D9060" t="s">
        <v>25482</v>
      </c>
    </row>
    <row r="9061" spans="1:4">
      <c r="A9061">
        <v>39448</v>
      </c>
      <c r="B9061" t="s">
        <v>9566</v>
      </c>
      <c r="C9061" t="s">
        <v>427</v>
      </c>
      <c r="D9061" t="s">
        <v>25483</v>
      </c>
    </row>
    <row r="9062" spans="1:4">
      <c r="A9062">
        <v>39450</v>
      </c>
      <c r="B9062" t="s">
        <v>9567</v>
      </c>
      <c r="C9062" t="s">
        <v>427</v>
      </c>
      <c r="D9062" t="s">
        <v>25484</v>
      </c>
    </row>
    <row r="9063" spans="1:4">
      <c r="A9063">
        <v>39451</v>
      </c>
      <c r="B9063" t="s">
        <v>9568</v>
      </c>
      <c r="C9063" t="s">
        <v>427</v>
      </c>
      <c r="D9063" t="s">
        <v>25485</v>
      </c>
    </row>
    <row r="9064" spans="1:4">
      <c r="A9064">
        <v>39452</v>
      </c>
      <c r="B9064" t="s">
        <v>9569</v>
      </c>
      <c r="C9064" t="s">
        <v>427</v>
      </c>
      <c r="D9064" t="s">
        <v>25486</v>
      </c>
    </row>
    <row r="9065" spans="1:4">
      <c r="A9065">
        <v>39523</v>
      </c>
      <c r="B9065" t="s">
        <v>9570</v>
      </c>
      <c r="C9065" t="s">
        <v>427</v>
      </c>
      <c r="D9065" t="s">
        <v>25487</v>
      </c>
    </row>
    <row r="9066" spans="1:4">
      <c r="A9066">
        <v>39449</v>
      </c>
      <c r="B9066" t="s">
        <v>9571</v>
      </c>
      <c r="C9066" t="s">
        <v>427</v>
      </c>
      <c r="D9066" t="s">
        <v>25488</v>
      </c>
    </row>
    <row r="9067" spans="1:4">
      <c r="A9067">
        <v>39455</v>
      </c>
      <c r="B9067" t="s">
        <v>9572</v>
      </c>
      <c r="C9067" t="s">
        <v>427</v>
      </c>
      <c r="D9067" t="s">
        <v>25489</v>
      </c>
    </row>
    <row r="9068" spans="1:4">
      <c r="A9068">
        <v>39456</v>
      </c>
      <c r="B9068" t="s">
        <v>9573</v>
      </c>
      <c r="C9068" t="s">
        <v>427</v>
      </c>
      <c r="D9068" t="s">
        <v>20800</v>
      </c>
    </row>
    <row r="9069" spans="1:4">
      <c r="A9069">
        <v>39457</v>
      </c>
      <c r="B9069" t="s">
        <v>9574</v>
      </c>
      <c r="C9069" t="s">
        <v>427</v>
      </c>
      <c r="D9069" t="s">
        <v>25490</v>
      </c>
    </row>
    <row r="9070" spans="1:4">
      <c r="A9070">
        <v>39458</v>
      </c>
      <c r="B9070" t="s">
        <v>9575</v>
      </c>
      <c r="C9070" t="s">
        <v>427</v>
      </c>
      <c r="D9070" t="s">
        <v>25491</v>
      </c>
    </row>
    <row r="9071" spans="1:4">
      <c r="A9071">
        <v>39464</v>
      </c>
      <c r="B9071" t="s">
        <v>9576</v>
      </c>
      <c r="C9071" t="s">
        <v>427</v>
      </c>
      <c r="D9071" t="s">
        <v>25492</v>
      </c>
    </row>
    <row r="9072" spans="1:4">
      <c r="A9072">
        <v>39460</v>
      </c>
      <c r="B9072" t="s">
        <v>9577</v>
      </c>
      <c r="C9072" t="s">
        <v>427</v>
      </c>
      <c r="D9072" t="s">
        <v>25493</v>
      </c>
    </row>
    <row r="9073" spans="1:4">
      <c r="A9073">
        <v>39461</v>
      </c>
      <c r="B9073" t="s">
        <v>9578</v>
      </c>
      <c r="C9073" t="s">
        <v>427</v>
      </c>
      <c r="D9073" t="s">
        <v>25494</v>
      </c>
    </row>
    <row r="9074" spans="1:4">
      <c r="A9074">
        <v>39462</v>
      </c>
      <c r="B9074" t="s">
        <v>9579</v>
      </c>
      <c r="C9074" t="s">
        <v>427</v>
      </c>
      <c r="D9074" t="s">
        <v>25495</v>
      </c>
    </row>
    <row r="9075" spans="1:4">
      <c r="A9075">
        <v>39463</v>
      </c>
      <c r="B9075" t="s">
        <v>9580</v>
      </c>
      <c r="C9075" t="s">
        <v>427</v>
      </c>
      <c r="D9075" t="s">
        <v>25496</v>
      </c>
    </row>
    <row r="9076" spans="1:4">
      <c r="A9076">
        <v>26039</v>
      </c>
      <c r="B9076" t="s">
        <v>9581</v>
      </c>
      <c r="C9076" t="s">
        <v>427</v>
      </c>
      <c r="D9076" t="s">
        <v>25497</v>
      </c>
    </row>
    <row r="9077" spans="1:4">
      <c r="A9077">
        <v>2401</v>
      </c>
      <c r="B9077" t="s">
        <v>9582</v>
      </c>
      <c r="C9077" t="s">
        <v>427</v>
      </c>
      <c r="D9077" t="s">
        <v>25498</v>
      </c>
    </row>
    <row r="9078" spans="1:4">
      <c r="A9078">
        <v>38870</v>
      </c>
      <c r="B9078" t="s">
        <v>9583</v>
      </c>
      <c r="C9078" t="s">
        <v>427</v>
      </c>
      <c r="D9078" t="s">
        <v>14900</v>
      </c>
    </row>
    <row r="9079" spans="1:4">
      <c r="A9079">
        <v>38869</v>
      </c>
      <c r="B9079" t="s">
        <v>9584</v>
      </c>
      <c r="C9079" t="s">
        <v>427</v>
      </c>
      <c r="D9079" t="s">
        <v>15755</v>
      </c>
    </row>
    <row r="9080" spans="1:4">
      <c r="A9080">
        <v>38872</v>
      </c>
      <c r="B9080" t="s">
        <v>9585</v>
      </c>
      <c r="C9080" t="s">
        <v>427</v>
      </c>
      <c r="D9080" t="s">
        <v>25499</v>
      </c>
    </row>
    <row r="9081" spans="1:4">
      <c r="A9081">
        <v>38871</v>
      </c>
      <c r="B9081" t="s">
        <v>9586</v>
      </c>
      <c r="C9081" t="s">
        <v>427</v>
      </c>
      <c r="D9081" t="s">
        <v>25500</v>
      </c>
    </row>
    <row r="9082" spans="1:4">
      <c r="A9082">
        <v>39283</v>
      </c>
      <c r="B9082" t="s">
        <v>9587</v>
      </c>
      <c r="C9082" t="s">
        <v>427</v>
      </c>
      <c r="D9082" t="s">
        <v>25501</v>
      </c>
    </row>
    <row r="9083" spans="1:4">
      <c r="A9083">
        <v>39284</v>
      </c>
      <c r="B9083" t="s">
        <v>9588</v>
      </c>
      <c r="C9083" t="s">
        <v>427</v>
      </c>
      <c r="D9083" t="s">
        <v>25502</v>
      </c>
    </row>
    <row r="9084" spans="1:4">
      <c r="A9084">
        <v>39285</v>
      </c>
      <c r="B9084" t="s">
        <v>9589</v>
      </c>
      <c r="C9084" t="s">
        <v>427</v>
      </c>
      <c r="D9084" t="s">
        <v>25503</v>
      </c>
    </row>
    <row r="9085" spans="1:4">
      <c r="A9085">
        <v>39286</v>
      </c>
      <c r="B9085" t="s">
        <v>9590</v>
      </c>
      <c r="C9085" t="s">
        <v>427</v>
      </c>
      <c r="D9085" t="s">
        <v>18915</v>
      </c>
    </row>
    <row r="9086" spans="1:4">
      <c r="A9086">
        <v>39287</v>
      </c>
      <c r="B9086" t="s">
        <v>9591</v>
      </c>
      <c r="C9086" t="s">
        <v>427</v>
      </c>
      <c r="D9086" t="s">
        <v>25504</v>
      </c>
    </row>
    <row r="9087" spans="1:4">
      <c r="A9087">
        <v>39288</v>
      </c>
      <c r="B9087" t="s">
        <v>9592</v>
      </c>
      <c r="C9087" t="s">
        <v>427</v>
      </c>
      <c r="D9087" t="s">
        <v>25505</v>
      </c>
    </row>
    <row r="9088" spans="1:4">
      <c r="A9088">
        <v>44476</v>
      </c>
      <c r="B9088" t="s">
        <v>9593</v>
      </c>
      <c r="C9088" t="s">
        <v>426</v>
      </c>
      <c r="D9088" t="s">
        <v>25506</v>
      </c>
    </row>
    <row r="9089" spans="1:4">
      <c r="A9089">
        <v>10629</v>
      </c>
      <c r="B9089" t="s">
        <v>9594</v>
      </c>
      <c r="C9089" t="s">
        <v>426</v>
      </c>
      <c r="D9089" t="s">
        <v>25507</v>
      </c>
    </row>
    <row r="9090" spans="1:4">
      <c r="A9090">
        <v>10698</v>
      </c>
      <c r="B9090" t="s">
        <v>9595</v>
      </c>
      <c r="C9090" t="s">
        <v>426</v>
      </c>
      <c r="D9090" t="s">
        <v>21115</v>
      </c>
    </row>
    <row r="9091" spans="1:4">
      <c r="A9091">
        <v>40521</v>
      </c>
      <c r="B9091" t="s">
        <v>9596</v>
      </c>
      <c r="C9091" t="s">
        <v>427</v>
      </c>
      <c r="D9091" t="s">
        <v>25508</v>
      </c>
    </row>
    <row r="9092" spans="1:4">
      <c r="A9092">
        <v>2432</v>
      </c>
      <c r="B9092" t="s">
        <v>9597</v>
      </c>
      <c r="C9092" t="s">
        <v>427</v>
      </c>
      <c r="D9092" t="s">
        <v>18329</v>
      </c>
    </row>
    <row r="9093" spans="1:4">
      <c r="A9093">
        <v>2433</v>
      </c>
      <c r="B9093" t="s">
        <v>9598</v>
      </c>
      <c r="C9093" t="s">
        <v>427</v>
      </c>
      <c r="D9093" t="s">
        <v>22702</v>
      </c>
    </row>
    <row r="9094" spans="1:4">
      <c r="A9094">
        <v>2420</v>
      </c>
      <c r="B9094" t="s">
        <v>9599</v>
      </c>
      <c r="C9094" t="s">
        <v>427</v>
      </c>
      <c r="D9094" t="s">
        <v>19546</v>
      </c>
    </row>
    <row r="9095" spans="1:4">
      <c r="A9095">
        <v>11447</v>
      </c>
      <c r="B9095" t="s">
        <v>9600</v>
      </c>
      <c r="C9095" t="s">
        <v>427</v>
      </c>
      <c r="D9095" t="s">
        <v>17930</v>
      </c>
    </row>
    <row r="9096" spans="1:4">
      <c r="A9096">
        <v>11451</v>
      </c>
      <c r="B9096" t="s">
        <v>9601</v>
      </c>
      <c r="C9096" t="s">
        <v>427</v>
      </c>
      <c r="D9096" t="s">
        <v>21567</v>
      </c>
    </row>
    <row r="9097" spans="1:4">
      <c r="A9097">
        <v>11116</v>
      </c>
      <c r="B9097" t="s">
        <v>9602</v>
      </c>
      <c r="C9097" t="s">
        <v>427</v>
      </c>
      <c r="D9097" t="s">
        <v>25509</v>
      </c>
    </row>
    <row r="9098" spans="1:4">
      <c r="A9098">
        <v>38411</v>
      </c>
      <c r="B9098" t="s">
        <v>9603</v>
      </c>
      <c r="C9098" t="s">
        <v>427</v>
      </c>
      <c r="D9098" t="s">
        <v>25510</v>
      </c>
    </row>
    <row r="9099" spans="1:4">
      <c r="A9099">
        <v>38189</v>
      </c>
      <c r="B9099" t="s">
        <v>9604</v>
      </c>
      <c r="C9099" t="s">
        <v>427</v>
      </c>
      <c r="D9099" t="s">
        <v>25511</v>
      </c>
    </row>
    <row r="9100" spans="1:4">
      <c r="A9100">
        <v>38190</v>
      </c>
      <c r="B9100" t="s">
        <v>9605</v>
      </c>
      <c r="C9100" t="s">
        <v>427</v>
      </c>
      <c r="D9100" t="s">
        <v>25512</v>
      </c>
    </row>
    <row r="9101" spans="1:4">
      <c r="A9101">
        <v>7608</v>
      </c>
      <c r="B9101" t="s">
        <v>9606</v>
      </c>
      <c r="C9101" t="s">
        <v>427</v>
      </c>
      <c r="D9101" t="s">
        <v>24126</v>
      </c>
    </row>
    <row r="9102" spans="1:4">
      <c r="A9102">
        <v>1370</v>
      </c>
      <c r="B9102" t="s">
        <v>9607</v>
      </c>
      <c r="C9102" t="s">
        <v>427</v>
      </c>
      <c r="D9102" t="s">
        <v>25513</v>
      </c>
    </row>
    <row r="9103" spans="1:4">
      <c r="A9103">
        <v>36516</v>
      </c>
      <c r="B9103" t="s">
        <v>9608</v>
      </c>
      <c r="C9103" t="s">
        <v>427</v>
      </c>
      <c r="D9103" t="s">
        <v>25514</v>
      </c>
    </row>
    <row r="9104" spans="1:4">
      <c r="A9104">
        <v>34777</v>
      </c>
      <c r="B9104" t="s">
        <v>9609</v>
      </c>
      <c r="C9104" t="s">
        <v>427</v>
      </c>
      <c r="D9104" t="s">
        <v>25515</v>
      </c>
    </row>
    <row r="9105" spans="1:4">
      <c r="A9105">
        <v>7272</v>
      </c>
      <c r="B9105" t="s">
        <v>9610</v>
      </c>
      <c r="C9105" t="s">
        <v>427</v>
      </c>
      <c r="D9105" t="s">
        <v>14826</v>
      </c>
    </row>
    <row r="9106" spans="1:4">
      <c r="A9106">
        <v>10605</v>
      </c>
      <c r="B9106" t="s">
        <v>9611</v>
      </c>
      <c r="C9106" t="s">
        <v>427</v>
      </c>
      <c r="D9106" t="s">
        <v>15272</v>
      </c>
    </row>
    <row r="9107" spans="1:4">
      <c r="A9107">
        <v>10604</v>
      </c>
      <c r="B9107" t="s">
        <v>9612</v>
      </c>
      <c r="C9107" t="s">
        <v>427</v>
      </c>
      <c r="D9107" t="s">
        <v>17293</v>
      </c>
    </row>
    <row r="9108" spans="1:4">
      <c r="A9108">
        <v>672</v>
      </c>
      <c r="B9108" t="s">
        <v>9613</v>
      </c>
      <c r="C9108" t="s">
        <v>427</v>
      </c>
      <c r="D9108" t="s">
        <v>20510</v>
      </c>
    </row>
    <row r="9109" spans="1:4">
      <c r="A9109">
        <v>668</v>
      </c>
      <c r="B9109" t="s">
        <v>9614</v>
      </c>
      <c r="C9109" t="s">
        <v>427</v>
      </c>
      <c r="D9109" t="s">
        <v>23899</v>
      </c>
    </row>
    <row r="9110" spans="1:4">
      <c r="A9110">
        <v>10578</v>
      </c>
      <c r="B9110" t="s">
        <v>9615</v>
      </c>
      <c r="C9110" t="s">
        <v>427</v>
      </c>
      <c r="D9110" t="s">
        <v>16966</v>
      </c>
    </row>
    <row r="9111" spans="1:4">
      <c r="A9111">
        <v>666</v>
      </c>
      <c r="B9111" t="s">
        <v>9616</v>
      </c>
      <c r="C9111" t="s">
        <v>427</v>
      </c>
      <c r="D9111" t="s">
        <v>22063</v>
      </c>
    </row>
    <row r="9112" spans="1:4">
      <c r="A9112">
        <v>665</v>
      </c>
      <c r="B9112" t="s">
        <v>9617</v>
      </c>
      <c r="C9112" t="s">
        <v>427</v>
      </c>
      <c r="D9112" t="s">
        <v>25516</v>
      </c>
    </row>
    <row r="9113" spans="1:4">
      <c r="A9113">
        <v>10577</v>
      </c>
      <c r="B9113" t="s">
        <v>9618</v>
      </c>
      <c r="C9113" t="s">
        <v>427</v>
      </c>
      <c r="D9113" t="s">
        <v>22064</v>
      </c>
    </row>
    <row r="9114" spans="1:4">
      <c r="A9114">
        <v>10583</v>
      </c>
      <c r="B9114" t="s">
        <v>9619</v>
      </c>
      <c r="C9114" t="s">
        <v>427</v>
      </c>
      <c r="D9114" t="s">
        <v>17397</v>
      </c>
    </row>
    <row r="9115" spans="1:4">
      <c r="A9115">
        <v>10579</v>
      </c>
      <c r="B9115" t="s">
        <v>9620</v>
      </c>
      <c r="C9115" t="s">
        <v>427</v>
      </c>
      <c r="D9115" t="s">
        <v>25517</v>
      </c>
    </row>
    <row r="9116" spans="1:4">
      <c r="A9116">
        <v>10582</v>
      </c>
      <c r="B9116" t="s">
        <v>9621</v>
      </c>
      <c r="C9116" t="s">
        <v>427</v>
      </c>
      <c r="D9116" t="s">
        <v>21876</v>
      </c>
    </row>
    <row r="9117" spans="1:4">
      <c r="A9117">
        <v>2436</v>
      </c>
      <c r="B9117" t="s">
        <v>9622</v>
      </c>
      <c r="C9117" t="s">
        <v>432</v>
      </c>
      <c r="D9117" t="s">
        <v>20285</v>
      </c>
    </row>
    <row r="9118" spans="1:4">
      <c r="A9118">
        <v>40918</v>
      </c>
      <c r="B9118" t="s">
        <v>9623</v>
      </c>
      <c r="C9118" t="s">
        <v>433</v>
      </c>
      <c r="D9118" t="s">
        <v>25518</v>
      </c>
    </row>
    <row r="9119" spans="1:4">
      <c r="A9119">
        <v>2439</v>
      </c>
      <c r="B9119" t="s">
        <v>9624</v>
      </c>
      <c r="C9119" t="s">
        <v>432</v>
      </c>
      <c r="D9119" t="s">
        <v>20285</v>
      </c>
    </row>
    <row r="9120" spans="1:4">
      <c r="A9120">
        <v>40923</v>
      </c>
      <c r="B9120" t="s">
        <v>9625</v>
      </c>
      <c r="C9120" t="s">
        <v>433</v>
      </c>
      <c r="D9120" t="s">
        <v>25518</v>
      </c>
    </row>
    <row r="9121" spans="1:4">
      <c r="A9121">
        <v>10998</v>
      </c>
      <c r="B9121" t="s">
        <v>9626</v>
      </c>
      <c r="C9121" t="s">
        <v>430</v>
      </c>
      <c r="D9121" t="s">
        <v>18804</v>
      </c>
    </row>
    <row r="9122" spans="1:4">
      <c r="A9122">
        <v>11002</v>
      </c>
      <c r="B9122" t="s">
        <v>9627</v>
      </c>
      <c r="C9122" t="s">
        <v>430</v>
      </c>
      <c r="D9122" t="s">
        <v>25519</v>
      </c>
    </row>
    <row r="9123" spans="1:4">
      <c r="A9123">
        <v>10999</v>
      </c>
      <c r="B9123" t="s">
        <v>9628</v>
      </c>
      <c r="C9123" t="s">
        <v>430</v>
      </c>
      <c r="D9123" t="s">
        <v>25520</v>
      </c>
    </row>
    <row r="9124" spans="1:4">
      <c r="A9124">
        <v>10997</v>
      </c>
      <c r="B9124" t="s">
        <v>9629</v>
      </c>
      <c r="C9124" t="s">
        <v>430</v>
      </c>
      <c r="D9124" t="s">
        <v>25521</v>
      </c>
    </row>
    <row r="9125" spans="1:4">
      <c r="A9125">
        <v>2685</v>
      </c>
      <c r="B9125" t="s">
        <v>9630</v>
      </c>
      <c r="C9125" t="s">
        <v>429</v>
      </c>
      <c r="D9125" t="s">
        <v>19132</v>
      </c>
    </row>
    <row r="9126" spans="1:4">
      <c r="A9126">
        <v>2680</v>
      </c>
      <c r="B9126" t="s">
        <v>9631</v>
      </c>
      <c r="C9126" t="s">
        <v>429</v>
      </c>
      <c r="D9126" t="s">
        <v>14740</v>
      </c>
    </row>
    <row r="9127" spans="1:4">
      <c r="A9127">
        <v>2684</v>
      </c>
      <c r="B9127" t="s">
        <v>9632</v>
      </c>
      <c r="C9127" t="s">
        <v>429</v>
      </c>
      <c r="D9127" t="s">
        <v>18123</v>
      </c>
    </row>
    <row r="9128" spans="1:4">
      <c r="A9128">
        <v>2673</v>
      </c>
      <c r="B9128" t="s">
        <v>9633</v>
      </c>
      <c r="C9128" t="s">
        <v>429</v>
      </c>
      <c r="D9128" t="s">
        <v>15450</v>
      </c>
    </row>
    <row r="9129" spans="1:4">
      <c r="A9129">
        <v>2681</v>
      </c>
      <c r="B9129" t="s">
        <v>9634</v>
      </c>
      <c r="C9129" t="s">
        <v>429</v>
      </c>
      <c r="D9129" t="s">
        <v>23898</v>
      </c>
    </row>
    <row r="9130" spans="1:4">
      <c r="A9130">
        <v>2682</v>
      </c>
      <c r="B9130" t="s">
        <v>9635</v>
      </c>
      <c r="C9130" t="s">
        <v>429</v>
      </c>
      <c r="D9130" t="s">
        <v>20299</v>
      </c>
    </row>
    <row r="9131" spans="1:4">
      <c r="A9131">
        <v>2686</v>
      </c>
      <c r="B9131" t="s">
        <v>9636</v>
      </c>
      <c r="C9131" t="s">
        <v>429</v>
      </c>
      <c r="D9131" t="s">
        <v>24943</v>
      </c>
    </row>
    <row r="9132" spans="1:4">
      <c r="A9132">
        <v>2674</v>
      </c>
      <c r="B9132" t="s">
        <v>9637</v>
      </c>
      <c r="C9132" t="s">
        <v>429</v>
      </c>
      <c r="D9132" t="s">
        <v>20562</v>
      </c>
    </row>
    <row r="9133" spans="1:4">
      <c r="A9133">
        <v>2683</v>
      </c>
      <c r="B9133" t="s">
        <v>9638</v>
      </c>
      <c r="C9133" t="s">
        <v>429</v>
      </c>
      <c r="D9133" t="s">
        <v>25522</v>
      </c>
    </row>
    <row r="9134" spans="1:4">
      <c r="A9134">
        <v>2676</v>
      </c>
      <c r="B9134" t="s">
        <v>9639</v>
      </c>
      <c r="C9134" t="s">
        <v>429</v>
      </c>
      <c r="D9134" t="s">
        <v>24127</v>
      </c>
    </row>
    <row r="9135" spans="1:4">
      <c r="A9135">
        <v>2678</v>
      </c>
      <c r="B9135" t="s">
        <v>9640</v>
      </c>
      <c r="C9135" t="s">
        <v>429</v>
      </c>
      <c r="D9135" t="s">
        <v>25523</v>
      </c>
    </row>
    <row r="9136" spans="1:4">
      <c r="A9136">
        <v>2679</v>
      </c>
      <c r="B9136" t="s">
        <v>9641</v>
      </c>
      <c r="C9136" t="s">
        <v>429</v>
      </c>
      <c r="D9136" t="s">
        <v>17732</v>
      </c>
    </row>
    <row r="9137" spans="1:4">
      <c r="A9137">
        <v>12070</v>
      </c>
      <c r="B9137" t="s">
        <v>9642</v>
      </c>
      <c r="C9137" t="s">
        <v>429</v>
      </c>
      <c r="D9137" t="s">
        <v>15730</v>
      </c>
    </row>
    <row r="9138" spans="1:4">
      <c r="A9138">
        <v>2675</v>
      </c>
      <c r="B9138" t="s">
        <v>9643</v>
      </c>
      <c r="C9138" t="s">
        <v>429</v>
      </c>
      <c r="D9138" t="s">
        <v>17224</v>
      </c>
    </row>
    <row r="9139" spans="1:4">
      <c r="A9139">
        <v>12067</v>
      </c>
      <c r="B9139" t="s">
        <v>9644</v>
      </c>
      <c r="C9139" t="s">
        <v>429</v>
      </c>
      <c r="D9139" t="s">
        <v>17198</v>
      </c>
    </row>
    <row r="9140" spans="1:4">
      <c r="A9140">
        <v>40401</v>
      </c>
      <c r="B9140" t="s">
        <v>9645</v>
      </c>
      <c r="C9140" t="s">
        <v>429</v>
      </c>
      <c r="D9140" t="s">
        <v>19300</v>
      </c>
    </row>
    <row r="9141" spans="1:4">
      <c r="A9141">
        <v>40402</v>
      </c>
      <c r="B9141" t="s">
        <v>9646</v>
      </c>
      <c r="C9141" t="s">
        <v>429</v>
      </c>
      <c r="D9141" t="s">
        <v>24335</v>
      </c>
    </row>
    <row r="9142" spans="1:4">
      <c r="A9142">
        <v>40400</v>
      </c>
      <c r="B9142" t="s">
        <v>9647</v>
      </c>
      <c r="C9142" t="s">
        <v>429</v>
      </c>
      <c r="D9142" t="s">
        <v>19570</v>
      </c>
    </row>
    <row r="9143" spans="1:4">
      <c r="A9143">
        <v>2504</v>
      </c>
      <c r="B9143" t="s">
        <v>9648</v>
      </c>
      <c r="C9143" t="s">
        <v>429</v>
      </c>
      <c r="D9143" t="s">
        <v>22096</v>
      </c>
    </row>
    <row r="9144" spans="1:4">
      <c r="A9144">
        <v>2501</v>
      </c>
      <c r="B9144" t="s">
        <v>9649</v>
      </c>
      <c r="C9144" t="s">
        <v>429</v>
      </c>
      <c r="D9144" t="s">
        <v>19215</v>
      </c>
    </row>
    <row r="9145" spans="1:4">
      <c r="A9145">
        <v>2502</v>
      </c>
      <c r="B9145" t="s">
        <v>9650</v>
      </c>
      <c r="C9145" t="s">
        <v>429</v>
      </c>
      <c r="D9145" t="s">
        <v>22960</v>
      </c>
    </row>
    <row r="9146" spans="1:4">
      <c r="A9146">
        <v>2503</v>
      </c>
      <c r="B9146" t="s">
        <v>9651</v>
      </c>
      <c r="C9146" t="s">
        <v>429</v>
      </c>
      <c r="D9146" t="s">
        <v>25524</v>
      </c>
    </row>
    <row r="9147" spans="1:4">
      <c r="A9147">
        <v>2500</v>
      </c>
      <c r="B9147" t="s">
        <v>9652</v>
      </c>
      <c r="C9147" t="s">
        <v>429</v>
      </c>
      <c r="D9147" t="s">
        <v>25525</v>
      </c>
    </row>
    <row r="9148" spans="1:4">
      <c r="A9148">
        <v>2505</v>
      </c>
      <c r="B9148" t="s">
        <v>9653</v>
      </c>
      <c r="C9148" t="s">
        <v>429</v>
      </c>
      <c r="D9148" t="s">
        <v>25526</v>
      </c>
    </row>
    <row r="9149" spans="1:4">
      <c r="A9149">
        <v>12056</v>
      </c>
      <c r="B9149" t="s">
        <v>9654</v>
      </c>
      <c r="C9149" t="s">
        <v>429</v>
      </c>
      <c r="D9149" t="s">
        <v>25527</v>
      </c>
    </row>
    <row r="9150" spans="1:4">
      <c r="A9150">
        <v>12057</v>
      </c>
      <c r="B9150" t="s">
        <v>9655</v>
      </c>
      <c r="C9150" t="s">
        <v>429</v>
      </c>
      <c r="D9150" t="s">
        <v>25528</v>
      </c>
    </row>
    <row r="9151" spans="1:4">
      <c r="A9151">
        <v>12059</v>
      </c>
      <c r="B9151" t="s">
        <v>9656</v>
      </c>
      <c r="C9151" t="s">
        <v>429</v>
      </c>
      <c r="D9151" t="s">
        <v>19214</v>
      </c>
    </row>
    <row r="9152" spans="1:4">
      <c r="A9152">
        <v>12058</v>
      </c>
      <c r="B9152" t="s">
        <v>9657</v>
      </c>
      <c r="C9152" t="s">
        <v>429</v>
      </c>
      <c r="D9152" t="s">
        <v>25529</v>
      </c>
    </row>
    <row r="9153" spans="1:4">
      <c r="A9153">
        <v>12060</v>
      </c>
      <c r="B9153" t="s">
        <v>9658</v>
      </c>
      <c r="C9153" t="s">
        <v>429</v>
      </c>
      <c r="D9153" t="s">
        <v>25530</v>
      </c>
    </row>
    <row r="9154" spans="1:4">
      <c r="A9154">
        <v>12061</v>
      </c>
      <c r="B9154" t="s">
        <v>9659</v>
      </c>
      <c r="C9154" t="s">
        <v>429</v>
      </c>
      <c r="D9154" t="s">
        <v>25531</v>
      </c>
    </row>
    <row r="9155" spans="1:4">
      <c r="A9155">
        <v>12062</v>
      </c>
      <c r="B9155" t="s">
        <v>9660</v>
      </c>
      <c r="C9155" t="s">
        <v>429</v>
      </c>
      <c r="D9155" t="s">
        <v>25532</v>
      </c>
    </row>
    <row r="9156" spans="1:4">
      <c r="A9156">
        <v>21137</v>
      </c>
      <c r="B9156" t="s">
        <v>9661</v>
      </c>
      <c r="C9156" t="s">
        <v>429</v>
      </c>
      <c r="D9156" t="s">
        <v>23645</v>
      </c>
    </row>
    <row r="9157" spans="1:4">
      <c r="A9157">
        <v>2687</v>
      </c>
      <c r="B9157" t="s">
        <v>9662</v>
      </c>
      <c r="C9157" t="s">
        <v>429</v>
      </c>
      <c r="D9157" t="s">
        <v>19302</v>
      </c>
    </row>
    <row r="9158" spans="1:4">
      <c r="A9158">
        <v>2689</v>
      </c>
      <c r="B9158" t="s">
        <v>9663</v>
      </c>
      <c r="C9158" t="s">
        <v>429</v>
      </c>
      <c r="D9158" t="s">
        <v>24756</v>
      </c>
    </row>
    <row r="9159" spans="1:4">
      <c r="A9159">
        <v>2688</v>
      </c>
      <c r="B9159" t="s">
        <v>9664</v>
      </c>
      <c r="C9159" t="s">
        <v>429</v>
      </c>
      <c r="D9159" t="s">
        <v>20171</v>
      </c>
    </row>
    <row r="9160" spans="1:4">
      <c r="A9160">
        <v>2690</v>
      </c>
      <c r="B9160" t="s">
        <v>9665</v>
      </c>
      <c r="C9160" t="s">
        <v>429</v>
      </c>
      <c r="D9160" t="s">
        <v>25533</v>
      </c>
    </row>
    <row r="9161" spans="1:4">
      <c r="A9161">
        <v>39243</v>
      </c>
      <c r="B9161" t="s">
        <v>9666</v>
      </c>
      <c r="C9161" t="s">
        <v>429</v>
      </c>
      <c r="D9161" t="s">
        <v>19639</v>
      </c>
    </row>
    <row r="9162" spans="1:4">
      <c r="A9162">
        <v>39244</v>
      </c>
      <c r="B9162" t="s">
        <v>9667</v>
      </c>
      <c r="C9162" t="s">
        <v>429</v>
      </c>
      <c r="D9162" t="s">
        <v>22434</v>
      </c>
    </row>
    <row r="9163" spans="1:4">
      <c r="A9163">
        <v>39245</v>
      </c>
      <c r="B9163" t="s">
        <v>9668</v>
      </c>
      <c r="C9163" t="s">
        <v>429</v>
      </c>
      <c r="D9163" t="s">
        <v>17263</v>
      </c>
    </row>
    <row r="9164" spans="1:4">
      <c r="A9164">
        <v>39254</v>
      </c>
      <c r="B9164" t="s">
        <v>9669</v>
      </c>
      <c r="C9164" t="s">
        <v>429</v>
      </c>
      <c r="D9164" t="s">
        <v>24593</v>
      </c>
    </row>
    <row r="9165" spans="1:4">
      <c r="A9165">
        <v>39255</v>
      </c>
      <c r="B9165" t="s">
        <v>9670</v>
      </c>
      <c r="C9165" t="s">
        <v>429</v>
      </c>
      <c r="D9165" t="s">
        <v>20723</v>
      </c>
    </row>
    <row r="9166" spans="1:4">
      <c r="A9166">
        <v>39253</v>
      </c>
      <c r="B9166" t="s">
        <v>9671</v>
      </c>
      <c r="C9166" t="s">
        <v>429</v>
      </c>
      <c r="D9166" t="s">
        <v>15640</v>
      </c>
    </row>
    <row r="9167" spans="1:4">
      <c r="A9167">
        <v>39246</v>
      </c>
      <c r="B9167" t="s">
        <v>13445</v>
      </c>
      <c r="C9167" t="s">
        <v>429</v>
      </c>
      <c r="D9167" t="s">
        <v>15727</v>
      </c>
    </row>
    <row r="9168" spans="1:4">
      <c r="A9168">
        <v>39247</v>
      </c>
      <c r="B9168" t="s">
        <v>13446</v>
      </c>
      <c r="C9168" t="s">
        <v>429</v>
      </c>
      <c r="D9168" t="s">
        <v>23549</v>
      </c>
    </row>
    <row r="9169" spans="1:4">
      <c r="A9169">
        <v>2446</v>
      </c>
      <c r="B9169" t="s">
        <v>9672</v>
      </c>
      <c r="C9169" t="s">
        <v>429</v>
      </c>
      <c r="D9169" t="s">
        <v>14818</v>
      </c>
    </row>
    <row r="9170" spans="1:4">
      <c r="A9170">
        <v>2442</v>
      </c>
      <c r="B9170" t="s">
        <v>9673</v>
      </c>
      <c r="C9170" t="s">
        <v>429</v>
      </c>
      <c r="D9170" t="s">
        <v>25534</v>
      </c>
    </row>
    <row r="9171" spans="1:4">
      <c r="A9171">
        <v>39248</v>
      </c>
      <c r="B9171" t="s">
        <v>13447</v>
      </c>
      <c r="C9171" t="s">
        <v>429</v>
      </c>
      <c r="D9171" t="s">
        <v>23558</v>
      </c>
    </row>
    <row r="9172" spans="1:4">
      <c r="A9172">
        <v>2438</v>
      </c>
      <c r="B9172" t="s">
        <v>9674</v>
      </c>
      <c r="C9172" t="s">
        <v>432</v>
      </c>
      <c r="D9172" t="s">
        <v>17147</v>
      </c>
    </row>
    <row r="9173" spans="1:4">
      <c r="A9173">
        <v>40922</v>
      </c>
      <c r="B9173" t="s">
        <v>9675</v>
      </c>
      <c r="C9173" t="s">
        <v>433</v>
      </c>
      <c r="D9173" t="s">
        <v>25535</v>
      </c>
    </row>
    <row r="9174" spans="1:4">
      <c r="A9174">
        <v>36486</v>
      </c>
      <c r="B9174" t="s">
        <v>9676</v>
      </c>
      <c r="C9174" t="s">
        <v>427</v>
      </c>
      <c r="D9174" t="s">
        <v>25536</v>
      </c>
    </row>
    <row r="9175" spans="1:4">
      <c r="A9175">
        <v>37777</v>
      </c>
      <c r="B9175" t="s">
        <v>9677</v>
      </c>
      <c r="C9175" t="s">
        <v>427</v>
      </c>
      <c r="D9175" t="s">
        <v>25537</v>
      </c>
    </row>
    <row r="9176" spans="1:4">
      <c r="A9176">
        <v>12624</v>
      </c>
      <c r="B9176" t="s">
        <v>9678</v>
      </c>
      <c r="C9176" t="s">
        <v>427</v>
      </c>
      <c r="D9176" t="s">
        <v>22451</v>
      </c>
    </row>
    <row r="9177" spans="1:4">
      <c r="A9177">
        <v>517</v>
      </c>
      <c r="B9177" t="s">
        <v>9679</v>
      </c>
      <c r="C9177" t="s">
        <v>428</v>
      </c>
      <c r="D9177" t="s">
        <v>18066</v>
      </c>
    </row>
    <row r="9178" spans="1:4">
      <c r="A9178">
        <v>41904</v>
      </c>
      <c r="B9178" t="s">
        <v>9680</v>
      </c>
      <c r="C9178" t="s">
        <v>437</v>
      </c>
      <c r="D9178" t="s">
        <v>25538</v>
      </c>
    </row>
    <row r="9179" spans="1:4">
      <c r="A9179">
        <v>41903</v>
      </c>
      <c r="B9179" t="s">
        <v>9681</v>
      </c>
      <c r="C9179" t="s">
        <v>430</v>
      </c>
      <c r="D9179" t="s">
        <v>24839</v>
      </c>
    </row>
    <row r="9180" spans="1:4">
      <c r="A9180">
        <v>37534</v>
      </c>
      <c r="B9180" t="s">
        <v>9682</v>
      </c>
      <c r="C9180" t="s">
        <v>430</v>
      </c>
      <c r="D9180" t="s">
        <v>25539</v>
      </c>
    </row>
    <row r="9181" spans="1:4">
      <c r="A9181">
        <v>37535</v>
      </c>
      <c r="B9181" t="s">
        <v>9683</v>
      </c>
      <c r="C9181" t="s">
        <v>430</v>
      </c>
      <c r="D9181" t="s">
        <v>25539</v>
      </c>
    </row>
    <row r="9182" spans="1:4">
      <c r="A9182">
        <v>37533</v>
      </c>
      <c r="B9182" t="s">
        <v>9684</v>
      </c>
      <c r="C9182" t="s">
        <v>430</v>
      </c>
      <c r="D9182" t="s">
        <v>25539</v>
      </c>
    </row>
    <row r="9183" spans="1:4">
      <c r="A9183">
        <v>37537</v>
      </c>
      <c r="B9183" t="s">
        <v>9685</v>
      </c>
      <c r="C9183" t="s">
        <v>430</v>
      </c>
      <c r="D9183" t="s">
        <v>16967</v>
      </c>
    </row>
    <row r="9184" spans="1:4">
      <c r="A9184">
        <v>37536</v>
      </c>
      <c r="B9184" t="s">
        <v>9686</v>
      </c>
      <c r="C9184" t="s">
        <v>430</v>
      </c>
      <c r="D9184" t="s">
        <v>16967</v>
      </c>
    </row>
    <row r="9185" spans="1:4">
      <c r="A9185">
        <v>37532</v>
      </c>
      <c r="B9185" t="s">
        <v>9687</v>
      </c>
      <c r="C9185" t="s">
        <v>430</v>
      </c>
      <c r="D9185" t="s">
        <v>16967</v>
      </c>
    </row>
    <row r="9186" spans="1:4">
      <c r="A9186">
        <v>2696</v>
      </c>
      <c r="B9186" t="s">
        <v>20482</v>
      </c>
      <c r="C9186" t="s">
        <v>432</v>
      </c>
      <c r="D9186" t="s">
        <v>20285</v>
      </c>
    </row>
    <row r="9187" spans="1:4">
      <c r="A9187">
        <v>40928</v>
      </c>
      <c r="B9187" t="s">
        <v>9688</v>
      </c>
      <c r="C9187" t="s">
        <v>433</v>
      </c>
      <c r="D9187" t="s">
        <v>25518</v>
      </c>
    </row>
    <row r="9188" spans="1:4">
      <c r="A9188">
        <v>4083</v>
      </c>
      <c r="B9188" t="s">
        <v>9689</v>
      </c>
      <c r="C9188" t="s">
        <v>432</v>
      </c>
      <c r="D9188" t="s">
        <v>17253</v>
      </c>
    </row>
    <row r="9189" spans="1:4">
      <c r="A9189">
        <v>40818</v>
      </c>
      <c r="B9189" t="s">
        <v>9690</v>
      </c>
      <c r="C9189" t="s">
        <v>433</v>
      </c>
      <c r="D9189" t="s">
        <v>25540</v>
      </c>
    </row>
    <row r="9190" spans="1:4">
      <c r="A9190">
        <v>43146</v>
      </c>
      <c r="B9190" t="s">
        <v>9691</v>
      </c>
      <c r="C9190" t="s">
        <v>430</v>
      </c>
      <c r="D9190" t="s">
        <v>18234</v>
      </c>
    </row>
    <row r="9191" spans="1:4">
      <c r="A9191">
        <v>2705</v>
      </c>
      <c r="B9191" t="s">
        <v>9692</v>
      </c>
      <c r="C9191" t="s">
        <v>20483</v>
      </c>
      <c r="D9191" t="s">
        <v>15637</v>
      </c>
    </row>
    <row r="9192" spans="1:4">
      <c r="A9192">
        <v>14250</v>
      </c>
      <c r="B9192" t="s">
        <v>9693</v>
      </c>
      <c r="C9192" t="s">
        <v>20483</v>
      </c>
      <c r="D9192" t="s">
        <v>24889</v>
      </c>
    </row>
    <row r="9193" spans="1:4">
      <c r="A9193">
        <v>11683</v>
      </c>
      <c r="B9193" t="s">
        <v>9694</v>
      </c>
      <c r="C9193" t="s">
        <v>427</v>
      </c>
      <c r="D9193" t="s">
        <v>25541</v>
      </c>
    </row>
    <row r="9194" spans="1:4">
      <c r="A9194">
        <v>11684</v>
      </c>
      <c r="B9194" t="s">
        <v>9695</v>
      </c>
      <c r="C9194" t="s">
        <v>427</v>
      </c>
      <c r="D9194" t="s">
        <v>25542</v>
      </c>
    </row>
    <row r="9195" spans="1:4">
      <c r="A9195">
        <v>6141</v>
      </c>
      <c r="B9195" t="s">
        <v>9696</v>
      </c>
      <c r="C9195" t="s">
        <v>427</v>
      </c>
      <c r="D9195" t="s">
        <v>15730</v>
      </c>
    </row>
    <row r="9196" spans="1:4">
      <c r="A9196">
        <v>11681</v>
      </c>
      <c r="B9196" t="s">
        <v>9697</v>
      </c>
      <c r="C9196" t="s">
        <v>427</v>
      </c>
      <c r="D9196" t="s">
        <v>15578</v>
      </c>
    </row>
    <row r="9197" spans="1:4">
      <c r="A9197">
        <v>2706</v>
      </c>
      <c r="B9197" t="s">
        <v>9698</v>
      </c>
      <c r="C9197" t="s">
        <v>432</v>
      </c>
      <c r="D9197" t="s">
        <v>17501</v>
      </c>
    </row>
    <row r="9198" spans="1:4">
      <c r="A9198">
        <v>40811</v>
      </c>
      <c r="B9198" t="s">
        <v>9699</v>
      </c>
      <c r="C9198" t="s">
        <v>433</v>
      </c>
      <c r="D9198" t="s">
        <v>25543</v>
      </c>
    </row>
    <row r="9199" spans="1:4">
      <c r="A9199">
        <v>2707</v>
      </c>
      <c r="B9199" t="s">
        <v>9700</v>
      </c>
      <c r="C9199" t="s">
        <v>432</v>
      </c>
      <c r="D9199" t="s">
        <v>25544</v>
      </c>
    </row>
    <row r="9200" spans="1:4">
      <c r="A9200">
        <v>40813</v>
      </c>
      <c r="B9200" t="s">
        <v>9701</v>
      </c>
      <c r="C9200" t="s">
        <v>433</v>
      </c>
      <c r="D9200" t="s">
        <v>25545</v>
      </c>
    </row>
    <row r="9201" spans="1:4">
      <c r="A9201">
        <v>2708</v>
      </c>
      <c r="B9201" t="s">
        <v>9702</v>
      </c>
      <c r="C9201" t="s">
        <v>432</v>
      </c>
      <c r="D9201" t="s">
        <v>25546</v>
      </c>
    </row>
    <row r="9202" spans="1:4">
      <c r="A9202">
        <v>40814</v>
      </c>
      <c r="B9202" t="s">
        <v>9703</v>
      </c>
      <c r="C9202" t="s">
        <v>433</v>
      </c>
      <c r="D9202" t="s">
        <v>25547</v>
      </c>
    </row>
    <row r="9203" spans="1:4">
      <c r="A9203">
        <v>34779</v>
      </c>
      <c r="B9203" t="s">
        <v>9704</v>
      </c>
      <c r="C9203" t="s">
        <v>432</v>
      </c>
      <c r="D9203" t="s">
        <v>25548</v>
      </c>
    </row>
    <row r="9204" spans="1:4">
      <c r="A9204">
        <v>40936</v>
      </c>
      <c r="B9204" t="s">
        <v>9705</v>
      </c>
      <c r="C9204" t="s">
        <v>433</v>
      </c>
      <c r="D9204" t="s">
        <v>25549</v>
      </c>
    </row>
    <row r="9205" spans="1:4">
      <c r="A9205">
        <v>34780</v>
      </c>
      <c r="B9205" t="s">
        <v>9706</v>
      </c>
      <c r="C9205" t="s">
        <v>432</v>
      </c>
      <c r="D9205" t="s">
        <v>23726</v>
      </c>
    </row>
    <row r="9206" spans="1:4">
      <c r="A9206">
        <v>40937</v>
      </c>
      <c r="B9206" t="s">
        <v>9707</v>
      </c>
      <c r="C9206" t="s">
        <v>433</v>
      </c>
      <c r="D9206" t="s">
        <v>25550</v>
      </c>
    </row>
    <row r="9207" spans="1:4">
      <c r="A9207">
        <v>34782</v>
      </c>
      <c r="B9207" t="s">
        <v>9708</v>
      </c>
      <c r="C9207" t="s">
        <v>432</v>
      </c>
      <c r="D9207" t="s">
        <v>25551</v>
      </c>
    </row>
    <row r="9208" spans="1:4">
      <c r="A9208">
        <v>40938</v>
      </c>
      <c r="B9208" t="s">
        <v>9709</v>
      </c>
      <c r="C9208" t="s">
        <v>433</v>
      </c>
      <c r="D9208" t="s">
        <v>25552</v>
      </c>
    </row>
    <row r="9209" spans="1:4">
      <c r="A9209">
        <v>34783</v>
      </c>
      <c r="B9209" t="s">
        <v>9710</v>
      </c>
      <c r="C9209" t="s">
        <v>432</v>
      </c>
      <c r="D9209" t="s">
        <v>16644</v>
      </c>
    </row>
    <row r="9210" spans="1:4">
      <c r="A9210">
        <v>40939</v>
      </c>
      <c r="B9210" t="s">
        <v>9711</v>
      </c>
      <c r="C9210" t="s">
        <v>433</v>
      </c>
      <c r="D9210" t="s">
        <v>25553</v>
      </c>
    </row>
    <row r="9211" spans="1:4">
      <c r="A9211">
        <v>34785</v>
      </c>
      <c r="B9211" t="s">
        <v>9712</v>
      </c>
      <c r="C9211" t="s">
        <v>432</v>
      </c>
      <c r="D9211" t="s">
        <v>23475</v>
      </c>
    </row>
    <row r="9212" spans="1:4">
      <c r="A9212">
        <v>40940</v>
      </c>
      <c r="B9212" t="s">
        <v>9713</v>
      </c>
      <c r="C9212" t="s">
        <v>433</v>
      </c>
      <c r="D9212" t="s">
        <v>25554</v>
      </c>
    </row>
    <row r="9213" spans="1:4">
      <c r="A9213">
        <v>38403</v>
      </c>
      <c r="B9213" t="s">
        <v>9714</v>
      </c>
      <c r="C9213" t="s">
        <v>427</v>
      </c>
      <c r="D9213" t="s">
        <v>25555</v>
      </c>
    </row>
    <row r="9214" spans="1:4">
      <c r="A9214">
        <v>43482</v>
      </c>
      <c r="B9214" t="s">
        <v>9715</v>
      </c>
      <c r="C9214" t="s">
        <v>432</v>
      </c>
      <c r="D9214" t="s">
        <v>24340</v>
      </c>
    </row>
    <row r="9215" spans="1:4">
      <c r="A9215">
        <v>43494</v>
      </c>
      <c r="B9215" t="s">
        <v>9716</v>
      </c>
      <c r="C9215" t="s">
        <v>433</v>
      </c>
      <c r="D9215" t="s">
        <v>25556</v>
      </c>
    </row>
    <row r="9216" spans="1:4">
      <c r="A9216">
        <v>43483</v>
      </c>
      <c r="B9216" t="s">
        <v>9717</v>
      </c>
      <c r="C9216" t="s">
        <v>432</v>
      </c>
      <c r="D9216" t="s">
        <v>25557</v>
      </c>
    </row>
    <row r="9217" spans="1:4">
      <c r="A9217">
        <v>43495</v>
      </c>
      <c r="B9217" t="s">
        <v>9718</v>
      </c>
      <c r="C9217" t="s">
        <v>433</v>
      </c>
      <c r="D9217" t="s">
        <v>25558</v>
      </c>
    </row>
    <row r="9218" spans="1:4">
      <c r="A9218">
        <v>43484</v>
      </c>
      <c r="B9218" t="s">
        <v>9719</v>
      </c>
      <c r="C9218" t="s">
        <v>432</v>
      </c>
      <c r="D9218" t="s">
        <v>15648</v>
      </c>
    </row>
    <row r="9219" spans="1:4">
      <c r="A9219">
        <v>43496</v>
      </c>
      <c r="B9219" t="s">
        <v>9720</v>
      </c>
      <c r="C9219" t="s">
        <v>433</v>
      </c>
      <c r="D9219" t="s">
        <v>25559</v>
      </c>
    </row>
    <row r="9220" spans="1:4">
      <c r="A9220">
        <v>43485</v>
      </c>
      <c r="B9220" t="s">
        <v>9721</v>
      </c>
      <c r="C9220" t="s">
        <v>432</v>
      </c>
      <c r="D9220" t="s">
        <v>24336</v>
      </c>
    </row>
    <row r="9221" spans="1:4">
      <c r="A9221">
        <v>43497</v>
      </c>
      <c r="B9221" t="s">
        <v>9722</v>
      </c>
      <c r="C9221" t="s">
        <v>433</v>
      </c>
      <c r="D9221" t="s">
        <v>25560</v>
      </c>
    </row>
    <row r="9222" spans="1:4">
      <c r="A9222">
        <v>43487</v>
      </c>
      <c r="B9222" t="s">
        <v>9723</v>
      </c>
      <c r="C9222" t="s">
        <v>432</v>
      </c>
      <c r="D9222" t="s">
        <v>25561</v>
      </c>
    </row>
    <row r="9223" spans="1:4">
      <c r="A9223">
        <v>43499</v>
      </c>
      <c r="B9223" t="s">
        <v>9724</v>
      </c>
      <c r="C9223" t="s">
        <v>433</v>
      </c>
      <c r="D9223" t="s">
        <v>25562</v>
      </c>
    </row>
    <row r="9224" spans="1:4">
      <c r="A9224">
        <v>43486</v>
      </c>
      <c r="B9224" t="s">
        <v>9725</v>
      </c>
      <c r="C9224" t="s">
        <v>432</v>
      </c>
      <c r="D9224" t="s">
        <v>15526</v>
      </c>
    </row>
    <row r="9225" spans="1:4">
      <c r="A9225">
        <v>43498</v>
      </c>
      <c r="B9225" t="s">
        <v>9726</v>
      </c>
      <c r="C9225" t="s">
        <v>433</v>
      </c>
      <c r="D9225" t="s">
        <v>25563</v>
      </c>
    </row>
    <row r="9226" spans="1:4">
      <c r="A9226">
        <v>43488</v>
      </c>
      <c r="B9226" t="s">
        <v>9727</v>
      </c>
      <c r="C9226" t="s">
        <v>432</v>
      </c>
      <c r="D9226" t="s">
        <v>15490</v>
      </c>
    </row>
    <row r="9227" spans="1:4">
      <c r="A9227">
        <v>43500</v>
      </c>
      <c r="B9227" t="s">
        <v>9728</v>
      </c>
      <c r="C9227" t="s">
        <v>433</v>
      </c>
      <c r="D9227" t="s">
        <v>25564</v>
      </c>
    </row>
    <row r="9228" spans="1:4">
      <c r="A9228">
        <v>43489</v>
      </c>
      <c r="B9228" t="s">
        <v>9729</v>
      </c>
      <c r="C9228" t="s">
        <v>432</v>
      </c>
      <c r="D9228" t="s">
        <v>19607</v>
      </c>
    </row>
    <row r="9229" spans="1:4">
      <c r="A9229">
        <v>43501</v>
      </c>
      <c r="B9229" t="s">
        <v>9730</v>
      </c>
      <c r="C9229" t="s">
        <v>433</v>
      </c>
      <c r="D9229" t="s">
        <v>25565</v>
      </c>
    </row>
    <row r="9230" spans="1:4">
      <c r="A9230">
        <v>43490</v>
      </c>
      <c r="B9230" t="s">
        <v>9731</v>
      </c>
      <c r="C9230" t="s">
        <v>432</v>
      </c>
      <c r="D9230" t="s">
        <v>15544</v>
      </c>
    </row>
    <row r="9231" spans="1:4">
      <c r="A9231">
        <v>43502</v>
      </c>
      <c r="B9231" t="s">
        <v>9732</v>
      </c>
      <c r="C9231" t="s">
        <v>433</v>
      </c>
      <c r="D9231" t="s">
        <v>25566</v>
      </c>
    </row>
    <row r="9232" spans="1:4">
      <c r="A9232">
        <v>43491</v>
      </c>
      <c r="B9232" t="s">
        <v>9733</v>
      </c>
      <c r="C9232" t="s">
        <v>432</v>
      </c>
      <c r="D9232" t="s">
        <v>15832</v>
      </c>
    </row>
    <row r="9233" spans="1:4">
      <c r="A9233">
        <v>43503</v>
      </c>
      <c r="B9233" t="s">
        <v>9734</v>
      </c>
      <c r="C9233" t="s">
        <v>433</v>
      </c>
      <c r="D9233" t="s">
        <v>25567</v>
      </c>
    </row>
    <row r="9234" spans="1:4">
      <c r="A9234">
        <v>43492</v>
      </c>
      <c r="B9234" t="s">
        <v>9735</v>
      </c>
      <c r="C9234" t="s">
        <v>432</v>
      </c>
      <c r="D9234" t="s">
        <v>24588</v>
      </c>
    </row>
    <row r="9235" spans="1:4">
      <c r="A9235">
        <v>43504</v>
      </c>
      <c r="B9235" t="s">
        <v>9736</v>
      </c>
      <c r="C9235" t="s">
        <v>433</v>
      </c>
      <c r="D9235" t="s">
        <v>25568</v>
      </c>
    </row>
    <row r="9236" spans="1:4">
      <c r="A9236">
        <v>43493</v>
      </c>
      <c r="B9236" t="s">
        <v>9737</v>
      </c>
      <c r="C9236" t="s">
        <v>432</v>
      </c>
      <c r="D9236" t="s">
        <v>15646</v>
      </c>
    </row>
    <row r="9237" spans="1:4">
      <c r="A9237">
        <v>43505</v>
      </c>
      <c r="B9237" t="s">
        <v>9738</v>
      </c>
      <c r="C9237" t="s">
        <v>433</v>
      </c>
      <c r="D9237" t="s">
        <v>24365</v>
      </c>
    </row>
    <row r="9238" spans="1:4">
      <c r="A9238">
        <v>37774</v>
      </c>
      <c r="B9238" t="s">
        <v>9739</v>
      </c>
      <c r="C9238" t="s">
        <v>427</v>
      </c>
      <c r="D9238" t="s">
        <v>25569</v>
      </c>
    </row>
    <row r="9239" spans="1:4">
      <c r="A9239">
        <v>38630</v>
      </c>
      <c r="B9239" t="s">
        <v>9740</v>
      </c>
      <c r="C9239" t="s">
        <v>427</v>
      </c>
      <c r="D9239" t="s">
        <v>25570</v>
      </c>
    </row>
    <row r="9240" spans="1:4">
      <c r="A9240">
        <v>38629</v>
      </c>
      <c r="B9240" t="s">
        <v>9741</v>
      </c>
      <c r="C9240" t="s">
        <v>427</v>
      </c>
      <c r="D9240" t="s">
        <v>25571</v>
      </c>
    </row>
    <row r="9241" spans="1:4">
      <c r="A9241">
        <v>38476</v>
      </c>
      <c r="B9241" t="s">
        <v>9742</v>
      </c>
      <c r="C9241" t="s">
        <v>427</v>
      </c>
      <c r="D9241" t="s">
        <v>20609</v>
      </c>
    </row>
    <row r="9242" spans="1:4">
      <c r="A9242">
        <v>38477</v>
      </c>
      <c r="B9242" t="s">
        <v>9743</v>
      </c>
      <c r="C9242" t="s">
        <v>427</v>
      </c>
      <c r="D9242" t="s">
        <v>25572</v>
      </c>
    </row>
    <row r="9243" spans="1:4">
      <c r="A9243">
        <v>40635</v>
      </c>
      <c r="B9243" t="s">
        <v>9744</v>
      </c>
      <c r="C9243" t="s">
        <v>427</v>
      </c>
      <c r="D9243" t="s">
        <v>25573</v>
      </c>
    </row>
    <row r="9244" spans="1:4">
      <c r="A9244">
        <v>36483</v>
      </c>
      <c r="B9244" t="s">
        <v>9745</v>
      </c>
      <c r="C9244" t="s">
        <v>427</v>
      </c>
      <c r="D9244" t="s">
        <v>25574</v>
      </c>
    </row>
    <row r="9245" spans="1:4">
      <c r="A9245">
        <v>14525</v>
      </c>
      <c r="B9245" t="s">
        <v>9746</v>
      </c>
      <c r="C9245" t="s">
        <v>427</v>
      </c>
      <c r="D9245" t="s">
        <v>25575</v>
      </c>
    </row>
    <row r="9246" spans="1:4">
      <c r="A9246">
        <v>36482</v>
      </c>
      <c r="B9246" t="s">
        <v>9747</v>
      </c>
      <c r="C9246" t="s">
        <v>427</v>
      </c>
      <c r="D9246" t="s">
        <v>25576</v>
      </c>
    </row>
    <row r="9247" spans="1:4">
      <c r="A9247">
        <v>36408</v>
      </c>
      <c r="B9247" t="s">
        <v>9748</v>
      </c>
      <c r="C9247" t="s">
        <v>427</v>
      </c>
      <c r="D9247" t="s">
        <v>25577</v>
      </c>
    </row>
    <row r="9248" spans="1:4">
      <c r="A9248">
        <v>2723</v>
      </c>
      <c r="B9248" t="s">
        <v>9749</v>
      </c>
      <c r="C9248" t="s">
        <v>427</v>
      </c>
      <c r="D9248" t="s">
        <v>25578</v>
      </c>
    </row>
    <row r="9249" spans="1:4">
      <c r="A9249">
        <v>36481</v>
      </c>
      <c r="B9249" t="s">
        <v>9750</v>
      </c>
      <c r="C9249" t="s">
        <v>427</v>
      </c>
      <c r="D9249" t="s">
        <v>25579</v>
      </c>
    </row>
    <row r="9250" spans="1:4">
      <c r="A9250">
        <v>10685</v>
      </c>
      <c r="B9250" t="s">
        <v>9751</v>
      </c>
      <c r="C9250" t="s">
        <v>427</v>
      </c>
      <c r="D9250" t="s">
        <v>25580</v>
      </c>
    </row>
    <row r="9251" spans="1:4">
      <c r="A9251">
        <v>40636</v>
      </c>
      <c r="B9251" t="s">
        <v>9752</v>
      </c>
      <c r="C9251" t="s">
        <v>427</v>
      </c>
      <c r="D9251" t="s">
        <v>25581</v>
      </c>
    </row>
    <row r="9252" spans="1:4">
      <c r="A9252">
        <v>4111</v>
      </c>
      <c r="B9252" t="s">
        <v>9753</v>
      </c>
      <c r="C9252" t="s">
        <v>427</v>
      </c>
      <c r="D9252" t="s">
        <v>18316</v>
      </c>
    </row>
    <row r="9253" spans="1:4">
      <c r="A9253">
        <v>44538</v>
      </c>
      <c r="B9253" t="s">
        <v>13448</v>
      </c>
      <c r="C9253" t="s">
        <v>427</v>
      </c>
      <c r="D9253" t="s">
        <v>15308</v>
      </c>
    </row>
    <row r="9254" spans="1:4">
      <c r="A9254">
        <v>12</v>
      </c>
      <c r="B9254" t="s">
        <v>9754</v>
      </c>
      <c r="C9254" t="s">
        <v>427</v>
      </c>
      <c r="D9254" t="s">
        <v>23626</v>
      </c>
    </row>
    <row r="9255" spans="1:4">
      <c r="A9255">
        <v>37554</v>
      </c>
      <c r="B9255" t="s">
        <v>9755</v>
      </c>
      <c r="C9255" t="s">
        <v>427</v>
      </c>
      <c r="D9255" t="s">
        <v>25582</v>
      </c>
    </row>
    <row r="9256" spans="1:4">
      <c r="A9256">
        <v>37555</v>
      </c>
      <c r="B9256" t="s">
        <v>9756</v>
      </c>
      <c r="C9256" t="s">
        <v>427</v>
      </c>
      <c r="D9256" t="s">
        <v>25583</v>
      </c>
    </row>
    <row r="9257" spans="1:4">
      <c r="A9257">
        <v>10902</v>
      </c>
      <c r="B9257" t="s">
        <v>9757</v>
      </c>
      <c r="C9257" t="s">
        <v>427</v>
      </c>
      <c r="D9257" t="s">
        <v>19829</v>
      </c>
    </row>
    <row r="9258" spans="1:4">
      <c r="A9258">
        <v>20965</v>
      </c>
      <c r="B9258" t="s">
        <v>9758</v>
      </c>
      <c r="C9258" t="s">
        <v>427</v>
      </c>
      <c r="D9258" t="s">
        <v>25584</v>
      </c>
    </row>
    <row r="9259" spans="1:4">
      <c r="A9259">
        <v>20966</v>
      </c>
      <c r="B9259" t="s">
        <v>9759</v>
      </c>
      <c r="C9259" t="s">
        <v>427</v>
      </c>
      <c r="D9259" t="s">
        <v>25585</v>
      </c>
    </row>
    <row r="9260" spans="1:4">
      <c r="A9260">
        <v>10903</v>
      </c>
      <c r="B9260" t="s">
        <v>9760</v>
      </c>
      <c r="C9260" t="s">
        <v>427</v>
      </c>
      <c r="D9260" t="s">
        <v>22231</v>
      </c>
    </row>
    <row r="9261" spans="1:4">
      <c r="A9261">
        <v>20967</v>
      </c>
      <c r="B9261" t="s">
        <v>9761</v>
      </c>
      <c r="C9261" t="s">
        <v>427</v>
      </c>
      <c r="D9261" t="s">
        <v>22231</v>
      </c>
    </row>
    <row r="9262" spans="1:4">
      <c r="A9262">
        <v>20968</v>
      </c>
      <c r="B9262" t="s">
        <v>9762</v>
      </c>
      <c r="C9262" t="s">
        <v>427</v>
      </c>
      <c r="D9262" t="s">
        <v>25586</v>
      </c>
    </row>
    <row r="9263" spans="1:4">
      <c r="A9263">
        <v>11359</v>
      </c>
      <c r="B9263" t="s">
        <v>9763</v>
      </c>
      <c r="C9263" t="s">
        <v>427</v>
      </c>
      <c r="D9263" t="s">
        <v>25587</v>
      </c>
    </row>
    <row r="9264" spans="1:4">
      <c r="A9264">
        <v>39017</v>
      </c>
      <c r="B9264" t="s">
        <v>9764</v>
      </c>
      <c r="C9264" t="s">
        <v>427</v>
      </c>
      <c r="D9264" t="s">
        <v>15425</v>
      </c>
    </row>
    <row r="9265" spans="1:4">
      <c r="A9265">
        <v>39315</v>
      </c>
      <c r="B9265" t="s">
        <v>9765</v>
      </c>
      <c r="C9265" t="s">
        <v>427</v>
      </c>
      <c r="D9265" t="s">
        <v>20340</v>
      </c>
    </row>
    <row r="9266" spans="1:4">
      <c r="A9266">
        <v>39016</v>
      </c>
      <c r="B9266" t="s">
        <v>9766</v>
      </c>
      <c r="C9266" t="s">
        <v>427</v>
      </c>
      <c r="D9266" t="s">
        <v>20340</v>
      </c>
    </row>
    <row r="9267" spans="1:4">
      <c r="A9267">
        <v>40432</v>
      </c>
      <c r="B9267" t="s">
        <v>9767</v>
      </c>
      <c r="C9267" t="s">
        <v>427</v>
      </c>
      <c r="D9267" t="s">
        <v>25588</v>
      </c>
    </row>
    <row r="9268" spans="1:4">
      <c r="A9268">
        <v>39481</v>
      </c>
      <c r="B9268" t="s">
        <v>9768</v>
      </c>
      <c r="C9268" t="s">
        <v>427</v>
      </c>
      <c r="D9268" t="s">
        <v>24630</v>
      </c>
    </row>
    <row r="9269" spans="1:4">
      <c r="A9269">
        <v>40433</v>
      </c>
      <c r="B9269" t="s">
        <v>9769</v>
      </c>
      <c r="C9269" t="s">
        <v>427</v>
      </c>
      <c r="D9269" t="s">
        <v>20140</v>
      </c>
    </row>
    <row r="9270" spans="1:4">
      <c r="A9270">
        <v>20219</v>
      </c>
      <c r="B9270" t="s">
        <v>9770</v>
      </c>
      <c r="C9270" t="s">
        <v>427</v>
      </c>
      <c r="D9270" t="s">
        <v>25589</v>
      </c>
    </row>
    <row r="9271" spans="1:4">
      <c r="A9271">
        <v>36484</v>
      </c>
      <c r="B9271" t="s">
        <v>9771</v>
      </c>
      <c r="C9271" t="s">
        <v>427</v>
      </c>
      <c r="D9271" t="s">
        <v>25590</v>
      </c>
    </row>
    <row r="9272" spans="1:4">
      <c r="A9272">
        <v>38367</v>
      </c>
      <c r="B9272" t="s">
        <v>9772</v>
      </c>
      <c r="C9272" t="s">
        <v>427</v>
      </c>
      <c r="D9272" t="s">
        <v>19619</v>
      </c>
    </row>
    <row r="9273" spans="1:4">
      <c r="A9273">
        <v>38368</v>
      </c>
      <c r="B9273" t="s">
        <v>9773</v>
      </c>
      <c r="C9273" t="s">
        <v>427</v>
      </c>
      <c r="D9273" t="s">
        <v>14825</v>
      </c>
    </row>
    <row r="9274" spans="1:4">
      <c r="A9274">
        <v>38091</v>
      </c>
      <c r="B9274" t="s">
        <v>9774</v>
      </c>
      <c r="C9274" t="s">
        <v>427</v>
      </c>
      <c r="D9274" t="s">
        <v>15709</v>
      </c>
    </row>
    <row r="9275" spans="1:4">
      <c r="A9275">
        <v>38095</v>
      </c>
      <c r="B9275" t="s">
        <v>9775</v>
      </c>
      <c r="C9275" t="s">
        <v>427</v>
      </c>
      <c r="D9275" t="s">
        <v>15238</v>
      </c>
    </row>
    <row r="9276" spans="1:4">
      <c r="A9276">
        <v>38092</v>
      </c>
      <c r="B9276" t="s">
        <v>9776</v>
      </c>
      <c r="C9276" t="s">
        <v>427</v>
      </c>
      <c r="D9276" t="s">
        <v>25431</v>
      </c>
    </row>
    <row r="9277" spans="1:4">
      <c r="A9277">
        <v>38093</v>
      </c>
      <c r="B9277" t="s">
        <v>9777</v>
      </c>
      <c r="C9277" t="s">
        <v>427</v>
      </c>
      <c r="D9277" t="s">
        <v>24343</v>
      </c>
    </row>
    <row r="9278" spans="1:4">
      <c r="A9278">
        <v>38096</v>
      </c>
      <c r="B9278" t="s">
        <v>9778</v>
      </c>
      <c r="C9278" t="s">
        <v>427</v>
      </c>
      <c r="D9278" t="s">
        <v>18310</v>
      </c>
    </row>
    <row r="9279" spans="1:4">
      <c r="A9279">
        <v>38094</v>
      </c>
      <c r="B9279" t="s">
        <v>9779</v>
      </c>
      <c r="C9279" t="s">
        <v>427</v>
      </c>
      <c r="D9279" t="s">
        <v>20070</v>
      </c>
    </row>
    <row r="9280" spans="1:4">
      <c r="A9280">
        <v>38097</v>
      </c>
      <c r="B9280" t="s">
        <v>9780</v>
      </c>
      <c r="C9280" t="s">
        <v>427</v>
      </c>
      <c r="D9280" t="s">
        <v>17230</v>
      </c>
    </row>
    <row r="9281" spans="1:4">
      <c r="A9281">
        <v>38098</v>
      </c>
      <c r="B9281" t="s">
        <v>9781</v>
      </c>
      <c r="C9281" t="s">
        <v>427</v>
      </c>
      <c r="D9281" t="s">
        <v>17230</v>
      </c>
    </row>
    <row r="9282" spans="1:4">
      <c r="A9282">
        <v>11186</v>
      </c>
      <c r="B9282" t="s">
        <v>9782</v>
      </c>
      <c r="C9282" t="s">
        <v>426</v>
      </c>
      <c r="D9282" t="s">
        <v>25591</v>
      </c>
    </row>
    <row r="9283" spans="1:4">
      <c r="A9283">
        <v>11558</v>
      </c>
      <c r="B9283" t="s">
        <v>9783</v>
      </c>
      <c r="C9283" t="s">
        <v>434</v>
      </c>
      <c r="D9283" t="s">
        <v>20135</v>
      </c>
    </row>
    <row r="9284" spans="1:4">
      <c r="A9284">
        <v>11557</v>
      </c>
      <c r="B9284" t="s">
        <v>9784</v>
      </c>
      <c r="C9284" t="s">
        <v>434</v>
      </c>
      <c r="D9284" t="s">
        <v>25592</v>
      </c>
    </row>
    <row r="9285" spans="1:4">
      <c r="A9285">
        <v>2759</v>
      </c>
      <c r="B9285" t="s">
        <v>9785</v>
      </c>
      <c r="C9285" t="s">
        <v>427</v>
      </c>
      <c r="D9285" t="s">
        <v>25593</v>
      </c>
    </row>
    <row r="9286" spans="1:4">
      <c r="A9286">
        <v>38124</v>
      </c>
      <c r="B9286" t="s">
        <v>9786</v>
      </c>
      <c r="C9286" t="s">
        <v>427</v>
      </c>
      <c r="D9286" t="s">
        <v>25594</v>
      </c>
    </row>
    <row r="9287" spans="1:4">
      <c r="A9287">
        <v>38380</v>
      </c>
      <c r="B9287" t="s">
        <v>9787</v>
      </c>
      <c r="C9287" t="s">
        <v>427</v>
      </c>
      <c r="D9287" t="s">
        <v>25595</v>
      </c>
    </row>
    <row r="9288" spans="1:4">
      <c r="A9288">
        <v>20059</v>
      </c>
      <c r="B9288" t="s">
        <v>9788</v>
      </c>
      <c r="C9288" t="s">
        <v>427</v>
      </c>
      <c r="D9288" t="s">
        <v>23614</v>
      </c>
    </row>
    <row r="9289" spans="1:4">
      <c r="A9289">
        <v>42429</v>
      </c>
      <c r="B9289" t="s">
        <v>9789</v>
      </c>
      <c r="C9289" t="s">
        <v>427</v>
      </c>
      <c r="D9289" t="s">
        <v>25596</v>
      </c>
    </row>
    <row r="9290" spans="1:4">
      <c r="A9290">
        <v>39616</v>
      </c>
      <c r="B9290" t="s">
        <v>9790</v>
      </c>
      <c r="C9290" t="s">
        <v>427</v>
      </c>
      <c r="D9290" t="s">
        <v>25597</v>
      </c>
    </row>
    <row r="9291" spans="1:4">
      <c r="A9291">
        <v>39618</v>
      </c>
      <c r="B9291" t="s">
        <v>9791</v>
      </c>
      <c r="C9291" t="s">
        <v>427</v>
      </c>
      <c r="D9291" t="s">
        <v>25598</v>
      </c>
    </row>
    <row r="9292" spans="1:4">
      <c r="A9292">
        <v>39619</v>
      </c>
      <c r="B9292" t="s">
        <v>9792</v>
      </c>
      <c r="C9292" t="s">
        <v>427</v>
      </c>
      <c r="D9292" t="s">
        <v>25599</v>
      </c>
    </row>
    <row r="9293" spans="1:4">
      <c r="A9293">
        <v>39613</v>
      </c>
      <c r="B9293" t="s">
        <v>9793</v>
      </c>
      <c r="C9293" t="s">
        <v>427</v>
      </c>
      <c r="D9293" t="s">
        <v>25600</v>
      </c>
    </row>
    <row r="9294" spans="1:4">
      <c r="A9294">
        <v>39614</v>
      </c>
      <c r="B9294" t="s">
        <v>9794</v>
      </c>
      <c r="C9294" t="s">
        <v>427</v>
      </c>
      <c r="D9294" t="s">
        <v>25601</v>
      </c>
    </row>
    <row r="9295" spans="1:4">
      <c r="A9295">
        <v>38538</v>
      </c>
      <c r="B9295" t="s">
        <v>9795</v>
      </c>
      <c r="C9295" t="s">
        <v>429</v>
      </c>
      <c r="D9295" t="s">
        <v>18762</v>
      </c>
    </row>
    <row r="9296" spans="1:4">
      <c r="A9296">
        <v>38539</v>
      </c>
      <c r="B9296" t="s">
        <v>9796</v>
      </c>
      <c r="C9296" t="s">
        <v>429</v>
      </c>
      <c r="D9296" t="s">
        <v>25602</v>
      </c>
    </row>
    <row r="9297" spans="1:4">
      <c r="A9297">
        <v>38540</v>
      </c>
      <c r="B9297" t="s">
        <v>9797</v>
      </c>
      <c r="C9297" t="s">
        <v>429</v>
      </c>
      <c r="D9297" t="s">
        <v>25603</v>
      </c>
    </row>
    <row r="9298" spans="1:4">
      <c r="A9298">
        <v>38384</v>
      </c>
      <c r="B9298" t="s">
        <v>9798</v>
      </c>
      <c r="C9298" t="s">
        <v>427</v>
      </c>
      <c r="D9298" t="s">
        <v>18222</v>
      </c>
    </row>
    <row r="9299" spans="1:4">
      <c r="A9299">
        <v>13</v>
      </c>
      <c r="B9299" t="s">
        <v>9799</v>
      </c>
      <c r="C9299" t="s">
        <v>430</v>
      </c>
      <c r="D9299" t="s">
        <v>25604</v>
      </c>
    </row>
    <row r="9300" spans="1:4">
      <c r="A9300">
        <v>2762</v>
      </c>
      <c r="B9300" t="s">
        <v>9800</v>
      </c>
      <c r="C9300" t="s">
        <v>429</v>
      </c>
      <c r="D9300" t="s">
        <v>15651</v>
      </c>
    </row>
    <row r="9301" spans="1:4">
      <c r="A9301">
        <v>21142</v>
      </c>
      <c r="B9301" t="s">
        <v>9801</v>
      </c>
      <c r="C9301" t="s">
        <v>427</v>
      </c>
      <c r="D9301" t="s">
        <v>25605</v>
      </c>
    </row>
    <row r="9302" spans="1:4">
      <c r="A9302">
        <v>4223</v>
      </c>
      <c r="B9302" t="s">
        <v>9802</v>
      </c>
      <c r="C9302" t="s">
        <v>428</v>
      </c>
      <c r="D9302" t="s">
        <v>18842</v>
      </c>
    </row>
    <row r="9303" spans="1:4">
      <c r="A9303">
        <v>37372</v>
      </c>
      <c r="B9303" t="s">
        <v>9803</v>
      </c>
      <c r="C9303" t="s">
        <v>432</v>
      </c>
      <c r="D9303" t="s">
        <v>24758</v>
      </c>
    </row>
    <row r="9304" spans="1:4">
      <c r="A9304">
        <v>40863</v>
      </c>
      <c r="B9304" t="s">
        <v>9804</v>
      </c>
      <c r="C9304" t="s">
        <v>433</v>
      </c>
      <c r="D9304" t="s">
        <v>25007</v>
      </c>
    </row>
    <row r="9305" spans="1:4">
      <c r="A9305">
        <v>38475</v>
      </c>
      <c r="B9305" t="s">
        <v>9805</v>
      </c>
      <c r="C9305" t="s">
        <v>427</v>
      </c>
      <c r="D9305" t="s">
        <v>20086</v>
      </c>
    </row>
    <row r="9306" spans="1:4">
      <c r="A9306">
        <v>38474</v>
      </c>
      <c r="B9306" t="s">
        <v>9806</v>
      </c>
      <c r="C9306" t="s">
        <v>427</v>
      </c>
      <c r="D9306" t="s">
        <v>23168</v>
      </c>
    </row>
    <row r="9307" spans="1:4">
      <c r="A9307">
        <v>10886</v>
      </c>
      <c r="B9307" t="s">
        <v>9807</v>
      </c>
      <c r="C9307" t="s">
        <v>427</v>
      </c>
      <c r="D9307" t="s">
        <v>25606</v>
      </c>
    </row>
    <row r="9308" spans="1:4">
      <c r="A9308">
        <v>10888</v>
      </c>
      <c r="B9308" t="s">
        <v>9808</v>
      </c>
      <c r="C9308" t="s">
        <v>427</v>
      </c>
      <c r="D9308" t="s">
        <v>25607</v>
      </c>
    </row>
    <row r="9309" spans="1:4">
      <c r="A9309">
        <v>10889</v>
      </c>
      <c r="B9309" t="s">
        <v>9809</v>
      </c>
      <c r="C9309" t="s">
        <v>427</v>
      </c>
      <c r="D9309" t="s">
        <v>25608</v>
      </c>
    </row>
    <row r="9310" spans="1:4">
      <c r="A9310">
        <v>10890</v>
      </c>
      <c r="B9310" t="s">
        <v>9810</v>
      </c>
      <c r="C9310" t="s">
        <v>427</v>
      </c>
      <c r="D9310" t="s">
        <v>25609</v>
      </c>
    </row>
    <row r="9311" spans="1:4">
      <c r="A9311">
        <v>10891</v>
      </c>
      <c r="B9311" t="s">
        <v>9811</v>
      </c>
      <c r="C9311" t="s">
        <v>427</v>
      </c>
      <c r="D9311" t="s">
        <v>25610</v>
      </c>
    </row>
    <row r="9312" spans="1:4">
      <c r="A9312">
        <v>10892</v>
      </c>
      <c r="B9312" t="s">
        <v>9812</v>
      </c>
      <c r="C9312" t="s">
        <v>427</v>
      </c>
      <c r="D9312" t="s">
        <v>25611</v>
      </c>
    </row>
    <row r="9313" spans="1:4">
      <c r="A9313">
        <v>20977</v>
      </c>
      <c r="B9313" t="s">
        <v>9813</v>
      </c>
      <c r="C9313" t="s">
        <v>427</v>
      </c>
      <c r="D9313" t="s">
        <v>25612</v>
      </c>
    </row>
    <row r="9314" spans="1:4">
      <c r="A9314">
        <v>3073</v>
      </c>
      <c r="B9314" t="s">
        <v>9814</v>
      </c>
      <c r="C9314" t="s">
        <v>427</v>
      </c>
      <c r="D9314" t="s">
        <v>25613</v>
      </c>
    </row>
    <row r="9315" spans="1:4">
      <c r="A9315">
        <v>3068</v>
      </c>
      <c r="B9315" t="s">
        <v>9815</v>
      </c>
      <c r="C9315" t="s">
        <v>427</v>
      </c>
      <c r="D9315" t="s">
        <v>16302</v>
      </c>
    </row>
    <row r="9316" spans="1:4">
      <c r="A9316">
        <v>3074</v>
      </c>
      <c r="B9316" t="s">
        <v>9816</v>
      </c>
      <c r="C9316" t="s">
        <v>427</v>
      </c>
      <c r="D9316" t="s">
        <v>25614</v>
      </c>
    </row>
    <row r="9317" spans="1:4">
      <c r="A9317">
        <v>3076</v>
      </c>
      <c r="B9317" t="s">
        <v>9817</v>
      </c>
      <c r="C9317" t="s">
        <v>427</v>
      </c>
      <c r="D9317" t="s">
        <v>25615</v>
      </c>
    </row>
    <row r="9318" spans="1:4">
      <c r="A9318">
        <v>3072</v>
      </c>
      <c r="B9318" t="s">
        <v>9818</v>
      </c>
      <c r="C9318" t="s">
        <v>427</v>
      </c>
      <c r="D9318" t="s">
        <v>25616</v>
      </c>
    </row>
    <row r="9319" spans="1:4">
      <c r="A9319">
        <v>3075</v>
      </c>
      <c r="B9319" t="s">
        <v>9819</v>
      </c>
      <c r="C9319" t="s">
        <v>427</v>
      </c>
      <c r="D9319" t="s">
        <v>25617</v>
      </c>
    </row>
    <row r="9320" spans="1:4">
      <c r="A9320">
        <v>10780</v>
      </c>
      <c r="B9320" t="s">
        <v>9820</v>
      </c>
      <c r="C9320" t="s">
        <v>427</v>
      </c>
      <c r="D9320" t="s">
        <v>18058</v>
      </c>
    </row>
    <row r="9321" spans="1:4">
      <c r="A9321">
        <v>10781</v>
      </c>
      <c r="B9321" t="s">
        <v>9821</v>
      </c>
      <c r="C9321" t="s">
        <v>427</v>
      </c>
      <c r="D9321" t="s">
        <v>25618</v>
      </c>
    </row>
    <row r="9322" spans="1:4">
      <c r="A9322">
        <v>20106</v>
      </c>
      <c r="B9322" t="s">
        <v>9822</v>
      </c>
      <c r="C9322" t="s">
        <v>427</v>
      </c>
      <c r="D9322" t="s">
        <v>24353</v>
      </c>
    </row>
    <row r="9323" spans="1:4">
      <c r="A9323">
        <v>20107</v>
      </c>
      <c r="B9323" t="s">
        <v>9823</v>
      </c>
      <c r="C9323" t="s">
        <v>427</v>
      </c>
      <c r="D9323" t="s">
        <v>15547</v>
      </c>
    </row>
    <row r="9324" spans="1:4">
      <c r="A9324">
        <v>20108</v>
      </c>
      <c r="B9324" t="s">
        <v>9824</v>
      </c>
      <c r="C9324" t="s">
        <v>427</v>
      </c>
      <c r="D9324" t="s">
        <v>22710</v>
      </c>
    </row>
    <row r="9325" spans="1:4">
      <c r="A9325">
        <v>20109</v>
      </c>
      <c r="B9325" t="s">
        <v>9825</v>
      </c>
      <c r="C9325" t="s">
        <v>427</v>
      </c>
      <c r="D9325" t="s">
        <v>18058</v>
      </c>
    </row>
    <row r="9326" spans="1:4">
      <c r="A9326">
        <v>43612</v>
      </c>
      <c r="B9326" t="s">
        <v>9826</v>
      </c>
      <c r="C9326" t="s">
        <v>438</v>
      </c>
      <c r="D9326" t="s">
        <v>25619</v>
      </c>
    </row>
    <row r="9327" spans="1:4">
      <c r="A9327">
        <v>43613</v>
      </c>
      <c r="B9327" t="s">
        <v>9827</v>
      </c>
      <c r="C9327" t="s">
        <v>438</v>
      </c>
      <c r="D9327" t="s">
        <v>25620</v>
      </c>
    </row>
    <row r="9328" spans="1:4">
      <c r="A9328">
        <v>11480</v>
      </c>
      <c r="B9328" t="s">
        <v>9828</v>
      </c>
      <c r="C9328" t="s">
        <v>438</v>
      </c>
      <c r="D9328" t="s">
        <v>25621</v>
      </c>
    </row>
    <row r="9329" spans="1:4">
      <c r="A9329">
        <v>11469</v>
      </c>
      <c r="B9329" t="s">
        <v>9829</v>
      </c>
      <c r="C9329" t="s">
        <v>427</v>
      </c>
      <c r="D9329" t="s">
        <v>17241</v>
      </c>
    </row>
    <row r="9330" spans="1:4">
      <c r="A9330">
        <v>11468</v>
      </c>
      <c r="B9330" t="s">
        <v>9830</v>
      </c>
      <c r="C9330" t="s">
        <v>427</v>
      </c>
      <c r="D9330" t="s">
        <v>18626</v>
      </c>
    </row>
    <row r="9331" spans="1:4">
      <c r="A9331">
        <v>11484</v>
      </c>
      <c r="B9331" t="s">
        <v>9831</v>
      </c>
      <c r="C9331" t="s">
        <v>427</v>
      </c>
      <c r="D9331" t="s">
        <v>25622</v>
      </c>
    </row>
    <row r="9332" spans="1:4">
      <c r="A9332">
        <v>38155</v>
      </c>
      <c r="B9332" t="s">
        <v>9832</v>
      </c>
      <c r="C9332" t="s">
        <v>427</v>
      </c>
      <c r="D9332" t="s">
        <v>25623</v>
      </c>
    </row>
    <row r="9333" spans="1:4">
      <c r="A9333">
        <v>11467</v>
      </c>
      <c r="B9333" t="s">
        <v>9833</v>
      </c>
      <c r="C9333" t="s">
        <v>427</v>
      </c>
      <c r="D9333" t="s">
        <v>15516</v>
      </c>
    </row>
    <row r="9334" spans="1:4">
      <c r="A9334">
        <v>38153</v>
      </c>
      <c r="B9334" t="s">
        <v>9834</v>
      </c>
      <c r="C9334" t="s">
        <v>438</v>
      </c>
      <c r="D9334" t="s">
        <v>23788</v>
      </c>
    </row>
    <row r="9335" spans="1:4">
      <c r="A9335">
        <v>43607</v>
      </c>
      <c r="B9335" t="s">
        <v>9835</v>
      </c>
      <c r="C9335" t="s">
        <v>438</v>
      </c>
      <c r="D9335" t="s">
        <v>15177</v>
      </c>
    </row>
    <row r="9336" spans="1:4">
      <c r="A9336">
        <v>3080</v>
      </c>
      <c r="B9336" t="s">
        <v>9836</v>
      </c>
      <c r="C9336" t="s">
        <v>438</v>
      </c>
      <c r="D9336" t="s">
        <v>25624</v>
      </c>
    </row>
    <row r="9337" spans="1:4">
      <c r="A9337">
        <v>3081</v>
      </c>
      <c r="B9337" t="s">
        <v>9837</v>
      </c>
      <c r="C9337" t="s">
        <v>438</v>
      </c>
      <c r="D9337" t="s">
        <v>25625</v>
      </c>
    </row>
    <row r="9338" spans="1:4">
      <c r="A9338">
        <v>3090</v>
      </c>
      <c r="B9338" t="s">
        <v>9838</v>
      </c>
      <c r="C9338" t="s">
        <v>438</v>
      </c>
      <c r="D9338" t="s">
        <v>25626</v>
      </c>
    </row>
    <row r="9339" spans="1:4">
      <c r="A9339">
        <v>43611</v>
      </c>
      <c r="B9339" t="s">
        <v>9839</v>
      </c>
      <c r="C9339" t="s">
        <v>438</v>
      </c>
      <c r="D9339" t="s">
        <v>25627</v>
      </c>
    </row>
    <row r="9340" spans="1:4">
      <c r="A9340">
        <v>3103</v>
      </c>
      <c r="B9340" t="s">
        <v>9840</v>
      </c>
      <c r="C9340" t="s">
        <v>427</v>
      </c>
      <c r="D9340" t="s">
        <v>20516</v>
      </c>
    </row>
    <row r="9341" spans="1:4">
      <c r="A9341">
        <v>3097</v>
      </c>
      <c r="B9341" t="s">
        <v>9841</v>
      </c>
      <c r="C9341" t="s">
        <v>438</v>
      </c>
      <c r="D9341" t="s">
        <v>25628</v>
      </c>
    </row>
    <row r="9342" spans="1:4">
      <c r="A9342">
        <v>3099</v>
      </c>
      <c r="B9342" t="s">
        <v>9842</v>
      </c>
      <c r="C9342" t="s">
        <v>438</v>
      </c>
      <c r="D9342" t="s">
        <v>25629</v>
      </c>
    </row>
    <row r="9343" spans="1:4">
      <c r="A9343">
        <v>38151</v>
      </c>
      <c r="B9343" t="s">
        <v>9843</v>
      </c>
      <c r="C9343" t="s">
        <v>438</v>
      </c>
      <c r="D9343" t="s">
        <v>25630</v>
      </c>
    </row>
    <row r="9344" spans="1:4">
      <c r="A9344">
        <v>38152</v>
      </c>
      <c r="B9344" t="s">
        <v>9844</v>
      </c>
      <c r="C9344" t="s">
        <v>438</v>
      </c>
      <c r="D9344" t="s">
        <v>25631</v>
      </c>
    </row>
    <row r="9345" spans="1:4">
      <c r="A9345">
        <v>43610</v>
      </c>
      <c r="B9345" t="s">
        <v>9845</v>
      </c>
      <c r="C9345" t="s">
        <v>438</v>
      </c>
      <c r="D9345" t="s">
        <v>21346</v>
      </c>
    </row>
    <row r="9346" spans="1:4">
      <c r="A9346">
        <v>3093</v>
      </c>
      <c r="B9346" t="s">
        <v>9846</v>
      </c>
      <c r="C9346" t="s">
        <v>438</v>
      </c>
      <c r="D9346" t="s">
        <v>25629</v>
      </c>
    </row>
    <row r="9347" spans="1:4">
      <c r="A9347">
        <v>38165</v>
      </c>
      <c r="B9347" t="s">
        <v>9847</v>
      </c>
      <c r="C9347" t="s">
        <v>438</v>
      </c>
      <c r="D9347" t="s">
        <v>25632</v>
      </c>
    </row>
    <row r="9348" spans="1:4">
      <c r="A9348">
        <v>38177</v>
      </c>
      <c r="B9348" t="s">
        <v>9848</v>
      </c>
      <c r="C9348" t="s">
        <v>427</v>
      </c>
      <c r="D9348" t="s">
        <v>25633</v>
      </c>
    </row>
    <row r="9349" spans="1:4">
      <c r="A9349">
        <v>11458</v>
      </c>
      <c r="B9349" t="s">
        <v>9849</v>
      </c>
      <c r="C9349" t="s">
        <v>427</v>
      </c>
      <c r="D9349" t="s">
        <v>24739</v>
      </c>
    </row>
    <row r="9350" spans="1:4">
      <c r="A9350">
        <v>3108</v>
      </c>
      <c r="B9350" t="s">
        <v>9850</v>
      </c>
      <c r="C9350" t="s">
        <v>427</v>
      </c>
      <c r="D9350" t="s">
        <v>25634</v>
      </c>
    </row>
    <row r="9351" spans="1:4">
      <c r="A9351">
        <v>3105</v>
      </c>
      <c r="B9351" t="s">
        <v>9851</v>
      </c>
      <c r="C9351" t="s">
        <v>427</v>
      </c>
      <c r="D9351" t="s">
        <v>25635</v>
      </c>
    </row>
    <row r="9352" spans="1:4">
      <c r="A9352">
        <v>38178</v>
      </c>
      <c r="B9352" t="s">
        <v>9852</v>
      </c>
      <c r="C9352" t="s">
        <v>427</v>
      </c>
      <c r="D9352" t="s">
        <v>18705</v>
      </c>
    </row>
    <row r="9353" spans="1:4">
      <c r="A9353">
        <v>43575</v>
      </c>
      <c r="B9353" t="s">
        <v>9853</v>
      </c>
      <c r="C9353" t="s">
        <v>427</v>
      </c>
      <c r="D9353" t="s">
        <v>19328</v>
      </c>
    </row>
    <row r="9354" spans="1:4">
      <c r="A9354">
        <v>43577</v>
      </c>
      <c r="B9354" t="s">
        <v>9854</v>
      </c>
      <c r="C9354" t="s">
        <v>427</v>
      </c>
      <c r="D9354" t="s">
        <v>25636</v>
      </c>
    </row>
    <row r="9355" spans="1:4">
      <c r="A9355">
        <v>43458</v>
      </c>
      <c r="B9355" t="s">
        <v>9855</v>
      </c>
      <c r="C9355" t="s">
        <v>432</v>
      </c>
      <c r="D9355" t="s">
        <v>15470</v>
      </c>
    </row>
    <row r="9356" spans="1:4">
      <c r="A9356">
        <v>43470</v>
      </c>
      <c r="B9356" t="s">
        <v>9856</v>
      </c>
      <c r="C9356" t="s">
        <v>433</v>
      </c>
      <c r="D9356" t="s">
        <v>23586</v>
      </c>
    </row>
    <row r="9357" spans="1:4">
      <c r="A9357">
        <v>43459</v>
      </c>
      <c r="B9357" t="s">
        <v>9857</v>
      </c>
      <c r="C9357" t="s">
        <v>432</v>
      </c>
      <c r="D9357" t="s">
        <v>25637</v>
      </c>
    </row>
    <row r="9358" spans="1:4">
      <c r="A9358">
        <v>43471</v>
      </c>
      <c r="B9358" t="s">
        <v>9858</v>
      </c>
      <c r="C9358" t="s">
        <v>433</v>
      </c>
      <c r="D9358" t="s">
        <v>20971</v>
      </c>
    </row>
    <row r="9359" spans="1:4">
      <c r="A9359">
        <v>43460</v>
      </c>
      <c r="B9359" t="s">
        <v>9859</v>
      </c>
      <c r="C9359" t="s">
        <v>432</v>
      </c>
      <c r="D9359" t="s">
        <v>24270</v>
      </c>
    </row>
    <row r="9360" spans="1:4">
      <c r="A9360">
        <v>43472</v>
      </c>
      <c r="B9360" t="s">
        <v>9860</v>
      </c>
      <c r="C9360" t="s">
        <v>433</v>
      </c>
      <c r="D9360" t="s">
        <v>25638</v>
      </c>
    </row>
    <row r="9361" spans="1:4">
      <c r="A9361">
        <v>43461</v>
      </c>
      <c r="B9361" t="s">
        <v>9861</v>
      </c>
      <c r="C9361" t="s">
        <v>432</v>
      </c>
      <c r="D9361" t="s">
        <v>23864</v>
      </c>
    </row>
    <row r="9362" spans="1:4">
      <c r="A9362">
        <v>43473</v>
      </c>
      <c r="B9362" t="s">
        <v>9862</v>
      </c>
      <c r="C9362" t="s">
        <v>433</v>
      </c>
      <c r="D9362" t="s">
        <v>19271</v>
      </c>
    </row>
    <row r="9363" spans="1:4">
      <c r="A9363">
        <v>43463</v>
      </c>
      <c r="B9363" t="s">
        <v>9863</v>
      </c>
      <c r="C9363" t="s">
        <v>432</v>
      </c>
      <c r="D9363" t="s">
        <v>15473</v>
      </c>
    </row>
    <row r="9364" spans="1:4">
      <c r="A9364">
        <v>43475</v>
      </c>
      <c r="B9364" t="s">
        <v>9864</v>
      </c>
      <c r="C9364" t="s">
        <v>433</v>
      </c>
      <c r="D9364" t="s">
        <v>17813</v>
      </c>
    </row>
    <row r="9365" spans="1:4">
      <c r="A9365">
        <v>43462</v>
      </c>
      <c r="B9365" t="s">
        <v>9865</v>
      </c>
      <c r="C9365" t="s">
        <v>432</v>
      </c>
      <c r="D9365" t="s">
        <v>15684</v>
      </c>
    </row>
    <row r="9366" spans="1:4">
      <c r="A9366">
        <v>43474</v>
      </c>
      <c r="B9366" t="s">
        <v>9866</v>
      </c>
      <c r="C9366" t="s">
        <v>433</v>
      </c>
      <c r="D9366" t="s">
        <v>23681</v>
      </c>
    </row>
    <row r="9367" spans="1:4">
      <c r="A9367">
        <v>43464</v>
      </c>
      <c r="B9367" t="s">
        <v>9867</v>
      </c>
      <c r="C9367" t="s">
        <v>432</v>
      </c>
      <c r="D9367" t="s">
        <v>15684</v>
      </c>
    </row>
    <row r="9368" spans="1:4">
      <c r="A9368">
        <v>43476</v>
      </c>
      <c r="B9368" t="s">
        <v>9868</v>
      </c>
      <c r="C9368" t="s">
        <v>433</v>
      </c>
      <c r="D9368" t="s">
        <v>15684</v>
      </c>
    </row>
    <row r="9369" spans="1:4">
      <c r="A9369">
        <v>43465</v>
      </c>
      <c r="B9369" t="s">
        <v>9869</v>
      </c>
      <c r="C9369" t="s">
        <v>432</v>
      </c>
      <c r="D9369" t="s">
        <v>15674</v>
      </c>
    </row>
    <row r="9370" spans="1:4">
      <c r="A9370">
        <v>43477</v>
      </c>
      <c r="B9370" t="s">
        <v>9870</v>
      </c>
      <c r="C9370" t="s">
        <v>433</v>
      </c>
      <c r="D9370" t="s">
        <v>15315</v>
      </c>
    </row>
    <row r="9371" spans="1:4">
      <c r="A9371">
        <v>43466</v>
      </c>
      <c r="B9371" t="s">
        <v>9871</v>
      </c>
      <c r="C9371" t="s">
        <v>432</v>
      </c>
      <c r="D9371" t="s">
        <v>20100</v>
      </c>
    </row>
    <row r="9372" spans="1:4">
      <c r="A9372">
        <v>43478</v>
      </c>
      <c r="B9372" t="s">
        <v>9872</v>
      </c>
      <c r="C9372" t="s">
        <v>433</v>
      </c>
      <c r="D9372" t="s">
        <v>25639</v>
      </c>
    </row>
    <row r="9373" spans="1:4">
      <c r="A9373">
        <v>43467</v>
      </c>
      <c r="B9373" t="s">
        <v>9873</v>
      </c>
      <c r="C9373" t="s">
        <v>432</v>
      </c>
      <c r="D9373" t="s">
        <v>15323</v>
      </c>
    </row>
    <row r="9374" spans="1:4">
      <c r="A9374">
        <v>43479</v>
      </c>
      <c r="B9374" t="s">
        <v>9874</v>
      </c>
      <c r="C9374" t="s">
        <v>433</v>
      </c>
      <c r="D9374" t="s">
        <v>25640</v>
      </c>
    </row>
    <row r="9375" spans="1:4">
      <c r="A9375">
        <v>43468</v>
      </c>
      <c r="B9375" t="s">
        <v>9875</v>
      </c>
      <c r="C9375" t="s">
        <v>432</v>
      </c>
      <c r="D9375" t="s">
        <v>15648</v>
      </c>
    </row>
    <row r="9376" spans="1:4">
      <c r="A9376">
        <v>43480</v>
      </c>
      <c r="B9376" t="s">
        <v>9876</v>
      </c>
      <c r="C9376" t="s">
        <v>433</v>
      </c>
      <c r="D9376" t="s">
        <v>25641</v>
      </c>
    </row>
    <row r="9377" spans="1:4">
      <c r="A9377">
        <v>43469</v>
      </c>
      <c r="B9377" t="s">
        <v>9877</v>
      </c>
      <c r="C9377" t="s">
        <v>432</v>
      </c>
      <c r="D9377" t="s">
        <v>15602</v>
      </c>
    </row>
    <row r="9378" spans="1:4">
      <c r="A9378">
        <v>43481</v>
      </c>
      <c r="B9378" t="s">
        <v>9878</v>
      </c>
      <c r="C9378" t="s">
        <v>433</v>
      </c>
      <c r="D9378" t="s">
        <v>16917</v>
      </c>
    </row>
    <row r="9379" spans="1:4">
      <c r="A9379">
        <v>3119</v>
      </c>
      <c r="B9379" t="s">
        <v>9879</v>
      </c>
      <c r="C9379" t="s">
        <v>427</v>
      </c>
      <c r="D9379" t="s">
        <v>15475</v>
      </c>
    </row>
    <row r="9380" spans="1:4">
      <c r="A9380">
        <v>3122</v>
      </c>
      <c r="B9380" t="s">
        <v>9880</v>
      </c>
      <c r="C9380" t="s">
        <v>427</v>
      </c>
      <c r="D9380" t="s">
        <v>15124</v>
      </c>
    </row>
    <row r="9381" spans="1:4">
      <c r="A9381">
        <v>3121</v>
      </c>
      <c r="B9381" t="s">
        <v>9881</v>
      </c>
      <c r="C9381" t="s">
        <v>427</v>
      </c>
      <c r="D9381" t="s">
        <v>22725</v>
      </c>
    </row>
    <row r="9382" spans="1:4">
      <c r="A9382">
        <v>3120</v>
      </c>
      <c r="B9382" t="s">
        <v>9882</v>
      </c>
      <c r="C9382" t="s">
        <v>427</v>
      </c>
      <c r="D9382" t="s">
        <v>16886</v>
      </c>
    </row>
    <row r="9383" spans="1:4">
      <c r="A9383">
        <v>11455</v>
      </c>
      <c r="B9383" t="s">
        <v>9883</v>
      </c>
      <c r="C9383" t="s">
        <v>427</v>
      </c>
      <c r="D9383" t="s">
        <v>22990</v>
      </c>
    </row>
    <row r="9384" spans="1:4">
      <c r="A9384">
        <v>11456</v>
      </c>
      <c r="B9384" t="s">
        <v>9884</v>
      </c>
      <c r="C9384" t="s">
        <v>427</v>
      </c>
      <c r="D9384" t="s">
        <v>25642</v>
      </c>
    </row>
    <row r="9385" spans="1:4">
      <c r="A9385">
        <v>3107</v>
      </c>
      <c r="B9385" t="s">
        <v>9885</v>
      </c>
      <c r="C9385" t="s">
        <v>427</v>
      </c>
      <c r="D9385" t="s">
        <v>24593</v>
      </c>
    </row>
    <row r="9386" spans="1:4">
      <c r="A9386">
        <v>43583</v>
      </c>
      <c r="B9386" t="s">
        <v>9886</v>
      </c>
      <c r="C9386" t="s">
        <v>427</v>
      </c>
      <c r="D9386" t="s">
        <v>19187</v>
      </c>
    </row>
    <row r="9387" spans="1:4">
      <c r="A9387">
        <v>43586</v>
      </c>
      <c r="B9387" t="s">
        <v>9887</v>
      </c>
      <c r="C9387" t="s">
        <v>427</v>
      </c>
      <c r="D9387" t="s">
        <v>25643</v>
      </c>
    </row>
    <row r="9388" spans="1:4">
      <c r="A9388">
        <v>11461</v>
      </c>
      <c r="B9388" t="s">
        <v>9888</v>
      </c>
      <c r="C9388" t="s">
        <v>427</v>
      </c>
      <c r="D9388" t="s">
        <v>16980</v>
      </c>
    </row>
    <row r="9389" spans="1:4">
      <c r="A9389">
        <v>43587</v>
      </c>
      <c r="B9389" t="s">
        <v>9889</v>
      </c>
      <c r="C9389" t="s">
        <v>427</v>
      </c>
      <c r="D9389" t="s">
        <v>24687</v>
      </c>
    </row>
    <row r="9390" spans="1:4">
      <c r="A9390">
        <v>3106</v>
      </c>
      <c r="B9390" t="s">
        <v>9890</v>
      </c>
      <c r="C9390" t="s">
        <v>427</v>
      </c>
      <c r="D9390" t="s">
        <v>22195</v>
      </c>
    </row>
    <row r="9391" spans="1:4">
      <c r="A9391">
        <v>44539</v>
      </c>
      <c r="B9391" t="s">
        <v>13449</v>
      </c>
      <c r="C9391" t="s">
        <v>430</v>
      </c>
      <c r="D9391" t="s">
        <v>18311</v>
      </c>
    </row>
    <row r="9392" spans="1:4">
      <c r="A9392">
        <v>3123</v>
      </c>
      <c r="B9392" t="s">
        <v>9891</v>
      </c>
      <c r="C9392" t="s">
        <v>430</v>
      </c>
      <c r="D9392" t="s">
        <v>17715</v>
      </c>
    </row>
    <row r="9393" spans="1:4">
      <c r="A9393">
        <v>38125</v>
      </c>
      <c r="B9393" t="s">
        <v>9892</v>
      </c>
      <c r="C9393" t="s">
        <v>430</v>
      </c>
      <c r="D9393" t="s">
        <v>20161</v>
      </c>
    </row>
    <row r="9394" spans="1:4">
      <c r="A9394">
        <v>39014</v>
      </c>
      <c r="B9394" t="s">
        <v>9893</v>
      </c>
      <c r="C9394" t="s">
        <v>430</v>
      </c>
      <c r="D9394" t="s">
        <v>25644</v>
      </c>
    </row>
    <row r="9395" spans="1:4">
      <c r="A9395">
        <v>39365</v>
      </c>
      <c r="B9395" t="s">
        <v>9894</v>
      </c>
      <c r="C9395" t="s">
        <v>427</v>
      </c>
      <c r="D9395" t="s">
        <v>25645</v>
      </c>
    </row>
    <row r="9396" spans="1:4">
      <c r="A9396">
        <v>39366</v>
      </c>
      <c r="B9396" t="s">
        <v>9895</v>
      </c>
      <c r="C9396" t="s">
        <v>427</v>
      </c>
      <c r="D9396" t="s">
        <v>25646</v>
      </c>
    </row>
    <row r="9397" spans="1:4">
      <c r="A9397">
        <v>39367</v>
      </c>
      <c r="B9397" t="s">
        <v>9896</v>
      </c>
      <c r="C9397" t="s">
        <v>427</v>
      </c>
      <c r="D9397" t="s">
        <v>25647</v>
      </c>
    </row>
    <row r="9398" spans="1:4">
      <c r="A9398">
        <v>37394</v>
      </c>
      <c r="B9398" t="s">
        <v>9897</v>
      </c>
      <c r="C9398" t="s">
        <v>440</v>
      </c>
      <c r="D9398" t="s">
        <v>25648</v>
      </c>
    </row>
    <row r="9399" spans="1:4">
      <c r="A9399">
        <v>14146</v>
      </c>
      <c r="B9399" t="s">
        <v>9898</v>
      </c>
      <c r="C9399" t="s">
        <v>440</v>
      </c>
      <c r="D9399" t="s">
        <v>25649</v>
      </c>
    </row>
    <row r="9400" spans="1:4">
      <c r="A9400">
        <v>38134</v>
      </c>
      <c r="B9400" t="s">
        <v>9899</v>
      </c>
      <c r="C9400" t="s">
        <v>430</v>
      </c>
      <c r="D9400" t="s">
        <v>19461</v>
      </c>
    </row>
    <row r="9401" spans="1:4">
      <c r="A9401">
        <v>38132</v>
      </c>
      <c r="B9401" t="s">
        <v>9900</v>
      </c>
      <c r="C9401" t="s">
        <v>430</v>
      </c>
      <c r="D9401" t="s">
        <v>25650</v>
      </c>
    </row>
    <row r="9402" spans="1:4">
      <c r="A9402">
        <v>38133</v>
      </c>
      <c r="B9402" t="s">
        <v>9901</v>
      </c>
      <c r="C9402" t="s">
        <v>430</v>
      </c>
      <c r="D9402" t="s">
        <v>25651</v>
      </c>
    </row>
    <row r="9403" spans="1:4">
      <c r="A9403">
        <v>938</v>
      </c>
      <c r="B9403" t="s">
        <v>9902</v>
      </c>
      <c r="C9403" t="s">
        <v>429</v>
      </c>
      <c r="D9403" t="s">
        <v>14840</v>
      </c>
    </row>
    <row r="9404" spans="1:4">
      <c r="A9404">
        <v>937</v>
      </c>
      <c r="B9404" t="s">
        <v>9903</v>
      </c>
      <c r="C9404" t="s">
        <v>429</v>
      </c>
      <c r="D9404" t="s">
        <v>23643</v>
      </c>
    </row>
    <row r="9405" spans="1:4">
      <c r="A9405">
        <v>939</v>
      </c>
      <c r="B9405" t="s">
        <v>9904</v>
      </c>
      <c r="C9405" t="s">
        <v>429</v>
      </c>
      <c r="D9405" t="s">
        <v>24274</v>
      </c>
    </row>
    <row r="9406" spans="1:4">
      <c r="A9406">
        <v>944</v>
      </c>
      <c r="B9406" t="s">
        <v>9905</v>
      </c>
      <c r="C9406" t="s">
        <v>429</v>
      </c>
      <c r="D9406" t="s">
        <v>23635</v>
      </c>
    </row>
    <row r="9407" spans="1:4">
      <c r="A9407">
        <v>940</v>
      </c>
      <c r="B9407" t="s">
        <v>9906</v>
      </c>
      <c r="C9407" t="s">
        <v>429</v>
      </c>
      <c r="D9407" t="s">
        <v>15276</v>
      </c>
    </row>
    <row r="9408" spans="1:4">
      <c r="A9408">
        <v>936</v>
      </c>
      <c r="B9408" t="s">
        <v>9907</v>
      </c>
      <c r="C9408" t="s">
        <v>429</v>
      </c>
      <c r="D9408" t="s">
        <v>24333</v>
      </c>
    </row>
    <row r="9409" spans="1:4">
      <c r="A9409">
        <v>935</v>
      </c>
      <c r="B9409" t="s">
        <v>9908</v>
      </c>
      <c r="C9409" t="s">
        <v>429</v>
      </c>
      <c r="D9409" t="s">
        <v>15742</v>
      </c>
    </row>
    <row r="9410" spans="1:4">
      <c r="A9410">
        <v>44397</v>
      </c>
      <c r="B9410" t="s">
        <v>9909</v>
      </c>
      <c r="C9410" t="s">
        <v>429</v>
      </c>
      <c r="D9410" t="s">
        <v>20140</v>
      </c>
    </row>
    <row r="9411" spans="1:4">
      <c r="A9411">
        <v>406</v>
      </c>
      <c r="B9411" t="s">
        <v>9910</v>
      </c>
      <c r="C9411" t="s">
        <v>427</v>
      </c>
      <c r="D9411" t="s">
        <v>25652</v>
      </c>
    </row>
    <row r="9412" spans="1:4">
      <c r="A9412">
        <v>42529</v>
      </c>
      <c r="B9412" t="s">
        <v>9911</v>
      </c>
      <c r="C9412" t="s">
        <v>429</v>
      </c>
      <c r="D9412" t="s">
        <v>15468</v>
      </c>
    </row>
    <row r="9413" spans="1:4">
      <c r="A9413">
        <v>39634</v>
      </c>
      <c r="B9413" t="s">
        <v>9912</v>
      </c>
      <c r="C9413" t="s">
        <v>429</v>
      </c>
      <c r="D9413" t="s">
        <v>23608</v>
      </c>
    </row>
    <row r="9414" spans="1:4">
      <c r="A9414">
        <v>39701</v>
      </c>
      <c r="B9414" t="s">
        <v>9913</v>
      </c>
      <c r="C9414" t="s">
        <v>427</v>
      </c>
      <c r="D9414" t="s">
        <v>15177</v>
      </c>
    </row>
    <row r="9415" spans="1:4">
      <c r="A9415">
        <v>12815</v>
      </c>
      <c r="B9415" t="s">
        <v>9914</v>
      </c>
      <c r="C9415" t="s">
        <v>427</v>
      </c>
      <c r="D9415" t="s">
        <v>25653</v>
      </c>
    </row>
    <row r="9416" spans="1:4">
      <c r="A9416">
        <v>407</v>
      </c>
      <c r="B9416" t="s">
        <v>9915</v>
      </c>
      <c r="C9416" t="s">
        <v>430</v>
      </c>
      <c r="D9416" t="s">
        <v>25654</v>
      </c>
    </row>
    <row r="9417" spans="1:4">
      <c r="A9417">
        <v>39431</v>
      </c>
      <c r="B9417" t="s">
        <v>9916</v>
      </c>
      <c r="C9417" t="s">
        <v>429</v>
      </c>
      <c r="D9417" t="s">
        <v>15491</v>
      </c>
    </row>
    <row r="9418" spans="1:4">
      <c r="A9418">
        <v>39432</v>
      </c>
      <c r="B9418" t="s">
        <v>9917</v>
      </c>
      <c r="C9418" t="s">
        <v>429</v>
      </c>
      <c r="D9418" t="s">
        <v>18839</v>
      </c>
    </row>
    <row r="9419" spans="1:4">
      <c r="A9419">
        <v>20111</v>
      </c>
      <c r="B9419" t="s">
        <v>9918</v>
      </c>
      <c r="C9419" t="s">
        <v>427</v>
      </c>
      <c r="D9419" t="s">
        <v>19250</v>
      </c>
    </row>
    <row r="9420" spans="1:4">
      <c r="A9420">
        <v>21127</v>
      </c>
      <c r="B9420" t="s">
        <v>9919</v>
      </c>
      <c r="C9420" t="s">
        <v>427</v>
      </c>
      <c r="D9420" t="s">
        <v>24276</v>
      </c>
    </row>
    <row r="9421" spans="1:4">
      <c r="A9421">
        <v>404</v>
      </c>
      <c r="B9421" t="s">
        <v>9920</v>
      </c>
      <c r="C9421" t="s">
        <v>429</v>
      </c>
      <c r="D9421" t="s">
        <v>15781</v>
      </c>
    </row>
    <row r="9422" spans="1:4">
      <c r="A9422">
        <v>14151</v>
      </c>
      <c r="B9422" t="s">
        <v>9921</v>
      </c>
      <c r="C9422" t="s">
        <v>427</v>
      </c>
      <c r="D9422" t="s">
        <v>22723</v>
      </c>
    </row>
    <row r="9423" spans="1:4">
      <c r="A9423">
        <v>14153</v>
      </c>
      <c r="B9423" t="s">
        <v>9922</v>
      </c>
      <c r="C9423" t="s">
        <v>427</v>
      </c>
      <c r="D9423" t="s">
        <v>25655</v>
      </c>
    </row>
    <row r="9424" spans="1:4">
      <c r="A9424">
        <v>14152</v>
      </c>
      <c r="B9424" t="s">
        <v>9923</v>
      </c>
      <c r="C9424" t="s">
        <v>427</v>
      </c>
      <c r="D9424" t="s">
        <v>22177</v>
      </c>
    </row>
    <row r="9425" spans="1:4">
      <c r="A9425">
        <v>14154</v>
      </c>
      <c r="B9425" t="s">
        <v>9924</v>
      </c>
      <c r="C9425" t="s">
        <v>427</v>
      </c>
      <c r="D9425" t="s">
        <v>25656</v>
      </c>
    </row>
    <row r="9426" spans="1:4">
      <c r="A9426">
        <v>3146</v>
      </c>
      <c r="B9426" t="s">
        <v>9925</v>
      </c>
      <c r="C9426" t="s">
        <v>427</v>
      </c>
      <c r="D9426" t="s">
        <v>15762</v>
      </c>
    </row>
    <row r="9427" spans="1:4">
      <c r="A9427">
        <v>3143</v>
      </c>
      <c r="B9427" t="s">
        <v>9926</v>
      </c>
      <c r="C9427" t="s">
        <v>427</v>
      </c>
      <c r="D9427" t="s">
        <v>14761</v>
      </c>
    </row>
    <row r="9428" spans="1:4">
      <c r="A9428">
        <v>3148</v>
      </c>
      <c r="B9428" t="s">
        <v>189</v>
      </c>
      <c r="C9428" t="s">
        <v>427</v>
      </c>
      <c r="D9428" t="s">
        <v>25657</v>
      </c>
    </row>
    <row r="9429" spans="1:4">
      <c r="A9429">
        <v>4310</v>
      </c>
      <c r="B9429" t="s">
        <v>9927</v>
      </c>
      <c r="C9429" t="s">
        <v>427</v>
      </c>
      <c r="D9429" t="s">
        <v>25658</v>
      </c>
    </row>
    <row r="9430" spans="1:4">
      <c r="A9430">
        <v>4311</v>
      </c>
      <c r="B9430" t="s">
        <v>9928</v>
      </c>
      <c r="C9430" t="s">
        <v>427</v>
      </c>
      <c r="D9430" t="s">
        <v>24333</v>
      </c>
    </row>
    <row r="9431" spans="1:4">
      <c r="A9431">
        <v>4312</v>
      </c>
      <c r="B9431" t="s">
        <v>9929</v>
      </c>
      <c r="C9431" t="s">
        <v>427</v>
      </c>
      <c r="D9431" t="s">
        <v>18839</v>
      </c>
    </row>
    <row r="9432" spans="1:4">
      <c r="A9432">
        <v>13261</v>
      </c>
      <c r="B9432" t="s">
        <v>9930</v>
      </c>
      <c r="C9432" t="s">
        <v>427</v>
      </c>
      <c r="D9432" t="s">
        <v>15478</v>
      </c>
    </row>
    <row r="9433" spans="1:4">
      <c r="A9433">
        <v>3255</v>
      </c>
      <c r="B9433" t="s">
        <v>9931</v>
      </c>
      <c r="C9433" t="s">
        <v>427</v>
      </c>
      <c r="D9433" t="s">
        <v>18338</v>
      </c>
    </row>
    <row r="9434" spans="1:4">
      <c r="A9434">
        <v>3254</v>
      </c>
      <c r="B9434" t="s">
        <v>9932</v>
      </c>
      <c r="C9434" t="s">
        <v>427</v>
      </c>
      <c r="D9434" t="s">
        <v>25659</v>
      </c>
    </row>
    <row r="9435" spans="1:4">
      <c r="A9435">
        <v>3259</v>
      </c>
      <c r="B9435" t="s">
        <v>9933</v>
      </c>
      <c r="C9435" t="s">
        <v>427</v>
      </c>
      <c r="D9435" t="s">
        <v>15726</v>
      </c>
    </row>
    <row r="9436" spans="1:4">
      <c r="A9436">
        <v>3258</v>
      </c>
      <c r="B9436" t="s">
        <v>9934</v>
      </c>
      <c r="C9436" t="s">
        <v>427</v>
      </c>
      <c r="D9436" t="s">
        <v>25660</v>
      </c>
    </row>
    <row r="9437" spans="1:4">
      <c r="A9437">
        <v>3251</v>
      </c>
      <c r="B9437" t="s">
        <v>9935</v>
      </c>
      <c r="C9437" t="s">
        <v>427</v>
      </c>
      <c r="D9437" t="s">
        <v>15597</v>
      </c>
    </row>
    <row r="9438" spans="1:4">
      <c r="A9438">
        <v>3256</v>
      </c>
      <c r="B9438" t="s">
        <v>9936</v>
      </c>
      <c r="C9438" t="s">
        <v>427</v>
      </c>
      <c r="D9438" t="s">
        <v>16959</v>
      </c>
    </row>
    <row r="9439" spans="1:4">
      <c r="A9439">
        <v>3261</v>
      </c>
      <c r="B9439" t="s">
        <v>9937</v>
      </c>
      <c r="C9439" t="s">
        <v>427</v>
      </c>
      <c r="D9439" t="s">
        <v>23271</v>
      </c>
    </row>
    <row r="9440" spans="1:4">
      <c r="A9440">
        <v>3260</v>
      </c>
      <c r="B9440" t="s">
        <v>9938</v>
      </c>
      <c r="C9440" t="s">
        <v>427</v>
      </c>
      <c r="D9440" t="s">
        <v>15823</v>
      </c>
    </row>
    <row r="9441" spans="1:4">
      <c r="A9441">
        <v>3272</v>
      </c>
      <c r="B9441" t="s">
        <v>9939</v>
      </c>
      <c r="C9441" t="s">
        <v>427</v>
      </c>
      <c r="D9441" t="s">
        <v>25661</v>
      </c>
    </row>
    <row r="9442" spans="1:4">
      <c r="A9442">
        <v>3265</v>
      </c>
      <c r="B9442" t="s">
        <v>9940</v>
      </c>
      <c r="C9442" t="s">
        <v>427</v>
      </c>
      <c r="D9442" t="s">
        <v>22829</v>
      </c>
    </row>
    <row r="9443" spans="1:4">
      <c r="A9443">
        <v>3262</v>
      </c>
      <c r="B9443" t="s">
        <v>9941</v>
      </c>
      <c r="C9443" t="s">
        <v>427</v>
      </c>
      <c r="D9443" t="s">
        <v>20297</v>
      </c>
    </row>
    <row r="9444" spans="1:4">
      <c r="A9444">
        <v>3264</v>
      </c>
      <c r="B9444" t="s">
        <v>9942</v>
      </c>
      <c r="C9444" t="s">
        <v>427</v>
      </c>
      <c r="D9444" t="s">
        <v>17313</v>
      </c>
    </row>
    <row r="9445" spans="1:4">
      <c r="A9445">
        <v>3267</v>
      </c>
      <c r="B9445" t="s">
        <v>9943</v>
      </c>
      <c r="C9445" t="s">
        <v>427</v>
      </c>
      <c r="D9445" t="s">
        <v>24381</v>
      </c>
    </row>
    <row r="9446" spans="1:4">
      <c r="A9446">
        <v>3266</v>
      </c>
      <c r="B9446" t="s">
        <v>9944</v>
      </c>
      <c r="C9446" t="s">
        <v>427</v>
      </c>
      <c r="D9446" t="s">
        <v>25662</v>
      </c>
    </row>
    <row r="9447" spans="1:4">
      <c r="A9447">
        <v>3263</v>
      </c>
      <c r="B9447" t="s">
        <v>9945</v>
      </c>
      <c r="C9447" t="s">
        <v>427</v>
      </c>
      <c r="D9447" t="s">
        <v>24618</v>
      </c>
    </row>
    <row r="9448" spans="1:4">
      <c r="A9448">
        <v>3268</v>
      </c>
      <c r="B9448" t="s">
        <v>9946</v>
      </c>
      <c r="C9448" t="s">
        <v>427</v>
      </c>
      <c r="D9448" t="s">
        <v>25663</v>
      </c>
    </row>
    <row r="9449" spans="1:4">
      <c r="A9449">
        <v>3271</v>
      </c>
      <c r="B9449" t="s">
        <v>9947</v>
      </c>
      <c r="C9449" t="s">
        <v>427</v>
      </c>
      <c r="D9449" t="s">
        <v>25664</v>
      </c>
    </row>
    <row r="9450" spans="1:4">
      <c r="A9450">
        <v>3270</v>
      </c>
      <c r="B9450" t="s">
        <v>9948</v>
      </c>
      <c r="C9450" t="s">
        <v>427</v>
      </c>
      <c r="D9450" t="s">
        <v>25665</v>
      </c>
    </row>
    <row r="9451" spans="1:4">
      <c r="A9451">
        <v>3275</v>
      </c>
      <c r="B9451" t="s">
        <v>9949</v>
      </c>
      <c r="C9451" t="s">
        <v>426</v>
      </c>
      <c r="D9451" t="s">
        <v>23940</v>
      </c>
    </row>
    <row r="9452" spans="1:4">
      <c r="A9452">
        <v>39512</v>
      </c>
      <c r="B9452" t="s">
        <v>9950</v>
      </c>
      <c r="C9452" t="s">
        <v>426</v>
      </c>
      <c r="D9452" t="s">
        <v>25666</v>
      </c>
    </row>
    <row r="9453" spans="1:4">
      <c r="A9453">
        <v>39511</v>
      </c>
      <c r="B9453" t="s">
        <v>9951</v>
      </c>
      <c r="C9453" t="s">
        <v>426</v>
      </c>
      <c r="D9453" t="s">
        <v>25667</v>
      </c>
    </row>
    <row r="9454" spans="1:4">
      <c r="A9454">
        <v>39513</v>
      </c>
      <c r="B9454" t="s">
        <v>9952</v>
      </c>
      <c r="C9454" t="s">
        <v>426</v>
      </c>
      <c r="D9454" t="s">
        <v>25668</v>
      </c>
    </row>
    <row r="9455" spans="1:4">
      <c r="A9455">
        <v>3286</v>
      </c>
      <c r="B9455" t="s">
        <v>9953</v>
      </c>
      <c r="C9455" t="s">
        <v>426</v>
      </c>
      <c r="D9455" t="s">
        <v>25669</v>
      </c>
    </row>
    <row r="9456" spans="1:4">
      <c r="A9456">
        <v>3287</v>
      </c>
      <c r="B9456" t="s">
        <v>9954</v>
      </c>
      <c r="C9456" t="s">
        <v>426</v>
      </c>
      <c r="D9456" t="s">
        <v>25670</v>
      </c>
    </row>
    <row r="9457" spans="1:4">
      <c r="A9457">
        <v>3283</v>
      </c>
      <c r="B9457" t="s">
        <v>9955</v>
      </c>
      <c r="C9457" t="s">
        <v>426</v>
      </c>
      <c r="D9457" t="s">
        <v>25671</v>
      </c>
    </row>
    <row r="9458" spans="1:4">
      <c r="A9458">
        <v>11587</v>
      </c>
      <c r="B9458" t="s">
        <v>9956</v>
      </c>
      <c r="C9458" t="s">
        <v>426</v>
      </c>
      <c r="D9458" t="s">
        <v>18326</v>
      </c>
    </row>
    <row r="9459" spans="1:4">
      <c r="A9459">
        <v>36225</v>
      </c>
      <c r="B9459" t="s">
        <v>9957</v>
      </c>
      <c r="C9459" t="s">
        <v>426</v>
      </c>
      <c r="D9459" t="s">
        <v>25672</v>
      </c>
    </row>
    <row r="9460" spans="1:4">
      <c r="A9460">
        <v>36230</v>
      </c>
      <c r="B9460" t="s">
        <v>9958</v>
      </c>
      <c r="C9460" t="s">
        <v>426</v>
      </c>
      <c r="D9460" t="s">
        <v>25673</v>
      </c>
    </row>
    <row r="9461" spans="1:4">
      <c r="A9461">
        <v>36238</v>
      </c>
      <c r="B9461" t="s">
        <v>9959</v>
      </c>
      <c r="C9461" t="s">
        <v>426</v>
      </c>
      <c r="D9461" t="s">
        <v>25674</v>
      </c>
    </row>
    <row r="9462" spans="1:4">
      <c r="A9462">
        <v>39363</v>
      </c>
      <c r="B9462" t="s">
        <v>9960</v>
      </c>
      <c r="C9462" t="s">
        <v>427</v>
      </c>
      <c r="D9462" t="s">
        <v>25675</v>
      </c>
    </row>
    <row r="9463" spans="1:4">
      <c r="A9463">
        <v>39361</v>
      </c>
      <c r="B9463" t="s">
        <v>9961</v>
      </c>
      <c r="C9463" t="s">
        <v>427</v>
      </c>
      <c r="D9463" t="s">
        <v>25676</v>
      </c>
    </row>
    <row r="9464" spans="1:4">
      <c r="A9464">
        <v>39362</v>
      </c>
      <c r="B9464" t="s">
        <v>9962</v>
      </c>
      <c r="C9464" t="s">
        <v>427</v>
      </c>
      <c r="D9464" t="s">
        <v>25677</v>
      </c>
    </row>
    <row r="9465" spans="1:4">
      <c r="A9465">
        <v>39364</v>
      </c>
      <c r="B9465" t="s">
        <v>9963</v>
      </c>
      <c r="C9465" t="s">
        <v>427</v>
      </c>
      <c r="D9465" t="s">
        <v>25678</v>
      </c>
    </row>
    <row r="9466" spans="1:4">
      <c r="A9466">
        <v>14576</v>
      </c>
      <c r="B9466" t="s">
        <v>9964</v>
      </c>
      <c r="C9466" t="s">
        <v>427</v>
      </c>
      <c r="D9466" t="s">
        <v>25679</v>
      </c>
    </row>
    <row r="9467" spans="1:4">
      <c r="A9467">
        <v>13877</v>
      </c>
      <c r="B9467" t="s">
        <v>9965</v>
      </c>
      <c r="C9467" t="s">
        <v>427</v>
      </c>
      <c r="D9467" t="s">
        <v>25680</v>
      </c>
    </row>
    <row r="9468" spans="1:4">
      <c r="A9468">
        <v>7307</v>
      </c>
      <c r="B9468" t="s">
        <v>9966</v>
      </c>
      <c r="C9468" t="s">
        <v>428</v>
      </c>
      <c r="D9468" t="s">
        <v>23193</v>
      </c>
    </row>
    <row r="9469" spans="1:4">
      <c r="A9469">
        <v>38122</v>
      </c>
      <c r="B9469" t="s">
        <v>9967</v>
      </c>
      <c r="C9469" t="s">
        <v>428</v>
      </c>
      <c r="D9469" t="s">
        <v>18018</v>
      </c>
    </row>
    <row r="9470" spans="1:4">
      <c r="A9470">
        <v>43653</v>
      </c>
      <c r="B9470" t="s">
        <v>13450</v>
      </c>
      <c r="C9470" t="s">
        <v>428</v>
      </c>
      <c r="D9470" t="s">
        <v>25681</v>
      </c>
    </row>
    <row r="9471" spans="1:4">
      <c r="A9471">
        <v>38633</v>
      </c>
      <c r="B9471" t="s">
        <v>9968</v>
      </c>
      <c r="C9471" t="s">
        <v>427</v>
      </c>
      <c r="D9471" t="s">
        <v>23821</v>
      </c>
    </row>
    <row r="9472" spans="1:4">
      <c r="A9472">
        <v>12344</v>
      </c>
      <c r="B9472" t="s">
        <v>9969</v>
      </c>
      <c r="C9472" t="s">
        <v>427</v>
      </c>
      <c r="D9472" t="s">
        <v>15738</v>
      </c>
    </row>
    <row r="9473" spans="1:4">
      <c r="A9473">
        <v>12343</v>
      </c>
      <c r="B9473" t="s">
        <v>9970</v>
      </c>
      <c r="C9473" t="s">
        <v>427</v>
      </c>
      <c r="D9473" t="s">
        <v>14944</v>
      </c>
    </row>
    <row r="9474" spans="1:4">
      <c r="A9474">
        <v>3295</v>
      </c>
      <c r="B9474" t="s">
        <v>9971</v>
      </c>
      <c r="C9474" t="s">
        <v>427</v>
      </c>
      <c r="D9474" t="s">
        <v>16773</v>
      </c>
    </row>
    <row r="9475" spans="1:4">
      <c r="A9475">
        <v>3302</v>
      </c>
      <c r="B9475" t="s">
        <v>9972</v>
      </c>
      <c r="C9475" t="s">
        <v>427</v>
      </c>
      <c r="D9475" t="s">
        <v>17433</v>
      </c>
    </row>
    <row r="9476" spans="1:4">
      <c r="A9476">
        <v>3297</v>
      </c>
      <c r="B9476" t="s">
        <v>9973</v>
      </c>
      <c r="C9476" t="s">
        <v>427</v>
      </c>
      <c r="D9476" t="s">
        <v>23963</v>
      </c>
    </row>
    <row r="9477" spans="1:4">
      <c r="A9477">
        <v>3294</v>
      </c>
      <c r="B9477" t="s">
        <v>9974</v>
      </c>
      <c r="C9477" t="s">
        <v>427</v>
      </c>
      <c r="D9477" t="s">
        <v>25682</v>
      </c>
    </row>
    <row r="9478" spans="1:4">
      <c r="A9478">
        <v>3292</v>
      </c>
      <c r="B9478" t="s">
        <v>9975</v>
      </c>
      <c r="C9478" t="s">
        <v>427</v>
      </c>
      <c r="D9478" t="s">
        <v>17446</v>
      </c>
    </row>
    <row r="9479" spans="1:4">
      <c r="A9479">
        <v>3298</v>
      </c>
      <c r="B9479" t="s">
        <v>9976</v>
      </c>
      <c r="C9479" t="s">
        <v>427</v>
      </c>
      <c r="D9479" t="s">
        <v>25683</v>
      </c>
    </row>
    <row r="9480" spans="1:4">
      <c r="A9480">
        <v>11596</v>
      </c>
      <c r="B9480" t="s">
        <v>9977</v>
      </c>
      <c r="C9480" t="s">
        <v>427</v>
      </c>
      <c r="D9480" t="s">
        <v>25684</v>
      </c>
    </row>
    <row r="9481" spans="1:4">
      <c r="A9481">
        <v>34802</v>
      </c>
      <c r="B9481" t="s">
        <v>9978</v>
      </c>
      <c r="C9481" t="s">
        <v>427</v>
      </c>
      <c r="D9481" t="s">
        <v>25685</v>
      </c>
    </row>
    <row r="9482" spans="1:4">
      <c r="A9482">
        <v>11588</v>
      </c>
      <c r="B9482" t="s">
        <v>9979</v>
      </c>
      <c r="C9482" t="s">
        <v>427</v>
      </c>
      <c r="D9482" t="s">
        <v>25686</v>
      </c>
    </row>
    <row r="9483" spans="1:4">
      <c r="A9483">
        <v>34383</v>
      </c>
      <c r="B9483" t="s">
        <v>9980</v>
      </c>
      <c r="C9483" t="s">
        <v>427</v>
      </c>
      <c r="D9483" t="s">
        <v>25687</v>
      </c>
    </row>
    <row r="9484" spans="1:4">
      <c r="A9484">
        <v>40451</v>
      </c>
      <c r="B9484" t="s">
        <v>9981</v>
      </c>
      <c r="C9484" t="s">
        <v>426</v>
      </c>
      <c r="D9484" t="s">
        <v>25688</v>
      </c>
    </row>
    <row r="9485" spans="1:4">
      <c r="A9485">
        <v>40453</v>
      </c>
      <c r="B9485" t="s">
        <v>9982</v>
      </c>
      <c r="C9485" t="s">
        <v>426</v>
      </c>
      <c r="D9485" t="s">
        <v>25689</v>
      </c>
    </row>
    <row r="9486" spans="1:4">
      <c r="A9486">
        <v>40452</v>
      </c>
      <c r="B9486" t="s">
        <v>9983</v>
      </c>
      <c r="C9486" t="s">
        <v>426</v>
      </c>
      <c r="D9486" t="s">
        <v>23066</v>
      </c>
    </row>
    <row r="9487" spans="1:4">
      <c r="A9487">
        <v>11594</v>
      </c>
      <c r="B9487" t="s">
        <v>9984</v>
      </c>
      <c r="C9487" t="s">
        <v>427</v>
      </c>
      <c r="D9487" t="s">
        <v>25690</v>
      </c>
    </row>
    <row r="9488" spans="1:4">
      <c r="A9488">
        <v>3311</v>
      </c>
      <c r="B9488" t="s">
        <v>9985</v>
      </c>
      <c r="C9488" t="s">
        <v>431</v>
      </c>
      <c r="D9488" t="s">
        <v>25690</v>
      </c>
    </row>
    <row r="9489" spans="1:4">
      <c r="A9489">
        <v>11599</v>
      </c>
      <c r="B9489" t="s">
        <v>9986</v>
      </c>
      <c r="C9489" t="s">
        <v>427</v>
      </c>
      <c r="D9489" t="s">
        <v>25691</v>
      </c>
    </row>
    <row r="9490" spans="1:4">
      <c r="A9490">
        <v>11593</v>
      </c>
      <c r="B9490" t="s">
        <v>9987</v>
      </c>
      <c r="C9490" t="s">
        <v>427</v>
      </c>
      <c r="D9490" t="s">
        <v>25692</v>
      </c>
    </row>
    <row r="9491" spans="1:4">
      <c r="A9491">
        <v>3314</v>
      </c>
      <c r="B9491" t="s">
        <v>9988</v>
      </c>
      <c r="C9491" t="s">
        <v>431</v>
      </c>
      <c r="D9491" t="s">
        <v>25693</v>
      </c>
    </row>
    <row r="9492" spans="1:4">
      <c r="A9492">
        <v>11597</v>
      </c>
      <c r="B9492" t="s">
        <v>9989</v>
      </c>
      <c r="C9492" t="s">
        <v>427</v>
      </c>
      <c r="D9492" t="s">
        <v>25694</v>
      </c>
    </row>
    <row r="9493" spans="1:4">
      <c r="A9493">
        <v>3309</v>
      </c>
      <c r="B9493" t="s">
        <v>9990</v>
      </c>
      <c r="C9493" t="s">
        <v>431</v>
      </c>
      <c r="D9493" t="s">
        <v>25684</v>
      </c>
    </row>
    <row r="9494" spans="1:4">
      <c r="A9494">
        <v>34612</v>
      </c>
      <c r="B9494" t="s">
        <v>9991</v>
      </c>
      <c r="C9494" t="s">
        <v>427</v>
      </c>
      <c r="D9494" t="s">
        <v>25695</v>
      </c>
    </row>
    <row r="9495" spans="1:4">
      <c r="A9495">
        <v>34635</v>
      </c>
      <c r="B9495" t="s">
        <v>9992</v>
      </c>
      <c r="C9495" t="s">
        <v>427</v>
      </c>
      <c r="D9495" t="s">
        <v>25696</v>
      </c>
    </row>
    <row r="9496" spans="1:4">
      <c r="A9496">
        <v>34633</v>
      </c>
      <c r="B9496" t="s">
        <v>9993</v>
      </c>
      <c r="C9496" t="s">
        <v>427</v>
      </c>
      <c r="D9496" t="s">
        <v>25697</v>
      </c>
    </row>
    <row r="9497" spans="1:4">
      <c r="A9497">
        <v>40440</v>
      </c>
      <c r="B9497" t="s">
        <v>9994</v>
      </c>
      <c r="C9497" t="s">
        <v>431</v>
      </c>
      <c r="D9497" t="s">
        <v>25698</v>
      </c>
    </row>
    <row r="9498" spans="1:4">
      <c r="A9498">
        <v>40441</v>
      </c>
      <c r="B9498" t="s">
        <v>9995</v>
      </c>
      <c r="C9498" t="s">
        <v>431</v>
      </c>
      <c r="D9498" t="s">
        <v>25699</v>
      </c>
    </row>
    <row r="9499" spans="1:4">
      <c r="A9499">
        <v>40449</v>
      </c>
      <c r="B9499" t="s">
        <v>9996</v>
      </c>
      <c r="C9499" t="s">
        <v>431</v>
      </c>
      <c r="D9499" t="s">
        <v>25700</v>
      </c>
    </row>
    <row r="9500" spans="1:4">
      <c r="A9500">
        <v>34800</v>
      </c>
      <c r="B9500" t="s">
        <v>9997</v>
      </c>
      <c r="C9500" t="s">
        <v>431</v>
      </c>
      <c r="D9500" t="s">
        <v>25701</v>
      </c>
    </row>
    <row r="9501" spans="1:4">
      <c r="A9501">
        <v>11592</v>
      </c>
      <c r="B9501" t="s">
        <v>9998</v>
      </c>
      <c r="C9501" t="s">
        <v>427</v>
      </c>
      <c r="D9501" t="s">
        <v>25693</v>
      </c>
    </row>
    <row r="9502" spans="1:4">
      <c r="A9502">
        <v>40438</v>
      </c>
      <c r="B9502" t="s">
        <v>9999</v>
      </c>
      <c r="C9502" t="s">
        <v>431</v>
      </c>
      <c r="D9502" t="s">
        <v>25702</v>
      </c>
    </row>
    <row r="9503" spans="1:4">
      <c r="A9503">
        <v>40436</v>
      </c>
      <c r="B9503" t="s">
        <v>10000</v>
      </c>
      <c r="C9503" t="s">
        <v>431</v>
      </c>
      <c r="D9503" t="s">
        <v>21813</v>
      </c>
    </row>
    <row r="9504" spans="1:4">
      <c r="A9504">
        <v>4315</v>
      </c>
      <c r="B9504" t="s">
        <v>10001</v>
      </c>
      <c r="C9504" t="s">
        <v>427</v>
      </c>
      <c r="D9504" t="s">
        <v>15451</v>
      </c>
    </row>
    <row r="9505" spans="1:4">
      <c r="A9505">
        <v>402</v>
      </c>
      <c r="B9505" t="s">
        <v>10002</v>
      </c>
      <c r="C9505" t="s">
        <v>427</v>
      </c>
      <c r="D9505" t="s">
        <v>18264</v>
      </c>
    </row>
    <row r="9506" spans="1:4">
      <c r="A9506">
        <v>4226</v>
      </c>
      <c r="B9506" t="s">
        <v>10003</v>
      </c>
      <c r="C9506" t="s">
        <v>430</v>
      </c>
      <c r="D9506" t="s">
        <v>17298</v>
      </c>
    </row>
    <row r="9507" spans="1:4">
      <c r="A9507">
        <v>4222</v>
      </c>
      <c r="B9507" t="s">
        <v>10004</v>
      </c>
      <c r="C9507" t="s">
        <v>428</v>
      </c>
      <c r="D9507" t="s">
        <v>17224</v>
      </c>
    </row>
    <row r="9508" spans="1:4">
      <c r="A9508">
        <v>34804</v>
      </c>
      <c r="B9508" t="s">
        <v>10005</v>
      </c>
      <c r="C9508" t="s">
        <v>426</v>
      </c>
      <c r="D9508" t="s">
        <v>25398</v>
      </c>
    </row>
    <row r="9509" spans="1:4">
      <c r="A9509">
        <v>4013</v>
      </c>
      <c r="B9509" t="s">
        <v>10006</v>
      </c>
      <c r="C9509" t="s">
        <v>426</v>
      </c>
      <c r="D9509" t="s">
        <v>17261</v>
      </c>
    </row>
    <row r="9510" spans="1:4">
      <c r="A9510">
        <v>4011</v>
      </c>
      <c r="B9510" t="s">
        <v>10007</v>
      </c>
      <c r="C9510" t="s">
        <v>426</v>
      </c>
      <c r="D9510" t="s">
        <v>17233</v>
      </c>
    </row>
    <row r="9511" spans="1:4">
      <c r="A9511">
        <v>4021</v>
      </c>
      <c r="B9511" t="s">
        <v>10008</v>
      </c>
      <c r="C9511" t="s">
        <v>426</v>
      </c>
      <c r="D9511" t="s">
        <v>19766</v>
      </c>
    </row>
    <row r="9512" spans="1:4">
      <c r="A9512">
        <v>4019</v>
      </c>
      <c r="B9512" t="s">
        <v>10009</v>
      </c>
      <c r="C9512" t="s">
        <v>426</v>
      </c>
      <c r="D9512" t="s">
        <v>17245</v>
      </c>
    </row>
    <row r="9513" spans="1:4">
      <c r="A9513">
        <v>4012</v>
      </c>
      <c r="B9513" t="s">
        <v>10010</v>
      </c>
      <c r="C9513" t="s">
        <v>426</v>
      </c>
      <c r="D9513" t="s">
        <v>15397</v>
      </c>
    </row>
    <row r="9514" spans="1:4">
      <c r="A9514">
        <v>4020</v>
      </c>
      <c r="B9514" t="s">
        <v>10011</v>
      </c>
      <c r="C9514" t="s">
        <v>426</v>
      </c>
      <c r="D9514" t="s">
        <v>25703</v>
      </c>
    </row>
    <row r="9515" spans="1:4">
      <c r="A9515">
        <v>4018</v>
      </c>
      <c r="B9515" t="s">
        <v>10012</v>
      </c>
      <c r="C9515" t="s">
        <v>426</v>
      </c>
      <c r="D9515" t="s">
        <v>20084</v>
      </c>
    </row>
    <row r="9516" spans="1:4">
      <c r="A9516">
        <v>36498</v>
      </c>
      <c r="B9516" t="s">
        <v>10013</v>
      </c>
      <c r="C9516" t="s">
        <v>427</v>
      </c>
      <c r="D9516" t="s">
        <v>25704</v>
      </c>
    </row>
    <row r="9517" spans="1:4">
      <c r="A9517">
        <v>12872</v>
      </c>
      <c r="B9517" t="s">
        <v>13451</v>
      </c>
      <c r="C9517" t="s">
        <v>432</v>
      </c>
      <c r="D9517" t="s">
        <v>21866</v>
      </c>
    </row>
    <row r="9518" spans="1:4">
      <c r="A9518">
        <v>41075</v>
      </c>
      <c r="B9518" t="s">
        <v>10014</v>
      </c>
      <c r="C9518" t="s">
        <v>433</v>
      </c>
      <c r="D9518" t="s">
        <v>25705</v>
      </c>
    </row>
    <row r="9519" spans="1:4">
      <c r="A9519">
        <v>44324</v>
      </c>
      <c r="B9519" t="s">
        <v>10015</v>
      </c>
      <c r="C9519" t="s">
        <v>430</v>
      </c>
      <c r="D9519" t="s">
        <v>25090</v>
      </c>
    </row>
    <row r="9520" spans="1:4">
      <c r="A9520">
        <v>3315</v>
      </c>
      <c r="B9520" t="s">
        <v>10016</v>
      </c>
      <c r="C9520" t="s">
        <v>430</v>
      </c>
      <c r="D9520" t="s">
        <v>15479</v>
      </c>
    </row>
    <row r="9521" spans="1:4">
      <c r="A9521">
        <v>36870</v>
      </c>
      <c r="B9521" t="s">
        <v>10017</v>
      </c>
      <c r="C9521" t="s">
        <v>430</v>
      </c>
      <c r="D9521" t="s">
        <v>15526</v>
      </c>
    </row>
    <row r="9522" spans="1:4">
      <c r="A9522">
        <v>5092</v>
      </c>
      <c r="B9522" t="s">
        <v>10018</v>
      </c>
      <c r="C9522" t="s">
        <v>434</v>
      </c>
      <c r="D9522" t="s">
        <v>22815</v>
      </c>
    </row>
    <row r="9523" spans="1:4">
      <c r="A9523">
        <v>11462</v>
      </c>
      <c r="B9523" t="s">
        <v>10019</v>
      </c>
      <c r="C9523" t="s">
        <v>434</v>
      </c>
      <c r="D9523" t="s">
        <v>18108</v>
      </c>
    </row>
    <row r="9524" spans="1:4">
      <c r="A9524">
        <v>36529</v>
      </c>
      <c r="B9524" t="s">
        <v>10020</v>
      </c>
      <c r="C9524" t="s">
        <v>427</v>
      </c>
      <c r="D9524" t="s">
        <v>25706</v>
      </c>
    </row>
    <row r="9525" spans="1:4">
      <c r="A9525">
        <v>3318</v>
      </c>
      <c r="B9525" t="s">
        <v>10021</v>
      </c>
      <c r="C9525" t="s">
        <v>427</v>
      </c>
      <c r="D9525" t="s">
        <v>25707</v>
      </c>
    </row>
    <row r="9526" spans="1:4">
      <c r="A9526">
        <v>3324</v>
      </c>
      <c r="B9526" t="s">
        <v>10022</v>
      </c>
      <c r="C9526" t="s">
        <v>426</v>
      </c>
      <c r="D9526" t="s">
        <v>15998</v>
      </c>
    </row>
    <row r="9527" spans="1:4">
      <c r="A9527">
        <v>3322</v>
      </c>
      <c r="B9527" t="s">
        <v>10023</v>
      </c>
      <c r="C9527" t="s">
        <v>426</v>
      </c>
      <c r="D9527" t="s">
        <v>16637</v>
      </c>
    </row>
    <row r="9528" spans="1:4">
      <c r="A9528">
        <v>5076</v>
      </c>
      <c r="B9528" t="s">
        <v>10024</v>
      </c>
      <c r="C9528" t="s">
        <v>430</v>
      </c>
      <c r="D9528" t="s">
        <v>20717</v>
      </c>
    </row>
    <row r="9529" spans="1:4">
      <c r="A9529">
        <v>5077</v>
      </c>
      <c r="B9529" t="s">
        <v>10025</v>
      </c>
      <c r="C9529" t="s">
        <v>430</v>
      </c>
      <c r="D9529" t="s">
        <v>15529</v>
      </c>
    </row>
    <row r="9530" spans="1:4">
      <c r="A9530">
        <v>11837</v>
      </c>
      <c r="B9530" t="s">
        <v>10026</v>
      </c>
      <c r="C9530" t="s">
        <v>427</v>
      </c>
      <c r="D9530" t="s">
        <v>24093</v>
      </c>
    </row>
    <row r="9531" spans="1:4">
      <c r="A9531">
        <v>38055</v>
      </c>
      <c r="B9531" t="s">
        <v>10027</v>
      </c>
      <c r="C9531" t="s">
        <v>427</v>
      </c>
      <c r="D9531" t="s">
        <v>15770</v>
      </c>
    </row>
    <row r="9532" spans="1:4">
      <c r="A9532">
        <v>415</v>
      </c>
      <c r="B9532" t="s">
        <v>10028</v>
      </c>
      <c r="C9532" t="s">
        <v>427</v>
      </c>
      <c r="D9532" t="s">
        <v>22693</v>
      </c>
    </row>
    <row r="9533" spans="1:4">
      <c r="A9533">
        <v>416</v>
      </c>
      <c r="B9533" t="s">
        <v>10029</v>
      </c>
      <c r="C9533" t="s">
        <v>427</v>
      </c>
      <c r="D9533" t="s">
        <v>18066</v>
      </c>
    </row>
    <row r="9534" spans="1:4">
      <c r="A9534">
        <v>425</v>
      </c>
      <c r="B9534" t="s">
        <v>10030</v>
      </c>
      <c r="C9534" t="s">
        <v>427</v>
      </c>
      <c r="D9534" t="s">
        <v>19642</v>
      </c>
    </row>
    <row r="9535" spans="1:4">
      <c r="A9535">
        <v>426</v>
      </c>
      <c r="B9535" t="s">
        <v>10031</v>
      </c>
      <c r="C9535" t="s">
        <v>427</v>
      </c>
      <c r="D9535" t="s">
        <v>25708</v>
      </c>
    </row>
    <row r="9536" spans="1:4">
      <c r="A9536">
        <v>38056</v>
      </c>
      <c r="B9536" t="s">
        <v>10032</v>
      </c>
      <c r="C9536" t="s">
        <v>427</v>
      </c>
      <c r="D9536" t="s">
        <v>25709</v>
      </c>
    </row>
    <row r="9537" spans="1:4">
      <c r="A9537">
        <v>1564</v>
      </c>
      <c r="B9537" t="s">
        <v>10033</v>
      </c>
      <c r="C9537" t="s">
        <v>427</v>
      </c>
      <c r="D9537" t="s">
        <v>20653</v>
      </c>
    </row>
    <row r="9538" spans="1:4">
      <c r="A9538">
        <v>11032</v>
      </c>
      <c r="B9538" t="s">
        <v>10034</v>
      </c>
      <c r="C9538" t="s">
        <v>427</v>
      </c>
      <c r="D9538" t="s">
        <v>18221</v>
      </c>
    </row>
    <row r="9539" spans="1:4">
      <c r="A9539">
        <v>36786</v>
      </c>
      <c r="B9539" t="s">
        <v>10035</v>
      </c>
      <c r="C9539" t="s">
        <v>441</v>
      </c>
      <c r="D9539" t="s">
        <v>23272</v>
      </c>
    </row>
    <row r="9540" spans="1:4">
      <c r="A9540">
        <v>36785</v>
      </c>
      <c r="B9540" t="s">
        <v>10036</v>
      </c>
      <c r="C9540" t="s">
        <v>441</v>
      </c>
      <c r="D9540" t="s">
        <v>25710</v>
      </c>
    </row>
    <row r="9541" spans="1:4">
      <c r="A9541">
        <v>36782</v>
      </c>
      <c r="B9541" t="s">
        <v>10037</v>
      </c>
      <c r="C9541" t="s">
        <v>441</v>
      </c>
      <c r="D9541" t="s">
        <v>25711</v>
      </c>
    </row>
    <row r="9542" spans="1:4">
      <c r="A9542">
        <v>44481</v>
      </c>
      <c r="B9542" t="s">
        <v>13452</v>
      </c>
      <c r="C9542" t="s">
        <v>441</v>
      </c>
      <c r="D9542" t="s">
        <v>24056</v>
      </c>
    </row>
    <row r="9543" spans="1:4">
      <c r="A9543">
        <v>4824</v>
      </c>
      <c r="B9543" t="s">
        <v>10038</v>
      </c>
      <c r="C9543" t="s">
        <v>430</v>
      </c>
      <c r="D9543" t="s">
        <v>16661</v>
      </c>
    </row>
    <row r="9544" spans="1:4">
      <c r="A9544">
        <v>11795</v>
      </c>
      <c r="B9544" t="s">
        <v>10039</v>
      </c>
      <c r="C9544" t="s">
        <v>426</v>
      </c>
      <c r="D9544" t="s">
        <v>25712</v>
      </c>
    </row>
    <row r="9545" spans="1:4">
      <c r="A9545">
        <v>134</v>
      </c>
      <c r="B9545" t="s">
        <v>10040</v>
      </c>
      <c r="C9545" t="s">
        <v>430</v>
      </c>
      <c r="D9545" t="s">
        <v>24583</v>
      </c>
    </row>
    <row r="9546" spans="1:4">
      <c r="A9546">
        <v>4229</v>
      </c>
      <c r="B9546" t="s">
        <v>10041</v>
      </c>
      <c r="C9546" t="s">
        <v>430</v>
      </c>
      <c r="D9546" t="s">
        <v>18944</v>
      </c>
    </row>
    <row r="9547" spans="1:4">
      <c r="A9547">
        <v>11731</v>
      </c>
      <c r="B9547" t="s">
        <v>10042</v>
      </c>
      <c r="C9547" t="s">
        <v>427</v>
      </c>
      <c r="D9547" t="s">
        <v>15170</v>
      </c>
    </row>
    <row r="9548" spans="1:4">
      <c r="A9548">
        <v>11732</v>
      </c>
      <c r="B9548" t="s">
        <v>10043</v>
      </c>
      <c r="C9548" t="s">
        <v>427</v>
      </c>
      <c r="D9548" t="s">
        <v>25713</v>
      </c>
    </row>
    <row r="9549" spans="1:4">
      <c r="A9549">
        <v>11244</v>
      </c>
      <c r="B9549" t="s">
        <v>10044</v>
      </c>
      <c r="C9549" t="s">
        <v>427</v>
      </c>
      <c r="D9549" t="s">
        <v>25714</v>
      </c>
    </row>
    <row r="9550" spans="1:4">
      <c r="A9550">
        <v>11245</v>
      </c>
      <c r="B9550" t="s">
        <v>10045</v>
      </c>
      <c r="C9550" t="s">
        <v>427</v>
      </c>
      <c r="D9550" t="s">
        <v>25715</v>
      </c>
    </row>
    <row r="9551" spans="1:4">
      <c r="A9551">
        <v>11235</v>
      </c>
      <c r="B9551" t="s">
        <v>10046</v>
      </c>
      <c r="C9551" t="s">
        <v>427</v>
      </c>
      <c r="D9551" t="s">
        <v>25716</v>
      </c>
    </row>
    <row r="9552" spans="1:4">
      <c r="A9552">
        <v>11236</v>
      </c>
      <c r="B9552" t="s">
        <v>10047</v>
      </c>
      <c r="C9552" t="s">
        <v>427</v>
      </c>
      <c r="D9552" t="s">
        <v>25717</v>
      </c>
    </row>
    <row r="9553" spans="1:4">
      <c r="A9553">
        <v>36494</v>
      </c>
      <c r="B9553" t="s">
        <v>10048</v>
      </c>
      <c r="C9553" t="s">
        <v>427</v>
      </c>
      <c r="D9553" t="s">
        <v>25718</v>
      </c>
    </row>
    <row r="9554" spans="1:4">
      <c r="A9554">
        <v>36493</v>
      </c>
      <c r="B9554" t="s">
        <v>10049</v>
      </c>
      <c r="C9554" t="s">
        <v>427</v>
      </c>
      <c r="D9554" t="s">
        <v>25719</v>
      </c>
    </row>
    <row r="9555" spans="1:4">
      <c r="A9555">
        <v>36492</v>
      </c>
      <c r="B9555" t="s">
        <v>10050</v>
      </c>
      <c r="C9555" t="s">
        <v>427</v>
      </c>
      <c r="D9555" t="s">
        <v>25720</v>
      </c>
    </row>
    <row r="9556" spans="1:4">
      <c r="A9556">
        <v>13333</v>
      </c>
      <c r="B9556" t="s">
        <v>10051</v>
      </c>
      <c r="C9556" t="s">
        <v>427</v>
      </c>
      <c r="D9556" t="s">
        <v>25721</v>
      </c>
    </row>
    <row r="9557" spans="1:4">
      <c r="A9557">
        <v>13533</v>
      </c>
      <c r="B9557" t="s">
        <v>10052</v>
      </c>
      <c r="C9557" t="s">
        <v>427</v>
      </c>
      <c r="D9557" t="s">
        <v>25722</v>
      </c>
    </row>
    <row r="9558" spans="1:4">
      <c r="A9558">
        <v>36499</v>
      </c>
      <c r="B9558" t="s">
        <v>10053</v>
      </c>
      <c r="C9558" t="s">
        <v>427</v>
      </c>
      <c r="D9558" t="s">
        <v>25723</v>
      </c>
    </row>
    <row r="9559" spans="1:4">
      <c r="A9559">
        <v>39585</v>
      </c>
      <c r="B9559" t="s">
        <v>10054</v>
      </c>
      <c r="C9559" t="s">
        <v>427</v>
      </c>
      <c r="D9559" t="s">
        <v>25724</v>
      </c>
    </row>
    <row r="9560" spans="1:4">
      <c r="A9560">
        <v>39586</v>
      </c>
      <c r="B9560" t="s">
        <v>10055</v>
      </c>
      <c r="C9560" t="s">
        <v>427</v>
      </c>
      <c r="D9560" t="s">
        <v>25725</v>
      </c>
    </row>
    <row r="9561" spans="1:4">
      <c r="A9561">
        <v>39587</v>
      </c>
      <c r="B9561" t="s">
        <v>10056</v>
      </c>
      <c r="C9561" t="s">
        <v>427</v>
      </c>
      <c r="D9561" t="s">
        <v>25726</v>
      </c>
    </row>
    <row r="9562" spans="1:4">
      <c r="A9562">
        <v>39588</v>
      </c>
      <c r="B9562" t="s">
        <v>10057</v>
      </c>
      <c r="C9562" t="s">
        <v>427</v>
      </c>
      <c r="D9562" t="s">
        <v>25727</v>
      </c>
    </row>
    <row r="9563" spans="1:4">
      <c r="A9563">
        <v>39584</v>
      </c>
      <c r="B9563" t="s">
        <v>10058</v>
      </c>
      <c r="C9563" t="s">
        <v>427</v>
      </c>
      <c r="D9563" t="s">
        <v>25728</v>
      </c>
    </row>
    <row r="9564" spans="1:4">
      <c r="A9564">
        <v>39590</v>
      </c>
      <c r="B9564" t="s">
        <v>10059</v>
      </c>
      <c r="C9564" t="s">
        <v>427</v>
      </c>
      <c r="D9564" t="s">
        <v>25729</v>
      </c>
    </row>
    <row r="9565" spans="1:4">
      <c r="A9565">
        <v>39592</v>
      </c>
      <c r="B9565" t="s">
        <v>10060</v>
      </c>
      <c r="C9565" t="s">
        <v>427</v>
      </c>
      <c r="D9565" t="s">
        <v>25730</v>
      </c>
    </row>
    <row r="9566" spans="1:4">
      <c r="A9566">
        <v>39593</v>
      </c>
      <c r="B9566" t="s">
        <v>10061</v>
      </c>
      <c r="C9566" t="s">
        <v>427</v>
      </c>
      <c r="D9566" t="s">
        <v>25726</v>
      </c>
    </row>
    <row r="9567" spans="1:4">
      <c r="A9567">
        <v>14254</v>
      </c>
      <c r="B9567" t="s">
        <v>10062</v>
      </c>
      <c r="C9567" t="s">
        <v>427</v>
      </c>
      <c r="D9567" t="s">
        <v>25731</v>
      </c>
    </row>
    <row r="9568" spans="1:4">
      <c r="A9568">
        <v>44494</v>
      </c>
      <c r="B9568" t="s">
        <v>13453</v>
      </c>
      <c r="C9568" t="s">
        <v>427</v>
      </c>
      <c r="D9568" t="s">
        <v>25732</v>
      </c>
    </row>
    <row r="9569" spans="1:4">
      <c r="A9569">
        <v>25019</v>
      </c>
      <c r="B9569" t="s">
        <v>10063</v>
      </c>
      <c r="C9569" t="s">
        <v>427</v>
      </c>
      <c r="D9569" t="s">
        <v>25733</v>
      </c>
    </row>
    <row r="9570" spans="1:4">
      <c r="A9570">
        <v>36501</v>
      </c>
      <c r="B9570" t="s">
        <v>10064</v>
      </c>
      <c r="C9570" t="s">
        <v>427</v>
      </c>
      <c r="D9570" t="s">
        <v>25734</v>
      </c>
    </row>
    <row r="9571" spans="1:4">
      <c r="A9571">
        <v>44493</v>
      </c>
      <c r="B9571" t="s">
        <v>13454</v>
      </c>
      <c r="C9571" t="s">
        <v>427</v>
      </c>
      <c r="D9571" t="s">
        <v>25735</v>
      </c>
    </row>
    <row r="9572" spans="1:4">
      <c r="A9572">
        <v>36500</v>
      </c>
      <c r="B9572" t="s">
        <v>10065</v>
      </c>
      <c r="C9572" t="s">
        <v>427</v>
      </c>
      <c r="D9572" t="s">
        <v>25736</v>
      </c>
    </row>
    <row r="9573" spans="1:4">
      <c r="A9573">
        <v>20017</v>
      </c>
      <c r="B9573" t="s">
        <v>10066</v>
      </c>
      <c r="C9573" t="s">
        <v>429</v>
      </c>
      <c r="D9573" t="s">
        <v>14755</v>
      </c>
    </row>
    <row r="9574" spans="1:4">
      <c r="A9574">
        <v>20007</v>
      </c>
      <c r="B9574" t="s">
        <v>10067</v>
      </c>
      <c r="C9574" t="s">
        <v>429</v>
      </c>
      <c r="D9574" t="s">
        <v>20139</v>
      </c>
    </row>
    <row r="9575" spans="1:4">
      <c r="A9575">
        <v>39831</v>
      </c>
      <c r="B9575" t="s">
        <v>10068</v>
      </c>
      <c r="C9575" t="s">
        <v>435</v>
      </c>
      <c r="D9575" t="s">
        <v>25737</v>
      </c>
    </row>
    <row r="9576" spans="1:4">
      <c r="A9576">
        <v>36888</v>
      </c>
      <c r="B9576" t="s">
        <v>10069</v>
      </c>
      <c r="C9576" t="s">
        <v>429</v>
      </c>
      <c r="D9576" t="s">
        <v>25738</v>
      </c>
    </row>
    <row r="9577" spans="1:4">
      <c r="A9577">
        <v>39836</v>
      </c>
      <c r="B9577" t="s">
        <v>10070</v>
      </c>
      <c r="C9577" t="s">
        <v>435</v>
      </c>
      <c r="D9577" t="s">
        <v>25739</v>
      </c>
    </row>
    <row r="9578" spans="1:4">
      <c r="A9578">
        <v>39830</v>
      </c>
      <c r="B9578" t="s">
        <v>10071</v>
      </c>
      <c r="C9578" t="s">
        <v>435</v>
      </c>
      <c r="D9578" t="s">
        <v>25740</v>
      </c>
    </row>
    <row r="9579" spans="1:4">
      <c r="A9579">
        <v>40527</v>
      </c>
      <c r="B9579" t="s">
        <v>10072</v>
      </c>
      <c r="C9579" t="s">
        <v>427</v>
      </c>
      <c r="D9579" t="s">
        <v>25741</v>
      </c>
    </row>
    <row r="9580" spans="1:4">
      <c r="A9580">
        <v>36497</v>
      </c>
      <c r="B9580" t="s">
        <v>10073</v>
      </c>
      <c r="C9580" t="s">
        <v>427</v>
      </c>
      <c r="D9580" t="s">
        <v>25742</v>
      </c>
    </row>
    <row r="9581" spans="1:4">
      <c r="A9581">
        <v>36487</v>
      </c>
      <c r="B9581" t="s">
        <v>10074</v>
      </c>
      <c r="C9581" t="s">
        <v>427</v>
      </c>
      <c r="D9581" t="s">
        <v>25743</v>
      </c>
    </row>
    <row r="9582" spans="1:4">
      <c r="A9582">
        <v>44475</v>
      </c>
      <c r="B9582" t="s">
        <v>10075</v>
      </c>
      <c r="C9582" t="s">
        <v>427</v>
      </c>
      <c r="D9582" t="s">
        <v>25744</v>
      </c>
    </row>
    <row r="9583" spans="1:4">
      <c r="A9583">
        <v>44474</v>
      </c>
      <c r="B9583" t="s">
        <v>10076</v>
      </c>
      <c r="C9583" t="s">
        <v>427</v>
      </c>
      <c r="D9583" t="s">
        <v>25745</v>
      </c>
    </row>
    <row r="9584" spans="1:4">
      <c r="A9584">
        <v>44490</v>
      </c>
      <c r="B9584" t="s">
        <v>13455</v>
      </c>
      <c r="C9584" t="s">
        <v>427</v>
      </c>
      <c r="D9584" t="s">
        <v>25746</v>
      </c>
    </row>
    <row r="9585" spans="1:4">
      <c r="A9585">
        <v>37776</v>
      </c>
      <c r="B9585" t="s">
        <v>10077</v>
      </c>
      <c r="C9585" t="s">
        <v>427</v>
      </c>
      <c r="D9585" t="s">
        <v>25747</v>
      </c>
    </row>
    <row r="9586" spans="1:4">
      <c r="A9586">
        <v>37775</v>
      </c>
      <c r="B9586" t="s">
        <v>10078</v>
      </c>
      <c r="C9586" t="s">
        <v>427</v>
      </c>
      <c r="D9586" t="s">
        <v>25748</v>
      </c>
    </row>
    <row r="9587" spans="1:4">
      <c r="A9587">
        <v>36491</v>
      </c>
      <c r="B9587" t="s">
        <v>10079</v>
      </c>
      <c r="C9587" t="s">
        <v>427</v>
      </c>
      <c r="D9587" t="s">
        <v>25749</v>
      </c>
    </row>
    <row r="9588" spans="1:4">
      <c r="A9588">
        <v>10712</v>
      </c>
      <c r="B9588" t="s">
        <v>10080</v>
      </c>
      <c r="C9588" t="s">
        <v>427</v>
      </c>
      <c r="D9588" t="s">
        <v>25750</v>
      </c>
    </row>
    <row r="9589" spans="1:4">
      <c r="A9589">
        <v>3363</v>
      </c>
      <c r="B9589" t="s">
        <v>10081</v>
      </c>
      <c r="C9589" t="s">
        <v>427</v>
      </c>
      <c r="D9589" t="s">
        <v>25751</v>
      </c>
    </row>
    <row r="9590" spans="1:4">
      <c r="A9590">
        <v>3365</v>
      </c>
      <c r="B9590" t="s">
        <v>10082</v>
      </c>
      <c r="C9590" t="s">
        <v>427</v>
      </c>
      <c r="D9590" t="s">
        <v>25752</v>
      </c>
    </row>
    <row r="9591" spans="1:4">
      <c r="A9591">
        <v>7569</v>
      </c>
      <c r="B9591" t="s">
        <v>10083</v>
      </c>
      <c r="C9591" t="s">
        <v>427</v>
      </c>
      <c r="D9591" t="s">
        <v>25753</v>
      </c>
    </row>
    <row r="9592" spans="1:4">
      <c r="A9592">
        <v>34349</v>
      </c>
      <c r="B9592" t="s">
        <v>10084</v>
      </c>
      <c r="C9592" t="s">
        <v>427</v>
      </c>
      <c r="D9592" t="s">
        <v>25325</v>
      </c>
    </row>
    <row r="9593" spans="1:4">
      <c r="A9593">
        <v>11991</v>
      </c>
      <c r="B9593" t="s">
        <v>10085</v>
      </c>
      <c r="C9593" t="s">
        <v>427</v>
      </c>
      <c r="D9593" t="s">
        <v>22791</v>
      </c>
    </row>
    <row r="9594" spans="1:4">
      <c r="A9594">
        <v>20062</v>
      </c>
      <c r="B9594" t="s">
        <v>10086</v>
      </c>
      <c r="C9594" t="s">
        <v>427</v>
      </c>
      <c r="D9594" t="s">
        <v>16921</v>
      </c>
    </row>
    <row r="9595" spans="1:4">
      <c r="A9595">
        <v>11029</v>
      </c>
      <c r="B9595" t="s">
        <v>10087</v>
      </c>
      <c r="C9595" t="s">
        <v>438</v>
      </c>
      <c r="D9595" t="s">
        <v>25754</v>
      </c>
    </row>
    <row r="9596" spans="1:4">
      <c r="A9596">
        <v>4316</v>
      </c>
      <c r="B9596" t="s">
        <v>10088</v>
      </c>
      <c r="C9596" t="s">
        <v>427</v>
      </c>
      <c r="D9596" t="s">
        <v>24756</v>
      </c>
    </row>
    <row r="9597" spans="1:4">
      <c r="A9597">
        <v>4313</v>
      </c>
      <c r="B9597" t="s">
        <v>10089</v>
      </c>
      <c r="C9597" t="s">
        <v>438</v>
      </c>
      <c r="D9597" t="s">
        <v>25588</v>
      </c>
    </row>
    <row r="9598" spans="1:4">
      <c r="A9598">
        <v>4317</v>
      </c>
      <c r="B9598" t="s">
        <v>10090</v>
      </c>
      <c r="C9598" t="s">
        <v>427</v>
      </c>
      <c r="D9598" t="s">
        <v>15221</v>
      </c>
    </row>
    <row r="9599" spans="1:4">
      <c r="A9599">
        <v>4314</v>
      </c>
      <c r="B9599" t="s">
        <v>10091</v>
      </c>
      <c r="C9599" t="s">
        <v>438</v>
      </c>
      <c r="D9599" t="s">
        <v>19644</v>
      </c>
    </row>
    <row r="9600" spans="1:4">
      <c r="A9600">
        <v>10921</v>
      </c>
      <c r="B9600" t="s">
        <v>10092</v>
      </c>
      <c r="C9600" t="s">
        <v>427</v>
      </c>
      <c r="D9600" t="s">
        <v>25755</v>
      </c>
    </row>
    <row r="9601" spans="1:4">
      <c r="A9601">
        <v>10922</v>
      </c>
      <c r="B9601" t="s">
        <v>10093</v>
      </c>
      <c r="C9601" t="s">
        <v>427</v>
      </c>
      <c r="D9601" t="s">
        <v>25756</v>
      </c>
    </row>
    <row r="9602" spans="1:4">
      <c r="A9602">
        <v>10923</v>
      </c>
      <c r="B9602" t="s">
        <v>10094</v>
      </c>
      <c r="C9602" t="s">
        <v>427</v>
      </c>
      <c r="D9602" t="s">
        <v>25757</v>
      </c>
    </row>
    <row r="9603" spans="1:4">
      <c r="A9603">
        <v>10924</v>
      </c>
      <c r="B9603" t="s">
        <v>10095</v>
      </c>
      <c r="C9603" t="s">
        <v>427</v>
      </c>
      <c r="D9603" t="s">
        <v>25758</v>
      </c>
    </row>
    <row r="9604" spans="1:4">
      <c r="A9604">
        <v>37772</v>
      </c>
      <c r="B9604" t="s">
        <v>10096</v>
      </c>
      <c r="C9604" t="s">
        <v>427</v>
      </c>
      <c r="D9604" t="s">
        <v>25759</v>
      </c>
    </row>
    <row r="9605" spans="1:4">
      <c r="A9605">
        <v>37771</v>
      </c>
      <c r="B9605" t="s">
        <v>10097</v>
      </c>
      <c r="C9605" t="s">
        <v>427</v>
      </c>
      <c r="D9605" t="s">
        <v>25760</v>
      </c>
    </row>
    <row r="9606" spans="1:4">
      <c r="A9606">
        <v>12772</v>
      </c>
      <c r="B9606" t="s">
        <v>10098</v>
      </c>
      <c r="C9606" t="s">
        <v>427</v>
      </c>
      <c r="D9606" t="s">
        <v>25761</v>
      </c>
    </row>
    <row r="9607" spans="1:4">
      <c r="A9607">
        <v>12770</v>
      </c>
      <c r="B9607" t="s">
        <v>10099</v>
      </c>
      <c r="C9607" t="s">
        <v>427</v>
      </c>
      <c r="D9607" t="s">
        <v>25762</v>
      </c>
    </row>
    <row r="9608" spans="1:4">
      <c r="A9608">
        <v>12775</v>
      </c>
      <c r="B9608" t="s">
        <v>10100</v>
      </c>
      <c r="C9608" t="s">
        <v>427</v>
      </c>
      <c r="D9608" t="s">
        <v>25763</v>
      </c>
    </row>
    <row r="9609" spans="1:4">
      <c r="A9609">
        <v>12768</v>
      </c>
      <c r="B9609" t="s">
        <v>10101</v>
      </c>
      <c r="C9609" t="s">
        <v>427</v>
      </c>
      <c r="D9609" t="s">
        <v>25764</v>
      </c>
    </row>
    <row r="9610" spans="1:4">
      <c r="A9610">
        <v>12769</v>
      </c>
      <c r="B9610" t="s">
        <v>10102</v>
      </c>
      <c r="C9610" t="s">
        <v>427</v>
      </c>
      <c r="D9610" t="s">
        <v>23734</v>
      </c>
    </row>
    <row r="9611" spans="1:4">
      <c r="A9611">
        <v>12773</v>
      </c>
      <c r="B9611" t="s">
        <v>10103</v>
      </c>
      <c r="C9611" t="s">
        <v>427</v>
      </c>
      <c r="D9611" t="s">
        <v>25765</v>
      </c>
    </row>
    <row r="9612" spans="1:4">
      <c r="A9612">
        <v>12774</v>
      </c>
      <c r="B9612" t="s">
        <v>10104</v>
      </c>
      <c r="C9612" t="s">
        <v>427</v>
      </c>
      <c r="D9612" t="s">
        <v>25766</v>
      </c>
    </row>
    <row r="9613" spans="1:4">
      <c r="A9613">
        <v>12776</v>
      </c>
      <c r="B9613" t="s">
        <v>10105</v>
      </c>
      <c r="C9613" t="s">
        <v>427</v>
      </c>
      <c r="D9613" t="s">
        <v>25767</v>
      </c>
    </row>
    <row r="9614" spans="1:4">
      <c r="A9614">
        <v>12777</v>
      </c>
      <c r="B9614" t="s">
        <v>10106</v>
      </c>
      <c r="C9614" t="s">
        <v>427</v>
      </c>
      <c r="D9614" t="s">
        <v>25768</v>
      </c>
    </row>
    <row r="9615" spans="1:4">
      <c r="A9615">
        <v>3391</v>
      </c>
      <c r="B9615" t="s">
        <v>10107</v>
      </c>
      <c r="C9615" t="s">
        <v>427</v>
      </c>
      <c r="D9615" t="s">
        <v>19090</v>
      </c>
    </row>
    <row r="9616" spans="1:4">
      <c r="A9616">
        <v>3389</v>
      </c>
      <c r="B9616" t="s">
        <v>10108</v>
      </c>
      <c r="C9616" t="s">
        <v>427</v>
      </c>
      <c r="D9616" t="s">
        <v>25769</v>
      </c>
    </row>
    <row r="9617" spans="1:4">
      <c r="A9617">
        <v>3390</v>
      </c>
      <c r="B9617" t="s">
        <v>10109</v>
      </c>
      <c r="C9617" t="s">
        <v>427</v>
      </c>
      <c r="D9617" t="s">
        <v>18491</v>
      </c>
    </row>
    <row r="9618" spans="1:4">
      <c r="A9618">
        <v>12873</v>
      </c>
      <c r="B9618" t="s">
        <v>13456</v>
      </c>
      <c r="C9618" t="s">
        <v>432</v>
      </c>
      <c r="D9618" t="s">
        <v>17565</v>
      </c>
    </row>
    <row r="9619" spans="1:4">
      <c r="A9619">
        <v>41076</v>
      </c>
      <c r="B9619" t="s">
        <v>10110</v>
      </c>
      <c r="C9619" t="s">
        <v>433</v>
      </c>
      <c r="D9619" t="s">
        <v>25770</v>
      </c>
    </row>
    <row r="9620" spans="1:4">
      <c r="A9620">
        <v>140</v>
      </c>
      <c r="B9620" t="s">
        <v>10111</v>
      </c>
      <c r="C9620" t="s">
        <v>430</v>
      </c>
      <c r="D9620" t="s">
        <v>17487</v>
      </c>
    </row>
    <row r="9621" spans="1:4">
      <c r="A9621">
        <v>151</v>
      </c>
      <c r="B9621" t="s">
        <v>10112</v>
      </c>
      <c r="C9621" t="s">
        <v>428</v>
      </c>
      <c r="D9621" t="s">
        <v>19012</v>
      </c>
    </row>
    <row r="9622" spans="1:4">
      <c r="A9622">
        <v>7340</v>
      </c>
      <c r="B9622" t="s">
        <v>10113</v>
      </c>
      <c r="C9622" t="s">
        <v>428</v>
      </c>
      <c r="D9622" t="s">
        <v>25771</v>
      </c>
    </row>
    <row r="9623" spans="1:4">
      <c r="A9623">
        <v>2701</v>
      </c>
      <c r="B9623" t="s">
        <v>10114</v>
      </c>
      <c r="C9623" t="s">
        <v>432</v>
      </c>
      <c r="D9623" t="s">
        <v>25772</v>
      </c>
    </row>
    <row r="9624" spans="1:4">
      <c r="A9624">
        <v>40929</v>
      </c>
      <c r="B9624" t="s">
        <v>10115</v>
      </c>
      <c r="C9624" t="s">
        <v>433</v>
      </c>
      <c r="D9624" t="s">
        <v>25773</v>
      </c>
    </row>
    <row r="9625" spans="1:4">
      <c r="A9625">
        <v>38114</v>
      </c>
      <c r="B9625" t="s">
        <v>10116</v>
      </c>
      <c r="C9625" t="s">
        <v>427</v>
      </c>
      <c r="D9625" t="s">
        <v>17945</v>
      </c>
    </row>
    <row r="9626" spans="1:4">
      <c r="A9626">
        <v>38064</v>
      </c>
      <c r="B9626" t="s">
        <v>10117</v>
      </c>
      <c r="C9626" t="s">
        <v>427</v>
      </c>
      <c r="D9626" t="s">
        <v>22730</v>
      </c>
    </row>
    <row r="9627" spans="1:4">
      <c r="A9627">
        <v>38115</v>
      </c>
      <c r="B9627" t="s">
        <v>10118</v>
      </c>
      <c r="C9627" t="s">
        <v>427</v>
      </c>
      <c r="D9627" t="s">
        <v>19219</v>
      </c>
    </row>
    <row r="9628" spans="1:4">
      <c r="A9628">
        <v>38065</v>
      </c>
      <c r="B9628" t="s">
        <v>10119</v>
      </c>
      <c r="C9628" t="s">
        <v>427</v>
      </c>
      <c r="D9628" t="s">
        <v>25774</v>
      </c>
    </row>
    <row r="9629" spans="1:4">
      <c r="A9629">
        <v>38078</v>
      </c>
      <c r="B9629" t="s">
        <v>10120</v>
      </c>
      <c r="C9629" t="s">
        <v>427</v>
      </c>
      <c r="D9629" t="s">
        <v>16890</v>
      </c>
    </row>
    <row r="9630" spans="1:4">
      <c r="A9630">
        <v>38113</v>
      </c>
      <c r="B9630" t="s">
        <v>10121</v>
      </c>
      <c r="C9630" t="s">
        <v>427</v>
      </c>
      <c r="D9630" t="s">
        <v>23124</v>
      </c>
    </row>
    <row r="9631" spans="1:4">
      <c r="A9631">
        <v>38063</v>
      </c>
      <c r="B9631" t="s">
        <v>10122</v>
      </c>
      <c r="C9631" t="s">
        <v>427</v>
      </c>
      <c r="D9631" t="s">
        <v>15839</v>
      </c>
    </row>
    <row r="9632" spans="1:4">
      <c r="A9632">
        <v>38080</v>
      </c>
      <c r="B9632" t="s">
        <v>10123</v>
      </c>
      <c r="C9632" t="s">
        <v>427</v>
      </c>
      <c r="D9632" t="s">
        <v>25775</v>
      </c>
    </row>
    <row r="9633" spans="1:4">
      <c r="A9633">
        <v>38069</v>
      </c>
      <c r="B9633" t="s">
        <v>10124</v>
      </c>
      <c r="C9633" t="s">
        <v>427</v>
      </c>
      <c r="D9633" t="s">
        <v>16973</v>
      </c>
    </row>
    <row r="9634" spans="1:4">
      <c r="A9634">
        <v>38077</v>
      </c>
      <c r="B9634" t="s">
        <v>10125</v>
      </c>
      <c r="C9634" t="s">
        <v>427</v>
      </c>
      <c r="D9634" t="s">
        <v>17178</v>
      </c>
    </row>
    <row r="9635" spans="1:4">
      <c r="A9635">
        <v>38073</v>
      </c>
      <c r="B9635" t="s">
        <v>10126</v>
      </c>
      <c r="C9635" t="s">
        <v>427</v>
      </c>
      <c r="D9635" t="s">
        <v>23183</v>
      </c>
    </row>
    <row r="9636" spans="1:4">
      <c r="A9636">
        <v>38112</v>
      </c>
      <c r="B9636" t="s">
        <v>10127</v>
      </c>
      <c r="C9636" t="s">
        <v>427</v>
      </c>
      <c r="D9636" t="s">
        <v>15687</v>
      </c>
    </row>
    <row r="9637" spans="1:4">
      <c r="A9637">
        <v>38062</v>
      </c>
      <c r="B9637" t="s">
        <v>10128</v>
      </c>
      <c r="C9637" t="s">
        <v>427</v>
      </c>
      <c r="D9637" t="s">
        <v>15716</v>
      </c>
    </row>
    <row r="9638" spans="1:4">
      <c r="A9638">
        <v>12128</v>
      </c>
      <c r="B9638" t="s">
        <v>10129</v>
      </c>
      <c r="C9638" t="s">
        <v>427</v>
      </c>
      <c r="D9638" t="s">
        <v>18270</v>
      </c>
    </row>
    <row r="9639" spans="1:4">
      <c r="A9639">
        <v>12129</v>
      </c>
      <c r="B9639" t="s">
        <v>10130</v>
      </c>
      <c r="C9639" t="s">
        <v>427</v>
      </c>
      <c r="D9639" t="s">
        <v>17180</v>
      </c>
    </row>
    <row r="9640" spans="1:4">
      <c r="A9640">
        <v>38081</v>
      </c>
      <c r="B9640" t="s">
        <v>10131</v>
      </c>
      <c r="C9640" t="s">
        <v>427</v>
      </c>
      <c r="D9640" t="s">
        <v>18491</v>
      </c>
    </row>
    <row r="9641" spans="1:4">
      <c r="A9641">
        <v>38070</v>
      </c>
      <c r="B9641" t="s">
        <v>10132</v>
      </c>
      <c r="C9641" t="s">
        <v>427</v>
      </c>
      <c r="D9641" t="s">
        <v>17717</v>
      </c>
    </row>
    <row r="9642" spans="1:4">
      <c r="A9642">
        <v>38074</v>
      </c>
      <c r="B9642" t="s">
        <v>10133</v>
      </c>
      <c r="C9642" t="s">
        <v>427</v>
      </c>
      <c r="D9642" t="s">
        <v>15801</v>
      </c>
    </row>
    <row r="9643" spans="1:4">
      <c r="A9643">
        <v>38079</v>
      </c>
      <c r="B9643" t="s">
        <v>10134</v>
      </c>
      <c r="C9643" t="s">
        <v>427</v>
      </c>
      <c r="D9643" t="s">
        <v>22879</v>
      </c>
    </row>
    <row r="9644" spans="1:4">
      <c r="A9644">
        <v>38072</v>
      </c>
      <c r="B9644" t="s">
        <v>10135</v>
      </c>
      <c r="C9644" t="s">
        <v>427</v>
      </c>
      <c r="D9644" t="s">
        <v>23620</v>
      </c>
    </row>
    <row r="9645" spans="1:4">
      <c r="A9645">
        <v>38068</v>
      </c>
      <c r="B9645" t="s">
        <v>10136</v>
      </c>
      <c r="C9645" t="s">
        <v>427</v>
      </c>
      <c r="D9645" t="s">
        <v>18033</v>
      </c>
    </row>
    <row r="9646" spans="1:4">
      <c r="A9646">
        <v>38071</v>
      </c>
      <c r="B9646" t="s">
        <v>10137</v>
      </c>
      <c r="C9646" t="s">
        <v>427</v>
      </c>
      <c r="D9646" t="s">
        <v>16327</v>
      </c>
    </row>
    <row r="9647" spans="1:4">
      <c r="A9647">
        <v>38412</v>
      </c>
      <c r="B9647" t="s">
        <v>10138</v>
      </c>
      <c r="C9647" t="s">
        <v>427</v>
      </c>
      <c r="D9647" t="s">
        <v>25776</v>
      </c>
    </row>
    <row r="9648" spans="1:4">
      <c r="A9648">
        <v>3405</v>
      </c>
      <c r="B9648" t="s">
        <v>10139</v>
      </c>
      <c r="C9648" t="s">
        <v>427</v>
      </c>
      <c r="D9648" t="s">
        <v>25777</v>
      </c>
    </row>
    <row r="9649" spans="1:4">
      <c r="A9649">
        <v>3394</v>
      </c>
      <c r="B9649" t="s">
        <v>10140</v>
      </c>
      <c r="C9649" t="s">
        <v>427</v>
      </c>
      <c r="D9649" t="s">
        <v>25778</v>
      </c>
    </row>
    <row r="9650" spans="1:4">
      <c r="A9650">
        <v>3393</v>
      </c>
      <c r="B9650" t="s">
        <v>10141</v>
      </c>
      <c r="C9650" t="s">
        <v>427</v>
      </c>
      <c r="D9650" t="s">
        <v>25779</v>
      </c>
    </row>
    <row r="9651" spans="1:4">
      <c r="A9651">
        <v>3406</v>
      </c>
      <c r="B9651" t="s">
        <v>10142</v>
      </c>
      <c r="C9651" t="s">
        <v>427</v>
      </c>
      <c r="D9651" t="s">
        <v>25780</v>
      </c>
    </row>
    <row r="9652" spans="1:4">
      <c r="A9652">
        <v>3395</v>
      </c>
      <c r="B9652" t="s">
        <v>10143</v>
      </c>
      <c r="C9652" t="s">
        <v>427</v>
      </c>
      <c r="D9652" t="s">
        <v>25781</v>
      </c>
    </row>
    <row r="9653" spans="1:4">
      <c r="A9653">
        <v>3398</v>
      </c>
      <c r="B9653" t="s">
        <v>10144</v>
      </c>
      <c r="C9653" t="s">
        <v>427</v>
      </c>
      <c r="D9653" t="s">
        <v>24328</v>
      </c>
    </row>
    <row r="9654" spans="1:4">
      <c r="A9654">
        <v>40662</v>
      </c>
      <c r="B9654" t="s">
        <v>10145</v>
      </c>
      <c r="C9654" t="s">
        <v>427</v>
      </c>
      <c r="D9654" t="s">
        <v>25782</v>
      </c>
    </row>
    <row r="9655" spans="1:4">
      <c r="A9655">
        <v>3437</v>
      </c>
      <c r="B9655" t="s">
        <v>10146</v>
      </c>
      <c r="C9655" t="s">
        <v>426</v>
      </c>
      <c r="D9655" t="s">
        <v>25783</v>
      </c>
    </row>
    <row r="9656" spans="1:4">
      <c r="A9656">
        <v>11190</v>
      </c>
      <c r="B9656" t="s">
        <v>10147</v>
      </c>
      <c r="C9656" t="s">
        <v>427</v>
      </c>
      <c r="D9656" t="s">
        <v>25784</v>
      </c>
    </row>
    <row r="9657" spans="1:4">
      <c r="A9657">
        <v>34377</v>
      </c>
      <c r="B9657" t="s">
        <v>10148</v>
      </c>
      <c r="C9657" t="s">
        <v>427</v>
      </c>
      <c r="D9657" t="s">
        <v>25785</v>
      </c>
    </row>
    <row r="9658" spans="1:4">
      <c r="A9658">
        <v>3428</v>
      </c>
      <c r="B9658" t="s">
        <v>10149</v>
      </c>
      <c r="C9658" t="s">
        <v>426</v>
      </c>
      <c r="D9658" t="s">
        <v>25786</v>
      </c>
    </row>
    <row r="9659" spans="1:4">
      <c r="A9659">
        <v>3429</v>
      </c>
      <c r="B9659" t="s">
        <v>10150</v>
      </c>
      <c r="C9659" t="s">
        <v>426</v>
      </c>
      <c r="D9659" t="s">
        <v>25787</v>
      </c>
    </row>
    <row r="9660" spans="1:4">
      <c r="A9660">
        <v>34364</v>
      </c>
      <c r="B9660" t="s">
        <v>10151</v>
      </c>
      <c r="C9660" t="s">
        <v>427</v>
      </c>
      <c r="D9660" t="s">
        <v>25788</v>
      </c>
    </row>
    <row r="9661" spans="1:4">
      <c r="A9661">
        <v>34369</v>
      </c>
      <c r="B9661" t="s">
        <v>10152</v>
      </c>
      <c r="C9661" t="s">
        <v>427</v>
      </c>
      <c r="D9661" t="s">
        <v>25789</v>
      </c>
    </row>
    <row r="9662" spans="1:4">
      <c r="A9662">
        <v>36896</v>
      </c>
      <c r="B9662" t="s">
        <v>10153</v>
      </c>
      <c r="C9662" t="s">
        <v>427</v>
      </c>
      <c r="D9662" t="s">
        <v>25790</v>
      </c>
    </row>
    <row r="9663" spans="1:4">
      <c r="A9663">
        <v>34367</v>
      </c>
      <c r="B9663" t="s">
        <v>10154</v>
      </c>
      <c r="C9663" t="s">
        <v>427</v>
      </c>
      <c r="D9663" t="s">
        <v>25791</v>
      </c>
    </row>
    <row r="9664" spans="1:4">
      <c r="A9664">
        <v>36897</v>
      </c>
      <c r="B9664" t="s">
        <v>10155</v>
      </c>
      <c r="C9664" t="s">
        <v>427</v>
      </c>
      <c r="D9664" t="s">
        <v>25792</v>
      </c>
    </row>
    <row r="9665" spans="1:4">
      <c r="A9665">
        <v>40659</v>
      </c>
      <c r="B9665" t="s">
        <v>10156</v>
      </c>
      <c r="C9665" t="s">
        <v>426</v>
      </c>
      <c r="D9665" t="s">
        <v>25793</v>
      </c>
    </row>
    <row r="9666" spans="1:4">
      <c r="A9666">
        <v>40660</v>
      </c>
      <c r="B9666" t="s">
        <v>10157</v>
      </c>
      <c r="C9666" t="s">
        <v>426</v>
      </c>
      <c r="D9666" t="s">
        <v>25794</v>
      </c>
    </row>
    <row r="9667" spans="1:4">
      <c r="A9667">
        <v>40661</v>
      </c>
      <c r="B9667" t="s">
        <v>10158</v>
      </c>
      <c r="C9667" t="s">
        <v>426</v>
      </c>
      <c r="D9667" t="s">
        <v>25795</v>
      </c>
    </row>
    <row r="9668" spans="1:4">
      <c r="A9668">
        <v>3421</v>
      </c>
      <c r="B9668" t="s">
        <v>10159</v>
      </c>
      <c r="C9668" t="s">
        <v>426</v>
      </c>
      <c r="D9668" t="s">
        <v>25796</v>
      </c>
    </row>
    <row r="9669" spans="1:4">
      <c r="A9669">
        <v>599</v>
      </c>
      <c r="B9669" t="s">
        <v>10160</v>
      </c>
      <c r="C9669" t="s">
        <v>426</v>
      </c>
      <c r="D9669" t="s">
        <v>25797</v>
      </c>
    </row>
    <row r="9670" spans="1:4">
      <c r="A9670">
        <v>44053</v>
      </c>
      <c r="B9670" t="s">
        <v>10161</v>
      </c>
      <c r="C9670" t="s">
        <v>427</v>
      </c>
      <c r="D9670" t="s">
        <v>25798</v>
      </c>
    </row>
    <row r="9671" spans="1:4">
      <c r="A9671">
        <v>3423</v>
      </c>
      <c r="B9671" t="s">
        <v>10162</v>
      </c>
      <c r="C9671" t="s">
        <v>426</v>
      </c>
      <c r="D9671" t="s">
        <v>25799</v>
      </c>
    </row>
    <row r="9672" spans="1:4">
      <c r="A9672">
        <v>34381</v>
      </c>
      <c r="B9672" t="s">
        <v>10163</v>
      </c>
      <c r="C9672" t="s">
        <v>427</v>
      </c>
      <c r="D9672" t="s">
        <v>25800</v>
      </c>
    </row>
    <row r="9673" spans="1:4">
      <c r="A9673">
        <v>34797</v>
      </c>
      <c r="B9673" t="s">
        <v>10164</v>
      </c>
      <c r="C9673" t="s">
        <v>427</v>
      </c>
      <c r="D9673" t="s">
        <v>25801</v>
      </c>
    </row>
    <row r="9674" spans="1:4">
      <c r="A9674">
        <v>44054</v>
      </c>
      <c r="B9674" t="s">
        <v>10165</v>
      </c>
      <c r="C9674" t="s">
        <v>427</v>
      </c>
      <c r="D9674" t="s">
        <v>25802</v>
      </c>
    </row>
    <row r="9675" spans="1:4">
      <c r="A9675">
        <v>44399</v>
      </c>
      <c r="B9675" t="s">
        <v>10166</v>
      </c>
      <c r="C9675" t="s">
        <v>427</v>
      </c>
      <c r="D9675" t="s">
        <v>25803</v>
      </c>
    </row>
    <row r="9676" spans="1:4">
      <c r="A9676">
        <v>44503</v>
      </c>
      <c r="B9676" t="s">
        <v>13457</v>
      </c>
      <c r="C9676" t="s">
        <v>432</v>
      </c>
      <c r="D9676" t="s">
        <v>23641</v>
      </c>
    </row>
    <row r="9677" spans="1:4">
      <c r="A9677">
        <v>41077</v>
      </c>
      <c r="B9677" t="s">
        <v>10167</v>
      </c>
      <c r="C9677" t="s">
        <v>433</v>
      </c>
      <c r="D9677" t="s">
        <v>25804</v>
      </c>
    </row>
    <row r="9678" spans="1:4">
      <c r="A9678">
        <v>20159</v>
      </c>
      <c r="B9678" t="s">
        <v>10168</v>
      </c>
      <c r="C9678" t="s">
        <v>427</v>
      </c>
      <c r="D9678" t="s">
        <v>21039</v>
      </c>
    </row>
    <row r="9679" spans="1:4">
      <c r="A9679">
        <v>37963</v>
      </c>
      <c r="B9679" t="s">
        <v>10169</v>
      </c>
      <c r="C9679" t="s">
        <v>427</v>
      </c>
      <c r="D9679" t="s">
        <v>15252</v>
      </c>
    </row>
    <row r="9680" spans="1:4">
      <c r="A9680">
        <v>37964</v>
      </c>
      <c r="B9680" t="s">
        <v>10170</v>
      </c>
      <c r="C9680" t="s">
        <v>427</v>
      </c>
      <c r="D9680" t="s">
        <v>19609</v>
      </c>
    </row>
    <row r="9681" spans="1:4">
      <c r="A9681">
        <v>37965</v>
      </c>
      <c r="B9681" t="s">
        <v>10171</v>
      </c>
      <c r="C9681" t="s">
        <v>427</v>
      </c>
      <c r="D9681" t="s">
        <v>16952</v>
      </c>
    </row>
    <row r="9682" spans="1:4">
      <c r="A9682">
        <v>37966</v>
      </c>
      <c r="B9682" t="s">
        <v>10172</v>
      </c>
      <c r="C9682" t="s">
        <v>427</v>
      </c>
      <c r="D9682" t="s">
        <v>25805</v>
      </c>
    </row>
    <row r="9683" spans="1:4">
      <c r="A9683">
        <v>37967</v>
      </c>
      <c r="B9683" t="s">
        <v>10173</v>
      </c>
      <c r="C9683" t="s">
        <v>427</v>
      </c>
      <c r="D9683" t="s">
        <v>19793</v>
      </c>
    </row>
    <row r="9684" spans="1:4">
      <c r="A9684">
        <v>37968</v>
      </c>
      <c r="B9684" t="s">
        <v>10174</v>
      </c>
      <c r="C9684" t="s">
        <v>427</v>
      </c>
      <c r="D9684" t="s">
        <v>25806</v>
      </c>
    </row>
    <row r="9685" spans="1:4">
      <c r="A9685">
        <v>37969</v>
      </c>
      <c r="B9685" t="s">
        <v>10175</v>
      </c>
      <c r="C9685" t="s">
        <v>427</v>
      </c>
      <c r="D9685" t="s">
        <v>25807</v>
      </c>
    </row>
    <row r="9686" spans="1:4">
      <c r="A9686">
        <v>37970</v>
      </c>
      <c r="B9686" t="s">
        <v>10176</v>
      </c>
      <c r="C9686" t="s">
        <v>427</v>
      </c>
      <c r="D9686" t="s">
        <v>25808</v>
      </c>
    </row>
    <row r="9687" spans="1:4">
      <c r="A9687">
        <v>21118</v>
      </c>
      <c r="B9687" t="s">
        <v>10177</v>
      </c>
      <c r="C9687" t="s">
        <v>427</v>
      </c>
      <c r="D9687" t="s">
        <v>14754</v>
      </c>
    </row>
    <row r="9688" spans="1:4">
      <c r="A9688">
        <v>37956</v>
      </c>
      <c r="B9688" t="s">
        <v>10178</v>
      </c>
      <c r="C9688" t="s">
        <v>427</v>
      </c>
      <c r="D9688" t="s">
        <v>18148</v>
      </c>
    </row>
    <row r="9689" spans="1:4">
      <c r="A9689">
        <v>37957</v>
      </c>
      <c r="B9689" t="s">
        <v>10179</v>
      </c>
      <c r="C9689" t="s">
        <v>427</v>
      </c>
      <c r="D9689" t="s">
        <v>17200</v>
      </c>
    </row>
    <row r="9690" spans="1:4">
      <c r="A9690">
        <v>37958</v>
      </c>
      <c r="B9690" t="s">
        <v>10180</v>
      </c>
      <c r="C9690" t="s">
        <v>427</v>
      </c>
      <c r="D9690" t="s">
        <v>25805</v>
      </c>
    </row>
    <row r="9691" spans="1:4">
      <c r="A9691">
        <v>37959</v>
      </c>
      <c r="B9691" t="s">
        <v>10181</v>
      </c>
      <c r="C9691" t="s">
        <v>427</v>
      </c>
      <c r="D9691" t="s">
        <v>19793</v>
      </c>
    </row>
    <row r="9692" spans="1:4">
      <c r="A9692">
        <v>37960</v>
      </c>
      <c r="B9692" t="s">
        <v>10182</v>
      </c>
      <c r="C9692" t="s">
        <v>427</v>
      </c>
      <c r="D9692" t="s">
        <v>18521</v>
      </c>
    </row>
    <row r="9693" spans="1:4">
      <c r="A9693">
        <v>37961</v>
      </c>
      <c r="B9693" t="s">
        <v>10183</v>
      </c>
      <c r="C9693" t="s">
        <v>427</v>
      </c>
      <c r="D9693" t="s">
        <v>25809</v>
      </c>
    </row>
    <row r="9694" spans="1:4">
      <c r="A9694">
        <v>37962</v>
      </c>
      <c r="B9694" t="s">
        <v>10184</v>
      </c>
      <c r="C9694" t="s">
        <v>427</v>
      </c>
      <c r="D9694" t="s">
        <v>25810</v>
      </c>
    </row>
    <row r="9695" spans="1:4">
      <c r="A9695">
        <v>3533</v>
      </c>
      <c r="B9695" t="s">
        <v>10185</v>
      </c>
      <c r="C9695" t="s">
        <v>427</v>
      </c>
      <c r="D9695" t="s">
        <v>20169</v>
      </c>
    </row>
    <row r="9696" spans="1:4">
      <c r="A9696">
        <v>3538</v>
      </c>
      <c r="B9696" t="s">
        <v>10186</v>
      </c>
      <c r="C9696" t="s">
        <v>427</v>
      </c>
      <c r="D9696" t="s">
        <v>22696</v>
      </c>
    </row>
    <row r="9697" spans="1:4">
      <c r="A9697">
        <v>3497</v>
      </c>
      <c r="B9697" t="s">
        <v>10187</v>
      </c>
      <c r="C9697" t="s">
        <v>427</v>
      </c>
      <c r="D9697" t="s">
        <v>25089</v>
      </c>
    </row>
    <row r="9698" spans="1:4">
      <c r="A9698">
        <v>3498</v>
      </c>
      <c r="B9698" t="s">
        <v>10188</v>
      </c>
      <c r="C9698" t="s">
        <v>427</v>
      </c>
      <c r="D9698" t="s">
        <v>24350</v>
      </c>
    </row>
    <row r="9699" spans="1:4">
      <c r="A9699">
        <v>3496</v>
      </c>
      <c r="B9699" t="s">
        <v>10189</v>
      </c>
      <c r="C9699" t="s">
        <v>427</v>
      </c>
      <c r="D9699" t="s">
        <v>20560</v>
      </c>
    </row>
    <row r="9700" spans="1:4">
      <c r="A9700">
        <v>38429</v>
      </c>
      <c r="B9700" t="s">
        <v>10190</v>
      </c>
      <c r="C9700" t="s">
        <v>427</v>
      </c>
      <c r="D9700" t="s">
        <v>19229</v>
      </c>
    </row>
    <row r="9701" spans="1:4">
      <c r="A9701">
        <v>38431</v>
      </c>
      <c r="B9701" t="s">
        <v>10191</v>
      </c>
      <c r="C9701" t="s">
        <v>427</v>
      </c>
      <c r="D9701" t="s">
        <v>25811</v>
      </c>
    </row>
    <row r="9702" spans="1:4">
      <c r="A9702">
        <v>38430</v>
      </c>
      <c r="B9702" t="s">
        <v>10192</v>
      </c>
      <c r="C9702" t="s">
        <v>427</v>
      </c>
      <c r="D9702" t="s">
        <v>15805</v>
      </c>
    </row>
    <row r="9703" spans="1:4">
      <c r="A9703">
        <v>36348</v>
      </c>
      <c r="B9703" t="s">
        <v>10193</v>
      </c>
      <c r="C9703" t="s">
        <v>427</v>
      </c>
      <c r="D9703" t="s">
        <v>19311</v>
      </c>
    </row>
    <row r="9704" spans="1:4">
      <c r="A9704">
        <v>36349</v>
      </c>
      <c r="B9704" t="s">
        <v>10194</v>
      </c>
      <c r="C9704" t="s">
        <v>427</v>
      </c>
      <c r="D9704" t="s">
        <v>25812</v>
      </c>
    </row>
    <row r="9705" spans="1:4">
      <c r="A9705">
        <v>38433</v>
      </c>
      <c r="B9705" t="s">
        <v>10195</v>
      </c>
      <c r="C9705" t="s">
        <v>427</v>
      </c>
      <c r="D9705" t="s">
        <v>23130</v>
      </c>
    </row>
    <row r="9706" spans="1:4">
      <c r="A9706">
        <v>38440</v>
      </c>
      <c r="B9706" t="s">
        <v>10196</v>
      </c>
      <c r="C9706" t="s">
        <v>427</v>
      </c>
      <c r="D9706" t="s">
        <v>25813</v>
      </c>
    </row>
    <row r="9707" spans="1:4">
      <c r="A9707">
        <v>36359</v>
      </c>
      <c r="B9707" t="s">
        <v>10197</v>
      </c>
      <c r="C9707" t="s">
        <v>427</v>
      </c>
      <c r="D9707" t="s">
        <v>15764</v>
      </c>
    </row>
    <row r="9708" spans="1:4">
      <c r="A9708">
        <v>36360</v>
      </c>
      <c r="B9708" t="s">
        <v>10198</v>
      </c>
      <c r="C9708" t="s">
        <v>427</v>
      </c>
      <c r="D9708" t="s">
        <v>22060</v>
      </c>
    </row>
    <row r="9709" spans="1:4">
      <c r="A9709">
        <v>38434</v>
      </c>
      <c r="B9709" t="s">
        <v>10199</v>
      </c>
      <c r="C9709" t="s">
        <v>427</v>
      </c>
      <c r="D9709" t="s">
        <v>19256</v>
      </c>
    </row>
    <row r="9710" spans="1:4">
      <c r="A9710">
        <v>38435</v>
      </c>
      <c r="B9710" t="s">
        <v>10200</v>
      </c>
      <c r="C9710" t="s">
        <v>427</v>
      </c>
      <c r="D9710" t="s">
        <v>22084</v>
      </c>
    </row>
    <row r="9711" spans="1:4">
      <c r="A9711">
        <v>38436</v>
      </c>
      <c r="B9711" t="s">
        <v>10201</v>
      </c>
      <c r="C9711" t="s">
        <v>427</v>
      </c>
      <c r="D9711" t="s">
        <v>20299</v>
      </c>
    </row>
    <row r="9712" spans="1:4">
      <c r="A9712">
        <v>38437</v>
      </c>
      <c r="B9712" t="s">
        <v>10202</v>
      </c>
      <c r="C9712" t="s">
        <v>427</v>
      </c>
      <c r="D9712" t="s">
        <v>22749</v>
      </c>
    </row>
    <row r="9713" spans="1:4">
      <c r="A9713">
        <v>38438</v>
      </c>
      <c r="B9713" t="s">
        <v>10203</v>
      </c>
      <c r="C9713" t="s">
        <v>427</v>
      </c>
      <c r="D9713" t="s">
        <v>25814</v>
      </c>
    </row>
    <row r="9714" spans="1:4">
      <c r="A9714">
        <v>38439</v>
      </c>
      <c r="B9714" t="s">
        <v>10204</v>
      </c>
      <c r="C9714" t="s">
        <v>427</v>
      </c>
      <c r="D9714" t="s">
        <v>25815</v>
      </c>
    </row>
    <row r="9715" spans="1:4">
      <c r="A9715">
        <v>10836</v>
      </c>
      <c r="B9715" t="s">
        <v>10205</v>
      </c>
      <c r="C9715" t="s">
        <v>427</v>
      </c>
      <c r="D9715" t="s">
        <v>25816</v>
      </c>
    </row>
    <row r="9716" spans="1:4">
      <c r="A9716">
        <v>20128</v>
      </c>
      <c r="B9716" t="s">
        <v>10206</v>
      </c>
      <c r="C9716" t="s">
        <v>427</v>
      </c>
      <c r="D9716" t="s">
        <v>25817</v>
      </c>
    </row>
    <row r="9717" spans="1:4">
      <c r="A9717">
        <v>20131</v>
      </c>
      <c r="B9717" t="s">
        <v>10207</v>
      </c>
      <c r="C9717" t="s">
        <v>427</v>
      </c>
      <c r="D9717" t="s">
        <v>18615</v>
      </c>
    </row>
    <row r="9718" spans="1:4">
      <c r="A9718">
        <v>3521</v>
      </c>
      <c r="B9718" t="s">
        <v>10208</v>
      </c>
      <c r="C9718" t="s">
        <v>427</v>
      </c>
      <c r="D9718" t="s">
        <v>19571</v>
      </c>
    </row>
    <row r="9719" spans="1:4">
      <c r="A9719">
        <v>3531</v>
      </c>
      <c r="B9719" t="s">
        <v>10209</v>
      </c>
      <c r="C9719" t="s">
        <v>427</v>
      </c>
      <c r="D9719" t="s">
        <v>24585</v>
      </c>
    </row>
    <row r="9720" spans="1:4">
      <c r="A9720">
        <v>3522</v>
      </c>
      <c r="B9720" t="s">
        <v>10210</v>
      </c>
      <c r="C9720" t="s">
        <v>427</v>
      </c>
      <c r="D9720" t="s">
        <v>24590</v>
      </c>
    </row>
    <row r="9721" spans="1:4">
      <c r="A9721">
        <v>3527</v>
      </c>
      <c r="B9721" t="s">
        <v>10211</v>
      </c>
      <c r="C9721" t="s">
        <v>427</v>
      </c>
      <c r="D9721" t="s">
        <v>21050</v>
      </c>
    </row>
    <row r="9722" spans="1:4">
      <c r="A9722">
        <v>10835</v>
      </c>
      <c r="B9722" t="s">
        <v>10212</v>
      </c>
      <c r="C9722" t="s">
        <v>427</v>
      </c>
      <c r="D9722" t="s">
        <v>25818</v>
      </c>
    </row>
    <row r="9723" spans="1:4">
      <c r="A9723">
        <v>3475</v>
      </c>
      <c r="B9723" t="s">
        <v>10213</v>
      </c>
      <c r="C9723" t="s">
        <v>427</v>
      </c>
      <c r="D9723" t="s">
        <v>15628</v>
      </c>
    </row>
    <row r="9724" spans="1:4">
      <c r="A9724">
        <v>3485</v>
      </c>
      <c r="B9724" t="s">
        <v>10214</v>
      </c>
      <c r="C9724" t="s">
        <v>427</v>
      </c>
      <c r="D9724" t="s">
        <v>23889</v>
      </c>
    </row>
    <row r="9725" spans="1:4">
      <c r="A9725">
        <v>3534</v>
      </c>
      <c r="B9725" t="s">
        <v>10215</v>
      </c>
      <c r="C9725" t="s">
        <v>427</v>
      </c>
      <c r="D9725" t="s">
        <v>25444</v>
      </c>
    </row>
    <row r="9726" spans="1:4">
      <c r="A9726">
        <v>3543</v>
      </c>
      <c r="B9726" t="s">
        <v>10216</v>
      </c>
      <c r="C9726" t="s">
        <v>427</v>
      </c>
      <c r="D9726" t="s">
        <v>19117</v>
      </c>
    </row>
    <row r="9727" spans="1:4">
      <c r="A9727">
        <v>3482</v>
      </c>
      <c r="B9727" t="s">
        <v>10217</v>
      </c>
      <c r="C9727" t="s">
        <v>427</v>
      </c>
      <c r="D9727" t="s">
        <v>19129</v>
      </c>
    </row>
    <row r="9728" spans="1:4">
      <c r="A9728">
        <v>3505</v>
      </c>
      <c r="B9728" t="s">
        <v>10218</v>
      </c>
      <c r="C9728" t="s">
        <v>427</v>
      </c>
      <c r="D9728" t="s">
        <v>20182</v>
      </c>
    </row>
    <row r="9729" spans="1:4">
      <c r="A9729">
        <v>3516</v>
      </c>
      <c r="B9729" t="s">
        <v>10219</v>
      </c>
      <c r="C9729" t="s">
        <v>427</v>
      </c>
      <c r="D9729" t="s">
        <v>25819</v>
      </c>
    </row>
    <row r="9730" spans="1:4">
      <c r="A9730">
        <v>3517</v>
      </c>
      <c r="B9730" t="s">
        <v>10220</v>
      </c>
      <c r="C9730" t="s">
        <v>427</v>
      </c>
      <c r="D9730" t="s">
        <v>18048</v>
      </c>
    </row>
    <row r="9731" spans="1:4">
      <c r="A9731">
        <v>3515</v>
      </c>
      <c r="B9731" t="s">
        <v>10221</v>
      </c>
      <c r="C9731" t="s">
        <v>427</v>
      </c>
      <c r="D9731" t="s">
        <v>25820</v>
      </c>
    </row>
    <row r="9732" spans="1:4">
      <c r="A9732">
        <v>20147</v>
      </c>
      <c r="B9732" t="s">
        <v>10222</v>
      </c>
      <c r="C9732" t="s">
        <v>427</v>
      </c>
      <c r="D9732" t="s">
        <v>18016</v>
      </c>
    </row>
    <row r="9733" spans="1:4">
      <c r="A9733">
        <v>3524</v>
      </c>
      <c r="B9733" t="s">
        <v>10223</v>
      </c>
      <c r="C9733" t="s">
        <v>427</v>
      </c>
      <c r="D9733" t="s">
        <v>18848</v>
      </c>
    </row>
    <row r="9734" spans="1:4">
      <c r="A9734">
        <v>3532</v>
      </c>
      <c r="B9734" t="s">
        <v>10224</v>
      </c>
      <c r="C9734" t="s">
        <v>427</v>
      </c>
      <c r="D9734" t="s">
        <v>22301</v>
      </c>
    </row>
    <row r="9735" spans="1:4">
      <c r="A9735">
        <v>3528</v>
      </c>
      <c r="B9735" t="s">
        <v>10225</v>
      </c>
      <c r="C9735" t="s">
        <v>427</v>
      </c>
      <c r="D9735" t="s">
        <v>19242</v>
      </c>
    </row>
    <row r="9736" spans="1:4">
      <c r="A9736">
        <v>37952</v>
      </c>
      <c r="B9736" t="s">
        <v>10226</v>
      </c>
      <c r="C9736" t="s">
        <v>427</v>
      </c>
      <c r="D9736" t="s">
        <v>25821</v>
      </c>
    </row>
    <row r="9737" spans="1:4">
      <c r="A9737">
        <v>37951</v>
      </c>
      <c r="B9737" t="s">
        <v>10227</v>
      </c>
      <c r="C9737" t="s">
        <v>427</v>
      </c>
      <c r="D9737" t="s">
        <v>20715</v>
      </c>
    </row>
    <row r="9738" spans="1:4">
      <c r="A9738">
        <v>3518</v>
      </c>
      <c r="B9738" t="s">
        <v>10228</v>
      </c>
      <c r="C9738" t="s">
        <v>427</v>
      </c>
      <c r="D9738" t="s">
        <v>24332</v>
      </c>
    </row>
    <row r="9739" spans="1:4">
      <c r="A9739">
        <v>3519</v>
      </c>
      <c r="B9739" t="s">
        <v>10229</v>
      </c>
      <c r="C9739" t="s">
        <v>427</v>
      </c>
      <c r="D9739" t="s">
        <v>18043</v>
      </c>
    </row>
    <row r="9740" spans="1:4">
      <c r="A9740">
        <v>3520</v>
      </c>
      <c r="B9740" t="s">
        <v>10230</v>
      </c>
      <c r="C9740" t="s">
        <v>427</v>
      </c>
      <c r="D9740" t="s">
        <v>16887</v>
      </c>
    </row>
    <row r="9741" spans="1:4">
      <c r="A9741">
        <v>37950</v>
      </c>
      <c r="B9741" t="s">
        <v>10231</v>
      </c>
      <c r="C9741" t="s">
        <v>427</v>
      </c>
      <c r="D9741" t="s">
        <v>18615</v>
      </c>
    </row>
    <row r="9742" spans="1:4">
      <c r="A9742">
        <v>37949</v>
      </c>
      <c r="B9742" t="s">
        <v>10232</v>
      </c>
      <c r="C9742" t="s">
        <v>427</v>
      </c>
      <c r="D9742" t="s">
        <v>19639</v>
      </c>
    </row>
    <row r="9743" spans="1:4">
      <c r="A9743">
        <v>3526</v>
      </c>
      <c r="B9743" t="s">
        <v>10233</v>
      </c>
      <c r="C9743" t="s">
        <v>427</v>
      </c>
      <c r="D9743" t="s">
        <v>15221</v>
      </c>
    </row>
    <row r="9744" spans="1:4">
      <c r="A9744">
        <v>3509</v>
      </c>
      <c r="B9744" t="s">
        <v>10234</v>
      </c>
      <c r="C9744" t="s">
        <v>427</v>
      </c>
      <c r="D9744" t="s">
        <v>25822</v>
      </c>
    </row>
    <row r="9745" spans="1:4">
      <c r="A9745">
        <v>3530</v>
      </c>
      <c r="B9745" t="s">
        <v>10235</v>
      </c>
      <c r="C9745" t="s">
        <v>427</v>
      </c>
      <c r="D9745" t="s">
        <v>25823</v>
      </c>
    </row>
    <row r="9746" spans="1:4">
      <c r="A9746">
        <v>3542</v>
      </c>
      <c r="B9746" t="s">
        <v>10236</v>
      </c>
      <c r="C9746" t="s">
        <v>427</v>
      </c>
      <c r="D9746" t="s">
        <v>15359</v>
      </c>
    </row>
    <row r="9747" spans="1:4">
      <c r="A9747">
        <v>3529</v>
      </c>
      <c r="B9747" t="s">
        <v>10237</v>
      </c>
      <c r="C9747" t="s">
        <v>427</v>
      </c>
      <c r="D9747" t="s">
        <v>15724</v>
      </c>
    </row>
    <row r="9748" spans="1:4">
      <c r="A9748">
        <v>3536</v>
      </c>
      <c r="B9748" t="s">
        <v>10238</v>
      </c>
      <c r="C9748" t="s">
        <v>427</v>
      </c>
      <c r="D9748" t="s">
        <v>24278</v>
      </c>
    </row>
    <row r="9749" spans="1:4">
      <c r="A9749">
        <v>3535</v>
      </c>
      <c r="B9749" t="s">
        <v>10239</v>
      </c>
      <c r="C9749" t="s">
        <v>427</v>
      </c>
      <c r="D9749" t="s">
        <v>24653</v>
      </c>
    </row>
    <row r="9750" spans="1:4">
      <c r="A9750">
        <v>3540</v>
      </c>
      <c r="B9750" t="s">
        <v>10240</v>
      </c>
      <c r="C9750" t="s">
        <v>427</v>
      </c>
      <c r="D9750" t="s">
        <v>15586</v>
      </c>
    </row>
    <row r="9751" spans="1:4">
      <c r="A9751">
        <v>3539</v>
      </c>
      <c r="B9751" t="s">
        <v>10241</v>
      </c>
      <c r="C9751" t="s">
        <v>427</v>
      </c>
      <c r="D9751" t="s">
        <v>19013</v>
      </c>
    </row>
    <row r="9752" spans="1:4">
      <c r="A9752">
        <v>3513</v>
      </c>
      <c r="B9752" t="s">
        <v>10242</v>
      </c>
      <c r="C9752" t="s">
        <v>427</v>
      </c>
      <c r="D9752" t="s">
        <v>22542</v>
      </c>
    </row>
    <row r="9753" spans="1:4">
      <c r="A9753">
        <v>3492</v>
      </c>
      <c r="B9753" t="s">
        <v>10243</v>
      </c>
      <c r="C9753" t="s">
        <v>427</v>
      </c>
      <c r="D9753" t="s">
        <v>18644</v>
      </c>
    </row>
    <row r="9754" spans="1:4">
      <c r="A9754">
        <v>3491</v>
      </c>
      <c r="B9754" t="s">
        <v>10244</v>
      </c>
      <c r="C9754" t="s">
        <v>427</v>
      </c>
      <c r="D9754" t="s">
        <v>21870</v>
      </c>
    </row>
    <row r="9755" spans="1:4">
      <c r="A9755">
        <v>3493</v>
      </c>
      <c r="B9755" t="s">
        <v>10245</v>
      </c>
      <c r="C9755" t="s">
        <v>427</v>
      </c>
      <c r="D9755" t="s">
        <v>25824</v>
      </c>
    </row>
    <row r="9756" spans="1:4">
      <c r="A9756">
        <v>12628</v>
      </c>
      <c r="B9756" t="s">
        <v>10246</v>
      </c>
      <c r="C9756" t="s">
        <v>427</v>
      </c>
      <c r="D9756" t="s">
        <v>19119</v>
      </c>
    </row>
    <row r="9757" spans="1:4">
      <c r="A9757">
        <v>12629</v>
      </c>
      <c r="B9757" t="s">
        <v>10247</v>
      </c>
      <c r="C9757" t="s">
        <v>427</v>
      </c>
      <c r="D9757" t="s">
        <v>23611</v>
      </c>
    </row>
    <row r="9758" spans="1:4">
      <c r="A9758">
        <v>3481</v>
      </c>
      <c r="B9758" t="s">
        <v>10248</v>
      </c>
      <c r="C9758" t="s">
        <v>427</v>
      </c>
      <c r="D9758" t="s">
        <v>16962</v>
      </c>
    </row>
    <row r="9759" spans="1:4">
      <c r="A9759">
        <v>3510</v>
      </c>
      <c r="B9759" t="s">
        <v>10249</v>
      </c>
      <c r="C9759" t="s">
        <v>427</v>
      </c>
      <c r="D9759" t="s">
        <v>18114</v>
      </c>
    </row>
    <row r="9760" spans="1:4">
      <c r="A9760">
        <v>3508</v>
      </c>
      <c r="B9760" t="s">
        <v>10250</v>
      </c>
      <c r="C9760" t="s">
        <v>427</v>
      </c>
      <c r="D9760" t="s">
        <v>18396</v>
      </c>
    </row>
    <row r="9761" spans="1:4">
      <c r="A9761">
        <v>38939</v>
      </c>
      <c r="B9761" t="s">
        <v>10251</v>
      </c>
      <c r="C9761" t="s">
        <v>427</v>
      </c>
      <c r="D9761" t="s">
        <v>15626</v>
      </c>
    </row>
    <row r="9762" spans="1:4">
      <c r="A9762">
        <v>38940</v>
      </c>
      <c r="B9762" t="s">
        <v>10252</v>
      </c>
      <c r="C9762" t="s">
        <v>427</v>
      </c>
      <c r="D9762" t="s">
        <v>25825</v>
      </c>
    </row>
    <row r="9763" spans="1:4">
      <c r="A9763">
        <v>38941</v>
      </c>
      <c r="B9763" t="s">
        <v>10253</v>
      </c>
      <c r="C9763" t="s">
        <v>427</v>
      </c>
      <c r="D9763" t="s">
        <v>17160</v>
      </c>
    </row>
    <row r="9764" spans="1:4">
      <c r="A9764">
        <v>38942</v>
      </c>
      <c r="B9764" t="s">
        <v>10254</v>
      </c>
      <c r="C9764" t="s">
        <v>427</v>
      </c>
      <c r="D9764" t="s">
        <v>25826</v>
      </c>
    </row>
    <row r="9765" spans="1:4">
      <c r="A9765">
        <v>38987</v>
      </c>
      <c r="B9765" t="s">
        <v>10255</v>
      </c>
      <c r="C9765" t="s">
        <v>427</v>
      </c>
      <c r="D9765" t="s">
        <v>25660</v>
      </c>
    </row>
    <row r="9766" spans="1:4">
      <c r="A9766">
        <v>38988</v>
      </c>
      <c r="B9766" t="s">
        <v>10256</v>
      </c>
      <c r="C9766" t="s">
        <v>427</v>
      </c>
      <c r="D9766" t="s">
        <v>16005</v>
      </c>
    </row>
    <row r="9767" spans="1:4">
      <c r="A9767">
        <v>38989</v>
      </c>
      <c r="B9767" t="s">
        <v>10257</v>
      </c>
      <c r="C9767" t="s">
        <v>427</v>
      </c>
      <c r="D9767" t="s">
        <v>14877</v>
      </c>
    </row>
    <row r="9768" spans="1:4">
      <c r="A9768">
        <v>38990</v>
      </c>
      <c r="B9768" t="s">
        <v>10258</v>
      </c>
      <c r="C9768" t="s">
        <v>427</v>
      </c>
      <c r="D9768" t="s">
        <v>19906</v>
      </c>
    </row>
    <row r="9769" spans="1:4">
      <c r="A9769">
        <v>38991</v>
      </c>
      <c r="B9769" t="s">
        <v>10259</v>
      </c>
      <c r="C9769" t="s">
        <v>427</v>
      </c>
      <c r="D9769" t="s">
        <v>25827</v>
      </c>
    </row>
    <row r="9770" spans="1:4">
      <c r="A9770">
        <v>38913</v>
      </c>
      <c r="B9770" t="s">
        <v>10260</v>
      </c>
      <c r="C9770" t="s">
        <v>427</v>
      </c>
      <c r="D9770" t="s">
        <v>20292</v>
      </c>
    </row>
    <row r="9771" spans="1:4">
      <c r="A9771">
        <v>38914</v>
      </c>
      <c r="B9771" t="s">
        <v>10261</v>
      </c>
      <c r="C9771" t="s">
        <v>427</v>
      </c>
      <c r="D9771" t="s">
        <v>23281</v>
      </c>
    </row>
    <row r="9772" spans="1:4">
      <c r="A9772">
        <v>38915</v>
      </c>
      <c r="B9772" t="s">
        <v>10262</v>
      </c>
      <c r="C9772" t="s">
        <v>427</v>
      </c>
      <c r="D9772" t="s">
        <v>25828</v>
      </c>
    </row>
    <row r="9773" spans="1:4">
      <c r="A9773">
        <v>38916</v>
      </c>
      <c r="B9773" t="s">
        <v>10263</v>
      </c>
      <c r="C9773" t="s">
        <v>427</v>
      </c>
      <c r="D9773" t="s">
        <v>25829</v>
      </c>
    </row>
    <row r="9774" spans="1:4">
      <c r="A9774">
        <v>39300</v>
      </c>
      <c r="B9774" t="s">
        <v>10264</v>
      </c>
      <c r="C9774" t="s">
        <v>427</v>
      </c>
      <c r="D9774" t="s">
        <v>25830</v>
      </c>
    </row>
    <row r="9775" spans="1:4">
      <c r="A9775">
        <v>39301</v>
      </c>
      <c r="B9775" t="s">
        <v>10265</v>
      </c>
      <c r="C9775" t="s">
        <v>427</v>
      </c>
      <c r="D9775" t="s">
        <v>18040</v>
      </c>
    </row>
    <row r="9776" spans="1:4">
      <c r="A9776">
        <v>39302</v>
      </c>
      <c r="B9776" t="s">
        <v>10266</v>
      </c>
      <c r="C9776" t="s">
        <v>427</v>
      </c>
      <c r="D9776" t="s">
        <v>25831</v>
      </c>
    </row>
    <row r="9777" spans="1:4">
      <c r="A9777">
        <v>39303</v>
      </c>
      <c r="B9777" t="s">
        <v>10267</v>
      </c>
      <c r="C9777" t="s">
        <v>427</v>
      </c>
      <c r="D9777" t="s">
        <v>23788</v>
      </c>
    </row>
    <row r="9778" spans="1:4">
      <c r="A9778">
        <v>38923</v>
      </c>
      <c r="B9778" t="s">
        <v>10268</v>
      </c>
      <c r="C9778" t="s">
        <v>427</v>
      </c>
      <c r="D9778" t="s">
        <v>25832</v>
      </c>
    </row>
    <row r="9779" spans="1:4">
      <c r="A9779">
        <v>38925</v>
      </c>
      <c r="B9779" t="s">
        <v>10269</v>
      </c>
      <c r="C9779" t="s">
        <v>427</v>
      </c>
      <c r="D9779" t="s">
        <v>22448</v>
      </c>
    </row>
    <row r="9780" spans="1:4">
      <c r="A9780">
        <v>38926</v>
      </c>
      <c r="B9780" t="s">
        <v>10270</v>
      </c>
      <c r="C9780" t="s">
        <v>427</v>
      </c>
      <c r="D9780" t="s">
        <v>17098</v>
      </c>
    </row>
    <row r="9781" spans="1:4">
      <c r="A9781">
        <v>38927</v>
      </c>
      <c r="B9781" t="s">
        <v>10271</v>
      </c>
      <c r="C9781" t="s">
        <v>427</v>
      </c>
      <c r="D9781" t="s">
        <v>17280</v>
      </c>
    </row>
    <row r="9782" spans="1:4">
      <c r="A9782">
        <v>39304</v>
      </c>
      <c r="B9782" t="s">
        <v>10272</v>
      </c>
      <c r="C9782" t="s">
        <v>427</v>
      </c>
      <c r="D9782" t="s">
        <v>22869</v>
      </c>
    </row>
    <row r="9783" spans="1:4">
      <c r="A9783">
        <v>38924</v>
      </c>
      <c r="B9783" t="s">
        <v>10273</v>
      </c>
      <c r="C9783" t="s">
        <v>427</v>
      </c>
      <c r="D9783" t="s">
        <v>22190</v>
      </c>
    </row>
    <row r="9784" spans="1:4">
      <c r="A9784">
        <v>39305</v>
      </c>
      <c r="B9784" t="s">
        <v>10274</v>
      </c>
      <c r="C9784" t="s">
        <v>427</v>
      </c>
      <c r="D9784" t="s">
        <v>25833</v>
      </c>
    </row>
    <row r="9785" spans="1:4">
      <c r="A9785">
        <v>39306</v>
      </c>
      <c r="B9785" t="s">
        <v>10275</v>
      </c>
      <c r="C9785" t="s">
        <v>427</v>
      </c>
      <c r="D9785" t="s">
        <v>25834</v>
      </c>
    </row>
    <row r="9786" spans="1:4">
      <c r="A9786">
        <v>38928</v>
      </c>
      <c r="B9786" t="s">
        <v>10276</v>
      </c>
      <c r="C9786" t="s">
        <v>427</v>
      </c>
      <c r="D9786" t="s">
        <v>25835</v>
      </c>
    </row>
    <row r="9787" spans="1:4">
      <c r="A9787">
        <v>38929</v>
      </c>
      <c r="B9787" t="s">
        <v>10277</v>
      </c>
      <c r="C9787" t="s">
        <v>427</v>
      </c>
      <c r="D9787" t="s">
        <v>17921</v>
      </c>
    </row>
    <row r="9788" spans="1:4">
      <c r="A9788">
        <v>39307</v>
      </c>
      <c r="B9788" t="s">
        <v>10278</v>
      </c>
      <c r="C9788" t="s">
        <v>427</v>
      </c>
      <c r="D9788" t="s">
        <v>23188</v>
      </c>
    </row>
    <row r="9789" spans="1:4">
      <c r="A9789">
        <v>38930</v>
      </c>
      <c r="B9789" t="s">
        <v>10279</v>
      </c>
      <c r="C9789" t="s">
        <v>427</v>
      </c>
      <c r="D9789" t="s">
        <v>25836</v>
      </c>
    </row>
    <row r="9790" spans="1:4">
      <c r="A9790">
        <v>38931</v>
      </c>
      <c r="B9790" t="s">
        <v>10280</v>
      </c>
      <c r="C9790" t="s">
        <v>427</v>
      </c>
      <c r="D9790" t="s">
        <v>16948</v>
      </c>
    </row>
    <row r="9791" spans="1:4">
      <c r="A9791">
        <v>38932</v>
      </c>
      <c r="B9791" t="s">
        <v>10281</v>
      </c>
      <c r="C9791" t="s">
        <v>427</v>
      </c>
      <c r="D9791" t="s">
        <v>20275</v>
      </c>
    </row>
    <row r="9792" spans="1:4">
      <c r="A9792">
        <v>38934</v>
      </c>
      <c r="B9792" t="s">
        <v>10282</v>
      </c>
      <c r="C9792" t="s">
        <v>427</v>
      </c>
      <c r="D9792" t="s">
        <v>19222</v>
      </c>
    </row>
    <row r="9793" spans="1:4">
      <c r="A9793">
        <v>38935</v>
      </c>
      <c r="B9793" t="s">
        <v>10283</v>
      </c>
      <c r="C9793" t="s">
        <v>427</v>
      </c>
      <c r="D9793" t="s">
        <v>25837</v>
      </c>
    </row>
    <row r="9794" spans="1:4">
      <c r="A9794">
        <v>38936</v>
      </c>
      <c r="B9794" t="s">
        <v>10284</v>
      </c>
      <c r="C9794" t="s">
        <v>427</v>
      </c>
      <c r="D9794" t="s">
        <v>18116</v>
      </c>
    </row>
    <row r="9795" spans="1:4">
      <c r="A9795">
        <v>38937</v>
      </c>
      <c r="B9795" t="s">
        <v>10285</v>
      </c>
      <c r="C9795" t="s">
        <v>427</v>
      </c>
      <c r="D9795" t="s">
        <v>22314</v>
      </c>
    </row>
    <row r="9796" spans="1:4">
      <c r="A9796">
        <v>38938</v>
      </c>
      <c r="B9796" t="s">
        <v>10286</v>
      </c>
      <c r="C9796" t="s">
        <v>427</v>
      </c>
      <c r="D9796" t="s">
        <v>17406</v>
      </c>
    </row>
    <row r="9797" spans="1:4">
      <c r="A9797">
        <v>3489</v>
      </c>
      <c r="B9797" t="s">
        <v>10287</v>
      </c>
      <c r="C9797" t="s">
        <v>427</v>
      </c>
      <c r="D9797" t="s">
        <v>17487</v>
      </c>
    </row>
    <row r="9798" spans="1:4">
      <c r="A9798">
        <v>20151</v>
      </c>
      <c r="B9798" t="s">
        <v>10288</v>
      </c>
      <c r="C9798" t="s">
        <v>427</v>
      </c>
      <c r="D9798" t="s">
        <v>15574</v>
      </c>
    </row>
    <row r="9799" spans="1:4">
      <c r="A9799">
        <v>20152</v>
      </c>
      <c r="B9799" t="s">
        <v>10289</v>
      </c>
      <c r="C9799" t="s">
        <v>427</v>
      </c>
      <c r="D9799" t="s">
        <v>25838</v>
      </c>
    </row>
    <row r="9800" spans="1:4">
      <c r="A9800">
        <v>20148</v>
      </c>
      <c r="B9800" t="s">
        <v>10290</v>
      </c>
      <c r="C9800" t="s">
        <v>427</v>
      </c>
      <c r="D9800" t="s">
        <v>19133</v>
      </c>
    </row>
    <row r="9801" spans="1:4">
      <c r="A9801">
        <v>20149</v>
      </c>
      <c r="B9801" t="s">
        <v>10291</v>
      </c>
      <c r="C9801" t="s">
        <v>427</v>
      </c>
      <c r="D9801" t="s">
        <v>22710</v>
      </c>
    </row>
    <row r="9802" spans="1:4">
      <c r="A9802">
        <v>20150</v>
      </c>
      <c r="B9802" t="s">
        <v>10292</v>
      </c>
      <c r="C9802" t="s">
        <v>427</v>
      </c>
      <c r="D9802" t="s">
        <v>23143</v>
      </c>
    </row>
    <row r="9803" spans="1:4">
      <c r="A9803">
        <v>20157</v>
      </c>
      <c r="B9803" t="s">
        <v>10293</v>
      </c>
      <c r="C9803" t="s">
        <v>427</v>
      </c>
      <c r="D9803" t="s">
        <v>25839</v>
      </c>
    </row>
    <row r="9804" spans="1:4">
      <c r="A9804">
        <v>20158</v>
      </c>
      <c r="B9804" t="s">
        <v>10294</v>
      </c>
      <c r="C9804" t="s">
        <v>427</v>
      </c>
      <c r="D9804" t="s">
        <v>25840</v>
      </c>
    </row>
    <row r="9805" spans="1:4">
      <c r="A9805">
        <v>20154</v>
      </c>
      <c r="B9805" t="s">
        <v>10295</v>
      </c>
      <c r="C9805" t="s">
        <v>427</v>
      </c>
      <c r="D9805" t="s">
        <v>15486</v>
      </c>
    </row>
    <row r="9806" spans="1:4">
      <c r="A9806">
        <v>20155</v>
      </c>
      <c r="B9806" t="s">
        <v>10296</v>
      </c>
      <c r="C9806" t="s">
        <v>427</v>
      </c>
      <c r="D9806" t="s">
        <v>19185</v>
      </c>
    </row>
    <row r="9807" spans="1:4">
      <c r="A9807">
        <v>20156</v>
      </c>
      <c r="B9807" t="s">
        <v>10297</v>
      </c>
      <c r="C9807" t="s">
        <v>427</v>
      </c>
      <c r="D9807" t="s">
        <v>25841</v>
      </c>
    </row>
    <row r="9808" spans="1:4">
      <c r="A9808">
        <v>3512</v>
      </c>
      <c r="B9808" t="s">
        <v>10298</v>
      </c>
      <c r="C9808" t="s">
        <v>427</v>
      </c>
      <c r="D9808" t="s">
        <v>25842</v>
      </c>
    </row>
    <row r="9809" spans="1:4">
      <c r="A9809">
        <v>3499</v>
      </c>
      <c r="B9809" t="s">
        <v>10299</v>
      </c>
      <c r="C9809" t="s">
        <v>427</v>
      </c>
      <c r="D9809" t="s">
        <v>15286</v>
      </c>
    </row>
    <row r="9810" spans="1:4">
      <c r="A9810">
        <v>3500</v>
      </c>
      <c r="B9810" t="s">
        <v>10300</v>
      </c>
      <c r="C9810" t="s">
        <v>427</v>
      </c>
      <c r="D9810" t="s">
        <v>15742</v>
      </c>
    </row>
    <row r="9811" spans="1:4">
      <c r="A9811">
        <v>3501</v>
      </c>
      <c r="B9811" t="s">
        <v>10301</v>
      </c>
      <c r="C9811" t="s">
        <v>427</v>
      </c>
      <c r="D9811" t="s">
        <v>18633</v>
      </c>
    </row>
    <row r="9812" spans="1:4">
      <c r="A9812">
        <v>3502</v>
      </c>
      <c r="B9812" t="s">
        <v>10302</v>
      </c>
      <c r="C9812" t="s">
        <v>427</v>
      </c>
      <c r="D9812" t="s">
        <v>23897</v>
      </c>
    </row>
    <row r="9813" spans="1:4">
      <c r="A9813">
        <v>3503</v>
      </c>
      <c r="B9813" t="s">
        <v>10303</v>
      </c>
      <c r="C9813" t="s">
        <v>427</v>
      </c>
      <c r="D9813" t="s">
        <v>18635</v>
      </c>
    </row>
    <row r="9814" spans="1:4">
      <c r="A9814">
        <v>3477</v>
      </c>
      <c r="B9814" t="s">
        <v>10304</v>
      </c>
      <c r="C9814" t="s">
        <v>427</v>
      </c>
      <c r="D9814" t="s">
        <v>25843</v>
      </c>
    </row>
    <row r="9815" spans="1:4">
      <c r="A9815">
        <v>3478</v>
      </c>
      <c r="B9815" t="s">
        <v>10305</v>
      </c>
      <c r="C9815" t="s">
        <v>427</v>
      </c>
      <c r="D9815" t="s">
        <v>25844</v>
      </c>
    </row>
    <row r="9816" spans="1:4">
      <c r="A9816">
        <v>3525</v>
      </c>
      <c r="B9816" t="s">
        <v>10306</v>
      </c>
      <c r="C9816" t="s">
        <v>427</v>
      </c>
      <c r="D9816" t="s">
        <v>25845</v>
      </c>
    </row>
    <row r="9817" spans="1:4">
      <c r="A9817">
        <v>3511</v>
      </c>
      <c r="B9817" t="s">
        <v>10307</v>
      </c>
      <c r="C9817" t="s">
        <v>427</v>
      </c>
      <c r="D9817" t="s">
        <v>25846</v>
      </c>
    </row>
    <row r="9818" spans="1:4">
      <c r="A9818">
        <v>38917</v>
      </c>
      <c r="B9818" t="s">
        <v>10308</v>
      </c>
      <c r="C9818" t="s">
        <v>427</v>
      </c>
      <c r="D9818" t="s">
        <v>21350</v>
      </c>
    </row>
    <row r="9819" spans="1:4">
      <c r="A9819">
        <v>38919</v>
      </c>
      <c r="B9819" t="s">
        <v>10309</v>
      </c>
      <c r="C9819" t="s">
        <v>427</v>
      </c>
      <c r="D9819" t="s">
        <v>25847</v>
      </c>
    </row>
    <row r="9820" spans="1:4">
      <c r="A9820">
        <v>38922</v>
      </c>
      <c r="B9820" t="s">
        <v>10310</v>
      </c>
      <c r="C9820" t="s">
        <v>427</v>
      </c>
      <c r="D9820" t="s">
        <v>19487</v>
      </c>
    </row>
    <row r="9821" spans="1:4">
      <c r="A9821">
        <v>38921</v>
      </c>
      <c r="B9821" t="s">
        <v>10311</v>
      </c>
      <c r="C9821" t="s">
        <v>427</v>
      </c>
      <c r="D9821" t="s">
        <v>14808</v>
      </c>
    </row>
    <row r="9822" spans="1:4">
      <c r="A9822">
        <v>38918</v>
      </c>
      <c r="B9822" t="s">
        <v>10312</v>
      </c>
      <c r="C9822" t="s">
        <v>427</v>
      </c>
      <c r="D9822" t="s">
        <v>25848</v>
      </c>
    </row>
    <row r="9823" spans="1:4">
      <c r="A9823">
        <v>38920</v>
      </c>
      <c r="B9823" t="s">
        <v>10313</v>
      </c>
      <c r="C9823" t="s">
        <v>427</v>
      </c>
      <c r="D9823" t="s">
        <v>25849</v>
      </c>
    </row>
    <row r="9824" spans="1:4">
      <c r="A9824">
        <v>12032</v>
      </c>
      <c r="B9824" t="s">
        <v>10314</v>
      </c>
      <c r="C9824" t="s">
        <v>435</v>
      </c>
      <c r="D9824" t="s">
        <v>25850</v>
      </c>
    </row>
    <row r="9825" spans="1:4">
      <c r="A9825">
        <v>12030</v>
      </c>
      <c r="B9825" t="s">
        <v>10315</v>
      </c>
      <c r="C9825" t="s">
        <v>435</v>
      </c>
      <c r="D9825" t="s">
        <v>25851</v>
      </c>
    </row>
    <row r="9826" spans="1:4">
      <c r="A9826">
        <v>10908</v>
      </c>
      <c r="B9826" t="s">
        <v>10316</v>
      </c>
      <c r="C9826" t="s">
        <v>427</v>
      </c>
      <c r="D9826" t="s">
        <v>15392</v>
      </c>
    </row>
    <row r="9827" spans="1:4">
      <c r="A9827">
        <v>10909</v>
      </c>
      <c r="B9827" t="s">
        <v>10317</v>
      </c>
      <c r="C9827" t="s">
        <v>427</v>
      </c>
      <c r="D9827" t="s">
        <v>22983</v>
      </c>
    </row>
    <row r="9828" spans="1:4">
      <c r="A9828">
        <v>3669</v>
      </c>
      <c r="B9828" t="s">
        <v>10318</v>
      </c>
      <c r="C9828" t="s">
        <v>427</v>
      </c>
      <c r="D9828" t="s">
        <v>23623</v>
      </c>
    </row>
    <row r="9829" spans="1:4">
      <c r="A9829">
        <v>20138</v>
      </c>
      <c r="B9829" t="s">
        <v>10319</v>
      </c>
      <c r="C9829" t="s">
        <v>427</v>
      </c>
      <c r="D9829" t="s">
        <v>19751</v>
      </c>
    </row>
    <row r="9830" spans="1:4">
      <c r="A9830">
        <v>20139</v>
      </c>
      <c r="B9830" t="s">
        <v>10320</v>
      </c>
      <c r="C9830" t="s">
        <v>427</v>
      </c>
      <c r="D9830" t="s">
        <v>25852</v>
      </c>
    </row>
    <row r="9831" spans="1:4">
      <c r="A9831">
        <v>3668</v>
      </c>
      <c r="B9831" t="s">
        <v>10321</v>
      </c>
      <c r="C9831" t="s">
        <v>427</v>
      </c>
      <c r="D9831" t="s">
        <v>16760</v>
      </c>
    </row>
    <row r="9832" spans="1:4">
      <c r="A9832">
        <v>3656</v>
      </c>
      <c r="B9832" t="s">
        <v>10322</v>
      </c>
      <c r="C9832" t="s">
        <v>427</v>
      </c>
      <c r="D9832" t="s">
        <v>20193</v>
      </c>
    </row>
    <row r="9833" spans="1:4">
      <c r="A9833">
        <v>10911</v>
      </c>
      <c r="B9833" t="s">
        <v>10323</v>
      </c>
      <c r="C9833" t="s">
        <v>427</v>
      </c>
      <c r="D9833" t="s">
        <v>24357</v>
      </c>
    </row>
    <row r="9834" spans="1:4">
      <c r="A9834">
        <v>3654</v>
      </c>
      <c r="B9834" t="s">
        <v>10324</v>
      </c>
      <c r="C9834" t="s">
        <v>427</v>
      </c>
      <c r="D9834" t="s">
        <v>17258</v>
      </c>
    </row>
    <row r="9835" spans="1:4">
      <c r="A9835">
        <v>3664</v>
      </c>
      <c r="B9835" t="s">
        <v>10325</v>
      </c>
      <c r="C9835" t="s">
        <v>427</v>
      </c>
      <c r="D9835" t="s">
        <v>17716</v>
      </c>
    </row>
    <row r="9836" spans="1:4">
      <c r="A9836">
        <v>3657</v>
      </c>
      <c r="B9836" t="s">
        <v>10326</v>
      </c>
      <c r="C9836" t="s">
        <v>427</v>
      </c>
      <c r="D9836" t="s">
        <v>15547</v>
      </c>
    </row>
    <row r="9837" spans="1:4">
      <c r="A9837">
        <v>12625</v>
      </c>
      <c r="B9837" t="s">
        <v>10327</v>
      </c>
      <c r="C9837" t="s">
        <v>427</v>
      </c>
      <c r="D9837" t="s">
        <v>19193</v>
      </c>
    </row>
    <row r="9838" spans="1:4">
      <c r="A9838">
        <v>20136</v>
      </c>
      <c r="B9838" t="s">
        <v>10328</v>
      </c>
      <c r="C9838" t="s">
        <v>427</v>
      </c>
      <c r="D9838" t="s">
        <v>25853</v>
      </c>
    </row>
    <row r="9839" spans="1:4">
      <c r="A9839">
        <v>20144</v>
      </c>
      <c r="B9839" t="s">
        <v>10329</v>
      </c>
      <c r="C9839" t="s">
        <v>427</v>
      </c>
      <c r="D9839" t="s">
        <v>25854</v>
      </c>
    </row>
    <row r="9840" spans="1:4">
      <c r="A9840">
        <v>20143</v>
      </c>
      <c r="B9840" t="s">
        <v>10330</v>
      </c>
      <c r="C9840" t="s">
        <v>427</v>
      </c>
      <c r="D9840" t="s">
        <v>25855</v>
      </c>
    </row>
    <row r="9841" spans="1:4">
      <c r="A9841">
        <v>20145</v>
      </c>
      <c r="B9841" t="s">
        <v>10331</v>
      </c>
      <c r="C9841" t="s">
        <v>427</v>
      </c>
      <c r="D9841" t="s">
        <v>25856</v>
      </c>
    </row>
    <row r="9842" spans="1:4">
      <c r="A9842">
        <v>20146</v>
      </c>
      <c r="B9842" t="s">
        <v>10332</v>
      </c>
      <c r="C9842" t="s">
        <v>427</v>
      </c>
      <c r="D9842" t="s">
        <v>25857</v>
      </c>
    </row>
    <row r="9843" spans="1:4">
      <c r="A9843">
        <v>20140</v>
      </c>
      <c r="B9843" t="s">
        <v>10333</v>
      </c>
      <c r="C9843" t="s">
        <v>427</v>
      </c>
      <c r="D9843" t="s">
        <v>17179</v>
      </c>
    </row>
    <row r="9844" spans="1:4">
      <c r="A9844">
        <v>20141</v>
      </c>
      <c r="B9844" t="s">
        <v>10334</v>
      </c>
      <c r="C9844" t="s">
        <v>427</v>
      </c>
      <c r="D9844" t="s">
        <v>16696</v>
      </c>
    </row>
    <row r="9845" spans="1:4">
      <c r="A9845">
        <v>20142</v>
      </c>
      <c r="B9845" t="s">
        <v>10335</v>
      </c>
      <c r="C9845" t="s">
        <v>427</v>
      </c>
      <c r="D9845" t="s">
        <v>15457</v>
      </c>
    </row>
    <row r="9846" spans="1:4">
      <c r="A9846">
        <v>3659</v>
      </c>
      <c r="B9846" t="s">
        <v>10336</v>
      </c>
      <c r="C9846" t="s">
        <v>427</v>
      </c>
      <c r="D9846" t="s">
        <v>23803</v>
      </c>
    </row>
    <row r="9847" spans="1:4">
      <c r="A9847">
        <v>3660</v>
      </c>
      <c r="B9847" t="s">
        <v>10337</v>
      </c>
      <c r="C9847" t="s">
        <v>427</v>
      </c>
      <c r="D9847" t="s">
        <v>25858</v>
      </c>
    </row>
    <row r="9848" spans="1:4">
      <c r="A9848">
        <v>3662</v>
      </c>
      <c r="B9848" t="s">
        <v>10338</v>
      </c>
      <c r="C9848" t="s">
        <v>427</v>
      </c>
      <c r="D9848" t="s">
        <v>18063</v>
      </c>
    </row>
    <row r="9849" spans="1:4">
      <c r="A9849">
        <v>3661</v>
      </c>
      <c r="B9849" t="s">
        <v>10339</v>
      </c>
      <c r="C9849" t="s">
        <v>427</v>
      </c>
      <c r="D9849" t="s">
        <v>23619</v>
      </c>
    </row>
    <row r="9850" spans="1:4">
      <c r="A9850">
        <v>3658</v>
      </c>
      <c r="B9850" t="s">
        <v>10340</v>
      </c>
      <c r="C9850" t="s">
        <v>427</v>
      </c>
      <c r="D9850" t="s">
        <v>25859</v>
      </c>
    </row>
    <row r="9851" spans="1:4">
      <c r="A9851">
        <v>3670</v>
      </c>
      <c r="B9851" t="s">
        <v>10341</v>
      </c>
      <c r="C9851" t="s">
        <v>427</v>
      </c>
      <c r="D9851" t="s">
        <v>17402</v>
      </c>
    </row>
    <row r="9852" spans="1:4">
      <c r="A9852">
        <v>3666</v>
      </c>
      <c r="B9852" t="s">
        <v>10342</v>
      </c>
      <c r="C9852" t="s">
        <v>427</v>
      </c>
      <c r="D9852" t="s">
        <v>23552</v>
      </c>
    </row>
    <row r="9853" spans="1:4">
      <c r="A9853">
        <v>14157</v>
      </c>
      <c r="B9853" t="s">
        <v>10343</v>
      </c>
      <c r="C9853" t="s">
        <v>427</v>
      </c>
      <c r="D9853" t="s">
        <v>24583</v>
      </c>
    </row>
    <row r="9854" spans="1:4">
      <c r="A9854">
        <v>3653</v>
      </c>
      <c r="B9854" t="s">
        <v>10344</v>
      </c>
      <c r="C9854" t="s">
        <v>427</v>
      </c>
      <c r="D9854" t="s">
        <v>21079</v>
      </c>
    </row>
    <row r="9855" spans="1:4">
      <c r="A9855">
        <v>3649</v>
      </c>
      <c r="B9855" t="s">
        <v>10345</v>
      </c>
      <c r="C9855" t="s">
        <v>427</v>
      </c>
      <c r="D9855" t="s">
        <v>25860</v>
      </c>
    </row>
    <row r="9856" spans="1:4">
      <c r="A9856">
        <v>42696</v>
      </c>
      <c r="B9856" t="s">
        <v>10346</v>
      </c>
      <c r="C9856" t="s">
        <v>427</v>
      </c>
      <c r="D9856" t="s">
        <v>25861</v>
      </c>
    </row>
    <row r="9857" spans="1:4">
      <c r="A9857">
        <v>42697</v>
      </c>
      <c r="B9857" t="s">
        <v>10347</v>
      </c>
      <c r="C9857" t="s">
        <v>427</v>
      </c>
      <c r="D9857" t="s">
        <v>25862</v>
      </c>
    </row>
    <row r="9858" spans="1:4">
      <c r="A9858">
        <v>42698</v>
      </c>
      <c r="B9858" t="s">
        <v>10348</v>
      </c>
      <c r="C9858" t="s">
        <v>427</v>
      </c>
      <c r="D9858" t="s">
        <v>25863</v>
      </c>
    </row>
    <row r="9859" spans="1:4">
      <c r="A9859">
        <v>39875</v>
      </c>
      <c r="B9859" t="s">
        <v>10349</v>
      </c>
      <c r="C9859" t="s">
        <v>427</v>
      </c>
      <c r="D9859" t="s">
        <v>25864</v>
      </c>
    </row>
    <row r="9860" spans="1:4">
      <c r="A9860">
        <v>39876</v>
      </c>
      <c r="B9860" t="s">
        <v>10350</v>
      </c>
      <c r="C9860" t="s">
        <v>427</v>
      </c>
      <c r="D9860" t="s">
        <v>25865</v>
      </c>
    </row>
    <row r="9861" spans="1:4">
      <c r="A9861">
        <v>39877</v>
      </c>
      <c r="B9861" t="s">
        <v>10351</v>
      </c>
      <c r="C9861" t="s">
        <v>427</v>
      </c>
      <c r="D9861" t="s">
        <v>25866</v>
      </c>
    </row>
    <row r="9862" spans="1:4">
      <c r="A9862">
        <v>39878</v>
      </c>
      <c r="B9862" t="s">
        <v>10352</v>
      </c>
      <c r="C9862" t="s">
        <v>427</v>
      </c>
      <c r="D9862" t="s">
        <v>25867</v>
      </c>
    </row>
    <row r="9863" spans="1:4">
      <c r="A9863">
        <v>39872</v>
      </c>
      <c r="B9863" t="s">
        <v>10353</v>
      </c>
      <c r="C9863" t="s">
        <v>427</v>
      </c>
      <c r="D9863" t="s">
        <v>25868</v>
      </c>
    </row>
    <row r="9864" spans="1:4">
      <c r="A9864">
        <v>39873</v>
      </c>
      <c r="B9864" t="s">
        <v>10354</v>
      </c>
      <c r="C9864" t="s">
        <v>427</v>
      </c>
      <c r="D9864" t="s">
        <v>25869</v>
      </c>
    </row>
    <row r="9865" spans="1:4">
      <c r="A9865">
        <v>39874</v>
      </c>
      <c r="B9865" t="s">
        <v>10355</v>
      </c>
      <c r="C9865" t="s">
        <v>427</v>
      </c>
      <c r="D9865" t="s">
        <v>25870</v>
      </c>
    </row>
    <row r="9866" spans="1:4">
      <c r="A9866">
        <v>3674</v>
      </c>
      <c r="B9866" t="s">
        <v>10356</v>
      </c>
      <c r="C9866" t="s">
        <v>429</v>
      </c>
      <c r="D9866" t="s">
        <v>23235</v>
      </c>
    </row>
    <row r="9867" spans="1:4">
      <c r="A9867">
        <v>3681</v>
      </c>
      <c r="B9867" t="s">
        <v>10357</v>
      </c>
      <c r="C9867" t="s">
        <v>429</v>
      </c>
      <c r="D9867" t="s">
        <v>25871</v>
      </c>
    </row>
    <row r="9868" spans="1:4">
      <c r="A9868">
        <v>3676</v>
      </c>
      <c r="B9868" t="s">
        <v>10358</v>
      </c>
      <c r="C9868" t="s">
        <v>429</v>
      </c>
      <c r="D9868" t="s">
        <v>25872</v>
      </c>
    </row>
    <row r="9869" spans="1:4">
      <c r="A9869">
        <v>3679</v>
      </c>
      <c r="B9869" t="s">
        <v>10359</v>
      </c>
      <c r="C9869" t="s">
        <v>429</v>
      </c>
      <c r="D9869" t="s">
        <v>25873</v>
      </c>
    </row>
    <row r="9870" spans="1:4">
      <c r="A9870">
        <v>3672</v>
      </c>
      <c r="B9870" t="s">
        <v>10360</v>
      </c>
      <c r="C9870" t="s">
        <v>429</v>
      </c>
      <c r="D9870" t="s">
        <v>15829</v>
      </c>
    </row>
    <row r="9871" spans="1:4">
      <c r="A9871">
        <v>3671</v>
      </c>
      <c r="B9871" t="s">
        <v>10361</v>
      </c>
      <c r="C9871" t="s">
        <v>429</v>
      </c>
      <c r="D9871" t="s">
        <v>15333</v>
      </c>
    </row>
    <row r="9872" spans="1:4">
      <c r="A9872">
        <v>3673</v>
      </c>
      <c r="B9872" t="s">
        <v>10362</v>
      </c>
      <c r="C9872" t="s">
        <v>429</v>
      </c>
      <c r="D9872" t="s">
        <v>24630</v>
      </c>
    </row>
    <row r="9873" spans="1:4">
      <c r="A9873">
        <v>38394</v>
      </c>
      <c r="B9873" t="s">
        <v>10363</v>
      </c>
      <c r="C9873" t="s">
        <v>427</v>
      </c>
      <c r="D9873" t="s">
        <v>25874</v>
      </c>
    </row>
    <row r="9874" spans="1:4">
      <c r="A9874">
        <v>3729</v>
      </c>
      <c r="B9874" t="s">
        <v>10364</v>
      </c>
      <c r="C9874" t="s">
        <v>427</v>
      </c>
      <c r="D9874" t="s">
        <v>25340</v>
      </c>
    </row>
    <row r="9875" spans="1:4">
      <c r="A9875">
        <v>39357</v>
      </c>
      <c r="B9875" t="s">
        <v>10365</v>
      </c>
      <c r="C9875" t="s">
        <v>427</v>
      </c>
      <c r="D9875" t="s">
        <v>25875</v>
      </c>
    </row>
    <row r="9876" spans="1:4">
      <c r="A9876">
        <v>39358</v>
      </c>
      <c r="B9876" t="s">
        <v>10366</v>
      </c>
      <c r="C9876" t="s">
        <v>427</v>
      </c>
      <c r="D9876" t="s">
        <v>25876</v>
      </c>
    </row>
    <row r="9877" spans="1:4">
      <c r="A9877">
        <v>39356</v>
      </c>
      <c r="B9877" t="s">
        <v>10367</v>
      </c>
      <c r="C9877" t="s">
        <v>427</v>
      </c>
      <c r="D9877" t="s">
        <v>25877</v>
      </c>
    </row>
    <row r="9878" spans="1:4">
      <c r="A9878">
        <v>39355</v>
      </c>
      <c r="B9878" t="s">
        <v>10368</v>
      </c>
      <c r="C9878" t="s">
        <v>427</v>
      </c>
      <c r="D9878" t="s">
        <v>25878</v>
      </c>
    </row>
    <row r="9879" spans="1:4">
      <c r="A9879">
        <v>39353</v>
      </c>
      <c r="B9879" t="s">
        <v>10369</v>
      </c>
      <c r="C9879" t="s">
        <v>427</v>
      </c>
      <c r="D9879" t="s">
        <v>25879</v>
      </c>
    </row>
    <row r="9880" spans="1:4">
      <c r="A9880">
        <v>39354</v>
      </c>
      <c r="B9880" t="s">
        <v>10370</v>
      </c>
      <c r="C9880" t="s">
        <v>427</v>
      </c>
      <c r="D9880" t="s">
        <v>25880</v>
      </c>
    </row>
    <row r="9881" spans="1:4">
      <c r="A9881">
        <v>39398</v>
      </c>
      <c r="B9881" t="s">
        <v>10371</v>
      </c>
      <c r="C9881" t="s">
        <v>427</v>
      </c>
      <c r="D9881" t="s">
        <v>24464</v>
      </c>
    </row>
    <row r="9882" spans="1:4">
      <c r="A9882">
        <v>13343</v>
      </c>
      <c r="B9882" t="s">
        <v>10372</v>
      </c>
      <c r="C9882" t="s">
        <v>427</v>
      </c>
      <c r="D9882" t="s">
        <v>22997</v>
      </c>
    </row>
    <row r="9883" spans="1:4">
      <c r="A9883">
        <v>12118</v>
      </c>
      <c r="B9883" t="s">
        <v>10373</v>
      </c>
      <c r="C9883" t="s">
        <v>427</v>
      </c>
      <c r="D9883" t="s">
        <v>23617</v>
      </c>
    </row>
    <row r="9884" spans="1:4">
      <c r="A9884">
        <v>39482</v>
      </c>
      <c r="B9884" t="s">
        <v>10374</v>
      </c>
      <c r="C9884" t="s">
        <v>427</v>
      </c>
      <c r="D9884" t="s">
        <v>25881</v>
      </c>
    </row>
    <row r="9885" spans="1:4">
      <c r="A9885">
        <v>39486</v>
      </c>
      <c r="B9885" t="s">
        <v>10375</v>
      </c>
      <c r="C9885" t="s">
        <v>427</v>
      </c>
      <c r="D9885" t="s">
        <v>25882</v>
      </c>
    </row>
    <row r="9886" spans="1:4">
      <c r="A9886">
        <v>39484</v>
      </c>
      <c r="B9886" t="s">
        <v>10376</v>
      </c>
      <c r="C9886" t="s">
        <v>427</v>
      </c>
      <c r="D9886" t="s">
        <v>25881</v>
      </c>
    </row>
    <row r="9887" spans="1:4">
      <c r="A9887">
        <v>39488</v>
      </c>
      <c r="B9887" t="s">
        <v>10377</v>
      </c>
      <c r="C9887" t="s">
        <v>427</v>
      </c>
      <c r="D9887" t="s">
        <v>25883</v>
      </c>
    </row>
    <row r="9888" spans="1:4">
      <c r="A9888">
        <v>39485</v>
      </c>
      <c r="B9888" t="s">
        <v>10378</v>
      </c>
      <c r="C9888" t="s">
        <v>427</v>
      </c>
      <c r="D9888" t="s">
        <v>25881</v>
      </c>
    </row>
    <row r="9889" spans="1:4">
      <c r="A9889">
        <v>39489</v>
      </c>
      <c r="B9889" t="s">
        <v>10379</v>
      </c>
      <c r="C9889" t="s">
        <v>427</v>
      </c>
      <c r="D9889" t="s">
        <v>25884</v>
      </c>
    </row>
    <row r="9890" spans="1:4">
      <c r="A9890">
        <v>39490</v>
      </c>
      <c r="B9890" t="s">
        <v>10380</v>
      </c>
      <c r="C9890" t="s">
        <v>427</v>
      </c>
      <c r="D9890" t="s">
        <v>25885</v>
      </c>
    </row>
    <row r="9891" spans="1:4">
      <c r="A9891">
        <v>39494</v>
      </c>
      <c r="B9891" t="s">
        <v>10381</v>
      </c>
      <c r="C9891" t="s">
        <v>427</v>
      </c>
      <c r="D9891" t="s">
        <v>25886</v>
      </c>
    </row>
    <row r="9892" spans="1:4">
      <c r="A9892">
        <v>39495</v>
      </c>
      <c r="B9892" t="s">
        <v>10382</v>
      </c>
      <c r="C9892" t="s">
        <v>427</v>
      </c>
      <c r="D9892" t="s">
        <v>25887</v>
      </c>
    </row>
    <row r="9893" spans="1:4">
      <c r="A9893">
        <v>39496</v>
      </c>
      <c r="B9893" t="s">
        <v>10383</v>
      </c>
      <c r="C9893" t="s">
        <v>427</v>
      </c>
      <c r="D9893" t="s">
        <v>25888</v>
      </c>
    </row>
    <row r="9894" spans="1:4">
      <c r="A9894">
        <v>39492</v>
      </c>
      <c r="B9894" t="s">
        <v>10384</v>
      </c>
      <c r="C9894" t="s">
        <v>427</v>
      </c>
      <c r="D9894" t="s">
        <v>25889</v>
      </c>
    </row>
    <row r="9895" spans="1:4">
      <c r="A9895">
        <v>39497</v>
      </c>
      <c r="B9895" t="s">
        <v>10385</v>
      </c>
      <c r="C9895" t="s">
        <v>427</v>
      </c>
      <c r="D9895" t="s">
        <v>25890</v>
      </c>
    </row>
    <row r="9896" spans="1:4">
      <c r="A9896">
        <v>39493</v>
      </c>
      <c r="B9896" t="s">
        <v>10386</v>
      </c>
      <c r="C9896" t="s">
        <v>427</v>
      </c>
      <c r="D9896" t="s">
        <v>25891</v>
      </c>
    </row>
    <row r="9897" spans="1:4">
      <c r="A9897">
        <v>39500</v>
      </c>
      <c r="B9897" t="s">
        <v>10387</v>
      </c>
      <c r="C9897" t="s">
        <v>427</v>
      </c>
      <c r="D9897" t="s">
        <v>25892</v>
      </c>
    </row>
    <row r="9898" spans="1:4">
      <c r="A9898">
        <v>39498</v>
      </c>
      <c r="B9898" t="s">
        <v>10388</v>
      </c>
      <c r="C9898" t="s">
        <v>427</v>
      </c>
      <c r="D9898" t="s">
        <v>25893</v>
      </c>
    </row>
    <row r="9899" spans="1:4">
      <c r="A9899">
        <v>43628</v>
      </c>
      <c r="B9899" t="s">
        <v>10389</v>
      </c>
      <c r="C9899" t="s">
        <v>427</v>
      </c>
      <c r="D9899" t="s">
        <v>25894</v>
      </c>
    </row>
    <row r="9900" spans="1:4">
      <c r="A9900">
        <v>39501</v>
      </c>
      <c r="B9900" t="s">
        <v>10390</v>
      </c>
      <c r="C9900" t="s">
        <v>427</v>
      </c>
      <c r="D9900" t="s">
        <v>25895</v>
      </c>
    </row>
    <row r="9901" spans="1:4">
      <c r="A9901">
        <v>39499</v>
      </c>
      <c r="B9901" t="s">
        <v>10391</v>
      </c>
      <c r="C9901" t="s">
        <v>427</v>
      </c>
      <c r="D9901" t="s">
        <v>25896</v>
      </c>
    </row>
    <row r="9902" spans="1:4">
      <c r="A9902">
        <v>43621</v>
      </c>
      <c r="B9902" t="s">
        <v>10392</v>
      </c>
      <c r="C9902" t="s">
        <v>427</v>
      </c>
      <c r="D9902" t="s">
        <v>25897</v>
      </c>
    </row>
    <row r="9903" spans="1:4">
      <c r="A9903">
        <v>3733</v>
      </c>
      <c r="B9903" t="s">
        <v>10393</v>
      </c>
      <c r="C9903" t="s">
        <v>426</v>
      </c>
      <c r="D9903" t="s">
        <v>22207</v>
      </c>
    </row>
    <row r="9904" spans="1:4">
      <c r="A9904">
        <v>3731</v>
      </c>
      <c r="B9904" t="s">
        <v>10394</v>
      </c>
      <c r="C9904" t="s">
        <v>426</v>
      </c>
      <c r="D9904" t="s">
        <v>25898</v>
      </c>
    </row>
    <row r="9905" spans="1:4">
      <c r="A9905">
        <v>38137</v>
      </c>
      <c r="B9905" t="s">
        <v>10395</v>
      </c>
      <c r="C9905" t="s">
        <v>426</v>
      </c>
      <c r="D9905" t="s">
        <v>25899</v>
      </c>
    </row>
    <row r="9906" spans="1:4">
      <c r="A9906">
        <v>38135</v>
      </c>
      <c r="B9906" t="s">
        <v>10396</v>
      </c>
      <c r="C9906" t="s">
        <v>426</v>
      </c>
      <c r="D9906" t="s">
        <v>25900</v>
      </c>
    </row>
    <row r="9907" spans="1:4">
      <c r="A9907">
        <v>38138</v>
      </c>
      <c r="B9907" t="s">
        <v>10397</v>
      </c>
      <c r="C9907" t="s">
        <v>426</v>
      </c>
      <c r="D9907" t="s">
        <v>22577</v>
      </c>
    </row>
    <row r="9908" spans="1:4">
      <c r="A9908">
        <v>3736</v>
      </c>
      <c r="B9908" t="s">
        <v>10398</v>
      </c>
      <c r="C9908" t="s">
        <v>426</v>
      </c>
      <c r="D9908" t="s">
        <v>25901</v>
      </c>
    </row>
    <row r="9909" spans="1:4">
      <c r="A9909">
        <v>3741</v>
      </c>
      <c r="B9909" t="s">
        <v>10399</v>
      </c>
      <c r="C9909" t="s">
        <v>426</v>
      </c>
      <c r="D9909" t="s">
        <v>19801</v>
      </c>
    </row>
    <row r="9910" spans="1:4">
      <c r="A9910">
        <v>3745</v>
      </c>
      <c r="B9910" t="s">
        <v>10400</v>
      </c>
      <c r="C9910" t="s">
        <v>426</v>
      </c>
      <c r="D9910" t="s">
        <v>25902</v>
      </c>
    </row>
    <row r="9911" spans="1:4">
      <c r="A9911">
        <v>3743</v>
      </c>
      <c r="B9911" t="s">
        <v>10401</v>
      </c>
      <c r="C9911" t="s">
        <v>426</v>
      </c>
      <c r="D9911" t="s">
        <v>25903</v>
      </c>
    </row>
    <row r="9912" spans="1:4">
      <c r="A9912">
        <v>3744</v>
      </c>
      <c r="B9912" t="s">
        <v>10402</v>
      </c>
      <c r="C9912" t="s">
        <v>426</v>
      </c>
      <c r="D9912" t="s">
        <v>25904</v>
      </c>
    </row>
    <row r="9913" spans="1:4">
      <c r="A9913">
        <v>3739</v>
      </c>
      <c r="B9913" t="s">
        <v>10403</v>
      </c>
      <c r="C9913" t="s">
        <v>426</v>
      </c>
      <c r="D9913" t="s">
        <v>25905</v>
      </c>
    </row>
    <row r="9914" spans="1:4">
      <c r="A9914">
        <v>3737</v>
      </c>
      <c r="B9914" t="s">
        <v>10404</v>
      </c>
      <c r="C9914" t="s">
        <v>426</v>
      </c>
      <c r="D9914" t="s">
        <v>25906</v>
      </c>
    </row>
    <row r="9915" spans="1:4">
      <c r="A9915">
        <v>3738</v>
      </c>
      <c r="B9915" t="s">
        <v>10405</v>
      </c>
      <c r="C9915" t="s">
        <v>426</v>
      </c>
      <c r="D9915" t="s">
        <v>17873</v>
      </c>
    </row>
    <row r="9916" spans="1:4">
      <c r="A9916">
        <v>3747</v>
      </c>
      <c r="B9916" t="s">
        <v>10406</v>
      </c>
      <c r="C9916" t="s">
        <v>426</v>
      </c>
      <c r="D9916" t="s">
        <v>25904</v>
      </c>
    </row>
    <row r="9917" spans="1:4">
      <c r="A9917">
        <v>11649</v>
      </c>
      <c r="B9917" t="s">
        <v>10407</v>
      </c>
      <c r="C9917" t="s">
        <v>427</v>
      </c>
      <c r="D9917" t="s">
        <v>25907</v>
      </c>
    </row>
    <row r="9918" spans="1:4">
      <c r="A9918">
        <v>11650</v>
      </c>
      <c r="B9918" t="s">
        <v>10408</v>
      </c>
      <c r="C9918" t="s">
        <v>427</v>
      </c>
      <c r="D9918" t="s">
        <v>25908</v>
      </c>
    </row>
    <row r="9919" spans="1:4">
      <c r="A9919">
        <v>3742</v>
      </c>
      <c r="B9919" t="s">
        <v>10409</v>
      </c>
      <c r="C9919" t="s">
        <v>426</v>
      </c>
      <c r="D9919" t="s">
        <v>25909</v>
      </c>
    </row>
    <row r="9920" spans="1:4">
      <c r="A9920">
        <v>3746</v>
      </c>
      <c r="B9920" t="s">
        <v>10410</v>
      </c>
      <c r="C9920" t="s">
        <v>426</v>
      </c>
      <c r="D9920" t="s">
        <v>14798</v>
      </c>
    </row>
    <row r="9921" spans="1:4">
      <c r="A9921">
        <v>21106</v>
      </c>
      <c r="B9921" t="s">
        <v>10411</v>
      </c>
      <c r="C9921" t="s">
        <v>430</v>
      </c>
      <c r="D9921" t="s">
        <v>20360</v>
      </c>
    </row>
    <row r="9922" spans="1:4">
      <c r="A9922">
        <v>3755</v>
      </c>
      <c r="B9922" t="s">
        <v>10412</v>
      </c>
      <c r="C9922" t="s">
        <v>427</v>
      </c>
      <c r="D9922" t="s">
        <v>25910</v>
      </c>
    </row>
    <row r="9923" spans="1:4">
      <c r="A9923">
        <v>3750</v>
      </c>
      <c r="B9923" t="s">
        <v>10413</v>
      </c>
      <c r="C9923" t="s">
        <v>427</v>
      </c>
      <c r="D9923" t="s">
        <v>18697</v>
      </c>
    </row>
    <row r="9924" spans="1:4">
      <c r="A9924">
        <v>3756</v>
      </c>
      <c r="B9924" t="s">
        <v>10414</v>
      </c>
      <c r="C9924" t="s">
        <v>427</v>
      </c>
      <c r="D9924" t="s">
        <v>25911</v>
      </c>
    </row>
    <row r="9925" spans="1:4">
      <c r="A9925">
        <v>39377</v>
      </c>
      <c r="B9925" t="s">
        <v>10415</v>
      </c>
      <c r="C9925" t="s">
        <v>427</v>
      </c>
      <c r="D9925" t="s">
        <v>17895</v>
      </c>
    </row>
    <row r="9926" spans="1:4">
      <c r="A9926">
        <v>38191</v>
      </c>
      <c r="B9926" t="s">
        <v>10416</v>
      </c>
      <c r="C9926" t="s">
        <v>427</v>
      </c>
      <c r="D9926" t="s">
        <v>18084</v>
      </c>
    </row>
    <row r="9927" spans="1:4">
      <c r="A9927">
        <v>39381</v>
      </c>
      <c r="B9927" t="s">
        <v>10417</v>
      </c>
      <c r="C9927" t="s">
        <v>427</v>
      </c>
      <c r="D9927" t="s">
        <v>24593</v>
      </c>
    </row>
    <row r="9928" spans="1:4">
      <c r="A9928">
        <v>38780</v>
      </c>
      <c r="B9928" t="s">
        <v>10418</v>
      </c>
      <c r="C9928" t="s">
        <v>427</v>
      </c>
      <c r="D9928" t="s">
        <v>15110</v>
      </c>
    </row>
    <row r="9929" spans="1:4">
      <c r="A9929">
        <v>38781</v>
      </c>
      <c r="B9929" t="s">
        <v>10419</v>
      </c>
      <c r="C9929" t="s">
        <v>427</v>
      </c>
      <c r="D9929" t="s">
        <v>25912</v>
      </c>
    </row>
    <row r="9930" spans="1:4">
      <c r="A9930">
        <v>38192</v>
      </c>
      <c r="B9930" t="s">
        <v>10420</v>
      </c>
      <c r="C9930" t="s">
        <v>427</v>
      </c>
      <c r="D9930" t="s">
        <v>25913</v>
      </c>
    </row>
    <row r="9931" spans="1:4">
      <c r="A9931">
        <v>3753</v>
      </c>
      <c r="B9931" t="s">
        <v>10421</v>
      </c>
      <c r="C9931" t="s">
        <v>427</v>
      </c>
      <c r="D9931" t="s">
        <v>15036</v>
      </c>
    </row>
    <row r="9932" spans="1:4">
      <c r="A9932">
        <v>38782</v>
      </c>
      <c r="B9932" t="s">
        <v>10422</v>
      </c>
      <c r="C9932" t="s">
        <v>427</v>
      </c>
      <c r="D9932" t="s">
        <v>22698</v>
      </c>
    </row>
    <row r="9933" spans="1:4">
      <c r="A9933">
        <v>38778</v>
      </c>
      <c r="B9933" t="s">
        <v>10423</v>
      </c>
      <c r="C9933" t="s">
        <v>427</v>
      </c>
      <c r="D9933" t="s">
        <v>15495</v>
      </c>
    </row>
    <row r="9934" spans="1:4">
      <c r="A9934">
        <v>38779</v>
      </c>
      <c r="B9934" t="s">
        <v>10424</v>
      </c>
      <c r="C9934" t="s">
        <v>427</v>
      </c>
      <c r="D9934" t="s">
        <v>19132</v>
      </c>
    </row>
    <row r="9935" spans="1:4">
      <c r="A9935">
        <v>39388</v>
      </c>
      <c r="B9935" t="s">
        <v>10425</v>
      </c>
      <c r="C9935" t="s">
        <v>427</v>
      </c>
      <c r="D9935" t="s">
        <v>17176</v>
      </c>
    </row>
    <row r="9936" spans="1:4">
      <c r="A9936">
        <v>39387</v>
      </c>
      <c r="B9936" t="s">
        <v>10426</v>
      </c>
      <c r="C9936" t="s">
        <v>427</v>
      </c>
      <c r="D9936" t="s">
        <v>19423</v>
      </c>
    </row>
    <row r="9937" spans="1:4">
      <c r="A9937">
        <v>39386</v>
      </c>
      <c r="B9937" t="s">
        <v>10427</v>
      </c>
      <c r="C9937" t="s">
        <v>427</v>
      </c>
      <c r="D9937" t="s">
        <v>17193</v>
      </c>
    </row>
    <row r="9938" spans="1:4">
      <c r="A9938">
        <v>38194</v>
      </c>
      <c r="B9938" t="s">
        <v>10428</v>
      </c>
      <c r="C9938" t="s">
        <v>427</v>
      </c>
      <c r="D9938" t="s">
        <v>25265</v>
      </c>
    </row>
    <row r="9939" spans="1:4">
      <c r="A9939">
        <v>38193</v>
      </c>
      <c r="B9939" t="s">
        <v>10429</v>
      </c>
      <c r="C9939" t="s">
        <v>427</v>
      </c>
      <c r="D9939" t="s">
        <v>24303</v>
      </c>
    </row>
    <row r="9940" spans="1:4">
      <c r="A9940">
        <v>12216</v>
      </c>
      <c r="B9940" t="s">
        <v>10430</v>
      </c>
      <c r="C9940" t="s">
        <v>427</v>
      </c>
      <c r="D9940" t="s">
        <v>25914</v>
      </c>
    </row>
    <row r="9941" spans="1:4">
      <c r="A9941">
        <v>3757</v>
      </c>
      <c r="B9941" t="s">
        <v>10431</v>
      </c>
      <c r="C9941" t="s">
        <v>427</v>
      </c>
      <c r="D9941" t="s">
        <v>25094</v>
      </c>
    </row>
    <row r="9942" spans="1:4">
      <c r="A9942">
        <v>3758</v>
      </c>
      <c r="B9942" t="s">
        <v>10432</v>
      </c>
      <c r="C9942" t="s">
        <v>427</v>
      </c>
      <c r="D9942" t="s">
        <v>24761</v>
      </c>
    </row>
    <row r="9943" spans="1:4">
      <c r="A9943">
        <v>12214</v>
      </c>
      <c r="B9943" t="s">
        <v>10433</v>
      </c>
      <c r="C9943" t="s">
        <v>427</v>
      </c>
      <c r="D9943" t="s">
        <v>25915</v>
      </c>
    </row>
    <row r="9944" spans="1:4">
      <c r="A9944">
        <v>3749</v>
      </c>
      <c r="B9944" t="s">
        <v>10434</v>
      </c>
      <c r="C9944" t="s">
        <v>427</v>
      </c>
      <c r="D9944" t="s">
        <v>25916</v>
      </c>
    </row>
    <row r="9945" spans="1:4">
      <c r="A9945">
        <v>3751</v>
      </c>
      <c r="B9945" t="s">
        <v>10435</v>
      </c>
      <c r="C9945" t="s">
        <v>427</v>
      </c>
      <c r="D9945" t="s">
        <v>25917</v>
      </c>
    </row>
    <row r="9946" spans="1:4">
      <c r="A9946">
        <v>39376</v>
      </c>
      <c r="B9946" t="s">
        <v>10436</v>
      </c>
      <c r="C9946" t="s">
        <v>427</v>
      </c>
      <c r="D9946" t="s">
        <v>22912</v>
      </c>
    </row>
    <row r="9947" spans="1:4">
      <c r="A9947">
        <v>3752</v>
      </c>
      <c r="B9947" t="s">
        <v>10437</v>
      </c>
      <c r="C9947" t="s">
        <v>427</v>
      </c>
      <c r="D9947" t="s">
        <v>25918</v>
      </c>
    </row>
    <row r="9948" spans="1:4">
      <c r="A9948">
        <v>746</v>
      </c>
      <c r="B9948" t="s">
        <v>10438</v>
      </c>
      <c r="C9948" t="s">
        <v>427</v>
      </c>
      <c r="D9948" t="s">
        <v>25919</v>
      </c>
    </row>
    <row r="9949" spans="1:4">
      <c r="A9949">
        <v>20269</v>
      </c>
      <c r="B9949" t="s">
        <v>10439</v>
      </c>
      <c r="C9949" t="s">
        <v>427</v>
      </c>
      <c r="D9949" t="s">
        <v>25920</v>
      </c>
    </row>
    <row r="9950" spans="1:4">
      <c r="A9950">
        <v>20270</v>
      </c>
      <c r="B9950" t="s">
        <v>10440</v>
      </c>
      <c r="C9950" t="s">
        <v>427</v>
      </c>
      <c r="D9950" t="s">
        <v>18090</v>
      </c>
    </row>
    <row r="9951" spans="1:4">
      <c r="A9951">
        <v>11696</v>
      </c>
      <c r="B9951" t="s">
        <v>10441</v>
      </c>
      <c r="C9951" t="s">
        <v>427</v>
      </c>
      <c r="D9951" t="s">
        <v>25921</v>
      </c>
    </row>
    <row r="9952" spans="1:4">
      <c r="A9952">
        <v>10427</v>
      </c>
      <c r="B9952" t="s">
        <v>10442</v>
      </c>
      <c r="C9952" t="s">
        <v>427</v>
      </c>
      <c r="D9952" t="s">
        <v>25922</v>
      </c>
    </row>
    <row r="9953" spans="1:4">
      <c r="A9953">
        <v>10428</v>
      </c>
      <c r="B9953" t="s">
        <v>10443</v>
      </c>
      <c r="C9953" t="s">
        <v>427</v>
      </c>
      <c r="D9953" t="s">
        <v>25923</v>
      </c>
    </row>
    <row r="9954" spans="1:4">
      <c r="A9954">
        <v>36521</v>
      </c>
      <c r="B9954" t="s">
        <v>10444</v>
      </c>
      <c r="C9954" t="s">
        <v>427</v>
      </c>
      <c r="D9954" t="s">
        <v>25924</v>
      </c>
    </row>
    <row r="9955" spans="1:4">
      <c r="A9955">
        <v>36794</v>
      </c>
      <c r="B9955" t="s">
        <v>10445</v>
      </c>
      <c r="C9955" t="s">
        <v>427</v>
      </c>
      <c r="D9955" t="s">
        <v>25925</v>
      </c>
    </row>
    <row r="9956" spans="1:4">
      <c r="A9956">
        <v>10426</v>
      </c>
      <c r="B9956" t="s">
        <v>10446</v>
      </c>
      <c r="C9956" t="s">
        <v>427</v>
      </c>
      <c r="D9956" t="s">
        <v>25926</v>
      </c>
    </row>
    <row r="9957" spans="1:4">
      <c r="A9957">
        <v>10425</v>
      </c>
      <c r="B9957" t="s">
        <v>10447</v>
      </c>
      <c r="C9957" t="s">
        <v>427</v>
      </c>
      <c r="D9957" t="s">
        <v>23400</v>
      </c>
    </row>
    <row r="9958" spans="1:4">
      <c r="A9958">
        <v>10431</v>
      </c>
      <c r="B9958" t="s">
        <v>10448</v>
      </c>
      <c r="C9958" t="s">
        <v>427</v>
      </c>
      <c r="D9958" t="s">
        <v>25927</v>
      </c>
    </row>
    <row r="9959" spans="1:4">
      <c r="A9959">
        <v>10429</v>
      </c>
      <c r="B9959" t="s">
        <v>10449</v>
      </c>
      <c r="C9959" t="s">
        <v>427</v>
      </c>
      <c r="D9959" t="s">
        <v>25928</v>
      </c>
    </row>
    <row r="9960" spans="1:4">
      <c r="A9960">
        <v>2354</v>
      </c>
      <c r="B9960" t="s">
        <v>10450</v>
      </c>
      <c r="C9960" t="s">
        <v>432</v>
      </c>
      <c r="D9960" t="s">
        <v>19213</v>
      </c>
    </row>
    <row r="9961" spans="1:4">
      <c r="A9961">
        <v>40932</v>
      </c>
      <c r="B9961" t="s">
        <v>10451</v>
      </c>
      <c r="C9961" t="s">
        <v>433</v>
      </c>
      <c r="D9961" t="s">
        <v>25929</v>
      </c>
    </row>
    <row r="9962" spans="1:4">
      <c r="A9962">
        <v>10853</v>
      </c>
      <c r="B9962" t="s">
        <v>10452</v>
      </c>
      <c r="C9962" t="s">
        <v>427</v>
      </c>
      <c r="D9962" t="s">
        <v>25930</v>
      </c>
    </row>
    <row r="9963" spans="1:4">
      <c r="A9963">
        <v>5093</v>
      </c>
      <c r="B9963" t="s">
        <v>10453</v>
      </c>
      <c r="C9963" t="s">
        <v>434</v>
      </c>
      <c r="D9963" t="s">
        <v>14804</v>
      </c>
    </row>
    <row r="9964" spans="1:4">
      <c r="A9964">
        <v>44331</v>
      </c>
      <c r="B9964" t="s">
        <v>10454</v>
      </c>
      <c r="C9964" t="s">
        <v>428</v>
      </c>
      <c r="D9964" t="s">
        <v>25931</v>
      </c>
    </row>
    <row r="9965" spans="1:4">
      <c r="A9965">
        <v>37768</v>
      </c>
      <c r="B9965" t="s">
        <v>10455</v>
      </c>
      <c r="C9965" t="s">
        <v>427</v>
      </c>
      <c r="D9965" t="s">
        <v>25932</v>
      </c>
    </row>
    <row r="9966" spans="1:4">
      <c r="A9966">
        <v>37773</v>
      </c>
      <c r="B9966" t="s">
        <v>10456</v>
      </c>
      <c r="C9966" t="s">
        <v>427</v>
      </c>
      <c r="D9966" t="s">
        <v>25933</v>
      </c>
    </row>
    <row r="9967" spans="1:4">
      <c r="A9967">
        <v>37769</v>
      </c>
      <c r="B9967" t="s">
        <v>10457</v>
      </c>
      <c r="C9967" t="s">
        <v>427</v>
      </c>
      <c r="D9967" t="s">
        <v>25934</v>
      </c>
    </row>
    <row r="9968" spans="1:4">
      <c r="A9968">
        <v>37770</v>
      </c>
      <c r="B9968" t="s">
        <v>10458</v>
      </c>
      <c r="C9968" t="s">
        <v>427</v>
      </c>
      <c r="D9968" t="s">
        <v>25935</v>
      </c>
    </row>
    <row r="9969" spans="1:4">
      <c r="A9969">
        <v>38382</v>
      </c>
      <c r="B9969" t="s">
        <v>10459</v>
      </c>
      <c r="C9969" t="s">
        <v>427</v>
      </c>
      <c r="D9969" t="s">
        <v>18663</v>
      </c>
    </row>
    <row r="9970" spans="1:4">
      <c r="A9970">
        <v>38383</v>
      </c>
      <c r="B9970" t="s">
        <v>10460</v>
      </c>
      <c r="C9970" t="s">
        <v>427</v>
      </c>
      <c r="D9970" t="s">
        <v>15804</v>
      </c>
    </row>
    <row r="9971" spans="1:4">
      <c r="A9971">
        <v>3768</v>
      </c>
      <c r="B9971" t="s">
        <v>10461</v>
      </c>
      <c r="C9971" t="s">
        <v>427</v>
      </c>
      <c r="D9971" t="s">
        <v>20181</v>
      </c>
    </row>
    <row r="9972" spans="1:4">
      <c r="A9972">
        <v>3767</v>
      </c>
      <c r="B9972" t="s">
        <v>13458</v>
      </c>
      <c r="C9972" t="s">
        <v>427</v>
      </c>
      <c r="D9972" t="s">
        <v>19511</v>
      </c>
    </row>
    <row r="9973" spans="1:4">
      <c r="A9973">
        <v>13192</v>
      </c>
      <c r="B9973" t="s">
        <v>10462</v>
      </c>
      <c r="C9973" t="s">
        <v>427</v>
      </c>
      <c r="D9973" t="s">
        <v>25936</v>
      </c>
    </row>
    <row r="9974" spans="1:4">
      <c r="A9974">
        <v>38413</v>
      </c>
      <c r="B9974" t="s">
        <v>10463</v>
      </c>
      <c r="C9974" t="s">
        <v>427</v>
      </c>
      <c r="D9974" t="s">
        <v>25937</v>
      </c>
    </row>
    <row r="9975" spans="1:4">
      <c r="A9975">
        <v>42440</v>
      </c>
      <c r="B9975" t="s">
        <v>10464</v>
      </c>
      <c r="C9975" t="s">
        <v>427</v>
      </c>
      <c r="D9975" t="s">
        <v>25938</v>
      </c>
    </row>
    <row r="9976" spans="1:4">
      <c r="A9976">
        <v>20193</v>
      </c>
      <c r="B9976" t="s">
        <v>10465</v>
      </c>
      <c r="C9976" t="s">
        <v>442</v>
      </c>
      <c r="D9976" t="s">
        <v>25939</v>
      </c>
    </row>
    <row r="9977" spans="1:4">
      <c r="A9977">
        <v>10527</v>
      </c>
      <c r="B9977" t="s">
        <v>10466</v>
      </c>
      <c r="C9977" t="s">
        <v>443</v>
      </c>
      <c r="D9977" t="s">
        <v>22820</v>
      </c>
    </row>
    <row r="9978" spans="1:4">
      <c r="A9978">
        <v>41805</v>
      </c>
      <c r="B9978" t="s">
        <v>10467</v>
      </c>
      <c r="C9978" t="s">
        <v>433</v>
      </c>
      <c r="D9978" t="s">
        <v>25940</v>
      </c>
    </row>
    <row r="9979" spans="1:4">
      <c r="A9979">
        <v>40271</v>
      </c>
      <c r="B9979" t="s">
        <v>10468</v>
      </c>
      <c r="C9979" t="s">
        <v>433</v>
      </c>
      <c r="D9979" t="s">
        <v>16942</v>
      </c>
    </row>
    <row r="9980" spans="1:4">
      <c r="A9980">
        <v>40287</v>
      </c>
      <c r="B9980" t="s">
        <v>10469</v>
      </c>
      <c r="C9980" t="s">
        <v>433</v>
      </c>
      <c r="D9980" t="s">
        <v>23312</v>
      </c>
    </row>
    <row r="9981" spans="1:4">
      <c r="A9981">
        <v>4084</v>
      </c>
      <c r="B9981" t="s">
        <v>13459</v>
      </c>
      <c r="C9981" t="s">
        <v>432</v>
      </c>
      <c r="D9981" t="s">
        <v>20067</v>
      </c>
    </row>
    <row r="9982" spans="1:4">
      <c r="A9982">
        <v>743</v>
      </c>
      <c r="B9982" t="s">
        <v>13460</v>
      </c>
      <c r="C9982" t="s">
        <v>432</v>
      </c>
      <c r="D9982" t="s">
        <v>20067</v>
      </c>
    </row>
    <row r="9983" spans="1:4">
      <c r="A9983">
        <v>40293</v>
      </c>
      <c r="B9983" t="s">
        <v>13461</v>
      </c>
      <c r="C9983" t="s">
        <v>432</v>
      </c>
      <c r="D9983" t="s">
        <v>15748</v>
      </c>
    </row>
    <row r="9984" spans="1:4">
      <c r="A9984">
        <v>40294</v>
      </c>
      <c r="B9984" t="s">
        <v>13462</v>
      </c>
      <c r="C9984" t="s">
        <v>432</v>
      </c>
      <c r="D9984" t="s">
        <v>20067</v>
      </c>
    </row>
    <row r="9985" spans="1:4">
      <c r="A9985">
        <v>4085</v>
      </c>
      <c r="B9985" t="s">
        <v>13463</v>
      </c>
      <c r="C9985" t="s">
        <v>432</v>
      </c>
      <c r="D9985" t="s">
        <v>15652</v>
      </c>
    </row>
    <row r="9986" spans="1:4">
      <c r="A9986">
        <v>10779</v>
      </c>
      <c r="B9986" t="s">
        <v>20484</v>
      </c>
      <c r="C9986" t="s">
        <v>433</v>
      </c>
      <c r="D9986" t="s">
        <v>25941</v>
      </c>
    </row>
    <row r="9987" spans="1:4">
      <c r="A9987">
        <v>10777</v>
      </c>
      <c r="B9987" t="s">
        <v>20485</v>
      </c>
      <c r="C9987" t="s">
        <v>433</v>
      </c>
      <c r="D9987" t="s">
        <v>25942</v>
      </c>
    </row>
    <row r="9988" spans="1:4">
      <c r="A9988">
        <v>10775</v>
      </c>
      <c r="B9988" t="s">
        <v>20486</v>
      </c>
      <c r="C9988" t="s">
        <v>433</v>
      </c>
      <c r="D9988" t="s">
        <v>25943</v>
      </c>
    </row>
    <row r="9989" spans="1:4">
      <c r="A9989">
        <v>10776</v>
      </c>
      <c r="B9989" t="s">
        <v>20487</v>
      </c>
      <c r="C9989" t="s">
        <v>433</v>
      </c>
      <c r="D9989" t="s">
        <v>25944</v>
      </c>
    </row>
    <row r="9990" spans="1:4">
      <c r="A9990">
        <v>10778</v>
      </c>
      <c r="B9990" t="s">
        <v>20488</v>
      </c>
      <c r="C9990" t="s">
        <v>433</v>
      </c>
      <c r="D9990" t="s">
        <v>25941</v>
      </c>
    </row>
    <row r="9991" spans="1:4">
      <c r="A9991">
        <v>40339</v>
      </c>
      <c r="B9991" t="s">
        <v>10470</v>
      </c>
      <c r="C9991" t="s">
        <v>433</v>
      </c>
      <c r="D9991" t="s">
        <v>23312</v>
      </c>
    </row>
    <row r="9992" spans="1:4">
      <c r="A9992">
        <v>10749</v>
      </c>
      <c r="B9992" t="s">
        <v>10471</v>
      </c>
      <c r="C9992" t="s">
        <v>433</v>
      </c>
      <c r="D9992" t="s">
        <v>17215</v>
      </c>
    </row>
    <row r="9993" spans="1:4">
      <c r="A9993">
        <v>40290</v>
      </c>
      <c r="B9993" t="s">
        <v>10472</v>
      </c>
      <c r="C9993" t="s">
        <v>433</v>
      </c>
      <c r="D9993" t="s">
        <v>16906</v>
      </c>
    </row>
    <row r="9994" spans="1:4">
      <c r="A9994">
        <v>3346</v>
      </c>
      <c r="B9994" t="s">
        <v>10473</v>
      </c>
      <c r="C9994" t="s">
        <v>432</v>
      </c>
      <c r="D9994" t="s">
        <v>14861</v>
      </c>
    </row>
    <row r="9995" spans="1:4">
      <c r="A9995">
        <v>3348</v>
      </c>
      <c r="B9995" t="s">
        <v>10474</v>
      </c>
      <c r="C9995" t="s">
        <v>432</v>
      </c>
      <c r="D9995" t="s">
        <v>25945</v>
      </c>
    </row>
    <row r="9996" spans="1:4">
      <c r="A9996">
        <v>39833</v>
      </c>
      <c r="B9996" t="s">
        <v>10475</v>
      </c>
      <c r="C9996" t="s">
        <v>432</v>
      </c>
      <c r="D9996" t="s">
        <v>22708</v>
      </c>
    </row>
    <row r="9997" spans="1:4">
      <c r="A9997">
        <v>7252</v>
      </c>
      <c r="B9997" t="s">
        <v>10476</v>
      </c>
      <c r="C9997" t="s">
        <v>432</v>
      </c>
      <c r="D9997" t="s">
        <v>24385</v>
      </c>
    </row>
    <row r="9998" spans="1:4">
      <c r="A9998">
        <v>7247</v>
      </c>
      <c r="B9998" t="s">
        <v>10477</v>
      </c>
      <c r="C9998" t="s">
        <v>432</v>
      </c>
      <c r="D9998" t="s">
        <v>24385</v>
      </c>
    </row>
    <row r="9999" spans="1:4">
      <c r="A9999">
        <v>40291</v>
      </c>
      <c r="B9999" t="s">
        <v>10478</v>
      </c>
      <c r="C9999" t="s">
        <v>433</v>
      </c>
      <c r="D9999" t="s">
        <v>25946</v>
      </c>
    </row>
    <row r="10000" spans="1:4">
      <c r="A10000">
        <v>40275</v>
      </c>
      <c r="B10000" t="s">
        <v>10479</v>
      </c>
      <c r="C10000" t="s">
        <v>433</v>
      </c>
      <c r="D10000" t="s">
        <v>22820</v>
      </c>
    </row>
    <row r="10001" spans="1:4">
      <c r="A10001">
        <v>42408</v>
      </c>
      <c r="B10001" t="s">
        <v>10480</v>
      </c>
      <c r="C10001" t="s">
        <v>426</v>
      </c>
      <c r="D10001" t="s">
        <v>20574</v>
      </c>
    </row>
    <row r="10002" spans="1:4">
      <c r="A10002">
        <v>3777</v>
      </c>
      <c r="B10002" t="s">
        <v>10481</v>
      </c>
      <c r="C10002" t="s">
        <v>426</v>
      </c>
      <c r="D10002" t="s">
        <v>25947</v>
      </c>
    </row>
    <row r="10003" spans="1:4">
      <c r="A10003">
        <v>3798</v>
      </c>
      <c r="B10003" t="s">
        <v>10482</v>
      </c>
      <c r="C10003" t="s">
        <v>427</v>
      </c>
      <c r="D10003" t="s">
        <v>22618</v>
      </c>
    </row>
    <row r="10004" spans="1:4">
      <c r="A10004">
        <v>38769</v>
      </c>
      <c r="B10004" t="s">
        <v>10483</v>
      </c>
      <c r="C10004" t="s">
        <v>427</v>
      </c>
      <c r="D10004" t="s">
        <v>25948</v>
      </c>
    </row>
    <row r="10005" spans="1:4">
      <c r="A10005">
        <v>39510</v>
      </c>
      <c r="B10005" t="s">
        <v>10484</v>
      </c>
      <c r="C10005" t="s">
        <v>427</v>
      </c>
      <c r="D10005" t="s">
        <v>25284</v>
      </c>
    </row>
    <row r="10006" spans="1:4">
      <c r="A10006">
        <v>38776</v>
      </c>
      <c r="B10006" t="s">
        <v>10485</v>
      </c>
      <c r="C10006" t="s">
        <v>427</v>
      </c>
      <c r="D10006" t="s">
        <v>25949</v>
      </c>
    </row>
    <row r="10007" spans="1:4">
      <c r="A10007">
        <v>38774</v>
      </c>
      <c r="B10007" t="s">
        <v>10486</v>
      </c>
      <c r="C10007" t="s">
        <v>427</v>
      </c>
      <c r="D10007" t="s">
        <v>15910</v>
      </c>
    </row>
    <row r="10008" spans="1:4">
      <c r="A10008">
        <v>42247</v>
      </c>
      <c r="B10008" t="s">
        <v>10487</v>
      </c>
      <c r="C10008" t="s">
        <v>427</v>
      </c>
      <c r="D10008" t="s">
        <v>25950</v>
      </c>
    </row>
    <row r="10009" spans="1:4">
      <c r="A10009">
        <v>42248</v>
      </c>
      <c r="B10009" t="s">
        <v>10488</v>
      </c>
      <c r="C10009" t="s">
        <v>427</v>
      </c>
      <c r="D10009" t="s">
        <v>25951</v>
      </c>
    </row>
    <row r="10010" spans="1:4">
      <c r="A10010">
        <v>42249</v>
      </c>
      <c r="B10010" t="s">
        <v>10489</v>
      </c>
      <c r="C10010" t="s">
        <v>427</v>
      </c>
      <c r="D10010" t="s">
        <v>25952</v>
      </c>
    </row>
    <row r="10011" spans="1:4">
      <c r="A10011">
        <v>42244</v>
      </c>
      <c r="B10011" t="s">
        <v>10490</v>
      </c>
      <c r="C10011" t="s">
        <v>427</v>
      </c>
      <c r="D10011" t="s">
        <v>25953</v>
      </c>
    </row>
    <row r="10012" spans="1:4">
      <c r="A10012">
        <v>42245</v>
      </c>
      <c r="B10012" t="s">
        <v>10491</v>
      </c>
      <c r="C10012" t="s">
        <v>427</v>
      </c>
      <c r="D10012" t="s">
        <v>25954</v>
      </c>
    </row>
    <row r="10013" spans="1:4">
      <c r="A10013">
        <v>42246</v>
      </c>
      <c r="B10013" t="s">
        <v>10492</v>
      </c>
      <c r="C10013" t="s">
        <v>427</v>
      </c>
      <c r="D10013" t="s">
        <v>25955</v>
      </c>
    </row>
    <row r="10014" spans="1:4">
      <c r="A10014">
        <v>42243</v>
      </c>
      <c r="B10014" t="s">
        <v>10493</v>
      </c>
      <c r="C10014" t="s">
        <v>427</v>
      </c>
      <c r="D10014" t="s">
        <v>25956</v>
      </c>
    </row>
    <row r="10015" spans="1:4">
      <c r="A10015">
        <v>38889</v>
      </c>
      <c r="B10015" t="s">
        <v>10494</v>
      </c>
      <c r="C10015" t="s">
        <v>427</v>
      </c>
      <c r="D10015" t="s">
        <v>18556</v>
      </c>
    </row>
    <row r="10016" spans="1:4">
      <c r="A10016">
        <v>38784</v>
      </c>
      <c r="B10016" t="s">
        <v>10495</v>
      </c>
      <c r="C10016" t="s">
        <v>427</v>
      </c>
      <c r="D10016" t="s">
        <v>22950</v>
      </c>
    </row>
    <row r="10017" spans="1:4">
      <c r="A10017">
        <v>3788</v>
      </c>
      <c r="B10017" t="s">
        <v>10496</v>
      </c>
      <c r="C10017" t="s">
        <v>427</v>
      </c>
      <c r="D10017" t="s">
        <v>25957</v>
      </c>
    </row>
    <row r="10018" spans="1:4">
      <c r="A10018">
        <v>12230</v>
      </c>
      <c r="B10018" t="s">
        <v>10497</v>
      </c>
      <c r="C10018" t="s">
        <v>427</v>
      </c>
      <c r="D10018" t="s">
        <v>17438</v>
      </c>
    </row>
    <row r="10019" spans="1:4">
      <c r="A10019">
        <v>3780</v>
      </c>
      <c r="B10019" t="s">
        <v>10498</v>
      </c>
      <c r="C10019" t="s">
        <v>427</v>
      </c>
      <c r="D10019" t="s">
        <v>25958</v>
      </c>
    </row>
    <row r="10020" spans="1:4">
      <c r="A10020">
        <v>12231</v>
      </c>
      <c r="B10020" t="s">
        <v>10499</v>
      </c>
      <c r="C10020" t="s">
        <v>427</v>
      </c>
      <c r="D10020" t="s">
        <v>23865</v>
      </c>
    </row>
    <row r="10021" spans="1:4">
      <c r="A10021">
        <v>3811</v>
      </c>
      <c r="B10021" t="s">
        <v>10500</v>
      </c>
      <c r="C10021" t="s">
        <v>427</v>
      </c>
      <c r="D10021" t="s">
        <v>19708</v>
      </c>
    </row>
    <row r="10022" spans="1:4">
      <c r="A10022">
        <v>12232</v>
      </c>
      <c r="B10022" t="s">
        <v>10501</v>
      </c>
      <c r="C10022" t="s">
        <v>427</v>
      </c>
      <c r="D10022" t="s">
        <v>25959</v>
      </c>
    </row>
    <row r="10023" spans="1:4">
      <c r="A10023">
        <v>3799</v>
      </c>
      <c r="B10023" t="s">
        <v>10502</v>
      </c>
      <c r="C10023" t="s">
        <v>427</v>
      </c>
      <c r="D10023" t="s">
        <v>25960</v>
      </c>
    </row>
    <row r="10024" spans="1:4">
      <c r="A10024">
        <v>12239</v>
      </c>
      <c r="B10024" t="s">
        <v>10503</v>
      </c>
      <c r="C10024" t="s">
        <v>427</v>
      </c>
      <c r="D10024" t="s">
        <v>25961</v>
      </c>
    </row>
    <row r="10025" spans="1:4">
      <c r="A10025">
        <v>38773</v>
      </c>
      <c r="B10025" t="s">
        <v>10504</v>
      </c>
      <c r="C10025" t="s">
        <v>427</v>
      </c>
      <c r="D10025" t="s">
        <v>17197</v>
      </c>
    </row>
    <row r="10026" spans="1:4">
      <c r="A10026">
        <v>12271</v>
      </c>
      <c r="B10026" t="s">
        <v>10505</v>
      </c>
      <c r="C10026" t="s">
        <v>427</v>
      </c>
      <c r="D10026" t="s">
        <v>17616</v>
      </c>
    </row>
    <row r="10027" spans="1:4">
      <c r="A10027">
        <v>38785</v>
      </c>
      <c r="B10027" t="s">
        <v>10506</v>
      </c>
      <c r="C10027" t="s">
        <v>427</v>
      </c>
      <c r="D10027" t="s">
        <v>25962</v>
      </c>
    </row>
    <row r="10028" spans="1:4">
      <c r="A10028">
        <v>38786</v>
      </c>
      <c r="B10028" t="s">
        <v>10507</v>
      </c>
      <c r="C10028" t="s">
        <v>427</v>
      </c>
      <c r="D10028" t="s">
        <v>18676</v>
      </c>
    </row>
    <row r="10029" spans="1:4">
      <c r="A10029">
        <v>39385</v>
      </c>
      <c r="B10029" t="s">
        <v>10508</v>
      </c>
      <c r="C10029" t="s">
        <v>427</v>
      </c>
      <c r="D10029" t="s">
        <v>22730</v>
      </c>
    </row>
    <row r="10030" spans="1:4">
      <c r="A10030">
        <v>39389</v>
      </c>
      <c r="B10030" t="s">
        <v>10509</v>
      </c>
      <c r="C10030" t="s">
        <v>427</v>
      </c>
      <c r="D10030" t="s">
        <v>19619</v>
      </c>
    </row>
    <row r="10031" spans="1:4">
      <c r="A10031">
        <v>39390</v>
      </c>
      <c r="B10031" t="s">
        <v>10510</v>
      </c>
      <c r="C10031" t="s">
        <v>427</v>
      </c>
      <c r="D10031" t="s">
        <v>25963</v>
      </c>
    </row>
    <row r="10032" spans="1:4">
      <c r="A10032">
        <v>39391</v>
      </c>
      <c r="B10032" t="s">
        <v>10511</v>
      </c>
      <c r="C10032" t="s">
        <v>427</v>
      </c>
      <c r="D10032" t="s">
        <v>25023</v>
      </c>
    </row>
    <row r="10033" spans="1:4">
      <c r="A10033">
        <v>3803</v>
      </c>
      <c r="B10033" t="s">
        <v>10512</v>
      </c>
      <c r="C10033" t="s">
        <v>427</v>
      </c>
      <c r="D10033" t="s">
        <v>25964</v>
      </c>
    </row>
    <row r="10034" spans="1:4">
      <c r="A10034">
        <v>38770</v>
      </c>
      <c r="B10034" t="s">
        <v>10513</v>
      </c>
      <c r="C10034" t="s">
        <v>427</v>
      </c>
      <c r="D10034" t="s">
        <v>25965</v>
      </c>
    </row>
    <row r="10035" spans="1:4">
      <c r="A10035">
        <v>12267</v>
      </c>
      <c r="B10035" t="s">
        <v>10514</v>
      </c>
      <c r="C10035" t="s">
        <v>427</v>
      </c>
      <c r="D10035" t="s">
        <v>25966</v>
      </c>
    </row>
    <row r="10036" spans="1:4">
      <c r="A10036">
        <v>43265</v>
      </c>
      <c r="B10036" t="s">
        <v>10515</v>
      </c>
      <c r="C10036" t="s">
        <v>427</v>
      </c>
      <c r="D10036" t="s">
        <v>22206</v>
      </c>
    </row>
    <row r="10037" spans="1:4">
      <c r="A10037">
        <v>12266</v>
      </c>
      <c r="B10037" t="s">
        <v>10516</v>
      </c>
      <c r="C10037" t="s">
        <v>427</v>
      </c>
      <c r="D10037" t="s">
        <v>25967</v>
      </c>
    </row>
    <row r="10038" spans="1:4">
      <c r="A10038">
        <v>39378</v>
      </c>
      <c r="B10038" t="s">
        <v>10517</v>
      </c>
      <c r="C10038" t="s">
        <v>427</v>
      </c>
      <c r="D10038" t="s">
        <v>25968</v>
      </c>
    </row>
    <row r="10039" spans="1:4">
      <c r="A10039">
        <v>43543</v>
      </c>
      <c r="B10039" t="s">
        <v>10518</v>
      </c>
      <c r="C10039" t="s">
        <v>427</v>
      </c>
      <c r="D10039" t="s">
        <v>25969</v>
      </c>
    </row>
    <row r="10040" spans="1:4">
      <c r="A10040">
        <v>38775</v>
      </c>
      <c r="B10040" t="s">
        <v>10519</v>
      </c>
      <c r="C10040" t="s">
        <v>427</v>
      </c>
      <c r="D10040" t="s">
        <v>21083</v>
      </c>
    </row>
    <row r="10041" spans="1:4">
      <c r="A10041">
        <v>21119</v>
      </c>
      <c r="B10041" t="s">
        <v>10520</v>
      </c>
      <c r="C10041" t="s">
        <v>427</v>
      </c>
      <c r="D10041" t="s">
        <v>15653</v>
      </c>
    </row>
    <row r="10042" spans="1:4">
      <c r="A10042">
        <v>37974</v>
      </c>
      <c r="B10042" t="s">
        <v>10521</v>
      </c>
      <c r="C10042" t="s">
        <v>427</v>
      </c>
      <c r="D10042" t="s">
        <v>24838</v>
      </c>
    </row>
    <row r="10043" spans="1:4">
      <c r="A10043">
        <v>37975</v>
      </c>
      <c r="B10043" t="s">
        <v>10522</v>
      </c>
      <c r="C10043" t="s">
        <v>427</v>
      </c>
      <c r="D10043" t="s">
        <v>25970</v>
      </c>
    </row>
    <row r="10044" spans="1:4">
      <c r="A10044">
        <v>37976</v>
      </c>
      <c r="B10044" t="s">
        <v>10523</v>
      </c>
      <c r="C10044" t="s">
        <v>427</v>
      </c>
      <c r="D10044" t="s">
        <v>20716</v>
      </c>
    </row>
    <row r="10045" spans="1:4">
      <c r="A10045">
        <v>37977</v>
      </c>
      <c r="B10045" t="s">
        <v>10524</v>
      </c>
      <c r="C10045" t="s">
        <v>427</v>
      </c>
      <c r="D10045" t="s">
        <v>15808</v>
      </c>
    </row>
    <row r="10046" spans="1:4">
      <c r="A10046">
        <v>37978</v>
      </c>
      <c r="B10046" t="s">
        <v>10525</v>
      </c>
      <c r="C10046" t="s">
        <v>427</v>
      </c>
      <c r="D10046" t="s">
        <v>25971</v>
      </c>
    </row>
    <row r="10047" spans="1:4">
      <c r="A10047">
        <v>37979</v>
      </c>
      <c r="B10047" t="s">
        <v>10526</v>
      </c>
      <c r="C10047" t="s">
        <v>427</v>
      </c>
      <c r="D10047" t="s">
        <v>25972</v>
      </c>
    </row>
    <row r="10048" spans="1:4">
      <c r="A10048">
        <v>37980</v>
      </c>
      <c r="B10048" t="s">
        <v>10527</v>
      </c>
      <c r="C10048" t="s">
        <v>427</v>
      </c>
      <c r="D10048" t="s">
        <v>25973</v>
      </c>
    </row>
    <row r="10049" spans="1:4">
      <c r="A10049">
        <v>36147</v>
      </c>
      <c r="B10049" t="s">
        <v>10528</v>
      </c>
      <c r="C10049" t="s">
        <v>434</v>
      </c>
      <c r="D10049" t="s">
        <v>25974</v>
      </c>
    </row>
    <row r="10050" spans="1:4">
      <c r="A10050">
        <v>12731</v>
      </c>
      <c r="B10050" t="s">
        <v>10529</v>
      </c>
      <c r="C10050" t="s">
        <v>427</v>
      </c>
      <c r="D10050" t="s">
        <v>25975</v>
      </c>
    </row>
    <row r="10051" spans="1:4">
      <c r="A10051">
        <v>12723</v>
      </c>
      <c r="B10051" t="s">
        <v>10530</v>
      </c>
      <c r="C10051" t="s">
        <v>427</v>
      </c>
      <c r="D10051" t="s">
        <v>15833</v>
      </c>
    </row>
    <row r="10052" spans="1:4">
      <c r="A10052">
        <v>12724</v>
      </c>
      <c r="B10052" t="s">
        <v>10531</v>
      </c>
      <c r="C10052" t="s">
        <v>427</v>
      </c>
      <c r="D10052" t="s">
        <v>15313</v>
      </c>
    </row>
    <row r="10053" spans="1:4">
      <c r="A10053">
        <v>12725</v>
      </c>
      <c r="B10053" t="s">
        <v>10532</v>
      </c>
      <c r="C10053" t="s">
        <v>427</v>
      </c>
      <c r="D10053" t="s">
        <v>16091</v>
      </c>
    </row>
    <row r="10054" spans="1:4">
      <c r="A10054">
        <v>12726</v>
      </c>
      <c r="B10054" t="s">
        <v>10533</v>
      </c>
      <c r="C10054" t="s">
        <v>427</v>
      </c>
      <c r="D10054" t="s">
        <v>15173</v>
      </c>
    </row>
    <row r="10055" spans="1:4">
      <c r="A10055">
        <v>12727</v>
      </c>
      <c r="B10055" t="s">
        <v>10534</v>
      </c>
      <c r="C10055" t="s">
        <v>427</v>
      </c>
      <c r="D10055" t="s">
        <v>15995</v>
      </c>
    </row>
    <row r="10056" spans="1:4">
      <c r="A10056">
        <v>12728</v>
      </c>
      <c r="B10056" t="s">
        <v>10535</v>
      </c>
      <c r="C10056" t="s">
        <v>427</v>
      </c>
      <c r="D10056" t="s">
        <v>25976</v>
      </c>
    </row>
    <row r="10057" spans="1:4">
      <c r="A10057">
        <v>12729</v>
      </c>
      <c r="B10057" t="s">
        <v>10536</v>
      </c>
      <c r="C10057" t="s">
        <v>427</v>
      </c>
      <c r="D10057" t="s">
        <v>25977</v>
      </c>
    </row>
    <row r="10058" spans="1:4">
      <c r="A10058">
        <v>12730</v>
      </c>
      <c r="B10058" t="s">
        <v>10537</v>
      </c>
      <c r="C10058" t="s">
        <v>427</v>
      </c>
      <c r="D10058" t="s">
        <v>25978</v>
      </c>
    </row>
    <row r="10059" spans="1:4">
      <c r="A10059">
        <v>3840</v>
      </c>
      <c r="B10059" t="s">
        <v>10538</v>
      </c>
      <c r="C10059" t="s">
        <v>427</v>
      </c>
      <c r="D10059" t="s">
        <v>25979</v>
      </c>
    </row>
    <row r="10060" spans="1:4">
      <c r="A10060">
        <v>3838</v>
      </c>
      <c r="B10060" t="s">
        <v>10539</v>
      </c>
      <c r="C10060" t="s">
        <v>427</v>
      </c>
      <c r="D10060" t="s">
        <v>25980</v>
      </c>
    </row>
    <row r="10061" spans="1:4">
      <c r="A10061">
        <v>3844</v>
      </c>
      <c r="B10061" t="s">
        <v>10540</v>
      </c>
      <c r="C10061" t="s">
        <v>427</v>
      </c>
      <c r="D10061" t="s">
        <v>25981</v>
      </c>
    </row>
    <row r="10062" spans="1:4">
      <c r="A10062">
        <v>3839</v>
      </c>
      <c r="B10062" t="s">
        <v>10541</v>
      </c>
      <c r="C10062" t="s">
        <v>427</v>
      </c>
      <c r="D10062" t="s">
        <v>25982</v>
      </c>
    </row>
    <row r="10063" spans="1:4">
      <c r="A10063">
        <v>3843</v>
      </c>
      <c r="B10063" t="s">
        <v>10542</v>
      </c>
      <c r="C10063" t="s">
        <v>427</v>
      </c>
      <c r="D10063" t="s">
        <v>25376</v>
      </c>
    </row>
    <row r="10064" spans="1:4">
      <c r="A10064">
        <v>3900</v>
      </c>
      <c r="B10064" t="s">
        <v>10543</v>
      </c>
      <c r="C10064" t="s">
        <v>427</v>
      </c>
      <c r="D10064" t="s">
        <v>25983</v>
      </c>
    </row>
    <row r="10065" spans="1:4">
      <c r="A10065">
        <v>3846</v>
      </c>
      <c r="B10065" t="s">
        <v>10544</v>
      </c>
      <c r="C10065" t="s">
        <v>427</v>
      </c>
      <c r="D10065" t="s">
        <v>25984</v>
      </c>
    </row>
    <row r="10066" spans="1:4">
      <c r="A10066">
        <v>3886</v>
      </c>
      <c r="B10066" t="s">
        <v>10545</v>
      </c>
      <c r="C10066" t="s">
        <v>427</v>
      </c>
      <c r="D10066" t="s">
        <v>17929</v>
      </c>
    </row>
    <row r="10067" spans="1:4">
      <c r="A10067">
        <v>3854</v>
      </c>
      <c r="B10067" t="s">
        <v>10546</v>
      </c>
      <c r="C10067" t="s">
        <v>427</v>
      </c>
      <c r="D10067" t="s">
        <v>18052</v>
      </c>
    </row>
    <row r="10068" spans="1:4">
      <c r="A10068">
        <v>3873</v>
      </c>
      <c r="B10068" t="s">
        <v>10547</v>
      </c>
      <c r="C10068" t="s">
        <v>427</v>
      </c>
      <c r="D10068" t="s">
        <v>18063</v>
      </c>
    </row>
    <row r="10069" spans="1:4">
      <c r="A10069">
        <v>38021</v>
      </c>
      <c r="B10069" t="s">
        <v>10548</v>
      </c>
      <c r="C10069" t="s">
        <v>427</v>
      </c>
      <c r="D10069" t="s">
        <v>25985</v>
      </c>
    </row>
    <row r="10070" spans="1:4">
      <c r="A10070">
        <v>3847</v>
      </c>
      <c r="B10070" t="s">
        <v>10549</v>
      </c>
      <c r="C10070" t="s">
        <v>427</v>
      </c>
      <c r="D10070" t="s">
        <v>25986</v>
      </c>
    </row>
    <row r="10071" spans="1:4">
      <c r="A10071">
        <v>38022</v>
      </c>
      <c r="B10071" t="s">
        <v>10550</v>
      </c>
      <c r="C10071" t="s">
        <v>427</v>
      </c>
      <c r="D10071" t="s">
        <v>24646</v>
      </c>
    </row>
    <row r="10072" spans="1:4">
      <c r="A10072">
        <v>3833</v>
      </c>
      <c r="B10072" t="s">
        <v>10551</v>
      </c>
      <c r="C10072" t="s">
        <v>427</v>
      </c>
      <c r="D10072" t="s">
        <v>21774</v>
      </c>
    </row>
    <row r="10073" spans="1:4">
      <c r="A10073">
        <v>3835</v>
      </c>
      <c r="B10073" t="s">
        <v>10552</v>
      </c>
      <c r="C10073" t="s">
        <v>427</v>
      </c>
      <c r="D10073" t="s">
        <v>25987</v>
      </c>
    </row>
    <row r="10074" spans="1:4">
      <c r="A10074">
        <v>3836</v>
      </c>
      <c r="B10074" t="s">
        <v>10553</v>
      </c>
      <c r="C10074" t="s">
        <v>427</v>
      </c>
      <c r="D10074" t="s">
        <v>25988</v>
      </c>
    </row>
    <row r="10075" spans="1:4">
      <c r="A10075">
        <v>3830</v>
      </c>
      <c r="B10075" t="s">
        <v>10554</v>
      </c>
      <c r="C10075" t="s">
        <v>427</v>
      </c>
      <c r="D10075" t="s">
        <v>25989</v>
      </c>
    </row>
    <row r="10076" spans="1:4">
      <c r="A10076">
        <v>3831</v>
      </c>
      <c r="B10076" t="s">
        <v>10555</v>
      </c>
      <c r="C10076" t="s">
        <v>427</v>
      </c>
      <c r="D10076" t="s">
        <v>25990</v>
      </c>
    </row>
    <row r="10077" spans="1:4">
      <c r="A10077">
        <v>37981</v>
      </c>
      <c r="B10077" t="s">
        <v>10556</v>
      </c>
      <c r="C10077" t="s">
        <v>427</v>
      </c>
      <c r="D10077" t="s">
        <v>17231</v>
      </c>
    </row>
    <row r="10078" spans="1:4">
      <c r="A10078">
        <v>37982</v>
      </c>
      <c r="B10078" t="s">
        <v>10557</v>
      </c>
      <c r="C10078" t="s">
        <v>427</v>
      </c>
      <c r="D10078" t="s">
        <v>15161</v>
      </c>
    </row>
    <row r="10079" spans="1:4">
      <c r="A10079">
        <v>37983</v>
      </c>
      <c r="B10079" t="s">
        <v>10558</v>
      </c>
      <c r="C10079" t="s">
        <v>427</v>
      </c>
      <c r="D10079" t="s">
        <v>16589</v>
      </c>
    </row>
    <row r="10080" spans="1:4">
      <c r="A10080">
        <v>37984</v>
      </c>
      <c r="B10080" t="s">
        <v>10559</v>
      </c>
      <c r="C10080" t="s">
        <v>427</v>
      </c>
      <c r="D10080" t="s">
        <v>25991</v>
      </c>
    </row>
    <row r="10081" spans="1:4">
      <c r="A10081">
        <v>37985</v>
      </c>
      <c r="B10081" t="s">
        <v>10560</v>
      </c>
      <c r="C10081" t="s">
        <v>427</v>
      </c>
      <c r="D10081" t="s">
        <v>25992</v>
      </c>
    </row>
    <row r="10082" spans="1:4">
      <c r="A10082">
        <v>3826</v>
      </c>
      <c r="B10082" t="s">
        <v>10561</v>
      </c>
      <c r="C10082" t="s">
        <v>427</v>
      </c>
      <c r="D10082" t="s">
        <v>25993</v>
      </c>
    </row>
    <row r="10083" spans="1:4">
      <c r="A10083">
        <v>3825</v>
      </c>
      <c r="B10083" t="s">
        <v>10562</v>
      </c>
      <c r="C10083" t="s">
        <v>427</v>
      </c>
      <c r="D10083" t="s">
        <v>22815</v>
      </c>
    </row>
    <row r="10084" spans="1:4">
      <c r="A10084">
        <v>3827</v>
      </c>
      <c r="B10084" t="s">
        <v>10563</v>
      </c>
      <c r="C10084" t="s">
        <v>427</v>
      </c>
      <c r="D10084" t="s">
        <v>25994</v>
      </c>
    </row>
    <row r="10085" spans="1:4">
      <c r="A10085">
        <v>20165</v>
      </c>
      <c r="B10085" t="s">
        <v>10564</v>
      </c>
      <c r="C10085" t="s">
        <v>427</v>
      </c>
      <c r="D10085" t="s">
        <v>20898</v>
      </c>
    </row>
    <row r="10086" spans="1:4">
      <c r="A10086">
        <v>20166</v>
      </c>
      <c r="B10086" t="s">
        <v>10565</v>
      </c>
      <c r="C10086" t="s">
        <v>427</v>
      </c>
      <c r="D10086" t="s">
        <v>25995</v>
      </c>
    </row>
    <row r="10087" spans="1:4">
      <c r="A10087">
        <v>20164</v>
      </c>
      <c r="B10087" t="s">
        <v>10566</v>
      </c>
      <c r="C10087" t="s">
        <v>427</v>
      </c>
      <c r="D10087" t="s">
        <v>15328</v>
      </c>
    </row>
    <row r="10088" spans="1:4">
      <c r="A10088">
        <v>3893</v>
      </c>
      <c r="B10088" t="s">
        <v>10567</v>
      </c>
      <c r="C10088" t="s">
        <v>427</v>
      </c>
      <c r="D10088" t="s">
        <v>25996</v>
      </c>
    </row>
    <row r="10089" spans="1:4">
      <c r="A10089">
        <v>3848</v>
      </c>
      <c r="B10089" t="s">
        <v>10568</v>
      </c>
      <c r="C10089" t="s">
        <v>427</v>
      </c>
      <c r="D10089" t="s">
        <v>16952</v>
      </c>
    </row>
    <row r="10090" spans="1:4">
      <c r="A10090">
        <v>3895</v>
      </c>
      <c r="B10090" t="s">
        <v>10569</v>
      </c>
      <c r="C10090" t="s">
        <v>427</v>
      </c>
      <c r="D10090" t="s">
        <v>25997</v>
      </c>
    </row>
    <row r="10091" spans="1:4">
      <c r="A10091">
        <v>12404</v>
      </c>
      <c r="B10091" t="s">
        <v>10570</v>
      </c>
      <c r="C10091" t="s">
        <v>427</v>
      </c>
      <c r="D10091" t="s">
        <v>18262</v>
      </c>
    </row>
    <row r="10092" spans="1:4">
      <c r="A10092">
        <v>3939</v>
      </c>
      <c r="B10092" t="s">
        <v>10571</v>
      </c>
      <c r="C10092" t="s">
        <v>427</v>
      </c>
      <c r="D10092" t="s">
        <v>25998</v>
      </c>
    </row>
    <row r="10093" spans="1:4">
      <c r="A10093">
        <v>3911</v>
      </c>
      <c r="B10093" t="s">
        <v>10572</v>
      </c>
      <c r="C10093" t="s">
        <v>427</v>
      </c>
      <c r="D10093" t="s">
        <v>15612</v>
      </c>
    </row>
    <row r="10094" spans="1:4">
      <c r="A10094">
        <v>3908</v>
      </c>
      <c r="B10094" t="s">
        <v>10573</v>
      </c>
      <c r="C10094" t="s">
        <v>427</v>
      </c>
      <c r="D10094" t="s">
        <v>23634</v>
      </c>
    </row>
    <row r="10095" spans="1:4">
      <c r="A10095">
        <v>3910</v>
      </c>
      <c r="B10095" t="s">
        <v>10574</v>
      </c>
      <c r="C10095" t="s">
        <v>427</v>
      </c>
      <c r="D10095" t="s">
        <v>21632</v>
      </c>
    </row>
    <row r="10096" spans="1:4">
      <c r="A10096">
        <v>3913</v>
      </c>
      <c r="B10096" t="s">
        <v>10575</v>
      </c>
      <c r="C10096" t="s">
        <v>427</v>
      </c>
      <c r="D10096" t="s">
        <v>22213</v>
      </c>
    </row>
    <row r="10097" spans="1:4">
      <c r="A10097">
        <v>3912</v>
      </c>
      <c r="B10097" t="s">
        <v>10576</v>
      </c>
      <c r="C10097" t="s">
        <v>427</v>
      </c>
      <c r="D10097" t="s">
        <v>25604</v>
      </c>
    </row>
    <row r="10098" spans="1:4">
      <c r="A10098">
        <v>3909</v>
      </c>
      <c r="B10098" t="s">
        <v>10577</v>
      </c>
      <c r="C10098" t="s">
        <v>427</v>
      </c>
      <c r="D10098" t="s">
        <v>17261</v>
      </c>
    </row>
    <row r="10099" spans="1:4">
      <c r="A10099">
        <v>3914</v>
      </c>
      <c r="B10099" t="s">
        <v>10578</v>
      </c>
      <c r="C10099" t="s">
        <v>427</v>
      </c>
      <c r="D10099" t="s">
        <v>18281</v>
      </c>
    </row>
    <row r="10100" spans="1:4">
      <c r="A10100">
        <v>3915</v>
      </c>
      <c r="B10100" t="s">
        <v>10579</v>
      </c>
      <c r="C10100" t="s">
        <v>427</v>
      </c>
      <c r="D10100" t="s">
        <v>25999</v>
      </c>
    </row>
    <row r="10101" spans="1:4">
      <c r="A10101">
        <v>3916</v>
      </c>
      <c r="B10101" t="s">
        <v>10580</v>
      </c>
      <c r="C10101" t="s">
        <v>427</v>
      </c>
      <c r="D10101" t="s">
        <v>26000</v>
      </c>
    </row>
    <row r="10102" spans="1:4">
      <c r="A10102">
        <v>3917</v>
      </c>
      <c r="B10102" t="s">
        <v>10581</v>
      </c>
      <c r="C10102" t="s">
        <v>427</v>
      </c>
      <c r="D10102" t="s">
        <v>26001</v>
      </c>
    </row>
    <row r="10103" spans="1:4">
      <c r="A10103">
        <v>1904</v>
      </c>
      <c r="B10103" t="s">
        <v>10582</v>
      </c>
      <c r="C10103" t="s">
        <v>427</v>
      </c>
      <c r="D10103" t="s">
        <v>15731</v>
      </c>
    </row>
    <row r="10104" spans="1:4">
      <c r="A10104">
        <v>1899</v>
      </c>
      <c r="B10104" t="s">
        <v>10583</v>
      </c>
      <c r="C10104" t="s">
        <v>427</v>
      </c>
      <c r="D10104" t="s">
        <v>20150</v>
      </c>
    </row>
    <row r="10105" spans="1:4">
      <c r="A10105">
        <v>1900</v>
      </c>
      <c r="B10105" t="s">
        <v>10584</v>
      </c>
      <c r="C10105" t="s">
        <v>427</v>
      </c>
      <c r="D10105" t="s">
        <v>24344</v>
      </c>
    </row>
    <row r="10106" spans="1:4">
      <c r="A10106">
        <v>12407</v>
      </c>
      <c r="B10106" t="s">
        <v>10585</v>
      </c>
      <c r="C10106" t="s">
        <v>427</v>
      </c>
      <c r="D10106" t="s">
        <v>16093</v>
      </c>
    </row>
    <row r="10107" spans="1:4">
      <c r="A10107">
        <v>12408</v>
      </c>
      <c r="B10107" t="s">
        <v>10586</v>
      </c>
      <c r="C10107" t="s">
        <v>427</v>
      </c>
      <c r="D10107" t="s">
        <v>18075</v>
      </c>
    </row>
    <row r="10108" spans="1:4">
      <c r="A10108">
        <v>12409</v>
      </c>
      <c r="B10108" t="s">
        <v>10587</v>
      </c>
      <c r="C10108" t="s">
        <v>427</v>
      </c>
      <c r="D10108" t="s">
        <v>18075</v>
      </c>
    </row>
    <row r="10109" spans="1:4">
      <c r="A10109">
        <v>12410</v>
      </c>
      <c r="B10109" t="s">
        <v>10588</v>
      </c>
      <c r="C10109" t="s">
        <v>427</v>
      </c>
      <c r="D10109" t="s">
        <v>23557</v>
      </c>
    </row>
    <row r="10110" spans="1:4">
      <c r="A10110">
        <v>3936</v>
      </c>
      <c r="B10110" t="s">
        <v>10589</v>
      </c>
      <c r="C10110" t="s">
        <v>427</v>
      </c>
      <c r="D10110" t="s">
        <v>26002</v>
      </c>
    </row>
    <row r="10111" spans="1:4">
      <c r="A10111">
        <v>3922</v>
      </c>
      <c r="B10111" t="s">
        <v>10590</v>
      </c>
      <c r="C10111" t="s">
        <v>427</v>
      </c>
      <c r="D10111" t="s">
        <v>15634</v>
      </c>
    </row>
    <row r="10112" spans="1:4">
      <c r="A10112">
        <v>3924</v>
      </c>
      <c r="B10112" t="s">
        <v>10591</v>
      </c>
      <c r="C10112" t="s">
        <v>427</v>
      </c>
      <c r="D10112" t="s">
        <v>26002</v>
      </c>
    </row>
    <row r="10113" spans="1:4">
      <c r="A10113">
        <v>3923</v>
      </c>
      <c r="B10113" t="s">
        <v>10592</v>
      </c>
      <c r="C10113" t="s">
        <v>427</v>
      </c>
      <c r="D10113" t="s">
        <v>26002</v>
      </c>
    </row>
    <row r="10114" spans="1:4">
      <c r="A10114">
        <v>3937</v>
      </c>
      <c r="B10114" t="s">
        <v>10593</v>
      </c>
      <c r="C10114" t="s">
        <v>427</v>
      </c>
      <c r="D10114" t="s">
        <v>16948</v>
      </c>
    </row>
    <row r="10115" spans="1:4">
      <c r="A10115">
        <v>3921</v>
      </c>
      <c r="B10115" t="s">
        <v>10594</v>
      </c>
      <c r="C10115" t="s">
        <v>427</v>
      </c>
      <c r="D10115" t="s">
        <v>20519</v>
      </c>
    </row>
    <row r="10116" spans="1:4">
      <c r="A10116">
        <v>3920</v>
      </c>
      <c r="B10116" t="s">
        <v>10595</v>
      </c>
      <c r="C10116" t="s">
        <v>427</v>
      </c>
      <c r="D10116" t="s">
        <v>16948</v>
      </c>
    </row>
    <row r="10117" spans="1:4">
      <c r="A10117">
        <v>3938</v>
      </c>
      <c r="B10117" t="s">
        <v>10596</v>
      </c>
      <c r="C10117" t="s">
        <v>427</v>
      </c>
      <c r="D10117" t="s">
        <v>19250</v>
      </c>
    </row>
    <row r="10118" spans="1:4">
      <c r="A10118">
        <v>3919</v>
      </c>
      <c r="B10118" t="s">
        <v>10597</v>
      </c>
      <c r="C10118" t="s">
        <v>427</v>
      </c>
      <c r="D10118" t="s">
        <v>19112</v>
      </c>
    </row>
    <row r="10119" spans="1:4">
      <c r="A10119">
        <v>3927</v>
      </c>
      <c r="B10119" t="s">
        <v>10598</v>
      </c>
      <c r="C10119" t="s">
        <v>427</v>
      </c>
      <c r="D10119" t="s">
        <v>20201</v>
      </c>
    </row>
    <row r="10120" spans="1:4">
      <c r="A10120">
        <v>3928</v>
      </c>
      <c r="B10120" t="s">
        <v>10599</v>
      </c>
      <c r="C10120" t="s">
        <v>427</v>
      </c>
      <c r="D10120" t="s">
        <v>20201</v>
      </c>
    </row>
    <row r="10121" spans="1:4">
      <c r="A10121">
        <v>3926</v>
      </c>
      <c r="B10121" t="s">
        <v>10600</v>
      </c>
      <c r="C10121" t="s">
        <v>427</v>
      </c>
      <c r="D10121" t="s">
        <v>17916</v>
      </c>
    </row>
    <row r="10122" spans="1:4">
      <c r="A10122">
        <v>3935</v>
      </c>
      <c r="B10122" t="s">
        <v>10601</v>
      </c>
      <c r="C10122" t="s">
        <v>427</v>
      </c>
      <c r="D10122" t="s">
        <v>17916</v>
      </c>
    </row>
    <row r="10123" spans="1:4">
      <c r="A10123">
        <v>3925</v>
      </c>
      <c r="B10123" t="s">
        <v>10602</v>
      </c>
      <c r="C10123" t="s">
        <v>427</v>
      </c>
      <c r="D10123" t="s">
        <v>17916</v>
      </c>
    </row>
    <row r="10124" spans="1:4">
      <c r="A10124">
        <v>12406</v>
      </c>
      <c r="B10124" t="s">
        <v>10603</v>
      </c>
      <c r="C10124" t="s">
        <v>427</v>
      </c>
      <c r="D10124" t="s">
        <v>17264</v>
      </c>
    </row>
    <row r="10125" spans="1:4">
      <c r="A10125">
        <v>3929</v>
      </c>
      <c r="B10125" t="s">
        <v>10604</v>
      </c>
      <c r="C10125" t="s">
        <v>427</v>
      </c>
      <c r="D10125" t="s">
        <v>24926</v>
      </c>
    </row>
    <row r="10126" spans="1:4">
      <c r="A10126">
        <v>3931</v>
      </c>
      <c r="B10126" t="s">
        <v>10605</v>
      </c>
      <c r="C10126" t="s">
        <v>427</v>
      </c>
      <c r="D10126" t="s">
        <v>24926</v>
      </c>
    </row>
    <row r="10127" spans="1:4">
      <c r="A10127">
        <v>3930</v>
      </c>
      <c r="B10127" t="s">
        <v>10606</v>
      </c>
      <c r="C10127" t="s">
        <v>427</v>
      </c>
      <c r="D10127" t="s">
        <v>24926</v>
      </c>
    </row>
    <row r="10128" spans="1:4">
      <c r="A10128">
        <v>3932</v>
      </c>
      <c r="B10128" t="s">
        <v>10607</v>
      </c>
      <c r="C10128" t="s">
        <v>427</v>
      </c>
      <c r="D10128" t="s">
        <v>26003</v>
      </c>
    </row>
    <row r="10129" spans="1:4">
      <c r="A10129">
        <v>3933</v>
      </c>
      <c r="B10129" t="s">
        <v>10608</v>
      </c>
      <c r="C10129" t="s">
        <v>427</v>
      </c>
      <c r="D10129" t="s">
        <v>26003</v>
      </c>
    </row>
    <row r="10130" spans="1:4">
      <c r="A10130">
        <v>3934</v>
      </c>
      <c r="B10130" t="s">
        <v>10609</v>
      </c>
      <c r="C10130" t="s">
        <v>427</v>
      </c>
      <c r="D10130" t="s">
        <v>26003</v>
      </c>
    </row>
    <row r="10131" spans="1:4">
      <c r="A10131">
        <v>40355</v>
      </c>
      <c r="B10131" t="s">
        <v>10610</v>
      </c>
      <c r="C10131" t="s">
        <v>427</v>
      </c>
      <c r="D10131" t="s">
        <v>16924</v>
      </c>
    </row>
    <row r="10132" spans="1:4">
      <c r="A10132">
        <v>40364</v>
      </c>
      <c r="B10132" t="s">
        <v>10611</v>
      </c>
      <c r="C10132" t="s">
        <v>427</v>
      </c>
      <c r="D10132" t="s">
        <v>26004</v>
      </c>
    </row>
    <row r="10133" spans="1:4">
      <c r="A10133">
        <v>40361</v>
      </c>
      <c r="B10133" t="s">
        <v>10612</v>
      </c>
      <c r="C10133" t="s">
        <v>427</v>
      </c>
      <c r="D10133" t="s">
        <v>26005</v>
      </c>
    </row>
    <row r="10134" spans="1:4">
      <c r="A10134">
        <v>40358</v>
      </c>
      <c r="B10134" t="s">
        <v>10613</v>
      </c>
      <c r="C10134" t="s">
        <v>427</v>
      </c>
      <c r="D10134" t="s">
        <v>14863</v>
      </c>
    </row>
    <row r="10135" spans="1:4">
      <c r="A10135">
        <v>40370</v>
      </c>
      <c r="B10135" t="s">
        <v>10614</v>
      </c>
      <c r="C10135" t="s">
        <v>427</v>
      </c>
      <c r="D10135" t="s">
        <v>26006</v>
      </c>
    </row>
    <row r="10136" spans="1:4">
      <c r="A10136">
        <v>40367</v>
      </c>
      <c r="B10136" t="s">
        <v>10615</v>
      </c>
      <c r="C10136" t="s">
        <v>427</v>
      </c>
      <c r="D10136" t="s">
        <v>26007</v>
      </c>
    </row>
    <row r="10137" spans="1:4">
      <c r="A10137">
        <v>40373</v>
      </c>
      <c r="B10137" t="s">
        <v>10616</v>
      </c>
      <c r="C10137" t="s">
        <v>427</v>
      </c>
      <c r="D10137" t="s">
        <v>26008</v>
      </c>
    </row>
    <row r="10138" spans="1:4">
      <c r="A10138">
        <v>38947</v>
      </c>
      <c r="B10138" t="s">
        <v>10617</v>
      </c>
      <c r="C10138" t="s">
        <v>427</v>
      </c>
      <c r="D10138" t="s">
        <v>24000</v>
      </c>
    </row>
    <row r="10139" spans="1:4">
      <c r="A10139">
        <v>38948</v>
      </c>
      <c r="B10139" t="s">
        <v>10618</v>
      </c>
      <c r="C10139" t="s">
        <v>427</v>
      </c>
      <c r="D10139" t="s">
        <v>17206</v>
      </c>
    </row>
    <row r="10140" spans="1:4">
      <c r="A10140">
        <v>38949</v>
      </c>
      <c r="B10140" t="s">
        <v>10619</v>
      </c>
      <c r="C10140" t="s">
        <v>427</v>
      </c>
      <c r="D10140" t="s">
        <v>17439</v>
      </c>
    </row>
    <row r="10141" spans="1:4">
      <c r="A10141">
        <v>38951</v>
      </c>
      <c r="B10141" t="s">
        <v>10620</v>
      </c>
      <c r="C10141" t="s">
        <v>427</v>
      </c>
      <c r="D10141" t="s">
        <v>26009</v>
      </c>
    </row>
    <row r="10142" spans="1:4">
      <c r="A10142">
        <v>39312</v>
      </c>
      <c r="B10142" t="s">
        <v>10621</v>
      </c>
      <c r="C10142" t="s">
        <v>427</v>
      </c>
      <c r="D10142" t="s">
        <v>20276</v>
      </c>
    </row>
    <row r="10143" spans="1:4">
      <c r="A10143">
        <v>39313</v>
      </c>
      <c r="B10143" t="s">
        <v>10622</v>
      </c>
      <c r="C10143" t="s">
        <v>427</v>
      </c>
      <c r="D10143" t="s">
        <v>22959</v>
      </c>
    </row>
    <row r="10144" spans="1:4">
      <c r="A10144">
        <v>38950</v>
      </c>
      <c r="B10144" t="s">
        <v>10623</v>
      </c>
      <c r="C10144" t="s">
        <v>427</v>
      </c>
      <c r="D10144" t="s">
        <v>26010</v>
      </c>
    </row>
    <row r="10145" spans="1:4">
      <c r="A10145">
        <v>39314</v>
      </c>
      <c r="B10145" t="s">
        <v>10624</v>
      </c>
      <c r="C10145" t="s">
        <v>427</v>
      </c>
      <c r="D10145" t="s">
        <v>17150</v>
      </c>
    </row>
    <row r="10146" spans="1:4">
      <c r="A10146">
        <v>3907</v>
      </c>
      <c r="B10146" t="s">
        <v>10625</v>
      </c>
      <c r="C10146" t="s">
        <v>427</v>
      </c>
      <c r="D10146" t="s">
        <v>18633</v>
      </c>
    </row>
    <row r="10147" spans="1:4">
      <c r="A10147">
        <v>3889</v>
      </c>
      <c r="B10147" t="s">
        <v>10626</v>
      </c>
      <c r="C10147" t="s">
        <v>427</v>
      </c>
      <c r="D10147" t="s">
        <v>14815</v>
      </c>
    </row>
    <row r="10148" spans="1:4">
      <c r="A10148">
        <v>3868</v>
      </c>
      <c r="B10148" t="s">
        <v>10627</v>
      </c>
      <c r="C10148" t="s">
        <v>427</v>
      </c>
      <c r="D10148" t="s">
        <v>26011</v>
      </c>
    </row>
    <row r="10149" spans="1:4">
      <c r="A10149">
        <v>3869</v>
      </c>
      <c r="B10149" t="s">
        <v>10628</v>
      </c>
      <c r="C10149" t="s">
        <v>427</v>
      </c>
      <c r="D10149" t="s">
        <v>17227</v>
      </c>
    </row>
    <row r="10150" spans="1:4">
      <c r="A10150">
        <v>3872</v>
      </c>
      <c r="B10150" t="s">
        <v>10629</v>
      </c>
      <c r="C10150" t="s">
        <v>427</v>
      </c>
      <c r="D10150" t="s">
        <v>15143</v>
      </c>
    </row>
    <row r="10151" spans="1:4">
      <c r="A10151">
        <v>3850</v>
      </c>
      <c r="B10151" t="s">
        <v>10630</v>
      </c>
      <c r="C10151" t="s">
        <v>427</v>
      </c>
      <c r="D10151" t="s">
        <v>18470</v>
      </c>
    </row>
    <row r="10152" spans="1:4">
      <c r="A10152">
        <v>38023</v>
      </c>
      <c r="B10152" t="s">
        <v>10631</v>
      </c>
      <c r="C10152" t="s">
        <v>427</v>
      </c>
      <c r="D10152" t="s">
        <v>15681</v>
      </c>
    </row>
    <row r="10153" spans="1:4">
      <c r="A10153">
        <v>37986</v>
      </c>
      <c r="B10153" t="s">
        <v>10632</v>
      </c>
      <c r="C10153" t="s">
        <v>427</v>
      </c>
      <c r="D10153" t="s">
        <v>19633</v>
      </c>
    </row>
    <row r="10154" spans="1:4">
      <c r="A10154">
        <v>37987</v>
      </c>
      <c r="B10154" t="s">
        <v>10633</v>
      </c>
      <c r="C10154" t="s">
        <v>427</v>
      </c>
      <c r="D10154" t="s">
        <v>26012</v>
      </c>
    </row>
    <row r="10155" spans="1:4">
      <c r="A10155">
        <v>37988</v>
      </c>
      <c r="B10155" t="s">
        <v>10634</v>
      </c>
      <c r="C10155" t="s">
        <v>427</v>
      </c>
      <c r="D10155" t="s">
        <v>26013</v>
      </c>
    </row>
    <row r="10156" spans="1:4">
      <c r="A10156">
        <v>21120</v>
      </c>
      <c r="B10156" t="s">
        <v>10635</v>
      </c>
      <c r="C10156" t="s">
        <v>427</v>
      </c>
      <c r="D10156" t="s">
        <v>23909</v>
      </c>
    </row>
    <row r="10157" spans="1:4">
      <c r="A10157">
        <v>39318</v>
      </c>
      <c r="B10157" t="s">
        <v>10636</v>
      </c>
      <c r="C10157" t="s">
        <v>427</v>
      </c>
      <c r="D10157" t="s">
        <v>19194</v>
      </c>
    </row>
    <row r="10158" spans="1:4">
      <c r="A10158">
        <v>20162</v>
      </c>
      <c r="B10158" t="s">
        <v>10637</v>
      </c>
      <c r="C10158" t="s">
        <v>427</v>
      </c>
      <c r="D10158" t="s">
        <v>17308</v>
      </c>
    </row>
    <row r="10159" spans="1:4">
      <c r="A10159">
        <v>40366</v>
      </c>
      <c r="B10159" t="s">
        <v>10638</v>
      </c>
      <c r="C10159" t="s">
        <v>427</v>
      </c>
      <c r="D10159" t="s">
        <v>26014</v>
      </c>
    </row>
    <row r="10160" spans="1:4">
      <c r="A10160">
        <v>40363</v>
      </c>
      <c r="B10160" t="s">
        <v>10639</v>
      </c>
      <c r="C10160" t="s">
        <v>427</v>
      </c>
      <c r="D10160" t="s">
        <v>25366</v>
      </c>
    </row>
    <row r="10161" spans="1:4">
      <c r="A10161">
        <v>40354</v>
      </c>
      <c r="B10161" t="s">
        <v>10640</v>
      </c>
      <c r="C10161" t="s">
        <v>427</v>
      </c>
      <c r="D10161" t="s">
        <v>15882</v>
      </c>
    </row>
    <row r="10162" spans="1:4">
      <c r="A10162">
        <v>40360</v>
      </c>
      <c r="B10162" t="s">
        <v>10641</v>
      </c>
      <c r="C10162" t="s">
        <v>427</v>
      </c>
      <c r="D10162" t="s">
        <v>16667</v>
      </c>
    </row>
    <row r="10163" spans="1:4">
      <c r="A10163">
        <v>40372</v>
      </c>
      <c r="B10163" t="s">
        <v>10642</v>
      </c>
      <c r="C10163" t="s">
        <v>427</v>
      </c>
      <c r="D10163" t="s">
        <v>26015</v>
      </c>
    </row>
    <row r="10164" spans="1:4">
      <c r="A10164">
        <v>40369</v>
      </c>
      <c r="B10164" t="s">
        <v>10643</v>
      </c>
      <c r="C10164" t="s">
        <v>427</v>
      </c>
      <c r="D10164" t="s">
        <v>26016</v>
      </c>
    </row>
    <row r="10165" spans="1:4">
      <c r="A10165">
        <v>40357</v>
      </c>
      <c r="B10165" t="s">
        <v>10644</v>
      </c>
      <c r="C10165" t="s">
        <v>427</v>
      </c>
      <c r="D10165" t="s">
        <v>14863</v>
      </c>
    </row>
    <row r="10166" spans="1:4">
      <c r="A10166">
        <v>40375</v>
      </c>
      <c r="B10166" t="s">
        <v>10645</v>
      </c>
      <c r="C10166" t="s">
        <v>427</v>
      </c>
      <c r="D10166" t="s">
        <v>26017</v>
      </c>
    </row>
    <row r="10167" spans="1:4">
      <c r="A10167">
        <v>1893</v>
      </c>
      <c r="B10167" t="s">
        <v>10646</v>
      </c>
      <c r="C10167" t="s">
        <v>427</v>
      </c>
      <c r="D10167" t="s">
        <v>25432</v>
      </c>
    </row>
    <row r="10168" spans="1:4">
      <c r="A10168">
        <v>1902</v>
      </c>
      <c r="B10168" t="s">
        <v>10647</v>
      </c>
      <c r="C10168" t="s">
        <v>427</v>
      </c>
      <c r="D10168" t="s">
        <v>15792</v>
      </c>
    </row>
    <row r="10169" spans="1:4">
      <c r="A10169">
        <v>1901</v>
      </c>
      <c r="B10169" t="s">
        <v>10648</v>
      </c>
      <c r="C10169" t="s">
        <v>427</v>
      </c>
      <c r="D10169" t="s">
        <v>15490</v>
      </c>
    </row>
    <row r="10170" spans="1:4">
      <c r="A10170">
        <v>1892</v>
      </c>
      <c r="B10170" t="s">
        <v>10649</v>
      </c>
      <c r="C10170" t="s">
        <v>427</v>
      </c>
      <c r="D10170" t="s">
        <v>20158</v>
      </c>
    </row>
    <row r="10171" spans="1:4">
      <c r="A10171">
        <v>1907</v>
      </c>
      <c r="B10171" t="s">
        <v>10650</v>
      </c>
      <c r="C10171" t="s">
        <v>427</v>
      </c>
      <c r="D10171" t="s">
        <v>21882</v>
      </c>
    </row>
    <row r="10172" spans="1:4">
      <c r="A10172">
        <v>1894</v>
      </c>
      <c r="B10172" t="s">
        <v>10651</v>
      </c>
      <c r="C10172" t="s">
        <v>427</v>
      </c>
      <c r="D10172" t="s">
        <v>26018</v>
      </c>
    </row>
    <row r="10173" spans="1:4">
      <c r="A10173">
        <v>1891</v>
      </c>
      <c r="B10173" t="s">
        <v>10652</v>
      </c>
      <c r="C10173" t="s">
        <v>427</v>
      </c>
      <c r="D10173" t="s">
        <v>19511</v>
      </c>
    </row>
    <row r="10174" spans="1:4">
      <c r="A10174">
        <v>1896</v>
      </c>
      <c r="B10174" t="s">
        <v>10653</v>
      </c>
      <c r="C10174" t="s">
        <v>427</v>
      </c>
      <c r="D10174" t="s">
        <v>18494</v>
      </c>
    </row>
    <row r="10175" spans="1:4">
      <c r="A10175">
        <v>1895</v>
      </c>
      <c r="B10175" t="s">
        <v>10654</v>
      </c>
      <c r="C10175" t="s">
        <v>427</v>
      </c>
      <c r="D10175" t="s">
        <v>23008</v>
      </c>
    </row>
    <row r="10176" spans="1:4">
      <c r="A10176">
        <v>2641</v>
      </c>
      <c r="B10176" t="s">
        <v>10655</v>
      </c>
      <c r="C10176" t="s">
        <v>427</v>
      </c>
      <c r="D10176" t="s">
        <v>26019</v>
      </c>
    </row>
    <row r="10177" spans="1:4">
      <c r="A10177">
        <v>2636</v>
      </c>
      <c r="B10177" t="s">
        <v>10656</v>
      </c>
      <c r="C10177" t="s">
        <v>427</v>
      </c>
      <c r="D10177" t="s">
        <v>15148</v>
      </c>
    </row>
    <row r="10178" spans="1:4">
      <c r="A10178">
        <v>2637</v>
      </c>
      <c r="B10178" t="s">
        <v>10657</v>
      </c>
      <c r="C10178" t="s">
        <v>427</v>
      </c>
      <c r="D10178" t="s">
        <v>15661</v>
      </c>
    </row>
    <row r="10179" spans="1:4">
      <c r="A10179">
        <v>2638</v>
      </c>
      <c r="B10179" t="s">
        <v>10658</v>
      </c>
      <c r="C10179" t="s">
        <v>427</v>
      </c>
      <c r="D10179" t="s">
        <v>15764</v>
      </c>
    </row>
    <row r="10180" spans="1:4">
      <c r="A10180">
        <v>2639</v>
      </c>
      <c r="B10180" t="s">
        <v>10659</v>
      </c>
      <c r="C10180" t="s">
        <v>427</v>
      </c>
      <c r="D10180" t="s">
        <v>17272</v>
      </c>
    </row>
    <row r="10181" spans="1:4">
      <c r="A10181">
        <v>2644</v>
      </c>
      <c r="B10181" t="s">
        <v>10660</v>
      </c>
      <c r="C10181" t="s">
        <v>427</v>
      </c>
      <c r="D10181" t="s">
        <v>26020</v>
      </c>
    </row>
    <row r="10182" spans="1:4">
      <c r="A10182">
        <v>2643</v>
      </c>
      <c r="B10182" t="s">
        <v>10661</v>
      </c>
      <c r="C10182" t="s">
        <v>427</v>
      </c>
      <c r="D10182" t="s">
        <v>26021</v>
      </c>
    </row>
    <row r="10183" spans="1:4">
      <c r="A10183">
        <v>2640</v>
      </c>
      <c r="B10183" t="s">
        <v>10662</v>
      </c>
      <c r="C10183" t="s">
        <v>427</v>
      </c>
      <c r="D10183" t="s">
        <v>18039</v>
      </c>
    </row>
    <row r="10184" spans="1:4">
      <c r="A10184">
        <v>2642</v>
      </c>
      <c r="B10184" t="s">
        <v>10663</v>
      </c>
      <c r="C10184" t="s">
        <v>427</v>
      </c>
      <c r="D10184" t="s">
        <v>23171</v>
      </c>
    </row>
    <row r="10185" spans="1:4">
      <c r="A10185">
        <v>38943</v>
      </c>
      <c r="B10185" t="s">
        <v>10664</v>
      </c>
      <c r="C10185" t="s">
        <v>427</v>
      </c>
      <c r="D10185" t="s">
        <v>18016</v>
      </c>
    </row>
    <row r="10186" spans="1:4">
      <c r="A10186">
        <v>38944</v>
      </c>
      <c r="B10186" t="s">
        <v>10665</v>
      </c>
      <c r="C10186" t="s">
        <v>427</v>
      </c>
      <c r="D10186" t="s">
        <v>17181</v>
      </c>
    </row>
    <row r="10187" spans="1:4">
      <c r="A10187">
        <v>38945</v>
      </c>
      <c r="B10187" t="s">
        <v>10666</v>
      </c>
      <c r="C10187" t="s">
        <v>427</v>
      </c>
      <c r="D10187" t="s">
        <v>21435</v>
      </c>
    </row>
    <row r="10188" spans="1:4">
      <c r="A10188">
        <v>38946</v>
      </c>
      <c r="B10188" t="s">
        <v>10667</v>
      </c>
      <c r="C10188" t="s">
        <v>427</v>
      </c>
      <c r="D10188" t="s">
        <v>23256</v>
      </c>
    </row>
    <row r="10189" spans="1:4">
      <c r="A10189">
        <v>39308</v>
      </c>
      <c r="B10189" t="s">
        <v>10668</v>
      </c>
      <c r="C10189" t="s">
        <v>427</v>
      </c>
      <c r="D10189" t="s">
        <v>20121</v>
      </c>
    </row>
    <row r="10190" spans="1:4">
      <c r="A10190">
        <v>39309</v>
      </c>
      <c r="B10190" t="s">
        <v>10669</v>
      </c>
      <c r="C10190" t="s">
        <v>427</v>
      </c>
      <c r="D10190" t="s">
        <v>15803</v>
      </c>
    </row>
    <row r="10191" spans="1:4">
      <c r="A10191">
        <v>39310</v>
      </c>
      <c r="B10191" t="s">
        <v>10670</v>
      </c>
      <c r="C10191" t="s">
        <v>427</v>
      </c>
      <c r="D10191" t="s">
        <v>26022</v>
      </c>
    </row>
    <row r="10192" spans="1:4">
      <c r="A10192">
        <v>39311</v>
      </c>
      <c r="B10192" t="s">
        <v>10671</v>
      </c>
      <c r="C10192" t="s">
        <v>427</v>
      </c>
      <c r="D10192" t="s">
        <v>26023</v>
      </c>
    </row>
    <row r="10193" spans="1:4">
      <c r="A10193">
        <v>39855</v>
      </c>
      <c r="B10193" t="s">
        <v>10672</v>
      </c>
      <c r="C10193" t="s">
        <v>427</v>
      </c>
      <c r="D10193" t="s">
        <v>25515</v>
      </c>
    </row>
    <row r="10194" spans="1:4">
      <c r="A10194">
        <v>39856</v>
      </c>
      <c r="B10194" t="s">
        <v>10673</v>
      </c>
      <c r="C10194" t="s">
        <v>427</v>
      </c>
      <c r="D10194" t="s">
        <v>17262</v>
      </c>
    </row>
    <row r="10195" spans="1:4">
      <c r="A10195">
        <v>39857</v>
      </c>
      <c r="B10195" t="s">
        <v>10674</v>
      </c>
      <c r="C10195" t="s">
        <v>427</v>
      </c>
      <c r="D10195" t="s">
        <v>16091</v>
      </c>
    </row>
    <row r="10196" spans="1:4">
      <c r="A10196">
        <v>39858</v>
      </c>
      <c r="B10196" t="s">
        <v>10675</v>
      </c>
      <c r="C10196" t="s">
        <v>427</v>
      </c>
      <c r="D10196" t="s">
        <v>26024</v>
      </c>
    </row>
    <row r="10197" spans="1:4">
      <c r="A10197">
        <v>39859</v>
      </c>
      <c r="B10197" t="s">
        <v>10676</v>
      </c>
      <c r="C10197" t="s">
        <v>427</v>
      </c>
      <c r="D10197" t="s">
        <v>26025</v>
      </c>
    </row>
    <row r="10198" spans="1:4">
      <c r="A10198">
        <v>39860</v>
      </c>
      <c r="B10198" t="s">
        <v>10677</v>
      </c>
      <c r="C10198" t="s">
        <v>427</v>
      </c>
      <c r="D10198" t="s">
        <v>19884</v>
      </c>
    </row>
    <row r="10199" spans="1:4">
      <c r="A10199">
        <v>39861</v>
      </c>
      <c r="B10199" t="s">
        <v>10678</v>
      </c>
      <c r="C10199" t="s">
        <v>427</v>
      </c>
      <c r="D10199" t="s">
        <v>25977</v>
      </c>
    </row>
    <row r="10200" spans="1:4">
      <c r="A10200">
        <v>38447</v>
      </c>
      <c r="B10200" t="s">
        <v>10679</v>
      </c>
      <c r="C10200" t="s">
        <v>427</v>
      </c>
      <c r="D10200" t="s">
        <v>26026</v>
      </c>
    </row>
    <row r="10201" spans="1:4">
      <c r="A10201">
        <v>36320</v>
      </c>
      <c r="B10201" t="s">
        <v>10680</v>
      </c>
      <c r="C10201" t="s">
        <v>427</v>
      </c>
      <c r="D10201" t="s">
        <v>19311</v>
      </c>
    </row>
    <row r="10202" spans="1:4">
      <c r="A10202">
        <v>36324</v>
      </c>
      <c r="B10202" t="s">
        <v>10681</v>
      </c>
      <c r="C10202" t="s">
        <v>427</v>
      </c>
      <c r="D10202" t="s">
        <v>25090</v>
      </c>
    </row>
    <row r="10203" spans="1:4">
      <c r="A10203">
        <v>38441</v>
      </c>
      <c r="B10203" t="s">
        <v>10682</v>
      </c>
      <c r="C10203" t="s">
        <v>427</v>
      </c>
      <c r="D10203" t="s">
        <v>15642</v>
      </c>
    </row>
    <row r="10204" spans="1:4">
      <c r="A10204">
        <v>38442</v>
      </c>
      <c r="B10204" t="s">
        <v>10683</v>
      </c>
      <c r="C10204" t="s">
        <v>427</v>
      </c>
      <c r="D10204" t="s">
        <v>23643</v>
      </c>
    </row>
    <row r="10205" spans="1:4">
      <c r="A10205">
        <v>38443</v>
      </c>
      <c r="B10205" t="s">
        <v>10684</v>
      </c>
      <c r="C10205" t="s">
        <v>427</v>
      </c>
      <c r="D10205" t="s">
        <v>18137</v>
      </c>
    </row>
    <row r="10206" spans="1:4">
      <c r="A10206">
        <v>38444</v>
      </c>
      <c r="B10206" t="s">
        <v>10685</v>
      </c>
      <c r="C10206" t="s">
        <v>427</v>
      </c>
      <c r="D10206" t="s">
        <v>15390</v>
      </c>
    </row>
    <row r="10207" spans="1:4">
      <c r="A10207">
        <v>38445</v>
      </c>
      <c r="B10207" t="s">
        <v>10686</v>
      </c>
      <c r="C10207" t="s">
        <v>427</v>
      </c>
      <c r="D10207" t="s">
        <v>26027</v>
      </c>
    </row>
    <row r="10208" spans="1:4">
      <c r="A10208">
        <v>38446</v>
      </c>
      <c r="B10208" t="s">
        <v>10687</v>
      </c>
      <c r="C10208" t="s">
        <v>427</v>
      </c>
      <c r="D10208" t="s">
        <v>26028</v>
      </c>
    </row>
    <row r="10209" spans="1:4">
      <c r="A10209">
        <v>3867</v>
      </c>
      <c r="B10209" t="s">
        <v>10688</v>
      </c>
      <c r="C10209" t="s">
        <v>427</v>
      </c>
      <c r="D10209" t="s">
        <v>26029</v>
      </c>
    </row>
    <row r="10210" spans="1:4">
      <c r="A10210">
        <v>3861</v>
      </c>
      <c r="B10210" t="s">
        <v>10689</v>
      </c>
      <c r="C10210" t="s">
        <v>427</v>
      </c>
      <c r="D10210" t="s">
        <v>24340</v>
      </c>
    </row>
    <row r="10211" spans="1:4">
      <c r="A10211">
        <v>3904</v>
      </c>
      <c r="B10211" t="s">
        <v>10690</v>
      </c>
      <c r="C10211" t="s">
        <v>427</v>
      </c>
      <c r="D10211" t="s">
        <v>20325</v>
      </c>
    </row>
    <row r="10212" spans="1:4">
      <c r="A10212">
        <v>3903</v>
      </c>
      <c r="B10212" t="s">
        <v>10691</v>
      </c>
      <c r="C10212" t="s">
        <v>427</v>
      </c>
      <c r="D10212" t="s">
        <v>20171</v>
      </c>
    </row>
    <row r="10213" spans="1:4">
      <c r="A10213">
        <v>3862</v>
      </c>
      <c r="B10213" t="s">
        <v>10692</v>
      </c>
      <c r="C10213" t="s">
        <v>427</v>
      </c>
      <c r="D10213" t="s">
        <v>15691</v>
      </c>
    </row>
    <row r="10214" spans="1:4">
      <c r="A10214">
        <v>3863</v>
      </c>
      <c r="B10214" t="s">
        <v>10693</v>
      </c>
      <c r="C10214" t="s">
        <v>427</v>
      </c>
      <c r="D10214" t="s">
        <v>15312</v>
      </c>
    </row>
    <row r="10215" spans="1:4">
      <c r="A10215">
        <v>3864</v>
      </c>
      <c r="B10215" t="s">
        <v>10694</v>
      </c>
      <c r="C10215" t="s">
        <v>427</v>
      </c>
      <c r="D10215" t="s">
        <v>21035</v>
      </c>
    </row>
    <row r="10216" spans="1:4">
      <c r="A10216">
        <v>3865</v>
      </c>
      <c r="B10216" t="s">
        <v>10695</v>
      </c>
      <c r="C10216" t="s">
        <v>427</v>
      </c>
      <c r="D10216" t="s">
        <v>18644</v>
      </c>
    </row>
    <row r="10217" spans="1:4">
      <c r="A10217">
        <v>3866</v>
      </c>
      <c r="B10217" t="s">
        <v>10696</v>
      </c>
      <c r="C10217" t="s">
        <v>427</v>
      </c>
      <c r="D10217" t="s">
        <v>26030</v>
      </c>
    </row>
    <row r="10218" spans="1:4">
      <c r="A10218">
        <v>3902</v>
      </c>
      <c r="B10218" t="s">
        <v>10697</v>
      </c>
      <c r="C10218" t="s">
        <v>427</v>
      </c>
      <c r="D10218" t="s">
        <v>26031</v>
      </c>
    </row>
    <row r="10219" spans="1:4">
      <c r="A10219">
        <v>3878</v>
      </c>
      <c r="B10219" t="s">
        <v>10698</v>
      </c>
      <c r="C10219" t="s">
        <v>427</v>
      </c>
      <c r="D10219" t="s">
        <v>15784</v>
      </c>
    </row>
    <row r="10220" spans="1:4">
      <c r="A10220">
        <v>3877</v>
      </c>
      <c r="B10220" t="s">
        <v>10699</v>
      </c>
      <c r="C10220" t="s">
        <v>427</v>
      </c>
      <c r="D10220" t="s">
        <v>17173</v>
      </c>
    </row>
    <row r="10221" spans="1:4">
      <c r="A10221">
        <v>3879</v>
      </c>
      <c r="B10221" t="s">
        <v>10700</v>
      </c>
      <c r="C10221" t="s">
        <v>427</v>
      </c>
      <c r="D10221" t="s">
        <v>18215</v>
      </c>
    </row>
    <row r="10222" spans="1:4">
      <c r="A10222">
        <v>3880</v>
      </c>
      <c r="B10222" t="s">
        <v>10701</v>
      </c>
      <c r="C10222" t="s">
        <v>427</v>
      </c>
      <c r="D10222" t="s">
        <v>23997</v>
      </c>
    </row>
    <row r="10223" spans="1:4">
      <c r="A10223">
        <v>12892</v>
      </c>
      <c r="B10223" t="s">
        <v>10702</v>
      </c>
      <c r="C10223" t="s">
        <v>434</v>
      </c>
      <c r="D10223" t="s">
        <v>22990</v>
      </c>
    </row>
    <row r="10224" spans="1:4">
      <c r="A10224">
        <v>3883</v>
      </c>
      <c r="B10224" t="s">
        <v>10703</v>
      </c>
      <c r="C10224" t="s">
        <v>427</v>
      </c>
      <c r="D10224" t="s">
        <v>15708</v>
      </c>
    </row>
    <row r="10225" spans="1:4">
      <c r="A10225">
        <v>3876</v>
      </c>
      <c r="B10225" t="s">
        <v>10704</v>
      </c>
      <c r="C10225" t="s">
        <v>427</v>
      </c>
      <c r="D10225" t="s">
        <v>15628</v>
      </c>
    </row>
    <row r="10226" spans="1:4">
      <c r="A10226">
        <v>3884</v>
      </c>
      <c r="B10226" t="s">
        <v>10705</v>
      </c>
      <c r="C10226" t="s">
        <v>427</v>
      </c>
      <c r="D10226" t="s">
        <v>19500</v>
      </c>
    </row>
    <row r="10227" spans="1:4">
      <c r="A10227">
        <v>3837</v>
      </c>
      <c r="B10227" t="s">
        <v>10706</v>
      </c>
      <c r="C10227" t="s">
        <v>427</v>
      </c>
      <c r="D10227" t="s">
        <v>26032</v>
      </c>
    </row>
    <row r="10228" spans="1:4">
      <c r="A10228">
        <v>3845</v>
      </c>
      <c r="B10228" t="s">
        <v>10707</v>
      </c>
      <c r="C10228" t="s">
        <v>427</v>
      </c>
      <c r="D10228" t="s">
        <v>17349</v>
      </c>
    </row>
    <row r="10229" spans="1:4">
      <c r="A10229">
        <v>11045</v>
      </c>
      <c r="B10229" t="s">
        <v>10708</v>
      </c>
      <c r="C10229" t="s">
        <v>427</v>
      </c>
      <c r="D10229" t="s">
        <v>17686</v>
      </c>
    </row>
    <row r="10230" spans="1:4">
      <c r="A10230">
        <v>20170</v>
      </c>
      <c r="B10230" t="s">
        <v>10709</v>
      </c>
      <c r="C10230" t="s">
        <v>427</v>
      </c>
      <c r="D10230" t="s">
        <v>18622</v>
      </c>
    </row>
    <row r="10231" spans="1:4">
      <c r="A10231">
        <v>20171</v>
      </c>
      <c r="B10231" t="s">
        <v>10710</v>
      </c>
      <c r="C10231" t="s">
        <v>427</v>
      </c>
      <c r="D10231" t="s">
        <v>26033</v>
      </c>
    </row>
    <row r="10232" spans="1:4">
      <c r="A10232">
        <v>20167</v>
      </c>
      <c r="B10232" t="s">
        <v>10711</v>
      </c>
      <c r="C10232" t="s">
        <v>427</v>
      </c>
      <c r="D10232" t="s">
        <v>19253</v>
      </c>
    </row>
    <row r="10233" spans="1:4">
      <c r="A10233">
        <v>20168</v>
      </c>
      <c r="B10233" t="s">
        <v>10712</v>
      </c>
      <c r="C10233" t="s">
        <v>427</v>
      </c>
      <c r="D10233" t="s">
        <v>17728</v>
      </c>
    </row>
    <row r="10234" spans="1:4">
      <c r="A10234">
        <v>20169</v>
      </c>
      <c r="B10234" t="s">
        <v>10713</v>
      </c>
      <c r="C10234" t="s">
        <v>427</v>
      </c>
      <c r="D10234" t="s">
        <v>20359</v>
      </c>
    </row>
    <row r="10235" spans="1:4">
      <c r="A10235">
        <v>3899</v>
      </c>
      <c r="B10235" t="s">
        <v>10714</v>
      </c>
      <c r="C10235" t="s">
        <v>427</v>
      </c>
      <c r="D10235" t="s">
        <v>19595</v>
      </c>
    </row>
    <row r="10236" spans="1:4">
      <c r="A10236">
        <v>38676</v>
      </c>
      <c r="B10236" t="s">
        <v>10715</v>
      </c>
      <c r="C10236" t="s">
        <v>427</v>
      </c>
      <c r="D10236" t="s">
        <v>22952</v>
      </c>
    </row>
    <row r="10237" spans="1:4">
      <c r="A10237">
        <v>3897</v>
      </c>
      <c r="B10237" t="s">
        <v>10716</v>
      </c>
      <c r="C10237" t="s">
        <v>427</v>
      </c>
      <c r="D10237" t="s">
        <v>15708</v>
      </c>
    </row>
    <row r="10238" spans="1:4">
      <c r="A10238">
        <v>3875</v>
      </c>
      <c r="B10238" t="s">
        <v>10717</v>
      </c>
      <c r="C10238" t="s">
        <v>427</v>
      </c>
      <c r="D10238" t="s">
        <v>24590</v>
      </c>
    </row>
    <row r="10239" spans="1:4">
      <c r="A10239">
        <v>3898</v>
      </c>
      <c r="B10239" t="s">
        <v>10718</v>
      </c>
      <c r="C10239" t="s">
        <v>427</v>
      </c>
      <c r="D10239" t="s">
        <v>15414</v>
      </c>
    </row>
    <row r="10240" spans="1:4">
      <c r="A10240">
        <v>3855</v>
      </c>
      <c r="B10240" t="s">
        <v>10719</v>
      </c>
      <c r="C10240" t="s">
        <v>427</v>
      </c>
      <c r="D10240" t="s">
        <v>18050</v>
      </c>
    </row>
    <row r="10241" spans="1:4">
      <c r="A10241">
        <v>3874</v>
      </c>
      <c r="B10241" t="s">
        <v>10720</v>
      </c>
      <c r="C10241" t="s">
        <v>427</v>
      </c>
      <c r="D10241" t="s">
        <v>20651</v>
      </c>
    </row>
    <row r="10242" spans="1:4">
      <c r="A10242">
        <v>3870</v>
      </c>
      <c r="B10242" t="s">
        <v>10721</v>
      </c>
      <c r="C10242" t="s">
        <v>427</v>
      </c>
      <c r="D10242" t="s">
        <v>17726</v>
      </c>
    </row>
    <row r="10243" spans="1:4">
      <c r="A10243">
        <v>38678</v>
      </c>
      <c r="B10243" t="s">
        <v>10722</v>
      </c>
      <c r="C10243" t="s">
        <v>427</v>
      </c>
      <c r="D10243" t="s">
        <v>15506</v>
      </c>
    </row>
    <row r="10244" spans="1:4">
      <c r="A10244">
        <v>3859</v>
      </c>
      <c r="B10244" t="s">
        <v>10723</v>
      </c>
      <c r="C10244" t="s">
        <v>427</v>
      </c>
      <c r="D10244" t="s">
        <v>24384</v>
      </c>
    </row>
    <row r="10245" spans="1:4">
      <c r="A10245">
        <v>3856</v>
      </c>
      <c r="B10245" t="s">
        <v>10724</v>
      </c>
      <c r="C10245" t="s">
        <v>427</v>
      </c>
      <c r="D10245" t="s">
        <v>15303</v>
      </c>
    </row>
    <row r="10246" spans="1:4">
      <c r="A10246">
        <v>3906</v>
      </c>
      <c r="B10246" t="s">
        <v>10725</v>
      </c>
      <c r="C10246" t="s">
        <v>427</v>
      </c>
      <c r="D10246" t="s">
        <v>20172</v>
      </c>
    </row>
    <row r="10247" spans="1:4">
      <c r="A10247">
        <v>3860</v>
      </c>
      <c r="B10247" t="s">
        <v>10726</v>
      </c>
      <c r="C10247" t="s">
        <v>427</v>
      </c>
      <c r="D10247" t="s">
        <v>23896</v>
      </c>
    </row>
    <row r="10248" spans="1:4">
      <c r="A10248">
        <v>3905</v>
      </c>
      <c r="B10248" t="s">
        <v>10727</v>
      </c>
      <c r="C10248" t="s">
        <v>427</v>
      </c>
      <c r="D10248" t="s">
        <v>18630</v>
      </c>
    </row>
    <row r="10249" spans="1:4">
      <c r="A10249">
        <v>3871</v>
      </c>
      <c r="B10249" t="s">
        <v>10728</v>
      </c>
      <c r="C10249" t="s">
        <v>427</v>
      </c>
      <c r="D10249" t="s">
        <v>26034</v>
      </c>
    </row>
    <row r="10250" spans="1:4">
      <c r="A10250">
        <v>37429</v>
      </c>
      <c r="B10250" t="s">
        <v>10729</v>
      </c>
      <c r="C10250" t="s">
        <v>427</v>
      </c>
      <c r="D10250" t="s">
        <v>26035</v>
      </c>
    </row>
    <row r="10251" spans="1:4">
      <c r="A10251">
        <v>37426</v>
      </c>
      <c r="B10251" t="s">
        <v>10730</v>
      </c>
      <c r="C10251" t="s">
        <v>427</v>
      </c>
      <c r="D10251" t="s">
        <v>20600</v>
      </c>
    </row>
    <row r="10252" spans="1:4">
      <c r="A10252">
        <v>37427</v>
      </c>
      <c r="B10252" t="s">
        <v>10731</v>
      </c>
      <c r="C10252" t="s">
        <v>427</v>
      </c>
      <c r="D10252" t="s">
        <v>26036</v>
      </c>
    </row>
    <row r="10253" spans="1:4">
      <c r="A10253">
        <v>37424</v>
      </c>
      <c r="B10253" t="s">
        <v>10732</v>
      </c>
      <c r="C10253" t="s">
        <v>427</v>
      </c>
      <c r="D10253" t="s">
        <v>16090</v>
      </c>
    </row>
    <row r="10254" spans="1:4">
      <c r="A10254">
        <v>37428</v>
      </c>
      <c r="B10254" t="s">
        <v>10733</v>
      </c>
      <c r="C10254" t="s">
        <v>427</v>
      </c>
      <c r="D10254" t="s">
        <v>26037</v>
      </c>
    </row>
    <row r="10255" spans="1:4">
      <c r="A10255">
        <v>37425</v>
      </c>
      <c r="B10255" t="s">
        <v>10734</v>
      </c>
      <c r="C10255" t="s">
        <v>427</v>
      </c>
      <c r="D10255" t="s">
        <v>26038</v>
      </c>
    </row>
    <row r="10256" spans="1:4">
      <c r="A10256">
        <v>11519</v>
      </c>
      <c r="B10256" t="s">
        <v>10735</v>
      </c>
      <c r="C10256" t="s">
        <v>434</v>
      </c>
      <c r="D10256" t="s">
        <v>26039</v>
      </c>
    </row>
    <row r="10257" spans="1:4">
      <c r="A10257">
        <v>11520</v>
      </c>
      <c r="B10257" t="s">
        <v>10736</v>
      </c>
      <c r="C10257" t="s">
        <v>434</v>
      </c>
      <c r="D10257" t="s">
        <v>20299</v>
      </c>
    </row>
    <row r="10258" spans="1:4">
      <c r="A10258">
        <v>11518</v>
      </c>
      <c r="B10258" t="s">
        <v>10737</v>
      </c>
      <c r="C10258" t="s">
        <v>434</v>
      </c>
      <c r="D10258" t="s">
        <v>26040</v>
      </c>
    </row>
    <row r="10259" spans="1:4">
      <c r="A10259">
        <v>38473</v>
      </c>
      <c r="B10259" t="s">
        <v>10738</v>
      </c>
      <c r="C10259" t="s">
        <v>427</v>
      </c>
      <c r="D10259" t="s">
        <v>26041</v>
      </c>
    </row>
    <row r="10260" spans="1:4">
      <c r="A10260">
        <v>4244</v>
      </c>
      <c r="B10260" t="s">
        <v>10739</v>
      </c>
      <c r="C10260" t="s">
        <v>432</v>
      </c>
      <c r="D10260" t="s">
        <v>16922</v>
      </c>
    </row>
    <row r="10261" spans="1:4">
      <c r="A10261">
        <v>40977</v>
      </c>
      <c r="B10261" t="s">
        <v>10740</v>
      </c>
      <c r="C10261" t="s">
        <v>433</v>
      </c>
      <c r="D10261" t="s">
        <v>26042</v>
      </c>
    </row>
    <row r="10262" spans="1:4">
      <c r="A10262">
        <v>4115</v>
      </c>
      <c r="B10262" t="s">
        <v>10741</v>
      </c>
      <c r="C10262" t="s">
        <v>429</v>
      </c>
      <c r="D10262" t="s">
        <v>17427</v>
      </c>
    </row>
    <row r="10263" spans="1:4">
      <c r="A10263">
        <v>4119</v>
      </c>
      <c r="B10263" t="s">
        <v>10742</v>
      </c>
      <c r="C10263" t="s">
        <v>429</v>
      </c>
      <c r="D10263" t="s">
        <v>25351</v>
      </c>
    </row>
    <row r="10264" spans="1:4">
      <c r="A10264">
        <v>2794</v>
      </c>
      <c r="B10264" t="s">
        <v>10743</v>
      </c>
      <c r="C10264" t="s">
        <v>429</v>
      </c>
      <c r="D10264" t="s">
        <v>26043</v>
      </c>
    </row>
    <row r="10265" spans="1:4">
      <c r="A10265">
        <v>2788</v>
      </c>
      <c r="B10265" t="s">
        <v>10744</v>
      </c>
      <c r="C10265" t="s">
        <v>429</v>
      </c>
      <c r="D10265" t="s">
        <v>26044</v>
      </c>
    </row>
    <row r="10266" spans="1:4">
      <c r="A10266">
        <v>4006</v>
      </c>
      <c r="B10266" t="s">
        <v>10745</v>
      </c>
      <c r="C10266" t="s">
        <v>431</v>
      </c>
      <c r="D10266" t="s">
        <v>26045</v>
      </c>
    </row>
    <row r="10267" spans="1:4">
      <c r="A10267">
        <v>36151</v>
      </c>
      <c r="B10267" t="s">
        <v>10746</v>
      </c>
      <c r="C10267" t="s">
        <v>427</v>
      </c>
      <c r="D10267" t="s">
        <v>18275</v>
      </c>
    </row>
    <row r="10268" spans="1:4">
      <c r="A10268">
        <v>37457</v>
      </c>
      <c r="B10268" t="s">
        <v>10747</v>
      </c>
      <c r="C10268" t="s">
        <v>429</v>
      </c>
      <c r="D10268" t="s">
        <v>26046</v>
      </c>
    </row>
    <row r="10269" spans="1:4">
      <c r="A10269">
        <v>37456</v>
      </c>
      <c r="B10269" t="s">
        <v>10748</v>
      </c>
      <c r="C10269" t="s">
        <v>429</v>
      </c>
      <c r="D10269" t="s">
        <v>15709</v>
      </c>
    </row>
    <row r="10270" spans="1:4">
      <c r="A10270">
        <v>37461</v>
      </c>
      <c r="B10270" t="s">
        <v>10749</v>
      </c>
      <c r="C10270" t="s">
        <v>429</v>
      </c>
      <c r="D10270" t="s">
        <v>15851</v>
      </c>
    </row>
    <row r="10271" spans="1:4">
      <c r="A10271">
        <v>37460</v>
      </c>
      <c r="B10271" t="s">
        <v>10750</v>
      </c>
      <c r="C10271" t="s">
        <v>429</v>
      </c>
      <c r="D10271" t="s">
        <v>18333</v>
      </c>
    </row>
    <row r="10272" spans="1:4">
      <c r="A10272">
        <v>37458</v>
      </c>
      <c r="B10272" t="s">
        <v>10751</v>
      </c>
      <c r="C10272" t="s">
        <v>429</v>
      </c>
      <c r="D10272" t="s">
        <v>20366</v>
      </c>
    </row>
    <row r="10273" spans="1:4">
      <c r="A10273">
        <v>37454</v>
      </c>
      <c r="B10273" t="s">
        <v>10752</v>
      </c>
      <c r="C10273" t="s">
        <v>429</v>
      </c>
      <c r="D10273" t="s">
        <v>15822</v>
      </c>
    </row>
    <row r="10274" spans="1:4">
      <c r="A10274">
        <v>37455</v>
      </c>
      <c r="B10274" t="s">
        <v>10753</v>
      </c>
      <c r="C10274" t="s">
        <v>429</v>
      </c>
      <c r="D10274" t="s">
        <v>17097</v>
      </c>
    </row>
    <row r="10275" spans="1:4">
      <c r="A10275">
        <v>37459</v>
      </c>
      <c r="B10275" t="s">
        <v>10754</v>
      </c>
      <c r="C10275" t="s">
        <v>429</v>
      </c>
      <c r="D10275" t="s">
        <v>19608</v>
      </c>
    </row>
    <row r="10276" spans="1:4">
      <c r="A10276">
        <v>21029</v>
      </c>
      <c r="B10276" t="s">
        <v>10755</v>
      </c>
      <c r="C10276" t="s">
        <v>427</v>
      </c>
      <c r="D10276" t="s">
        <v>26047</v>
      </c>
    </row>
    <row r="10277" spans="1:4">
      <c r="A10277">
        <v>21030</v>
      </c>
      <c r="B10277" t="s">
        <v>10756</v>
      </c>
      <c r="C10277" t="s">
        <v>427</v>
      </c>
      <c r="D10277" t="s">
        <v>26048</v>
      </c>
    </row>
    <row r="10278" spans="1:4">
      <c r="A10278">
        <v>21031</v>
      </c>
      <c r="B10278" t="s">
        <v>10757</v>
      </c>
      <c r="C10278" t="s">
        <v>427</v>
      </c>
      <c r="D10278" t="s">
        <v>26049</v>
      </c>
    </row>
    <row r="10279" spans="1:4">
      <c r="A10279">
        <v>21032</v>
      </c>
      <c r="B10279" t="s">
        <v>10758</v>
      </c>
      <c r="C10279" t="s">
        <v>427</v>
      </c>
      <c r="D10279" t="s">
        <v>26050</v>
      </c>
    </row>
    <row r="10280" spans="1:4">
      <c r="A10280">
        <v>37527</v>
      </c>
      <c r="B10280" t="s">
        <v>10759</v>
      </c>
      <c r="C10280" t="s">
        <v>427</v>
      </c>
      <c r="D10280" t="s">
        <v>26051</v>
      </c>
    </row>
    <row r="10281" spans="1:4">
      <c r="A10281">
        <v>37528</v>
      </c>
      <c r="B10281" t="s">
        <v>10760</v>
      </c>
      <c r="C10281" t="s">
        <v>427</v>
      </c>
      <c r="D10281" t="s">
        <v>26052</v>
      </c>
    </row>
    <row r="10282" spans="1:4">
      <c r="A10282">
        <v>37529</v>
      </c>
      <c r="B10282" t="s">
        <v>10761</v>
      </c>
      <c r="C10282" t="s">
        <v>427</v>
      </c>
      <c r="D10282" t="s">
        <v>26053</v>
      </c>
    </row>
    <row r="10283" spans="1:4">
      <c r="A10283">
        <v>37530</v>
      </c>
      <c r="B10283" t="s">
        <v>10762</v>
      </c>
      <c r="C10283" t="s">
        <v>427</v>
      </c>
      <c r="D10283" t="s">
        <v>26054</v>
      </c>
    </row>
    <row r="10284" spans="1:4">
      <c r="A10284">
        <v>21034</v>
      </c>
      <c r="B10284" t="s">
        <v>10763</v>
      </c>
      <c r="C10284" t="s">
        <v>427</v>
      </c>
      <c r="D10284" t="s">
        <v>26055</v>
      </c>
    </row>
    <row r="10285" spans="1:4">
      <c r="A10285">
        <v>37531</v>
      </c>
      <c r="B10285" t="s">
        <v>10764</v>
      </c>
      <c r="C10285" t="s">
        <v>427</v>
      </c>
      <c r="D10285" t="s">
        <v>26056</v>
      </c>
    </row>
    <row r="10286" spans="1:4">
      <c r="A10286">
        <v>21036</v>
      </c>
      <c r="B10286" t="s">
        <v>10765</v>
      </c>
      <c r="C10286" t="s">
        <v>427</v>
      </c>
      <c r="D10286" t="s">
        <v>26057</v>
      </c>
    </row>
    <row r="10287" spans="1:4">
      <c r="A10287">
        <v>21037</v>
      </c>
      <c r="B10287" t="s">
        <v>10766</v>
      </c>
      <c r="C10287" t="s">
        <v>427</v>
      </c>
      <c r="D10287" t="s">
        <v>26058</v>
      </c>
    </row>
    <row r="10288" spans="1:4">
      <c r="A10288">
        <v>20185</v>
      </c>
      <c r="B10288" t="s">
        <v>10767</v>
      </c>
      <c r="C10288" t="s">
        <v>429</v>
      </c>
      <c r="D10288" t="s">
        <v>17324</v>
      </c>
    </row>
    <row r="10289" spans="1:4">
      <c r="A10289">
        <v>20260</v>
      </c>
      <c r="B10289" t="s">
        <v>10768</v>
      </c>
      <c r="C10289" t="s">
        <v>427</v>
      </c>
      <c r="D10289" t="s">
        <v>15793</v>
      </c>
    </row>
    <row r="10290" spans="1:4">
      <c r="A10290">
        <v>37523</v>
      </c>
      <c r="B10290" t="s">
        <v>10769</v>
      </c>
      <c r="C10290" t="s">
        <v>427</v>
      </c>
      <c r="D10290" t="s">
        <v>26059</v>
      </c>
    </row>
    <row r="10291" spans="1:4">
      <c r="A10291">
        <v>37515</v>
      </c>
      <c r="B10291" t="s">
        <v>10770</v>
      </c>
      <c r="C10291" t="s">
        <v>427</v>
      </c>
      <c r="D10291" t="s">
        <v>26060</v>
      </c>
    </row>
    <row r="10292" spans="1:4">
      <c r="A10292">
        <v>12899</v>
      </c>
      <c r="B10292" t="s">
        <v>10771</v>
      </c>
      <c r="C10292" t="s">
        <v>427</v>
      </c>
      <c r="D10292" t="s">
        <v>21723</v>
      </c>
    </row>
    <row r="10293" spans="1:4">
      <c r="A10293">
        <v>12898</v>
      </c>
      <c r="B10293" t="s">
        <v>10772</v>
      </c>
      <c r="C10293" t="s">
        <v>427</v>
      </c>
      <c r="D10293" t="s">
        <v>26061</v>
      </c>
    </row>
    <row r="10294" spans="1:4">
      <c r="A10294">
        <v>42528</v>
      </c>
      <c r="B10294" t="s">
        <v>10773</v>
      </c>
      <c r="C10294" t="s">
        <v>426</v>
      </c>
      <c r="D10294" t="s">
        <v>23616</v>
      </c>
    </row>
    <row r="10295" spans="1:4">
      <c r="A10295">
        <v>39696</v>
      </c>
      <c r="B10295" t="s">
        <v>10774</v>
      </c>
      <c r="C10295" t="s">
        <v>426</v>
      </c>
      <c r="D10295" t="s">
        <v>18148</v>
      </c>
    </row>
    <row r="10296" spans="1:4">
      <c r="A10296">
        <v>39700</v>
      </c>
      <c r="B10296" t="s">
        <v>10775</v>
      </c>
      <c r="C10296" t="s">
        <v>426</v>
      </c>
      <c r="D10296" t="s">
        <v>26031</v>
      </c>
    </row>
    <row r="10297" spans="1:4">
      <c r="A10297">
        <v>11621</v>
      </c>
      <c r="B10297" t="s">
        <v>10776</v>
      </c>
      <c r="C10297" t="s">
        <v>426</v>
      </c>
      <c r="D10297" t="s">
        <v>26062</v>
      </c>
    </row>
    <row r="10298" spans="1:4">
      <c r="A10298">
        <v>4014</v>
      </c>
      <c r="B10298" t="s">
        <v>10777</v>
      </c>
      <c r="C10298" t="s">
        <v>426</v>
      </c>
      <c r="D10298" t="s">
        <v>24371</v>
      </c>
    </row>
    <row r="10299" spans="1:4">
      <c r="A10299">
        <v>4015</v>
      </c>
      <c r="B10299" t="s">
        <v>10778</v>
      </c>
      <c r="C10299" t="s">
        <v>426</v>
      </c>
      <c r="D10299" t="s">
        <v>26063</v>
      </c>
    </row>
    <row r="10300" spans="1:4">
      <c r="A10300">
        <v>4017</v>
      </c>
      <c r="B10300" t="s">
        <v>10779</v>
      </c>
      <c r="C10300" t="s">
        <v>426</v>
      </c>
      <c r="D10300" t="s">
        <v>25777</v>
      </c>
    </row>
    <row r="10301" spans="1:4">
      <c r="A10301">
        <v>4016</v>
      </c>
      <c r="B10301" t="s">
        <v>10780</v>
      </c>
      <c r="C10301" t="s">
        <v>426</v>
      </c>
      <c r="D10301" t="s">
        <v>26064</v>
      </c>
    </row>
    <row r="10302" spans="1:4">
      <c r="A10302">
        <v>39699</v>
      </c>
      <c r="B10302" t="s">
        <v>10781</v>
      </c>
      <c r="C10302" t="s">
        <v>426</v>
      </c>
      <c r="D10302" t="s">
        <v>25529</v>
      </c>
    </row>
    <row r="10303" spans="1:4">
      <c r="A10303">
        <v>38544</v>
      </c>
      <c r="B10303" t="s">
        <v>10782</v>
      </c>
      <c r="C10303" t="s">
        <v>426</v>
      </c>
      <c r="D10303" t="s">
        <v>15366</v>
      </c>
    </row>
    <row r="10304" spans="1:4">
      <c r="A10304">
        <v>38545</v>
      </c>
      <c r="B10304" t="s">
        <v>10783</v>
      </c>
      <c r="C10304" t="s">
        <v>426</v>
      </c>
      <c r="D10304" t="s">
        <v>15772</v>
      </c>
    </row>
    <row r="10305" spans="1:4">
      <c r="A10305">
        <v>42527</v>
      </c>
      <c r="B10305" t="s">
        <v>10784</v>
      </c>
      <c r="C10305" t="s">
        <v>426</v>
      </c>
      <c r="D10305" t="s">
        <v>18166</v>
      </c>
    </row>
    <row r="10306" spans="1:4">
      <c r="A10306">
        <v>39323</v>
      </c>
      <c r="B10306" t="s">
        <v>10785</v>
      </c>
      <c r="C10306" t="s">
        <v>426</v>
      </c>
      <c r="D10306" t="s">
        <v>17299</v>
      </c>
    </row>
    <row r="10307" spans="1:4">
      <c r="A10307">
        <v>626</v>
      </c>
      <c r="B10307" t="s">
        <v>10786</v>
      </c>
      <c r="C10307" t="s">
        <v>430</v>
      </c>
      <c r="D10307" t="s">
        <v>26065</v>
      </c>
    </row>
    <row r="10308" spans="1:4">
      <c r="A10308">
        <v>44504</v>
      </c>
      <c r="B10308" t="s">
        <v>13464</v>
      </c>
      <c r="C10308" t="s">
        <v>426</v>
      </c>
      <c r="D10308" t="s">
        <v>15612</v>
      </c>
    </row>
    <row r="10309" spans="1:4">
      <c r="A10309">
        <v>44505</v>
      </c>
      <c r="B10309" t="s">
        <v>13465</v>
      </c>
      <c r="C10309" t="s">
        <v>426</v>
      </c>
      <c r="D10309" t="s">
        <v>23522</v>
      </c>
    </row>
    <row r="10310" spans="1:4">
      <c r="A10310">
        <v>44506</v>
      </c>
      <c r="B10310" t="s">
        <v>13466</v>
      </c>
      <c r="C10310" t="s">
        <v>426</v>
      </c>
      <c r="D10310" t="s">
        <v>17254</v>
      </c>
    </row>
    <row r="10311" spans="1:4">
      <c r="A10311">
        <v>44507</v>
      </c>
      <c r="B10311" t="s">
        <v>13467</v>
      </c>
      <c r="C10311" t="s">
        <v>426</v>
      </c>
      <c r="D10311" t="s">
        <v>26066</v>
      </c>
    </row>
    <row r="10312" spans="1:4">
      <c r="A10312">
        <v>44508</v>
      </c>
      <c r="B10312" t="s">
        <v>13468</v>
      </c>
      <c r="C10312" t="s">
        <v>426</v>
      </c>
      <c r="D10312" t="s">
        <v>23972</v>
      </c>
    </row>
    <row r="10313" spans="1:4">
      <c r="A10313">
        <v>44509</v>
      </c>
      <c r="B10313" t="s">
        <v>13469</v>
      </c>
      <c r="C10313" t="s">
        <v>426</v>
      </c>
      <c r="D10313" t="s">
        <v>26067</v>
      </c>
    </row>
    <row r="10314" spans="1:4">
      <c r="A10314">
        <v>44510</v>
      </c>
      <c r="B10314" t="s">
        <v>13470</v>
      </c>
      <c r="C10314" t="s">
        <v>426</v>
      </c>
      <c r="D10314" t="s">
        <v>22156</v>
      </c>
    </row>
    <row r="10315" spans="1:4">
      <c r="A10315">
        <v>44512</v>
      </c>
      <c r="B10315" t="s">
        <v>13471</v>
      </c>
      <c r="C10315" t="s">
        <v>426</v>
      </c>
      <c r="D10315" t="s">
        <v>22024</v>
      </c>
    </row>
    <row r="10316" spans="1:4">
      <c r="A10316">
        <v>44513</v>
      </c>
      <c r="B10316" t="s">
        <v>13472</v>
      </c>
      <c r="C10316" t="s">
        <v>426</v>
      </c>
      <c r="D10316" t="s">
        <v>22732</v>
      </c>
    </row>
    <row r="10317" spans="1:4">
      <c r="A10317">
        <v>44514</v>
      </c>
      <c r="B10317" t="s">
        <v>13473</v>
      </c>
      <c r="C10317" t="s">
        <v>426</v>
      </c>
      <c r="D10317" t="s">
        <v>26068</v>
      </c>
    </row>
    <row r="10318" spans="1:4">
      <c r="A10318">
        <v>44515</v>
      </c>
      <c r="B10318" t="s">
        <v>13474</v>
      </c>
      <c r="C10318" t="s">
        <v>426</v>
      </c>
      <c r="D10318" t="s">
        <v>18472</v>
      </c>
    </row>
    <row r="10319" spans="1:4">
      <c r="A10319">
        <v>44511</v>
      </c>
      <c r="B10319" t="s">
        <v>13475</v>
      </c>
      <c r="C10319" t="s">
        <v>426</v>
      </c>
      <c r="D10319" t="s">
        <v>26069</v>
      </c>
    </row>
    <row r="10320" spans="1:4">
      <c r="A10320">
        <v>44516</v>
      </c>
      <c r="B10320" t="s">
        <v>13476</v>
      </c>
      <c r="C10320" t="s">
        <v>426</v>
      </c>
      <c r="D10320" t="s">
        <v>20881</v>
      </c>
    </row>
    <row r="10321" spans="1:4">
      <c r="A10321">
        <v>44517</v>
      </c>
      <c r="B10321" t="s">
        <v>13477</v>
      </c>
      <c r="C10321" t="s">
        <v>426</v>
      </c>
      <c r="D10321" t="s">
        <v>26070</v>
      </c>
    </row>
    <row r="10322" spans="1:4">
      <c r="A10322">
        <v>11479</v>
      </c>
      <c r="B10322" t="s">
        <v>10787</v>
      </c>
      <c r="C10322" t="s">
        <v>427</v>
      </c>
      <c r="D10322" t="s">
        <v>17312</v>
      </c>
    </row>
    <row r="10323" spans="1:4">
      <c r="A10323">
        <v>11481</v>
      </c>
      <c r="B10323" t="s">
        <v>10788</v>
      </c>
      <c r="C10323" t="s">
        <v>427</v>
      </c>
      <c r="D10323" t="s">
        <v>25595</v>
      </c>
    </row>
    <row r="10324" spans="1:4">
      <c r="A10324">
        <v>43609</v>
      </c>
      <c r="B10324" t="s">
        <v>10789</v>
      </c>
      <c r="C10324" t="s">
        <v>427</v>
      </c>
      <c r="D10324" t="s">
        <v>25595</v>
      </c>
    </row>
    <row r="10325" spans="1:4">
      <c r="A10325">
        <v>11478</v>
      </c>
      <c r="B10325" t="s">
        <v>10790</v>
      </c>
      <c r="C10325" t="s">
        <v>427</v>
      </c>
      <c r="D10325" t="s">
        <v>26071</v>
      </c>
    </row>
    <row r="10326" spans="1:4">
      <c r="A10326">
        <v>43608</v>
      </c>
      <c r="B10326" t="s">
        <v>10791</v>
      </c>
      <c r="C10326" t="s">
        <v>427</v>
      </c>
      <c r="D10326" t="s">
        <v>21976</v>
      </c>
    </row>
    <row r="10327" spans="1:4">
      <c r="A10327">
        <v>11476</v>
      </c>
      <c r="B10327" t="s">
        <v>10792</v>
      </c>
      <c r="C10327" t="s">
        <v>427</v>
      </c>
      <c r="D10327" t="s">
        <v>21976</v>
      </c>
    </row>
    <row r="10328" spans="1:4">
      <c r="A10328">
        <v>40637</v>
      </c>
      <c r="B10328" t="s">
        <v>10793</v>
      </c>
      <c r="C10328" t="s">
        <v>427</v>
      </c>
      <c r="D10328" t="s">
        <v>26072</v>
      </c>
    </row>
    <row r="10329" spans="1:4">
      <c r="A10329">
        <v>13836</v>
      </c>
      <c r="B10329" t="s">
        <v>10794</v>
      </c>
      <c r="C10329" t="s">
        <v>427</v>
      </c>
      <c r="D10329" t="s">
        <v>26073</v>
      </c>
    </row>
    <row r="10330" spans="1:4">
      <c r="A10330">
        <v>14534</v>
      </c>
      <c r="B10330" t="s">
        <v>10795</v>
      </c>
      <c r="C10330" t="s">
        <v>427</v>
      </c>
      <c r="D10330" t="s">
        <v>26074</v>
      </c>
    </row>
    <row r="10331" spans="1:4">
      <c r="A10331">
        <v>14619</v>
      </c>
      <c r="B10331" t="s">
        <v>10796</v>
      </c>
      <c r="C10331" t="s">
        <v>427</v>
      </c>
      <c r="D10331" t="s">
        <v>26075</v>
      </c>
    </row>
    <row r="10332" spans="1:4">
      <c r="A10332">
        <v>14535</v>
      </c>
      <c r="B10332" t="s">
        <v>10797</v>
      </c>
      <c r="C10332" t="s">
        <v>427</v>
      </c>
      <c r="D10332" t="s">
        <v>26076</v>
      </c>
    </row>
    <row r="10333" spans="1:4">
      <c r="A10333">
        <v>39813</v>
      </c>
      <c r="B10333" t="s">
        <v>10798</v>
      </c>
      <c r="C10333" t="s">
        <v>427</v>
      </c>
      <c r="D10333" t="s">
        <v>26077</v>
      </c>
    </row>
    <row r="10334" spans="1:4">
      <c r="A10334">
        <v>40403</v>
      </c>
      <c r="B10334" t="s">
        <v>10799</v>
      </c>
      <c r="C10334" t="s">
        <v>427</v>
      </c>
      <c r="D10334" t="s">
        <v>26078</v>
      </c>
    </row>
    <row r="10335" spans="1:4">
      <c r="A10335">
        <v>12868</v>
      </c>
      <c r="B10335" t="s">
        <v>20489</v>
      </c>
      <c r="C10335" t="s">
        <v>432</v>
      </c>
      <c r="D10335" t="s">
        <v>24431</v>
      </c>
    </row>
    <row r="10336" spans="1:4">
      <c r="A10336">
        <v>40916</v>
      </c>
      <c r="B10336" t="s">
        <v>10800</v>
      </c>
      <c r="C10336" t="s">
        <v>433</v>
      </c>
      <c r="D10336" t="s">
        <v>26079</v>
      </c>
    </row>
    <row r="10337" spans="1:4">
      <c r="A10337">
        <v>4755</v>
      </c>
      <c r="B10337" t="s">
        <v>13478</v>
      </c>
      <c r="C10337" t="s">
        <v>432</v>
      </c>
      <c r="D10337" t="s">
        <v>20265</v>
      </c>
    </row>
    <row r="10338" spans="1:4">
      <c r="A10338">
        <v>41067</v>
      </c>
      <c r="B10338" t="s">
        <v>10801</v>
      </c>
      <c r="C10338" t="s">
        <v>433</v>
      </c>
      <c r="D10338" t="s">
        <v>24644</v>
      </c>
    </row>
    <row r="10339" spans="1:4">
      <c r="A10339">
        <v>38463</v>
      </c>
      <c r="B10339" t="s">
        <v>10802</v>
      </c>
      <c r="C10339" t="s">
        <v>427</v>
      </c>
      <c r="D10339" t="s">
        <v>14807</v>
      </c>
    </row>
    <row r="10340" spans="1:4">
      <c r="A10340">
        <v>40703</v>
      </c>
      <c r="B10340" t="s">
        <v>10803</v>
      </c>
      <c r="C10340" t="s">
        <v>427</v>
      </c>
      <c r="D10340" t="s">
        <v>26080</v>
      </c>
    </row>
    <row r="10341" spans="1:4">
      <c r="A10341">
        <v>14531</v>
      </c>
      <c r="B10341" t="s">
        <v>10804</v>
      </c>
      <c r="C10341" t="s">
        <v>427</v>
      </c>
      <c r="D10341" t="s">
        <v>26081</v>
      </c>
    </row>
    <row r="10342" spans="1:4">
      <c r="A10342">
        <v>36533</v>
      </c>
      <c r="B10342" t="s">
        <v>10805</v>
      </c>
      <c r="C10342" t="s">
        <v>427</v>
      </c>
      <c r="D10342" t="s">
        <v>26082</v>
      </c>
    </row>
    <row r="10343" spans="1:4">
      <c r="A10343">
        <v>11616</v>
      </c>
      <c r="B10343" t="s">
        <v>10806</v>
      </c>
      <c r="C10343" t="s">
        <v>427</v>
      </c>
      <c r="D10343" t="s">
        <v>26083</v>
      </c>
    </row>
    <row r="10344" spans="1:4">
      <c r="A10344">
        <v>41898</v>
      </c>
      <c r="B10344" t="s">
        <v>10807</v>
      </c>
      <c r="C10344" t="s">
        <v>427</v>
      </c>
      <c r="D10344" t="s">
        <v>26084</v>
      </c>
    </row>
    <row r="10345" spans="1:4">
      <c r="A10345">
        <v>13447</v>
      </c>
      <c r="B10345" t="s">
        <v>10808</v>
      </c>
      <c r="C10345" t="s">
        <v>427</v>
      </c>
      <c r="D10345" t="s">
        <v>26085</v>
      </c>
    </row>
    <row r="10346" spans="1:4">
      <c r="A10346">
        <v>14529</v>
      </c>
      <c r="B10346" t="s">
        <v>10809</v>
      </c>
      <c r="C10346" t="s">
        <v>427</v>
      </c>
      <c r="D10346" t="s">
        <v>26086</v>
      </c>
    </row>
    <row r="10347" spans="1:4">
      <c r="A10347">
        <v>10747</v>
      </c>
      <c r="B10347" t="s">
        <v>10810</v>
      </c>
      <c r="C10347" t="s">
        <v>427</v>
      </c>
      <c r="D10347" t="s">
        <v>26087</v>
      </c>
    </row>
    <row r="10348" spans="1:4">
      <c r="A10348">
        <v>36141</v>
      </c>
      <c r="B10348" t="s">
        <v>10811</v>
      </c>
      <c r="C10348" t="s">
        <v>427</v>
      </c>
      <c r="D10348" t="s">
        <v>22058</v>
      </c>
    </row>
    <row r="10349" spans="1:4">
      <c r="A10349">
        <v>43651</v>
      </c>
      <c r="B10349" t="s">
        <v>13479</v>
      </c>
      <c r="C10349" t="s">
        <v>430</v>
      </c>
      <c r="D10349" t="s">
        <v>20506</v>
      </c>
    </row>
    <row r="10350" spans="1:4">
      <c r="A10350">
        <v>43626</v>
      </c>
      <c r="B10350" t="s">
        <v>13480</v>
      </c>
      <c r="C10350" t="s">
        <v>430</v>
      </c>
      <c r="D10350" t="s">
        <v>25515</v>
      </c>
    </row>
    <row r="10351" spans="1:4">
      <c r="A10351">
        <v>39434</v>
      </c>
      <c r="B10351" t="s">
        <v>10812</v>
      </c>
      <c r="C10351" t="s">
        <v>430</v>
      </c>
      <c r="D10351" t="s">
        <v>18098</v>
      </c>
    </row>
    <row r="10352" spans="1:4">
      <c r="A10352">
        <v>39433</v>
      </c>
      <c r="B10352" t="s">
        <v>10813</v>
      </c>
      <c r="C10352" t="s">
        <v>430</v>
      </c>
      <c r="D10352" t="s">
        <v>15022</v>
      </c>
    </row>
    <row r="10353" spans="1:4">
      <c r="A10353">
        <v>4049</v>
      </c>
      <c r="B10353" t="s">
        <v>10814</v>
      </c>
      <c r="C10353" t="s">
        <v>428</v>
      </c>
      <c r="D10353" t="s">
        <v>24367</v>
      </c>
    </row>
    <row r="10354" spans="1:4">
      <c r="A10354">
        <v>38120</v>
      </c>
      <c r="B10354" t="s">
        <v>10815</v>
      </c>
      <c r="C10354" t="s">
        <v>430</v>
      </c>
      <c r="D10354" t="s">
        <v>26088</v>
      </c>
    </row>
    <row r="10355" spans="1:4">
      <c r="A10355">
        <v>43652</v>
      </c>
      <c r="B10355" t="s">
        <v>13481</v>
      </c>
      <c r="C10355" t="s">
        <v>430</v>
      </c>
      <c r="D10355" t="s">
        <v>20121</v>
      </c>
    </row>
    <row r="10356" spans="1:4">
      <c r="A10356">
        <v>10498</v>
      </c>
      <c r="B10356" t="s">
        <v>10816</v>
      </c>
      <c r="C10356" t="s">
        <v>430</v>
      </c>
      <c r="D10356" t="s">
        <v>23164</v>
      </c>
    </row>
    <row r="10357" spans="1:4">
      <c r="A10357">
        <v>4823</v>
      </c>
      <c r="B10357" t="s">
        <v>10817</v>
      </c>
      <c r="C10357" t="s">
        <v>430</v>
      </c>
      <c r="D10357" t="s">
        <v>26089</v>
      </c>
    </row>
    <row r="10358" spans="1:4">
      <c r="A10358">
        <v>38877</v>
      </c>
      <c r="B10358" t="s">
        <v>10818</v>
      </c>
      <c r="C10358" t="s">
        <v>430</v>
      </c>
      <c r="D10358" t="s">
        <v>23311</v>
      </c>
    </row>
    <row r="10359" spans="1:4">
      <c r="A10359">
        <v>34546</v>
      </c>
      <c r="B10359" t="s">
        <v>10819</v>
      </c>
      <c r="C10359" t="s">
        <v>430</v>
      </c>
      <c r="D10359" t="s">
        <v>26090</v>
      </c>
    </row>
    <row r="10360" spans="1:4">
      <c r="A10360">
        <v>41387</v>
      </c>
      <c r="B10360" t="s">
        <v>10820</v>
      </c>
      <c r="C10360" t="s">
        <v>429</v>
      </c>
      <c r="D10360" t="s">
        <v>18118</v>
      </c>
    </row>
    <row r="10361" spans="1:4">
      <c r="A10361">
        <v>41388</v>
      </c>
      <c r="B10361" t="s">
        <v>10821</v>
      </c>
      <c r="C10361" t="s">
        <v>429</v>
      </c>
      <c r="D10361" t="s">
        <v>26091</v>
      </c>
    </row>
    <row r="10362" spans="1:4">
      <c r="A10362">
        <v>41380</v>
      </c>
      <c r="B10362" t="s">
        <v>10822</v>
      </c>
      <c r="C10362" t="s">
        <v>427</v>
      </c>
      <c r="D10362" t="s">
        <v>26092</v>
      </c>
    </row>
    <row r="10363" spans="1:4">
      <c r="A10363">
        <v>41381</v>
      </c>
      <c r="B10363" t="s">
        <v>10823</v>
      </c>
      <c r="C10363" t="s">
        <v>427</v>
      </c>
      <c r="D10363" t="s">
        <v>26093</v>
      </c>
    </row>
    <row r="10364" spans="1:4">
      <c r="A10364">
        <v>41382</v>
      </c>
      <c r="B10364" t="s">
        <v>10824</v>
      </c>
      <c r="C10364" t="s">
        <v>427</v>
      </c>
      <c r="D10364" t="s">
        <v>26094</v>
      </c>
    </row>
    <row r="10365" spans="1:4">
      <c r="A10365">
        <v>41383</v>
      </c>
      <c r="B10365" t="s">
        <v>10825</v>
      </c>
      <c r="C10365" t="s">
        <v>427</v>
      </c>
      <c r="D10365" t="s">
        <v>26095</v>
      </c>
    </row>
    <row r="10366" spans="1:4">
      <c r="A10366">
        <v>41385</v>
      </c>
      <c r="B10366" t="s">
        <v>10826</v>
      </c>
      <c r="C10366" t="s">
        <v>427</v>
      </c>
      <c r="D10366" t="s">
        <v>26096</v>
      </c>
    </row>
    <row r="10367" spans="1:4">
      <c r="A10367">
        <v>11079</v>
      </c>
      <c r="B10367" t="s">
        <v>10827</v>
      </c>
      <c r="C10367" t="s">
        <v>431</v>
      </c>
      <c r="D10367" t="s">
        <v>26097</v>
      </c>
    </row>
    <row r="10368" spans="1:4">
      <c r="A10368">
        <v>11082</v>
      </c>
      <c r="B10368" t="s">
        <v>10828</v>
      </c>
      <c r="C10368" t="s">
        <v>431</v>
      </c>
      <c r="D10368" t="s">
        <v>26097</v>
      </c>
    </row>
    <row r="10369" spans="1:4">
      <c r="A10369">
        <v>4058</v>
      </c>
      <c r="B10369" t="s">
        <v>10829</v>
      </c>
      <c r="C10369" t="s">
        <v>432</v>
      </c>
      <c r="D10369" t="s">
        <v>22780</v>
      </c>
    </row>
    <row r="10370" spans="1:4">
      <c r="A10370">
        <v>40974</v>
      </c>
      <c r="B10370" t="s">
        <v>10830</v>
      </c>
      <c r="C10370" t="s">
        <v>433</v>
      </c>
      <c r="D10370" t="s">
        <v>26098</v>
      </c>
    </row>
    <row r="10371" spans="1:4">
      <c r="A10371">
        <v>34794</v>
      </c>
      <c r="B10371" t="s">
        <v>10831</v>
      </c>
      <c r="C10371" t="s">
        <v>432</v>
      </c>
      <c r="D10371" t="s">
        <v>15172</v>
      </c>
    </row>
    <row r="10372" spans="1:4">
      <c r="A10372">
        <v>40925</v>
      </c>
      <c r="B10372" t="s">
        <v>10832</v>
      </c>
      <c r="C10372" t="s">
        <v>433</v>
      </c>
      <c r="D10372" t="s">
        <v>26099</v>
      </c>
    </row>
    <row r="10373" spans="1:4">
      <c r="A10373">
        <v>13741</v>
      </c>
      <c r="B10373" t="s">
        <v>10833</v>
      </c>
      <c r="C10373" t="s">
        <v>427</v>
      </c>
      <c r="D10373" t="s">
        <v>26100</v>
      </c>
    </row>
    <row r="10374" spans="1:4">
      <c r="A10374">
        <v>3288</v>
      </c>
      <c r="B10374" t="s">
        <v>10834</v>
      </c>
      <c r="C10374" t="s">
        <v>429</v>
      </c>
      <c r="D10374" t="s">
        <v>20506</v>
      </c>
    </row>
    <row r="10375" spans="1:4">
      <c r="A10375">
        <v>13587</v>
      </c>
      <c r="B10375" t="s">
        <v>10835</v>
      </c>
      <c r="C10375" t="s">
        <v>429</v>
      </c>
      <c r="D10375" t="s">
        <v>20559</v>
      </c>
    </row>
    <row r="10376" spans="1:4">
      <c r="A10376">
        <v>38598</v>
      </c>
      <c r="B10376" t="s">
        <v>10836</v>
      </c>
      <c r="C10376" t="s">
        <v>427</v>
      </c>
      <c r="D10376" t="s">
        <v>24844</v>
      </c>
    </row>
    <row r="10377" spans="1:4">
      <c r="A10377">
        <v>38595</v>
      </c>
      <c r="B10377" t="s">
        <v>10837</v>
      </c>
      <c r="C10377" t="s">
        <v>427</v>
      </c>
      <c r="D10377" t="s">
        <v>15517</v>
      </c>
    </row>
    <row r="10378" spans="1:4">
      <c r="A10378">
        <v>38592</v>
      </c>
      <c r="B10378" t="s">
        <v>10838</v>
      </c>
      <c r="C10378" t="s">
        <v>427</v>
      </c>
      <c r="D10378" t="s">
        <v>24912</v>
      </c>
    </row>
    <row r="10379" spans="1:4">
      <c r="A10379">
        <v>38588</v>
      </c>
      <c r="B10379" t="s">
        <v>10839</v>
      </c>
      <c r="C10379" t="s">
        <v>427</v>
      </c>
      <c r="D10379" t="s">
        <v>26101</v>
      </c>
    </row>
    <row r="10380" spans="1:4">
      <c r="A10380">
        <v>38593</v>
      </c>
      <c r="B10380" t="s">
        <v>10840</v>
      </c>
      <c r="C10380" t="s">
        <v>427</v>
      </c>
      <c r="D10380" t="s">
        <v>24913</v>
      </c>
    </row>
    <row r="10381" spans="1:4">
      <c r="A10381">
        <v>38589</v>
      </c>
      <c r="B10381" t="s">
        <v>10841</v>
      </c>
      <c r="C10381" t="s">
        <v>427</v>
      </c>
      <c r="D10381" t="s">
        <v>15804</v>
      </c>
    </row>
    <row r="10382" spans="1:4">
      <c r="A10382">
        <v>38594</v>
      </c>
      <c r="B10382" t="s">
        <v>10842</v>
      </c>
      <c r="C10382" t="s">
        <v>427</v>
      </c>
      <c r="D10382" t="s">
        <v>24901</v>
      </c>
    </row>
    <row r="10383" spans="1:4">
      <c r="A10383">
        <v>34773</v>
      </c>
      <c r="B10383" t="s">
        <v>10843</v>
      </c>
      <c r="C10383" t="s">
        <v>427</v>
      </c>
      <c r="D10383" t="s">
        <v>15570</v>
      </c>
    </row>
    <row r="10384" spans="1:4">
      <c r="A10384">
        <v>34769</v>
      </c>
      <c r="B10384" t="s">
        <v>10844</v>
      </c>
      <c r="C10384" t="s">
        <v>427</v>
      </c>
      <c r="D10384" t="s">
        <v>15507</v>
      </c>
    </row>
    <row r="10385" spans="1:4">
      <c r="A10385">
        <v>34763</v>
      </c>
      <c r="B10385" t="s">
        <v>10845</v>
      </c>
      <c r="C10385" t="s">
        <v>427</v>
      </c>
      <c r="D10385" t="s">
        <v>26102</v>
      </c>
    </row>
    <row r="10386" spans="1:4">
      <c r="A10386">
        <v>34774</v>
      </c>
      <c r="B10386" t="s">
        <v>10846</v>
      </c>
      <c r="C10386" t="s">
        <v>427</v>
      </c>
      <c r="D10386" t="s">
        <v>26103</v>
      </c>
    </row>
    <row r="10387" spans="1:4">
      <c r="A10387">
        <v>34771</v>
      </c>
      <c r="B10387" t="s">
        <v>10847</v>
      </c>
      <c r="C10387" t="s">
        <v>427</v>
      </c>
      <c r="D10387" t="s">
        <v>17731</v>
      </c>
    </row>
    <row r="10388" spans="1:4">
      <c r="A10388">
        <v>34764</v>
      </c>
      <c r="B10388" t="s">
        <v>10848</v>
      </c>
      <c r="C10388" t="s">
        <v>427</v>
      </c>
      <c r="D10388" t="s">
        <v>24344</v>
      </c>
    </row>
    <row r="10389" spans="1:4">
      <c r="A10389">
        <v>34788</v>
      </c>
      <c r="B10389" t="s">
        <v>10849</v>
      </c>
      <c r="C10389" t="s">
        <v>427</v>
      </c>
      <c r="D10389" t="s">
        <v>26102</v>
      </c>
    </row>
    <row r="10390" spans="1:4">
      <c r="A10390">
        <v>34781</v>
      </c>
      <c r="B10390" t="s">
        <v>10850</v>
      </c>
      <c r="C10390" t="s">
        <v>427</v>
      </c>
      <c r="D10390" t="s">
        <v>15148</v>
      </c>
    </row>
    <row r="10391" spans="1:4">
      <c r="A10391">
        <v>41682</v>
      </c>
      <c r="B10391" t="s">
        <v>10851</v>
      </c>
      <c r="C10391" t="s">
        <v>427</v>
      </c>
      <c r="D10391" t="s">
        <v>26104</v>
      </c>
    </row>
    <row r="10392" spans="1:4">
      <c r="A10392">
        <v>41683</v>
      </c>
      <c r="B10392" t="s">
        <v>10852</v>
      </c>
      <c r="C10392" t="s">
        <v>427</v>
      </c>
      <c r="D10392" t="s">
        <v>25775</v>
      </c>
    </row>
    <row r="10393" spans="1:4">
      <c r="A10393">
        <v>41680</v>
      </c>
      <c r="B10393" t="s">
        <v>10853</v>
      </c>
      <c r="C10393" t="s">
        <v>427</v>
      </c>
      <c r="D10393" t="s">
        <v>26105</v>
      </c>
    </row>
    <row r="10394" spans="1:4">
      <c r="A10394">
        <v>41679</v>
      </c>
      <c r="B10394" t="s">
        <v>10854</v>
      </c>
      <c r="C10394" t="s">
        <v>427</v>
      </c>
      <c r="D10394" t="s">
        <v>22512</v>
      </c>
    </row>
    <row r="10395" spans="1:4">
      <c r="A10395">
        <v>41681</v>
      </c>
      <c r="B10395" t="s">
        <v>10855</v>
      </c>
      <c r="C10395" t="s">
        <v>427</v>
      </c>
      <c r="D10395" t="s">
        <v>18217</v>
      </c>
    </row>
    <row r="10396" spans="1:4">
      <c r="A10396">
        <v>43386</v>
      </c>
      <c r="B10396" t="s">
        <v>10856</v>
      </c>
      <c r="C10396" t="s">
        <v>427</v>
      </c>
      <c r="D10396" t="s">
        <v>26106</v>
      </c>
    </row>
    <row r="10397" spans="1:4">
      <c r="A10397">
        <v>4059</v>
      </c>
      <c r="B10397" t="s">
        <v>10857</v>
      </c>
      <c r="C10397" t="s">
        <v>429</v>
      </c>
      <c r="D10397" t="s">
        <v>26104</v>
      </c>
    </row>
    <row r="10398" spans="1:4">
      <c r="A10398">
        <v>4062</v>
      </c>
      <c r="B10398" t="s">
        <v>10858</v>
      </c>
      <c r="C10398" t="s">
        <v>427</v>
      </c>
      <c r="D10398" t="s">
        <v>26104</v>
      </c>
    </row>
    <row r="10399" spans="1:4">
      <c r="A10399">
        <v>4061</v>
      </c>
      <c r="B10399" t="s">
        <v>10859</v>
      </c>
      <c r="C10399" t="s">
        <v>427</v>
      </c>
      <c r="D10399" t="s">
        <v>15259</v>
      </c>
    </row>
    <row r="10400" spans="1:4">
      <c r="A10400">
        <v>41315</v>
      </c>
      <c r="B10400" t="s">
        <v>10860</v>
      </c>
      <c r="C10400" t="s">
        <v>430</v>
      </c>
      <c r="D10400" t="s">
        <v>17458</v>
      </c>
    </row>
    <row r="10401" spans="1:4">
      <c r="A10401">
        <v>43148</v>
      </c>
      <c r="B10401" t="s">
        <v>10861</v>
      </c>
      <c r="C10401" t="s">
        <v>430</v>
      </c>
      <c r="D10401" t="s">
        <v>19041</v>
      </c>
    </row>
    <row r="10402" spans="1:4">
      <c r="A10402">
        <v>43147</v>
      </c>
      <c r="B10402" t="s">
        <v>10862</v>
      </c>
      <c r="C10402" t="s">
        <v>430</v>
      </c>
      <c r="D10402" t="s">
        <v>15508</v>
      </c>
    </row>
    <row r="10403" spans="1:4">
      <c r="A10403">
        <v>10608</v>
      </c>
      <c r="B10403" t="s">
        <v>10863</v>
      </c>
      <c r="C10403" t="s">
        <v>427</v>
      </c>
      <c r="D10403" t="s">
        <v>26107</v>
      </c>
    </row>
    <row r="10404" spans="1:4">
      <c r="A10404">
        <v>4069</v>
      </c>
      <c r="B10404" t="s">
        <v>10864</v>
      </c>
      <c r="C10404" t="s">
        <v>432</v>
      </c>
      <c r="D10404" t="s">
        <v>26108</v>
      </c>
    </row>
    <row r="10405" spans="1:4">
      <c r="A10405">
        <v>40819</v>
      </c>
      <c r="B10405" t="s">
        <v>10865</v>
      </c>
      <c r="C10405" t="s">
        <v>433</v>
      </c>
      <c r="D10405" t="s">
        <v>26109</v>
      </c>
    </row>
    <row r="10406" spans="1:4">
      <c r="A10406">
        <v>34361</v>
      </c>
      <c r="B10406" t="s">
        <v>10866</v>
      </c>
      <c r="C10406" t="s">
        <v>430</v>
      </c>
      <c r="D10406" t="s">
        <v>21870</v>
      </c>
    </row>
    <row r="10407" spans="1:4">
      <c r="A10407">
        <v>36512</v>
      </c>
      <c r="B10407" t="s">
        <v>10867</v>
      </c>
      <c r="C10407" t="s">
        <v>427</v>
      </c>
      <c r="D10407" t="s">
        <v>26110</v>
      </c>
    </row>
    <row r="10408" spans="1:4">
      <c r="A10408">
        <v>44478</v>
      </c>
      <c r="B10408" t="s">
        <v>10868</v>
      </c>
      <c r="C10408" t="s">
        <v>430</v>
      </c>
      <c r="D10408" t="s">
        <v>20365</v>
      </c>
    </row>
    <row r="10409" spans="1:4">
      <c r="A10409">
        <v>44477</v>
      </c>
      <c r="B10409" t="s">
        <v>10869</v>
      </c>
      <c r="C10409" t="s">
        <v>430</v>
      </c>
      <c r="D10409" t="s">
        <v>20365</v>
      </c>
    </row>
    <row r="10410" spans="1:4">
      <c r="A10410">
        <v>11697</v>
      </c>
      <c r="B10410" t="s">
        <v>10870</v>
      </c>
      <c r="C10410" t="s">
        <v>427</v>
      </c>
      <c r="D10410" t="s">
        <v>26111</v>
      </c>
    </row>
    <row r="10411" spans="1:4">
      <c r="A10411">
        <v>11698</v>
      </c>
      <c r="B10411" t="s">
        <v>10871</v>
      </c>
      <c r="C10411" t="s">
        <v>427</v>
      </c>
      <c r="D10411" t="s">
        <v>26112</v>
      </c>
    </row>
    <row r="10412" spans="1:4">
      <c r="A10412">
        <v>10432</v>
      </c>
      <c r="B10412" t="s">
        <v>10872</v>
      </c>
      <c r="C10412" t="s">
        <v>427</v>
      </c>
      <c r="D10412" t="s">
        <v>26113</v>
      </c>
    </row>
    <row r="10413" spans="1:4">
      <c r="A10413">
        <v>11699</v>
      </c>
      <c r="B10413" t="s">
        <v>10873</v>
      </c>
      <c r="C10413" t="s">
        <v>427</v>
      </c>
      <c r="D10413" t="s">
        <v>26114</v>
      </c>
    </row>
    <row r="10414" spans="1:4">
      <c r="A10414">
        <v>44020</v>
      </c>
      <c r="B10414" t="s">
        <v>10874</v>
      </c>
      <c r="C10414" t="s">
        <v>427</v>
      </c>
      <c r="D10414" t="s">
        <v>26115</v>
      </c>
    </row>
    <row r="10415" spans="1:4">
      <c r="A10415">
        <v>41420</v>
      </c>
      <c r="B10415" t="s">
        <v>10875</v>
      </c>
      <c r="C10415" t="s">
        <v>427</v>
      </c>
      <c r="D10415" t="s">
        <v>24004</v>
      </c>
    </row>
    <row r="10416" spans="1:4">
      <c r="A10416">
        <v>41422</v>
      </c>
      <c r="B10416" t="s">
        <v>10876</v>
      </c>
      <c r="C10416" t="s">
        <v>427</v>
      </c>
      <c r="D10416" t="s">
        <v>16327</v>
      </c>
    </row>
    <row r="10417" spans="1:4">
      <c r="A10417">
        <v>41425</v>
      </c>
      <c r="B10417" t="s">
        <v>10877</v>
      </c>
      <c r="C10417" t="s">
        <v>427</v>
      </c>
      <c r="D10417" t="s">
        <v>14853</v>
      </c>
    </row>
    <row r="10418" spans="1:4">
      <c r="A10418">
        <v>41426</v>
      </c>
      <c r="B10418" t="s">
        <v>10878</v>
      </c>
      <c r="C10418" t="s">
        <v>427</v>
      </c>
      <c r="D10418" t="s">
        <v>23152</v>
      </c>
    </row>
    <row r="10419" spans="1:4">
      <c r="A10419">
        <v>41419</v>
      </c>
      <c r="B10419" t="s">
        <v>10879</v>
      </c>
      <c r="C10419" t="s">
        <v>427</v>
      </c>
      <c r="D10419" t="s">
        <v>24971</v>
      </c>
    </row>
    <row r="10420" spans="1:4">
      <c r="A10420">
        <v>41421</v>
      </c>
      <c r="B10420" t="s">
        <v>10880</v>
      </c>
      <c r="C10420" t="s">
        <v>427</v>
      </c>
      <c r="D10420" t="s">
        <v>17186</v>
      </c>
    </row>
    <row r="10421" spans="1:4">
      <c r="A10421">
        <v>41414</v>
      </c>
      <c r="B10421" t="s">
        <v>10881</v>
      </c>
      <c r="C10421" t="s">
        <v>427</v>
      </c>
      <c r="D10421" t="s">
        <v>25671</v>
      </c>
    </row>
    <row r="10422" spans="1:4">
      <c r="A10422">
        <v>41415</v>
      </c>
      <c r="B10422" t="s">
        <v>10882</v>
      </c>
      <c r="C10422" t="s">
        <v>427</v>
      </c>
      <c r="D10422" t="s">
        <v>17332</v>
      </c>
    </row>
    <row r="10423" spans="1:4">
      <c r="A10423">
        <v>37514</v>
      </c>
      <c r="B10423" t="s">
        <v>10883</v>
      </c>
      <c r="C10423" t="s">
        <v>427</v>
      </c>
      <c r="D10423" t="s">
        <v>26116</v>
      </c>
    </row>
    <row r="10424" spans="1:4">
      <c r="A10424">
        <v>37519</v>
      </c>
      <c r="B10424" t="s">
        <v>10884</v>
      </c>
      <c r="C10424" t="s">
        <v>427</v>
      </c>
      <c r="D10424" t="s">
        <v>26117</v>
      </c>
    </row>
    <row r="10425" spans="1:4">
      <c r="A10425">
        <v>37520</v>
      </c>
      <c r="B10425" t="s">
        <v>10885</v>
      </c>
      <c r="C10425" t="s">
        <v>427</v>
      </c>
      <c r="D10425" t="s">
        <v>26118</v>
      </c>
    </row>
    <row r="10426" spans="1:4">
      <c r="A10426">
        <v>37521</v>
      </c>
      <c r="B10426" t="s">
        <v>10886</v>
      </c>
      <c r="C10426" t="s">
        <v>427</v>
      </c>
      <c r="D10426" t="s">
        <v>26119</v>
      </c>
    </row>
    <row r="10427" spans="1:4">
      <c r="A10427">
        <v>37522</v>
      </c>
      <c r="B10427" t="s">
        <v>10887</v>
      </c>
      <c r="C10427" t="s">
        <v>427</v>
      </c>
      <c r="D10427" t="s">
        <v>26120</v>
      </c>
    </row>
    <row r="10428" spans="1:4">
      <c r="A10428">
        <v>21109</v>
      </c>
      <c r="B10428" t="s">
        <v>10888</v>
      </c>
      <c r="C10428" t="s">
        <v>427</v>
      </c>
      <c r="D10428" t="s">
        <v>26121</v>
      </c>
    </row>
    <row r="10429" spans="1:4">
      <c r="A10429">
        <v>37546</v>
      </c>
      <c r="B10429" t="s">
        <v>10889</v>
      </c>
      <c r="C10429" t="s">
        <v>427</v>
      </c>
      <c r="D10429" t="s">
        <v>26122</v>
      </c>
    </row>
    <row r="10430" spans="1:4">
      <c r="A10430">
        <v>37544</v>
      </c>
      <c r="B10430" t="s">
        <v>10890</v>
      </c>
      <c r="C10430" t="s">
        <v>427</v>
      </c>
      <c r="D10430" t="s">
        <v>26123</v>
      </c>
    </row>
    <row r="10431" spans="1:4">
      <c r="A10431">
        <v>37545</v>
      </c>
      <c r="B10431" t="s">
        <v>10891</v>
      </c>
      <c r="C10431" t="s">
        <v>427</v>
      </c>
      <c r="D10431" t="s">
        <v>26124</v>
      </c>
    </row>
    <row r="10432" spans="1:4">
      <c r="A10432">
        <v>36793</v>
      </c>
      <c r="B10432" t="s">
        <v>13482</v>
      </c>
      <c r="C10432" t="s">
        <v>427</v>
      </c>
      <c r="D10432" t="s">
        <v>26125</v>
      </c>
    </row>
    <row r="10433" spans="1:4">
      <c r="A10433">
        <v>11769</v>
      </c>
      <c r="B10433" t="s">
        <v>13483</v>
      </c>
      <c r="C10433" t="s">
        <v>427</v>
      </c>
      <c r="D10433" t="s">
        <v>26126</v>
      </c>
    </row>
    <row r="10434" spans="1:4">
      <c r="A10434">
        <v>11771</v>
      </c>
      <c r="B10434" t="s">
        <v>13484</v>
      </c>
      <c r="C10434" t="s">
        <v>427</v>
      </c>
      <c r="D10434" t="s">
        <v>26127</v>
      </c>
    </row>
    <row r="10435" spans="1:4">
      <c r="A10435">
        <v>39919</v>
      </c>
      <c r="B10435" t="s">
        <v>10892</v>
      </c>
      <c r="C10435" t="s">
        <v>427</v>
      </c>
      <c r="D10435" t="s">
        <v>26128</v>
      </c>
    </row>
    <row r="10436" spans="1:4">
      <c r="A10436">
        <v>38385</v>
      </c>
      <c r="B10436" t="s">
        <v>10893</v>
      </c>
      <c r="C10436" t="s">
        <v>427</v>
      </c>
      <c r="D10436" t="s">
        <v>22018</v>
      </c>
    </row>
    <row r="10437" spans="1:4">
      <c r="A10437">
        <v>36800</v>
      </c>
      <c r="B10437" t="s">
        <v>13485</v>
      </c>
      <c r="C10437" t="s">
        <v>427</v>
      </c>
      <c r="D10437" t="s">
        <v>26129</v>
      </c>
    </row>
    <row r="10438" spans="1:4">
      <c r="A10438">
        <v>37587</v>
      </c>
      <c r="B10438" t="s">
        <v>13486</v>
      </c>
      <c r="C10438" t="s">
        <v>427</v>
      </c>
      <c r="D10438" t="s">
        <v>26130</v>
      </c>
    </row>
    <row r="10439" spans="1:4">
      <c r="A10439">
        <v>11561</v>
      </c>
      <c r="B10439" t="s">
        <v>10894</v>
      </c>
      <c r="C10439" t="s">
        <v>427</v>
      </c>
      <c r="D10439" t="s">
        <v>26131</v>
      </c>
    </row>
    <row r="10440" spans="1:4">
      <c r="A10440">
        <v>43604</v>
      </c>
      <c r="B10440" t="s">
        <v>10895</v>
      </c>
      <c r="C10440" t="s">
        <v>427</v>
      </c>
      <c r="D10440" t="s">
        <v>26132</v>
      </c>
    </row>
    <row r="10441" spans="1:4">
      <c r="A10441">
        <v>11560</v>
      </c>
      <c r="B10441" t="s">
        <v>10896</v>
      </c>
      <c r="C10441" t="s">
        <v>427</v>
      </c>
      <c r="D10441" t="s">
        <v>25328</v>
      </c>
    </row>
    <row r="10442" spans="1:4">
      <c r="A10442">
        <v>11499</v>
      </c>
      <c r="B10442" t="s">
        <v>10897</v>
      </c>
      <c r="C10442" t="s">
        <v>427</v>
      </c>
      <c r="D10442" t="s">
        <v>26133</v>
      </c>
    </row>
    <row r="10443" spans="1:4">
      <c r="A10443">
        <v>34761</v>
      </c>
      <c r="B10443" t="s">
        <v>10898</v>
      </c>
      <c r="C10443" t="s">
        <v>432</v>
      </c>
      <c r="D10443" t="s">
        <v>20341</v>
      </c>
    </row>
    <row r="10444" spans="1:4">
      <c r="A10444">
        <v>40924</v>
      </c>
      <c r="B10444" t="s">
        <v>10899</v>
      </c>
      <c r="C10444" t="s">
        <v>433</v>
      </c>
      <c r="D10444" t="s">
        <v>26134</v>
      </c>
    </row>
    <row r="10445" spans="1:4">
      <c r="A10445">
        <v>40983</v>
      </c>
      <c r="B10445" t="s">
        <v>10900</v>
      </c>
      <c r="C10445" t="s">
        <v>433</v>
      </c>
      <c r="D10445" t="s">
        <v>26135</v>
      </c>
    </row>
    <row r="10446" spans="1:4">
      <c r="A10446">
        <v>44497</v>
      </c>
      <c r="B10446" t="s">
        <v>13487</v>
      </c>
      <c r="C10446" t="s">
        <v>432</v>
      </c>
      <c r="D10446" t="s">
        <v>18084</v>
      </c>
    </row>
    <row r="10447" spans="1:4">
      <c r="A10447">
        <v>2437</v>
      </c>
      <c r="B10447" t="s">
        <v>10901</v>
      </c>
      <c r="C10447" t="s">
        <v>432</v>
      </c>
      <c r="D10447" t="s">
        <v>16326</v>
      </c>
    </row>
    <row r="10448" spans="1:4">
      <c r="A10448">
        <v>40921</v>
      </c>
      <c r="B10448" t="s">
        <v>10902</v>
      </c>
      <c r="C10448" t="s">
        <v>433</v>
      </c>
      <c r="D10448" t="s">
        <v>26136</v>
      </c>
    </row>
    <row r="10449" spans="1:4">
      <c r="A10449">
        <v>14252</v>
      </c>
      <c r="B10449" t="s">
        <v>10903</v>
      </c>
      <c r="C10449" t="s">
        <v>427</v>
      </c>
      <c r="D10449" t="s">
        <v>26137</v>
      </c>
    </row>
    <row r="10450" spans="1:4">
      <c r="A10450">
        <v>730</v>
      </c>
      <c r="B10450" t="s">
        <v>10904</v>
      </c>
      <c r="C10450" t="s">
        <v>427</v>
      </c>
      <c r="D10450" t="s">
        <v>26138</v>
      </c>
    </row>
    <row r="10451" spans="1:4">
      <c r="A10451">
        <v>723</v>
      </c>
      <c r="B10451" t="s">
        <v>10905</v>
      </c>
      <c r="C10451" t="s">
        <v>427</v>
      </c>
      <c r="D10451" t="s">
        <v>26139</v>
      </c>
    </row>
    <row r="10452" spans="1:4">
      <c r="A10452">
        <v>36502</v>
      </c>
      <c r="B10452" t="s">
        <v>10906</v>
      </c>
      <c r="C10452" t="s">
        <v>427</v>
      </c>
      <c r="D10452" t="s">
        <v>26140</v>
      </c>
    </row>
    <row r="10453" spans="1:4">
      <c r="A10453">
        <v>36503</v>
      </c>
      <c r="B10453" t="s">
        <v>10907</v>
      </c>
      <c r="C10453" t="s">
        <v>427</v>
      </c>
      <c r="D10453" t="s">
        <v>26141</v>
      </c>
    </row>
    <row r="10454" spans="1:4">
      <c r="A10454">
        <v>4090</v>
      </c>
      <c r="B10454" t="s">
        <v>10908</v>
      </c>
      <c r="C10454" t="s">
        <v>427</v>
      </c>
      <c r="D10454" t="s">
        <v>26142</v>
      </c>
    </row>
    <row r="10455" spans="1:4">
      <c r="A10455">
        <v>13227</v>
      </c>
      <c r="B10455" t="s">
        <v>10909</v>
      </c>
      <c r="C10455" t="s">
        <v>427</v>
      </c>
      <c r="D10455" t="s">
        <v>26143</v>
      </c>
    </row>
    <row r="10456" spans="1:4">
      <c r="A10456">
        <v>10597</v>
      </c>
      <c r="B10456" t="s">
        <v>10910</v>
      </c>
      <c r="C10456" t="s">
        <v>427</v>
      </c>
      <c r="D10456" t="s">
        <v>26144</v>
      </c>
    </row>
    <row r="10457" spans="1:4">
      <c r="A10457">
        <v>39628</v>
      </c>
      <c r="B10457" t="s">
        <v>10911</v>
      </c>
      <c r="C10457" t="s">
        <v>427</v>
      </c>
      <c r="D10457" t="s">
        <v>26145</v>
      </c>
    </row>
    <row r="10458" spans="1:4">
      <c r="A10458">
        <v>39404</v>
      </c>
      <c r="B10458" t="s">
        <v>10912</v>
      </c>
      <c r="C10458" t="s">
        <v>427</v>
      </c>
      <c r="D10458" t="s">
        <v>26146</v>
      </c>
    </row>
    <row r="10459" spans="1:4">
      <c r="A10459">
        <v>39402</v>
      </c>
      <c r="B10459" t="s">
        <v>10913</v>
      </c>
      <c r="C10459" t="s">
        <v>427</v>
      </c>
      <c r="D10459" t="s">
        <v>26147</v>
      </c>
    </row>
    <row r="10460" spans="1:4">
      <c r="A10460">
        <v>39403</v>
      </c>
      <c r="B10460" t="s">
        <v>10914</v>
      </c>
      <c r="C10460" t="s">
        <v>427</v>
      </c>
      <c r="D10460" t="s">
        <v>26148</v>
      </c>
    </row>
    <row r="10461" spans="1:4">
      <c r="A10461">
        <v>4093</v>
      </c>
      <c r="B10461" t="s">
        <v>10915</v>
      </c>
      <c r="C10461" t="s">
        <v>432</v>
      </c>
      <c r="D10461" t="s">
        <v>26149</v>
      </c>
    </row>
    <row r="10462" spans="1:4">
      <c r="A10462">
        <v>10512</v>
      </c>
      <c r="B10462" t="s">
        <v>10916</v>
      </c>
      <c r="C10462" t="s">
        <v>433</v>
      </c>
      <c r="D10462" t="s">
        <v>26150</v>
      </c>
    </row>
    <row r="10463" spans="1:4">
      <c r="A10463">
        <v>20020</v>
      </c>
      <c r="B10463" t="s">
        <v>10917</v>
      </c>
      <c r="C10463" t="s">
        <v>432</v>
      </c>
      <c r="D10463" t="s">
        <v>20384</v>
      </c>
    </row>
    <row r="10464" spans="1:4">
      <c r="A10464">
        <v>41038</v>
      </c>
      <c r="B10464" t="s">
        <v>10918</v>
      </c>
      <c r="C10464" t="s">
        <v>433</v>
      </c>
      <c r="D10464" t="s">
        <v>26151</v>
      </c>
    </row>
    <row r="10465" spans="1:4">
      <c r="A10465">
        <v>4094</v>
      </c>
      <c r="B10465" t="s">
        <v>10919</v>
      </c>
      <c r="C10465" t="s">
        <v>432</v>
      </c>
      <c r="D10465" t="s">
        <v>26152</v>
      </c>
    </row>
    <row r="10466" spans="1:4">
      <c r="A10466">
        <v>40988</v>
      </c>
      <c r="B10466" t="s">
        <v>10920</v>
      </c>
      <c r="C10466" t="s">
        <v>433</v>
      </c>
      <c r="D10466" t="s">
        <v>26153</v>
      </c>
    </row>
    <row r="10467" spans="1:4">
      <c r="A10467">
        <v>4095</v>
      </c>
      <c r="B10467" t="s">
        <v>10921</v>
      </c>
      <c r="C10467" t="s">
        <v>432</v>
      </c>
      <c r="D10467" t="s">
        <v>19250</v>
      </c>
    </row>
    <row r="10468" spans="1:4">
      <c r="A10468">
        <v>40990</v>
      </c>
      <c r="B10468" t="s">
        <v>10922</v>
      </c>
      <c r="C10468" t="s">
        <v>433</v>
      </c>
      <c r="D10468" t="s">
        <v>26154</v>
      </c>
    </row>
    <row r="10469" spans="1:4">
      <c r="A10469">
        <v>4097</v>
      </c>
      <c r="B10469" t="s">
        <v>10923</v>
      </c>
      <c r="C10469" t="s">
        <v>432</v>
      </c>
      <c r="D10469" t="s">
        <v>17300</v>
      </c>
    </row>
    <row r="10470" spans="1:4">
      <c r="A10470">
        <v>40994</v>
      </c>
      <c r="B10470" t="s">
        <v>10924</v>
      </c>
      <c r="C10470" t="s">
        <v>433</v>
      </c>
      <c r="D10470" t="s">
        <v>26155</v>
      </c>
    </row>
    <row r="10471" spans="1:4">
      <c r="A10471">
        <v>4096</v>
      </c>
      <c r="B10471" t="s">
        <v>10925</v>
      </c>
      <c r="C10471" t="s">
        <v>432</v>
      </c>
      <c r="D10471" t="s">
        <v>16917</v>
      </c>
    </row>
    <row r="10472" spans="1:4">
      <c r="A10472">
        <v>40992</v>
      </c>
      <c r="B10472" t="s">
        <v>10926</v>
      </c>
      <c r="C10472" t="s">
        <v>433</v>
      </c>
      <c r="D10472" t="s">
        <v>26156</v>
      </c>
    </row>
    <row r="10473" spans="1:4">
      <c r="A10473">
        <v>4114</v>
      </c>
      <c r="B10473" t="s">
        <v>10927</v>
      </c>
      <c r="C10473" t="s">
        <v>427</v>
      </c>
      <c r="D10473" t="s">
        <v>26157</v>
      </c>
    </row>
    <row r="10474" spans="1:4">
      <c r="A10474">
        <v>36797</v>
      </c>
      <c r="B10474" t="s">
        <v>10928</v>
      </c>
      <c r="C10474" t="s">
        <v>427</v>
      </c>
      <c r="D10474" t="s">
        <v>26158</v>
      </c>
    </row>
    <row r="10475" spans="1:4">
      <c r="A10475">
        <v>4107</v>
      </c>
      <c r="B10475" t="s">
        <v>10929</v>
      </c>
      <c r="C10475" t="s">
        <v>427</v>
      </c>
      <c r="D10475" t="s">
        <v>26159</v>
      </c>
    </row>
    <row r="10476" spans="1:4">
      <c r="A10476">
        <v>4102</v>
      </c>
      <c r="B10476" t="s">
        <v>10930</v>
      </c>
      <c r="C10476" t="s">
        <v>427</v>
      </c>
      <c r="D10476" t="s">
        <v>26160</v>
      </c>
    </row>
    <row r="10477" spans="1:4">
      <c r="A10477">
        <v>36799</v>
      </c>
      <c r="B10477" t="s">
        <v>10931</v>
      </c>
      <c r="C10477" t="s">
        <v>427</v>
      </c>
      <c r="D10477" t="s">
        <v>26161</v>
      </c>
    </row>
    <row r="10478" spans="1:4">
      <c r="A10478">
        <v>2747</v>
      </c>
      <c r="B10478" t="s">
        <v>10932</v>
      </c>
      <c r="C10478" t="s">
        <v>429</v>
      </c>
      <c r="D10478" t="s">
        <v>26162</v>
      </c>
    </row>
    <row r="10479" spans="1:4">
      <c r="A10479">
        <v>21138</v>
      </c>
      <c r="B10479" t="s">
        <v>10933</v>
      </c>
      <c r="C10479" t="s">
        <v>429</v>
      </c>
      <c r="D10479" t="s">
        <v>17205</v>
      </c>
    </row>
    <row r="10480" spans="1:4">
      <c r="A10480">
        <v>10826</v>
      </c>
      <c r="B10480" t="s">
        <v>10934</v>
      </c>
      <c r="C10480" t="s">
        <v>427</v>
      </c>
      <c r="D10480" t="s">
        <v>23845</v>
      </c>
    </row>
    <row r="10481" spans="1:4">
      <c r="A10481">
        <v>365</v>
      </c>
      <c r="B10481" t="s">
        <v>10935</v>
      </c>
      <c r="C10481" t="s">
        <v>427</v>
      </c>
      <c r="D10481" t="s">
        <v>26163</v>
      </c>
    </row>
    <row r="10482" spans="1:4">
      <c r="A10482">
        <v>38639</v>
      </c>
      <c r="B10482" t="s">
        <v>10936</v>
      </c>
      <c r="C10482" t="s">
        <v>427</v>
      </c>
      <c r="D10482" t="s">
        <v>26164</v>
      </c>
    </row>
    <row r="10483" spans="1:4">
      <c r="A10483">
        <v>38640</v>
      </c>
      <c r="B10483" t="s">
        <v>10937</v>
      </c>
      <c r="C10483" t="s">
        <v>427</v>
      </c>
      <c r="D10483" t="s">
        <v>15789</v>
      </c>
    </row>
    <row r="10484" spans="1:4">
      <c r="A10484">
        <v>358</v>
      </c>
      <c r="B10484" t="s">
        <v>10938</v>
      </c>
      <c r="C10484" t="s">
        <v>427</v>
      </c>
      <c r="D10484" t="s">
        <v>16764</v>
      </c>
    </row>
    <row r="10485" spans="1:4">
      <c r="A10485">
        <v>359</v>
      </c>
      <c r="B10485" t="s">
        <v>10939</v>
      </c>
      <c r="C10485" t="s">
        <v>427</v>
      </c>
      <c r="D10485" t="s">
        <v>26165</v>
      </c>
    </row>
    <row r="10486" spans="1:4">
      <c r="A10486">
        <v>38641</v>
      </c>
      <c r="B10486" t="s">
        <v>10940</v>
      </c>
      <c r="C10486" t="s">
        <v>427</v>
      </c>
      <c r="D10486" t="s">
        <v>26166</v>
      </c>
    </row>
    <row r="10487" spans="1:4">
      <c r="A10487">
        <v>360</v>
      </c>
      <c r="B10487" t="s">
        <v>10941</v>
      </c>
      <c r="C10487" t="s">
        <v>427</v>
      </c>
      <c r="D10487" t="s">
        <v>15193</v>
      </c>
    </row>
    <row r="10488" spans="1:4">
      <c r="A10488">
        <v>42430</v>
      </c>
      <c r="B10488" t="s">
        <v>10942</v>
      </c>
      <c r="C10488" t="s">
        <v>427</v>
      </c>
      <c r="D10488" t="s">
        <v>26167</v>
      </c>
    </row>
    <row r="10489" spans="1:4">
      <c r="A10489">
        <v>4214</v>
      </c>
      <c r="B10489" t="s">
        <v>10943</v>
      </c>
      <c r="C10489" t="s">
        <v>427</v>
      </c>
      <c r="D10489" t="s">
        <v>17197</v>
      </c>
    </row>
    <row r="10490" spans="1:4">
      <c r="A10490">
        <v>4215</v>
      </c>
      <c r="B10490" t="s">
        <v>10944</v>
      </c>
      <c r="C10490" t="s">
        <v>427</v>
      </c>
      <c r="D10490" t="s">
        <v>17261</v>
      </c>
    </row>
    <row r="10491" spans="1:4">
      <c r="A10491">
        <v>4210</v>
      </c>
      <c r="B10491" t="s">
        <v>10945</v>
      </c>
      <c r="C10491" t="s">
        <v>427</v>
      </c>
      <c r="D10491" t="s">
        <v>19607</v>
      </c>
    </row>
    <row r="10492" spans="1:4">
      <c r="A10492">
        <v>4212</v>
      </c>
      <c r="B10492" t="s">
        <v>10946</v>
      </c>
      <c r="C10492" t="s">
        <v>427</v>
      </c>
      <c r="D10492" t="s">
        <v>26168</v>
      </c>
    </row>
    <row r="10493" spans="1:4">
      <c r="A10493">
        <v>4213</v>
      </c>
      <c r="B10493" t="s">
        <v>10947</v>
      </c>
      <c r="C10493" t="s">
        <v>427</v>
      </c>
      <c r="D10493" t="s">
        <v>18598</v>
      </c>
    </row>
    <row r="10494" spans="1:4">
      <c r="A10494">
        <v>4211</v>
      </c>
      <c r="B10494" t="s">
        <v>10948</v>
      </c>
      <c r="C10494" t="s">
        <v>427</v>
      </c>
      <c r="D10494" t="s">
        <v>23673</v>
      </c>
    </row>
    <row r="10495" spans="1:4">
      <c r="A10495">
        <v>4209</v>
      </c>
      <c r="B10495" t="s">
        <v>10949</v>
      </c>
      <c r="C10495" t="s">
        <v>427</v>
      </c>
      <c r="D10495" t="s">
        <v>16415</v>
      </c>
    </row>
    <row r="10496" spans="1:4">
      <c r="A10496">
        <v>4180</v>
      </c>
      <c r="B10496" t="s">
        <v>10950</v>
      </c>
      <c r="C10496" t="s">
        <v>427</v>
      </c>
      <c r="D10496" t="s">
        <v>20121</v>
      </c>
    </row>
    <row r="10497" spans="1:4">
      <c r="A10497">
        <v>4177</v>
      </c>
      <c r="B10497" t="s">
        <v>10951</v>
      </c>
      <c r="C10497" t="s">
        <v>427</v>
      </c>
      <c r="D10497" t="s">
        <v>14755</v>
      </c>
    </row>
    <row r="10498" spans="1:4">
      <c r="A10498">
        <v>4179</v>
      </c>
      <c r="B10498" t="s">
        <v>10952</v>
      </c>
      <c r="C10498" t="s">
        <v>427</v>
      </c>
      <c r="D10498" t="s">
        <v>26169</v>
      </c>
    </row>
    <row r="10499" spans="1:4">
      <c r="A10499">
        <v>4208</v>
      </c>
      <c r="B10499" t="s">
        <v>10953</v>
      </c>
      <c r="C10499" t="s">
        <v>427</v>
      </c>
      <c r="D10499" t="s">
        <v>26170</v>
      </c>
    </row>
    <row r="10500" spans="1:4">
      <c r="A10500">
        <v>4181</v>
      </c>
      <c r="B10500" t="s">
        <v>10954</v>
      </c>
      <c r="C10500" t="s">
        <v>427</v>
      </c>
      <c r="D10500" t="s">
        <v>26171</v>
      </c>
    </row>
    <row r="10501" spans="1:4">
      <c r="A10501">
        <v>4178</v>
      </c>
      <c r="B10501" t="s">
        <v>10955</v>
      </c>
      <c r="C10501" t="s">
        <v>427</v>
      </c>
      <c r="D10501" t="s">
        <v>26172</v>
      </c>
    </row>
    <row r="10502" spans="1:4">
      <c r="A10502">
        <v>4182</v>
      </c>
      <c r="B10502" t="s">
        <v>10956</v>
      </c>
      <c r="C10502" t="s">
        <v>427</v>
      </c>
      <c r="D10502" t="s">
        <v>26173</v>
      </c>
    </row>
    <row r="10503" spans="1:4">
      <c r="A10503">
        <v>4183</v>
      </c>
      <c r="B10503" t="s">
        <v>10957</v>
      </c>
      <c r="C10503" t="s">
        <v>427</v>
      </c>
      <c r="D10503" t="s">
        <v>26174</v>
      </c>
    </row>
    <row r="10504" spans="1:4">
      <c r="A10504">
        <v>4184</v>
      </c>
      <c r="B10504" t="s">
        <v>10958</v>
      </c>
      <c r="C10504" t="s">
        <v>427</v>
      </c>
      <c r="D10504" t="s">
        <v>26175</v>
      </c>
    </row>
    <row r="10505" spans="1:4">
      <c r="A10505">
        <v>4185</v>
      </c>
      <c r="B10505" t="s">
        <v>10959</v>
      </c>
      <c r="C10505" t="s">
        <v>427</v>
      </c>
      <c r="D10505" t="s">
        <v>26176</v>
      </c>
    </row>
    <row r="10506" spans="1:4">
      <c r="A10506">
        <v>4205</v>
      </c>
      <c r="B10506" t="s">
        <v>10960</v>
      </c>
      <c r="C10506" t="s">
        <v>427</v>
      </c>
      <c r="D10506" t="s">
        <v>18562</v>
      </c>
    </row>
    <row r="10507" spans="1:4">
      <c r="A10507">
        <v>4192</v>
      </c>
      <c r="B10507" t="s">
        <v>10961</v>
      </c>
      <c r="C10507" t="s">
        <v>427</v>
      </c>
      <c r="D10507" t="s">
        <v>18562</v>
      </c>
    </row>
    <row r="10508" spans="1:4">
      <c r="A10508">
        <v>4191</v>
      </c>
      <c r="B10508" t="s">
        <v>10962</v>
      </c>
      <c r="C10508" t="s">
        <v>427</v>
      </c>
      <c r="D10508" t="s">
        <v>18562</v>
      </c>
    </row>
    <row r="10509" spans="1:4">
      <c r="A10509">
        <v>4207</v>
      </c>
      <c r="B10509" t="s">
        <v>10963</v>
      </c>
      <c r="C10509" t="s">
        <v>427</v>
      </c>
      <c r="D10509" t="s">
        <v>26177</v>
      </c>
    </row>
    <row r="10510" spans="1:4">
      <c r="A10510">
        <v>4206</v>
      </c>
      <c r="B10510" t="s">
        <v>10964</v>
      </c>
      <c r="C10510" t="s">
        <v>427</v>
      </c>
      <c r="D10510" t="s">
        <v>23171</v>
      </c>
    </row>
    <row r="10511" spans="1:4">
      <c r="A10511">
        <v>4190</v>
      </c>
      <c r="B10511" t="s">
        <v>10965</v>
      </c>
      <c r="C10511" t="s">
        <v>427</v>
      </c>
      <c r="D10511" t="s">
        <v>23171</v>
      </c>
    </row>
    <row r="10512" spans="1:4">
      <c r="A10512">
        <v>4186</v>
      </c>
      <c r="B10512" t="s">
        <v>10966</v>
      </c>
      <c r="C10512" t="s">
        <v>427</v>
      </c>
      <c r="D10512" t="s">
        <v>23637</v>
      </c>
    </row>
    <row r="10513" spans="1:4">
      <c r="A10513">
        <v>4188</v>
      </c>
      <c r="B10513" t="s">
        <v>10967</v>
      </c>
      <c r="C10513" t="s">
        <v>427</v>
      </c>
      <c r="D10513" t="s">
        <v>15110</v>
      </c>
    </row>
    <row r="10514" spans="1:4">
      <c r="A10514">
        <v>4189</v>
      </c>
      <c r="B10514" t="s">
        <v>10968</v>
      </c>
      <c r="C10514" t="s">
        <v>427</v>
      </c>
      <c r="D10514" t="s">
        <v>15110</v>
      </c>
    </row>
    <row r="10515" spans="1:4">
      <c r="A10515">
        <v>4197</v>
      </c>
      <c r="B10515" t="s">
        <v>10969</v>
      </c>
      <c r="C10515" t="s">
        <v>427</v>
      </c>
      <c r="D10515" t="s">
        <v>15588</v>
      </c>
    </row>
    <row r="10516" spans="1:4">
      <c r="A10516">
        <v>4194</v>
      </c>
      <c r="B10516" t="s">
        <v>10970</v>
      </c>
      <c r="C10516" t="s">
        <v>427</v>
      </c>
      <c r="D10516" t="s">
        <v>22057</v>
      </c>
    </row>
    <row r="10517" spans="1:4">
      <c r="A10517">
        <v>4193</v>
      </c>
      <c r="B10517" t="s">
        <v>10971</v>
      </c>
      <c r="C10517" t="s">
        <v>427</v>
      </c>
      <c r="D10517" t="s">
        <v>22057</v>
      </c>
    </row>
    <row r="10518" spans="1:4">
      <c r="A10518">
        <v>4204</v>
      </c>
      <c r="B10518" t="s">
        <v>10972</v>
      </c>
      <c r="C10518" t="s">
        <v>427</v>
      </c>
      <c r="D10518" t="s">
        <v>22057</v>
      </c>
    </row>
    <row r="10519" spans="1:4">
      <c r="A10519">
        <v>4187</v>
      </c>
      <c r="B10519" t="s">
        <v>10973</v>
      </c>
      <c r="C10519" t="s">
        <v>427</v>
      </c>
      <c r="D10519" t="s">
        <v>14819</v>
      </c>
    </row>
    <row r="10520" spans="1:4">
      <c r="A10520">
        <v>4202</v>
      </c>
      <c r="B10520" t="s">
        <v>10974</v>
      </c>
      <c r="C10520" t="s">
        <v>427</v>
      </c>
      <c r="D10520" t="s">
        <v>26178</v>
      </c>
    </row>
    <row r="10521" spans="1:4">
      <c r="A10521">
        <v>4203</v>
      </c>
      <c r="B10521" t="s">
        <v>10975</v>
      </c>
      <c r="C10521" t="s">
        <v>427</v>
      </c>
      <c r="D10521" t="s">
        <v>26179</v>
      </c>
    </row>
    <row r="10522" spans="1:4">
      <c r="A10522">
        <v>40368</v>
      </c>
      <c r="B10522" t="s">
        <v>10976</v>
      </c>
      <c r="C10522" t="s">
        <v>427</v>
      </c>
      <c r="D10522" t="s">
        <v>20537</v>
      </c>
    </row>
    <row r="10523" spans="1:4">
      <c r="A10523">
        <v>40365</v>
      </c>
      <c r="B10523" t="s">
        <v>10977</v>
      </c>
      <c r="C10523" t="s">
        <v>427</v>
      </c>
      <c r="D10523" t="s">
        <v>26180</v>
      </c>
    </row>
    <row r="10524" spans="1:4">
      <c r="A10524">
        <v>40356</v>
      </c>
      <c r="B10524" t="s">
        <v>10978</v>
      </c>
      <c r="C10524" t="s">
        <v>427</v>
      </c>
      <c r="D10524" t="s">
        <v>26181</v>
      </c>
    </row>
    <row r="10525" spans="1:4">
      <c r="A10525">
        <v>40362</v>
      </c>
      <c r="B10525" t="s">
        <v>10979</v>
      </c>
      <c r="C10525" t="s">
        <v>427</v>
      </c>
      <c r="D10525" t="s">
        <v>24477</v>
      </c>
    </row>
    <row r="10526" spans="1:4">
      <c r="A10526">
        <v>40374</v>
      </c>
      <c r="B10526" t="s">
        <v>10980</v>
      </c>
      <c r="C10526" t="s">
        <v>427</v>
      </c>
      <c r="D10526" t="s">
        <v>26182</v>
      </c>
    </row>
    <row r="10527" spans="1:4">
      <c r="A10527">
        <v>40371</v>
      </c>
      <c r="B10527" t="s">
        <v>10981</v>
      </c>
      <c r="C10527" t="s">
        <v>427</v>
      </c>
      <c r="D10527" t="s">
        <v>26183</v>
      </c>
    </row>
    <row r="10528" spans="1:4">
      <c r="A10528">
        <v>40359</v>
      </c>
      <c r="B10528" t="s">
        <v>10982</v>
      </c>
      <c r="C10528" t="s">
        <v>427</v>
      </c>
      <c r="D10528" t="s">
        <v>16589</v>
      </c>
    </row>
    <row r="10529" spans="1:4">
      <c r="A10529">
        <v>7595</v>
      </c>
      <c r="B10529" t="s">
        <v>10983</v>
      </c>
      <c r="C10529" t="s">
        <v>432</v>
      </c>
      <c r="D10529" t="s">
        <v>21513</v>
      </c>
    </row>
    <row r="10530" spans="1:4">
      <c r="A10530">
        <v>41094</v>
      </c>
      <c r="B10530" t="s">
        <v>10984</v>
      </c>
      <c r="C10530" t="s">
        <v>433</v>
      </c>
      <c r="D10530" t="s">
        <v>26184</v>
      </c>
    </row>
    <row r="10531" spans="1:4">
      <c r="A10531">
        <v>39609</v>
      </c>
      <c r="B10531" t="s">
        <v>10985</v>
      </c>
      <c r="C10531" t="s">
        <v>427</v>
      </c>
      <c r="D10531" t="s">
        <v>26185</v>
      </c>
    </row>
    <row r="10532" spans="1:4">
      <c r="A10532">
        <v>39610</v>
      </c>
      <c r="B10532" t="s">
        <v>10986</v>
      </c>
      <c r="C10532" t="s">
        <v>427</v>
      </c>
      <c r="D10532" t="s">
        <v>26186</v>
      </c>
    </row>
    <row r="10533" spans="1:4">
      <c r="A10533">
        <v>39611</v>
      </c>
      <c r="B10533" t="s">
        <v>10987</v>
      </c>
      <c r="C10533" t="s">
        <v>427</v>
      </c>
      <c r="D10533" t="s">
        <v>26187</v>
      </c>
    </row>
    <row r="10534" spans="1:4">
      <c r="A10534">
        <v>39612</v>
      </c>
      <c r="B10534" t="s">
        <v>10988</v>
      </c>
      <c r="C10534" t="s">
        <v>427</v>
      </c>
      <c r="D10534" t="s">
        <v>26188</v>
      </c>
    </row>
    <row r="10535" spans="1:4">
      <c r="A10535">
        <v>39608</v>
      </c>
      <c r="B10535" t="s">
        <v>10989</v>
      </c>
      <c r="C10535" t="s">
        <v>427</v>
      </c>
      <c r="D10535" t="s">
        <v>26189</v>
      </c>
    </row>
    <row r="10536" spans="1:4">
      <c r="A10536">
        <v>38175</v>
      </c>
      <c r="B10536" t="s">
        <v>10990</v>
      </c>
      <c r="C10536" t="s">
        <v>427</v>
      </c>
      <c r="D10536" t="s">
        <v>17258</v>
      </c>
    </row>
    <row r="10537" spans="1:4">
      <c r="A10537">
        <v>38176</v>
      </c>
      <c r="B10537" t="s">
        <v>10991</v>
      </c>
      <c r="C10537" t="s">
        <v>427</v>
      </c>
      <c r="D10537" t="s">
        <v>22508</v>
      </c>
    </row>
    <row r="10538" spans="1:4">
      <c r="A10538">
        <v>36152</v>
      </c>
      <c r="B10538" t="s">
        <v>10992</v>
      </c>
      <c r="C10538" t="s">
        <v>427</v>
      </c>
      <c r="D10538" t="s">
        <v>22898</v>
      </c>
    </row>
    <row r="10539" spans="1:4">
      <c r="A10539">
        <v>11138</v>
      </c>
      <c r="B10539" t="s">
        <v>10993</v>
      </c>
      <c r="C10539" t="s">
        <v>428</v>
      </c>
      <c r="D10539" t="s">
        <v>23561</v>
      </c>
    </row>
    <row r="10540" spans="1:4">
      <c r="A10540">
        <v>4221</v>
      </c>
      <c r="B10540" t="s">
        <v>10994</v>
      </c>
      <c r="C10540" t="s">
        <v>428</v>
      </c>
      <c r="D10540" t="s">
        <v>18646</v>
      </c>
    </row>
    <row r="10541" spans="1:4">
      <c r="A10541">
        <v>4227</v>
      </c>
      <c r="B10541" t="s">
        <v>10995</v>
      </c>
      <c r="C10541" t="s">
        <v>428</v>
      </c>
      <c r="D10541" t="s">
        <v>15187</v>
      </c>
    </row>
    <row r="10542" spans="1:4">
      <c r="A10542">
        <v>38170</v>
      </c>
      <c r="B10542" t="s">
        <v>10996</v>
      </c>
      <c r="C10542" t="s">
        <v>427</v>
      </c>
      <c r="D10542" t="s">
        <v>26190</v>
      </c>
    </row>
    <row r="10543" spans="1:4">
      <c r="A10543">
        <v>4252</v>
      </c>
      <c r="B10543" t="s">
        <v>10997</v>
      </c>
      <c r="C10543" t="s">
        <v>432</v>
      </c>
      <c r="D10543" t="s">
        <v>22048</v>
      </c>
    </row>
    <row r="10544" spans="1:4">
      <c r="A10544">
        <v>40980</v>
      </c>
      <c r="B10544" t="s">
        <v>10998</v>
      </c>
      <c r="C10544" t="s">
        <v>433</v>
      </c>
      <c r="D10544" t="s">
        <v>26191</v>
      </c>
    </row>
    <row r="10545" spans="1:4">
      <c r="A10545">
        <v>4243</v>
      </c>
      <c r="B10545" t="s">
        <v>10999</v>
      </c>
      <c r="C10545" t="s">
        <v>432</v>
      </c>
      <c r="D10545" t="s">
        <v>17181</v>
      </c>
    </row>
    <row r="10546" spans="1:4">
      <c r="A10546">
        <v>41031</v>
      </c>
      <c r="B10546" t="s">
        <v>11000</v>
      </c>
      <c r="C10546" t="s">
        <v>433</v>
      </c>
      <c r="D10546" t="s">
        <v>26192</v>
      </c>
    </row>
    <row r="10547" spans="1:4">
      <c r="A10547">
        <v>37666</v>
      </c>
      <c r="B10547" t="s">
        <v>11001</v>
      </c>
      <c r="C10547" t="s">
        <v>432</v>
      </c>
      <c r="D10547" t="s">
        <v>15745</v>
      </c>
    </row>
    <row r="10548" spans="1:4">
      <c r="A10548">
        <v>40986</v>
      </c>
      <c r="B10548" t="s">
        <v>11002</v>
      </c>
      <c r="C10548" t="s">
        <v>433</v>
      </c>
      <c r="D10548" t="s">
        <v>26193</v>
      </c>
    </row>
    <row r="10549" spans="1:4">
      <c r="A10549">
        <v>4250</v>
      </c>
      <c r="B10549" t="s">
        <v>11003</v>
      </c>
      <c r="C10549" t="s">
        <v>432</v>
      </c>
      <c r="D10549" t="s">
        <v>19193</v>
      </c>
    </row>
    <row r="10550" spans="1:4">
      <c r="A10550">
        <v>40978</v>
      </c>
      <c r="B10550" t="s">
        <v>11004</v>
      </c>
      <c r="C10550" t="s">
        <v>433</v>
      </c>
      <c r="D10550" t="s">
        <v>26194</v>
      </c>
    </row>
    <row r="10551" spans="1:4">
      <c r="A10551">
        <v>41043</v>
      </c>
      <c r="B10551" t="s">
        <v>11005</v>
      </c>
      <c r="C10551" t="s">
        <v>433</v>
      </c>
      <c r="D10551" t="s">
        <v>26195</v>
      </c>
    </row>
    <row r="10552" spans="1:4">
      <c r="A10552">
        <v>44501</v>
      </c>
      <c r="B10552" t="s">
        <v>13488</v>
      </c>
      <c r="C10552" t="s">
        <v>432</v>
      </c>
      <c r="D10552" t="s">
        <v>16960</v>
      </c>
    </row>
    <row r="10553" spans="1:4">
      <c r="A10553">
        <v>4234</v>
      </c>
      <c r="B10553" t="s">
        <v>11006</v>
      </c>
      <c r="C10553" t="s">
        <v>432</v>
      </c>
      <c r="D10553" t="s">
        <v>20265</v>
      </c>
    </row>
    <row r="10554" spans="1:4">
      <c r="A10554">
        <v>40987</v>
      </c>
      <c r="B10554" t="s">
        <v>11007</v>
      </c>
      <c r="C10554" t="s">
        <v>433</v>
      </c>
      <c r="D10554" t="s">
        <v>24644</v>
      </c>
    </row>
    <row r="10555" spans="1:4">
      <c r="A10555">
        <v>4253</v>
      </c>
      <c r="B10555" t="s">
        <v>11008</v>
      </c>
      <c r="C10555" t="s">
        <v>432</v>
      </c>
      <c r="D10555" t="s">
        <v>23550</v>
      </c>
    </row>
    <row r="10556" spans="1:4">
      <c r="A10556">
        <v>40981</v>
      </c>
      <c r="B10556" t="s">
        <v>11009</v>
      </c>
      <c r="C10556" t="s">
        <v>433</v>
      </c>
      <c r="D10556" t="s">
        <v>26196</v>
      </c>
    </row>
    <row r="10557" spans="1:4">
      <c r="A10557">
        <v>4254</v>
      </c>
      <c r="B10557" t="s">
        <v>11010</v>
      </c>
      <c r="C10557" t="s">
        <v>432</v>
      </c>
      <c r="D10557" t="s">
        <v>19192</v>
      </c>
    </row>
    <row r="10558" spans="1:4">
      <c r="A10558">
        <v>41036</v>
      </c>
      <c r="B10558" t="s">
        <v>11011</v>
      </c>
      <c r="C10558" t="s">
        <v>433</v>
      </c>
      <c r="D10558" t="s">
        <v>26197</v>
      </c>
    </row>
    <row r="10559" spans="1:4">
      <c r="A10559">
        <v>4251</v>
      </c>
      <c r="B10559" t="s">
        <v>11012</v>
      </c>
      <c r="C10559" t="s">
        <v>432</v>
      </c>
      <c r="D10559" t="s">
        <v>24126</v>
      </c>
    </row>
    <row r="10560" spans="1:4">
      <c r="A10560">
        <v>40979</v>
      </c>
      <c r="B10560" t="s">
        <v>11013</v>
      </c>
      <c r="C10560" t="s">
        <v>433</v>
      </c>
      <c r="D10560" t="s">
        <v>26198</v>
      </c>
    </row>
    <row r="10561" spans="1:4">
      <c r="A10561">
        <v>4230</v>
      </c>
      <c r="B10561" t="s">
        <v>11014</v>
      </c>
      <c r="C10561" t="s">
        <v>432</v>
      </c>
      <c r="D10561" t="s">
        <v>19250</v>
      </c>
    </row>
    <row r="10562" spans="1:4">
      <c r="A10562">
        <v>40998</v>
      </c>
      <c r="B10562" t="s">
        <v>11015</v>
      </c>
      <c r="C10562" t="s">
        <v>433</v>
      </c>
      <c r="D10562" t="s">
        <v>26154</v>
      </c>
    </row>
    <row r="10563" spans="1:4">
      <c r="A10563">
        <v>4257</v>
      </c>
      <c r="B10563" t="s">
        <v>11016</v>
      </c>
      <c r="C10563" t="s">
        <v>432</v>
      </c>
      <c r="D10563" t="s">
        <v>15839</v>
      </c>
    </row>
    <row r="10564" spans="1:4">
      <c r="A10564">
        <v>40982</v>
      </c>
      <c r="B10564" t="s">
        <v>11017</v>
      </c>
      <c r="C10564" t="s">
        <v>433</v>
      </c>
      <c r="D10564" t="s">
        <v>26199</v>
      </c>
    </row>
    <row r="10565" spans="1:4">
      <c r="A10565">
        <v>4240</v>
      </c>
      <c r="B10565" t="s">
        <v>11018</v>
      </c>
      <c r="C10565" t="s">
        <v>432</v>
      </c>
      <c r="D10565" t="s">
        <v>18630</v>
      </c>
    </row>
    <row r="10566" spans="1:4">
      <c r="A10566">
        <v>41026</v>
      </c>
      <c r="B10566" t="s">
        <v>11019</v>
      </c>
      <c r="C10566" t="s">
        <v>433</v>
      </c>
      <c r="D10566" t="s">
        <v>26200</v>
      </c>
    </row>
    <row r="10567" spans="1:4">
      <c r="A10567">
        <v>4239</v>
      </c>
      <c r="B10567" t="s">
        <v>11020</v>
      </c>
      <c r="C10567" t="s">
        <v>432</v>
      </c>
      <c r="D10567" t="s">
        <v>23551</v>
      </c>
    </row>
    <row r="10568" spans="1:4">
      <c r="A10568">
        <v>41024</v>
      </c>
      <c r="B10568" t="s">
        <v>11021</v>
      </c>
      <c r="C10568" t="s">
        <v>433</v>
      </c>
      <c r="D10568" t="s">
        <v>26201</v>
      </c>
    </row>
    <row r="10569" spans="1:4">
      <c r="A10569">
        <v>4248</v>
      </c>
      <c r="B10569" t="s">
        <v>11022</v>
      </c>
      <c r="C10569" t="s">
        <v>432</v>
      </c>
      <c r="D10569" t="s">
        <v>25593</v>
      </c>
    </row>
    <row r="10570" spans="1:4">
      <c r="A10570">
        <v>41033</v>
      </c>
      <c r="B10570" t="s">
        <v>11023</v>
      </c>
      <c r="C10570" t="s">
        <v>433</v>
      </c>
      <c r="D10570" t="s">
        <v>26202</v>
      </c>
    </row>
    <row r="10571" spans="1:4">
      <c r="A10571">
        <v>41040</v>
      </c>
      <c r="B10571" t="s">
        <v>11024</v>
      </c>
      <c r="C10571" t="s">
        <v>433</v>
      </c>
      <c r="D10571" t="s">
        <v>26203</v>
      </c>
    </row>
    <row r="10572" spans="1:4">
      <c r="A10572">
        <v>44500</v>
      </c>
      <c r="B10572" t="s">
        <v>13489</v>
      </c>
      <c r="C10572" t="s">
        <v>432</v>
      </c>
      <c r="D10572" t="s">
        <v>23610</v>
      </c>
    </row>
    <row r="10573" spans="1:4">
      <c r="A10573">
        <v>4238</v>
      </c>
      <c r="B10573" t="s">
        <v>11025</v>
      </c>
      <c r="C10573" t="s">
        <v>432</v>
      </c>
      <c r="D10573" t="s">
        <v>19250</v>
      </c>
    </row>
    <row r="10574" spans="1:4">
      <c r="A10574">
        <v>41012</v>
      </c>
      <c r="B10574" t="s">
        <v>11026</v>
      </c>
      <c r="C10574" t="s">
        <v>433</v>
      </c>
      <c r="D10574" t="s">
        <v>26154</v>
      </c>
    </row>
    <row r="10575" spans="1:4">
      <c r="A10575">
        <v>4237</v>
      </c>
      <c r="B10575" t="s">
        <v>11027</v>
      </c>
      <c r="C10575" t="s">
        <v>432</v>
      </c>
      <c r="D10575" t="s">
        <v>25772</v>
      </c>
    </row>
    <row r="10576" spans="1:4">
      <c r="A10576">
        <v>41002</v>
      </c>
      <c r="B10576" t="s">
        <v>11028</v>
      </c>
      <c r="C10576" t="s">
        <v>433</v>
      </c>
      <c r="D10576" t="s">
        <v>25773</v>
      </c>
    </row>
    <row r="10577" spans="1:4">
      <c r="A10577">
        <v>4233</v>
      </c>
      <c r="B10577" t="s">
        <v>11029</v>
      </c>
      <c r="C10577" t="s">
        <v>432</v>
      </c>
      <c r="D10577" t="s">
        <v>26149</v>
      </c>
    </row>
    <row r="10578" spans="1:4">
      <c r="A10578">
        <v>41001</v>
      </c>
      <c r="B10578" t="s">
        <v>11030</v>
      </c>
      <c r="C10578" t="s">
        <v>433</v>
      </c>
      <c r="D10578" t="s">
        <v>26204</v>
      </c>
    </row>
    <row r="10579" spans="1:4">
      <c r="A10579">
        <v>2</v>
      </c>
      <c r="B10579" t="s">
        <v>11031</v>
      </c>
      <c r="C10579" t="s">
        <v>431</v>
      </c>
      <c r="D10579" t="s">
        <v>26205</v>
      </c>
    </row>
    <row r="10580" spans="1:4">
      <c r="A10580">
        <v>36517</v>
      </c>
      <c r="B10580" t="s">
        <v>11032</v>
      </c>
      <c r="C10580" t="s">
        <v>427</v>
      </c>
      <c r="D10580" t="s">
        <v>26206</v>
      </c>
    </row>
    <row r="10581" spans="1:4">
      <c r="A10581">
        <v>4262</v>
      </c>
      <c r="B10581" t="s">
        <v>11033</v>
      </c>
      <c r="C10581" t="s">
        <v>427</v>
      </c>
      <c r="D10581" t="s">
        <v>26207</v>
      </c>
    </row>
    <row r="10582" spans="1:4">
      <c r="A10582">
        <v>4263</v>
      </c>
      <c r="B10582" t="s">
        <v>11034</v>
      </c>
      <c r="C10582" t="s">
        <v>427</v>
      </c>
      <c r="D10582" t="s">
        <v>26208</v>
      </c>
    </row>
    <row r="10583" spans="1:4">
      <c r="A10583">
        <v>36518</v>
      </c>
      <c r="B10583" t="s">
        <v>11035</v>
      </c>
      <c r="C10583" t="s">
        <v>427</v>
      </c>
      <c r="D10583" t="s">
        <v>26209</v>
      </c>
    </row>
    <row r="10584" spans="1:4">
      <c r="A10584">
        <v>14221</v>
      </c>
      <c r="B10584" t="s">
        <v>11036</v>
      </c>
      <c r="C10584" t="s">
        <v>427</v>
      </c>
      <c r="D10584" t="s">
        <v>26210</v>
      </c>
    </row>
    <row r="10585" spans="1:4">
      <c r="A10585">
        <v>38402</v>
      </c>
      <c r="B10585" t="s">
        <v>11037</v>
      </c>
      <c r="C10585" t="s">
        <v>427</v>
      </c>
      <c r="D10585" t="s">
        <v>23900</v>
      </c>
    </row>
    <row r="10586" spans="1:4">
      <c r="A10586">
        <v>3412</v>
      </c>
      <c r="B10586" t="s">
        <v>11038</v>
      </c>
      <c r="C10586" t="s">
        <v>426</v>
      </c>
      <c r="D10586" t="s">
        <v>16946</v>
      </c>
    </row>
    <row r="10587" spans="1:4">
      <c r="A10587">
        <v>3413</v>
      </c>
      <c r="B10587" t="s">
        <v>11039</v>
      </c>
      <c r="C10587" t="s">
        <v>426</v>
      </c>
      <c r="D10587" t="s">
        <v>26211</v>
      </c>
    </row>
    <row r="10588" spans="1:4">
      <c r="A10588">
        <v>39744</v>
      </c>
      <c r="B10588" t="s">
        <v>11040</v>
      </c>
      <c r="C10588" t="s">
        <v>426</v>
      </c>
      <c r="D10588" t="s">
        <v>22899</v>
      </c>
    </row>
    <row r="10589" spans="1:4">
      <c r="A10589">
        <v>39745</v>
      </c>
      <c r="B10589" t="s">
        <v>11041</v>
      </c>
      <c r="C10589" t="s">
        <v>426</v>
      </c>
      <c r="D10589" t="s">
        <v>26212</v>
      </c>
    </row>
    <row r="10590" spans="1:4">
      <c r="A10590">
        <v>39637</v>
      </c>
      <c r="B10590" t="s">
        <v>11042</v>
      </c>
      <c r="C10590" t="s">
        <v>426</v>
      </c>
      <c r="D10590" t="s">
        <v>26213</v>
      </c>
    </row>
    <row r="10591" spans="1:4">
      <c r="A10591">
        <v>39638</v>
      </c>
      <c r="B10591" t="s">
        <v>11043</v>
      </c>
      <c r="C10591" t="s">
        <v>426</v>
      </c>
      <c r="D10591" t="s">
        <v>26214</v>
      </c>
    </row>
    <row r="10592" spans="1:4">
      <c r="A10592">
        <v>39639</v>
      </c>
      <c r="B10592" t="s">
        <v>11044</v>
      </c>
      <c r="C10592" t="s">
        <v>426</v>
      </c>
      <c r="D10592" t="s">
        <v>26215</v>
      </c>
    </row>
    <row r="10593" spans="1:4">
      <c r="A10593">
        <v>39517</v>
      </c>
      <c r="B10593" t="s">
        <v>11045</v>
      </c>
      <c r="C10593" t="s">
        <v>426</v>
      </c>
      <c r="D10593" t="s">
        <v>26216</v>
      </c>
    </row>
    <row r="10594" spans="1:4">
      <c r="A10594">
        <v>39518</v>
      </c>
      <c r="B10594" t="s">
        <v>11046</v>
      </c>
      <c r="C10594" t="s">
        <v>426</v>
      </c>
      <c r="D10594" t="s">
        <v>26217</v>
      </c>
    </row>
    <row r="10595" spans="1:4">
      <c r="A10595">
        <v>38366</v>
      </c>
      <c r="B10595" t="s">
        <v>11047</v>
      </c>
      <c r="C10595" t="s">
        <v>426</v>
      </c>
      <c r="D10595" t="s">
        <v>15252</v>
      </c>
    </row>
    <row r="10596" spans="1:4">
      <c r="A10596">
        <v>11703</v>
      </c>
      <c r="B10596" t="s">
        <v>11048</v>
      </c>
      <c r="C10596" t="s">
        <v>427</v>
      </c>
      <c r="D10596" t="s">
        <v>26218</v>
      </c>
    </row>
    <row r="10597" spans="1:4">
      <c r="A10597">
        <v>37400</v>
      </c>
      <c r="B10597" t="s">
        <v>11049</v>
      </c>
      <c r="C10597" t="s">
        <v>427</v>
      </c>
      <c r="D10597" t="s">
        <v>26219</v>
      </c>
    </row>
    <row r="10598" spans="1:4">
      <c r="A10598">
        <v>25400</v>
      </c>
      <c r="B10598" t="s">
        <v>11050</v>
      </c>
      <c r="C10598" t="s">
        <v>427</v>
      </c>
      <c r="D10598" t="s">
        <v>26220</v>
      </c>
    </row>
    <row r="10599" spans="1:4">
      <c r="A10599">
        <v>4276</v>
      </c>
      <c r="B10599" t="s">
        <v>11051</v>
      </c>
      <c r="C10599" t="s">
        <v>427</v>
      </c>
      <c r="D10599" t="s">
        <v>26221</v>
      </c>
    </row>
    <row r="10600" spans="1:4">
      <c r="A10600">
        <v>4273</v>
      </c>
      <c r="B10600" t="s">
        <v>11052</v>
      </c>
      <c r="C10600" t="s">
        <v>427</v>
      </c>
      <c r="D10600" t="s">
        <v>26222</v>
      </c>
    </row>
    <row r="10601" spans="1:4">
      <c r="A10601">
        <v>4274</v>
      </c>
      <c r="B10601" t="s">
        <v>11053</v>
      </c>
      <c r="C10601" t="s">
        <v>427</v>
      </c>
      <c r="D10601" t="s">
        <v>25111</v>
      </c>
    </row>
    <row r="10602" spans="1:4">
      <c r="A10602">
        <v>39438</v>
      </c>
      <c r="B10602" t="s">
        <v>11054</v>
      </c>
      <c r="C10602" t="s">
        <v>427</v>
      </c>
      <c r="D10602" t="s">
        <v>15338</v>
      </c>
    </row>
    <row r="10603" spans="1:4">
      <c r="A10603">
        <v>11963</v>
      </c>
      <c r="B10603" t="s">
        <v>11055</v>
      </c>
      <c r="C10603" t="s">
        <v>427</v>
      </c>
      <c r="D10603" t="s">
        <v>18151</v>
      </c>
    </row>
    <row r="10604" spans="1:4">
      <c r="A10604">
        <v>11964</v>
      </c>
      <c r="B10604" t="s">
        <v>11056</v>
      </c>
      <c r="C10604" t="s">
        <v>427</v>
      </c>
      <c r="D10604" t="s">
        <v>15671</v>
      </c>
    </row>
    <row r="10605" spans="1:4">
      <c r="A10605">
        <v>4379</v>
      </c>
      <c r="B10605" t="s">
        <v>11057</v>
      </c>
      <c r="C10605" t="s">
        <v>427</v>
      </c>
      <c r="D10605" t="s">
        <v>15470</v>
      </c>
    </row>
    <row r="10606" spans="1:4">
      <c r="A10606">
        <v>4377</v>
      </c>
      <c r="B10606" t="s">
        <v>11058</v>
      </c>
      <c r="C10606" t="s">
        <v>427</v>
      </c>
      <c r="D10606" t="s">
        <v>20061</v>
      </c>
    </row>
    <row r="10607" spans="1:4">
      <c r="A10607">
        <v>4356</v>
      </c>
      <c r="B10607" t="s">
        <v>11059</v>
      </c>
      <c r="C10607" t="s">
        <v>427</v>
      </c>
      <c r="D10607" t="s">
        <v>15347</v>
      </c>
    </row>
    <row r="10608" spans="1:4">
      <c r="A10608">
        <v>13246</v>
      </c>
      <c r="B10608" t="s">
        <v>11060</v>
      </c>
      <c r="C10608" t="s">
        <v>427</v>
      </c>
      <c r="D10608" t="s">
        <v>15283</v>
      </c>
    </row>
    <row r="10609" spans="1:4">
      <c r="A10609">
        <v>4346</v>
      </c>
      <c r="B10609" t="s">
        <v>11061</v>
      </c>
      <c r="C10609" t="s">
        <v>427</v>
      </c>
      <c r="D10609" t="s">
        <v>26223</v>
      </c>
    </row>
    <row r="10610" spans="1:4">
      <c r="A10610">
        <v>11955</v>
      </c>
      <c r="B10610" t="s">
        <v>11062</v>
      </c>
      <c r="C10610" t="s">
        <v>427</v>
      </c>
      <c r="D10610" t="s">
        <v>24337</v>
      </c>
    </row>
    <row r="10611" spans="1:4">
      <c r="A10611">
        <v>11960</v>
      </c>
      <c r="B10611" t="s">
        <v>11063</v>
      </c>
      <c r="C10611" t="s">
        <v>427</v>
      </c>
      <c r="D10611" t="s">
        <v>15758</v>
      </c>
    </row>
    <row r="10612" spans="1:4">
      <c r="A10612">
        <v>4333</v>
      </c>
      <c r="B10612" t="s">
        <v>11064</v>
      </c>
      <c r="C10612" t="s">
        <v>427</v>
      </c>
      <c r="D10612" t="s">
        <v>15347</v>
      </c>
    </row>
    <row r="10613" spans="1:4">
      <c r="A10613">
        <v>4358</v>
      </c>
      <c r="B10613" t="s">
        <v>11065</v>
      </c>
      <c r="C10613" t="s">
        <v>427</v>
      </c>
      <c r="D10613" t="s">
        <v>15764</v>
      </c>
    </row>
    <row r="10614" spans="1:4">
      <c r="A10614">
        <v>39435</v>
      </c>
      <c r="B10614" t="s">
        <v>11066</v>
      </c>
      <c r="C10614" t="s">
        <v>427</v>
      </c>
      <c r="D10614" t="s">
        <v>15334</v>
      </c>
    </row>
    <row r="10615" spans="1:4">
      <c r="A10615">
        <v>39436</v>
      </c>
      <c r="B10615" t="s">
        <v>11067</v>
      </c>
      <c r="C10615" t="s">
        <v>427</v>
      </c>
      <c r="D10615" t="s">
        <v>15248</v>
      </c>
    </row>
    <row r="10616" spans="1:4">
      <c r="A10616">
        <v>39437</v>
      </c>
      <c r="B10616" t="s">
        <v>11068</v>
      </c>
      <c r="C10616" t="s">
        <v>427</v>
      </c>
      <c r="D10616" t="s">
        <v>15194</v>
      </c>
    </row>
    <row r="10617" spans="1:4">
      <c r="A10617">
        <v>39439</v>
      </c>
      <c r="B10617" t="s">
        <v>11069</v>
      </c>
      <c r="C10617" t="s">
        <v>427</v>
      </c>
      <c r="D10617" t="s">
        <v>15504</v>
      </c>
    </row>
    <row r="10618" spans="1:4">
      <c r="A10618">
        <v>39440</v>
      </c>
      <c r="B10618" t="s">
        <v>11070</v>
      </c>
      <c r="C10618" t="s">
        <v>427</v>
      </c>
      <c r="D10618" t="s">
        <v>15725</v>
      </c>
    </row>
    <row r="10619" spans="1:4">
      <c r="A10619">
        <v>39441</v>
      </c>
      <c r="B10619" t="s">
        <v>11071</v>
      </c>
      <c r="C10619" t="s">
        <v>427</v>
      </c>
      <c r="D10619" t="s">
        <v>15338</v>
      </c>
    </row>
    <row r="10620" spans="1:4">
      <c r="A10620">
        <v>39442</v>
      </c>
      <c r="B10620" t="s">
        <v>11072</v>
      </c>
      <c r="C10620" t="s">
        <v>427</v>
      </c>
      <c r="D10620" t="s">
        <v>20061</v>
      </c>
    </row>
    <row r="10621" spans="1:4">
      <c r="A10621">
        <v>39443</v>
      </c>
      <c r="B10621" t="s">
        <v>11073</v>
      </c>
      <c r="C10621" t="s">
        <v>427</v>
      </c>
      <c r="D10621" t="s">
        <v>20324</v>
      </c>
    </row>
    <row r="10622" spans="1:4">
      <c r="A10622">
        <v>4329</v>
      </c>
      <c r="B10622" t="s">
        <v>11074</v>
      </c>
      <c r="C10622" t="s">
        <v>427</v>
      </c>
      <c r="D10622" t="s">
        <v>17731</v>
      </c>
    </row>
    <row r="10623" spans="1:4">
      <c r="A10623">
        <v>4383</v>
      </c>
      <c r="B10623" t="s">
        <v>11075</v>
      </c>
      <c r="C10623" t="s">
        <v>427</v>
      </c>
      <c r="D10623" t="s">
        <v>22524</v>
      </c>
    </row>
    <row r="10624" spans="1:4">
      <c r="A10624">
        <v>4344</v>
      </c>
      <c r="B10624" t="s">
        <v>11076</v>
      </c>
      <c r="C10624" t="s">
        <v>427</v>
      </c>
      <c r="D10624" t="s">
        <v>24890</v>
      </c>
    </row>
    <row r="10625" spans="1:4">
      <c r="A10625">
        <v>436</v>
      </c>
      <c r="B10625" t="s">
        <v>11077</v>
      </c>
      <c r="C10625" t="s">
        <v>427</v>
      </c>
      <c r="D10625" t="s">
        <v>17185</v>
      </c>
    </row>
    <row r="10626" spans="1:4">
      <c r="A10626">
        <v>442</v>
      </c>
      <c r="B10626" t="s">
        <v>11078</v>
      </c>
      <c r="C10626" t="s">
        <v>427</v>
      </c>
      <c r="D10626" t="s">
        <v>20560</v>
      </c>
    </row>
    <row r="10627" spans="1:4">
      <c r="A10627">
        <v>11953</v>
      </c>
      <c r="B10627" t="s">
        <v>11079</v>
      </c>
      <c r="C10627" t="s">
        <v>427</v>
      </c>
      <c r="D10627" t="s">
        <v>18055</v>
      </c>
    </row>
    <row r="10628" spans="1:4">
      <c r="A10628">
        <v>4335</v>
      </c>
      <c r="B10628" t="s">
        <v>11080</v>
      </c>
      <c r="C10628" t="s">
        <v>427</v>
      </c>
      <c r="D10628" t="s">
        <v>16965</v>
      </c>
    </row>
    <row r="10629" spans="1:4">
      <c r="A10629">
        <v>4334</v>
      </c>
      <c r="B10629" t="s">
        <v>11081</v>
      </c>
      <c r="C10629" t="s">
        <v>427</v>
      </c>
      <c r="D10629" t="s">
        <v>26224</v>
      </c>
    </row>
    <row r="10630" spans="1:4">
      <c r="A10630">
        <v>4343</v>
      </c>
      <c r="B10630" t="s">
        <v>11082</v>
      </c>
      <c r="C10630" t="s">
        <v>427</v>
      </c>
      <c r="D10630" t="s">
        <v>15155</v>
      </c>
    </row>
    <row r="10631" spans="1:4">
      <c r="A10631">
        <v>430</v>
      </c>
      <c r="B10631" t="s">
        <v>11083</v>
      </c>
      <c r="C10631" t="s">
        <v>427</v>
      </c>
      <c r="D10631" t="s">
        <v>19266</v>
      </c>
    </row>
    <row r="10632" spans="1:4">
      <c r="A10632">
        <v>441</v>
      </c>
      <c r="B10632" t="s">
        <v>11084</v>
      </c>
      <c r="C10632" t="s">
        <v>427</v>
      </c>
      <c r="D10632" t="s">
        <v>24491</v>
      </c>
    </row>
    <row r="10633" spans="1:4">
      <c r="A10633">
        <v>431</v>
      </c>
      <c r="B10633" t="s">
        <v>11085</v>
      </c>
      <c r="C10633" t="s">
        <v>427</v>
      </c>
      <c r="D10633" t="s">
        <v>18179</v>
      </c>
    </row>
    <row r="10634" spans="1:4">
      <c r="A10634">
        <v>432</v>
      </c>
      <c r="B10634" t="s">
        <v>11086</v>
      </c>
      <c r="C10634" t="s">
        <v>427</v>
      </c>
      <c r="D10634" t="s">
        <v>23616</v>
      </c>
    </row>
    <row r="10635" spans="1:4">
      <c r="A10635">
        <v>429</v>
      </c>
      <c r="B10635" t="s">
        <v>11087</v>
      </c>
      <c r="C10635" t="s">
        <v>427</v>
      </c>
      <c r="D10635" t="s">
        <v>16954</v>
      </c>
    </row>
    <row r="10636" spans="1:4">
      <c r="A10636">
        <v>439</v>
      </c>
      <c r="B10636" t="s">
        <v>11088</v>
      </c>
      <c r="C10636" t="s">
        <v>427</v>
      </c>
      <c r="D10636" t="s">
        <v>15222</v>
      </c>
    </row>
    <row r="10637" spans="1:4">
      <c r="A10637">
        <v>433</v>
      </c>
      <c r="B10637" t="s">
        <v>11089</v>
      </c>
      <c r="C10637" t="s">
        <v>427</v>
      </c>
      <c r="D10637" t="s">
        <v>15403</v>
      </c>
    </row>
    <row r="10638" spans="1:4">
      <c r="A10638">
        <v>437</v>
      </c>
      <c r="B10638" t="s">
        <v>11090</v>
      </c>
      <c r="C10638" t="s">
        <v>427</v>
      </c>
      <c r="D10638" t="s">
        <v>20275</v>
      </c>
    </row>
    <row r="10639" spans="1:4">
      <c r="A10639">
        <v>11790</v>
      </c>
      <c r="B10639" t="s">
        <v>11091</v>
      </c>
      <c r="C10639" t="s">
        <v>427</v>
      </c>
      <c r="D10639" t="s">
        <v>19083</v>
      </c>
    </row>
    <row r="10640" spans="1:4">
      <c r="A10640">
        <v>428</v>
      </c>
      <c r="B10640" t="s">
        <v>11092</v>
      </c>
      <c r="C10640" t="s">
        <v>427</v>
      </c>
      <c r="D10640" t="s">
        <v>26225</v>
      </c>
    </row>
    <row r="10641" spans="1:4">
      <c r="A10641">
        <v>4384</v>
      </c>
      <c r="B10641" t="s">
        <v>11093</v>
      </c>
      <c r="C10641" t="s">
        <v>427</v>
      </c>
      <c r="D10641" t="s">
        <v>26226</v>
      </c>
    </row>
    <row r="10642" spans="1:4">
      <c r="A10642">
        <v>4351</v>
      </c>
      <c r="B10642" t="s">
        <v>11094</v>
      </c>
      <c r="C10642" t="s">
        <v>427</v>
      </c>
      <c r="D10642" t="s">
        <v>15735</v>
      </c>
    </row>
    <row r="10643" spans="1:4">
      <c r="A10643">
        <v>11054</v>
      </c>
      <c r="B10643" t="s">
        <v>11095</v>
      </c>
      <c r="C10643" t="s">
        <v>427</v>
      </c>
      <c r="D10643" t="s">
        <v>15492</v>
      </c>
    </row>
    <row r="10644" spans="1:4">
      <c r="A10644">
        <v>11055</v>
      </c>
      <c r="B10644" t="s">
        <v>11096</v>
      </c>
      <c r="C10644" t="s">
        <v>427</v>
      </c>
      <c r="D10644" t="s">
        <v>15602</v>
      </c>
    </row>
    <row r="10645" spans="1:4">
      <c r="A10645">
        <v>11056</v>
      </c>
      <c r="B10645" t="s">
        <v>11097</v>
      </c>
      <c r="C10645" t="s">
        <v>427</v>
      </c>
      <c r="D10645" t="s">
        <v>15685</v>
      </c>
    </row>
    <row r="10646" spans="1:4">
      <c r="A10646">
        <v>11057</v>
      </c>
      <c r="B10646" t="s">
        <v>11098</v>
      </c>
      <c r="C10646" t="s">
        <v>427</v>
      </c>
      <c r="D10646" t="s">
        <v>15758</v>
      </c>
    </row>
    <row r="10647" spans="1:4">
      <c r="A10647">
        <v>11059</v>
      </c>
      <c r="B10647" t="s">
        <v>11099</v>
      </c>
      <c r="C10647" t="s">
        <v>427</v>
      </c>
      <c r="D10647" t="s">
        <v>23864</v>
      </c>
    </row>
    <row r="10648" spans="1:4">
      <c r="A10648">
        <v>11058</v>
      </c>
      <c r="B10648" t="s">
        <v>11100</v>
      </c>
      <c r="C10648" t="s">
        <v>427</v>
      </c>
      <c r="D10648" t="s">
        <v>15714</v>
      </c>
    </row>
    <row r="10649" spans="1:4">
      <c r="A10649">
        <v>4380</v>
      </c>
      <c r="B10649" t="s">
        <v>11101</v>
      </c>
      <c r="C10649" t="s">
        <v>427</v>
      </c>
      <c r="D10649" t="s">
        <v>15781</v>
      </c>
    </row>
    <row r="10650" spans="1:4">
      <c r="A10650">
        <v>4299</v>
      </c>
      <c r="B10650" t="s">
        <v>11102</v>
      </c>
      <c r="C10650" t="s">
        <v>427</v>
      </c>
      <c r="D10650" t="s">
        <v>15649</v>
      </c>
    </row>
    <row r="10651" spans="1:4">
      <c r="A10651">
        <v>4304</v>
      </c>
      <c r="B10651" t="s">
        <v>11103</v>
      </c>
      <c r="C10651" t="s">
        <v>427</v>
      </c>
      <c r="D10651" t="s">
        <v>21664</v>
      </c>
    </row>
    <row r="10652" spans="1:4">
      <c r="A10652">
        <v>4305</v>
      </c>
      <c r="B10652" t="s">
        <v>11104</v>
      </c>
      <c r="C10652" t="s">
        <v>427</v>
      </c>
      <c r="D10652" t="s">
        <v>24333</v>
      </c>
    </row>
    <row r="10653" spans="1:4">
      <c r="A10653">
        <v>4306</v>
      </c>
      <c r="B10653" t="s">
        <v>11105</v>
      </c>
      <c r="C10653" t="s">
        <v>427</v>
      </c>
      <c r="D10653" t="s">
        <v>15802</v>
      </c>
    </row>
    <row r="10654" spans="1:4">
      <c r="A10654">
        <v>4308</v>
      </c>
      <c r="B10654" t="s">
        <v>11106</v>
      </c>
      <c r="C10654" t="s">
        <v>427</v>
      </c>
      <c r="D10654" t="s">
        <v>22435</v>
      </c>
    </row>
    <row r="10655" spans="1:4">
      <c r="A10655">
        <v>4302</v>
      </c>
      <c r="B10655" t="s">
        <v>11107</v>
      </c>
      <c r="C10655" t="s">
        <v>427</v>
      </c>
      <c r="D10655" t="s">
        <v>26227</v>
      </c>
    </row>
    <row r="10656" spans="1:4">
      <c r="A10656">
        <v>4300</v>
      </c>
      <c r="B10656" t="s">
        <v>11108</v>
      </c>
      <c r="C10656" t="s">
        <v>427</v>
      </c>
      <c r="D10656" t="s">
        <v>15637</v>
      </c>
    </row>
    <row r="10657" spans="1:4">
      <c r="A10657">
        <v>4301</v>
      </c>
      <c r="B10657" t="s">
        <v>11109</v>
      </c>
      <c r="C10657" t="s">
        <v>427</v>
      </c>
      <c r="D10657" t="s">
        <v>24317</v>
      </c>
    </row>
    <row r="10658" spans="1:4">
      <c r="A10658">
        <v>4320</v>
      </c>
      <c r="B10658" t="s">
        <v>11110</v>
      </c>
      <c r="C10658" t="s">
        <v>427</v>
      </c>
      <c r="D10658" t="s">
        <v>15664</v>
      </c>
    </row>
    <row r="10659" spans="1:4">
      <c r="A10659">
        <v>4318</v>
      </c>
      <c r="B10659" t="s">
        <v>11111</v>
      </c>
      <c r="C10659" t="s">
        <v>427</v>
      </c>
      <c r="D10659" t="s">
        <v>25259</v>
      </c>
    </row>
    <row r="10660" spans="1:4">
      <c r="A10660">
        <v>40547</v>
      </c>
      <c r="B10660" t="s">
        <v>11112</v>
      </c>
      <c r="C10660" t="s">
        <v>440</v>
      </c>
      <c r="D10660" t="s">
        <v>24358</v>
      </c>
    </row>
    <row r="10661" spans="1:4">
      <c r="A10661">
        <v>11962</v>
      </c>
      <c r="B10661" t="s">
        <v>11113</v>
      </c>
      <c r="C10661" t="s">
        <v>427</v>
      </c>
      <c r="D10661" t="s">
        <v>15377</v>
      </c>
    </row>
    <row r="10662" spans="1:4">
      <c r="A10662">
        <v>4332</v>
      </c>
      <c r="B10662" t="s">
        <v>11114</v>
      </c>
      <c r="C10662" t="s">
        <v>427</v>
      </c>
      <c r="D10662" t="s">
        <v>20136</v>
      </c>
    </row>
    <row r="10663" spans="1:4">
      <c r="A10663">
        <v>4331</v>
      </c>
      <c r="B10663" t="s">
        <v>11115</v>
      </c>
      <c r="C10663" t="s">
        <v>427</v>
      </c>
      <c r="D10663" t="s">
        <v>20187</v>
      </c>
    </row>
    <row r="10664" spans="1:4">
      <c r="A10664">
        <v>4336</v>
      </c>
      <c r="B10664" t="s">
        <v>11116</v>
      </c>
      <c r="C10664" t="s">
        <v>427</v>
      </c>
      <c r="D10664" t="s">
        <v>20506</v>
      </c>
    </row>
    <row r="10665" spans="1:4">
      <c r="A10665">
        <v>13294</v>
      </c>
      <c r="B10665" t="s">
        <v>11117</v>
      </c>
      <c r="C10665" t="s">
        <v>427</v>
      </c>
      <c r="D10665" t="s">
        <v>15481</v>
      </c>
    </row>
    <row r="10666" spans="1:4">
      <c r="A10666">
        <v>11948</v>
      </c>
      <c r="B10666" t="s">
        <v>11118</v>
      </c>
      <c r="C10666" t="s">
        <v>427</v>
      </c>
      <c r="D10666" t="s">
        <v>15610</v>
      </c>
    </row>
    <row r="10667" spans="1:4">
      <c r="A10667">
        <v>4382</v>
      </c>
      <c r="B10667" t="s">
        <v>11119</v>
      </c>
      <c r="C10667" t="s">
        <v>427</v>
      </c>
      <c r="D10667" t="s">
        <v>24583</v>
      </c>
    </row>
    <row r="10668" spans="1:4">
      <c r="A10668">
        <v>4354</v>
      </c>
      <c r="B10668" t="s">
        <v>11120</v>
      </c>
      <c r="C10668" t="s">
        <v>427</v>
      </c>
      <c r="D10668" t="s">
        <v>17464</v>
      </c>
    </row>
    <row r="10669" spans="1:4">
      <c r="A10669">
        <v>40839</v>
      </c>
      <c r="B10669" t="s">
        <v>11121</v>
      </c>
      <c r="C10669" t="s">
        <v>440</v>
      </c>
      <c r="D10669" t="s">
        <v>26228</v>
      </c>
    </row>
    <row r="10670" spans="1:4">
      <c r="A10670">
        <v>40552</v>
      </c>
      <c r="B10670" t="s">
        <v>11122</v>
      </c>
      <c r="C10670" t="s">
        <v>440</v>
      </c>
      <c r="D10670" t="s">
        <v>22206</v>
      </c>
    </row>
    <row r="10671" spans="1:4">
      <c r="A10671">
        <v>40549</v>
      </c>
      <c r="B10671" t="s">
        <v>11123</v>
      </c>
      <c r="C10671" t="s">
        <v>440</v>
      </c>
      <c r="D10671" t="s">
        <v>26229</v>
      </c>
    </row>
    <row r="10672" spans="1:4">
      <c r="A10672">
        <v>4385</v>
      </c>
      <c r="B10672" t="s">
        <v>11124</v>
      </c>
      <c r="C10672" t="s">
        <v>436</v>
      </c>
      <c r="D10672" t="s">
        <v>26230</v>
      </c>
    </row>
    <row r="10673" spans="1:4">
      <c r="A10673">
        <v>20078</v>
      </c>
      <c r="B10673" t="s">
        <v>11125</v>
      </c>
      <c r="C10673" t="s">
        <v>427</v>
      </c>
      <c r="D10673" t="s">
        <v>18282</v>
      </c>
    </row>
    <row r="10674" spans="1:4">
      <c r="A10674">
        <v>39897</v>
      </c>
      <c r="B10674" t="s">
        <v>11126</v>
      </c>
      <c r="C10674" t="s">
        <v>427</v>
      </c>
      <c r="D10674" t="s">
        <v>26231</v>
      </c>
    </row>
    <row r="10675" spans="1:4">
      <c r="A10675">
        <v>118</v>
      </c>
      <c r="B10675" t="s">
        <v>11127</v>
      </c>
      <c r="C10675" t="s">
        <v>427</v>
      </c>
      <c r="D10675" t="s">
        <v>26232</v>
      </c>
    </row>
    <row r="10676" spans="1:4">
      <c r="A10676">
        <v>4396</v>
      </c>
      <c r="B10676" t="s">
        <v>11128</v>
      </c>
      <c r="C10676" t="s">
        <v>426</v>
      </c>
      <c r="D10676" t="s">
        <v>26233</v>
      </c>
    </row>
    <row r="10677" spans="1:4">
      <c r="A10677">
        <v>36881</v>
      </c>
      <c r="B10677" t="s">
        <v>11129</v>
      </c>
      <c r="C10677" t="s">
        <v>426</v>
      </c>
      <c r="D10677" t="s">
        <v>26234</v>
      </c>
    </row>
    <row r="10678" spans="1:4">
      <c r="A10678">
        <v>4397</v>
      </c>
      <c r="B10678" t="s">
        <v>11130</v>
      </c>
      <c r="C10678" t="s">
        <v>426</v>
      </c>
      <c r="D10678" t="s">
        <v>26235</v>
      </c>
    </row>
    <row r="10679" spans="1:4">
      <c r="A10679">
        <v>36882</v>
      </c>
      <c r="B10679" t="s">
        <v>11131</v>
      </c>
      <c r="C10679" t="s">
        <v>426</v>
      </c>
      <c r="D10679" t="s">
        <v>26236</v>
      </c>
    </row>
    <row r="10680" spans="1:4">
      <c r="A10680">
        <v>4751</v>
      </c>
      <c r="B10680" t="s">
        <v>13490</v>
      </c>
      <c r="C10680" t="s">
        <v>432</v>
      </c>
      <c r="D10680" t="s">
        <v>20265</v>
      </c>
    </row>
    <row r="10681" spans="1:4">
      <c r="A10681">
        <v>41066</v>
      </c>
      <c r="B10681" t="s">
        <v>11132</v>
      </c>
      <c r="C10681" t="s">
        <v>433</v>
      </c>
      <c r="D10681" t="s">
        <v>24644</v>
      </c>
    </row>
    <row r="10682" spans="1:4">
      <c r="A10682">
        <v>39604</v>
      </c>
      <c r="B10682" t="s">
        <v>11133</v>
      </c>
      <c r="C10682" t="s">
        <v>427</v>
      </c>
      <c r="D10682" t="s">
        <v>20371</v>
      </c>
    </row>
    <row r="10683" spans="1:4">
      <c r="A10683">
        <v>39605</v>
      </c>
      <c r="B10683" t="s">
        <v>11134</v>
      </c>
      <c r="C10683" t="s">
        <v>427</v>
      </c>
      <c r="D10683" t="s">
        <v>24647</v>
      </c>
    </row>
    <row r="10684" spans="1:4">
      <c r="A10684">
        <v>39606</v>
      </c>
      <c r="B10684" t="s">
        <v>11135</v>
      </c>
      <c r="C10684" t="s">
        <v>427</v>
      </c>
      <c r="D10684" t="s">
        <v>18588</v>
      </c>
    </row>
    <row r="10685" spans="1:4">
      <c r="A10685">
        <v>39607</v>
      </c>
      <c r="B10685" t="s">
        <v>11136</v>
      </c>
      <c r="C10685" t="s">
        <v>427</v>
      </c>
      <c r="D10685" t="s">
        <v>26237</v>
      </c>
    </row>
    <row r="10686" spans="1:4">
      <c r="A10686">
        <v>39594</v>
      </c>
      <c r="B10686" t="s">
        <v>11137</v>
      </c>
      <c r="C10686" t="s">
        <v>427</v>
      </c>
      <c r="D10686" t="s">
        <v>26238</v>
      </c>
    </row>
    <row r="10687" spans="1:4">
      <c r="A10687">
        <v>39596</v>
      </c>
      <c r="B10687" t="s">
        <v>11138</v>
      </c>
      <c r="C10687" t="s">
        <v>427</v>
      </c>
      <c r="D10687" t="s">
        <v>26239</v>
      </c>
    </row>
    <row r="10688" spans="1:4">
      <c r="A10688">
        <v>39595</v>
      </c>
      <c r="B10688" t="s">
        <v>11139</v>
      </c>
      <c r="C10688" t="s">
        <v>427</v>
      </c>
      <c r="D10688" t="s">
        <v>26240</v>
      </c>
    </row>
    <row r="10689" spans="1:4">
      <c r="A10689">
        <v>39597</v>
      </c>
      <c r="B10689" t="s">
        <v>11140</v>
      </c>
      <c r="C10689" t="s">
        <v>427</v>
      </c>
      <c r="D10689" t="s">
        <v>26241</v>
      </c>
    </row>
    <row r="10690" spans="1:4">
      <c r="A10690">
        <v>10731</v>
      </c>
      <c r="B10690" t="s">
        <v>11141</v>
      </c>
      <c r="C10690" t="s">
        <v>426</v>
      </c>
      <c r="D10690" t="s">
        <v>26242</v>
      </c>
    </row>
    <row r="10691" spans="1:4">
      <c r="A10691">
        <v>4704</v>
      </c>
      <c r="B10691" t="s">
        <v>11142</v>
      </c>
      <c r="C10691" t="s">
        <v>426</v>
      </c>
      <c r="D10691" t="s">
        <v>26243</v>
      </c>
    </row>
    <row r="10692" spans="1:4">
      <c r="A10692">
        <v>10730</v>
      </c>
      <c r="B10692" t="s">
        <v>11143</v>
      </c>
      <c r="C10692" t="s">
        <v>426</v>
      </c>
      <c r="D10692" t="s">
        <v>26244</v>
      </c>
    </row>
    <row r="10693" spans="1:4">
      <c r="A10693">
        <v>4729</v>
      </c>
      <c r="B10693" t="s">
        <v>11144</v>
      </c>
      <c r="C10693" t="s">
        <v>431</v>
      </c>
      <c r="D10693" t="s">
        <v>26245</v>
      </c>
    </row>
    <row r="10694" spans="1:4">
      <c r="A10694">
        <v>4720</v>
      </c>
      <c r="B10694" t="s">
        <v>11145</v>
      </c>
      <c r="C10694" t="s">
        <v>431</v>
      </c>
      <c r="D10694" t="s">
        <v>21573</v>
      </c>
    </row>
    <row r="10695" spans="1:4">
      <c r="A10695">
        <v>4721</v>
      </c>
      <c r="B10695" t="s">
        <v>11146</v>
      </c>
      <c r="C10695" t="s">
        <v>431</v>
      </c>
      <c r="D10695" t="s">
        <v>18157</v>
      </c>
    </row>
    <row r="10696" spans="1:4">
      <c r="A10696">
        <v>4718</v>
      </c>
      <c r="B10696" t="s">
        <v>11147</v>
      </c>
      <c r="C10696" t="s">
        <v>431</v>
      </c>
      <c r="D10696" t="s">
        <v>26246</v>
      </c>
    </row>
    <row r="10697" spans="1:4">
      <c r="A10697">
        <v>4722</v>
      </c>
      <c r="B10697" t="s">
        <v>11148</v>
      </c>
      <c r="C10697" t="s">
        <v>431</v>
      </c>
      <c r="D10697" t="s">
        <v>26247</v>
      </c>
    </row>
    <row r="10698" spans="1:4">
      <c r="A10698">
        <v>4723</v>
      </c>
      <c r="B10698" t="s">
        <v>11149</v>
      </c>
      <c r="C10698" t="s">
        <v>431</v>
      </c>
      <c r="D10698" t="s">
        <v>26248</v>
      </c>
    </row>
    <row r="10699" spans="1:4">
      <c r="A10699">
        <v>4727</v>
      </c>
      <c r="B10699" t="s">
        <v>11150</v>
      </c>
      <c r="C10699" t="s">
        <v>431</v>
      </c>
      <c r="D10699" t="s">
        <v>24854</v>
      </c>
    </row>
    <row r="10700" spans="1:4">
      <c r="A10700">
        <v>4748</v>
      </c>
      <c r="B10700" t="s">
        <v>11151</v>
      </c>
      <c r="C10700" t="s">
        <v>431</v>
      </c>
      <c r="D10700" t="s">
        <v>26249</v>
      </c>
    </row>
    <row r="10701" spans="1:4">
      <c r="A10701">
        <v>4730</v>
      </c>
      <c r="B10701" t="s">
        <v>11152</v>
      </c>
      <c r="C10701" t="s">
        <v>431</v>
      </c>
      <c r="D10701" t="s">
        <v>20223</v>
      </c>
    </row>
    <row r="10702" spans="1:4">
      <c r="A10702">
        <v>13186</v>
      </c>
      <c r="B10702" t="s">
        <v>11153</v>
      </c>
      <c r="C10702" t="s">
        <v>431</v>
      </c>
      <c r="D10702" t="s">
        <v>26250</v>
      </c>
    </row>
    <row r="10703" spans="1:4">
      <c r="A10703">
        <v>10737</v>
      </c>
      <c r="B10703" t="s">
        <v>11154</v>
      </c>
      <c r="C10703" t="s">
        <v>426</v>
      </c>
      <c r="D10703" t="s">
        <v>26251</v>
      </c>
    </row>
    <row r="10704" spans="1:4">
      <c r="A10704">
        <v>10734</v>
      </c>
      <c r="B10704" t="s">
        <v>11155</v>
      </c>
      <c r="C10704" t="s">
        <v>426</v>
      </c>
      <c r="D10704" t="s">
        <v>15729</v>
      </c>
    </row>
    <row r="10705" spans="1:4">
      <c r="A10705">
        <v>4708</v>
      </c>
      <c r="B10705" t="s">
        <v>11156</v>
      </c>
      <c r="C10705" t="s">
        <v>426</v>
      </c>
      <c r="D10705" t="s">
        <v>23830</v>
      </c>
    </row>
    <row r="10706" spans="1:4">
      <c r="A10706">
        <v>4712</v>
      </c>
      <c r="B10706" t="s">
        <v>11157</v>
      </c>
      <c r="C10706" t="s">
        <v>426</v>
      </c>
      <c r="D10706" t="s">
        <v>23720</v>
      </c>
    </row>
    <row r="10707" spans="1:4">
      <c r="A10707">
        <v>4710</v>
      </c>
      <c r="B10707" t="s">
        <v>11158</v>
      </c>
      <c r="C10707" t="s">
        <v>426</v>
      </c>
      <c r="D10707" t="s">
        <v>26252</v>
      </c>
    </row>
    <row r="10708" spans="1:4">
      <c r="A10708">
        <v>4746</v>
      </c>
      <c r="B10708" t="s">
        <v>11159</v>
      </c>
      <c r="C10708" t="s">
        <v>431</v>
      </c>
      <c r="D10708" t="s">
        <v>20657</v>
      </c>
    </row>
    <row r="10709" spans="1:4">
      <c r="A10709">
        <v>4750</v>
      </c>
      <c r="B10709" t="s">
        <v>13491</v>
      </c>
      <c r="C10709" t="s">
        <v>432</v>
      </c>
      <c r="D10709" t="s">
        <v>20265</v>
      </c>
    </row>
    <row r="10710" spans="1:4">
      <c r="A10710">
        <v>41065</v>
      </c>
      <c r="B10710" t="s">
        <v>11160</v>
      </c>
      <c r="C10710" t="s">
        <v>433</v>
      </c>
      <c r="D10710" t="s">
        <v>24644</v>
      </c>
    </row>
    <row r="10711" spans="1:4">
      <c r="A10711">
        <v>34747</v>
      </c>
      <c r="B10711" t="s">
        <v>11161</v>
      </c>
      <c r="C10711" t="s">
        <v>429</v>
      </c>
      <c r="D10711" t="s">
        <v>26253</v>
      </c>
    </row>
    <row r="10712" spans="1:4">
      <c r="A10712">
        <v>4826</v>
      </c>
      <c r="B10712" t="s">
        <v>11162</v>
      </c>
      <c r="C10712" t="s">
        <v>429</v>
      </c>
      <c r="D10712" t="s">
        <v>26254</v>
      </c>
    </row>
    <row r="10713" spans="1:4">
      <c r="A10713">
        <v>41975</v>
      </c>
      <c r="B10713" t="s">
        <v>11163</v>
      </c>
      <c r="C10713" t="s">
        <v>426</v>
      </c>
      <c r="D10713" t="s">
        <v>26255</v>
      </c>
    </row>
    <row r="10714" spans="1:4">
      <c r="A10714">
        <v>4825</v>
      </c>
      <c r="B10714" t="s">
        <v>11164</v>
      </c>
      <c r="C10714" t="s">
        <v>429</v>
      </c>
      <c r="D10714" t="s">
        <v>26256</v>
      </c>
    </row>
    <row r="10715" spans="1:4">
      <c r="A10715">
        <v>34744</v>
      </c>
      <c r="B10715" t="s">
        <v>11165</v>
      </c>
      <c r="C10715" t="s">
        <v>426</v>
      </c>
      <c r="D10715" t="s">
        <v>26257</v>
      </c>
    </row>
    <row r="10716" spans="1:4">
      <c r="A10716">
        <v>39430</v>
      </c>
      <c r="B10716" t="s">
        <v>11166</v>
      </c>
      <c r="C10716" t="s">
        <v>427</v>
      </c>
      <c r="D10716" t="s">
        <v>18839</v>
      </c>
    </row>
    <row r="10717" spans="1:4">
      <c r="A10717">
        <v>39573</v>
      </c>
      <c r="B10717" t="s">
        <v>11167</v>
      </c>
      <c r="C10717" t="s">
        <v>427</v>
      </c>
      <c r="D10717" t="s">
        <v>26258</v>
      </c>
    </row>
    <row r="10718" spans="1:4">
      <c r="A10718">
        <v>38410</v>
      </c>
      <c r="B10718" t="s">
        <v>11168</v>
      </c>
      <c r="C10718" t="s">
        <v>427</v>
      </c>
      <c r="D10718" t="s">
        <v>26259</v>
      </c>
    </row>
    <row r="10719" spans="1:4">
      <c r="A10719">
        <v>41596</v>
      </c>
      <c r="B10719" t="s">
        <v>11169</v>
      </c>
      <c r="C10719" t="s">
        <v>430</v>
      </c>
      <c r="D10719" t="s">
        <v>24581</v>
      </c>
    </row>
    <row r="10720" spans="1:4">
      <c r="A10720">
        <v>41598</v>
      </c>
      <c r="B10720" t="s">
        <v>11170</v>
      </c>
      <c r="C10720" t="s">
        <v>430</v>
      </c>
      <c r="D10720" t="s">
        <v>24581</v>
      </c>
    </row>
    <row r="10721" spans="1:4">
      <c r="A10721">
        <v>41594</v>
      </c>
      <c r="B10721" t="s">
        <v>11171</v>
      </c>
      <c r="C10721" t="s">
        <v>430</v>
      </c>
      <c r="D10721" t="s">
        <v>25392</v>
      </c>
    </row>
    <row r="10722" spans="1:4">
      <c r="A10722">
        <v>43663</v>
      </c>
      <c r="B10722" t="s">
        <v>11172</v>
      </c>
      <c r="C10722" t="s">
        <v>430</v>
      </c>
      <c r="D10722" t="s">
        <v>19131</v>
      </c>
    </row>
    <row r="10723" spans="1:4">
      <c r="A10723">
        <v>4766</v>
      </c>
      <c r="B10723" t="s">
        <v>11173</v>
      </c>
      <c r="C10723" t="s">
        <v>430</v>
      </c>
      <c r="D10723" t="s">
        <v>18063</v>
      </c>
    </row>
    <row r="10724" spans="1:4">
      <c r="A10724">
        <v>43664</v>
      </c>
      <c r="B10724" t="s">
        <v>11174</v>
      </c>
      <c r="C10724" t="s">
        <v>430</v>
      </c>
      <c r="D10724" t="s">
        <v>19290</v>
      </c>
    </row>
    <row r="10725" spans="1:4">
      <c r="A10725">
        <v>43082</v>
      </c>
      <c r="B10725" t="s">
        <v>11175</v>
      </c>
      <c r="C10725" t="s">
        <v>430</v>
      </c>
      <c r="D10725" t="s">
        <v>21870</v>
      </c>
    </row>
    <row r="10726" spans="1:4">
      <c r="A10726">
        <v>43665</v>
      </c>
      <c r="B10726" t="s">
        <v>11176</v>
      </c>
      <c r="C10726" t="s">
        <v>430</v>
      </c>
      <c r="D10726" t="s">
        <v>18063</v>
      </c>
    </row>
    <row r="10727" spans="1:4">
      <c r="A10727">
        <v>10966</v>
      </c>
      <c r="B10727" t="s">
        <v>11177</v>
      </c>
      <c r="C10727" t="s">
        <v>430</v>
      </c>
      <c r="D10727" t="s">
        <v>19131</v>
      </c>
    </row>
    <row r="10728" spans="1:4">
      <c r="A10728">
        <v>43692</v>
      </c>
      <c r="B10728" t="s">
        <v>11178</v>
      </c>
      <c r="C10728" t="s">
        <v>430</v>
      </c>
      <c r="D10728" t="s">
        <v>19131</v>
      </c>
    </row>
    <row r="10729" spans="1:4">
      <c r="A10729">
        <v>43083</v>
      </c>
      <c r="B10729" t="s">
        <v>11179</v>
      </c>
      <c r="C10729" t="s">
        <v>430</v>
      </c>
      <c r="D10729" t="s">
        <v>18189</v>
      </c>
    </row>
    <row r="10730" spans="1:4">
      <c r="A10730">
        <v>40535</v>
      </c>
      <c r="B10730" t="s">
        <v>11180</v>
      </c>
      <c r="C10730" t="s">
        <v>430</v>
      </c>
      <c r="D10730" t="s">
        <v>18189</v>
      </c>
    </row>
    <row r="10731" spans="1:4">
      <c r="A10731">
        <v>39427</v>
      </c>
      <c r="B10731" t="s">
        <v>11181</v>
      </c>
      <c r="C10731" t="s">
        <v>429</v>
      </c>
      <c r="D10731" t="s">
        <v>14758</v>
      </c>
    </row>
    <row r="10732" spans="1:4">
      <c r="A10732">
        <v>39424</v>
      </c>
      <c r="B10732" t="s">
        <v>11182</v>
      </c>
      <c r="C10732" t="s">
        <v>429</v>
      </c>
      <c r="D10732" t="s">
        <v>22689</v>
      </c>
    </row>
    <row r="10733" spans="1:4">
      <c r="A10733">
        <v>39425</v>
      </c>
      <c r="B10733" t="s">
        <v>11183</v>
      </c>
      <c r="C10733" t="s">
        <v>429</v>
      </c>
      <c r="D10733" t="s">
        <v>15311</v>
      </c>
    </row>
    <row r="10734" spans="1:4">
      <c r="A10734">
        <v>40664</v>
      </c>
      <c r="B10734" t="s">
        <v>11184</v>
      </c>
      <c r="C10734" t="s">
        <v>430</v>
      </c>
      <c r="D10734" t="s">
        <v>17817</v>
      </c>
    </row>
    <row r="10735" spans="1:4">
      <c r="A10735">
        <v>34360</v>
      </c>
      <c r="B10735" t="s">
        <v>11185</v>
      </c>
      <c r="C10735" t="s">
        <v>430</v>
      </c>
      <c r="D10735" t="s">
        <v>26260</v>
      </c>
    </row>
    <row r="10736" spans="1:4">
      <c r="A10736">
        <v>20259</v>
      </c>
      <c r="B10736" t="s">
        <v>11186</v>
      </c>
      <c r="C10736" t="s">
        <v>429</v>
      </c>
      <c r="D10736" t="s">
        <v>18063</v>
      </c>
    </row>
    <row r="10737" spans="1:4">
      <c r="A10737">
        <v>14077</v>
      </c>
      <c r="B10737" t="s">
        <v>11187</v>
      </c>
      <c r="C10737" t="s">
        <v>429</v>
      </c>
      <c r="D10737" t="s">
        <v>26261</v>
      </c>
    </row>
    <row r="10738" spans="1:4">
      <c r="A10738">
        <v>3678</v>
      </c>
      <c r="B10738" t="s">
        <v>11188</v>
      </c>
      <c r="C10738" t="s">
        <v>429</v>
      </c>
      <c r="D10738" t="s">
        <v>26262</v>
      </c>
    </row>
    <row r="10739" spans="1:4">
      <c r="A10739">
        <v>39418</v>
      </c>
      <c r="B10739" t="s">
        <v>11189</v>
      </c>
      <c r="C10739" t="s">
        <v>429</v>
      </c>
      <c r="D10739" t="s">
        <v>26263</v>
      </c>
    </row>
    <row r="10740" spans="1:4">
      <c r="A10740">
        <v>39419</v>
      </c>
      <c r="B10740" t="s">
        <v>11190</v>
      </c>
      <c r="C10740" t="s">
        <v>429</v>
      </c>
      <c r="D10740" t="s">
        <v>15998</v>
      </c>
    </row>
    <row r="10741" spans="1:4">
      <c r="A10741">
        <v>39420</v>
      </c>
      <c r="B10741" t="s">
        <v>11191</v>
      </c>
      <c r="C10741" t="s">
        <v>429</v>
      </c>
      <c r="D10741" t="s">
        <v>15717</v>
      </c>
    </row>
    <row r="10742" spans="1:4">
      <c r="A10742">
        <v>39571</v>
      </c>
      <c r="B10742" t="s">
        <v>13492</v>
      </c>
      <c r="C10742" t="s">
        <v>429</v>
      </c>
      <c r="D10742" t="s">
        <v>26264</v>
      </c>
    </row>
    <row r="10743" spans="1:4">
      <c r="A10743">
        <v>39421</v>
      </c>
      <c r="B10743" t="s">
        <v>11192</v>
      </c>
      <c r="C10743" t="s">
        <v>429</v>
      </c>
      <c r="D10743" t="s">
        <v>22046</v>
      </c>
    </row>
    <row r="10744" spans="1:4">
      <c r="A10744">
        <v>39422</v>
      </c>
      <c r="B10744" t="s">
        <v>11193</v>
      </c>
      <c r="C10744" t="s">
        <v>429</v>
      </c>
      <c r="D10744" t="s">
        <v>19249</v>
      </c>
    </row>
    <row r="10745" spans="1:4">
      <c r="A10745">
        <v>39423</v>
      </c>
      <c r="B10745" t="s">
        <v>11194</v>
      </c>
      <c r="C10745" t="s">
        <v>429</v>
      </c>
      <c r="D10745" t="s">
        <v>16322</v>
      </c>
    </row>
    <row r="10746" spans="1:4">
      <c r="A10746">
        <v>39426</v>
      </c>
      <c r="B10746" t="s">
        <v>11195</v>
      </c>
      <c r="C10746" t="s">
        <v>429</v>
      </c>
      <c r="D10746" t="s">
        <v>23004</v>
      </c>
    </row>
    <row r="10747" spans="1:4">
      <c r="A10747">
        <v>39429</v>
      </c>
      <c r="B10747" t="s">
        <v>11196</v>
      </c>
      <c r="C10747" t="s">
        <v>429</v>
      </c>
      <c r="D10747" t="s">
        <v>22070</v>
      </c>
    </row>
    <row r="10748" spans="1:4">
      <c r="A10748">
        <v>39428</v>
      </c>
      <c r="B10748" t="s">
        <v>11197</v>
      </c>
      <c r="C10748" t="s">
        <v>429</v>
      </c>
      <c r="D10748" t="s">
        <v>19594</v>
      </c>
    </row>
    <row r="10749" spans="1:4">
      <c r="A10749">
        <v>39572</v>
      </c>
      <c r="B10749" t="s">
        <v>11198</v>
      </c>
      <c r="C10749" t="s">
        <v>429</v>
      </c>
      <c r="D10749" t="s">
        <v>15768</v>
      </c>
    </row>
    <row r="10750" spans="1:4">
      <c r="A10750">
        <v>39570</v>
      </c>
      <c r="B10750" t="s">
        <v>11199</v>
      </c>
      <c r="C10750" t="s">
        <v>429</v>
      </c>
      <c r="D10750" t="s">
        <v>25534</v>
      </c>
    </row>
    <row r="10751" spans="1:4">
      <c r="A10751">
        <v>39569</v>
      </c>
      <c r="B10751" t="s">
        <v>11200</v>
      </c>
      <c r="C10751" t="s">
        <v>429</v>
      </c>
      <c r="D10751" t="s">
        <v>17190</v>
      </c>
    </row>
    <row r="10752" spans="1:4">
      <c r="A10752">
        <v>11552</v>
      </c>
      <c r="B10752" t="s">
        <v>11201</v>
      </c>
      <c r="C10752" t="s">
        <v>429</v>
      </c>
      <c r="D10752" t="s">
        <v>23007</v>
      </c>
    </row>
    <row r="10753" spans="1:4">
      <c r="A10753">
        <v>40598</v>
      </c>
      <c r="B10753" t="s">
        <v>11202</v>
      </c>
      <c r="C10753" t="s">
        <v>430</v>
      </c>
      <c r="D10753" t="s">
        <v>19262</v>
      </c>
    </row>
    <row r="10754" spans="1:4">
      <c r="A10754">
        <v>39029</v>
      </c>
      <c r="B10754" t="s">
        <v>11203</v>
      </c>
      <c r="C10754" t="s">
        <v>429</v>
      </c>
      <c r="D10754" t="s">
        <v>25382</v>
      </c>
    </row>
    <row r="10755" spans="1:4">
      <c r="A10755">
        <v>39028</v>
      </c>
      <c r="B10755" t="s">
        <v>11204</v>
      </c>
      <c r="C10755" t="s">
        <v>429</v>
      </c>
      <c r="D10755" t="s">
        <v>19599</v>
      </c>
    </row>
    <row r="10756" spans="1:4">
      <c r="A10756">
        <v>39328</v>
      </c>
      <c r="B10756" t="s">
        <v>11205</v>
      </c>
      <c r="C10756" t="s">
        <v>429</v>
      </c>
      <c r="D10756" t="s">
        <v>20327</v>
      </c>
    </row>
    <row r="10757" spans="1:4">
      <c r="A10757">
        <v>38541</v>
      </c>
      <c r="B10757" t="s">
        <v>11206</v>
      </c>
      <c r="C10757" t="s">
        <v>427</v>
      </c>
      <c r="D10757" t="s">
        <v>26265</v>
      </c>
    </row>
    <row r="10758" spans="1:4">
      <c r="A10758">
        <v>38542</v>
      </c>
      <c r="B10758" t="s">
        <v>11207</v>
      </c>
      <c r="C10758" t="s">
        <v>427</v>
      </c>
      <c r="D10758" t="s">
        <v>26266</v>
      </c>
    </row>
    <row r="10759" spans="1:4">
      <c r="A10759">
        <v>38543</v>
      </c>
      <c r="B10759" t="s">
        <v>11208</v>
      </c>
      <c r="C10759" t="s">
        <v>427</v>
      </c>
      <c r="D10759" t="s">
        <v>26267</v>
      </c>
    </row>
    <row r="10760" spans="1:4">
      <c r="A10760">
        <v>40406</v>
      </c>
      <c r="B10760" t="s">
        <v>11209</v>
      </c>
      <c r="C10760" t="s">
        <v>427</v>
      </c>
      <c r="D10760" t="s">
        <v>26268</v>
      </c>
    </row>
    <row r="10761" spans="1:4">
      <c r="A10761">
        <v>40789</v>
      </c>
      <c r="B10761" t="s">
        <v>11210</v>
      </c>
      <c r="C10761" t="s">
        <v>427</v>
      </c>
      <c r="D10761" t="s">
        <v>26269</v>
      </c>
    </row>
    <row r="10762" spans="1:4">
      <c r="A10762">
        <v>40791</v>
      </c>
      <c r="B10762" t="s">
        <v>11211</v>
      </c>
      <c r="C10762" t="s">
        <v>427</v>
      </c>
      <c r="D10762" t="s">
        <v>26270</v>
      </c>
    </row>
    <row r="10763" spans="1:4">
      <c r="A10763">
        <v>11651</v>
      </c>
      <c r="B10763" t="s">
        <v>11212</v>
      </c>
      <c r="C10763" t="s">
        <v>427</v>
      </c>
      <c r="D10763" t="s">
        <v>26271</v>
      </c>
    </row>
    <row r="10764" spans="1:4">
      <c r="A10764">
        <v>40435</v>
      </c>
      <c r="B10764" t="s">
        <v>11213</v>
      </c>
      <c r="C10764" t="s">
        <v>427</v>
      </c>
      <c r="D10764" t="s">
        <v>26272</v>
      </c>
    </row>
    <row r="10765" spans="1:4">
      <c r="A10765">
        <v>39012</v>
      </c>
      <c r="B10765" t="s">
        <v>11214</v>
      </c>
      <c r="C10765" t="s">
        <v>427</v>
      </c>
      <c r="D10765" t="s">
        <v>26273</v>
      </c>
    </row>
    <row r="10766" spans="1:4">
      <c r="A10766">
        <v>13617</v>
      </c>
      <c r="B10766" t="s">
        <v>11215</v>
      </c>
      <c r="C10766" t="s">
        <v>427</v>
      </c>
      <c r="D10766" t="s">
        <v>26274</v>
      </c>
    </row>
    <row r="10767" spans="1:4">
      <c r="A10767">
        <v>35274</v>
      </c>
      <c r="B10767" t="s">
        <v>11216</v>
      </c>
      <c r="C10767" t="s">
        <v>429</v>
      </c>
      <c r="D10767" t="s">
        <v>26275</v>
      </c>
    </row>
    <row r="10768" spans="1:4">
      <c r="A10768">
        <v>35275</v>
      </c>
      <c r="B10768" t="s">
        <v>11217</v>
      </c>
      <c r="C10768" t="s">
        <v>429</v>
      </c>
      <c r="D10768" t="s">
        <v>22738</v>
      </c>
    </row>
    <row r="10769" spans="1:4">
      <c r="A10769">
        <v>35276</v>
      </c>
      <c r="B10769" t="s">
        <v>11218</v>
      </c>
      <c r="C10769" t="s">
        <v>429</v>
      </c>
      <c r="D10769" t="s">
        <v>25635</v>
      </c>
    </row>
    <row r="10770" spans="1:4">
      <c r="A10770">
        <v>38386</v>
      </c>
      <c r="B10770" t="s">
        <v>11219</v>
      </c>
      <c r="C10770" t="s">
        <v>427</v>
      </c>
      <c r="D10770" t="s">
        <v>23559</v>
      </c>
    </row>
    <row r="10771" spans="1:4">
      <c r="A10771">
        <v>11091</v>
      </c>
      <c r="B10771" t="s">
        <v>11220</v>
      </c>
      <c r="C10771" t="s">
        <v>427</v>
      </c>
      <c r="D10771" t="s">
        <v>19542</v>
      </c>
    </row>
    <row r="10772" spans="1:4">
      <c r="A10772">
        <v>37586</v>
      </c>
      <c r="B10772" t="s">
        <v>11221</v>
      </c>
      <c r="C10772" t="s">
        <v>440</v>
      </c>
      <c r="D10772" t="s">
        <v>26276</v>
      </c>
    </row>
    <row r="10773" spans="1:4">
      <c r="A10773">
        <v>37395</v>
      </c>
      <c r="B10773" t="s">
        <v>11222</v>
      </c>
      <c r="C10773" t="s">
        <v>440</v>
      </c>
      <c r="D10773" t="s">
        <v>18361</v>
      </c>
    </row>
    <row r="10774" spans="1:4">
      <c r="A10774">
        <v>14147</v>
      </c>
      <c r="B10774" t="s">
        <v>11223</v>
      </c>
      <c r="C10774" t="s">
        <v>440</v>
      </c>
      <c r="D10774" t="s">
        <v>16710</v>
      </c>
    </row>
    <row r="10775" spans="1:4">
      <c r="A10775">
        <v>37396</v>
      </c>
      <c r="B10775" t="s">
        <v>11224</v>
      </c>
      <c r="C10775" t="s">
        <v>440</v>
      </c>
      <c r="D10775" t="s">
        <v>19745</v>
      </c>
    </row>
    <row r="10776" spans="1:4">
      <c r="A10776">
        <v>37397</v>
      </c>
      <c r="B10776" t="s">
        <v>11225</v>
      </c>
      <c r="C10776" t="s">
        <v>440</v>
      </c>
      <c r="D10776" t="s">
        <v>22532</v>
      </c>
    </row>
    <row r="10777" spans="1:4">
      <c r="A10777">
        <v>43606</v>
      </c>
      <c r="B10777" t="s">
        <v>11226</v>
      </c>
      <c r="C10777" t="s">
        <v>427</v>
      </c>
      <c r="D10777" t="s">
        <v>18043</v>
      </c>
    </row>
    <row r="10778" spans="1:4">
      <c r="A10778">
        <v>444</v>
      </c>
      <c r="B10778" t="s">
        <v>11227</v>
      </c>
      <c r="C10778" t="s">
        <v>427</v>
      </c>
      <c r="D10778" t="s">
        <v>26277</v>
      </c>
    </row>
    <row r="10779" spans="1:4">
      <c r="A10779">
        <v>445</v>
      </c>
      <c r="B10779" t="s">
        <v>11228</v>
      </c>
      <c r="C10779" t="s">
        <v>427</v>
      </c>
      <c r="D10779" t="s">
        <v>26278</v>
      </c>
    </row>
    <row r="10780" spans="1:4">
      <c r="A10780">
        <v>4783</v>
      </c>
      <c r="B10780" t="s">
        <v>20490</v>
      </c>
      <c r="C10780" t="s">
        <v>432</v>
      </c>
      <c r="D10780" t="s">
        <v>20265</v>
      </c>
    </row>
    <row r="10781" spans="1:4">
      <c r="A10781">
        <v>41079</v>
      </c>
      <c r="B10781" t="s">
        <v>11229</v>
      </c>
      <c r="C10781" t="s">
        <v>433</v>
      </c>
      <c r="D10781" t="s">
        <v>24644</v>
      </c>
    </row>
    <row r="10782" spans="1:4">
      <c r="A10782">
        <v>12874</v>
      </c>
      <c r="B10782" t="s">
        <v>20491</v>
      </c>
      <c r="C10782" t="s">
        <v>432</v>
      </c>
      <c r="D10782" t="s">
        <v>15531</v>
      </c>
    </row>
    <row r="10783" spans="1:4">
      <c r="A10783">
        <v>41082</v>
      </c>
      <c r="B10783" t="s">
        <v>11230</v>
      </c>
      <c r="C10783" t="s">
        <v>433</v>
      </c>
      <c r="D10783" t="s">
        <v>26279</v>
      </c>
    </row>
    <row r="10784" spans="1:4">
      <c r="A10784">
        <v>4785</v>
      </c>
      <c r="B10784" t="s">
        <v>20492</v>
      </c>
      <c r="C10784" t="s">
        <v>432</v>
      </c>
      <c r="D10784" t="s">
        <v>20265</v>
      </c>
    </row>
    <row r="10785" spans="1:4">
      <c r="A10785">
        <v>41081</v>
      </c>
      <c r="B10785" t="s">
        <v>11231</v>
      </c>
      <c r="C10785" t="s">
        <v>433</v>
      </c>
      <c r="D10785" t="s">
        <v>24644</v>
      </c>
    </row>
    <row r="10786" spans="1:4">
      <c r="A10786">
        <v>4801</v>
      </c>
      <c r="B10786" t="s">
        <v>11232</v>
      </c>
      <c r="C10786" t="s">
        <v>426</v>
      </c>
      <c r="D10786" t="s">
        <v>26280</v>
      </c>
    </row>
    <row r="10787" spans="1:4">
      <c r="A10787">
        <v>4794</v>
      </c>
      <c r="B10787" t="s">
        <v>11233</v>
      </c>
      <c r="C10787" t="s">
        <v>426</v>
      </c>
      <c r="D10787" t="s">
        <v>26281</v>
      </c>
    </row>
    <row r="10788" spans="1:4">
      <c r="A10788">
        <v>4796</v>
      </c>
      <c r="B10788" t="s">
        <v>11234</v>
      </c>
      <c r="C10788" t="s">
        <v>426</v>
      </c>
      <c r="D10788" t="s">
        <v>26282</v>
      </c>
    </row>
    <row r="10789" spans="1:4">
      <c r="A10789">
        <v>4800</v>
      </c>
      <c r="B10789" t="s">
        <v>11235</v>
      </c>
      <c r="C10789" t="s">
        <v>426</v>
      </c>
      <c r="D10789" t="s">
        <v>17406</v>
      </c>
    </row>
    <row r="10790" spans="1:4">
      <c r="A10790">
        <v>4795</v>
      </c>
      <c r="B10790" t="s">
        <v>11236</v>
      </c>
      <c r="C10790" t="s">
        <v>426</v>
      </c>
      <c r="D10790" t="s">
        <v>26283</v>
      </c>
    </row>
    <row r="10791" spans="1:4">
      <c r="A10791">
        <v>39694</v>
      </c>
      <c r="B10791" t="s">
        <v>11237</v>
      </c>
      <c r="C10791" t="s">
        <v>426</v>
      </c>
      <c r="D10791" t="s">
        <v>26284</v>
      </c>
    </row>
    <row r="10792" spans="1:4">
      <c r="A10792">
        <v>1292</v>
      </c>
      <c r="B10792" t="s">
        <v>11238</v>
      </c>
      <c r="C10792" t="s">
        <v>426</v>
      </c>
      <c r="D10792" t="s">
        <v>26285</v>
      </c>
    </row>
    <row r="10793" spans="1:4">
      <c r="A10793">
        <v>1287</v>
      </c>
      <c r="B10793" t="s">
        <v>11239</v>
      </c>
      <c r="C10793" t="s">
        <v>426</v>
      </c>
      <c r="D10793" t="s">
        <v>19140</v>
      </c>
    </row>
    <row r="10794" spans="1:4">
      <c r="A10794">
        <v>1297</v>
      </c>
      <c r="B10794" t="s">
        <v>11240</v>
      </c>
      <c r="C10794" t="s">
        <v>426</v>
      </c>
      <c r="D10794" t="s">
        <v>18667</v>
      </c>
    </row>
    <row r="10795" spans="1:4">
      <c r="A10795">
        <v>4786</v>
      </c>
      <c r="B10795" t="s">
        <v>11241</v>
      </c>
      <c r="C10795" t="s">
        <v>426</v>
      </c>
      <c r="D10795" t="s">
        <v>15556</v>
      </c>
    </row>
    <row r="10796" spans="1:4">
      <c r="A10796">
        <v>10840</v>
      </c>
      <c r="B10796" t="s">
        <v>11242</v>
      </c>
      <c r="C10796" t="s">
        <v>426</v>
      </c>
      <c r="D10796" t="s">
        <v>26286</v>
      </c>
    </row>
    <row r="10797" spans="1:4">
      <c r="A10797">
        <v>10841</v>
      </c>
      <c r="B10797" t="s">
        <v>11243</v>
      </c>
      <c r="C10797" t="s">
        <v>426</v>
      </c>
      <c r="D10797" t="s">
        <v>26287</v>
      </c>
    </row>
    <row r="10798" spans="1:4">
      <c r="A10798">
        <v>44540</v>
      </c>
      <c r="B10798" t="s">
        <v>13493</v>
      </c>
      <c r="C10798" t="s">
        <v>426</v>
      </c>
      <c r="D10798" t="s">
        <v>26288</v>
      </c>
    </row>
    <row r="10799" spans="1:4">
      <c r="A10799">
        <v>10842</v>
      </c>
      <c r="B10799" t="s">
        <v>11244</v>
      </c>
      <c r="C10799" t="s">
        <v>426</v>
      </c>
      <c r="D10799" t="s">
        <v>26289</v>
      </c>
    </row>
    <row r="10800" spans="1:4">
      <c r="A10800">
        <v>21108</v>
      </c>
      <c r="B10800" t="s">
        <v>11245</v>
      </c>
      <c r="C10800" t="s">
        <v>426</v>
      </c>
      <c r="D10800" t="s">
        <v>26290</v>
      </c>
    </row>
    <row r="10801" spans="1:4">
      <c r="A10801">
        <v>38180</v>
      </c>
      <c r="B10801" t="s">
        <v>11246</v>
      </c>
      <c r="C10801" t="s">
        <v>426</v>
      </c>
      <c r="D10801" t="s">
        <v>26291</v>
      </c>
    </row>
    <row r="10802" spans="1:4">
      <c r="A10802">
        <v>40648</v>
      </c>
      <c r="B10802" t="s">
        <v>11247</v>
      </c>
      <c r="C10802" t="s">
        <v>426</v>
      </c>
      <c r="D10802" t="s">
        <v>26292</v>
      </c>
    </row>
    <row r="10803" spans="1:4">
      <c r="A10803">
        <v>40649</v>
      </c>
      <c r="B10803" t="s">
        <v>11248</v>
      </c>
      <c r="C10803" t="s">
        <v>426</v>
      </c>
      <c r="D10803" t="s">
        <v>26293</v>
      </c>
    </row>
    <row r="10804" spans="1:4">
      <c r="A10804">
        <v>40650</v>
      </c>
      <c r="B10804" t="s">
        <v>11249</v>
      </c>
      <c r="C10804" t="s">
        <v>426</v>
      </c>
      <c r="D10804" t="s">
        <v>26294</v>
      </c>
    </row>
    <row r="10805" spans="1:4">
      <c r="A10805">
        <v>40651</v>
      </c>
      <c r="B10805" t="s">
        <v>11250</v>
      </c>
      <c r="C10805" t="s">
        <v>426</v>
      </c>
      <c r="D10805" t="s">
        <v>26295</v>
      </c>
    </row>
    <row r="10806" spans="1:4">
      <c r="A10806">
        <v>40652</v>
      </c>
      <c r="B10806" t="s">
        <v>11251</v>
      </c>
      <c r="C10806" t="s">
        <v>426</v>
      </c>
      <c r="D10806" t="s">
        <v>19039</v>
      </c>
    </row>
    <row r="10807" spans="1:4">
      <c r="A10807">
        <v>40647</v>
      </c>
      <c r="B10807" t="s">
        <v>11252</v>
      </c>
      <c r="C10807" t="s">
        <v>426</v>
      </c>
      <c r="D10807" t="s">
        <v>26296</v>
      </c>
    </row>
    <row r="10808" spans="1:4">
      <c r="A10808">
        <v>40653</v>
      </c>
      <c r="B10808" t="s">
        <v>11253</v>
      </c>
      <c r="C10808" t="s">
        <v>426</v>
      </c>
      <c r="D10808" t="s">
        <v>24044</v>
      </c>
    </row>
    <row r="10809" spans="1:4">
      <c r="A10809">
        <v>36178</v>
      </c>
      <c r="B10809" t="s">
        <v>11254</v>
      </c>
      <c r="C10809" t="s">
        <v>427</v>
      </c>
      <c r="D10809" t="s">
        <v>15168</v>
      </c>
    </row>
    <row r="10810" spans="1:4">
      <c r="A10810">
        <v>38195</v>
      </c>
      <c r="B10810" t="s">
        <v>11255</v>
      </c>
      <c r="C10810" t="s">
        <v>426</v>
      </c>
      <c r="D10810" t="s">
        <v>26297</v>
      </c>
    </row>
    <row r="10811" spans="1:4">
      <c r="A10811">
        <v>38181</v>
      </c>
      <c r="B10811" t="s">
        <v>11256</v>
      </c>
      <c r="C10811" t="s">
        <v>426</v>
      </c>
      <c r="D10811" t="s">
        <v>26298</v>
      </c>
    </row>
    <row r="10812" spans="1:4">
      <c r="A10812">
        <v>38182</v>
      </c>
      <c r="B10812" t="s">
        <v>11257</v>
      </c>
      <c r="C10812" t="s">
        <v>426</v>
      </c>
      <c r="D10812" t="s">
        <v>26299</v>
      </c>
    </row>
    <row r="10813" spans="1:4">
      <c r="A10813">
        <v>38186</v>
      </c>
      <c r="B10813" t="s">
        <v>11258</v>
      </c>
      <c r="C10813" t="s">
        <v>426</v>
      </c>
      <c r="D10813" t="s">
        <v>26300</v>
      </c>
    </row>
    <row r="10814" spans="1:4">
      <c r="A10814">
        <v>38185</v>
      </c>
      <c r="B10814" t="s">
        <v>11259</v>
      </c>
      <c r="C10814" t="s">
        <v>426</v>
      </c>
      <c r="D10814" t="s">
        <v>26301</v>
      </c>
    </row>
    <row r="10815" spans="1:4">
      <c r="A10815">
        <v>40654</v>
      </c>
      <c r="B10815" t="s">
        <v>11260</v>
      </c>
      <c r="C10815" t="s">
        <v>426</v>
      </c>
      <c r="D10815" t="s">
        <v>25610</v>
      </c>
    </row>
    <row r="10816" spans="1:4">
      <c r="A10816">
        <v>44541</v>
      </c>
      <c r="B10816" t="s">
        <v>13494</v>
      </c>
      <c r="C10816" t="s">
        <v>426</v>
      </c>
      <c r="D10816" t="s">
        <v>26302</v>
      </c>
    </row>
    <row r="10817" spans="1:4">
      <c r="A10817">
        <v>4822</v>
      </c>
      <c r="B10817" t="s">
        <v>11261</v>
      </c>
      <c r="C10817" t="s">
        <v>426</v>
      </c>
      <c r="D10817" t="s">
        <v>26303</v>
      </c>
    </row>
    <row r="10818" spans="1:4">
      <c r="A10818">
        <v>4818</v>
      </c>
      <c r="B10818" t="s">
        <v>11262</v>
      </c>
      <c r="C10818" t="s">
        <v>426</v>
      </c>
      <c r="D10818" t="s">
        <v>26304</v>
      </c>
    </row>
    <row r="10819" spans="1:4">
      <c r="A10819">
        <v>39567</v>
      </c>
      <c r="B10819" t="s">
        <v>11263</v>
      </c>
      <c r="C10819" t="s">
        <v>426</v>
      </c>
      <c r="D10819" t="s">
        <v>15534</v>
      </c>
    </row>
    <row r="10820" spans="1:4">
      <c r="A10820">
        <v>39566</v>
      </c>
      <c r="B10820" t="s">
        <v>11264</v>
      </c>
      <c r="C10820" t="s">
        <v>426</v>
      </c>
      <c r="D10820" t="s">
        <v>18086</v>
      </c>
    </row>
    <row r="10821" spans="1:4">
      <c r="A10821">
        <v>39416</v>
      </c>
      <c r="B10821" t="s">
        <v>11265</v>
      </c>
      <c r="C10821" t="s">
        <v>426</v>
      </c>
      <c r="D10821" t="s">
        <v>15614</v>
      </c>
    </row>
    <row r="10822" spans="1:4">
      <c r="A10822">
        <v>39417</v>
      </c>
      <c r="B10822" t="s">
        <v>11266</v>
      </c>
      <c r="C10822" t="s">
        <v>426</v>
      </c>
      <c r="D10822" t="s">
        <v>22626</v>
      </c>
    </row>
    <row r="10823" spans="1:4">
      <c r="A10823">
        <v>43742</v>
      </c>
      <c r="B10823" t="s">
        <v>11267</v>
      </c>
      <c r="C10823" t="s">
        <v>426</v>
      </c>
      <c r="D10823" t="s">
        <v>23187</v>
      </c>
    </row>
    <row r="10824" spans="1:4">
      <c r="A10824">
        <v>39414</v>
      </c>
      <c r="B10824" t="s">
        <v>11268</v>
      </c>
      <c r="C10824" t="s">
        <v>426</v>
      </c>
      <c r="D10824" t="s">
        <v>25519</v>
      </c>
    </row>
    <row r="10825" spans="1:4">
      <c r="A10825">
        <v>39415</v>
      </c>
      <c r="B10825" t="s">
        <v>11269</v>
      </c>
      <c r="C10825" t="s">
        <v>426</v>
      </c>
      <c r="D10825" t="s">
        <v>22960</v>
      </c>
    </row>
    <row r="10826" spans="1:4">
      <c r="A10826">
        <v>43740</v>
      </c>
      <c r="B10826" t="s">
        <v>11270</v>
      </c>
      <c r="C10826" t="s">
        <v>426</v>
      </c>
      <c r="D10826" t="s">
        <v>25825</v>
      </c>
    </row>
    <row r="10827" spans="1:4">
      <c r="A10827">
        <v>39412</v>
      </c>
      <c r="B10827" t="s">
        <v>11271</v>
      </c>
      <c r="C10827" t="s">
        <v>426</v>
      </c>
      <c r="D10827" t="s">
        <v>23093</v>
      </c>
    </row>
    <row r="10828" spans="1:4">
      <c r="A10828">
        <v>39413</v>
      </c>
      <c r="B10828" t="s">
        <v>11272</v>
      </c>
      <c r="C10828" t="s">
        <v>426</v>
      </c>
      <c r="D10828" t="s">
        <v>18226</v>
      </c>
    </row>
    <row r="10829" spans="1:4">
      <c r="A10829">
        <v>43741</v>
      </c>
      <c r="B10829" t="s">
        <v>11273</v>
      </c>
      <c r="C10829" t="s">
        <v>426</v>
      </c>
      <c r="D10829" t="s">
        <v>14846</v>
      </c>
    </row>
    <row r="10830" spans="1:4">
      <c r="A10830">
        <v>11062</v>
      </c>
      <c r="B10830" t="s">
        <v>11274</v>
      </c>
      <c r="C10830" t="s">
        <v>426</v>
      </c>
      <c r="D10830" t="s">
        <v>26305</v>
      </c>
    </row>
    <row r="10831" spans="1:4">
      <c r="A10831">
        <v>11063</v>
      </c>
      <c r="B10831" t="s">
        <v>11275</v>
      </c>
      <c r="C10831" t="s">
        <v>426</v>
      </c>
      <c r="D10831" t="s">
        <v>26306</v>
      </c>
    </row>
    <row r="10832" spans="1:4">
      <c r="A10832">
        <v>13521</v>
      </c>
      <c r="B10832" t="s">
        <v>11276</v>
      </c>
      <c r="C10832" t="s">
        <v>427</v>
      </c>
      <c r="D10832" t="s">
        <v>26307</v>
      </c>
    </row>
    <row r="10833" spans="1:4">
      <c r="A10833">
        <v>10851</v>
      </c>
      <c r="B10833" t="s">
        <v>11277</v>
      </c>
      <c r="C10833" t="s">
        <v>427</v>
      </c>
      <c r="D10833" t="s">
        <v>15624</v>
      </c>
    </row>
    <row r="10834" spans="1:4">
      <c r="A10834">
        <v>39515</v>
      </c>
      <c r="B10834" t="s">
        <v>11278</v>
      </c>
      <c r="C10834" t="s">
        <v>427</v>
      </c>
      <c r="D10834" t="s">
        <v>26308</v>
      </c>
    </row>
    <row r="10835" spans="1:4">
      <c r="A10835">
        <v>39516</v>
      </c>
      <c r="B10835" t="s">
        <v>11279</v>
      </c>
      <c r="C10835" t="s">
        <v>427</v>
      </c>
      <c r="D10835" t="s">
        <v>18362</v>
      </c>
    </row>
    <row r="10836" spans="1:4">
      <c r="A10836">
        <v>39514</v>
      </c>
      <c r="B10836" t="s">
        <v>11280</v>
      </c>
      <c r="C10836" t="s">
        <v>427</v>
      </c>
      <c r="D10836" t="s">
        <v>17446</v>
      </c>
    </row>
    <row r="10837" spans="1:4">
      <c r="A10837">
        <v>4812</v>
      </c>
      <c r="B10837" t="s">
        <v>11281</v>
      </c>
      <c r="C10837" t="s">
        <v>426</v>
      </c>
      <c r="D10837" t="s">
        <v>16928</v>
      </c>
    </row>
    <row r="10838" spans="1:4">
      <c r="A10838">
        <v>10849</v>
      </c>
      <c r="B10838" t="s">
        <v>11282</v>
      </c>
      <c r="C10838" t="s">
        <v>427</v>
      </c>
      <c r="D10838" t="s">
        <v>26309</v>
      </c>
    </row>
    <row r="10839" spans="1:4">
      <c r="A10839">
        <v>10848</v>
      </c>
      <c r="B10839" t="s">
        <v>11283</v>
      </c>
      <c r="C10839" t="s">
        <v>427</v>
      </c>
      <c r="D10839" t="s">
        <v>26310</v>
      </c>
    </row>
    <row r="10840" spans="1:4">
      <c r="A10840">
        <v>4813</v>
      </c>
      <c r="B10840" t="s">
        <v>13495</v>
      </c>
      <c r="C10840" t="s">
        <v>426</v>
      </c>
      <c r="D10840" t="s">
        <v>26311</v>
      </c>
    </row>
    <row r="10841" spans="1:4">
      <c r="A10841">
        <v>37560</v>
      </c>
      <c r="B10841" t="s">
        <v>11284</v>
      </c>
      <c r="C10841" t="s">
        <v>427</v>
      </c>
      <c r="D10841" t="s">
        <v>23982</v>
      </c>
    </row>
    <row r="10842" spans="1:4">
      <c r="A10842">
        <v>37557</v>
      </c>
      <c r="B10842" t="s">
        <v>11285</v>
      </c>
      <c r="C10842" t="s">
        <v>427</v>
      </c>
      <c r="D10842" t="s">
        <v>16932</v>
      </c>
    </row>
    <row r="10843" spans="1:4">
      <c r="A10843">
        <v>37556</v>
      </c>
      <c r="B10843" t="s">
        <v>11286</v>
      </c>
      <c r="C10843" t="s">
        <v>427</v>
      </c>
      <c r="D10843" t="s">
        <v>19218</v>
      </c>
    </row>
    <row r="10844" spans="1:4">
      <c r="A10844">
        <v>37559</v>
      </c>
      <c r="B10844" t="s">
        <v>11287</v>
      </c>
      <c r="C10844" t="s">
        <v>427</v>
      </c>
      <c r="D10844" t="s">
        <v>26312</v>
      </c>
    </row>
    <row r="10845" spans="1:4">
      <c r="A10845">
        <v>37539</v>
      </c>
      <c r="B10845" t="s">
        <v>11288</v>
      </c>
      <c r="C10845" t="s">
        <v>427</v>
      </c>
      <c r="D10845" t="s">
        <v>26313</v>
      </c>
    </row>
    <row r="10846" spans="1:4">
      <c r="A10846">
        <v>37558</v>
      </c>
      <c r="B10846" t="s">
        <v>11289</v>
      </c>
      <c r="C10846" t="s">
        <v>427</v>
      </c>
      <c r="D10846" t="s">
        <v>23126</v>
      </c>
    </row>
    <row r="10847" spans="1:4">
      <c r="A10847">
        <v>34723</v>
      </c>
      <c r="B10847" t="s">
        <v>11290</v>
      </c>
      <c r="C10847" t="s">
        <v>426</v>
      </c>
      <c r="D10847" t="s">
        <v>26314</v>
      </c>
    </row>
    <row r="10848" spans="1:4">
      <c r="A10848">
        <v>34721</v>
      </c>
      <c r="B10848" t="s">
        <v>11291</v>
      </c>
      <c r="C10848" t="s">
        <v>426</v>
      </c>
      <c r="D10848" t="s">
        <v>26315</v>
      </c>
    </row>
    <row r="10849" spans="1:4">
      <c r="A10849">
        <v>4309</v>
      </c>
      <c r="B10849" t="s">
        <v>11292</v>
      </c>
      <c r="C10849" t="s">
        <v>427</v>
      </c>
      <c r="D10849" t="s">
        <v>15486</v>
      </c>
    </row>
    <row r="10850" spans="1:4">
      <c r="A10850">
        <v>4307</v>
      </c>
      <c r="B10850" t="s">
        <v>11293</v>
      </c>
      <c r="C10850" t="s">
        <v>427</v>
      </c>
      <c r="D10850" t="s">
        <v>15943</v>
      </c>
    </row>
    <row r="10851" spans="1:4">
      <c r="A10851">
        <v>10850</v>
      </c>
      <c r="B10851" t="s">
        <v>11294</v>
      </c>
      <c r="C10851" t="s">
        <v>427</v>
      </c>
      <c r="D10851" t="s">
        <v>22669</v>
      </c>
    </row>
    <row r="10852" spans="1:4">
      <c r="A10852">
        <v>42438</v>
      </c>
      <c r="B10852" t="s">
        <v>11295</v>
      </c>
      <c r="C10852" t="s">
        <v>427</v>
      </c>
      <c r="D10852" t="s">
        <v>26316</v>
      </c>
    </row>
    <row r="10853" spans="1:4">
      <c r="A10853">
        <v>4792</v>
      </c>
      <c r="B10853" t="s">
        <v>11296</v>
      </c>
      <c r="C10853" t="s">
        <v>426</v>
      </c>
      <c r="D10853" t="s">
        <v>23928</v>
      </c>
    </row>
    <row r="10854" spans="1:4">
      <c r="A10854">
        <v>4790</v>
      </c>
      <c r="B10854" t="s">
        <v>11297</v>
      </c>
      <c r="C10854" t="s">
        <v>426</v>
      </c>
      <c r="D10854" t="s">
        <v>21690</v>
      </c>
    </row>
    <row r="10855" spans="1:4">
      <c r="A10855">
        <v>40671</v>
      </c>
      <c r="B10855" t="s">
        <v>11298</v>
      </c>
      <c r="C10855" t="s">
        <v>426</v>
      </c>
      <c r="D10855" t="s">
        <v>26317</v>
      </c>
    </row>
    <row r="10856" spans="1:4">
      <c r="A10856">
        <v>7552</v>
      </c>
      <c r="B10856" t="s">
        <v>11299</v>
      </c>
      <c r="C10856" t="s">
        <v>427</v>
      </c>
      <c r="D10856" t="s">
        <v>18637</v>
      </c>
    </row>
    <row r="10857" spans="1:4">
      <c r="A10857">
        <v>4893</v>
      </c>
      <c r="B10857" t="s">
        <v>11300</v>
      </c>
      <c r="C10857" t="s">
        <v>427</v>
      </c>
      <c r="D10857" t="s">
        <v>22072</v>
      </c>
    </row>
    <row r="10858" spans="1:4">
      <c r="A10858">
        <v>4894</v>
      </c>
      <c r="B10858" t="s">
        <v>11301</v>
      </c>
      <c r="C10858" t="s">
        <v>427</v>
      </c>
      <c r="D10858" t="s">
        <v>22045</v>
      </c>
    </row>
    <row r="10859" spans="1:4">
      <c r="A10859">
        <v>4888</v>
      </c>
      <c r="B10859" t="s">
        <v>11302</v>
      </c>
      <c r="C10859" t="s">
        <v>427</v>
      </c>
      <c r="D10859" t="s">
        <v>26318</v>
      </c>
    </row>
    <row r="10860" spans="1:4">
      <c r="A10860">
        <v>4890</v>
      </c>
      <c r="B10860" t="s">
        <v>11303</v>
      </c>
      <c r="C10860" t="s">
        <v>427</v>
      </c>
      <c r="D10860" t="s">
        <v>19128</v>
      </c>
    </row>
    <row r="10861" spans="1:4">
      <c r="A10861">
        <v>12411</v>
      </c>
      <c r="B10861" t="s">
        <v>11304</v>
      </c>
      <c r="C10861" t="s">
        <v>427</v>
      </c>
      <c r="D10861" t="s">
        <v>26319</v>
      </c>
    </row>
    <row r="10862" spans="1:4">
      <c r="A10862">
        <v>4891</v>
      </c>
      <c r="B10862" t="s">
        <v>11305</v>
      </c>
      <c r="C10862" t="s">
        <v>427</v>
      </c>
      <c r="D10862" t="s">
        <v>18102</v>
      </c>
    </row>
    <row r="10863" spans="1:4">
      <c r="A10863">
        <v>4889</v>
      </c>
      <c r="B10863" t="s">
        <v>11306</v>
      </c>
      <c r="C10863" t="s">
        <v>427</v>
      </c>
      <c r="D10863" t="s">
        <v>14822</v>
      </c>
    </row>
    <row r="10864" spans="1:4">
      <c r="A10864">
        <v>4892</v>
      </c>
      <c r="B10864" t="s">
        <v>11307</v>
      </c>
      <c r="C10864" t="s">
        <v>427</v>
      </c>
      <c r="D10864" t="s">
        <v>26320</v>
      </c>
    </row>
    <row r="10865" spans="1:4">
      <c r="A10865">
        <v>12412</v>
      </c>
      <c r="B10865" t="s">
        <v>11308</v>
      </c>
      <c r="C10865" t="s">
        <v>427</v>
      </c>
      <c r="D10865" t="s">
        <v>26321</v>
      </c>
    </row>
    <row r="10866" spans="1:4">
      <c r="A10866">
        <v>11073</v>
      </c>
      <c r="B10866" t="s">
        <v>11309</v>
      </c>
      <c r="C10866" t="s">
        <v>427</v>
      </c>
      <c r="D10866" t="s">
        <v>20379</v>
      </c>
    </row>
    <row r="10867" spans="1:4">
      <c r="A10867">
        <v>11071</v>
      </c>
      <c r="B10867" t="s">
        <v>11310</v>
      </c>
      <c r="C10867" t="s">
        <v>427</v>
      </c>
      <c r="D10867" t="s">
        <v>16910</v>
      </c>
    </row>
    <row r="10868" spans="1:4">
      <c r="A10868">
        <v>11072</v>
      </c>
      <c r="B10868" t="s">
        <v>11311</v>
      </c>
      <c r="C10868" t="s">
        <v>427</v>
      </c>
      <c r="D10868" t="s">
        <v>22442</v>
      </c>
    </row>
    <row r="10869" spans="1:4">
      <c r="A10869">
        <v>4895</v>
      </c>
      <c r="B10869" t="s">
        <v>11312</v>
      </c>
      <c r="C10869" t="s">
        <v>427</v>
      </c>
      <c r="D10869" t="s">
        <v>15760</v>
      </c>
    </row>
    <row r="10870" spans="1:4">
      <c r="A10870">
        <v>4907</v>
      </c>
      <c r="B10870" t="s">
        <v>11313</v>
      </c>
      <c r="C10870" t="s">
        <v>427</v>
      </c>
      <c r="D10870" t="s">
        <v>26322</v>
      </c>
    </row>
    <row r="10871" spans="1:4">
      <c r="A10871">
        <v>4902</v>
      </c>
      <c r="B10871" t="s">
        <v>11314</v>
      </c>
      <c r="C10871" t="s">
        <v>427</v>
      </c>
      <c r="D10871" t="s">
        <v>26323</v>
      </c>
    </row>
    <row r="10872" spans="1:4">
      <c r="A10872">
        <v>4908</v>
      </c>
      <c r="B10872" t="s">
        <v>11315</v>
      </c>
      <c r="C10872" t="s">
        <v>427</v>
      </c>
      <c r="D10872" t="s">
        <v>26324</v>
      </c>
    </row>
    <row r="10873" spans="1:4">
      <c r="A10873">
        <v>4909</v>
      </c>
      <c r="B10873" t="s">
        <v>11316</v>
      </c>
      <c r="C10873" t="s">
        <v>427</v>
      </c>
      <c r="D10873" t="s">
        <v>26325</v>
      </c>
    </row>
    <row r="10874" spans="1:4">
      <c r="A10874">
        <v>4903</v>
      </c>
      <c r="B10874" t="s">
        <v>11317</v>
      </c>
      <c r="C10874" t="s">
        <v>427</v>
      </c>
      <c r="D10874" t="s">
        <v>26326</v>
      </c>
    </row>
    <row r="10875" spans="1:4">
      <c r="A10875">
        <v>4897</v>
      </c>
      <c r="B10875" t="s">
        <v>11318</v>
      </c>
      <c r="C10875" t="s">
        <v>427</v>
      </c>
      <c r="D10875" t="s">
        <v>23606</v>
      </c>
    </row>
    <row r="10876" spans="1:4">
      <c r="A10876">
        <v>4896</v>
      </c>
      <c r="B10876" t="s">
        <v>11319</v>
      </c>
      <c r="C10876" t="s">
        <v>427</v>
      </c>
      <c r="D10876" t="s">
        <v>15472</v>
      </c>
    </row>
    <row r="10877" spans="1:4">
      <c r="A10877">
        <v>4900</v>
      </c>
      <c r="B10877" t="s">
        <v>11320</v>
      </c>
      <c r="C10877" t="s">
        <v>427</v>
      </c>
      <c r="D10877" t="s">
        <v>26327</v>
      </c>
    </row>
    <row r="10878" spans="1:4">
      <c r="A10878">
        <v>4898</v>
      </c>
      <c r="B10878" t="s">
        <v>11321</v>
      </c>
      <c r="C10878" t="s">
        <v>427</v>
      </c>
      <c r="D10878" t="s">
        <v>20097</v>
      </c>
    </row>
    <row r="10879" spans="1:4">
      <c r="A10879">
        <v>4899</v>
      </c>
      <c r="B10879" t="s">
        <v>11322</v>
      </c>
      <c r="C10879" t="s">
        <v>427</v>
      </c>
      <c r="D10879" t="s">
        <v>17181</v>
      </c>
    </row>
    <row r="10880" spans="1:4">
      <c r="A10880">
        <v>11096</v>
      </c>
      <c r="B10880" t="s">
        <v>11323</v>
      </c>
      <c r="C10880" t="s">
        <v>430</v>
      </c>
      <c r="D10880" t="s">
        <v>15829</v>
      </c>
    </row>
    <row r="10881" spans="1:4">
      <c r="A10881">
        <v>4741</v>
      </c>
      <c r="B10881" t="s">
        <v>11324</v>
      </c>
      <c r="C10881" t="s">
        <v>431</v>
      </c>
      <c r="D10881" t="s">
        <v>26247</v>
      </c>
    </row>
    <row r="10882" spans="1:4">
      <c r="A10882">
        <v>4752</v>
      </c>
      <c r="B10882" t="s">
        <v>11325</v>
      </c>
      <c r="C10882" t="s">
        <v>432</v>
      </c>
      <c r="D10882" t="s">
        <v>23550</v>
      </c>
    </row>
    <row r="10883" spans="1:4">
      <c r="A10883">
        <v>41091</v>
      </c>
      <c r="B10883" t="s">
        <v>11326</v>
      </c>
      <c r="C10883" t="s">
        <v>433</v>
      </c>
      <c r="D10883" t="s">
        <v>26196</v>
      </c>
    </row>
    <row r="10884" spans="1:4">
      <c r="A10884">
        <v>13954</v>
      </c>
      <c r="B10884" t="s">
        <v>11327</v>
      </c>
      <c r="C10884" t="s">
        <v>427</v>
      </c>
      <c r="D10884" t="s">
        <v>26328</v>
      </c>
    </row>
    <row r="10885" spans="1:4">
      <c r="A10885">
        <v>3411</v>
      </c>
      <c r="B10885" t="s">
        <v>11328</v>
      </c>
      <c r="C10885" t="s">
        <v>430</v>
      </c>
      <c r="D10885" t="s">
        <v>19492</v>
      </c>
    </row>
    <row r="10886" spans="1:4">
      <c r="A10886">
        <v>39995</v>
      </c>
      <c r="B10886" t="s">
        <v>11329</v>
      </c>
      <c r="C10886" t="s">
        <v>431</v>
      </c>
      <c r="D10886" t="s">
        <v>26329</v>
      </c>
    </row>
    <row r="10887" spans="1:4">
      <c r="A10887">
        <v>11615</v>
      </c>
      <c r="B10887" t="s">
        <v>11330</v>
      </c>
      <c r="C10887" t="s">
        <v>426</v>
      </c>
      <c r="D10887" t="s">
        <v>15450</v>
      </c>
    </row>
    <row r="10888" spans="1:4">
      <c r="A10888">
        <v>3408</v>
      </c>
      <c r="B10888" t="s">
        <v>11331</v>
      </c>
      <c r="C10888" t="s">
        <v>426</v>
      </c>
      <c r="D10888" t="s">
        <v>18036</v>
      </c>
    </row>
    <row r="10889" spans="1:4">
      <c r="A10889">
        <v>3409</v>
      </c>
      <c r="B10889" t="s">
        <v>11332</v>
      </c>
      <c r="C10889" t="s">
        <v>426</v>
      </c>
      <c r="D10889" t="s">
        <v>25996</v>
      </c>
    </row>
    <row r="10890" spans="1:4">
      <c r="A10890">
        <v>11427</v>
      </c>
      <c r="B10890" t="s">
        <v>11333</v>
      </c>
      <c r="C10890" t="s">
        <v>430</v>
      </c>
      <c r="D10890" t="s">
        <v>26330</v>
      </c>
    </row>
    <row r="10891" spans="1:4">
      <c r="A10891">
        <v>4491</v>
      </c>
      <c r="B10891" t="s">
        <v>11334</v>
      </c>
      <c r="C10891" t="s">
        <v>429</v>
      </c>
      <c r="D10891" t="s">
        <v>26331</v>
      </c>
    </row>
    <row r="10892" spans="1:4">
      <c r="A10892">
        <v>2745</v>
      </c>
      <c r="B10892" t="s">
        <v>11335</v>
      </c>
      <c r="C10892" t="s">
        <v>429</v>
      </c>
      <c r="D10892" t="s">
        <v>22032</v>
      </c>
    </row>
    <row r="10893" spans="1:4">
      <c r="A10893">
        <v>14439</v>
      </c>
      <c r="B10893" t="s">
        <v>11336</v>
      </c>
      <c r="C10893" t="s">
        <v>429</v>
      </c>
      <c r="D10893" t="s">
        <v>19184</v>
      </c>
    </row>
    <row r="10894" spans="1:4">
      <c r="A10894">
        <v>44496</v>
      </c>
      <c r="B10894" t="s">
        <v>13496</v>
      </c>
      <c r="C10894" t="s">
        <v>427</v>
      </c>
      <c r="D10894" t="s">
        <v>26332</v>
      </c>
    </row>
    <row r="10895" spans="1:4">
      <c r="A10895">
        <v>12362</v>
      </c>
      <c r="B10895" t="s">
        <v>11337</v>
      </c>
      <c r="C10895" t="s">
        <v>427</v>
      </c>
      <c r="D10895" t="s">
        <v>15200</v>
      </c>
    </row>
    <row r="10896" spans="1:4">
      <c r="A10896">
        <v>421</v>
      </c>
      <c r="B10896" t="s">
        <v>11338</v>
      </c>
      <c r="C10896" t="s">
        <v>427</v>
      </c>
      <c r="D10896" t="s">
        <v>26333</v>
      </c>
    </row>
    <row r="10897" spans="1:4">
      <c r="A10897">
        <v>14148</v>
      </c>
      <c r="B10897" t="s">
        <v>11339</v>
      </c>
      <c r="C10897" t="s">
        <v>427</v>
      </c>
      <c r="D10897" t="s">
        <v>15480</v>
      </c>
    </row>
    <row r="10898" spans="1:4">
      <c r="A10898">
        <v>4341</v>
      </c>
      <c r="B10898" t="s">
        <v>11340</v>
      </c>
      <c r="C10898" t="s">
        <v>427</v>
      </c>
      <c r="D10898" t="s">
        <v>15832</v>
      </c>
    </row>
    <row r="10899" spans="1:4">
      <c r="A10899">
        <v>4337</v>
      </c>
      <c r="B10899" t="s">
        <v>11341</v>
      </c>
      <c r="C10899" t="s">
        <v>427</v>
      </c>
      <c r="D10899" t="s">
        <v>26258</v>
      </c>
    </row>
    <row r="10900" spans="1:4">
      <c r="A10900">
        <v>4339</v>
      </c>
      <c r="B10900" t="s">
        <v>11342</v>
      </c>
      <c r="C10900" t="s">
        <v>427</v>
      </c>
      <c r="D10900" t="s">
        <v>15646</v>
      </c>
    </row>
    <row r="10901" spans="1:4">
      <c r="A10901">
        <v>39997</v>
      </c>
      <c r="B10901" t="s">
        <v>11343</v>
      </c>
      <c r="C10901" t="s">
        <v>427</v>
      </c>
      <c r="D10901" t="s">
        <v>20119</v>
      </c>
    </row>
    <row r="10902" spans="1:4">
      <c r="A10902">
        <v>11971</v>
      </c>
      <c r="B10902" t="s">
        <v>11344</v>
      </c>
      <c r="C10902" t="s">
        <v>427</v>
      </c>
      <c r="D10902" t="s">
        <v>26018</v>
      </c>
    </row>
    <row r="10903" spans="1:4">
      <c r="A10903">
        <v>4342</v>
      </c>
      <c r="B10903" t="s">
        <v>11345</v>
      </c>
      <c r="C10903" t="s">
        <v>427</v>
      </c>
      <c r="D10903" t="s">
        <v>15377</v>
      </c>
    </row>
    <row r="10904" spans="1:4">
      <c r="A10904">
        <v>4330</v>
      </c>
      <c r="B10904" t="s">
        <v>11346</v>
      </c>
      <c r="C10904" t="s">
        <v>427</v>
      </c>
      <c r="D10904" t="s">
        <v>15758</v>
      </c>
    </row>
    <row r="10905" spans="1:4">
      <c r="A10905">
        <v>4340</v>
      </c>
      <c r="B10905" t="s">
        <v>11347</v>
      </c>
      <c r="C10905" t="s">
        <v>427</v>
      </c>
      <c r="D10905" t="s">
        <v>14845</v>
      </c>
    </row>
    <row r="10906" spans="1:4">
      <c r="A10906">
        <v>5088</v>
      </c>
      <c r="B10906" t="s">
        <v>11348</v>
      </c>
      <c r="C10906" t="s">
        <v>427</v>
      </c>
      <c r="D10906" t="s">
        <v>19774</v>
      </c>
    </row>
    <row r="10907" spans="1:4">
      <c r="A10907">
        <v>11154</v>
      </c>
      <c r="B10907" t="s">
        <v>11349</v>
      </c>
      <c r="C10907" t="s">
        <v>427</v>
      </c>
      <c r="D10907" t="s">
        <v>26334</v>
      </c>
    </row>
    <row r="10908" spans="1:4">
      <c r="A10908">
        <v>4989</v>
      </c>
      <c r="B10908" t="s">
        <v>11350</v>
      </c>
      <c r="C10908" t="s">
        <v>427</v>
      </c>
      <c r="D10908" t="s">
        <v>26335</v>
      </c>
    </row>
    <row r="10909" spans="1:4">
      <c r="A10909">
        <v>4982</v>
      </c>
      <c r="B10909" t="s">
        <v>11351</v>
      </c>
      <c r="C10909" t="s">
        <v>427</v>
      </c>
      <c r="D10909" t="s">
        <v>26336</v>
      </c>
    </row>
    <row r="10910" spans="1:4">
      <c r="A10910">
        <v>4962</v>
      </c>
      <c r="B10910" t="s">
        <v>11352</v>
      </c>
      <c r="C10910" t="s">
        <v>427</v>
      </c>
      <c r="D10910" t="s">
        <v>26337</v>
      </c>
    </row>
    <row r="10911" spans="1:4">
      <c r="A10911">
        <v>4981</v>
      </c>
      <c r="B10911" t="s">
        <v>11353</v>
      </c>
      <c r="C10911" t="s">
        <v>427</v>
      </c>
      <c r="D10911" t="s">
        <v>26338</v>
      </c>
    </row>
    <row r="10912" spans="1:4">
      <c r="A10912">
        <v>4964</v>
      </c>
      <c r="B10912" t="s">
        <v>11354</v>
      </c>
      <c r="C10912" t="s">
        <v>427</v>
      </c>
      <c r="D10912" t="s">
        <v>26339</v>
      </c>
    </row>
    <row r="10913" spans="1:4">
      <c r="A10913">
        <v>4992</v>
      </c>
      <c r="B10913" t="s">
        <v>11355</v>
      </c>
      <c r="C10913" t="s">
        <v>427</v>
      </c>
      <c r="D10913" t="s">
        <v>26340</v>
      </c>
    </row>
    <row r="10914" spans="1:4">
      <c r="A10914">
        <v>4987</v>
      </c>
      <c r="B10914" t="s">
        <v>11356</v>
      </c>
      <c r="C10914" t="s">
        <v>427</v>
      </c>
      <c r="D10914" t="s">
        <v>26341</v>
      </c>
    </row>
    <row r="10915" spans="1:4">
      <c r="A10915">
        <v>4930</v>
      </c>
      <c r="B10915" t="s">
        <v>11357</v>
      </c>
      <c r="C10915" t="s">
        <v>426</v>
      </c>
      <c r="D10915" t="s">
        <v>26342</v>
      </c>
    </row>
    <row r="10916" spans="1:4">
      <c r="A10916">
        <v>39021</v>
      </c>
      <c r="B10916" t="s">
        <v>11358</v>
      </c>
      <c r="C10916" t="s">
        <v>427</v>
      </c>
      <c r="D10916" t="s">
        <v>26343</v>
      </c>
    </row>
    <row r="10917" spans="1:4">
      <c r="A10917">
        <v>39022</v>
      </c>
      <c r="B10917" t="s">
        <v>11359</v>
      </c>
      <c r="C10917" t="s">
        <v>427</v>
      </c>
      <c r="D10917" t="s">
        <v>26344</v>
      </c>
    </row>
    <row r="10918" spans="1:4">
      <c r="A10918">
        <v>39024</v>
      </c>
      <c r="B10918" t="s">
        <v>11360</v>
      </c>
      <c r="C10918" t="s">
        <v>427</v>
      </c>
      <c r="D10918" t="s">
        <v>26345</v>
      </c>
    </row>
    <row r="10919" spans="1:4">
      <c r="A10919">
        <v>4914</v>
      </c>
      <c r="B10919" t="s">
        <v>11361</v>
      </c>
      <c r="C10919" t="s">
        <v>426</v>
      </c>
      <c r="D10919" t="s">
        <v>26346</v>
      </c>
    </row>
    <row r="10920" spans="1:4">
      <c r="A10920">
        <v>4917</v>
      </c>
      <c r="B10920" t="s">
        <v>11362</v>
      </c>
      <c r="C10920" t="s">
        <v>426</v>
      </c>
      <c r="D10920" t="s">
        <v>26347</v>
      </c>
    </row>
    <row r="10921" spans="1:4">
      <c r="A10921">
        <v>39025</v>
      </c>
      <c r="B10921" t="s">
        <v>11363</v>
      </c>
      <c r="C10921" t="s">
        <v>427</v>
      </c>
      <c r="D10921" t="s">
        <v>26348</v>
      </c>
    </row>
    <row r="10922" spans="1:4">
      <c r="A10922">
        <v>4922</v>
      </c>
      <c r="B10922" t="s">
        <v>11364</v>
      </c>
      <c r="C10922" t="s">
        <v>426</v>
      </c>
      <c r="D10922" t="s">
        <v>26349</v>
      </c>
    </row>
    <row r="10923" spans="1:4">
      <c r="A10923">
        <v>4911</v>
      </c>
      <c r="B10923" t="s">
        <v>11365</v>
      </c>
      <c r="C10923" t="s">
        <v>426</v>
      </c>
      <c r="D10923" t="s">
        <v>26350</v>
      </c>
    </row>
    <row r="10924" spans="1:4">
      <c r="A10924">
        <v>37518</v>
      </c>
      <c r="B10924" t="s">
        <v>11366</v>
      </c>
      <c r="C10924" t="s">
        <v>426</v>
      </c>
      <c r="D10924" t="s">
        <v>26351</v>
      </c>
    </row>
    <row r="10925" spans="1:4">
      <c r="A10925">
        <v>4910</v>
      </c>
      <c r="B10925" t="s">
        <v>11367</v>
      </c>
      <c r="C10925" t="s">
        <v>426</v>
      </c>
      <c r="D10925" t="s">
        <v>26352</v>
      </c>
    </row>
    <row r="10926" spans="1:4">
      <c r="A10926">
        <v>4943</v>
      </c>
      <c r="B10926" t="s">
        <v>11368</v>
      </c>
      <c r="C10926" t="s">
        <v>426</v>
      </c>
      <c r="D10926" t="s">
        <v>26353</v>
      </c>
    </row>
    <row r="10927" spans="1:4">
      <c r="A10927">
        <v>5002</v>
      </c>
      <c r="B10927" t="s">
        <v>11369</v>
      </c>
      <c r="C10927" t="s">
        <v>426</v>
      </c>
      <c r="D10927" t="s">
        <v>26354</v>
      </c>
    </row>
    <row r="10928" spans="1:4">
      <c r="A10928">
        <v>4977</v>
      </c>
      <c r="B10928" t="s">
        <v>11370</v>
      </c>
      <c r="C10928" t="s">
        <v>426</v>
      </c>
      <c r="D10928" t="s">
        <v>26355</v>
      </c>
    </row>
    <row r="10929" spans="1:4">
      <c r="A10929">
        <v>5028</v>
      </c>
      <c r="B10929" t="s">
        <v>11371</v>
      </c>
      <c r="C10929" t="s">
        <v>426</v>
      </c>
      <c r="D10929" t="s">
        <v>26356</v>
      </c>
    </row>
    <row r="10930" spans="1:4">
      <c r="A10930">
        <v>4998</v>
      </c>
      <c r="B10930" t="s">
        <v>11372</v>
      </c>
      <c r="C10930" t="s">
        <v>426</v>
      </c>
      <c r="D10930" t="s">
        <v>26357</v>
      </c>
    </row>
    <row r="10931" spans="1:4">
      <c r="A10931">
        <v>4969</v>
      </c>
      <c r="B10931" t="s">
        <v>11373</v>
      </c>
      <c r="C10931" t="s">
        <v>426</v>
      </c>
      <c r="D10931" t="s">
        <v>26358</v>
      </c>
    </row>
    <row r="10932" spans="1:4">
      <c r="A10932">
        <v>11364</v>
      </c>
      <c r="B10932" t="s">
        <v>11374</v>
      </c>
      <c r="C10932" t="s">
        <v>427</v>
      </c>
      <c r="D10932" t="s">
        <v>26359</v>
      </c>
    </row>
    <row r="10933" spans="1:4">
      <c r="A10933">
        <v>11365</v>
      </c>
      <c r="B10933" t="s">
        <v>11375</v>
      </c>
      <c r="C10933" t="s">
        <v>427</v>
      </c>
      <c r="D10933" t="s">
        <v>26360</v>
      </c>
    </row>
    <row r="10934" spans="1:4">
      <c r="A10934">
        <v>11366</v>
      </c>
      <c r="B10934" t="s">
        <v>11376</v>
      </c>
      <c r="C10934" t="s">
        <v>427</v>
      </c>
      <c r="D10934" t="s">
        <v>25234</v>
      </c>
    </row>
    <row r="10935" spans="1:4">
      <c r="A10935">
        <v>43777</v>
      </c>
      <c r="B10935" t="s">
        <v>11377</v>
      </c>
      <c r="C10935" t="s">
        <v>427</v>
      </c>
      <c r="D10935" t="s">
        <v>26361</v>
      </c>
    </row>
    <row r="10936" spans="1:4">
      <c r="A10936">
        <v>20322</v>
      </c>
      <c r="B10936" t="s">
        <v>11378</v>
      </c>
      <c r="C10936" t="s">
        <v>427</v>
      </c>
      <c r="D10936" t="s">
        <v>26362</v>
      </c>
    </row>
    <row r="10937" spans="1:4">
      <c r="A10937">
        <v>10553</v>
      </c>
      <c r="B10937" t="s">
        <v>11379</v>
      </c>
      <c r="C10937" t="s">
        <v>427</v>
      </c>
      <c r="D10937" t="s">
        <v>26363</v>
      </c>
    </row>
    <row r="10938" spans="1:4">
      <c r="A10938">
        <v>5020</v>
      </c>
      <c r="B10938" t="s">
        <v>11380</v>
      </c>
      <c r="C10938" t="s">
        <v>427</v>
      </c>
      <c r="D10938" t="s">
        <v>26364</v>
      </c>
    </row>
    <row r="10939" spans="1:4">
      <c r="A10939">
        <v>10554</v>
      </c>
      <c r="B10939" t="s">
        <v>11381</v>
      </c>
      <c r="C10939" t="s">
        <v>427</v>
      </c>
      <c r="D10939" t="s">
        <v>26365</v>
      </c>
    </row>
    <row r="10940" spans="1:4">
      <c r="A10940">
        <v>10555</v>
      </c>
      <c r="B10940" t="s">
        <v>11382</v>
      </c>
      <c r="C10940" t="s">
        <v>427</v>
      </c>
      <c r="D10940" t="s">
        <v>26366</v>
      </c>
    </row>
    <row r="10941" spans="1:4">
      <c r="A10941">
        <v>10556</v>
      </c>
      <c r="B10941" t="s">
        <v>11383</v>
      </c>
      <c r="C10941" t="s">
        <v>427</v>
      </c>
      <c r="D10941" t="s">
        <v>23228</v>
      </c>
    </row>
    <row r="10942" spans="1:4">
      <c r="A10942">
        <v>39502</v>
      </c>
      <c r="B10942" t="s">
        <v>11384</v>
      </c>
      <c r="C10942" t="s">
        <v>427</v>
      </c>
      <c r="D10942" t="s">
        <v>26367</v>
      </c>
    </row>
    <row r="10943" spans="1:4">
      <c r="A10943">
        <v>39504</v>
      </c>
      <c r="B10943" t="s">
        <v>11385</v>
      </c>
      <c r="C10943" t="s">
        <v>427</v>
      </c>
      <c r="D10943" t="s">
        <v>26368</v>
      </c>
    </row>
    <row r="10944" spans="1:4">
      <c r="A10944">
        <v>39503</v>
      </c>
      <c r="B10944" t="s">
        <v>11386</v>
      </c>
      <c r="C10944" t="s">
        <v>427</v>
      </c>
      <c r="D10944" t="s">
        <v>26369</v>
      </c>
    </row>
    <row r="10945" spans="1:4">
      <c r="A10945">
        <v>39505</v>
      </c>
      <c r="B10945" t="s">
        <v>11387</v>
      </c>
      <c r="C10945" t="s">
        <v>427</v>
      </c>
      <c r="D10945" t="s">
        <v>26370</v>
      </c>
    </row>
    <row r="10946" spans="1:4">
      <c r="A10946">
        <v>44471</v>
      </c>
      <c r="B10946" t="s">
        <v>11388</v>
      </c>
      <c r="C10946" t="s">
        <v>427</v>
      </c>
      <c r="D10946" t="s">
        <v>26371</v>
      </c>
    </row>
    <row r="10947" spans="1:4">
      <c r="A10947">
        <v>4944</v>
      </c>
      <c r="B10947" t="s">
        <v>11389</v>
      </c>
      <c r="C10947" t="s">
        <v>426</v>
      </c>
      <c r="D10947" t="s">
        <v>26372</v>
      </c>
    </row>
    <row r="10948" spans="1:4">
      <c r="A10948">
        <v>21102</v>
      </c>
      <c r="B10948" t="s">
        <v>11390</v>
      </c>
      <c r="C10948" t="s">
        <v>427</v>
      </c>
      <c r="D10948" t="s">
        <v>23469</v>
      </c>
    </row>
    <row r="10949" spans="1:4">
      <c r="A10949">
        <v>21101</v>
      </c>
      <c r="B10949" t="s">
        <v>11391</v>
      </c>
      <c r="C10949" t="s">
        <v>427</v>
      </c>
      <c r="D10949" t="s">
        <v>26373</v>
      </c>
    </row>
    <row r="10950" spans="1:4">
      <c r="A10950">
        <v>34713</v>
      </c>
      <c r="B10950" t="s">
        <v>11392</v>
      </c>
      <c r="C10950" t="s">
        <v>426</v>
      </c>
      <c r="D10950" t="s">
        <v>26374</v>
      </c>
    </row>
    <row r="10951" spans="1:4">
      <c r="A10951">
        <v>37563</v>
      </c>
      <c r="B10951" t="s">
        <v>11393</v>
      </c>
      <c r="C10951" t="s">
        <v>426</v>
      </c>
      <c r="D10951" t="s">
        <v>26375</v>
      </c>
    </row>
    <row r="10952" spans="1:4">
      <c r="A10952">
        <v>4948</v>
      </c>
      <c r="B10952" t="s">
        <v>11394</v>
      </c>
      <c r="C10952" t="s">
        <v>426</v>
      </c>
      <c r="D10952" t="s">
        <v>26376</v>
      </c>
    </row>
    <row r="10953" spans="1:4">
      <c r="A10953">
        <v>37561</v>
      </c>
      <c r="B10953" t="s">
        <v>11395</v>
      </c>
      <c r="C10953" t="s">
        <v>426</v>
      </c>
      <c r="D10953" t="s">
        <v>26377</v>
      </c>
    </row>
    <row r="10954" spans="1:4">
      <c r="A10954">
        <v>37562</v>
      </c>
      <c r="B10954" t="s">
        <v>11396</v>
      </c>
      <c r="C10954" t="s">
        <v>426</v>
      </c>
      <c r="D10954" t="s">
        <v>26378</v>
      </c>
    </row>
    <row r="10955" spans="1:4">
      <c r="A10955">
        <v>14164</v>
      </c>
      <c r="B10955" t="s">
        <v>11397</v>
      </c>
      <c r="C10955" t="s">
        <v>427</v>
      </c>
      <c r="D10955" t="s">
        <v>26379</v>
      </c>
    </row>
    <row r="10956" spans="1:4">
      <c r="A10956">
        <v>14163</v>
      </c>
      <c r="B10956" t="s">
        <v>11398</v>
      </c>
      <c r="C10956" t="s">
        <v>427</v>
      </c>
      <c r="D10956" t="s">
        <v>26380</v>
      </c>
    </row>
    <row r="10957" spans="1:4">
      <c r="A10957">
        <v>5051</v>
      </c>
      <c r="B10957" t="s">
        <v>11399</v>
      </c>
      <c r="C10957" t="s">
        <v>427</v>
      </c>
      <c r="D10957" t="s">
        <v>26381</v>
      </c>
    </row>
    <row r="10958" spans="1:4">
      <c r="A10958">
        <v>14162</v>
      </c>
      <c r="B10958" t="s">
        <v>11400</v>
      </c>
      <c r="C10958" t="s">
        <v>427</v>
      </c>
      <c r="D10958" t="s">
        <v>26382</v>
      </c>
    </row>
    <row r="10959" spans="1:4">
      <c r="A10959">
        <v>5052</v>
      </c>
      <c r="B10959" t="s">
        <v>11401</v>
      </c>
      <c r="C10959" t="s">
        <v>427</v>
      </c>
      <c r="D10959" t="s">
        <v>26383</v>
      </c>
    </row>
    <row r="10960" spans="1:4">
      <c r="A10960">
        <v>14166</v>
      </c>
      <c r="B10960" t="s">
        <v>11402</v>
      </c>
      <c r="C10960" t="s">
        <v>427</v>
      </c>
      <c r="D10960" t="s">
        <v>26384</v>
      </c>
    </row>
    <row r="10961" spans="1:4">
      <c r="A10961">
        <v>14165</v>
      </c>
      <c r="B10961" t="s">
        <v>11403</v>
      </c>
      <c r="C10961" t="s">
        <v>427</v>
      </c>
      <c r="D10961" t="s">
        <v>26385</v>
      </c>
    </row>
    <row r="10962" spans="1:4">
      <c r="A10962">
        <v>5050</v>
      </c>
      <c r="B10962" t="s">
        <v>11404</v>
      </c>
      <c r="C10962" t="s">
        <v>427</v>
      </c>
      <c r="D10962" t="s">
        <v>26386</v>
      </c>
    </row>
    <row r="10963" spans="1:4">
      <c r="A10963">
        <v>12366</v>
      </c>
      <c r="B10963" t="s">
        <v>13497</v>
      </c>
      <c r="C10963" t="s">
        <v>427</v>
      </c>
      <c r="D10963" t="s">
        <v>26387</v>
      </c>
    </row>
    <row r="10964" spans="1:4">
      <c r="A10964">
        <v>5045</v>
      </c>
      <c r="B10964" t="s">
        <v>13498</v>
      </c>
      <c r="C10964" t="s">
        <v>427</v>
      </c>
      <c r="D10964" t="s">
        <v>26388</v>
      </c>
    </row>
    <row r="10965" spans="1:4">
      <c r="A10965">
        <v>5035</v>
      </c>
      <c r="B10965" t="s">
        <v>13499</v>
      </c>
      <c r="C10965" t="s">
        <v>427</v>
      </c>
      <c r="D10965" t="s">
        <v>26389</v>
      </c>
    </row>
    <row r="10966" spans="1:4">
      <c r="A10966">
        <v>41180</v>
      </c>
      <c r="B10966" t="s">
        <v>13500</v>
      </c>
      <c r="C10966" t="s">
        <v>427</v>
      </c>
      <c r="D10966" t="s">
        <v>26390</v>
      </c>
    </row>
    <row r="10967" spans="1:4">
      <c r="A10967">
        <v>41181</v>
      </c>
      <c r="B10967" t="s">
        <v>13501</v>
      </c>
      <c r="C10967" t="s">
        <v>427</v>
      </c>
      <c r="D10967" t="s">
        <v>26391</v>
      </c>
    </row>
    <row r="10968" spans="1:4">
      <c r="A10968">
        <v>41182</v>
      </c>
      <c r="B10968" t="s">
        <v>13502</v>
      </c>
      <c r="C10968" t="s">
        <v>427</v>
      </c>
      <c r="D10968" t="s">
        <v>26392</v>
      </c>
    </row>
    <row r="10969" spans="1:4">
      <c r="A10969">
        <v>41183</v>
      </c>
      <c r="B10969" t="s">
        <v>13503</v>
      </c>
      <c r="C10969" t="s">
        <v>427</v>
      </c>
      <c r="D10969" t="s">
        <v>26393</v>
      </c>
    </row>
    <row r="10970" spans="1:4">
      <c r="A10970">
        <v>41184</v>
      </c>
      <c r="B10970" t="s">
        <v>13504</v>
      </c>
      <c r="C10970" t="s">
        <v>427</v>
      </c>
      <c r="D10970" t="s">
        <v>26394</v>
      </c>
    </row>
    <row r="10971" spans="1:4">
      <c r="A10971">
        <v>41185</v>
      </c>
      <c r="B10971" t="s">
        <v>13505</v>
      </c>
      <c r="C10971" t="s">
        <v>427</v>
      </c>
      <c r="D10971" t="s">
        <v>26395</v>
      </c>
    </row>
    <row r="10972" spans="1:4">
      <c r="A10972">
        <v>41186</v>
      </c>
      <c r="B10972" t="s">
        <v>13506</v>
      </c>
      <c r="C10972" t="s">
        <v>427</v>
      </c>
      <c r="D10972" t="s">
        <v>26396</v>
      </c>
    </row>
    <row r="10973" spans="1:4">
      <c r="A10973">
        <v>41187</v>
      </c>
      <c r="B10973" t="s">
        <v>13507</v>
      </c>
      <c r="C10973" t="s">
        <v>427</v>
      </c>
      <c r="D10973" t="s">
        <v>26397</v>
      </c>
    </row>
    <row r="10974" spans="1:4">
      <c r="A10974">
        <v>41188</v>
      </c>
      <c r="B10974" t="s">
        <v>13508</v>
      </c>
      <c r="C10974" t="s">
        <v>427</v>
      </c>
      <c r="D10974" t="s">
        <v>26398</v>
      </c>
    </row>
    <row r="10975" spans="1:4">
      <c r="A10975">
        <v>5036</v>
      </c>
      <c r="B10975" t="s">
        <v>13509</v>
      </c>
      <c r="C10975" t="s">
        <v>427</v>
      </c>
      <c r="D10975" t="s">
        <v>26399</v>
      </c>
    </row>
    <row r="10976" spans="1:4">
      <c r="A10976">
        <v>41189</v>
      </c>
      <c r="B10976" t="s">
        <v>13510</v>
      </c>
      <c r="C10976" t="s">
        <v>427</v>
      </c>
      <c r="D10976" t="s">
        <v>26400</v>
      </c>
    </row>
    <row r="10977" spans="1:4">
      <c r="A10977">
        <v>41190</v>
      </c>
      <c r="B10977" t="s">
        <v>13511</v>
      </c>
      <c r="C10977" t="s">
        <v>427</v>
      </c>
      <c r="D10977" t="s">
        <v>26401</v>
      </c>
    </row>
    <row r="10978" spans="1:4">
      <c r="A10978">
        <v>41191</v>
      </c>
      <c r="B10978" t="s">
        <v>13512</v>
      </c>
      <c r="C10978" t="s">
        <v>427</v>
      </c>
      <c r="D10978" t="s">
        <v>26402</v>
      </c>
    </row>
    <row r="10979" spans="1:4">
      <c r="A10979">
        <v>41192</v>
      </c>
      <c r="B10979" t="s">
        <v>13513</v>
      </c>
      <c r="C10979" t="s">
        <v>427</v>
      </c>
      <c r="D10979" t="s">
        <v>26403</v>
      </c>
    </row>
    <row r="10980" spans="1:4">
      <c r="A10980">
        <v>41193</v>
      </c>
      <c r="B10980" t="s">
        <v>13514</v>
      </c>
      <c r="C10980" t="s">
        <v>427</v>
      </c>
      <c r="D10980" t="s">
        <v>26404</v>
      </c>
    </row>
    <row r="10981" spans="1:4">
      <c r="A10981">
        <v>41194</v>
      </c>
      <c r="B10981" t="s">
        <v>13515</v>
      </c>
      <c r="C10981" t="s">
        <v>427</v>
      </c>
      <c r="D10981" t="s">
        <v>26405</v>
      </c>
    </row>
    <row r="10982" spans="1:4">
      <c r="A10982">
        <v>5044</v>
      </c>
      <c r="B10982" t="s">
        <v>13516</v>
      </c>
      <c r="C10982" t="s">
        <v>427</v>
      </c>
      <c r="D10982" t="s">
        <v>26406</v>
      </c>
    </row>
    <row r="10983" spans="1:4">
      <c r="A10983">
        <v>5059</v>
      </c>
      <c r="B10983" t="s">
        <v>13517</v>
      </c>
      <c r="C10983" t="s">
        <v>427</v>
      </c>
      <c r="D10983" t="s">
        <v>26407</v>
      </c>
    </row>
    <row r="10984" spans="1:4">
      <c r="A10984">
        <v>41201</v>
      </c>
      <c r="B10984" t="s">
        <v>13518</v>
      </c>
      <c r="C10984" t="s">
        <v>427</v>
      </c>
      <c r="D10984" t="s">
        <v>26408</v>
      </c>
    </row>
    <row r="10985" spans="1:4">
      <c r="A10985">
        <v>41199</v>
      </c>
      <c r="B10985" t="s">
        <v>13519</v>
      </c>
      <c r="C10985" t="s">
        <v>427</v>
      </c>
      <c r="D10985" t="s">
        <v>26409</v>
      </c>
    </row>
    <row r="10986" spans="1:4">
      <c r="A10986">
        <v>5057</v>
      </c>
      <c r="B10986" t="s">
        <v>13520</v>
      </c>
      <c r="C10986" t="s">
        <v>427</v>
      </c>
      <c r="D10986" t="s">
        <v>26410</v>
      </c>
    </row>
    <row r="10987" spans="1:4">
      <c r="A10987">
        <v>41200</v>
      </c>
      <c r="B10987" t="s">
        <v>13521</v>
      </c>
      <c r="C10987" t="s">
        <v>427</v>
      </c>
      <c r="D10987" t="s">
        <v>26411</v>
      </c>
    </row>
    <row r="10988" spans="1:4">
      <c r="A10988">
        <v>41205</v>
      </c>
      <c r="B10988" t="s">
        <v>13522</v>
      </c>
      <c r="C10988" t="s">
        <v>427</v>
      </c>
      <c r="D10988" t="s">
        <v>26412</v>
      </c>
    </row>
    <row r="10989" spans="1:4">
      <c r="A10989">
        <v>41202</v>
      </c>
      <c r="B10989" t="s">
        <v>13523</v>
      </c>
      <c r="C10989" t="s">
        <v>427</v>
      </c>
      <c r="D10989" t="s">
        <v>26413</v>
      </c>
    </row>
    <row r="10990" spans="1:4">
      <c r="A10990">
        <v>41206</v>
      </c>
      <c r="B10990" t="s">
        <v>13524</v>
      </c>
      <c r="C10990" t="s">
        <v>427</v>
      </c>
      <c r="D10990" t="s">
        <v>26414</v>
      </c>
    </row>
    <row r="10991" spans="1:4">
      <c r="A10991">
        <v>12372</v>
      </c>
      <c r="B10991" t="s">
        <v>13525</v>
      </c>
      <c r="C10991" t="s">
        <v>427</v>
      </c>
      <c r="D10991" t="s">
        <v>26415</v>
      </c>
    </row>
    <row r="10992" spans="1:4">
      <c r="A10992">
        <v>41207</v>
      </c>
      <c r="B10992" t="s">
        <v>13526</v>
      </c>
      <c r="C10992" t="s">
        <v>427</v>
      </c>
      <c r="D10992" t="s">
        <v>26416</v>
      </c>
    </row>
    <row r="10993" spans="1:4">
      <c r="A10993">
        <v>41203</v>
      </c>
      <c r="B10993" t="s">
        <v>13527</v>
      </c>
      <c r="C10993" t="s">
        <v>427</v>
      </c>
      <c r="D10993" t="s">
        <v>26417</v>
      </c>
    </row>
    <row r="10994" spans="1:4">
      <c r="A10994">
        <v>41204</v>
      </c>
      <c r="B10994" t="s">
        <v>13528</v>
      </c>
      <c r="C10994" t="s">
        <v>427</v>
      </c>
      <c r="D10994" t="s">
        <v>26418</v>
      </c>
    </row>
    <row r="10995" spans="1:4">
      <c r="A10995">
        <v>41210</v>
      </c>
      <c r="B10995" t="s">
        <v>13529</v>
      </c>
      <c r="C10995" t="s">
        <v>427</v>
      </c>
      <c r="D10995" t="s">
        <v>26419</v>
      </c>
    </row>
    <row r="10996" spans="1:4">
      <c r="A10996">
        <v>41208</v>
      </c>
      <c r="B10996" t="s">
        <v>13530</v>
      </c>
      <c r="C10996" t="s">
        <v>427</v>
      </c>
      <c r="D10996" t="s">
        <v>26420</v>
      </c>
    </row>
    <row r="10997" spans="1:4">
      <c r="A10997">
        <v>41211</v>
      </c>
      <c r="B10997" t="s">
        <v>13531</v>
      </c>
      <c r="C10997" t="s">
        <v>427</v>
      </c>
      <c r="D10997" t="s">
        <v>26421</v>
      </c>
    </row>
    <row r="10998" spans="1:4">
      <c r="A10998">
        <v>13339</v>
      </c>
      <c r="B10998" t="s">
        <v>13532</v>
      </c>
      <c r="C10998" t="s">
        <v>427</v>
      </c>
      <c r="D10998" t="s">
        <v>26422</v>
      </c>
    </row>
    <row r="10999" spans="1:4">
      <c r="A10999">
        <v>41213</v>
      </c>
      <c r="B10999" t="s">
        <v>13533</v>
      </c>
      <c r="C10999" t="s">
        <v>427</v>
      </c>
      <c r="D10999" t="s">
        <v>26423</v>
      </c>
    </row>
    <row r="11000" spans="1:4">
      <c r="A11000">
        <v>41209</v>
      </c>
      <c r="B11000" t="s">
        <v>13534</v>
      </c>
      <c r="C11000" t="s">
        <v>427</v>
      </c>
      <c r="D11000" t="s">
        <v>26424</v>
      </c>
    </row>
    <row r="11001" spans="1:4">
      <c r="A11001">
        <v>41216</v>
      </c>
      <c r="B11001" t="s">
        <v>13535</v>
      </c>
      <c r="C11001" t="s">
        <v>427</v>
      </c>
      <c r="D11001" t="s">
        <v>26425</v>
      </c>
    </row>
    <row r="11002" spans="1:4">
      <c r="A11002">
        <v>41217</v>
      </c>
      <c r="B11002" t="s">
        <v>13536</v>
      </c>
      <c r="C11002" t="s">
        <v>427</v>
      </c>
      <c r="D11002" t="s">
        <v>26426</v>
      </c>
    </row>
    <row r="11003" spans="1:4">
      <c r="A11003">
        <v>41218</v>
      </c>
      <c r="B11003" t="s">
        <v>13537</v>
      </c>
      <c r="C11003" t="s">
        <v>427</v>
      </c>
      <c r="D11003" t="s">
        <v>26427</v>
      </c>
    </row>
    <row r="11004" spans="1:4">
      <c r="A11004">
        <v>41214</v>
      </c>
      <c r="B11004" t="s">
        <v>13538</v>
      </c>
      <c r="C11004" t="s">
        <v>427</v>
      </c>
      <c r="D11004" t="s">
        <v>26428</v>
      </c>
    </row>
    <row r="11005" spans="1:4">
      <c r="A11005">
        <v>41215</v>
      </c>
      <c r="B11005" t="s">
        <v>13539</v>
      </c>
      <c r="C11005" t="s">
        <v>427</v>
      </c>
      <c r="D11005" t="s">
        <v>26429</v>
      </c>
    </row>
    <row r="11006" spans="1:4">
      <c r="A11006">
        <v>41221</v>
      </c>
      <c r="B11006" t="s">
        <v>13540</v>
      </c>
      <c r="C11006" t="s">
        <v>427</v>
      </c>
      <c r="D11006" t="s">
        <v>26430</v>
      </c>
    </row>
    <row r="11007" spans="1:4">
      <c r="A11007">
        <v>41222</v>
      </c>
      <c r="B11007" t="s">
        <v>13541</v>
      </c>
      <c r="C11007" t="s">
        <v>427</v>
      </c>
      <c r="D11007" t="s">
        <v>26431</v>
      </c>
    </row>
    <row r="11008" spans="1:4">
      <c r="A11008">
        <v>41195</v>
      </c>
      <c r="B11008" t="s">
        <v>13542</v>
      </c>
      <c r="C11008" t="s">
        <v>427</v>
      </c>
      <c r="D11008" t="s">
        <v>26432</v>
      </c>
    </row>
    <row r="11009" spans="1:4">
      <c r="A11009">
        <v>41198</v>
      </c>
      <c r="B11009" t="s">
        <v>13543</v>
      </c>
      <c r="C11009" t="s">
        <v>427</v>
      </c>
      <c r="D11009" t="s">
        <v>26433</v>
      </c>
    </row>
    <row r="11010" spans="1:4">
      <c r="A11010">
        <v>41196</v>
      </c>
      <c r="B11010" t="s">
        <v>13544</v>
      </c>
      <c r="C11010" t="s">
        <v>427</v>
      </c>
      <c r="D11010" t="s">
        <v>26434</v>
      </c>
    </row>
    <row r="11011" spans="1:4">
      <c r="A11011">
        <v>5033</v>
      </c>
      <c r="B11011" t="s">
        <v>13545</v>
      </c>
      <c r="C11011" t="s">
        <v>427</v>
      </c>
      <c r="D11011" t="s">
        <v>26435</v>
      </c>
    </row>
    <row r="11012" spans="1:4">
      <c r="A11012">
        <v>41197</v>
      </c>
      <c r="B11012" t="s">
        <v>13546</v>
      </c>
      <c r="C11012" t="s">
        <v>427</v>
      </c>
      <c r="D11012" t="s">
        <v>26436</v>
      </c>
    </row>
    <row r="11013" spans="1:4">
      <c r="A11013">
        <v>12388</v>
      </c>
      <c r="B11013" t="s">
        <v>11405</v>
      </c>
      <c r="C11013" t="s">
        <v>427</v>
      </c>
      <c r="D11013" t="s">
        <v>26437</v>
      </c>
    </row>
    <row r="11014" spans="1:4">
      <c r="A11014">
        <v>2731</v>
      </c>
      <c r="B11014" t="s">
        <v>11406</v>
      </c>
      <c r="C11014" t="s">
        <v>429</v>
      </c>
      <c r="D11014" t="s">
        <v>26438</v>
      </c>
    </row>
    <row r="11015" spans="1:4">
      <c r="A11015">
        <v>41457</v>
      </c>
      <c r="B11015" t="s">
        <v>11407</v>
      </c>
      <c r="C11015" t="s">
        <v>427</v>
      </c>
      <c r="D11015" t="s">
        <v>26439</v>
      </c>
    </row>
    <row r="11016" spans="1:4">
      <c r="A11016">
        <v>41458</v>
      </c>
      <c r="B11016" t="s">
        <v>11408</v>
      </c>
      <c r="C11016" t="s">
        <v>427</v>
      </c>
      <c r="D11016" t="s">
        <v>26440</v>
      </c>
    </row>
    <row r="11017" spans="1:4">
      <c r="A11017">
        <v>41459</v>
      </c>
      <c r="B11017" t="s">
        <v>11409</v>
      </c>
      <c r="C11017" t="s">
        <v>427</v>
      </c>
      <c r="D11017" t="s">
        <v>26441</v>
      </c>
    </row>
    <row r="11018" spans="1:4">
      <c r="A11018">
        <v>41461</v>
      </c>
      <c r="B11018" t="s">
        <v>11410</v>
      </c>
      <c r="C11018" t="s">
        <v>427</v>
      </c>
      <c r="D11018" t="s">
        <v>26442</v>
      </c>
    </row>
    <row r="11019" spans="1:4">
      <c r="A11019">
        <v>44537</v>
      </c>
      <c r="B11019" t="s">
        <v>13547</v>
      </c>
      <c r="C11019" t="s">
        <v>437</v>
      </c>
      <c r="D11019" t="s">
        <v>26443</v>
      </c>
    </row>
    <row r="11020" spans="1:4">
      <c r="A11020">
        <v>11844</v>
      </c>
      <c r="B11020" t="s">
        <v>11411</v>
      </c>
      <c r="C11020" t="s">
        <v>429</v>
      </c>
      <c r="D11020" t="s">
        <v>18335</v>
      </c>
    </row>
    <row r="11021" spans="1:4">
      <c r="A11021">
        <v>4465</v>
      </c>
      <c r="B11021" t="s">
        <v>11412</v>
      </c>
      <c r="C11021" t="s">
        <v>429</v>
      </c>
      <c r="D11021" t="s">
        <v>25931</v>
      </c>
    </row>
    <row r="11022" spans="1:4">
      <c r="A11022">
        <v>35273</v>
      </c>
      <c r="B11022" t="s">
        <v>11413</v>
      </c>
      <c r="C11022" t="s">
        <v>429</v>
      </c>
      <c r="D11022" t="s">
        <v>26444</v>
      </c>
    </row>
    <row r="11023" spans="1:4">
      <c r="A11023">
        <v>4470</v>
      </c>
      <c r="B11023" t="s">
        <v>11414</v>
      </c>
      <c r="C11023" t="s">
        <v>429</v>
      </c>
      <c r="D11023" t="s">
        <v>26445</v>
      </c>
    </row>
    <row r="11024" spans="1:4">
      <c r="A11024">
        <v>20208</v>
      </c>
      <c r="B11024" t="s">
        <v>11415</v>
      </c>
      <c r="C11024" t="s">
        <v>429</v>
      </c>
      <c r="D11024" t="s">
        <v>21752</v>
      </c>
    </row>
    <row r="11025" spans="1:4">
      <c r="A11025">
        <v>20204</v>
      </c>
      <c r="B11025" t="s">
        <v>11416</v>
      </c>
      <c r="C11025" t="s">
        <v>429</v>
      </c>
      <c r="D11025" t="s">
        <v>26446</v>
      </c>
    </row>
    <row r="11026" spans="1:4">
      <c r="A11026">
        <v>4437</v>
      </c>
      <c r="B11026" t="s">
        <v>11417</v>
      </c>
      <c r="C11026" t="s">
        <v>429</v>
      </c>
      <c r="D11026" t="s">
        <v>26447</v>
      </c>
    </row>
    <row r="11027" spans="1:4">
      <c r="A11027">
        <v>14580</v>
      </c>
      <c r="B11027" t="s">
        <v>11418</v>
      </c>
      <c r="C11027" t="s">
        <v>429</v>
      </c>
      <c r="D11027" t="s">
        <v>26447</v>
      </c>
    </row>
    <row r="11028" spans="1:4">
      <c r="A11028">
        <v>40304</v>
      </c>
      <c r="B11028" t="s">
        <v>11419</v>
      </c>
      <c r="C11028" t="s">
        <v>430</v>
      </c>
      <c r="D11028" t="s">
        <v>26448</v>
      </c>
    </row>
    <row r="11029" spans="1:4">
      <c r="A11029">
        <v>5065</v>
      </c>
      <c r="B11029" t="s">
        <v>11420</v>
      </c>
      <c r="C11029" t="s">
        <v>430</v>
      </c>
      <c r="D11029" t="s">
        <v>18734</v>
      </c>
    </row>
    <row r="11030" spans="1:4">
      <c r="A11030">
        <v>5072</v>
      </c>
      <c r="B11030" t="s">
        <v>11421</v>
      </c>
      <c r="C11030" t="s">
        <v>430</v>
      </c>
      <c r="D11030" t="s">
        <v>26449</v>
      </c>
    </row>
    <row r="11031" spans="1:4">
      <c r="A11031">
        <v>5066</v>
      </c>
      <c r="B11031" t="s">
        <v>11422</v>
      </c>
      <c r="C11031" t="s">
        <v>430</v>
      </c>
      <c r="D11031" t="s">
        <v>26450</v>
      </c>
    </row>
    <row r="11032" spans="1:4">
      <c r="A11032">
        <v>5063</v>
      </c>
      <c r="B11032" t="s">
        <v>11423</v>
      </c>
      <c r="C11032" t="s">
        <v>430</v>
      </c>
      <c r="D11032" t="s">
        <v>18573</v>
      </c>
    </row>
    <row r="11033" spans="1:4">
      <c r="A11033">
        <v>20247</v>
      </c>
      <c r="B11033" t="s">
        <v>11424</v>
      </c>
      <c r="C11033" t="s">
        <v>430</v>
      </c>
      <c r="D11033" t="s">
        <v>25985</v>
      </c>
    </row>
    <row r="11034" spans="1:4">
      <c r="A11034">
        <v>5074</v>
      </c>
      <c r="B11034" t="s">
        <v>11425</v>
      </c>
      <c r="C11034" t="s">
        <v>430</v>
      </c>
      <c r="D11034" t="s">
        <v>23117</v>
      </c>
    </row>
    <row r="11035" spans="1:4">
      <c r="A11035">
        <v>5067</v>
      </c>
      <c r="B11035" t="s">
        <v>11426</v>
      </c>
      <c r="C11035" t="s">
        <v>430</v>
      </c>
      <c r="D11035" t="s">
        <v>22171</v>
      </c>
    </row>
    <row r="11036" spans="1:4">
      <c r="A11036">
        <v>5078</v>
      </c>
      <c r="B11036" t="s">
        <v>11427</v>
      </c>
      <c r="C11036" t="s">
        <v>430</v>
      </c>
      <c r="D11036" t="s">
        <v>26451</v>
      </c>
    </row>
    <row r="11037" spans="1:4">
      <c r="A11037">
        <v>5068</v>
      </c>
      <c r="B11037" t="s">
        <v>11428</v>
      </c>
      <c r="C11037" t="s">
        <v>430</v>
      </c>
      <c r="D11037" t="s">
        <v>16399</v>
      </c>
    </row>
    <row r="11038" spans="1:4">
      <c r="A11038">
        <v>5073</v>
      </c>
      <c r="B11038" t="s">
        <v>11429</v>
      </c>
      <c r="C11038" t="s">
        <v>430</v>
      </c>
      <c r="D11038" t="s">
        <v>22823</v>
      </c>
    </row>
    <row r="11039" spans="1:4">
      <c r="A11039">
        <v>5069</v>
      </c>
      <c r="B11039" t="s">
        <v>11430</v>
      </c>
      <c r="C11039" t="s">
        <v>430</v>
      </c>
      <c r="D11039" t="s">
        <v>22823</v>
      </c>
    </row>
    <row r="11040" spans="1:4">
      <c r="A11040">
        <v>5070</v>
      </c>
      <c r="B11040" t="s">
        <v>11431</v>
      </c>
      <c r="C11040" t="s">
        <v>430</v>
      </c>
      <c r="D11040" t="s">
        <v>23166</v>
      </c>
    </row>
    <row r="11041" spans="1:4">
      <c r="A11041">
        <v>5071</v>
      </c>
      <c r="B11041" t="s">
        <v>11432</v>
      </c>
      <c r="C11041" t="s">
        <v>430</v>
      </c>
      <c r="D11041" t="s">
        <v>16399</v>
      </c>
    </row>
    <row r="11042" spans="1:4">
      <c r="A11042">
        <v>5061</v>
      </c>
      <c r="B11042" t="s">
        <v>11433</v>
      </c>
      <c r="C11042" t="s">
        <v>430</v>
      </c>
      <c r="D11042" t="s">
        <v>15815</v>
      </c>
    </row>
    <row r="11043" spans="1:4">
      <c r="A11043">
        <v>5075</v>
      </c>
      <c r="B11043" t="s">
        <v>11434</v>
      </c>
      <c r="C11043" t="s">
        <v>430</v>
      </c>
      <c r="D11043" t="s">
        <v>16399</v>
      </c>
    </row>
    <row r="11044" spans="1:4">
      <c r="A11044">
        <v>39027</v>
      </c>
      <c r="B11044" t="s">
        <v>11435</v>
      </c>
      <c r="C11044" t="s">
        <v>430</v>
      </c>
      <c r="D11044" t="s">
        <v>19228</v>
      </c>
    </row>
    <row r="11045" spans="1:4">
      <c r="A11045">
        <v>5062</v>
      </c>
      <c r="B11045" t="s">
        <v>11436</v>
      </c>
      <c r="C11045" t="s">
        <v>430</v>
      </c>
      <c r="D11045" t="s">
        <v>18228</v>
      </c>
    </row>
    <row r="11046" spans="1:4">
      <c r="A11046">
        <v>40568</v>
      </c>
      <c r="B11046" t="s">
        <v>11437</v>
      </c>
      <c r="C11046" t="s">
        <v>430</v>
      </c>
      <c r="D11046" t="s">
        <v>26452</v>
      </c>
    </row>
    <row r="11047" spans="1:4">
      <c r="A11047">
        <v>39026</v>
      </c>
      <c r="B11047" t="s">
        <v>11438</v>
      </c>
      <c r="C11047" t="s">
        <v>430</v>
      </c>
      <c r="D11047" t="s">
        <v>19480</v>
      </c>
    </row>
    <row r="11048" spans="1:4">
      <c r="A11048">
        <v>42431</v>
      </c>
      <c r="B11048" t="s">
        <v>11439</v>
      </c>
      <c r="C11048" t="s">
        <v>427</v>
      </c>
      <c r="D11048" t="s">
        <v>26453</v>
      </c>
    </row>
    <row r="11049" spans="1:4">
      <c r="A11049">
        <v>44074</v>
      </c>
      <c r="B11049" t="s">
        <v>11440</v>
      </c>
      <c r="C11049" t="s">
        <v>428</v>
      </c>
      <c r="D11049" t="s">
        <v>26454</v>
      </c>
    </row>
    <row r="11050" spans="1:4">
      <c r="A11050">
        <v>44072</v>
      </c>
      <c r="B11050" t="s">
        <v>11441</v>
      </c>
      <c r="C11050" t="s">
        <v>428</v>
      </c>
      <c r="D11050" t="s">
        <v>26455</v>
      </c>
    </row>
    <row r="11051" spans="1:4">
      <c r="A11051">
        <v>511</v>
      </c>
      <c r="B11051" t="s">
        <v>11442</v>
      </c>
      <c r="C11051" t="s">
        <v>428</v>
      </c>
      <c r="D11051" t="s">
        <v>26456</v>
      </c>
    </row>
    <row r="11052" spans="1:4">
      <c r="A11052">
        <v>37540</v>
      </c>
      <c r="B11052" t="s">
        <v>11443</v>
      </c>
      <c r="C11052" t="s">
        <v>427</v>
      </c>
      <c r="D11052" t="s">
        <v>26457</v>
      </c>
    </row>
    <row r="11053" spans="1:4">
      <c r="A11053">
        <v>37548</v>
      </c>
      <c r="B11053" t="s">
        <v>11444</v>
      </c>
      <c r="C11053" t="s">
        <v>427</v>
      </c>
      <c r="D11053" t="s">
        <v>26458</v>
      </c>
    </row>
    <row r="11054" spans="1:4">
      <c r="A11054">
        <v>39828</v>
      </c>
      <c r="B11054" t="s">
        <v>11445</v>
      </c>
      <c r="C11054" t="s">
        <v>427</v>
      </c>
      <c r="D11054" t="s">
        <v>26459</v>
      </c>
    </row>
    <row r="11055" spans="1:4">
      <c r="A11055">
        <v>12273</v>
      </c>
      <c r="B11055" t="s">
        <v>11446</v>
      </c>
      <c r="C11055" t="s">
        <v>427</v>
      </c>
      <c r="D11055" t="s">
        <v>26460</v>
      </c>
    </row>
    <row r="11056" spans="1:4">
      <c r="A11056">
        <v>38392</v>
      </c>
      <c r="B11056" t="s">
        <v>11447</v>
      </c>
      <c r="C11056" t="s">
        <v>427</v>
      </c>
      <c r="D11056" t="s">
        <v>26461</v>
      </c>
    </row>
    <row r="11057" spans="1:4">
      <c r="A11057">
        <v>11735</v>
      </c>
      <c r="B11057" t="s">
        <v>11448</v>
      </c>
      <c r="C11057" t="s">
        <v>427</v>
      </c>
      <c r="D11057" t="s">
        <v>25276</v>
      </c>
    </row>
    <row r="11058" spans="1:4">
      <c r="A11058">
        <v>11737</v>
      </c>
      <c r="B11058" t="s">
        <v>11449</v>
      </c>
      <c r="C11058" t="s">
        <v>427</v>
      </c>
      <c r="D11058" t="s">
        <v>19223</v>
      </c>
    </row>
    <row r="11059" spans="1:4">
      <c r="A11059">
        <v>11738</v>
      </c>
      <c r="B11059" t="s">
        <v>11450</v>
      </c>
      <c r="C11059" t="s">
        <v>427</v>
      </c>
      <c r="D11059" t="s">
        <v>26462</v>
      </c>
    </row>
    <row r="11060" spans="1:4">
      <c r="A11060">
        <v>36143</v>
      </c>
      <c r="B11060" t="s">
        <v>11451</v>
      </c>
      <c r="C11060" t="s">
        <v>427</v>
      </c>
      <c r="D11060" t="s">
        <v>26463</v>
      </c>
    </row>
    <row r="11061" spans="1:4">
      <c r="A11061">
        <v>36142</v>
      </c>
      <c r="B11061" t="s">
        <v>11452</v>
      </c>
      <c r="C11061" t="s">
        <v>427</v>
      </c>
      <c r="D11061" t="s">
        <v>15193</v>
      </c>
    </row>
    <row r="11062" spans="1:4">
      <c r="A11062">
        <v>36146</v>
      </c>
      <c r="B11062" t="s">
        <v>11453</v>
      </c>
      <c r="C11062" t="s">
        <v>427</v>
      </c>
      <c r="D11062" t="s">
        <v>26464</v>
      </c>
    </row>
    <row r="11063" spans="1:4">
      <c r="A11063">
        <v>39015</v>
      </c>
      <c r="B11063" t="s">
        <v>11454</v>
      </c>
      <c r="C11063" t="s">
        <v>427</v>
      </c>
      <c r="D11063" t="s">
        <v>15485</v>
      </c>
    </row>
    <row r="11064" spans="1:4">
      <c r="A11064">
        <v>38377</v>
      </c>
      <c r="B11064" t="s">
        <v>11455</v>
      </c>
      <c r="C11064" t="s">
        <v>427</v>
      </c>
      <c r="D11064" t="s">
        <v>19631</v>
      </c>
    </row>
    <row r="11065" spans="1:4">
      <c r="A11065">
        <v>38376</v>
      </c>
      <c r="B11065" t="s">
        <v>11456</v>
      </c>
      <c r="C11065" t="s">
        <v>427</v>
      </c>
      <c r="D11065" t="s">
        <v>26465</v>
      </c>
    </row>
    <row r="11066" spans="1:4">
      <c r="A11066">
        <v>38116</v>
      </c>
      <c r="B11066" t="s">
        <v>11457</v>
      </c>
      <c r="C11066" t="s">
        <v>427</v>
      </c>
      <c r="D11066" t="s">
        <v>15730</v>
      </c>
    </row>
    <row r="11067" spans="1:4">
      <c r="A11067">
        <v>38066</v>
      </c>
      <c r="B11067" t="s">
        <v>11458</v>
      </c>
      <c r="C11067" t="s">
        <v>427</v>
      </c>
      <c r="D11067" t="s">
        <v>14942</v>
      </c>
    </row>
    <row r="11068" spans="1:4">
      <c r="A11068">
        <v>38117</v>
      </c>
      <c r="B11068" t="s">
        <v>11459</v>
      </c>
      <c r="C11068" t="s">
        <v>427</v>
      </c>
      <c r="D11068" t="s">
        <v>25104</v>
      </c>
    </row>
    <row r="11069" spans="1:4">
      <c r="A11069">
        <v>38067</v>
      </c>
      <c r="B11069" t="s">
        <v>11460</v>
      </c>
      <c r="C11069" t="s">
        <v>427</v>
      </c>
      <c r="D11069" t="s">
        <v>24594</v>
      </c>
    </row>
    <row r="11070" spans="1:4">
      <c r="A11070">
        <v>11522</v>
      </c>
      <c r="B11070" t="s">
        <v>11461</v>
      </c>
      <c r="C11070" t="s">
        <v>427</v>
      </c>
      <c r="D11070" t="s">
        <v>26038</v>
      </c>
    </row>
    <row r="11071" spans="1:4">
      <c r="A11071">
        <v>43600</v>
      </c>
      <c r="B11071" t="s">
        <v>11462</v>
      </c>
      <c r="C11071" t="s">
        <v>427</v>
      </c>
      <c r="D11071" t="s">
        <v>23189</v>
      </c>
    </row>
    <row r="11072" spans="1:4">
      <c r="A11072">
        <v>5080</v>
      </c>
      <c r="B11072" t="s">
        <v>11463</v>
      </c>
      <c r="C11072" t="s">
        <v>427</v>
      </c>
      <c r="D11072" t="s">
        <v>20287</v>
      </c>
    </row>
    <row r="11073" spans="1:4">
      <c r="A11073">
        <v>38168</v>
      </c>
      <c r="B11073" t="s">
        <v>11464</v>
      </c>
      <c r="C11073" t="s">
        <v>427</v>
      </c>
      <c r="D11073" t="s">
        <v>26466</v>
      </c>
    </row>
    <row r="11074" spans="1:4">
      <c r="A11074">
        <v>43601</v>
      </c>
      <c r="B11074" t="s">
        <v>11465</v>
      </c>
      <c r="C11074" t="s">
        <v>427</v>
      </c>
      <c r="D11074" t="s">
        <v>26467</v>
      </c>
    </row>
    <row r="11075" spans="1:4">
      <c r="A11075">
        <v>13393</v>
      </c>
      <c r="B11075" t="s">
        <v>11466</v>
      </c>
      <c r="C11075" t="s">
        <v>427</v>
      </c>
      <c r="D11075" t="s">
        <v>26468</v>
      </c>
    </row>
    <row r="11076" spans="1:4">
      <c r="A11076">
        <v>13395</v>
      </c>
      <c r="B11076" t="s">
        <v>11467</v>
      </c>
      <c r="C11076" t="s">
        <v>427</v>
      </c>
      <c r="D11076" t="s">
        <v>26469</v>
      </c>
    </row>
    <row r="11077" spans="1:4">
      <c r="A11077">
        <v>12039</v>
      </c>
      <c r="B11077" t="s">
        <v>11468</v>
      </c>
      <c r="C11077" t="s">
        <v>427</v>
      </c>
      <c r="D11077" t="s">
        <v>26470</v>
      </c>
    </row>
    <row r="11078" spans="1:4">
      <c r="A11078">
        <v>13396</v>
      </c>
      <c r="B11078" t="s">
        <v>11469</v>
      </c>
      <c r="C11078" t="s">
        <v>427</v>
      </c>
      <c r="D11078" t="s">
        <v>16503</v>
      </c>
    </row>
    <row r="11079" spans="1:4">
      <c r="A11079">
        <v>12041</v>
      </c>
      <c r="B11079" t="s">
        <v>11470</v>
      </c>
      <c r="C11079" t="s">
        <v>427</v>
      </c>
      <c r="D11079" t="s">
        <v>26471</v>
      </c>
    </row>
    <row r="11080" spans="1:4">
      <c r="A11080">
        <v>12043</v>
      </c>
      <c r="B11080" t="s">
        <v>11471</v>
      </c>
      <c r="C11080" t="s">
        <v>427</v>
      </c>
      <c r="D11080" t="s">
        <v>26472</v>
      </c>
    </row>
    <row r="11081" spans="1:4">
      <c r="A11081">
        <v>39762</v>
      </c>
      <c r="B11081" t="s">
        <v>11472</v>
      </c>
      <c r="C11081" t="s">
        <v>427</v>
      </c>
      <c r="D11081" t="s">
        <v>26473</v>
      </c>
    </row>
    <row r="11082" spans="1:4">
      <c r="A11082">
        <v>12042</v>
      </c>
      <c r="B11082" t="s">
        <v>11473</v>
      </c>
      <c r="C11082" t="s">
        <v>427</v>
      </c>
      <c r="D11082" t="s">
        <v>26474</v>
      </c>
    </row>
    <row r="11083" spans="1:4">
      <c r="A11083">
        <v>39763</v>
      </c>
      <c r="B11083" t="s">
        <v>11474</v>
      </c>
      <c r="C11083" t="s">
        <v>427</v>
      </c>
      <c r="D11083" t="s">
        <v>26475</v>
      </c>
    </row>
    <row r="11084" spans="1:4">
      <c r="A11084">
        <v>39760</v>
      </c>
      <c r="B11084" t="s">
        <v>11475</v>
      </c>
      <c r="C11084" t="s">
        <v>427</v>
      </c>
      <c r="D11084" t="s">
        <v>26476</v>
      </c>
    </row>
    <row r="11085" spans="1:4">
      <c r="A11085">
        <v>39756</v>
      </c>
      <c r="B11085" t="s">
        <v>11476</v>
      </c>
      <c r="C11085" t="s">
        <v>427</v>
      </c>
      <c r="D11085" t="s">
        <v>26477</v>
      </c>
    </row>
    <row r="11086" spans="1:4">
      <c r="A11086">
        <v>12038</v>
      </c>
      <c r="B11086" t="s">
        <v>11477</v>
      </c>
      <c r="C11086" t="s">
        <v>427</v>
      </c>
      <c r="D11086" t="s">
        <v>26478</v>
      </c>
    </row>
    <row r="11087" spans="1:4">
      <c r="A11087">
        <v>39757</v>
      </c>
      <c r="B11087" t="s">
        <v>11478</v>
      </c>
      <c r="C11087" t="s">
        <v>427</v>
      </c>
      <c r="D11087" t="s">
        <v>26479</v>
      </c>
    </row>
    <row r="11088" spans="1:4">
      <c r="A11088">
        <v>39758</v>
      </c>
      <c r="B11088" t="s">
        <v>11479</v>
      </c>
      <c r="C11088" t="s">
        <v>427</v>
      </c>
      <c r="D11088" t="s">
        <v>26480</v>
      </c>
    </row>
    <row r="11089" spans="1:4">
      <c r="A11089">
        <v>39759</v>
      </c>
      <c r="B11089" t="s">
        <v>11480</v>
      </c>
      <c r="C11089" t="s">
        <v>427</v>
      </c>
      <c r="D11089" t="s">
        <v>26481</v>
      </c>
    </row>
    <row r="11090" spans="1:4">
      <c r="A11090">
        <v>39761</v>
      </c>
      <c r="B11090" t="s">
        <v>11481</v>
      </c>
      <c r="C11090" t="s">
        <v>427</v>
      </c>
      <c r="D11090" t="s">
        <v>26482</v>
      </c>
    </row>
    <row r="11091" spans="1:4">
      <c r="A11091">
        <v>39805</v>
      </c>
      <c r="B11091" t="s">
        <v>11482</v>
      </c>
      <c r="C11091" t="s">
        <v>427</v>
      </c>
      <c r="D11091" t="s">
        <v>26483</v>
      </c>
    </row>
    <row r="11092" spans="1:4">
      <c r="A11092">
        <v>39806</v>
      </c>
      <c r="B11092" t="s">
        <v>11483</v>
      </c>
      <c r="C11092" t="s">
        <v>427</v>
      </c>
      <c r="D11092" t="s">
        <v>26484</v>
      </c>
    </row>
    <row r="11093" spans="1:4">
      <c r="A11093">
        <v>39807</v>
      </c>
      <c r="B11093" t="s">
        <v>11484</v>
      </c>
      <c r="C11093" t="s">
        <v>427</v>
      </c>
      <c r="D11093" t="s">
        <v>26485</v>
      </c>
    </row>
    <row r="11094" spans="1:4">
      <c r="A11094">
        <v>43100</v>
      </c>
      <c r="B11094" t="s">
        <v>11485</v>
      </c>
      <c r="C11094" t="s">
        <v>427</v>
      </c>
      <c r="D11094" t="s">
        <v>26486</v>
      </c>
    </row>
    <row r="11095" spans="1:4">
      <c r="A11095">
        <v>39804</v>
      </c>
      <c r="B11095" t="s">
        <v>11486</v>
      </c>
      <c r="C11095" t="s">
        <v>427</v>
      </c>
      <c r="D11095" t="s">
        <v>26487</v>
      </c>
    </row>
    <row r="11096" spans="1:4">
      <c r="A11096">
        <v>39796</v>
      </c>
      <c r="B11096" t="s">
        <v>11487</v>
      </c>
      <c r="C11096" t="s">
        <v>427</v>
      </c>
      <c r="D11096" t="s">
        <v>25806</v>
      </c>
    </row>
    <row r="11097" spans="1:4">
      <c r="A11097">
        <v>39797</v>
      </c>
      <c r="B11097" t="s">
        <v>11488</v>
      </c>
      <c r="C11097" t="s">
        <v>427</v>
      </c>
      <c r="D11097" t="s">
        <v>26488</v>
      </c>
    </row>
    <row r="11098" spans="1:4">
      <c r="A11098">
        <v>39798</v>
      </c>
      <c r="B11098" t="s">
        <v>11489</v>
      </c>
      <c r="C11098" t="s">
        <v>427</v>
      </c>
      <c r="D11098" t="s">
        <v>26489</v>
      </c>
    </row>
    <row r="11099" spans="1:4">
      <c r="A11099">
        <v>39794</v>
      </c>
      <c r="B11099" t="s">
        <v>11490</v>
      </c>
      <c r="C11099" t="s">
        <v>427</v>
      </c>
      <c r="D11099" t="s">
        <v>17920</v>
      </c>
    </row>
    <row r="11100" spans="1:4">
      <c r="A11100">
        <v>39795</v>
      </c>
      <c r="B11100" t="s">
        <v>11491</v>
      </c>
      <c r="C11100" t="s">
        <v>427</v>
      </c>
      <c r="D11100" t="s">
        <v>19279</v>
      </c>
    </row>
    <row r="11101" spans="1:4">
      <c r="A11101">
        <v>39799</v>
      </c>
      <c r="B11101" t="s">
        <v>11492</v>
      </c>
      <c r="C11101" t="s">
        <v>427</v>
      </c>
      <c r="D11101" t="s">
        <v>23036</v>
      </c>
    </row>
    <row r="11102" spans="1:4">
      <c r="A11102">
        <v>39801</v>
      </c>
      <c r="B11102" t="s">
        <v>11493</v>
      </c>
      <c r="C11102" t="s">
        <v>427</v>
      </c>
      <c r="D11102" t="s">
        <v>26490</v>
      </c>
    </row>
    <row r="11103" spans="1:4">
      <c r="A11103">
        <v>39802</v>
      </c>
      <c r="B11103" t="s">
        <v>11494</v>
      </c>
      <c r="C11103" t="s">
        <v>427</v>
      </c>
      <c r="D11103" t="s">
        <v>26491</v>
      </c>
    </row>
    <row r="11104" spans="1:4">
      <c r="A11104">
        <v>39803</v>
      </c>
      <c r="B11104" t="s">
        <v>11495</v>
      </c>
      <c r="C11104" t="s">
        <v>427</v>
      </c>
      <c r="D11104" t="s">
        <v>26492</v>
      </c>
    </row>
    <row r="11105" spans="1:4">
      <c r="A11105">
        <v>39800</v>
      </c>
      <c r="B11105" t="s">
        <v>11496</v>
      </c>
      <c r="C11105" t="s">
        <v>427</v>
      </c>
      <c r="D11105" t="s">
        <v>26493</v>
      </c>
    </row>
    <row r="11106" spans="1:4">
      <c r="A11106">
        <v>21059</v>
      </c>
      <c r="B11106" t="s">
        <v>11497</v>
      </c>
      <c r="C11106" t="s">
        <v>427</v>
      </c>
      <c r="D11106" t="s">
        <v>16711</v>
      </c>
    </row>
    <row r="11107" spans="1:4">
      <c r="A11107">
        <v>11234</v>
      </c>
      <c r="B11107" t="s">
        <v>11498</v>
      </c>
      <c r="C11107" t="s">
        <v>427</v>
      </c>
      <c r="D11107" t="s">
        <v>26494</v>
      </c>
    </row>
    <row r="11108" spans="1:4">
      <c r="A11108">
        <v>21060</v>
      </c>
      <c r="B11108" t="s">
        <v>11499</v>
      </c>
      <c r="C11108" t="s">
        <v>427</v>
      </c>
      <c r="D11108" t="s">
        <v>26495</v>
      </c>
    </row>
    <row r="11109" spans="1:4">
      <c r="A11109">
        <v>21061</v>
      </c>
      <c r="B11109" t="s">
        <v>11500</v>
      </c>
      <c r="C11109" t="s">
        <v>427</v>
      </c>
      <c r="D11109" t="s">
        <v>26496</v>
      </c>
    </row>
    <row r="11110" spans="1:4">
      <c r="A11110">
        <v>21062</v>
      </c>
      <c r="B11110" t="s">
        <v>11501</v>
      </c>
      <c r="C11110" t="s">
        <v>427</v>
      </c>
      <c r="D11110" t="s">
        <v>26497</v>
      </c>
    </row>
    <row r="11111" spans="1:4">
      <c r="A11111">
        <v>11708</v>
      </c>
      <c r="B11111" t="s">
        <v>11502</v>
      </c>
      <c r="C11111" t="s">
        <v>427</v>
      </c>
      <c r="D11111" t="s">
        <v>24648</v>
      </c>
    </row>
    <row r="11112" spans="1:4">
      <c r="A11112">
        <v>11709</v>
      </c>
      <c r="B11112" t="s">
        <v>11503</v>
      </c>
      <c r="C11112" t="s">
        <v>427</v>
      </c>
      <c r="D11112" t="s">
        <v>21551</v>
      </c>
    </row>
    <row r="11113" spans="1:4">
      <c r="A11113">
        <v>11710</v>
      </c>
      <c r="B11113" t="s">
        <v>11504</v>
      </c>
      <c r="C11113" t="s">
        <v>427</v>
      </c>
      <c r="D11113" t="s">
        <v>26498</v>
      </c>
    </row>
    <row r="11114" spans="1:4">
      <c r="A11114">
        <v>11707</v>
      </c>
      <c r="B11114" t="s">
        <v>11505</v>
      </c>
      <c r="C11114" t="s">
        <v>427</v>
      </c>
      <c r="D11114" t="s">
        <v>23548</v>
      </c>
    </row>
    <row r="11115" spans="1:4">
      <c r="A11115">
        <v>5102</v>
      </c>
      <c r="B11115" t="s">
        <v>11506</v>
      </c>
      <c r="C11115" t="s">
        <v>427</v>
      </c>
      <c r="D11115" t="s">
        <v>23068</v>
      </c>
    </row>
    <row r="11116" spans="1:4">
      <c r="A11116">
        <v>11739</v>
      </c>
      <c r="B11116" t="s">
        <v>11507</v>
      </c>
      <c r="C11116" t="s">
        <v>427</v>
      </c>
      <c r="D11116" t="s">
        <v>19186</v>
      </c>
    </row>
    <row r="11117" spans="1:4">
      <c r="A11117">
        <v>11711</v>
      </c>
      <c r="B11117" t="s">
        <v>11508</v>
      </c>
      <c r="C11117" t="s">
        <v>427</v>
      </c>
      <c r="D11117" t="s">
        <v>23645</v>
      </c>
    </row>
    <row r="11118" spans="1:4">
      <c r="A11118">
        <v>11741</v>
      </c>
      <c r="B11118" t="s">
        <v>11509</v>
      </c>
      <c r="C11118" t="s">
        <v>427</v>
      </c>
      <c r="D11118" t="s">
        <v>16888</v>
      </c>
    </row>
    <row r="11119" spans="1:4">
      <c r="A11119">
        <v>11745</v>
      </c>
      <c r="B11119" t="s">
        <v>11510</v>
      </c>
      <c r="C11119" t="s">
        <v>427</v>
      </c>
      <c r="D11119" t="s">
        <v>20519</v>
      </c>
    </row>
    <row r="11120" spans="1:4">
      <c r="A11120">
        <v>11743</v>
      </c>
      <c r="B11120" t="s">
        <v>11511</v>
      </c>
      <c r="C11120" t="s">
        <v>427</v>
      </c>
      <c r="D11120" t="s">
        <v>15202</v>
      </c>
    </row>
    <row r="11121" spans="1:4">
      <c r="A11121">
        <v>40985</v>
      </c>
      <c r="B11121" t="s">
        <v>11512</v>
      </c>
      <c r="C11121" t="s">
        <v>433</v>
      </c>
      <c r="D11121" t="s">
        <v>24767</v>
      </c>
    </row>
    <row r="11122" spans="1:4">
      <c r="A11122">
        <v>44502</v>
      </c>
      <c r="B11122" t="s">
        <v>13548</v>
      </c>
      <c r="C11122" t="s">
        <v>432</v>
      </c>
      <c r="D11122" t="s">
        <v>14944</v>
      </c>
    </row>
    <row r="11123" spans="1:4">
      <c r="A11123">
        <v>1088</v>
      </c>
      <c r="B11123" t="s">
        <v>11513</v>
      </c>
      <c r="C11123" t="s">
        <v>427</v>
      </c>
      <c r="D11123" t="s">
        <v>25174</v>
      </c>
    </row>
    <row r="11124" spans="1:4">
      <c r="A11124">
        <v>1087</v>
      </c>
      <c r="B11124" t="s">
        <v>11514</v>
      </c>
      <c r="C11124" t="s">
        <v>427</v>
      </c>
      <c r="D11124" t="s">
        <v>18584</v>
      </c>
    </row>
    <row r="11125" spans="1:4">
      <c r="A11125">
        <v>38777</v>
      </c>
      <c r="B11125" t="s">
        <v>11515</v>
      </c>
      <c r="C11125" t="s">
        <v>427</v>
      </c>
      <c r="D11125" t="s">
        <v>26499</v>
      </c>
    </row>
    <row r="11126" spans="1:4">
      <c r="A11126">
        <v>1086</v>
      </c>
      <c r="B11126" t="s">
        <v>11516</v>
      </c>
      <c r="C11126" t="s">
        <v>427</v>
      </c>
      <c r="D11126" t="s">
        <v>24057</v>
      </c>
    </row>
    <row r="11127" spans="1:4">
      <c r="A11127">
        <v>1079</v>
      </c>
      <c r="B11127" t="s">
        <v>11517</v>
      </c>
      <c r="C11127" t="s">
        <v>427</v>
      </c>
      <c r="D11127" t="s">
        <v>17468</v>
      </c>
    </row>
    <row r="11128" spans="1:4">
      <c r="A11128">
        <v>39374</v>
      </c>
      <c r="B11128" t="s">
        <v>11518</v>
      </c>
      <c r="C11128" t="s">
        <v>427</v>
      </c>
      <c r="D11128" t="s">
        <v>25600</v>
      </c>
    </row>
    <row r="11129" spans="1:4">
      <c r="A11129">
        <v>1082</v>
      </c>
      <c r="B11129" t="s">
        <v>11519</v>
      </c>
      <c r="C11129" t="s">
        <v>427</v>
      </c>
      <c r="D11129" t="s">
        <v>26500</v>
      </c>
    </row>
    <row r="11130" spans="1:4">
      <c r="A11130">
        <v>12316</v>
      </c>
      <c r="B11130" t="s">
        <v>11520</v>
      </c>
      <c r="C11130" t="s">
        <v>427</v>
      </c>
      <c r="D11130" t="s">
        <v>26501</v>
      </c>
    </row>
    <row r="11131" spans="1:4">
      <c r="A11131">
        <v>12317</v>
      </c>
      <c r="B11131" t="s">
        <v>11521</v>
      </c>
      <c r="C11131" t="s">
        <v>427</v>
      </c>
      <c r="D11131" t="s">
        <v>26252</v>
      </c>
    </row>
    <row r="11132" spans="1:4">
      <c r="A11132">
        <v>12318</v>
      </c>
      <c r="B11132" t="s">
        <v>11522</v>
      </c>
      <c r="C11132" t="s">
        <v>427</v>
      </c>
      <c r="D11132" t="s">
        <v>26502</v>
      </c>
    </row>
    <row r="11133" spans="1:4">
      <c r="A11133">
        <v>5104</v>
      </c>
      <c r="B11133" t="s">
        <v>11523</v>
      </c>
      <c r="C11133" t="s">
        <v>430</v>
      </c>
      <c r="D11133" t="s">
        <v>26503</v>
      </c>
    </row>
    <row r="11134" spans="1:4">
      <c r="A11134">
        <v>44530</v>
      </c>
      <c r="B11134" t="s">
        <v>13549</v>
      </c>
      <c r="C11134" t="s">
        <v>427</v>
      </c>
      <c r="D11134" t="s">
        <v>26504</v>
      </c>
    </row>
    <row r="11135" spans="1:4">
      <c r="A11135">
        <v>2710</v>
      </c>
      <c r="B11135" t="s">
        <v>11524</v>
      </c>
      <c r="C11135" t="s">
        <v>427</v>
      </c>
      <c r="D11135" t="s">
        <v>15041</v>
      </c>
    </row>
    <row r="11136" spans="1:4">
      <c r="A11136">
        <v>14575</v>
      </c>
      <c r="B11136" t="s">
        <v>11525</v>
      </c>
      <c r="C11136" t="s">
        <v>427</v>
      </c>
      <c r="D11136" t="s">
        <v>26505</v>
      </c>
    </row>
    <row r="11137" spans="1:4">
      <c r="A11137">
        <v>20034</v>
      </c>
      <c r="B11137" t="s">
        <v>11526</v>
      </c>
      <c r="C11137" t="s">
        <v>427</v>
      </c>
      <c r="D11137" t="s">
        <v>26506</v>
      </c>
    </row>
    <row r="11138" spans="1:4">
      <c r="A11138">
        <v>20036</v>
      </c>
      <c r="B11138" t="s">
        <v>11527</v>
      </c>
      <c r="C11138" t="s">
        <v>427</v>
      </c>
      <c r="D11138" t="s">
        <v>26507</v>
      </c>
    </row>
    <row r="11139" spans="1:4">
      <c r="A11139">
        <v>20037</v>
      </c>
      <c r="B11139" t="s">
        <v>11528</v>
      </c>
      <c r="C11139" t="s">
        <v>427</v>
      </c>
      <c r="D11139" t="s">
        <v>26508</v>
      </c>
    </row>
    <row r="11140" spans="1:4">
      <c r="A11140">
        <v>20043</v>
      </c>
      <c r="B11140" t="s">
        <v>11529</v>
      </c>
      <c r="C11140" t="s">
        <v>427</v>
      </c>
      <c r="D11140" t="s">
        <v>23586</v>
      </c>
    </row>
    <row r="11141" spans="1:4">
      <c r="A11141">
        <v>20044</v>
      </c>
      <c r="B11141" t="s">
        <v>11530</v>
      </c>
      <c r="C11141" t="s">
        <v>427</v>
      </c>
      <c r="D11141" t="s">
        <v>22705</v>
      </c>
    </row>
    <row r="11142" spans="1:4">
      <c r="A11142">
        <v>20042</v>
      </c>
      <c r="B11142" t="s">
        <v>11531</v>
      </c>
      <c r="C11142" t="s">
        <v>427</v>
      </c>
      <c r="D11142" t="s">
        <v>22898</v>
      </c>
    </row>
    <row r="11143" spans="1:4">
      <c r="A11143">
        <v>20046</v>
      </c>
      <c r="B11143" t="s">
        <v>11532</v>
      </c>
      <c r="C11143" t="s">
        <v>427</v>
      </c>
      <c r="D11143" t="s">
        <v>24493</v>
      </c>
    </row>
    <row r="11144" spans="1:4">
      <c r="A11144">
        <v>20047</v>
      </c>
      <c r="B11144" t="s">
        <v>11533</v>
      </c>
      <c r="C11144" t="s">
        <v>427</v>
      </c>
      <c r="D11144" t="s">
        <v>26509</v>
      </c>
    </row>
    <row r="11145" spans="1:4">
      <c r="A11145">
        <v>20045</v>
      </c>
      <c r="B11145" t="s">
        <v>11534</v>
      </c>
      <c r="C11145" t="s">
        <v>427</v>
      </c>
      <c r="D11145" t="s">
        <v>19765</v>
      </c>
    </row>
    <row r="11146" spans="1:4">
      <c r="A11146">
        <v>20972</v>
      </c>
      <c r="B11146" t="s">
        <v>11535</v>
      </c>
      <c r="C11146" t="s">
        <v>427</v>
      </c>
      <c r="D11146" t="s">
        <v>26510</v>
      </c>
    </row>
    <row r="11147" spans="1:4">
      <c r="A11147">
        <v>20032</v>
      </c>
      <c r="B11147" t="s">
        <v>11536</v>
      </c>
      <c r="C11147" t="s">
        <v>427</v>
      </c>
      <c r="D11147" t="s">
        <v>16102</v>
      </c>
    </row>
    <row r="11148" spans="1:4">
      <c r="A11148">
        <v>11321</v>
      </c>
      <c r="B11148" t="s">
        <v>11537</v>
      </c>
      <c r="C11148" t="s">
        <v>427</v>
      </c>
      <c r="D11148" t="s">
        <v>26511</v>
      </c>
    </row>
    <row r="11149" spans="1:4">
      <c r="A11149">
        <v>11323</v>
      </c>
      <c r="B11149" t="s">
        <v>11538</v>
      </c>
      <c r="C11149" t="s">
        <v>427</v>
      </c>
      <c r="D11149" t="s">
        <v>22728</v>
      </c>
    </row>
    <row r="11150" spans="1:4">
      <c r="A11150">
        <v>20327</v>
      </c>
      <c r="B11150" t="s">
        <v>11539</v>
      </c>
      <c r="C11150" t="s">
        <v>427</v>
      </c>
      <c r="D11150" t="s">
        <v>26512</v>
      </c>
    </row>
    <row r="11151" spans="1:4">
      <c r="A11151">
        <v>13390</v>
      </c>
      <c r="B11151" t="s">
        <v>11540</v>
      </c>
      <c r="C11151" t="s">
        <v>427</v>
      </c>
      <c r="D11151" t="s">
        <v>26513</v>
      </c>
    </row>
    <row r="11152" spans="1:4">
      <c r="A11152">
        <v>6034</v>
      </c>
      <c r="B11152" t="s">
        <v>11541</v>
      </c>
      <c r="C11152" t="s">
        <v>427</v>
      </c>
      <c r="D11152" t="s">
        <v>17234</v>
      </c>
    </row>
    <row r="11153" spans="1:4">
      <c r="A11153">
        <v>6036</v>
      </c>
      <c r="B11153" t="s">
        <v>11542</v>
      </c>
      <c r="C11153" t="s">
        <v>427</v>
      </c>
      <c r="D11153" t="s">
        <v>19108</v>
      </c>
    </row>
    <row r="11154" spans="1:4">
      <c r="A11154">
        <v>6031</v>
      </c>
      <c r="B11154" t="s">
        <v>11543</v>
      </c>
      <c r="C11154" t="s">
        <v>427</v>
      </c>
      <c r="D11154" t="s">
        <v>16901</v>
      </c>
    </row>
    <row r="11155" spans="1:4">
      <c r="A11155">
        <v>6029</v>
      </c>
      <c r="B11155" t="s">
        <v>11544</v>
      </c>
      <c r="C11155" t="s">
        <v>427</v>
      </c>
      <c r="D11155" t="s">
        <v>21349</v>
      </c>
    </row>
    <row r="11156" spans="1:4">
      <c r="A11156">
        <v>6033</v>
      </c>
      <c r="B11156" t="s">
        <v>11545</v>
      </c>
      <c r="C11156" t="s">
        <v>427</v>
      </c>
      <c r="D11156" t="s">
        <v>16390</v>
      </c>
    </row>
    <row r="11157" spans="1:4">
      <c r="A11157">
        <v>11672</v>
      </c>
      <c r="B11157" t="s">
        <v>11546</v>
      </c>
      <c r="C11157" t="s">
        <v>427</v>
      </c>
      <c r="D11157" t="s">
        <v>20903</v>
      </c>
    </row>
    <row r="11158" spans="1:4">
      <c r="A11158">
        <v>11669</v>
      </c>
      <c r="B11158" t="s">
        <v>11547</v>
      </c>
      <c r="C11158" t="s">
        <v>427</v>
      </c>
      <c r="D11158" t="s">
        <v>18396</v>
      </c>
    </row>
    <row r="11159" spans="1:4">
      <c r="A11159">
        <v>11670</v>
      </c>
      <c r="B11159" t="s">
        <v>11548</v>
      </c>
      <c r="C11159" t="s">
        <v>427</v>
      </c>
      <c r="D11159" t="s">
        <v>14743</v>
      </c>
    </row>
    <row r="11160" spans="1:4">
      <c r="A11160">
        <v>20055</v>
      </c>
      <c r="B11160" t="s">
        <v>11549</v>
      </c>
      <c r="C11160" t="s">
        <v>427</v>
      </c>
      <c r="D11160" t="s">
        <v>26514</v>
      </c>
    </row>
    <row r="11161" spans="1:4">
      <c r="A11161">
        <v>11671</v>
      </c>
      <c r="B11161" t="s">
        <v>11550</v>
      </c>
      <c r="C11161" t="s">
        <v>427</v>
      </c>
      <c r="D11161" t="s">
        <v>26515</v>
      </c>
    </row>
    <row r="11162" spans="1:4">
      <c r="A11162">
        <v>6032</v>
      </c>
      <c r="B11162" t="s">
        <v>11551</v>
      </c>
      <c r="C11162" t="s">
        <v>427</v>
      </c>
      <c r="D11162" t="s">
        <v>23900</v>
      </c>
    </row>
    <row r="11163" spans="1:4">
      <c r="A11163">
        <v>11673</v>
      </c>
      <c r="B11163" t="s">
        <v>11552</v>
      </c>
      <c r="C11163" t="s">
        <v>427</v>
      </c>
      <c r="D11163" t="s">
        <v>19915</v>
      </c>
    </row>
    <row r="11164" spans="1:4">
      <c r="A11164">
        <v>11674</v>
      </c>
      <c r="B11164" t="s">
        <v>11553</v>
      </c>
      <c r="C11164" t="s">
        <v>427</v>
      </c>
      <c r="D11164" t="s">
        <v>15634</v>
      </c>
    </row>
    <row r="11165" spans="1:4">
      <c r="A11165">
        <v>11675</v>
      </c>
      <c r="B11165" t="s">
        <v>11554</v>
      </c>
      <c r="C11165" t="s">
        <v>427</v>
      </c>
      <c r="D11165" t="s">
        <v>18504</v>
      </c>
    </row>
    <row r="11166" spans="1:4">
      <c r="A11166">
        <v>11676</v>
      </c>
      <c r="B11166" t="s">
        <v>11555</v>
      </c>
      <c r="C11166" t="s">
        <v>427</v>
      </c>
      <c r="D11166" t="s">
        <v>15050</v>
      </c>
    </row>
    <row r="11167" spans="1:4">
      <c r="A11167">
        <v>11677</v>
      </c>
      <c r="B11167" t="s">
        <v>11556</v>
      </c>
      <c r="C11167" t="s">
        <v>427</v>
      </c>
      <c r="D11167" t="s">
        <v>23971</v>
      </c>
    </row>
    <row r="11168" spans="1:4">
      <c r="A11168">
        <v>11678</v>
      </c>
      <c r="B11168" t="s">
        <v>11557</v>
      </c>
      <c r="C11168" t="s">
        <v>427</v>
      </c>
      <c r="D11168" t="s">
        <v>26516</v>
      </c>
    </row>
    <row r="11169" spans="1:4">
      <c r="A11169">
        <v>6038</v>
      </c>
      <c r="B11169" t="s">
        <v>11558</v>
      </c>
      <c r="C11169" t="s">
        <v>427</v>
      </c>
      <c r="D11169" t="s">
        <v>24368</v>
      </c>
    </row>
    <row r="11170" spans="1:4">
      <c r="A11170">
        <v>11718</v>
      </c>
      <c r="B11170" t="s">
        <v>11559</v>
      </c>
      <c r="C11170" t="s">
        <v>427</v>
      </c>
      <c r="D11170" t="s">
        <v>16927</v>
      </c>
    </row>
    <row r="11171" spans="1:4">
      <c r="A11171">
        <v>6037</v>
      </c>
      <c r="B11171" t="s">
        <v>11560</v>
      </c>
      <c r="C11171" t="s">
        <v>427</v>
      </c>
      <c r="D11171" t="s">
        <v>15024</v>
      </c>
    </row>
    <row r="11172" spans="1:4">
      <c r="A11172">
        <v>11719</v>
      </c>
      <c r="B11172" t="s">
        <v>11561</v>
      </c>
      <c r="C11172" t="s">
        <v>427</v>
      </c>
      <c r="D11172" t="s">
        <v>22046</v>
      </c>
    </row>
    <row r="11173" spans="1:4">
      <c r="A11173">
        <v>6019</v>
      </c>
      <c r="B11173" t="s">
        <v>11562</v>
      </c>
      <c r="C11173" t="s">
        <v>427</v>
      </c>
      <c r="D11173" t="s">
        <v>19473</v>
      </c>
    </row>
    <row r="11174" spans="1:4">
      <c r="A11174">
        <v>6010</v>
      </c>
      <c r="B11174" t="s">
        <v>11563</v>
      </c>
      <c r="C11174" t="s">
        <v>427</v>
      </c>
      <c r="D11174" t="s">
        <v>26517</v>
      </c>
    </row>
    <row r="11175" spans="1:4">
      <c r="A11175">
        <v>6017</v>
      </c>
      <c r="B11175" t="s">
        <v>11564</v>
      </c>
      <c r="C11175" t="s">
        <v>427</v>
      </c>
      <c r="D11175" t="s">
        <v>22949</v>
      </c>
    </row>
    <row r="11176" spans="1:4">
      <c r="A11176">
        <v>6020</v>
      </c>
      <c r="B11176" t="s">
        <v>11565</v>
      </c>
      <c r="C11176" t="s">
        <v>427</v>
      </c>
      <c r="D11176" t="s">
        <v>22193</v>
      </c>
    </row>
    <row r="11177" spans="1:4">
      <c r="A11177">
        <v>6028</v>
      </c>
      <c r="B11177" t="s">
        <v>11566</v>
      </c>
      <c r="C11177" t="s">
        <v>427</v>
      </c>
      <c r="D11177" t="s">
        <v>23578</v>
      </c>
    </row>
    <row r="11178" spans="1:4">
      <c r="A11178">
        <v>6011</v>
      </c>
      <c r="B11178" t="s">
        <v>11567</v>
      </c>
      <c r="C11178" t="s">
        <v>427</v>
      </c>
      <c r="D11178" t="s">
        <v>26518</v>
      </c>
    </row>
    <row r="11179" spans="1:4">
      <c r="A11179">
        <v>6012</v>
      </c>
      <c r="B11179" t="s">
        <v>11568</v>
      </c>
      <c r="C11179" t="s">
        <v>427</v>
      </c>
      <c r="D11179" t="s">
        <v>26519</v>
      </c>
    </row>
    <row r="11180" spans="1:4">
      <c r="A11180">
        <v>6016</v>
      </c>
      <c r="B11180" t="s">
        <v>11569</v>
      </c>
      <c r="C11180" t="s">
        <v>427</v>
      </c>
      <c r="D11180" t="s">
        <v>22528</v>
      </c>
    </row>
    <row r="11181" spans="1:4">
      <c r="A11181">
        <v>6027</v>
      </c>
      <c r="B11181" t="s">
        <v>11570</v>
      </c>
      <c r="C11181" t="s">
        <v>427</v>
      </c>
      <c r="D11181" t="s">
        <v>26520</v>
      </c>
    </row>
    <row r="11182" spans="1:4">
      <c r="A11182">
        <v>6013</v>
      </c>
      <c r="B11182" t="s">
        <v>11571</v>
      </c>
      <c r="C11182" t="s">
        <v>427</v>
      </c>
      <c r="D11182" t="s">
        <v>26521</v>
      </c>
    </row>
    <row r="11183" spans="1:4">
      <c r="A11183">
        <v>6015</v>
      </c>
      <c r="B11183" t="s">
        <v>11572</v>
      </c>
      <c r="C11183" t="s">
        <v>427</v>
      </c>
      <c r="D11183" t="s">
        <v>26522</v>
      </c>
    </row>
    <row r="11184" spans="1:4">
      <c r="A11184">
        <v>6014</v>
      </c>
      <c r="B11184" t="s">
        <v>11573</v>
      </c>
      <c r="C11184" t="s">
        <v>427</v>
      </c>
      <c r="D11184" t="s">
        <v>26523</v>
      </c>
    </row>
    <row r="11185" spans="1:4">
      <c r="A11185">
        <v>6006</v>
      </c>
      <c r="B11185" t="s">
        <v>11574</v>
      </c>
      <c r="C11185" t="s">
        <v>427</v>
      </c>
      <c r="D11185" t="s">
        <v>17880</v>
      </c>
    </row>
    <row r="11186" spans="1:4">
      <c r="A11186">
        <v>6005</v>
      </c>
      <c r="B11186" t="s">
        <v>11575</v>
      </c>
      <c r="C11186" t="s">
        <v>427</v>
      </c>
      <c r="D11186" t="s">
        <v>23015</v>
      </c>
    </row>
    <row r="11187" spans="1:4">
      <c r="A11187">
        <v>11756</v>
      </c>
      <c r="B11187" t="s">
        <v>11576</v>
      </c>
      <c r="C11187" t="s">
        <v>427</v>
      </c>
      <c r="D11187" t="s">
        <v>23004</v>
      </c>
    </row>
    <row r="11188" spans="1:4">
      <c r="A11188">
        <v>10904</v>
      </c>
      <c r="B11188" t="s">
        <v>11577</v>
      </c>
      <c r="C11188" t="s">
        <v>427</v>
      </c>
      <c r="D11188" t="s">
        <v>25664</v>
      </c>
    </row>
    <row r="11189" spans="1:4">
      <c r="A11189">
        <v>11752</v>
      </c>
      <c r="B11189" t="s">
        <v>11578</v>
      </c>
      <c r="C11189" t="s">
        <v>427</v>
      </c>
      <c r="D11189" t="s">
        <v>26524</v>
      </c>
    </row>
    <row r="11190" spans="1:4">
      <c r="A11190">
        <v>11753</v>
      </c>
      <c r="B11190" t="s">
        <v>11579</v>
      </c>
      <c r="C11190" t="s">
        <v>427</v>
      </c>
      <c r="D11190" t="s">
        <v>15801</v>
      </c>
    </row>
    <row r="11191" spans="1:4">
      <c r="A11191">
        <v>6021</v>
      </c>
      <c r="B11191" t="s">
        <v>11580</v>
      </c>
      <c r="C11191" t="s">
        <v>427</v>
      </c>
      <c r="D11191" t="s">
        <v>17413</v>
      </c>
    </row>
    <row r="11192" spans="1:4">
      <c r="A11192">
        <v>6024</v>
      </c>
      <c r="B11192" t="s">
        <v>11581</v>
      </c>
      <c r="C11192" t="s">
        <v>427</v>
      </c>
      <c r="D11192" t="s">
        <v>26525</v>
      </c>
    </row>
    <row r="11193" spans="1:4">
      <c r="A11193">
        <v>38379</v>
      </c>
      <c r="B11193" t="s">
        <v>11582</v>
      </c>
      <c r="C11193" t="s">
        <v>429</v>
      </c>
      <c r="D11193" t="s">
        <v>26526</v>
      </c>
    </row>
    <row r="11194" spans="1:4">
      <c r="A11194">
        <v>13897</v>
      </c>
      <c r="B11194" t="s">
        <v>11583</v>
      </c>
      <c r="C11194" t="s">
        <v>427</v>
      </c>
      <c r="D11194" t="s">
        <v>26527</v>
      </c>
    </row>
    <row r="11195" spans="1:4">
      <c r="A11195">
        <v>10640</v>
      </c>
      <c r="B11195" t="s">
        <v>11584</v>
      </c>
      <c r="C11195" t="s">
        <v>427</v>
      </c>
      <c r="D11195" t="s">
        <v>26528</v>
      </c>
    </row>
    <row r="11196" spans="1:4">
      <c r="A11196">
        <v>34357</v>
      </c>
      <c r="B11196" t="s">
        <v>11585</v>
      </c>
      <c r="C11196" t="s">
        <v>430</v>
      </c>
      <c r="D11196" t="s">
        <v>15143</v>
      </c>
    </row>
    <row r="11197" spans="1:4">
      <c r="A11197">
        <v>37329</v>
      </c>
      <c r="B11197" t="s">
        <v>11586</v>
      </c>
      <c r="C11197" t="s">
        <v>430</v>
      </c>
      <c r="D11197" t="s">
        <v>26529</v>
      </c>
    </row>
    <row r="11198" spans="1:4">
      <c r="A11198">
        <v>2510</v>
      </c>
      <c r="B11198" t="s">
        <v>11587</v>
      </c>
      <c r="C11198" t="s">
        <v>427</v>
      </c>
      <c r="D11198" t="s">
        <v>26530</v>
      </c>
    </row>
    <row r="11199" spans="1:4">
      <c r="A11199">
        <v>12359</v>
      </c>
      <c r="B11199" t="s">
        <v>11588</v>
      </c>
      <c r="C11199" t="s">
        <v>427</v>
      </c>
      <c r="D11199" t="s">
        <v>26531</v>
      </c>
    </row>
    <row r="11200" spans="1:4">
      <c r="A11200">
        <v>7353</v>
      </c>
      <c r="B11200" t="s">
        <v>11589</v>
      </c>
      <c r="C11200" t="s">
        <v>428</v>
      </c>
      <c r="D11200" t="s">
        <v>15741</v>
      </c>
    </row>
    <row r="11201" spans="1:4">
      <c r="A11201">
        <v>36144</v>
      </c>
      <c r="B11201" t="s">
        <v>11590</v>
      </c>
      <c r="C11201" t="s">
        <v>427</v>
      </c>
      <c r="D11201" t="s">
        <v>26532</v>
      </c>
    </row>
    <row r="11202" spans="1:4">
      <c r="A11202">
        <v>10518</v>
      </c>
      <c r="B11202" t="s">
        <v>11591</v>
      </c>
      <c r="C11202" t="s">
        <v>427</v>
      </c>
      <c r="D11202" t="s">
        <v>26533</v>
      </c>
    </row>
    <row r="11203" spans="1:4">
      <c r="A11203">
        <v>36530</v>
      </c>
      <c r="B11203" t="s">
        <v>11592</v>
      </c>
      <c r="C11203" t="s">
        <v>427</v>
      </c>
      <c r="D11203" t="s">
        <v>26534</v>
      </c>
    </row>
    <row r="11204" spans="1:4">
      <c r="A11204">
        <v>6046</v>
      </c>
      <c r="B11204" t="s">
        <v>11593</v>
      </c>
      <c r="C11204" t="s">
        <v>427</v>
      </c>
      <c r="D11204" t="s">
        <v>26535</v>
      </c>
    </row>
    <row r="11205" spans="1:4">
      <c r="A11205">
        <v>36531</v>
      </c>
      <c r="B11205" t="s">
        <v>11594</v>
      </c>
      <c r="C11205" t="s">
        <v>427</v>
      </c>
      <c r="D11205" t="s">
        <v>26536</v>
      </c>
    </row>
    <row r="11206" spans="1:4">
      <c r="A11206">
        <v>34684</v>
      </c>
      <c r="B11206" t="s">
        <v>11595</v>
      </c>
      <c r="C11206" t="s">
        <v>426</v>
      </c>
      <c r="D11206" t="s">
        <v>26537</v>
      </c>
    </row>
    <row r="11207" spans="1:4">
      <c r="A11207">
        <v>34683</v>
      </c>
      <c r="B11207" t="s">
        <v>11596</v>
      </c>
      <c r="C11207" t="s">
        <v>426</v>
      </c>
      <c r="D11207" t="s">
        <v>26538</v>
      </c>
    </row>
    <row r="11208" spans="1:4">
      <c r="A11208">
        <v>533</v>
      </c>
      <c r="B11208" t="s">
        <v>11597</v>
      </c>
      <c r="C11208" t="s">
        <v>426</v>
      </c>
      <c r="D11208" t="s">
        <v>18687</v>
      </c>
    </row>
    <row r="11209" spans="1:4">
      <c r="A11209">
        <v>10515</v>
      </c>
      <c r="B11209" t="s">
        <v>11598</v>
      </c>
      <c r="C11209" t="s">
        <v>426</v>
      </c>
      <c r="D11209" t="s">
        <v>26539</v>
      </c>
    </row>
    <row r="11210" spans="1:4">
      <c r="A11210">
        <v>536</v>
      </c>
      <c r="B11210" t="s">
        <v>11599</v>
      </c>
      <c r="C11210" t="s">
        <v>426</v>
      </c>
      <c r="D11210" t="s">
        <v>24919</v>
      </c>
    </row>
    <row r="11211" spans="1:4">
      <c r="A11211">
        <v>153</v>
      </c>
      <c r="B11211" t="s">
        <v>11600</v>
      </c>
      <c r="C11211" t="s">
        <v>428</v>
      </c>
      <c r="D11211" t="s">
        <v>22934</v>
      </c>
    </row>
    <row r="11212" spans="1:4">
      <c r="A11212">
        <v>34682</v>
      </c>
      <c r="B11212" t="s">
        <v>11601</v>
      </c>
      <c r="C11212" t="s">
        <v>426</v>
      </c>
      <c r="D11212" t="s">
        <v>26540</v>
      </c>
    </row>
    <row r="11213" spans="1:4">
      <c r="A11213">
        <v>20205</v>
      </c>
      <c r="B11213" t="s">
        <v>11602</v>
      </c>
      <c r="C11213" t="s">
        <v>429</v>
      </c>
      <c r="D11213" t="s">
        <v>16660</v>
      </c>
    </row>
    <row r="11214" spans="1:4">
      <c r="A11214">
        <v>4412</v>
      </c>
      <c r="B11214" t="s">
        <v>11603</v>
      </c>
      <c r="C11214" t="s">
        <v>429</v>
      </c>
      <c r="D11214" t="s">
        <v>24588</v>
      </c>
    </row>
    <row r="11215" spans="1:4">
      <c r="A11215">
        <v>4408</v>
      </c>
      <c r="B11215" t="s">
        <v>11604</v>
      </c>
      <c r="C11215" t="s">
        <v>429</v>
      </c>
      <c r="D11215" t="s">
        <v>23672</v>
      </c>
    </row>
    <row r="11216" spans="1:4">
      <c r="A11216">
        <v>36250</v>
      </c>
      <c r="B11216" t="s">
        <v>11605</v>
      </c>
      <c r="C11216" t="s">
        <v>429</v>
      </c>
      <c r="D11216" t="s">
        <v>22302</v>
      </c>
    </row>
    <row r="11217" spans="1:4">
      <c r="A11217">
        <v>10857</v>
      </c>
      <c r="B11217" t="s">
        <v>11606</v>
      </c>
      <c r="C11217" t="s">
        <v>429</v>
      </c>
      <c r="D11217" t="s">
        <v>14859</v>
      </c>
    </row>
    <row r="11218" spans="1:4">
      <c r="A11218">
        <v>4803</v>
      </c>
      <c r="B11218" t="s">
        <v>11607</v>
      </c>
      <c r="C11218" t="s">
        <v>429</v>
      </c>
      <c r="D11218" t="s">
        <v>26541</v>
      </c>
    </row>
    <row r="11219" spans="1:4">
      <c r="A11219">
        <v>6186</v>
      </c>
      <c r="B11219" t="s">
        <v>11608</v>
      </c>
      <c r="C11219" t="s">
        <v>429</v>
      </c>
      <c r="D11219" t="s">
        <v>16653</v>
      </c>
    </row>
    <row r="11220" spans="1:4">
      <c r="A11220">
        <v>4829</v>
      </c>
      <c r="B11220" t="s">
        <v>11609</v>
      </c>
      <c r="C11220" t="s">
        <v>429</v>
      </c>
      <c r="D11220" t="s">
        <v>26542</v>
      </c>
    </row>
    <row r="11221" spans="1:4">
      <c r="A11221">
        <v>39829</v>
      </c>
      <c r="B11221" t="s">
        <v>11610</v>
      </c>
      <c r="C11221" t="s">
        <v>429</v>
      </c>
      <c r="D11221" t="s">
        <v>15353</v>
      </c>
    </row>
    <row r="11222" spans="1:4">
      <c r="A11222">
        <v>20231</v>
      </c>
      <c r="B11222" t="s">
        <v>11611</v>
      </c>
      <c r="C11222" t="s">
        <v>429</v>
      </c>
      <c r="D11222" t="s">
        <v>17812</v>
      </c>
    </row>
    <row r="11223" spans="1:4">
      <c r="A11223">
        <v>4804</v>
      </c>
      <c r="B11223" t="s">
        <v>11612</v>
      </c>
      <c r="C11223" t="s">
        <v>429</v>
      </c>
      <c r="D11223" t="s">
        <v>17426</v>
      </c>
    </row>
    <row r="11224" spans="1:4">
      <c r="A11224">
        <v>34680</v>
      </c>
      <c r="B11224" t="s">
        <v>11613</v>
      </c>
      <c r="C11224" t="s">
        <v>429</v>
      </c>
      <c r="D11224" t="s">
        <v>26543</v>
      </c>
    </row>
    <row r="11225" spans="1:4">
      <c r="A11225">
        <v>11573</v>
      </c>
      <c r="B11225" t="s">
        <v>11614</v>
      </c>
      <c r="C11225" t="s">
        <v>427</v>
      </c>
      <c r="D11225" t="s">
        <v>15594</v>
      </c>
    </row>
    <row r="11226" spans="1:4">
      <c r="A11226">
        <v>38401</v>
      </c>
      <c r="B11226" t="s">
        <v>11615</v>
      </c>
      <c r="C11226" t="s">
        <v>427</v>
      </c>
      <c r="D11226" t="s">
        <v>18619</v>
      </c>
    </row>
    <row r="11227" spans="1:4">
      <c r="A11227">
        <v>11575</v>
      </c>
      <c r="B11227" t="s">
        <v>11616</v>
      </c>
      <c r="C11227" t="s">
        <v>427</v>
      </c>
      <c r="D11227" t="s">
        <v>26544</v>
      </c>
    </row>
    <row r="11228" spans="1:4">
      <c r="A11228">
        <v>38179</v>
      </c>
      <c r="B11228" t="s">
        <v>11617</v>
      </c>
      <c r="C11228" t="s">
        <v>427</v>
      </c>
      <c r="D11228" t="s">
        <v>26545</v>
      </c>
    </row>
    <row r="11229" spans="1:4">
      <c r="A11229">
        <v>20256</v>
      </c>
      <c r="B11229" t="s">
        <v>11618</v>
      </c>
      <c r="C11229" t="s">
        <v>427</v>
      </c>
      <c r="D11229" t="s">
        <v>15289</v>
      </c>
    </row>
    <row r="11230" spans="1:4">
      <c r="A11230">
        <v>14511</v>
      </c>
      <c r="B11230" t="s">
        <v>11619</v>
      </c>
      <c r="C11230" t="s">
        <v>427</v>
      </c>
      <c r="D11230" t="s">
        <v>26546</v>
      </c>
    </row>
    <row r="11231" spans="1:4">
      <c r="A11231">
        <v>10642</v>
      </c>
      <c r="B11231" t="s">
        <v>11620</v>
      </c>
      <c r="C11231" t="s">
        <v>427</v>
      </c>
      <c r="D11231" t="s">
        <v>26547</v>
      </c>
    </row>
    <row r="11232" spans="1:4">
      <c r="A11232">
        <v>14489</v>
      </c>
      <c r="B11232" t="s">
        <v>11621</v>
      </c>
      <c r="C11232" t="s">
        <v>427</v>
      </c>
      <c r="D11232" t="s">
        <v>26548</v>
      </c>
    </row>
    <row r="11233" spans="1:4">
      <c r="A11233">
        <v>14513</v>
      </c>
      <c r="B11233" t="s">
        <v>11622</v>
      </c>
      <c r="C11233" t="s">
        <v>427</v>
      </c>
      <c r="D11233" t="s">
        <v>26549</v>
      </c>
    </row>
    <row r="11234" spans="1:4">
      <c r="A11234">
        <v>13600</v>
      </c>
      <c r="B11234" t="s">
        <v>11623</v>
      </c>
      <c r="C11234" t="s">
        <v>427</v>
      </c>
      <c r="D11234" t="s">
        <v>26550</v>
      </c>
    </row>
    <row r="11235" spans="1:4">
      <c r="A11235">
        <v>10646</v>
      </c>
      <c r="B11235" t="s">
        <v>11624</v>
      </c>
      <c r="C11235" t="s">
        <v>427</v>
      </c>
      <c r="D11235" t="s">
        <v>26551</v>
      </c>
    </row>
    <row r="11236" spans="1:4">
      <c r="A11236">
        <v>6070</v>
      </c>
      <c r="B11236" t="s">
        <v>11625</v>
      </c>
      <c r="C11236" t="s">
        <v>427</v>
      </c>
      <c r="D11236" t="s">
        <v>26552</v>
      </c>
    </row>
    <row r="11237" spans="1:4">
      <c r="A11237">
        <v>6069</v>
      </c>
      <c r="B11237" t="s">
        <v>11626</v>
      </c>
      <c r="C11237" t="s">
        <v>427</v>
      </c>
      <c r="D11237" t="s">
        <v>26553</v>
      </c>
    </row>
    <row r="11238" spans="1:4">
      <c r="A11238">
        <v>14626</v>
      </c>
      <c r="B11238" t="s">
        <v>11627</v>
      </c>
      <c r="C11238" t="s">
        <v>427</v>
      </c>
      <c r="D11238" t="s">
        <v>26554</v>
      </c>
    </row>
    <row r="11239" spans="1:4">
      <c r="A11239">
        <v>6067</v>
      </c>
      <c r="B11239" t="s">
        <v>11628</v>
      </c>
      <c r="C11239" t="s">
        <v>427</v>
      </c>
      <c r="D11239" t="s">
        <v>26555</v>
      </c>
    </row>
    <row r="11240" spans="1:4">
      <c r="A11240">
        <v>38393</v>
      </c>
      <c r="B11240" t="s">
        <v>11629</v>
      </c>
      <c r="C11240" t="s">
        <v>427</v>
      </c>
      <c r="D11240" t="s">
        <v>20198</v>
      </c>
    </row>
    <row r="11241" spans="1:4">
      <c r="A11241">
        <v>38390</v>
      </c>
      <c r="B11241" t="s">
        <v>11630</v>
      </c>
      <c r="C11241" t="s">
        <v>427</v>
      </c>
      <c r="D11241" t="s">
        <v>26556</v>
      </c>
    </row>
    <row r="11242" spans="1:4">
      <c r="A11242">
        <v>36532</v>
      </c>
      <c r="B11242" t="s">
        <v>11631</v>
      </c>
      <c r="C11242" t="s">
        <v>427</v>
      </c>
      <c r="D11242" t="s">
        <v>26557</v>
      </c>
    </row>
    <row r="11243" spans="1:4">
      <c r="A11243">
        <v>11578</v>
      </c>
      <c r="B11243" t="s">
        <v>11632</v>
      </c>
      <c r="C11243" t="s">
        <v>427</v>
      </c>
      <c r="D11243" t="s">
        <v>16325</v>
      </c>
    </row>
    <row r="11244" spans="1:4">
      <c r="A11244">
        <v>11577</v>
      </c>
      <c r="B11244" t="s">
        <v>11633</v>
      </c>
      <c r="C11244" t="s">
        <v>427</v>
      </c>
      <c r="D11244" t="s">
        <v>18470</v>
      </c>
    </row>
    <row r="11245" spans="1:4">
      <c r="A11245">
        <v>42432</v>
      </c>
      <c r="B11245" t="s">
        <v>11634</v>
      </c>
      <c r="C11245" t="s">
        <v>427</v>
      </c>
      <c r="D11245" t="s">
        <v>26558</v>
      </c>
    </row>
    <row r="11246" spans="1:4">
      <c r="A11246">
        <v>42437</v>
      </c>
      <c r="B11246" t="s">
        <v>11635</v>
      </c>
      <c r="C11246" t="s">
        <v>427</v>
      </c>
      <c r="D11246" t="s">
        <v>26559</v>
      </c>
    </row>
    <row r="11247" spans="1:4">
      <c r="A11247">
        <v>1116</v>
      </c>
      <c r="B11247" t="s">
        <v>11636</v>
      </c>
      <c r="C11247" t="s">
        <v>429</v>
      </c>
      <c r="D11247" t="s">
        <v>26451</v>
      </c>
    </row>
    <row r="11248" spans="1:4">
      <c r="A11248">
        <v>1115</v>
      </c>
      <c r="B11248" t="s">
        <v>11637</v>
      </c>
      <c r="C11248" t="s">
        <v>429</v>
      </c>
      <c r="D11248" t="s">
        <v>26560</v>
      </c>
    </row>
    <row r="11249" spans="1:4">
      <c r="A11249">
        <v>1113</v>
      </c>
      <c r="B11249" t="s">
        <v>11638</v>
      </c>
      <c r="C11249" t="s">
        <v>429</v>
      </c>
      <c r="D11249" t="s">
        <v>20111</v>
      </c>
    </row>
    <row r="11250" spans="1:4">
      <c r="A11250">
        <v>1114</v>
      </c>
      <c r="B11250" t="s">
        <v>11639</v>
      </c>
      <c r="C11250" t="s">
        <v>429</v>
      </c>
      <c r="D11250" t="s">
        <v>25065</v>
      </c>
    </row>
    <row r="11251" spans="1:4">
      <c r="A11251">
        <v>40873</v>
      </c>
      <c r="B11251" t="s">
        <v>11640</v>
      </c>
      <c r="C11251" t="s">
        <v>429</v>
      </c>
      <c r="D11251" t="s">
        <v>23396</v>
      </c>
    </row>
    <row r="11252" spans="1:4">
      <c r="A11252">
        <v>20214</v>
      </c>
      <c r="B11252" t="s">
        <v>11641</v>
      </c>
      <c r="C11252" t="s">
        <v>427</v>
      </c>
      <c r="D11252" t="s">
        <v>26561</v>
      </c>
    </row>
    <row r="11253" spans="1:4">
      <c r="A11253">
        <v>7237</v>
      </c>
      <c r="B11253" t="s">
        <v>11642</v>
      </c>
      <c r="C11253" t="s">
        <v>427</v>
      </c>
      <c r="D11253" t="s">
        <v>26562</v>
      </c>
    </row>
    <row r="11254" spans="1:4">
      <c r="A11254">
        <v>11757</v>
      </c>
      <c r="B11254" t="s">
        <v>11643</v>
      </c>
      <c r="C11254" t="s">
        <v>427</v>
      </c>
      <c r="D11254" t="s">
        <v>17804</v>
      </c>
    </row>
    <row r="11255" spans="1:4">
      <c r="A11255">
        <v>11758</v>
      </c>
      <c r="B11255" t="s">
        <v>11644</v>
      </c>
      <c r="C11255" t="s">
        <v>427</v>
      </c>
      <c r="D11255" t="s">
        <v>24034</v>
      </c>
    </row>
    <row r="11256" spans="1:4">
      <c r="A11256">
        <v>37526</v>
      </c>
      <c r="B11256" t="s">
        <v>11645</v>
      </c>
      <c r="C11256" t="s">
        <v>427</v>
      </c>
      <c r="D11256" t="s">
        <v>19118</v>
      </c>
    </row>
    <row r="11257" spans="1:4">
      <c r="A11257">
        <v>6076</v>
      </c>
      <c r="B11257" t="s">
        <v>11646</v>
      </c>
      <c r="C11257" t="s">
        <v>431</v>
      </c>
      <c r="D11257" t="s">
        <v>26563</v>
      </c>
    </row>
    <row r="11258" spans="1:4">
      <c r="A11258">
        <v>13109</v>
      </c>
      <c r="B11258" t="s">
        <v>11647</v>
      </c>
      <c r="C11258" t="s">
        <v>427</v>
      </c>
      <c r="D11258" t="s">
        <v>26564</v>
      </c>
    </row>
    <row r="11259" spans="1:4">
      <c r="A11259">
        <v>13110</v>
      </c>
      <c r="B11259" t="s">
        <v>11648</v>
      </c>
      <c r="C11259" t="s">
        <v>427</v>
      </c>
      <c r="D11259" t="s">
        <v>26565</v>
      </c>
    </row>
    <row r="11260" spans="1:4">
      <c r="A11260">
        <v>7581</v>
      </c>
      <c r="B11260" t="s">
        <v>11649</v>
      </c>
      <c r="C11260" t="s">
        <v>427</v>
      </c>
      <c r="D11260" t="s">
        <v>15247</v>
      </c>
    </row>
    <row r="11261" spans="1:4">
      <c r="A11261">
        <v>4509</v>
      </c>
      <c r="B11261" t="s">
        <v>11650</v>
      </c>
      <c r="C11261" t="s">
        <v>429</v>
      </c>
      <c r="D11261" t="s">
        <v>23552</v>
      </c>
    </row>
    <row r="11262" spans="1:4">
      <c r="A11262">
        <v>4512</v>
      </c>
      <c r="B11262" t="s">
        <v>11651</v>
      </c>
      <c r="C11262" t="s">
        <v>429</v>
      </c>
      <c r="D11262" t="s">
        <v>20072</v>
      </c>
    </row>
    <row r="11263" spans="1:4">
      <c r="A11263">
        <v>4517</v>
      </c>
      <c r="B11263" t="s">
        <v>11652</v>
      </c>
      <c r="C11263" t="s">
        <v>429</v>
      </c>
      <c r="D11263" t="s">
        <v>26168</v>
      </c>
    </row>
    <row r="11264" spans="1:4">
      <c r="A11264">
        <v>20206</v>
      </c>
      <c r="B11264" t="s">
        <v>11653</v>
      </c>
      <c r="C11264" t="s">
        <v>429</v>
      </c>
      <c r="D11264" t="s">
        <v>25970</v>
      </c>
    </row>
    <row r="11265" spans="1:4">
      <c r="A11265">
        <v>4460</v>
      </c>
      <c r="B11265" t="s">
        <v>11654</v>
      </c>
      <c r="C11265" t="s">
        <v>429</v>
      </c>
      <c r="D11265" t="s">
        <v>26566</v>
      </c>
    </row>
    <row r="11266" spans="1:4">
      <c r="A11266">
        <v>4417</v>
      </c>
      <c r="B11266" t="s">
        <v>11655</v>
      </c>
      <c r="C11266" t="s">
        <v>429</v>
      </c>
      <c r="D11266" t="s">
        <v>17184</v>
      </c>
    </row>
    <row r="11267" spans="1:4">
      <c r="A11267">
        <v>4415</v>
      </c>
      <c r="B11267" t="s">
        <v>11656</v>
      </c>
      <c r="C11267" t="s">
        <v>429</v>
      </c>
      <c r="D11267" t="s">
        <v>20562</v>
      </c>
    </row>
    <row r="11268" spans="1:4">
      <c r="A11268">
        <v>37373</v>
      </c>
      <c r="B11268" t="s">
        <v>11657</v>
      </c>
      <c r="C11268" t="s">
        <v>432</v>
      </c>
      <c r="D11268" t="s">
        <v>15216</v>
      </c>
    </row>
    <row r="11269" spans="1:4">
      <c r="A11269">
        <v>40864</v>
      </c>
      <c r="B11269" t="s">
        <v>11658</v>
      </c>
      <c r="C11269" t="s">
        <v>433</v>
      </c>
      <c r="D11269" t="s">
        <v>21872</v>
      </c>
    </row>
    <row r="11270" spans="1:4">
      <c r="A11270">
        <v>4734</v>
      </c>
      <c r="B11270" t="s">
        <v>11659</v>
      </c>
      <c r="C11270" t="s">
        <v>431</v>
      </c>
      <c r="D11270" t="s">
        <v>26567</v>
      </c>
    </row>
    <row r="11271" spans="1:4">
      <c r="A11271">
        <v>6085</v>
      </c>
      <c r="B11271" t="s">
        <v>11660</v>
      </c>
      <c r="C11271" t="s">
        <v>428</v>
      </c>
      <c r="D11271" t="s">
        <v>23562</v>
      </c>
    </row>
    <row r="11272" spans="1:4">
      <c r="A11272">
        <v>38396</v>
      </c>
      <c r="B11272" t="s">
        <v>11661</v>
      </c>
      <c r="C11272" t="s">
        <v>427</v>
      </c>
      <c r="D11272" t="s">
        <v>26568</v>
      </c>
    </row>
    <row r="11273" spans="1:4">
      <c r="A11273">
        <v>11622</v>
      </c>
      <c r="B11273" t="s">
        <v>11662</v>
      </c>
      <c r="C11273" t="s">
        <v>430</v>
      </c>
      <c r="D11273" t="s">
        <v>26569</v>
      </c>
    </row>
    <row r="11274" spans="1:4">
      <c r="A11274">
        <v>43143</v>
      </c>
      <c r="B11274" t="s">
        <v>11663</v>
      </c>
      <c r="C11274" t="s">
        <v>428</v>
      </c>
      <c r="D11274" t="s">
        <v>25387</v>
      </c>
    </row>
    <row r="11275" spans="1:4">
      <c r="A11275">
        <v>7317</v>
      </c>
      <c r="B11275" t="s">
        <v>11664</v>
      </c>
      <c r="C11275" t="s">
        <v>430</v>
      </c>
      <c r="D11275" t="s">
        <v>26570</v>
      </c>
    </row>
    <row r="11276" spans="1:4">
      <c r="A11276">
        <v>142</v>
      </c>
      <c r="B11276" t="s">
        <v>11665</v>
      </c>
      <c r="C11276" t="s">
        <v>444</v>
      </c>
      <c r="D11276" t="s">
        <v>26571</v>
      </c>
    </row>
    <row r="11277" spans="1:4">
      <c r="A11277">
        <v>43142</v>
      </c>
      <c r="B11277" t="s">
        <v>11666</v>
      </c>
      <c r="C11277" t="s">
        <v>428</v>
      </c>
      <c r="D11277" t="s">
        <v>26572</v>
      </c>
    </row>
    <row r="11278" spans="1:4">
      <c r="A11278">
        <v>38123</v>
      </c>
      <c r="B11278" t="s">
        <v>11667</v>
      </c>
      <c r="C11278" t="s">
        <v>430</v>
      </c>
      <c r="D11278" t="s">
        <v>26573</v>
      </c>
    </row>
    <row r="11279" spans="1:4">
      <c r="A11279">
        <v>42701</v>
      </c>
      <c r="B11279" t="s">
        <v>11668</v>
      </c>
      <c r="C11279" t="s">
        <v>427</v>
      </c>
      <c r="D11279" t="s">
        <v>22577</v>
      </c>
    </row>
    <row r="11280" spans="1:4">
      <c r="A11280">
        <v>42702</v>
      </c>
      <c r="B11280" t="s">
        <v>11669</v>
      </c>
      <c r="C11280" t="s">
        <v>427</v>
      </c>
      <c r="D11280" t="s">
        <v>26574</v>
      </c>
    </row>
    <row r="11281" spans="1:4">
      <c r="A11281">
        <v>37955</v>
      </c>
      <c r="B11281" t="s">
        <v>11670</v>
      </c>
      <c r="C11281" t="s">
        <v>427</v>
      </c>
      <c r="D11281" t="s">
        <v>26575</v>
      </c>
    </row>
    <row r="11282" spans="1:4">
      <c r="A11282">
        <v>42699</v>
      </c>
      <c r="B11282" t="s">
        <v>11671</v>
      </c>
      <c r="C11282" t="s">
        <v>427</v>
      </c>
      <c r="D11282" t="s">
        <v>14771</v>
      </c>
    </row>
    <row r="11283" spans="1:4">
      <c r="A11283">
        <v>42700</v>
      </c>
      <c r="B11283" t="s">
        <v>11672</v>
      </c>
      <c r="C11283" t="s">
        <v>427</v>
      </c>
      <c r="D11283" t="s">
        <v>26576</v>
      </c>
    </row>
    <row r="11284" spans="1:4">
      <c r="A11284">
        <v>37743</v>
      </c>
      <c r="B11284" t="s">
        <v>11673</v>
      </c>
      <c r="C11284" t="s">
        <v>427</v>
      </c>
      <c r="D11284" t="s">
        <v>26577</v>
      </c>
    </row>
    <row r="11285" spans="1:4">
      <c r="A11285">
        <v>37744</v>
      </c>
      <c r="B11285" t="s">
        <v>11674</v>
      </c>
      <c r="C11285" t="s">
        <v>427</v>
      </c>
      <c r="D11285" t="s">
        <v>26578</v>
      </c>
    </row>
    <row r="11286" spans="1:4">
      <c r="A11286">
        <v>37741</v>
      </c>
      <c r="B11286" t="s">
        <v>11675</v>
      </c>
      <c r="C11286" t="s">
        <v>427</v>
      </c>
      <c r="D11286" t="s">
        <v>26579</v>
      </c>
    </row>
    <row r="11287" spans="1:4">
      <c r="A11287">
        <v>39396</v>
      </c>
      <c r="B11287" t="s">
        <v>11676</v>
      </c>
      <c r="C11287" t="s">
        <v>427</v>
      </c>
      <c r="D11287" t="s">
        <v>26580</v>
      </c>
    </row>
    <row r="11288" spans="1:4">
      <c r="A11288">
        <v>39392</v>
      </c>
      <c r="B11288" t="s">
        <v>11677</v>
      </c>
      <c r="C11288" t="s">
        <v>427</v>
      </c>
      <c r="D11288" t="s">
        <v>26581</v>
      </c>
    </row>
    <row r="11289" spans="1:4">
      <c r="A11289">
        <v>39393</v>
      </c>
      <c r="B11289" t="s">
        <v>11678</v>
      </c>
      <c r="C11289" t="s">
        <v>427</v>
      </c>
      <c r="D11289" t="s">
        <v>26582</v>
      </c>
    </row>
    <row r="11290" spans="1:4">
      <c r="A11290">
        <v>39394</v>
      </c>
      <c r="B11290" t="s">
        <v>11679</v>
      </c>
      <c r="C11290" t="s">
        <v>427</v>
      </c>
      <c r="D11290" t="s">
        <v>26583</v>
      </c>
    </row>
    <row r="11291" spans="1:4">
      <c r="A11291">
        <v>39395</v>
      </c>
      <c r="B11291" t="s">
        <v>11680</v>
      </c>
      <c r="C11291" t="s">
        <v>427</v>
      </c>
      <c r="D11291" t="s">
        <v>19320</v>
      </c>
    </row>
    <row r="11292" spans="1:4">
      <c r="A11292">
        <v>14618</v>
      </c>
      <c r="B11292" t="s">
        <v>11681</v>
      </c>
      <c r="C11292" t="s">
        <v>427</v>
      </c>
      <c r="D11292" t="s">
        <v>26584</v>
      </c>
    </row>
    <row r="11293" spans="1:4">
      <c r="A11293">
        <v>40269</v>
      </c>
      <c r="B11293" t="s">
        <v>11682</v>
      </c>
      <c r="C11293" t="s">
        <v>427</v>
      </c>
      <c r="D11293" t="s">
        <v>26585</v>
      </c>
    </row>
    <row r="11294" spans="1:4">
      <c r="A11294">
        <v>6110</v>
      </c>
      <c r="B11294" t="s">
        <v>13550</v>
      </c>
      <c r="C11294" t="s">
        <v>432</v>
      </c>
      <c r="D11294" t="s">
        <v>20265</v>
      </c>
    </row>
    <row r="11295" spans="1:4">
      <c r="A11295">
        <v>40910</v>
      </c>
      <c r="B11295" t="s">
        <v>11683</v>
      </c>
      <c r="C11295" t="s">
        <v>433</v>
      </c>
      <c r="D11295" t="s">
        <v>24644</v>
      </c>
    </row>
    <row r="11296" spans="1:4">
      <c r="A11296">
        <v>6111</v>
      </c>
      <c r="B11296" t="s">
        <v>11684</v>
      </c>
      <c r="C11296" t="s">
        <v>432</v>
      </c>
      <c r="D11296" t="s">
        <v>16929</v>
      </c>
    </row>
    <row r="11297" spans="1:4">
      <c r="A11297">
        <v>41084</v>
      </c>
      <c r="B11297" t="s">
        <v>11685</v>
      </c>
      <c r="C11297" t="s">
        <v>433</v>
      </c>
      <c r="D11297" t="s">
        <v>24768</v>
      </c>
    </row>
    <row r="11298" spans="1:4">
      <c r="A11298">
        <v>44535</v>
      </c>
      <c r="B11298" t="s">
        <v>13551</v>
      </c>
      <c r="C11298" t="s">
        <v>431</v>
      </c>
      <c r="D11298" t="s">
        <v>22206</v>
      </c>
    </row>
    <row r="11299" spans="1:4">
      <c r="A11299">
        <v>38637</v>
      </c>
      <c r="B11299" t="s">
        <v>11686</v>
      </c>
      <c r="C11299" t="s">
        <v>427</v>
      </c>
      <c r="D11299" t="s">
        <v>26586</v>
      </c>
    </row>
    <row r="11300" spans="1:4">
      <c r="A11300">
        <v>6150</v>
      </c>
      <c r="B11300" t="s">
        <v>11687</v>
      </c>
      <c r="C11300" t="s">
        <v>427</v>
      </c>
      <c r="D11300" t="s">
        <v>26587</v>
      </c>
    </row>
    <row r="11301" spans="1:4">
      <c r="A11301">
        <v>6136</v>
      </c>
      <c r="B11301" t="s">
        <v>11688</v>
      </c>
      <c r="C11301" t="s">
        <v>427</v>
      </c>
      <c r="D11301" t="s">
        <v>26588</v>
      </c>
    </row>
    <row r="11302" spans="1:4">
      <c r="A11302">
        <v>38638</v>
      </c>
      <c r="B11302" t="s">
        <v>11689</v>
      </c>
      <c r="C11302" t="s">
        <v>427</v>
      </c>
      <c r="D11302" t="s">
        <v>26589</v>
      </c>
    </row>
    <row r="11303" spans="1:4">
      <c r="A11303">
        <v>20262</v>
      </c>
      <c r="B11303" t="s">
        <v>11690</v>
      </c>
      <c r="C11303" t="s">
        <v>427</v>
      </c>
      <c r="D11303" t="s">
        <v>20649</v>
      </c>
    </row>
    <row r="11304" spans="1:4">
      <c r="A11304">
        <v>6148</v>
      </c>
      <c r="B11304" t="s">
        <v>11691</v>
      </c>
      <c r="C11304" t="s">
        <v>427</v>
      </c>
      <c r="D11304" t="s">
        <v>20583</v>
      </c>
    </row>
    <row r="11305" spans="1:4">
      <c r="A11305">
        <v>6145</v>
      </c>
      <c r="B11305" t="s">
        <v>11692</v>
      </c>
      <c r="C11305" t="s">
        <v>427</v>
      </c>
      <c r="D11305" t="s">
        <v>20906</v>
      </c>
    </row>
    <row r="11306" spans="1:4">
      <c r="A11306">
        <v>6149</v>
      </c>
      <c r="B11306" t="s">
        <v>11693</v>
      </c>
      <c r="C11306" t="s">
        <v>427</v>
      </c>
      <c r="D11306" t="s">
        <v>17813</v>
      </c>
    </row>
    <row r="11307" spans="1:4">
      <c r="A11307">
        <v>6146</v>
      </c>
      <c r="B11307" t="s">
        <v>11694</v>
      </c>
      <c r="C11307" t="s">
        <v>427</v>
      </c>
      <c r="D11307" t="s">
        <v>26590</v>
      </c>
    </row>
    <row r="11308" spans="1:4">
      <c r="A11308">
        <v>44536</v>
      </c>
      <c r="B11308" t="s">
        <v>13552</v>
      </c>
      <c r="C11308" t="s">
        <v>430</v>
      </c>
      <c r="D11308" t="s">
        <v>15804</v>
      </c>
    </row>
    <row r="11309" spans="1:4">
      <c r="A11309">
        <v>39961</v>
      </c>
      <c r="B11309" t="s">
        <v>11695</v>
      </c>
      <c r="C11309" t="s">
        <v>427</v>
      </c>
      <c r="D11309" t="s">
        <v>23895</v>
      </c>
    </row>
    <row r="11310" spans="1:4">
      <c r="A11310">
        <v>42433</v>
      </c>
      <c r="B11310" t="s">
        <v>11696</v>
      </c>
      <c r="C11310" t="s">
        <v>427</v>
      </c>
      <c r="D11310" t="s">
        <v>26591</v>
      </c>
    </row>
    <row r="11311" spans="1:4">
      <c r="A11311">
        <v>42434</v>
      </c>
      <c r="B11311" t="s">
        <v>11697</v>
      </c>
      <c r="C11311" t="s">
        <v>427</v>
      </c>
      <c r="D11311" t="s">
        <v>26592</v>
      </c>
    </row>
    <row r="11312" spans="1:4">
      <c r="A11312">
        <v>42435</v>
      </c>
      <c r="B11312" t="s">
        <v>11698</v>
      </c>
      <c r="C11312" t="s">
        <v>427</v>
      </c>
      <c r="D11312" t="s">
        <v>26593</v>
      </c>
    </row>
    <row r="11313" spans="1:4">
      <c r="A11313">
        <v>38061</v>
      </c>
      <c r="B11313" t="s">
        <v>11699</v>
      </c>
      <c r="C11313" t="s">
        <v>427</v>
      </c>
      <c r="D11313" t="s">
        <v>26594</v>
      </c>
    </row>
    <row r="11314" spans="1:4">
      <c r="A11314">
        <v>20250</v>
      </c>
      <c r="B11314" t="s">
        <v>11700</v>
      </c>
      <c r="C11314" t="s">
        <v>430</v>
      </c>
      <c r="D11314" t="s">
        <v>16089</v>
      </c>
    </row>
    <row r="11315" spans="1:4">
      <c r="A11315">
        <v>13388</v>
      </c>
      <c r="B11315" t="s">
        <v>11701</v>
      </c>
      <c r="C11315" t="s">
        <v>430</v>
      </c>
      <c r="D11315" t="s">
        <v>26595</v>
      </c>
    </row>
    <row r="11316" spans="1:4">
      <c r="A11316">
        <v>39914</v>
      </c>
      <c r="B11316" t="s">
        <v>11702</v>
      </c>
      <c r="C11316" t="s">
        <v>430</v>
      </c>
      <c r="D11316" t="s">
        <v>26596</v>
      </c>
    </row>
    <row r="11317" spans="1:4">
      <c r="A11317">
        <v>12732</v>
      </c>
      <c r="B11317" t="s">
        <v>11703</v>
      </c>
      <c r="C11317" t="s">
        <v>427</v>
      </c>
      <c r="D11317" t="s">
        <v>26597</v>
      </c>
    </row>
    <row r="11318" spans="1:4">
      <c r="A11318">
        <v>6160</v>
      </c>
      <c r="B11318" t="s">
        <v>11704</v>
      </c>
      <c r="C11318" t="s">
        <v>432</v>
      </c>
      <c r="D11318" t="s">
        <v>20265</v>
      </c>
    </row>
    <row r="11319" spans="1:4">
      <c r="A11319">
        <v>41087</v>
      </c>
      <c r="B11319" t="s">
        <v>11705</v>
      </c>
      <c r="C11319" t="s">
        <v>433</v>
      </c>
      <c r="D11319" t="s">
        <v>24644</v>
      </c>
    </row>
    <row r="11320" spans="1:4">
      <c r="A11320">
        <v>6166</v>
      </c>
      <c r="B11320" t="s">
        <v>11706</v>
      </c>
      <c r="C11320" t="s">
        <v>432</v>
      </c>
      <c r="D11320" t="s">
        <v>22097</v>
      </c>
    </row>
    <row r="11321" spans="1:4">
      <c r="A11321">
        <v>41088</v>
      </c>
      <c r="B11321" t="s">
        <v>11707</v>
      </c>
      <c r="C11321" t="s">
        <v>433</v>
      </c>
      <c r="D11321" t="s">
        <v>26598</v>
      </c>
    </row>
    <row r="11322" spans="1:4">
      <c r="A11322">
        <v>20232</v>
      </c>
      <c r="B11322" t="s">
        <v>11708</v>
      </c>
      <c r="C11322" t="s">
        <v>429</v>
      </c>
      <c r="D11322" t="s">
        <v>26599</v>
      </c>
    </row>
    <row r="11323" spans="1:4">
      <c r="A11323">
        <v>10856</v>
      </c>
      <c r="B11323" t="s">
        <v>11709</v>
      </c>
      <c r="C11323" t="s">
        <v>429</v>
      </c>
      <c r="D11323" t="s">
        <v>22579</v>
      </c>
    </row>
    <row r="11324" spans="1:4">
      <c r="A11324">
        <v>4828</v>
      </c>
      <c r="B11324" t="s">
        <v>11710</v>
      </c>
      <c r="C11324" t="s">
        <v>429</v>
      </c>
      <c r="D11324" t="s">
        <v>26600</v>
      </c>
    </row>
    <row r="11325" spans="1:4">
      <c r="A11325">
        <v>20249</v>
      </c>
      <c r="B11325" t="s">
        <v>11711</v>
      </c>
      <c r="C11325" t="s">
        <v>429</v>
      </c>
      <c r="D11325" t="s">
        <v>26601</v>
      </c>
    </row>
    <row r="11326" spans="1:4">
      <c r="A11326">
        <v>11609</v>
      </c>
      <c r="B11326" t="s">
        <v>11712</v>
      </c>
      <c r="C11326" t="s">
        <v>428</v>
      </c>
      <c r="D11326" t="s">
        <v>18043</v>
      </c>
    </row>
    <row r="11327" spans="1:4">
      <c r="A11327">
        <v>20083</v>
      </c>
      <c r="B11327" t="s">
        <v>11713</v>
      </c>
      <c r="C11327" t="s">
        <v>427</v>
      </c>
      <c r="D11327" t="s">
        <v>23804</v>
      </c>
    </row>
    <row r="11328" spans="1:4">
      <c r="A11328">
        <v>10691</v>
      </c>
      <c r="B11328" t="s">
        <v>11714</v>
      </c>
      <c r="C11328" t="s">
        <v>428</v>
      </c>
      <c r="D11328" t="s">
        <v>26602</v>
      </c>
    </row>
    <row r="11329" spans="1:4">
      <c r="A11329">
        <v>12295</v>
      </c>
      <c r="B11329" t="s">
        <v>11715</v>
      </c>
      <c r="C11329" t="s">
        <v>427</v>
      </c>
      <c r="D11329" t="s">
        <v>15221</v>
      </c>
    </row>
    <row r="11330" spans="1:4">
      <c r="A11330">
        <v>12296</v>
      </c>
      <c r="B11330" t="s">
        <v>11716</v>
      </c>
      <c r="C11330" t="s">
        <v>427</v>
      </c>
      <c r="D11330" t="s">
        <v>14816</v>
      </c>
    </row>
    <row r="11331" spans="1:4">
      <c r="A11331">
        <v>12294</v>
      </c>
      <c r="B11331" t="s">
        <v>11717</v>
      </c>
      <c r="C11331" t="s">
        <v>427</v>
      </c>
      <c r="D11331" t="s">
        <v>14855</v>
      </c>
    </row>
    <row r="11332" spans="1:4">
      <c r="A11332">
        <v>14543</v>
      </c>
      <c r="B11332" t="s">
        <v>11718</v>
      </c>
      <c r="C11332" t="s">
        <v>427</v>
      </c>
      <c r="D11332" t="s">
        <v>17190</v>
      </c>
    </row>
    <row r="11333" spans="1:4">
      <c r="A11333">
        <v>13329</v>
      </c>
      <c r="B11333" t="s">
        <v>11719</v>
      </c>
      <c r="C11333" t="s">
        <v>427</v>
      </c>
      <c r="D11333" t="s">
        <v>24352</v>
      </c>
    </row>
    <row r="11334" spans="1:4">
      <c r="A11334">
        <v>21044</v>
      </c>
      <c r="B11334" t="s">
        <v>11720</v>
      </c>
      <c r="C11334" t="s">
        <v>427</v>
      </c>
      <c r="D11334" t="s">
        <v>20887</v>
      </c>
    </row>
    <row r="11335" spans="1:4">
      <c r="A11335">
        <v>21045</v>
      </c>
      <c r="B11335" t="s">
        <v>11721</v>
      </c>
      <c r="C11335" t="s">
        <v>427</v>
      </c>
      <c r="D11335" t="s">
        <v>26603</v>
      </c>
    </row>
    <row r="11336" spans="1:4">
      <c r="A11336">
        <v>21040</v>
      </c>
      <c r="B11336" t="s">
        <v>11722</v>
      </c>
      <c r="C11336" t="s">
        <v>427</v>
      </c>
      <c r="D11336" t="s">
        <v>20524</v>
      </c>
    </row>
    <row r="11337" spans="1:4">
      <c r="A11337">
        <v>21041</v>
      </c>
      <c r="B11337" t="s">
        <v>11723</v>
      </c>
      <c r="C11337" t="s">
        <v>427</v>
      </c>
      <c r="D11337" t="s">
        <v>15441</v>
      </c>
    </row>
    <row r="11338" spans="1:4">
      <c r="A11338">
        <v>21047</v>
      </c>
      <c r="B11338" t="s">
        <v>11724</v>
      </c>
      <c r="C11338" t="s">
        <v>427</v>
      </c>
      <c r="D11338" t="s">
        <v>18594</v>
      </c>
    </row>
    <row r="11339" spans="1:4">
      <c r="A11339">
        <v>21043</v>
      </c>
      <c r="B11339" t="s">
        <v>11725</v>
      </c>
      <c r="C11339" t="s">
        <v>427</v>
      </c>
      <c r="D11339" t="s">
        <v>22728</v>
      </c>
    </row>
    <row r="11340" spans="1:4">
      <c r="A11340">
        <v>21042</v>
      </c>
      <c r="B11340" t="s">
        <v>11726</v>
      </c>
      <c r="C11340" t="s">
        <v>427</v>
      </c>
      <c r="D11340" t="s">
        <v>20191</v>
      </c>
    </row>
    <row r="11341" spans="1:4">
      <c r="A11341">
        <v>14149</v>
      </c>
      <c r="B11341" t="s">
        <v>11727</v>
      </c>
      <c r="C11341" t="s">
        <v>440</v>
      </c>
      <c r="D11341" t="s">
        <v>26604</v>
      </c>
    </row>
    <row r="11342" spans="1:4">
      <c r="A11342">
        <v>38099</v>
      </c>
      <c r="B11342" t="s">
        <v>11728</v>
      </c>
      <c r="C11342" t="s">
        <v>427</v>
      </c>
      <c r="D11342" t="s">
        <v>25819</v>
      </c>
    </row>
    <row r="11343" spans="1:4">
      <c r="A11343">
        <v>38100</v>
      </c>
      <c r="B11343" t="s">
        <v>11729</v>
      </c>
      <c r="C11343" t="s">
        <v>427</v>
      </c>
      <c r="D11343" t="s">
        <v>24333</v>
      </c>
    </row>
    <row r="11344" spans="1:4">
      <c r="A11344">
        <v>20061</v>
      </c>
      <c r="B11344" t="s">
        <v>11730</v>
      </c>
      <c r="C11344" t="s">
        <v>427</v>
      </c>
      <c r="D11344" t="s">
        <v>25533</v>
      </c>
    </row>
    <row r="11345" spans="1:4">
      <c r="A11345">
        <v>7576</v>
      </c>
      <c r="B11345" t="s">
        <v>11731</v>
      </c>
      <c r="C11345" t="s">
        <v>427</v>
      </c>
      <c r="D11345" t="s">
        <v>24776</v>
      </c>
    </row>
    <row r="11346" spans="1:4">
      <c r="A11346">
        <v>3384</v>
      </c>
      <c r="B11346" t="s">
        <v>11732</v>
      </c>
      <c r="C11346" t="s">
        <v>427</v>
      </c>
      <c r="D11346" t="s">
        <v>25820</v>
      </c>
    </row>
    <row r="11347" spans="1:4">
      <c r="A11347">
        <v>7572</v>
      </c>
      <c r="B11347" t="s">
        <v>11733</v>
      </c>
      <c r="C11347" t="s">
        <v>427</v>
      </c>
      <c r="D11347" t="s">
        <v>22839</v>
      </c>
    </row>
    <row r="11348" spans="1:4">
      <c r="A11348">
        <v>3396</v>
      </c>
      <c r="B11348" t="s">
        <v>11734</v>
      </c>
      <c r="C11348" t="s">
        <v>427</v>
      </c>
      <c r="D11348" t="s">
        <v>15155</v>
      </c>
    </row>
    <row r="11349" spans="1:4">
      <c r="A11349">
        <v>37590</v>
      </c>
      <c r="B11349" t="s">
        <v>11735</v>
      </c>
      <c r="C11349" t="s">
        <v>427</v>
      </c>
      <c r="D11349" t="s">
        <v>19805</v>
      </c>
    </row>
    <row r="11350" spans="1:4">
      <c r="A11350">
        <v>37591</v>
      </c>
      <c r="B11350" t="s">
        <v>11736</v>
      </c>
      <c r="C11350" t="s">
        <v>427</v>
      </c>
      <c r="D11350" t="s">
        <v>19796</v>
      </c>
    </row>
    <row r="11351" spans="1:4">
      <c r="A11351">
        <v>12626</v>
      </c>
      <c r="B11351" t="s">
        <v>11737</v>
      </c>
      <c r="C11351" t="s">
        <v>427</v>
      </c>
      <c r="D11351" t="s">
        <v>17800</v>
      </c>
    </row>
    <row r="11352" spans="1:4">
      <c r="A11352">
        <v>11033</v>
      </c>
      <c r="B11352" t="s">
        <v>11738</v>
      </c>
      <c r="C11352" t="s">
        <v>427</v>
      </c>
      <c r="D11352" t="s">
        <v>18540</v>
      </c>
    </row>
    <row r="11353" spans="1:4">
      <c r="A11353">
        <v>390</v>
      </c>
      <c r="B11353" t="s">
        <v>11739</v>
      </c>
      <c r="C11353" t="s">
        <v>427</v>
      </c>
      <c r="D11353" t="s">
        <v>17303</v>
      </c>
    </row>
    <row r="11354" spans="1:4">
      <c r="A11354">
        <v>42436</v>
      </c>
      <c r="B11354" t="s">
        <v>11740</v>
      </c>
      <c r="C11354" t="s">
        <v>427</v>
      </c>
      <c r="D11354" t="s">
        <v>26605</v>
      </c>
    </row>
    <row r="11355" spans="1:4">
      <c r="A11355">
        <v>6193</v>
      </c>
      <c r="B11355" t="s">
        <v>11741</v>
      </c>
      <c r="C11355" t="s">
        <v>429</v>
      </c>
      <c r="D11355" t="s">
        <v>21351</v>
      </c>
    </row>
    <row r="11356" spans="1:4">
      <c r="A11356">
        <v>6194</v>
      </c>
      <c r="B11356" t="s">
        <v>11742</v>
      </c>
      <c r="C11356" t="s">
        <v>429</v>
      </c>
      <c r="D11356" t="s">
        <v>19598</v>
      </c>
    </row>
    <row r="11357" spans="1:4">
      <c r="A11357">
        <v>10567</v>
      </c>
      <c r="B11357" t="s">
        <v>11743</v>
      </c>
      <c r="C11357" t="s">
        <v>429</v>
      </c>
      <c r="D11357" t="s">
        <v>17199</v>
      </c>
    </row>
    <row r="11358" spans="1:4">
      <c r="A11358">
        <v>6212</v>
      </c>
      <c r="B11358" t="s">
        <v>11744</v>
      </c>
      <c r="C11358" t="s">
        <v>429</v>
      </c>
      <c r="D11358" t="s">
        <v>20586</v>
      </c>
    </row>
    <row r="11359" spans="1:4">
      <c r="A11359">
        <v>3993</v>
      </c>
      <c r="B11359" t="s">
        <v>11745</v>
      </c>
      <c r="C11359" t="s">
        <v>426</v>
      </c>
      <c r="D11359" t="s">
        <v>26606</v>
      </c>
    </row>
    <row r="11360" spans="1:4">
      <c r="A11360">
        <v>3990</v>
      </c>
      <c r="B11360" t="s">
        <v>11746</v>
      </c>
      <c r="C11360" t="s">
        <v>429</v>
      </c>
      <c r="D11360" t="s">
        <v>24290</v>
      </c>
    </row>
    <row r="11361" spans="1:4">
      <c r="A11361">
        <v>3992</v>
      </c>
      <c r="B11361" t="s">
        <v>11747</v>
      </c>
      <c r="C11361" t="s">
        <v>429</v>
      </c>
      <c r="D11361" t="s">
        <v>20569</v>
      </c>
    </row>
    <row r="11362" spans="1:4">
      <c r="A11362">
        <v>6178</v>
      </c>
      <c r="B11362" t="s">
        <v>11748</v>
      </c>
      <c r="C11362" t="s">
        <v>426</v>
      </c>
      <c r="D11362" t="s">
        <v>26607</v>
      </c>
    </row>
    <row r="11363" spans="1:4">
      <c r="A11363">
        <v>6180</v>
      </c>
      <c r="B11363" t="s">
        <v>11749</v>
      </c>
      <c r="C11363" t="s">
        <v>426</v>
      </c>
      <c r="D11363" t="s">
        <v>26608</v>
      </c>
    </row>
    <row r="11364" spans="1:4">
      <c r="A11364">
        <v>6182</v>
      </c>
      <c r="B11364" t="s">
        <v>11750</v>
      </c>
      <c r="C11364" t="s">
        <v>426</v>
      </c>
      <c r="D11364" t="s">
        <v>26609</v>
      </c>
    </row>
    <row r="11365" spans="1:4">
      <c r="A11365">
        <v>43614</v>
      </c>
      <c r="B11365" t="s">
        <v>11751</v>
      </c>
      <c r="C11365" t="s">
        <v>429</v>
      </c>
      <c r="D11365" t="s">
        <v>21880</v>
      </c>
    </row>
    <row r="11366" spans="1:4">
      <c r="A11366">
        <v>6189</v>
      </c>
      <c r="B11366" t="s">
        <v>11752</v>
      </c>
      <c r="C11366" t="s">
        <v>429</v>
      </c>
      <c r="D11366" t="s">
        <v>20299</v>
      </c>
    </row>
    <row r="11367" spans="1:4">
      <c r="A11367">
        <v>6214</v>
      </c>
      <c r="B11367" t="s">
        <v>11753</v>
      </c>
      <c r="C11367" t="s">
        <v>426</v>
      </c>
      <c r="D11367" t="s">
        <v>26610</v>
      </c>
    </row>
    <row r="11368" spans="1:4">
      <c r="A11368">
        <v>36153</v>
      </c>
      <c r="B11368" t="s">
        <v>11754</v>
      </c>
      <c r="C11368" t="s">
        <v>427</v>
      </c>
      <c r="D11368" t="s">
        <v>26611</v>
      </c>
    </row>
    <row r="11369" spans="1:4">
      <c r="A11369">
        <v>10740</v>
      </c>
      <c r="B11369" t="s">
        <v>11755</v>
      </c>
      <c r="C11369" t="s">
        <v>427</v>
      </c>
      <c r="D11369" t="s">
        <v>26612</v>
      </c>
    </row>
    <row r="11370" spans="1:4">
      <c r="A11370">
        <v>13914</v>
      </c>
      <c r="B11370" t="s">
        <v>11756</v>
      </c>
      <c r="C11370" t="s">
        <v>427</v>
      </c>
      <c r="D11370" t="s">
        <v>26613</v>
      </c>
    </row>
    <row r="11371" spans="1:4">
      <c r="A11371">
        <v>10742</v>
      </c>
      <c r="B11371" t="s">
        <v>11757</v>
      </c>
      <c r="C11371" t="s">
        <v>427</v>
      </c>
      <c r="D11371" t="s">
        <v>26614</v>
      </c>
    </row>
    <row r="11372" spans="1:4">
      <c r="A11372">
        <v>38465</v>
      </c>
      <c r="B11372" t="s">
        <v>11758</v>
      </c>
      <c r="C11372" t="s">
        <v>427</v>
      </c>
      <c r="D11372" t="s">
        <v>26615</v>
      </c>
    </row>
    <row r="11373" spans="1:4">
      <c r="A11373">
        <v>7543</v>
      </c>
      <c r="B11373" t="s">
        <v>11759</v>
      </c>
      <c r="C11373" t="s">
        <v>427</v>
      </c>
      <c r="D11373" t="s">
        <v>24350</v>
      </c>
    </row>
    <row r="11374" spans="1:4">
      <c r="A11374">
        <v>43427</v>
      </c>
      <c r="B11374" t="s">
        <v>11760</v>
      </c>
      <c r="C11374" t="s">
        <v>427</v>
      </c>
      <c r="D11374" t="s">
        <v>26616</v>
      </c>
    </row>
    <row r="11375" spans="1:4">
      <c r="A11375">
        <v>41613</v>
      </c>
      <c r="B11375" t="s">
        <v>11761</v>
      </c>
      <c r="C11375" t="s">
        <v>427</v>
      </c>
      <c r="D11375" t="s">
        <v>26617</v>
      </c>
    </row>
    <row r="11376" spans="1:4">
      <c r="A11376">
        <v>41614</v>
      </c>
      <c r="B11376" t="s">
        <v>11762</v>
      </c>
      <c r="C11376" t="s">
        <v>427</v>
      </c>
      <c r="D11376" t="s">
        <v>26618</v>
      </c>
    </row>
    <row r="11377" spans="1:4">
      <c r="A11377">
        <v>41615</v>
      </c>
      <c r="B11377" t="s">
        <v>11763</v>
      </c>
      <c r="C11377" t="s">
        <v>427</v>
      </c>
      <c r="D11377" t="s">
        <v>26619</v>
      </c>
    </row>
    <row r="11378" spans="1:4">
      <c r="A11378">
        <v>41616</v>
      </c>
      <c r="B11378" t="s">
        <v>11764</v>
      </c>
      <c r="C11378" t="s">
        <v>427</v>
      </c>
      <c r="D11378" t="s">
        <v>26620</v>
      </c>
    </row>
    <row r="11379" spans="1:4">
      <c r="A11379">
        <v>41617</v>
      </c>
      <c r="B11379" t="s">
        <v>11765</v>
      </c>
      <c r="C11379" t="s">
        <v>427</v>
      </c>
      <c r="D11379" t="s">
        <v>26621</v>
      </c>
    </row>
    <row r="11380" spans="1:4">
      <c r="A11380">
        <v>41618</v>
      </c>
      <c r="B11380" t="s">
        <v>11766</v>
      </c>
      <c r="C11380" t="s">
        <v>427</v>
      </c>
      <c r="D11380" t="s">
        <v>26622</v>
      </c>
    </row>
    <row r="11381" spans="1:4">
      <c r="A11381">
        <v>43428</v>
      </c>
      <c r="B11381" t="s">
        <v>11767</v>
      </c>
      <c r="C11381" t="s">
        <v>427</v>
      </c>
      <c r="D11381" t="s">
        <v>26623</v>
      </c>
    </row>
    <row r="11382" spans="1:4">
      <c r="A11382">
        <v>41619</v>
      </c>
      <c r="B11382" t="s">
        <v>11768</v>
      </c>
      <c r="C11382" t="s">
        <v>427</v>
      </c>
      <c r="D11382" t="s">
        <v>24657</v>
      </c>
    </row>
    <row r="11383" spans="1:4">
      <c r="A11383">
        <v>41620</v>
      </c>
      <c r="B11383" t="s">
        <v>11769</v>
      </c>
      <c r="C11383" t="s">
        <v>427</v>
      </c>
      <c r="D11383" t="s">
        <v>24086</v>
      </c>
    </row>
    <row r="11384" spans="1:4">
      <c r="A11384">
        <v>41622</v>
      </c>
      <c r="B11384" t="s">
        <v>11770</v>
      </c>
      <c r="C11384" t="s">
        <v>427</v>
      </c>
      <c r="D11384" t="s">
        <v>26624</v>
      </c>
    </row>
    <row r="11385" spans="1:4">
      <c r="A11385">
        <v>41623</v>
      </c>
      <c r="B11385" t="s">
        <v>11771</v>
      </c>
      <c r="C11385" t="s">
        <v>427</v>
      </c>
      <c r="D11385" t="s">
        <v>26625</v>
      </c>
    </row>
    <row r="11386" spans="1:4">
      <c r="A11386">
        <v>41624</v>
      </c>
      <c r="B11386" t="s">
        <v>11772</v>
      </c>
      <c r="C11386" t="s">
        <v>427</v>
      </c>
      <c r="D11386" t="s">
        <v>26626</v>
      </c>
    </row>
    <row r="11387" spans="1:4">
      <c r="A11387">
        <v>41625</v>
      </c>
      <c r="B11387" t="s">
        <v>11773</v>
      </c>
      <c r="C11387" t="s">
        <v>427</v>
      </c>
      <c r="D11387" t="s">
        <v>26627</v>
      </c>
    </row>
    <row r="11388" spans="1:4">
      <c r="A11388">
        <v>39352</v>
      </c>
      <c r="B11388" t="s">
        <v>11774</v>
      </c>
      <c r="C11388" t="s">
        <v>427</v>
      </c>
      <c r="D11388" t="s">
        <v>15789</v>
      </c>
    </row>
    <row r="11389" spans="1:4">
      <c r="A11389">
        <v>39346</v>
      </c>
      <c r="B11389" t="s">
        <v>11775</v>
      </c>
      <c r="C11389" t="s">
        <v>427</v>
      </c>
      <c r="D11389" t="s">
        <v>15789</v>
      </c>
    </row>
    <row r="11390" spans="1:4">
      <c r="A11390">
        <v>39350</v>
      </c>
      <c r="B11390" t="s">
        <v>11776</v>
      </c>
      <c r="C11390" t="s">
        <v>427</v>
      </c>
      <c r="D11390" t="s">
        <v>25432</v>
      </c>
    </row>
    <row r="11391" spans="1:4">
      <c r="A11391">
        <v>39351</v>
      </c>
      <c r="B11391" t="s">
        <v>11777</v>
      </c>
      <c r="C11391" t="s">
        <v>427</v>
      </c>
      <c r="D11391" t="s">
        <v>15642</v>
      </c>
    </row>
    <row r="11392" spans="1:4">
      <c r="A11392">
        <v>38952</v>
      </c>
      <c r="B11392" t="s">
        <v>11778</v>
      </c>
      <c r="C11392" t="s">
        <v>427</v>
      </c>
      <c r="D11392" t="s">
        <v>15628</v>
      </c>
    </row>
    <row r="11393" spans="1:4">
      <c r="A11393">
        <v>38953</v>
      </c>
      <c r="B11393" t="s">
        <v>11779</v>
      </c>
      <c r="C11393" t="s">
        <v>427</v>
      </c>
      <c r="D11393" t="s">
        <v>18049</v>
      </c>
    </row>
    <row r="11394" spans="1:4">
      <c r="A11394">
        <v>38835</v>
      </c>
      <c r="B11394" t="s">
        <v>11780</v>
      </c>
      <c r="C11394" t="s">
        <v>427</v>
      </c>
      <c r="D11394" t="s">
        <v>20366</v>
      </c>
    </row>
    <row r="11395" spans="1:4">
      <c r="A11395">
        <v>38837</v>
      </c>
      <c r="B11395" t="s">
        <v>11781</v>
      </c>
      <c r="C11395" t="s">
        <v>427</v>
      </c>
      <c r="D11395" t="s">
        <v>19202</v>
      </c>
    </row>
    <row r="11396" spans="1:4">
      <c r="A11396">
        <v>38836</v>
      </c>
      <c r="B11396" t="s">
        <v>11782</v>
      </c>
      <c r="C11396" t="s">
        <v>427</v>
      </c>
      <c r="D11396" t="s">
        <v>19298</v>
      </c>
    </row>
    <row r="11397" spans="1:4">
      <c r="A11397">
        <v>2666</v>
      </c>
      <c r="B11397" t="s">
        <v>11783</v>
      </c>
      <c r="C11397" t="s">
        <v>427</v>
      </c>
      <c r="D11397" t="s">
        <v>18026</v>
      </c>
    </row>
    <row r="11398" spans="1:4">
      <c r="A11398">
        <v>2668</v>
      </c>
      <c r="B11398" t="s">
        <v>11784</v>
      </c>
      <c r="C11398" t="s">
        <v>427</v>
      </c>
      <c r="D11398" t="s">
        <v>19255</v>
      </c>
    </row>
    <row r="11399" spans="1:4">
      <c r="A11399">
        <v>2664</v>
      </c>
      <c r="B11399" t="s">
        <v>11785</v>
      </c>
      <c r="C11399" t="s">
        <v>427</v>
      </c>
      <c r="D11399" t="s">
        <v>18662</v>
      </c>
    </row>
    <row r="11400" spans="1:4">
      <c r="A11400">
        <v>2662</v>
      </c>
      <c r="B11400" t="s">
        <v>11786</v>
      </c>
      <c r="C11400" t="s">
        <v>427</v>
      </c>
      <c r="D11400" t="s">
        <v>24599</v>
      </c>
    </row>
    <row r="11401" spans="1:4">
      <c r="A11401">
        <v>20964</v>
      </c>
      <c r="B11401" t="s">
        <v>11787</v>
      </c>
      <c r="C11401" t="s">
        <v>427</v>
      </c>
      <c r="D11401" t="s">
        <v>26628</v>
      </c>
    </row>
    <row r="11402" spans="1:4">
      <c r="A11402">
        <v>10905</v>
      </c>
      <c r="B11402" t="s">
        <v>11788</v>
      </c>
      <c r="C11402" t="s">
        <v>427</v>
      </c>
      <c r="D11402" t="s">
        <v>26629</v>
      </c>
    </row>
    <row r="11403" spans="1:4">
      <c r="A11403">
        <v>42703</v>
      </c>
      <c r="B11403" t="s">
        <v>11789</v>
      </c>
      <c r="C11403" t="s">
        <v>427</v>
      </c>
      <c r="D11403" t="s">
        <v>26630</v>
      </c>
    </row>
    <row r="11404" spans="1:4">
      <c r="A11404">
        <v>42704</v>
      </c>
      <c r="B11404" t="s">
        <v>11790</v>
      </c>
      <c r="C11404" t="s">
        <v>427</v>
      </c>
      <c r="D11404" t="s">
        <v>26631</v>
      </c>
    </row>
    <row r="11405" spans="1:4">
      <c r="A11405">
        <v>42705</v>
      </c>
      <c r="B11405" t="s">
        <v>11791</v>
      </c>
      <c r="C11405" t="s">
        <v>427</v>
      </c>
      <c r="D11405" t="s">
        <v>26632</v>
      </c>
    </row>
    <row r="11406" spans="1:4">
      <c r="A11406">
        <v>42706</v>
      </c>
      <c r="B11406" t="s">
        <v>11792</v>
      </c>
      <c r="C11406" t="s">
        <v>427</v>
      </c>
      <c r="D11406" t="s">
        <v>26633</v>
      </c>
    </row>
    <row r="11407" spans="1:4">
      <c r="A11407">
        <v>11289</v>
      </c>
      <c r="B11407" t="s">
        <v>11793</v>
      </c>
      <c r="C11407" t="s">
        <v>427</v>
      </c>
      <c r="D11407" t="s">
        <v>26634</v>
      </c>
    </row>
    <row r="11408" spans="1:4">
      <c r="A11408">
        <v>11241</v>
      </c>
      <c r="B11408" t="s">
        <v>11794</v>
      </c>
      <c r="C11408" t="s">
        <v>427</v>
      </c>
      <c r="D11408" t="s">
        <v>23863</v>
      </c>
    </row>
    <row r="11409" spans="1:4">
      <c r="A11409">
        <v>11301</v>
      </c>
      <c r="B11409" t="s">
        <v>20493</v>
      </c>
      <c r="C11409" t="s">
        <v>427</v>
      </c>
      <c r="D11409" t="s">
        <v>21505</v>
      </c>
    </row>
    <row r="11410" spans="1:4">
      <c r="A11410">
        <v>21090</v>
      </c>
      <c r="B11410" t="s">
        <v>20494</v>
      </c>
      <c r="C11410" t="s">
        <v>427</v>
      </c>
      <c r="D11410" t="s">
        <v>26635</v>
      </c>
    </row>
    <row r="11411" spans="1:4">
      <c r="A11411">
        <v>11315</v>
      </c>
      <c r="B11411" t="s">
        <v>20495</v>
      </c>
      <c r="C11411" t="s">
        <v>427</v>
      </c>
      <c r="D11411" t="s">
        <v>18811</v>
      </c>
    </row>
    <row r="11412" spans="1:4">
      <c r="A11412">
        <v>21071</v>
      </c>
      <c r="B11412" t="s">
        <v>20496</v>
      </c>
      <c r="C11412" t="s">
        <v>427</v>
      </c>
      <c r="D11412" t="s">
        <v>26636</v>
      </c>
    </row>
    <row r="11413" spans="1:4">
      <c r="A11413">
        <v>14112</v>
      </c>
      <c r="B11413" t="s">
        <v>20497</v>
      </c>
      <c r="C11413" t="s">
        <v>427</v>
      </c>
      <c r="D11413" t="s">
        <v>26637</v>
      </c>
    </row>
    <row r="11414" spans="1:4">
      <c r="A11414">
        <v>11316</v>
      </c>
      <c r="B11414" t="s">
        <v>20498</v>
      </c>
      <c r="C11414" t="s">
        <v>427</v>
      </c>
      <c r="D11414" t="s">
        <v>26638</v>
      </c>
    </row>
    <row r="11415" spans="1:4">
      <c r="A11415">
        <v>6243</v>
      </c>
      <c r="B11415" t="s">
        <v>20499</v>
      </c>
      <c r="C11415" t="s">
        <v>427</v>
      </c>
      <c r="D11415" t="s">
        <v>20546</v>
      </c>
    </row>
    <row r="11416" spans="1:4">
      <c r="A11416">
        <v>6240</v>
      </c>
      <c r="B11416" t="s">
        <v>20500</v>
      </c>
      <c r="C11416" t="s">
        <v>427</v>
      </c>
      <c r="D11416" t="s">
        <v>26639</v>
      </c>
    </row>
    <row r="11417" spans="1:4">
      <c r="A11417">
        <v>11296</v>
      </c>
      <c r="B11417" t="s">
        <v>20501</v>
      </c>
      <c r="C11417" t="s">
        <v>427</v>
      </c>
      <c r="D11417" t="s">
        <v>26640</v>
      </c>
    </row>
    <row r="11418" spans="1:4">
      <c r="A11418">
        <v>11299</v>
      </c>
      <c r="B11418" t="s">
        <v>20502</v>
      </c>
      <c r="C11418" t="s">
        <v>427</v>
      </c>
      <c r="D11418" t="s">
        <v>26641</v>
      </c>
    </row>
    <row r="11419" spans="1:4">
      <c r="A11419">
        <v>11688</v>
      </c>
      <c r="B11419" t="s">
        <v>11795</v>
      </c>
      <c r="C11419" t="s">
        <v>427</v>
      </c>
      <c r="D11419" t="s">
        <v>26642</v>
      </c>
    </row>
    <row r="11420" spans="1:4">
      <c r="A11420">
        <v>37736</v>
      </c>
      <c r="B11420" t="s">
        <v>11796</v>
      </c>
      <c r="C11420" t="s">
        <v>427</v>
      </c>
      <c r="D11420" t="s">
        <v>26643</v>
      </c>
    </row>
    <row r="11421" spans="1:4">
      <c r="A11421">
        <v>37739</v>
      </c>
      <c r="B11421" t="s">
        <v>11797</v>
      </c>
      <c r="C11421" t="s">
        <v>427</v>
      </c>
      <c r="D11421" t="s">
        <v>26644</v>
      </c>
    </row>
    <row r="11422" spans="1:4">
      <c r="A11422">
        <v>37740</v>
      </c>
      <c r="B11422" t="s">
        <v>11798</v>
      </c>
      <c r="C11422" t="s">
        <v>427</v>
      </c>
      <c r="D11422" t="s">
        <v>26645</v>
      </c>
    </row>
    <row r="11423" spans="1:4">
      <c r="A11423">
        <v>37738</v>
      </c>
      <c r="B11423" t="s">
        <v>11799</v>
      </c>
      <c r="C11423" t="s">
        <v>427</v>
      </c>
      <c r="D11423" t="s">
        <v>26646</v>
      </c>
    </row>
    <row r="11424" spans="1:4">
      <c r="A11424">
        <v>37737</v>
      </c>
      <c r="B11424" t="s">
        <v>11800</v>
      </c>
      <c r="C11424" t="s">
        <v>427</v>
      </c>
      <c r="D11424" t="s">
        <v>26647</v>
      </c>
    </row>
    <row r="11425" spans="1:4">
      <c r="A11425">
        <v>25014</v>
      </c>
      <c r="B11425" t="s">
        <v>11801</v>
      </c>
      <c r="C11425" t="s">
        <v>427</v>
      </c>
      <c r="D11425" t="s">
        <v>26648</v>
      </c>
    </row>
    <row r="11426" spans="1:4">
      <c r="A11426">
        <v>25013</v>
      </c>
      <c r="B11426" t="s">
        <v>11802</v>
      </c>
      <c r="C11426" t="s">
        <v>427</v>
      </c>
      <c r="D11426" t="s">
        <v>26649</v>
      </c>
    </row>
    <row r="11427" spans="1:4">
      <c r="A11427">
        <v>14405</v>
      </c>
      <c r="B11427" t="s">
        <v>11803</v>
      </c>
      <c r="C11427" t="s">
        <v>427</v>
      </c>
      <c r="D11427" t="s">
        <v>26650</v>
      </c>
    </row>
    <row r="11428" spans="1:4">
      <c r="A11428">
        <v>20271</v>
      </c>
      <c r="B11428" t="s">
        <v>11804</v>
      </c>
      <c r="C11428" t="s">
        <v>427</v>
      </c>
      <c r="D11428" t="s">
        <v>26651</v>
      </c>
    </row>
    <row r="11429" spans="1:4">
      <c r="A11429">
        <v>10423</v>
      </c>
      <c r="B11429" t="s">
        <v>11805</v>
      </c>
      <c r="C11429" t="s">
        <v>427</v>
      </c>
      <c r="D11429" t="s">
        <v>26652</v>
      </c>
    </row>
    <row r="11430" spans="1:4">
      <c r="A11430">
        <v>36790</v>
      </c>
      <c r="B11430" t="s">
        <v>11806</v>
      </c>
      <c r="C11430" t="s">
        <v>427</v>
      </c>
      <c r="D11430" t="s">
        <v>26653</v>
      </c>
    </row>
    <row r="11431" spans="1:4">
      <c r="A11431">
        <v>37589</v>
      </c>
      <c r="B11431" t="s">
        <v>11807</v>
      </c>
      <c r="C11431" t="s">
        <v>427</v>
      </c>
      <c r="D11431" t="s">
        <v>26654</v>
      </c>
    </row>
    <row r="11432" spans="1:4">
      <c r="A11432">
        <v>11690</v>
      </c>
      <c r="B11432" t="s">
        <v>11808</v>
      </c>
      <c r="C11432" t="s">
        <v>427</v>
      </c>
      <c r="D11432" t="s">
        <v>26655</v>
      </c>
    </row>
    <row r="11433" spans="1:4">
      <c r="A11433">
        <v>20234</v>
      </c>
      <c r="B11433" t="s">
        <v>11809</v>
      </c>
      <c r="C11433" t="s">
        <v>427</v>
      </c>
      <c r="D11433" t="s">
        <v>26656</v>
      </c>
    </row>
    <row r="11434" spans="1:4">
      <c r="A11434">
        <v>4763</v>
      </c>
      <c r="B11434" t="s">
        <v>20503</v>
      </c>
      <c r="C11434" t="s">
        <v>432</v>
      </c>
      <c r="D11434" t="s">
        <v>20265</v>
      </c>
    </row>
    <row r="11435" spans="1:4">
      <c r="A11435">
        <v>41070</v>
      </c>
      <c r="B11435" t="s">
        <v>11810</v>
      </c>
      <c r="C11435" t="s">
        <v>433</v>
      </c>
      <c r="D11435" t="s">
        <v>24644</v>
      </c>
    </row>
    <row r="11436" spans="1:4">
      <c r="A11436">
        <v>44480</v>
      </c>
      <c r="B11436" t="s">
        <v>11811</v>
      </c>
      <c r="C11436" t="s">
        <v>431</v>
      </c>
      <c r="D11436" t="s">
        <v>15508</v>
      </c>
    </row>
    <row r="11437" spans="1:4">
      <c r="A11437">
        <v>11457</v>
      </c>
      <c r="B11437" t="s">
        <v>11812</v>
      </c>
      <c r="C11437" t="s">
        <v>427</v>
      </c>
      <c r="D11437" t="s">
        <v>25125</v>
      </c>
    </row>
    <row r="11438" spans="1:4">
      <c r="A11438">
        <v>44073</v>
      </c>
      <c r="B11438" t="s">
        <v>11813</v>
      </c>
      <c r="C11438" t="s">
        <v>429</v>
      </c>
      <c r="D11438" t="s">
        <v>15605</v>
      </c>
    </row>
    <row r="11439" spans="1:4">
      <c r="A11439">
        <v>21121</v>
      </c>
      <c r="B11439" t="s">
        <v>11814</v>
      </c>
      <c r="C11439" t="s">
        <v>427</v>
      </c>
      <c r="D11439" t="s">
        <v>15606</v>
      </c>
    </row>
    <row r="11440" spans="1:4">
      <c r="A11440">
        <v>38010</v>
      </c>
      <c r="B11440" t="s">
        <v>11815</v>
      </c>
      <c r="C11440" t="s">
        <v>427</v>
      </c>
      <c r="D11440" t="s">
        <v>19085</v>
      </c>
    </row>
    <row r="11441" spans="1:4">
      <c r="A11441">
        <v>38011</v>
      </c>
      <c r="B11441" t="s">
        <v>11816</v>
      </c>
      <c r="C11441" t="s">
        <v>427</v>
      </c>
      <c r="D11441" t="s">
        <v>18314</v>
      </c>
    </row>
    <row r="11442" spans="1:4">
      <c r="A11442">
        <v>38012</v>
      </c>
      <c r="B11442" t="s">
        <v>11817</v>
      </c>
      <c r="C11442" t="s">
        <v>427</v>
      </c>
      <c r="D11442" t="s">
        <v>20110</v>
      </c>
    </row>
    <row r="11443" spans="1:4">
      <c r="A11443">
        <v>38013</v>
      </c>
      <c r="B11443" t="s">
        <v>11818</v>
      </c>
      <c r="C11443" t="s">
        <v>427</v>
      </c>
      <c r="D11443" t="s">
        <v>26657</v>
      </c>
    </row>
    <row r="11444" spans="1:4">
      <c r="A11444">
        <v>38014</v>
      </c>
      <c r="B11444" t="s">
        <v>11819</v>
      </c>
      <c r="C11444" t="s">
        <v>427</v>
      </c>
      <c r="D11444" t="s">
        <v>19374</v>
      </c>
    </row>
    <row r="11445" spans="1:4">
      <c r="A11445">
        <v>38015</v>
      </c>
      <c r="B11445" t="s">
        <v>11820</v>
      </c>
      <c r="C11445" t="s">
        <v>427</v>
      </c>
      <c r="D11445" t="s">
        <v>26658</v>
      </c>
    </row>
    <row r="11446" spans="1:4">
      <c r="A11446">
        <v>38016</v>
      </c>
      <c r="B11446" t="s">
        <v>11821</v>
      </c>
      <c r="C11446" t="s">
        <v>427</v>
      </c>
      <c r="D11446" t="s">
        <v>26659</v>
      </c>
    </row>
    <row r="11447" spans="1:4">
      <c r="A11447">
        <v>12741</v>
      </c>
      <c r="B11447" t="s">
        <v>11822</v>
      </c>
      <c r="C11447" t="s">
        <v>427</v>
      </c>
      <c r="D11447" t="s">
        <v>26660</v>
      </c>
    </row>
    <row r="11448" spans="1:4">
      <c r="A11448">
        <v>12733</v>
      </c>
      <c r="B11448" t="s">
        <v>11823</v>
      </c>
      <c r="C11448" t="s">
        <v>427</v>
      </c>
      <c r="D11448" t="s">
        <v>14931</v>
      </c>
    </row>
    <row r="11449" spans="1:4">
      <c r="A11449">
        <v>12734</v>
      </c>
      <c r="B11449" t="s">
        <v>11824</v>
      </c>
      <c r="C11449" t="s">
        <v>427</v>
      </c>
      <c r="D11449" t="s">
        <v>15809</v>
      </c>
    </row>
    <row r="11450" spans="1:4">
      <c r="A11450">
        <v>12735</v>
      </c>
      <c r="B11450" t="s">
        <v>11825</v>
      </c>
      <c r="C11450" t="s">
        <v>427</v>
      </c>
      <c r="D11450" t="s">
        <v>20883</v>
      </c>
    </row>
    <row r="11451" spans="1:4">
      <c r="A11451">
        <v>12736</v>
      </c>
      <c r="B11451" t="s">
        <v>11826</v>
      </c>
      <c r="C11451" t="s">
        <v>427</v>
      </c>
      <c r="D11451" t="s">
        <v>26661</v>
      </c>
    </row>
    <row r="11452" spans="1:4">
      <c r="A11452">
        <v>12737</v>
      </c>
      <c r="B11452" t="s">
        <v>11827</v>
      </c>
      <c r="C11452" t="s">
        <v>427</v>
      </c>
      <c r="D11452" t="s">
        <v>23390</v>
      </c>
    </row>
    <row r="11453" spans="1:4">
      <c r="A11453">
        <v>12738</v>
      </c>
      <c r="B11453" t="s">
        <v>11828</v>
      </c>
      <c r="C11453" t="s">
        <v>427</v>
      </c>
      <c r="D11453" t="s">
        <v>26662</v>
      </c>
    </row>
    <row r="11454" spans="1:4">
      <c r="A11454">
        <v>12739</v>
      </c>
      <c r="B11454" t="s">
        <v>11829</v>
      </c>
      <c r="C11454" t="s">
        <v>427</v>
      </c>
      <c r="D11454" t="s">
        <v>26663</v>
      </c>
    </row>
    <row r="11455" spans="1:4">
      <c r="A11455">
        <v>12740</v>
      </c>
      <c r="B11455" t="s">
        <v>11830</v>
      </c>
      <c r="C11455" t="s">
        <v>427</v>
      </c>
      <c r="D11455" t="s">
        <v>18803</v>
      </c>
    </row>
    <row r="11456" spans="1:4">
      <c r="A11456">
        <v>6297</v>
      </c>
      <c r="B11456" t="s">
        <v>11831</v>
      </c>
      <c r="C11456" t="s">
        <v>427</v>
      </c>
      <c r="D11456" t="s">
        <v>26664</v>
      </c>
    </row>
    <row r="11457" spans="1:4">
      <c r="A11457">
        <v>6296</v>
      </c>
      <c r="B11457" t="s">
        <v>11832</v>
      </c>
      <c r="C11457" t="s">
        <v>427</v>
      </c>
      <c r="D11457" t="s">
        <v>24617</v>
      </c>
    </row>
    <row r="11458" spans="1:4">
      <c r="A11458">
        <v>6294</v>
      </c>
      <c r="B11458" t="s">
        <v>11833</v>
      </c>
      <c r="C11458" t="s">
        <v>427</v>
      </c>
      <c r="D11458" t="s">
        <v>20565</v>
      </c>
    </row>
    <row r="11459" spans="1:4">
      <c r="A11459">
        <v>6323</v>
      </c>
      <c r="B11459" t="s">
        <v>11834</v>
      </c>
      <c r="C11459" t="s">
        <v>427</v>
      </c>
      <c r="D11459" t="s">
        <v>19220</v>
      </c>
    </row>
    <row r="11460" spans="1:4">
      <c r="A11460">
        <v>6299</v>
      </c>
      <c r="B11460" t="s">
        <v>11835</v>
      </c>
      <c r="C11460" t="s">
        <v>427</v>
      </c>
      <c r="D11460" t="s">
        <v>26665</v>
      </c>
    </row>
    <row r="11461" spans="1:4">
      <c r="A11461">
        <v>6298</v>
      </c>
      <c r="B11461" t="s">
        <v>11836</v>
      </c>
      <c r="C11461" t="s">
        <v>427</v>
      </c>
      <c r="D11461" t="s">
        <v>26666</v>
      </c>
    </row>
    <row r="11462" spans="1:4">
      <c r="A11462">
        <v>6295</v>
      </c>
      <c r="B11462" t="s">
        <v>11837</v>
      </c>
      <c r="C11462" t="s">
        <v>427</v>
      </c>
      <c r="D11462" t="s">
        <v>17276</v>
      </c>
    </row>
    <row r="11463" spans="1:4">
      <c r="A11463">
        <v>6322</v>
      </c>
      <c r="B11463" t="s">
        <v>11838</v>
      </c>
      <c r="C11463" t="s">
        <v>427</v>
      </c>
      <c r="D11463" t="s">
        <v>26667</v>
      </c>
    </row>
    <row r="11464" spans="1:4">
      <c r="A11464">
        <v>6300</v>
      </c>
      <c r="B11464" t="s">
        <v>11839</v>
      </c>
      <c r="C11464" t="s">
        <v>427</v>
      </c>
      <c r="D11464" t="s">
        <v>26668</v>
      </c>
    </row>
    <row r="11465" spans="1:4">
      <c r="A11465">
        <v>6321</v>
      </c>
      <c r="B11465" t="s">
        <v>11840</v>
      </c>
      <c r="C11465" t="s">
        <v>427</v>
      </c>
      <c r="D11465" t="s">
        <v>26669</v>
      </c>
    </row>
    <row r="11466" spans="1:4">
      <c r="A11466">
        <v>6301</v>
      </c>
      <c r="B11466" t="s">
        <v>11841</v>
      </c>
      <c r="C11466" t="s">
        <v>427</v>
      </c>
      <c r="D11466" t="s">
        <v>26670</v>
      </c>
    </row>
    <row r="11467" spans="1:4">
      <c r="A11467">
        <v>7105</v>
      </c>
      <c r="B11467" t="s">
        <v>11842</v>
      </c>
      <c r="C11467" t="s">
        <v>427</v>
      </c>
      <c r="D11467" t="s">
        <v>18079</v>
      </c>
    </row>
    <row r="11468" spans="1:4">
      <c r="A11468">
        <v>20183</v>
      </c>
      <c r="B11468" t="s">
        <v>11843</v>
      </c>
      <c r="C11468" t="s">
        <v>427</v>
      </c>
      <c r="D11468" t="s">
        <v>26671</v>
      </c>
    </row>
    <row r="11469" spans="1:4">
      <c r="A11469">
        <v>38448</v>
      </c>
      <c r="B11469" t="s">
        <v>11844</v>
      </c>
      <c r="C11469" t="s">
        <v>427</v>
      </c>
      <c r="D11469" t="s">
        <v>26672</v>
      </c>
    </row>
    <row r="11470" spans="1:4">
      <c r="A11470">
        <v>20182</v>
      </c>
      <c r="B11470" t="s">
        <v>11845</v>
      </c>
      <c r="C11470" t="s">
        <v>427</v>
      </c>
      <c r="D11470" t="s">
        <v>20720</v>
      </c>
    </row>
    <row r="11471" spans="1:4">
      <c r="A11471">
        <v>7119</v>
      </c>
      <c r="B11471" t="s">
        <v>11846</v>
      </c>
      <c r="C11471" t="s">
        <v>427</v>
      </c>
      <c r="D11471" t="s">
        <v>17196</v>
      </c>
    </row>
    <row r="11472" spans="1:4">
      <c r="A11472">
        <v>7120</v>
      </c>
      <c r="B11472" t="s">
        <v>11847</v>
      </c>
      <c r="C11472" t="s">
        <v>427</v>
      </c>
      <c r="D11472" t="s">
        <v>20138</v>
      </c>
    </row>
    <row r="11473" spans="1:4">
      <c r="A11473">
        <v>6319</v>
      </c>
      <c r="B11473" t="s">
        <v>11848</v>
      </c>
      <c r="C11473" t="s">
        <v>427</v>
      </c>
      <c r="D11473" t="s">
        <v>26673</v>
      </c>
    </row>
    <row r="11474" spans="1:4">
      <c r="A11474">
        <v>6304</v>
      </c>
      <c r="B11474" t="s">
        <v>11849</v>
      </c>
      <c r="C11474" t="s">
        <v>427</v>
      </c>
      <c r="D11474" t="s">
        <v>26673</v>
      </c>
    </row>
    <row r="11475" spans="1:4">
      <c r="A11475">
        <v>21116</v>
      </c>
      <c r="B11475" t="s">
        <v>11850</v>
      </c>
      <c r="C11475" t="s">
        <v>427</v>
      </c>
      <c r="D11475" t="s">
        <v>24361</v>
      </c>
    </row>
    <row r="11476" spans="1:4">
      <c r="A11476">
        <v>6320</v>
      </c>
      <c r="B11476" t="s">
        <v>11851</v>
      </c>
      <c r="C11476" t="s">
        <v>427</v>
      </c>
      <c r="D11476" t="s">
        <v>16895</v>
      </c>
    </row>
    <row r="11477" spans="1:4">
      <c r="A11477">
        <v>6303</v>
      </c>
      <c r="B11477" t="s">
        <v>11852</v>
      </c>
      <c r="C11477" t="s">
        <v>427</v>
      </c>
      <c r="D11477" t="s">
        <v>16895</v>
      </c>
    </row>
    <row r="11478" spans="1:4">
      <c r="A11478">
        <v>6308</v>
      </c>
      <c r="B11478" t="s">
        <v>11853</v>
      </c>
      <c r="C11478" t="s">
        <v>427</v>
      </c>
      <c r="D11478" t="s">
        <v>26674</v>
      </c>
    </row>
    <row r="11479" spans="1:4">
      <c r="A11479">
        <v>6317</v>
      </c>
      <c r="B11479" t="s">
        <v>11854</v>
      </c>
      <c r="C11479" t="s">
        <v>427</v>
      </c>
      <c r="D11479" t="s">
        <v>26674</v>
      </c>
    </row>
    <row r="11480" spans="1:4">
      <c r="A11480">
        <v>6307</v>
      </c>
      <c r="B11480" t="s">
        <v>11855</v>
      </c>
      <c r="C11480" t="s">
        <v>427</v>
      </c>
      <c r="D11480" t="s">
        <v>26674</v>
      </c>
    </row>
    <row r="11481" spans="1:4">
      <c r="A11481">
        <v>6309</v>
      </c>
      <c r="B11481" t="s">
        <v>11856</v>
      </c>
      <c r="C11481" t="s">
        <v>427</v>
      </c>
      <c r="D11481" t="s">
        <v>26675</v>
      </c>
    </row>
    <row r="11482" spans="1:4">
      <c r="A11482">
        <v>6318</v>
      </c>
      <c r="B11482" t="s">
        <v>11857</v>
      </c>
      <c r="C11482" t="s">
        <v>427</v>
      </c>
      <c r="D11482" t="s">
        <v>26676</v>
      </c>
    </row>
    <row r="11483" spans="1:4">
      <c r="A11483">
        <v>6306</v>
      </c>
      <c r="B11483" t="s">
        <v>11858</v>
      </c>
      <c r="C11483" t="s">
        <v>427</v>
      </c>
      <c r="D11483" t="s">
        <v>26676</v>
      </c>
    </row>
    <row r="11484" spans="1:4">
      <c r="A11484">
        <v>6305</v>
      </c>
      <c r="B11484" t="s">
        <v>11859</v>
      </c>
      <c r="C11484" t="s">
        <v>427</v>
      </c>
      <c r="D11484" t="s">
        <v>26676</v>
      </c>
    </row>
    <row r="11485" spans="1:4">
      <c r="A11485">
        <v>6302</v>
      </c>
      <c r="B11485" t="s">
        <v>11860</v>
      </c>
      <c r="C11485" t="s">
        <v>427</v>
      </c>
      <c r="D11485" t="s">
        <v>24126</v>
      </c>
    </row>
    <row r="11486" spans="1:4">
      <c r="A11486">
        <v>6312</v>
      </c>
      <c r="B11486" t="s">
        <v>11861</v>
      </c>
      <c r="C11486" t="s">
        <v>427</v>
      </c>
      <c r="D11486" t="s">
        <v>26677</v>
      </c>
    </row>
    <row r="11487" spans="1:4">
      <c r="A11487">
        <v>6311</v>
      </c>
      <c r="B11487" t="s">
        <v>11862</v>
      </c>
      <c r="C11487" t="s">
        <v>427</v>
      </c>
      <c r="D11487" t="s">
        <v>26677</v>
      </c>
    </row>
    <row r="11488" spans="1:4">
      <c r="A11488">
        <v>6310</v>
      </c>
      <c r="B11488" t="s">
        <v>11863</v>
      </c>
      <c r="C11488" t="s">
        <v>427</v>
      </c>
      <c r="D11488" t="s">
        <v>26677</v>
      </c>
    </row>
    <row r="11489" spans="1:4">
      <c r="A11489">
        <v>6314</v>
      </c>
      <c r="B11489" t="s">
        <v>11864</v>
      </c>
      <c r="C11489" t="s">
        <v>427</v>
      </c>
      <c r="D11489" t="s">
        <v>26677</v>
      </c>
    </row>
    <row r="11490" spans="1:4">
      <c r="A11490">
        <v>6313</v>
      </c>
      <c r="B11490" t="s">
        <v>11865</v>
      </c>
      <c r="C11490" t="s">
        <v>427</v>
      </c>
      <c r="D11490" t="s">
        <v>26677</v>
      </c>
    </row>
    <row r="11491" spans="1:4">
      <c r="A11491">
        <v>6315</v>
      </c>
      <c r="B11491" t="s">
        <v>11866</v>
      </c>
      <c r="C11491" t="s">
        <v>427</v>
      </c>
      <c r="D11491" t="s">
        <v>26678</v>
      </c>
    </row>
    <row r="11492" spans="1:4">
      <c r="A11492">
        <v>6316</v>
      </c>
      <c r="B11492" t="s">
        <v>11867</v>
      </c>
      <c r="C11492" t="s">
        <v>427</v>
      </c>
      <c r="D11492" t="s">
        <v>26678</v>
      </c>
    </row>
    <row r="11493" spans="1:4">
      <c r="A11493">
        <v>38878</v>
      </c>
      <c r="B11493" t="s">
        <v>11868</v>
      </c>
      <c r="C11493" t="s">
        <v>427</v>
      </c>
      <c r="D11493" t="s">
        <v>26679</v>
      </c>
    </row>
    <row r="11494" spans="1:4">
      <c r="A11494">
        <v>38879</v>
      </c>
      <c r="B11494" t="s">
        <v>11869</v>
      </c>
      <c r="C11494" t="s">
        <v>427</v>
      </c>
      <c r="D11494" t="s">
        <v>26680</v>
      </c>
    </row>
    <row r="11495" spans="1:4">
      <c r="A11495">
        <v>38881</v>
      </c>
      <c r="B11495" t="s">
        <v>11870</v>
      </c>
      <c r="C11495" t="s">
        <v>427</v>
      </c>
      <c r="D11495" t="s">
        <v>22196</v>
      </c>
    </row>
    <row r="11496" spans="1:4">
      <c r="A11496">
        <v>38880</v>
      </c>
      <c r="B11496" t="s">
        <v>11871</v>
      </c>
      <c r="C11496" t="s">
        <v>427</v>
      </c>
      <c r="D11496" t="s">
        <v>15390</v>
      </c>
    </row>
    <row r="11497" spans="1:4">
      <c r="A11497">
        <v>38882</v>
      </c>
      <c r="B11497" t="s">
        <v>11872</v>
      </c>
      <c r="C11497" t="s">
        <v>427</v>
      </c>
      <c r="D11497" t="s">
        <v>25349</v>
      </c>
    </row>
    <row r="11498" spans="1:4">
      <c r="A11498">
        <v>38883</v>
      </c>
      <c r="B11498" t="s">
        <v>11873</v>
      </c>
      <c r="C11498" t="s">
        <v>427</v>
      </c>
      <c r="D11498" t="s">
        <v>26681</v>
      </c>
    </row>
    <row r="11499" spans="1:4">
      <c r="A11499">
        <v>38884</v>
      </c>
      <c r="B11499" t="s">
        <v>11874</v>
      </c>
      <c r="C11499" t="s">
        <v>427</v>
      </c>
      <c r="D11499" t="s">
        <v>18442</v>
      </c>
    </row>
    <row r="11500" spans="1:4">
      <c r="A11500">
        <v>38885</v>
      </c>
      <c r="B11500" t="s">
        <v>11875</v>
      </c>
      <c r="C11500" t="s">
        <v>427</v>
      </c>
      <c r="D11500" t="s">
        <v>22057</v>
      </c>
    </row>
    <row r="11501" spans="1:4">
      <c r="A11501">
        <v>38886</v>
      </c>
      <c r="B11501" t="s">
        <v>11876</v>
      </c>
      <c r="C11501" t="s">
        <v>427</v>
      </c>
      <c r="D11501" t="s">
        <v>25826</v>
      </c>
    </row>
    <row r="11502" spans="1:4">
      <c r="A11502">
        <v>38887</v>
      </c>
      <c r="B11502" t="s">
        <v>11877</v>
      </c>
      <c r="C11502" t="s">
        <v>427</v>
      </c>
      <c r="D11502" t="s">
        <v>26682</v>
      </c>
    </row>
    <row r="11503" spans="1:4">
      <c r="A11503">
        <v>38888</v>
      </c>
      <c r="B11503" t="s">
        <v>11878</v>
      </c>
      <c r="C11503" t="s">
        <v>427</v>
      </c>
      <c r="D11503" t="s">
        <v>26683</v>
      </c>
    </row>
    <row r="11504" spans="1:4">
      <c r="A11504">
        <v>38890</v>
      </c>
      <c r="B11504" t="s">
        <v>11879</v>
      </c>
      <c r="C11504" t="s">
        <v>427</v>
      </c>
      <c r="D11504" t="s">
        <v>26684</v>
      </c>
    </row>
    <row r="11505" spans="1:4">
      <c r="A11505">
        <v>38893</v>
      </c>
      <c r="B11505" t="s">
        <v>11880</v>
      </c>
      <c r="C11505" t="s">
        <v>427</v>
      </c>
      <c r="D11505" t="s">
        <v>26685</v>
      </c>
    </row>
    <row r="11506" spans="1:4">
      <c r="A11506">
        <v>38894</v>
      </c>
      <c r="B11506" t="s">
        <v>11881</v>
      </c>
      <c r="C11506" t="s">
        <v>427</v>
      </c>
      <c r="D11506" t="s">
        <v>26686</v>
      </c>
    </row>
    <row r="11507" spans="1:4">
      <c r="A11507">
        <v>38896</v>
      </c>
      <c r="B11507" t="s">
        <v>11882</v>
      </c>
      <c r="C11507" t="s">
        <v>427</v>
      </c>
      <c r="D11507" t="s">
        <v>25526</v>
      </c>
    </row>
    <row r="11508" spans="1:4">
      <c r="A11508">
        <v>39324</v>
      </c>
      <c r="B11508" t="s">
        <v>11883</v>
      </c>
      <c r="C11508" t="s">
        <v>427</v>
      </c>
      <c r="D11508" t="s">
        <v>22699</v>
      </c>
    </row>
    <row r="11509" spans="1:4">
      <c r="A11509">
        <v>39325</v>
      </c>
      <c r="B11509" t="s">
        <v>11884</v>
      </c>
      <c r="C11509" t="s">
        <v>427</v>
      </c>
      <c r="D11509" t="s">
        <v>15625</v>
      </c>
    </row>
    <row r="11510" spans="1:4">
      <c r="A11510">
        <v>39326</v>
      </c>
      <c r="B11510" t="s">
        <v>11885</v>
      </c>
      <c r="C11510" t="s">
        <v>427</v>
      </c>
      <c r="D11510" t="s">
        <v>26687</v>
      </c>
    </row>
    <row r="11511" spans="1:4">
      <c r="A11511">
        <v>39327</v>
      </c>
      <c r="B11511" t="s">
        <v>11886</v>
      </c>
      <c r="C11511" t="s">
        <v>427</v>
      </c>
      <c r="D11511" t="s">
        <v>26688</v>
      </c>
    </row>
    <row r="11512" spans="1:4">
      <c r="A11512">
        <v>20176</v>
      </c>
      <c r="B11512" t="s">
        <v>11887</v>
      </c>
      <c r="C11512" t="s">
        <v>427</v>
      </c>
      <c r="D11512" t="s">
        <v>23651</v>
      </c>
    </row>
    <row r="11513" spans="1:4">
      <c r="A11513">
        <v>11378</v>
      </c>
      <c r="B11513" t="s">
        <v>11888</v>
      </c>
      <c r="C11513" t="s">
        <v>427</v>
      </c>
      <c r="D11513" t="s">
        <v>26689</v>
      </c>
    </row>
    <row r="11514" spans="1:4">
      <c r="A11514">
        <v>11379</v>
      </c>
      <c r="B11514" t="s">
        <v>11889</v>
      </c>
      <c r="C11514" t="s">
        <v>427</v>
      </c>
      <c r="D11514" t="s">
        <v>19553</v>
      </c>
    </row>
    <row r="11515" spans="1:4">
      <c r="A11515">
        <v>11493</v>
      </c>
      <c r="B11515" t="s">
        <v>11890</v>
      </c>
      <c r="C11515" t="s">
        <v>427</v>
      </c>
      <c r="D11515" t="s">
        <v>26690</v>
      </c>
    </row>
    <row r="11516" spans="1:4">
      <c r="A11516">
        <v>42717</v>
      </c>
      <c r="B11516" t="s">
        <v>11891</v>
      </c>
      <c r="C11516" t="s">
        <v>427</v>
      </c>
      <c r="D11516" t="s">
        <v>26691</v>
      </c>
    </row>
    <row r="11517" spans="1:4">
      <c r="A11517">
        <v>42718</v>
      </c>
      <c r="B11517" t="s">
        <v>11892</v>
      </c>
      <c r="C11517" t="s">
        <v>427</v>
      </c>
      <c r="D11517" t="s">
        <v>26692</v>
      </c>
    </row>
    <row r="11518" spans="1:4">
      <c r="A11518">
        <v>7106</v>
      </c>
      <c r="B11518" t="s">
        <v>11893</v>
      </c>
      <c r="C11518" t="s">
        <v>427</v>
      </c>
      <c r="D11518" t="s">
        <v>21763</v>
      </c>
    </row>
    <row r="11519" spans="1:4">
      <c r="A11519">
        <v>7104</v>
      </c>
      <c r="B11519" t="s">
        <v>11894</v>
      </c>
      <c r="C11519" t="s">
        <v>427</v>
      </c>
      <c r="D11519" t="s">
        <v>15527</v>
      </c>
    </row>
    <row r="11520" spans="1:4">
      <c r="A11520">
        <v>7136</v>
      </c>
      <c r="B11520" t="s">
        <v>11895</v>
      </c>
      <c r="C11520" t="s">
        <v>427</v>
      </c>
      <c r="D11520" t="s">
        <v>15466</v>
      </c>
    </row>
    <row r="11521" spans="1:4">
      <c r="A11521">
        <v>7128</v>
      </c>
      <c r="B11521" t="s">
        <v>11896</v>
      </c>
      <c r="C11521" t="s">
        <v>427</v>
      </c>
      <c r="D11521" t="s">
        <v>16414</v>
      </c>
    </row>
    <row r="11522" spans="1:4">
      <c r="A11522">
        <v>7108</v>
      </c>
      <c r="B11522" t="s">
        <v>11897</v>
      </c>
      <c r="C11522" t="s">
        <v>427</v>
      </c>
      <c r="D11522" t="s">
        <v>20134</v>
      </c>
    </row>
    <row r="11523" spans="1:4">
      <c r="A11523">
        <v>7129</v>
      </c>
      <c r="B11523" t="s">
        <v>11898</v>
      </c>
      <c r="C11523" t="s">
        <v>427</v>
      </c>
      <c r="D11523" t="s">
        <v>15447</v>
      </c>
    </row>
    <row r="11524" spans="1:4">
      <c r="A11524">
        <v>7130</v>
      </c>
      <c r="B11524" t="s">
        <v>11899</v>
      </c>
      <c r="C11524" t="s">
        <v>427</v>
      </c>
      <c r="D11524" t="s">
        <v>17140</v>
      </c>
    </row>
    <row r="11525" spans="1:4">
      <c r="A11525">
        <v>7131</v>
      </c>
      <c r="B11525" t="s">
        <v>11900</v>
      </c>
      <c r="C11525" t="s">
        <v>427</v>
      </c>
      <c r="D11525" t="s">
        <v>19295</v>
      </c>
    </row>
    <row r="11526" spans="1:4">
      <c r="A11526">
        <v>7132</v>
      </c>
      <c r="B11526" t="s">
        <v>11901</v>
      </c>
      <c r="C11526" t="s">
        <v>427</v>
      </c>
      <c r="D11526" t="s">
        <v>18118</v>
      </c>
    </row>
    <row r="11527" spans="1:4">
      <c r="A11527">
        <v>7133</v>
      </c>
      <c r="B11527" t="s">
        <v>11902</v>
      </c>
      <c r="C11527" t="s">
        <v>427</v>
      </c>
      <c r="D11527" t="s">
        <v>16694</v>
      </c>
    </row>
    <row r="11528" spans="1:4">
      <c r="A11528">
        <v>37420</v>
      </c>
      <c r="B11528" t="s">
        <v>11903</v>
      </c>
      <c r="C11528" t="s">
        <v>427</v>
      </c>
      <c r="D11528" t="s">
        <v>26693</v>
      </c>
    </row>
    <row r="11529" spans="1:4">
      <c r="A11529">
        <v>37421</v>
      </c>
      <c r="B11529" t="s">
        <v>11904</v>
      </c>
      <c r="C11529" t="s">
        <v>427</v>
      </c>
      <c r="D11529" t="s">
        <v>26694</v>
      </c>
    </row>
    <row r="11530" spans="1:4">
      <c r="A11530">
        <v>37422</v>
      </c>
      <c r="B11530" t="s">
        <v>11905</v>
      </c>
      <c r="C11530" t="s">
        <v>427</v>
      </c>
      <c r="D11530" t="s">
        <v>26695</v>
      </c>
    </row>
    <row r="11531" spans="1:4">
      <c r="A11531">
        <v>37443</v>
      </c>
      <c r="B11531" t="s">
        <v>11906</v>
      </c>
      <c r="C11531" t="s">
        <v>427</v>
      </c>
      <c r="D11531" t="s">
        <v>26696</v>
      </c>
    </row>
    <row r="11532" spans="1:4">
      <c r="A11532">
        <v>37444</v>
      </c>
      <c r="B11532" t="s">
        <v>11907</v>
      </c>
      <c r="C11532" t="s">
        <v>427</v>
      </c>
      <c r="D11532" t="s">
        <v>26697</v>
      </c>
    </row>
    <row r="11533" spans="1:4">
      <c r="A11533">
        <v>37445</v>
      </c>
      <c r="B11533" t="s">
        <v>11908</v>
      </c>
      <c r="C11533" t="s">
        <v>427</v>
      </c>
      <c r="D11533" t="s">
        <v>26698</v>
      </c>
    </row>
    <row r="11534" spans="1:4">
      <c r="A11534">
        <v>37446</v>
      </c>
      <c r="B11534" t="s">
        <v>11909</v>
      </c>
      <c r="C11534" t="s">
        <v>427</v>
      </c>
      <c r="D11534" t="s">
        <v>26699</v>
      </c>
    </row>
    <row r="11535" spans="1:4">
      <c r="A11535">
        <v>37447</v>
      </c>
      <c r="B11535" t="s">
        <v>11910</v>
      </c>
      <c r="C11535" t="s">
        <v>427</v>
      </c>
      <c r="D11535" t="s">
        <v>26609</v>
      </c>
    </row>
    <row r="11536" spans="1:4">
      <c r="A11536">
        <v>37448</v>
      </c>
      <c r="B11536" t="s">
        <v>11911</v>
      </c>
      <c r="C11536" t="s">
        <v>427</v>
      </c>
      <c r="D11536" t="s">
        <v>26700</v>
      </c>
    </row>
    <row r="11537" spans="1:4">
      <c r="A11537">
        <v>37440</v>
      </c>
      <c r="B11537" t="s">
        <v>11912</v>
      </c>
      <c r="C11537" t="s">
        <v>427</v>
      </c>
      <c r="D11537" t="s">
        <v>26701</v>
      </c>
    </row>
    <row r="11538" spans="1:4">
      <c r="A11538">
        <v>37441</v>
      </c>
      <c r="B11538" t="s">
        <v>11913</v>
      </c>
      <c r="C11538" t="s">
        <v>427</v>
      </c>
      <c r="D11538" t="s">
        <v>26701</v>
      </c>
    </row>
    <row r="11539" spans="1:4">
      <c r="A11539">
        <v>37442</v>
      </c>
      <c r="B11539" t="s">
        <v>11914</v>
      </c>
      <c r="C11539" t="s">
        <v>427</v>
      </c>
      <c r="D11539" t="s">
        <v>26702</v>
      </c>
    </row>
    <row r="11540" spans="1:4">
      <c r="A11540">
        <v>38017</v>
      </c>
      <c r="B11540" t="s">
        <v>11915</v>
      </c>
      <c r="C11540" t="s">
        <v>427</v>
      </c>
      <c r="D11540" t="s">
        <v>15651</v>
      </c>
    </row>
    <row r="11541" spans="1:4">
      <c r="A11541">
        <v>38018</v>
      </c>
      <c r="B11541" t="s">
        <v>11916</v>
      </c>
      <c r="C11541" t="s">
        <v>427</v>
      </c>
      <c r="D11541" t="s">
        <v>16899</v>
      </c>
    </row>
    <row r="11542" spans="1:4">
      <c r="A11542">
        <v>39895</v>
      </c>
      <c r="B11542" t="s">
        <v>11917</v>
      </c>
      <c r="C11542" t="s">
        <v>427</v>
      </c>
      <c r="D11542" t="s">
        <v>26703</v>
      </c>
    </row>
    <row r="11543" spans="1:4">
      <c r="A11543">
        <v>39896</v>
      </c>
      <c r="B11543" t="s">
        <v>11918</v>
      </c>
      <c r="C11543" t="s">
        <v>427</v>
      </c>
      <c r="D11543" t="s">
        <v>26704</v>
      </c>
    </row>
    <row r="11544" spans="1:4">
      <c r="A11544">
        <v>38873</v>
      </c>
      <c r="B11544" t="s">
        <v>11919</v>
      </c>
      <c r="C11544" t="s">
        <v>427</v>
      </c>
      <c r="D11544" t="s">
        <v>20363</v>
      </c>
    </row>
    <row r="11545" spans="1:4">
      <c r="A11545">
        <v>38874</v>
      </c>
      <c r="B11545" t="s">
        <v>11920</v>
      </c>
      <c r="C11545" t="s">
        <v>427</v>
      </c>
      <c r="D11545" t="s">
        <v>26705</v>
      </c>
    </row>
    <row r="11546" spans="1:4">
      <c r="A11546">
        <v>38875</v>
      </c>
      <c r="B11546" t="s">
        <v>11921</v>
      </c>
      <c r="C11546" t="s">
        <v>427</v>
      </c>
      <c r="D11546" t="s">
        <v>25105</v>
      </c>
    </row>
    <row r="11547" spans="1:4">
      <c r="A11547">
        <v>38876</v>
      </c>
      <c r="B11547" t="s">
        <v>11922</v>
      </c>
      <c r="C11547" t="s">
        <v>427</v>
      </c>
      <c r="D11547" t="s">
        <v>22439</v>
      </c>
    </row>
    <row r="11548" spans="1:4">
      <c r="A11548">
        <v>39000</v>
      </c>
      <c r="B11548" t="s">
        <v>11923</v>
      </c>
      <c r="C11548" t="s">
        <v>427</v>
      </c>
      <c r="D11548" t="s">
        <v>24027</v>
      </c>
    </row>
    <row r="11549" spans="1:4">
      <c r="A11549">
        <v>38674</v>
      </c>
      <c r="B11549" t="s">
        <v>11924</v>
      </c>
      <c r="C11549" t="s">
        <v>427</v>
      </c>
      <c r="D11549" t="s">
        <v>26706</v>
      </c>
    </row>
    <row r="11550" spans="1:4">
      <c r="A11550">
        <v>38911</v>
      </c>
      <c r="B11550" t="s">
        <v>11925</v>
      </c>
      <c r="C11550" t="s">
        <v>427</v>
      </c>
      <c r="D11550" t="s">
        <v>26707</v>
      </c>
    </row>
    <row r="11551" spans="1:4">
      <c r="A11551">
        <v>38912</v>
      </c>
      <c r="B11551" t="s">
        <v>11926</v>
      </c>
      <c r="C11551" t="s">
        <v>427</v>
      </c>
      <c r="D11551" t="s">
        <v>26708</v>
      </c>
    </row>
    <row r="11552" spans="1:4">
      <c r="A11552">
        <v>38019</v>
      </c>
      <c r="B11552" t="s">
        <v>11927</v>
      </c>
      <c r="C11552" t="s">
        <v>427</v>
      </c>
      <c r="D11552" t="s">
        <v>18033</v>
      </c>
    </row>
    <row r="11553" spans="1:4">
      <c r="A11553">
        <v>38020</v>
      </c>
      <c r="B11553" t="s">
        <v>11928</v>
      </c>
      <c r="C11553" t="s">
        <v>427</v>
      </c>
      <c r="D11553" t="s">
        <v>16899</v>
      </c>
    </row>
    <row r="11554" spans="1:4">
      <c r="A11554">
        <v>38454</v>
      </c>
      <c r="B11554" t="s">
        <v>11929</v>
      </c>
      <c r="C11554" t="s">
        <v>427</v>
      </c>
      <c r="D11554" t="s">
        <v>20383</v>
      </c>
    </row>
    <row r="11555" spans="1:4">
      <c r="A11555">
        <v>38455</v>
      </c>
      <c r="B11555" t="s">
        <v>11930</v>
      </c>
      <c r="C11555" t="s">
        <v>427</v>
      </c>
      <c r="D11555" t="s">
        <v>20327</v>
      </c>
    </row>
    <row r="11556" spans="1:4">
      <c r="A11556">
        <v>38462</v>
      </c>
      <c r="B11556" t="s">
        <v>11931</v>
      </c>
      <c r="C11556" t="s">
        <v>427</v>
      </c>
      <c r="D11556" t="s">
        <v>26709</v>
      </c>
    </row>
    <row r="11557" spans="1:4">
      <c r="A11557">
        <v>36362</v>
      </c>
      <c r="B11557" t="s">
        <v>11932</v>
      </c>
      <c r="C11557" t="s">
        <v>427</v>
      </c>
      <c r="D11557" t="s">
        <v>15415</v>
      </c>
    </row>
    <row r="11558" spans="1:4">
      <c r="A11558">
        <v>36298</v>
      </c>
      <c r="B11558" t="s">
        <v>11933</v>
      </c>
      <c r="C11558" t="s">
        <v>427</v>
      </c>
      <c r="D11558" t="s">
        <v>24901</v>
      </c>
    </row>
    <row r="11559" spans="1:4">
      <c r="A11559">
        <v>38456</v>
      </c>
      <c r="B11559" t="s">
        <v>11934</v>
      </c>
      <c r="C11559" t="s">
        <v>427</v>
      </c>
      <c r="D11559" t="s">
        <v>25251</v>
      </c>
    </row>
    <row r="11560" spans="1:4">
      <c r="A11560">
        <v>38457</v>
      </c>
      <c r="B11560" t="s">
        <v>11935</v>
      </c>
      <c r="C11560" t="s">
        <v>427</v>
      </c>
      <c r="D11560" t="s">
        <v>23909</v>
      </c>
    </row>
    <row r="11561" spans="1:4">
      <c r="A11561">
        <v>38458</v>
      </c>
      <c r="B11561" t="s">
        <v>11936</v>
      </c>
      <c r="C11561" t="s">
        <v>427</v>
      </c>
      <c r="D11561" t="s">
        <v>26710</v>
      </c>
    </row>
    <row r="11562" spans="1:4">
      <c r="A11562">
        <v>38459</v>
      </c>
      <c r="B11562" t="s">
        <v>11937</v>
      </c>
      <c r="C11562" t="s">
        <v>427</v>
      </c>
      <c r="D11562" t="s">
        <v>26711</v>
      </c>
    </row>
    <row r="11563" spans="1:4">
      <c r="A11563">
        <v>38460</v>
      </c>
      <c r="B11563" t="s">
        <v>11938</v>
      </c>
      <c r="C11563" t="s">
        <v>427</v>
      </c>
      <c r="D11563" t="s">
        <v>26712</v>
      </c>
    </row>
    <row r="11564" spans="1:4">
      <c r="A11564">
        <v>38461</v>
      </c>
      <c r="B11564" t="s">
        <v>11939</v>
      </c>
      <c r="C11564" t="s">
        <v>427</v>
      </c>
      <c r="D11564" t="s">
        <v>23924</v>
      </c>
    </row>
    <row r="11565" spans="1:4">
      <c r="A11565">
        <v>7094</v>
      </c>
      <c r="B11565" t="s">
        <v>11940</v>
      </c>
      <c r="C11565" t="s">
        <v>427</v>
      </c>
      <c r="D11565" t="s">
        <v>26713</v>
      </c>
    </row>
    <row r="11566" spans="1:4">
      <c r="A11566">
        <v>7116</v>
      </c>
      <c r="B11566" t="s">
        <v>11941</v>
      </c>
      <c r="C11566" t="s">
        <v>427</v>
      </c>
      <c r="D11566" t="s">
        <v>15525</v>
      </c>
    </row>
    <row r="11567" spans="1:4">
      <c r="A11567">
        <v>7118</v>
      </c>
      <c r="B11567" t="s">
        <v>11942</v>
      </c>
      <c r="C11567" t="s">
        <v>427</v>
      </c>
      <c r="D11567" t="s">
        <v>20395</v>
      </c>
    </row>
    <row r="11568" spans="1:4">
      <c r="A11568">
        <v>7117</v>
      </c>
      <c r="B11568" t="s">
        <v>11943</v>
      </c>
      <c r="C11568" t="s">
        <v>427</v>
      </c>
      <c r="D11568" t="s">
        <v>17313</v>
      </c>
    </row>
    <row r="11569" spans="1:4">
      <c r="A11569">
        <v>7098</v>
      </c>
      <c r="B11569" t="s">
        <v>11944</v>
      </c>
      <c r="C11569" t="s">
        <v>427</v>
      </c>
      <c r="D11569" t="s">
        <v>24349</v>
      </c>
    </row>
    <row r="11570" spans="1:4">
      <c r="A11570">
        <v>7110</v>
      </c>
      <c r="B11570" t="s">
        <v>11945</v>
      </c>
      <c r="C11570" t="s">
        <v>427</v>
      </c>
      <c r="D11570" t="s">
        <v>26714</v>
      </c>
    </row>
    <row r="11571" spans="1:4">
      <c r="A11571">
        <v>7123</v>
      </c>
      <c r="B11571" t="s">
        <v>11946</v>
      </c>
      <c r="C11571" t="s">
        <v>427</v>
      </c>
      <c r="D11571" t="s">
        <v>15663</v>
      </c>
    </row>
    <row r="11572" spans="1:4">
      <c r="A11572">
        <v>7121</v>
      </c>
      <c r="B11572" t="s">
        <v>11947</v>
      </c>
      <c r="C11572" t="s">
        <v>427</v>
      </c>
      <c r="D11572" t="s">
        <v>25772</v>
      </c>
    </row>
    <row r="11573" spans="1:4">
      <c r="A11573">
        <v>7137</v>
      </c>
      <c r="B11573" t="s">
        <v>11948</v>
      </c>
      <c r="C11573" t="s">
        <v>427</v>
      </c>
      <c r="D11573" t="s">
        <v>20179</v>
      </c>
    </row>
    <row r="11574" spans="1:4">
      <c r="A11574">
        <v>7122</v>
      </c>
      <c r="B11574" t="s">
        <v>11949</v>
      </c>
      <c r="C11574" t="s">
        <v>427</v>
      </c>
      <c r="D11574" t="s">
        <v>21636</v>
      </c>
    </row>
    <row r="11575" spans="1:4">
      <c r="A11575">
        <v>7114</v>
      </c>
      <c r="B11575" t="s">
        <v>11950</v>
      </c>
      <c r="C11575" t="s">
        <v>427</v>
      </c>
      <c r="D11575" t="s">
        <v>14745</v>
      </c>
    </row>
    <row r="11576" spans="1:4">
      <c r="A11576">
        <v>7109</v>
      </c>
      <c r="B11576" t="s">
        <v>11951</v>
      </c>
      <c r="C11576" t="s">
        <v>427</v>
      </c>
      <c r="D11576" t="s">
        <v>26715</v>
      </c>
    </row>
    <row r="11577" spans="1:4">
      <c r="A11577">
        <v>7135</v>
      </c>
      <c r="B11577" t="s">
        <v>11952</v>
      </c>
      <c r="C11577" t="s">
        <v>427</v>
      </c>
      <c r="D11577" t="s">
        <v>17258</v>
      </c>
    </row>
    <row r="11578" spans="1:4">
      <c r="A11578">
        <v>37947</v>
      </c>
      <c r="B11578" t="s">
        <v>11953</v>
      </c>
      <c r="C11578" t="s">
        <v>427</v>
      </c>
      <c r="D11578" t="s">
        <v>18026</v>
      </c>
    </row>
    <row r="11579" spans="1:4">
      <c r="A11579">
        <v>7103</v>
      </c>
      <c r="B11579" t="s">
        <v>11954</v>
      </c>
      <c r="C11579" t="s">
        <v>427</v>
      </c>
      <c r="D11579" t="s">
        <v>20134</v>
      </c>
    </row>
    <row r="11580" spans="1:4">
      <c r="A11580">
        <v>40419</v>
      </c>
      <c r="B11580" t="s">
        <v>11955</v>
      </c>
      <c r="C11580" t="s">
        <v>427</v>
      </c>
      <c r="D11580" t="s">
        <v>17994</v>
      </c>
    </row>
    <row r="11581" spans="1:4">
      <c r="A11581">
        <v>40420</v>
      </c>
      <c r="B11581" t="s">
        <v>11956</v>
      </c>
      <c r="C11581" t="s">
        <v>427</v>
      </c>
      <c r="D11581" t="s">
        <v>26716</v>
      </c>
    </row>
    <row r="11582" spans="1:4">
      <c r="A11582">
        <v>40421</v>
      </c>
      <c r="B11582" t="s">
        <v>11957</v>
      </c>
      <c r="C11582" t="s">
        <v>427</v>
      </c>
      <c r="D11582" t="s">
        <v>26717</v>
      </c>
    </row>
    <row r="11583" spans="1:4">
      <c r="A11583">
        <v>7126</v>
      </c>
      <c r="B11583" t="s">
        <v>11958</v>
      </c>
      <c r="C11583" t="s">
        <v>427</v>
      </c>
      <c r="D11583" t="s">
        <v>26718</v>
      </c>
    </row>
    <row r="11584" spans="1:4">
      <c r="A11584">
        <v>38905</v>
      </c>
      <c r="B11584" t="s">
        <v>11959</v>
      </c>
      <c r="C11584" t="s">
        <v>427</v>
      </c>
      <c r="D11584" t="s">
        <v>15362</v>
      </c>
    </row>
    <row r="11585" spans="1:4">
      <c r="A11585">
        <v>38907</v>
      </c>
      <c r="B11585" t="s">
        <v>11960</v>
      </c>
      <c r="C11585" t="s">
        <v>427</v>
      </c>
      <c r="D11585" t="s">
        <v>26719</v>
      </c>
    </row>
    <row r="11586" spans="1:4">
      <c r="A11586">
        <v>38908</v>
      </c>
      <c r="B11586" t="s">
        <v>11961</v>
      </c>
      <c r="C11586" t="s">
        <v>427</v>
      </c>
      <c r="D11586" t="s">
        <v>26720</v>
      </c>
    </row>
    <row r="11587" spans="1:4">
      <c r="A11587">
        <v>38909</v>
      </c>
      <c r="B11587" t="s">
        <v>11962</v>
      </c>
      <c r="C11587" t="s">
        <v>427</v>
      </c>
      <c r="D11587" t="s">
        <v>19824</v>
      </c>
    </row>
    <row r="11588" spans="1:4">
      <c r="A11588">
        <v>38910</v>
      </c>
      <c r="B11588" t="s">
        <v>11963</v>
      </c>
      <c r="C11588" t="s">
        <v>427</v>
      </c>
      <c r="D11588" t="s">
        <v>26721</v>
      </c>
    </row>
    <row r="11589" spans="1:4">
      <c r="A11589">
        <v>38897</v>
      </c>
      <c r="B11589" t="s">
        <v>11964</v>
      </c>
      <c r="C11589" t="s">
        <v>427</v>
      </c>
      <c r="D11589" t="s">
        <v>23838</v>
      </c>
    </row>
    <row r="11590" spans="1:4">
      <c r="A11590">
        <v>38899</v>
      </c>
      <c r="B11590" t="s">
        <v>11965</v>
      </c>
      <c r="C11590" t="s">
        <v>427</v>
      </c>
      <c r="D11590" t="s">
        <v>17217</v>
      </c>
    </row>
    <row r="11591" spans="1:4">
      <c r="A11591">
        <v>38900</v>
      </c>
      <c r="B11591" t="s">
        <v>11966</v>
      </c>
      <c r="C11591" t="s">
        <v>427</v>
      </c>
      <c r="D11591" t="s">
        <v>18667</v>
      </c>
    </row>
    <row r="11592" spans="1:4">
      <c r="A11592">
        <v>38901</v>
      </c>
      <c r="B11592" t="s">
        <v>11967</v>
      </c>
      <c r="C11592" t="s">
        <v>427</v>
      </c>
      <c r="D11592" t="s">
        <v>26722</v>
      </c>
    </row>
    <row r="11593" spans="1:4">
      <c r="A11593">
        <v>38904</v>
      </c>
      <c r="B11593" t="s">
        <v>11968</v>
      </c>
      <c r="C11593" t="s">
        <v>427</v>
      </c>
      <c r="D11593" t="s">
        <v>23545</v>
      </c>
    </row>
    <row r="11594" spans="1:4">
      <c r="A11594">
        <v>38903</v>
      </c>
      <c r="B11594" t="s">
        <v>11969</v>
      </c>
      <c r="C11594" t="s">
        <v>427</v>
      </c>
      <c r="D11594" t="s">
        <v>26723</v>
      </c>
    </row>
    <row r="11595" spans="1:4">
      <c r="A11595">
        <v>7091</v>
      </c>
      <c r="B11595" t="s">
        <v>11970</v>
      </c>
      <c r="C11595" t="s">
        <v>427</v>
      </c>
      <c r="D11595" t="s">
        <v>14865</v>
      </c>
    </row>
    <row r="11596" spans="1:4">
      <c r="A11596">
        <v>11655</v>
      </c>
      <c r="B11596" t="s">
        <v>11971</v>
      </c>
      <c r="C11596" t="s">
        <v>427</v>
      </c>
      <c r="D11596" t="s">
        <v>18073</v>
      </c>
    </row>
    <row r="11597" spans="1:4">
      <c r="A11597">
        <v>11656</v>
      </c>
      <c r="B11597" t="s">
        <v>11972</v>
      </c>
      <c r="C11597" t="s">
        <v>427</v>
      </c>
      <c r="D11597" t="s">
        <v>22752</v>
      </c>
    </row>
    <row r="11598" spans="1:4">
      <c r="A11598">
        <v>37948</v>
      </c>
      <c r="B11598" t="s">
        <v>11973</v>
      </c>
      <c r="C11598" t="s">
        <v>427</v>
      </c>
      <c r="D11598" t="s">
        <v>17156</v>
      </c>
    </row>
    <row r="11599" spans="1:4">
      <c r="A11599">
        <v>7097</v>
      </c>
      <c r="B11599" t="s">
        <v>11974</v>
      </c>
      <c r="C11599" t="s">
        <v>427</v>
      </c>
      <c r="D11599" t="s">
        <v>18030</v>
      </c>
    </row>
    <row r="11600" spans="1:4">
      <c r="A11600">
        <v>11657</v>
      </c>
      <c r="B11600" t="s">
        <v>11975</v>
      </c>
      <c r="C11600" t="s">
        <v>427</v>
      </c>
      <c r="D11600" t="s">
        <v>15105</v>
      </c>
    </row>
    <row r="11601" spans="1:4">
      <c r="A11601">
        <v>11658</v>
      </c>
      <c r="B11601" t="s">
        <v>11976</v>
      </c>
      <c r="C11601" t="s">
        <v>427</v>
      </c>
      <c r="D11601" t="s">
        <v>20292</v>
      </c>
    </row>
    <row r="11602" spans="1:4">
      <c r="A11602">
        <v>7146</v>
      </c>
      <c r="B11602" t="s">
        <v>11977</v>
      </c>
      <c r="C11602" t="s">
        <v>427</v>
      </c>
      <c r="D11602" t="s">
        <v>26724</v>
      </c>
    </row>
    <row r="11603" spans="1:4">
      <c r="A11603">
        <v>7138</v>
      </c>
      <c r="B11603" t="s">
        <v>11978</v>
      </c>
      <c r="C11603" t="s">
        <v>427</v>
      </c>
      <c r="D11603" t="s">
        <v>20060</v>
      </c>
    </row>
    <row r="11604" spans="1:4">
      <c r="A11604">
        <v>7139</v>
      </c>
      <c r="B11604" t="s">
        <v>11979</v>
      </c>
      <c r="C11604" t="s">
        <v>427</v>
      </c>
      <c r="D11604" t="s">
        <v>15649</v>
      </c>
    </row>
    <row r="11605" spans="1:4">
      <c r="A11605">
        <v>7140</v>
      </c>
      <c r="B11605" t="s">
        <v>11980</v>
      </c>
      <c r="C11605" t="s">
        <v>427</v>
      </c>
      <c r="D11605" t="s">
        <v>14755</v>
      </c>
    </row>
    <row r="11606" spans="1:4">
      <c r="A11606">
        <v>7141</v>
      </c>
      <c r="B11606" t="s">
        <v>11981</v>
      </c>
      <c r="C11606" t="s">
        <v>427</v>
      </c>
      <c r="D11606" t="s">
        <v>25252</v>
      </c>
    </row>
    <row r="11607" spans="1:4">
      <c r="A11607">
        <v>7143</v>
      </c>
      <c r="B11607" t="s">
        <v>11982</v>
      </c>
      <c r="C11607" t="s">
        <v>427</v>
      </c>
      <c r="D11607" t="s">
        <v>26725</v>
      </c>
    </row>
    <row r="11608" spans="1:4">
      <c r="A11608">
        <v>7144</v>
      </c>
      <c r="B11608" t="s">
        <v>11983</v>
      </c>
      <c r="C11608" t="s">
        <v>427</v>
      </c>
      <c r="D11608" t="s">
        <v>26726</v>
      </c>
    </row>
    <row r="11609" spans="1:4">
      <c r="A11609">
        <v>7145</v>
      </c>
      <c r="B11609" t="s">
        <v>11984</v>
      </c>
      <c r="C11609" t="s">
        <v>427</v>
      </c>
      <c r="D11609" t="s">
        <v>23715</v>
      </c>
    </row>
    <row r="11610" spans="1:4">
      <c r="A11610">
        <v>7142</v>
      </c>
      <c r="B11610" t="s">
        <v>11985</v>
      </c>
      <c r="C11610" t="s">
        <v>427</v>
      </c>
      <c r="D11610" t="s">
        <v>24004</v>
      </c>
    </row>
    <row r="11611" spans="1:4">
      <c r="A11611">
        <v>3593</v>
      </c>
      <c r="B11611" t="s">
        <v>11986</v>
      </c>
      <c r="C11611" t="s">
        <v>427</v>
      </c>
      <c r="D11611" t="s">
        <v>26727</v>
      </c>
    </row>
    <row r="11612" spans="1:4">
      <c r="A11612">
        <v>3588</v>
      </c>
      <c r="B11612" t="s">
        <v>11987</v>
      </c>
      <c r="C11612" t="s">
        <v>427</v>
      </c>
      <c r="D11612" t="s">
        <v>26728</v>
      </c>
    </row>
    <row r="11613" spans="1:4">
      <c r="A11613">
        <v>3585</v>
      </c>
      <c r="B11613" t="s">
        <v>11988</v>
      </c>
      <c r="C11613" t="s">
        <v>427</v>
      </c>
      <c r="D11613" t="s">
        <v>22761</v>
      </c>
    </row>
    <row r="11614" spans="1:4">
      <c r="A11614">
        <v>3587</v>
      </c>
      <c r="B11614" t="s">
        <v>11989</v>
      </c>
      <c r="C11614" t="s">
        <v>427</v>
      </c>
      <c r="D11614" t="s">
        <v>14898</v>
      </c>
    </row>
    <row r="11615" spans="1:4">
      <c r="A11615">
        <v>3590</v>
      </c>
      <c r="B11615" t="s">
        <v>11990</v>
      </c>
      <c r="C11615" t="s">
        <v>427</v>
      </c>
      <c r="D11615" t="s">
        <v>26729</v>
      </c>
    </row>
    <row r="11616" spans="1:4">
      <c r="A11616">
        <v>3589</v>
      </c>
      <c r="B11616" t="s">
        <v>11991</v>
      </c>
      <c r="C11616" t="s">
        <v>427</v>
      </c>
      <c r="D11616" t="s">
        <v>19356</v>
      </c>
    </row>
    <row r="11617" spans="1:4">
      <c r="A11617">
        <v>3586</v>
      </c>
      <c r="B11617" t="s">
        <v>11992</v>
      </c>
      <c r="C11617" t="s">
        <v>427</v>
      </c>
      <c r="D11617" t="s">
        <v>18471</v>
      </c>
    </row>
    <row r="11618" spans="1:4">
      <c r="A11618">
        <v>3592</v>
      </c>
      <c r="B11618" t="s">
        <v>11993</v>
      </c>
      <c r="C11618" t="s">
        <v>427</v>
      </c>
      <c r="D11618" t="s">
        <v>26730</v>
      </c>
    </row>
    <row r="11619" spans="1:4">
      <c r="A11619">
        <v>3591</v>
      </c>
      <c r="B11619" t="s">
        <v>11994</v>
      </c>
      <c r="C11619" t="s">
        <v>427</v>
      </c>
      <c r="D11619" t="s">
        <v>26731</v>
      </c>
    </row>
    <row r="11620" spans="1:4">
      <c r="A11620">
        <v>40396</v>
      </c>
      <c r="B11620" t="s">
        <v>11995</v>
      </c>
      <c r="C11620" t="s">
        <v>427</v>
      </c>
      <c r="D11620" t="s">
        <v>26732</v>
      </c>
    </row>
    <row r="11621" spans="1:4">
      <c r="A11621">
        <v>40395</v>
      </c>
      <c r="B11621" t="s">
        <v>11996</v>
      </c>
      <c r="C11621" t="s">
        <v>427</v>
      </c>
      <c r="D11621" t="s">
        <v>25602</v>
      </c>
    </row>
    <row r="11622" spans="1:4">
      <c r="A11622">
        <v>40392</v>
      </c>
      <c r="B11622" t="s">
        <v>11997</v>
      </c>
      <c r="C11622" t="s">
        <v>427</v>
      </c>
      <c r="D11622" t="s">
        <v>26733</v>
      </c>
    </row>
    <row r="11623" spans="1:4">
      <c r="A11623">
        <v>40394</v>
      </c>
      <c r="B11623" t="s">
        <v>11998</v>
      </c>
      <c r="C11623" t="s">
        <v>427</v>
      </c>
      <c r="D11623" t="s">
        <v>26734</v>
      </c>
    </row>
    <row r="11624" spans="1:4">
      <c r="A11624">
        <v>40398</v>
      </c>
      <c r="B11624" t="s">
        <v>11999</v>
      </c>
      <c r="C11624" t="s">
        <v>427</v>
      </c>
      <c r="D11624" t="s">
        <v>26735</v>
      </c>
    </row>
    <row r="11625" spans="1:4">
      <c r="A11625">
        <v>40397</v>
      </c>
      <c r="B11625" t="s">
        <v>12000</v>
      </c>
      <c r="C11625" t="s">
        <v>427</v>
      </c>
      <c r="D11625" t="s">
        <v>26736</v>
      </c>
    </row>
    <row r="11626" spans="1:4">
      <c r="A11626">
        <v>40393</v>
      </c>
      <c r="B11626" t="s">
        <v>12001</v>
      </c>
      <c r="C11626" t="s">
        <v>427</v>
      </c>
      <c r="D11626" t="s">
        <v>26737</v>
      </c>
    </row>
    <row r="11627" spans="1:4">
      <c r="A11627">
        <v>40399</v>
      </c>
      <c r="B11627" t="s">
        <v>12002</v>
      </c>
      <c r="C11627" t="s">
        <v>427</v>
      </c>
      <c r="D11627" t="s">
        <v>26738</v>
      </c>
    </row>
    <row r="11628" spans="1:4">
      <c r="A11628">
        <v>39322</v>
      </c>
      <c r="B11628" t="s">
        <v>12003</v>
      </c>
      <c r="C11628" t="s">
        <v>427</v>
      </c>
      <c r="D11628" t="s">
        <v>18434</v>
      </c>
    </row>
    <row r="11629" spans="1:4">
      <c r="A11629">
        <v>39289</v>
      </c>
      <c r="B11629" t="s">
        <v>12004</v>
      </c>
      <c r="C11629" t="s">
        <v>427</v>
      </c>
      <c r="D11629" t="s">
        <v>22109</v>
      </c>
    </row>
    <row r="11630" spans="1:4">
      <c r="A11630">
        <v>39290</v>
      </c>
      <c r="B11630" t="s">
        <v>12005</v>
      </c>
      <c r="C11630" t="s">
        <v>427</v>
      </c>
      <c r="D11630" t="s">
        <v>26739</v>
      </c>
    </row>
    <row r="11631" spans="1:4">
      <c r="A11631">
        <v>39291</v>
      </c>
      <c r="B11631" t="s">
        <v>12006</v>
      </c>
      <c r="C11631" t="s">
        <v>427</v>
      </c>
      <c r="D11631" t="s">
        <v>16536</v>
      </c>
    </row>
    <row r="11632" spans="1:4">
      <c r="A11632">
        <v>20174</v>
      </c>
      <c r="B11632" t="s">
        <v>12007</v>
      </c>
      <c r="C11632" t="s">
        <v>427</v>
      </c>
      <c r="D11632" t="s">
        <v>26740</v>
      </c>
    </row>
    <row r="11633" spans="1:4">
      <c r="A11633">
        <v>41892</v>
      </c>
      <c r="B11633" t="s">
        <v>12008</v>
      </c>
      <c r="C11633" t="s">
        <v>427</v>
      </c>
      <c r="D11633" t="s">
        <v>26741</v>
      </c>
    </row>
    <row r="11634" spans="1:4">
      <c r="A11634">
        <v>7048</v>
      </c>
      <c r="B11634" t="s">
        <v>12009</v>
      </c>
      <c r="C11634" t="s">
        <v>427</v>
      </c>
      <c r="D11634" t="s">
        <v>15900</v>
      </c>
    </row>
    <row r="11635" spans="1:4">
      <c r="A11635">
        <v>7088</v>
      </c>
      <c r="B11635" t="s">
        <v>12010</v>
      </c>
      <c r="C11635" t="s">
        <v>427</v>
      </c>
      <c r="D11635" t="s">
        <v>23099</v>
      </c>
    </row>
    <row r="11636" spans="1:4">
      <c r="A11636">
        <v>20179</v>
      </c>
      <c r="B11636" t="s">
        <v>12011</v>
      </c>
      <c r="C11636" t="s">
        <v>427</v>
      </c>
      <c r="D11636" t="s">
        <v>26742</v>
      </c>
    </row>
    <row r="11637" spans="1:4">
      <c r="A11637">
        <v>20178</v>
      </c>
      <c r="B11637" t="s">
        <v>12012</v>
      </c>
      <c r="C11637" t="s">
        <v>427</v>
      </c>
      <c r="D11637" t="s">
        <v>21700</v>
      </c>
    </row>
    <row r="11638" spans="1:4">
      <c r="A11638">
        <v>20180</v>
      </c>
      <c r="B11638" t="s">
        <v>12013</v>
      </c>
      <c r="C11638" t="s">
        <v>427</v>
      </c>
      <c r="D11638" t="s">
        <v>15734</v>
      </c>
    </row>
    <row r="11639" spans="1:4">
      <c r="A11639">
        <v>20181</v>
      </c>
      <c r="B11639" t="s">
        <v>12014</v>
      </c>
      <c r="C11639" t="s">
        <v>427</v>
      </c>
      <c r="D11639" t="s">
        <v>26743</v>
      </c>
    </row>
    <row r="11640" spans="1:4">
      <c r="A11640">
        <v>20177</v>
      </c>
      <c r="B11640" t="s">
        <v>12015</v>
      </c>
      <c r="C11640" t="s">
        <v>427</v>
      </c>
      <c r="D11640" t="s">
        <v>26744</v>
      </c>
    </row>
    <row r="11641" spans="1:4">
      <c r="A11641">
        <v>7082</v>
      </c>
      <c r="B11641" t="s">
        <v>12016</v>
      </c>
      <c r="C11641" t="s">
        <v>427</v>
      </c>
      <c r="D11641" t="s">
        <v>26745</v>
      </c>
    </row>
    <row r="11642" spans="1:4">
      <c r="A11642">
        <v>42707</v>
      </c>
      <c r="B11642" t="s">
        <v>12017</v>
      </c>
      <c r="C11642" t="s">
        <v>427</v>
      </c>
      <c r="D11642" t="s">
        <v>26746</v>
      </c>
    </row>
    <row r="11643" spans="1:4">
      <c r="A11643">
        <v>7069</v>
      </c>
      <c r="B11643" t="s">
        <v>12018</v>
      </c>
      <c r="C11643" t="s">
        <v>427</v>
      </c>
      <c r="D11643" t="s">
        <v>26747</v>
      </c>
    </row>
    <row r="11644" spans="1:4">
      <c r="A11644">
        <v>42708</v>
      </c>
      <c r="B11644" t="s">
        <v>12019</v>
      </c>
      <c r="C11644" t="s">
        <v>427</v>
      </c>
      <c r="D11644" t="s">
        <v>26748</v>
      </c>
    </row>
    <row r="11645" spans="1:4">
      <c r="A11645">
        <v>7070</v>
      </c>
      <c r="B11645" t="s">
        <v>12020</v>
      </c>
      <c r="C11645" t="s">
        <v>427</v>
      </c>
      <c r="D11645" t="s">
        <v>26749</v>
      </c>
    </row>
    <row r="11646" spans="1:4">
      <c r="A11646">
        <v>42709</v>
      </c>
      <c r="B11646" t="s">
        <v>12021</v>
      </c>
      <c r="C11646" t="s">
        <v>427</v>
      </c>
      <c r="D11646" t="s">
        <v>26750</v>
      </c>
    </row>
    <row r="11647" spans="1:4">
      <c r="A11647">
        <v>42710</v>
      </c>
      <c r="B11647" t="s">
        <v>12022</v>
      </c>
      <c r="C11647" t="s">
        <v>427</v>
      </c>
      <c r="D11647" t="s">
        <v>26751</v>
      </c>
    </row>
    <row r="11648" spans="1:4">
      <c r="A11648">
        <v>42716</v>
      </c>
      <c r="B11648" t="s">
        <v>12023</v>
      </c>
      <c r="C11648" t="s">
        <v>427</v>
      </c>
      <c r="D11648" t="s">
        <v>26752</v>
      </c>
    </row>
    <row r="11649" spans="1:4">
      <c r="A11649">
        <v>20172</v>
      </c>
      <c r="B11649" t="s">
        <v>12024</v>
      </c>
      <c r="C11649" t="s">
        <v>427</v>
      </c>
      <c r="D11649" t="s">
        <v>26033</v>
      </c>
    </row>
    <row r="11650" spans="1:4">
      <c r="A11650">
        <v>40945</v>
      </c>
      <c r="B11650" t="s">
        <v>12025</v>
      </c>
      <c r="C11650" t="s">
        <v>432</v>
      </c>
      <c r="D11650" t="s">
        <v>17267</v>
      </c>
    </row>
    <row r="11651" spans="1:4">
      <c r="A11651">
        <v>40946</v>
      </c>
      <c r="B11651" t="s">
        <v>12026</v>
      </c>
      <c r="C11651" t="s">
        <v>433</v>
      </c>
      <c r="D11651" t="s">
        <v>26753</v>
      </c>
    </row>
    <row r="11652" spans="1:4">
      <c r="A11652">
        <v>7153</v>
      </c>
      <c r="B11652" t="s">
        <v>12027</v>
      </c>
      <c r="C11652" t="s">
        <v>432</v>
      </c>
      <c r="D11652" t="s">
        <v>26225</v>
      </c>
    </row>
    <row r="11653" spans="1:4">
      <c r="A11653">
        <v>41089</v>
      </c>
      <c r="B11653" t="s">
        <v>12028</v>
      </c>
      <c r="C11653" t="s">
        <v>433</v>
      </c>
      <c r="D11653" t="s">
        <v>26754</v>
      </c>
    </row>
    <row r="11654" spans="1:4">
      <c r="A11654">
        <v>40943</v>
      </c>
      <c r="B11654" t="s">
        <v>12029</v>
      </c>
      <c r="C11654" t="s">
        <v>432</v>
      </c>
      <c r="D11654" t="s">
        <v>23868</v>
      </c>
    </row>
    <row r="11655" spans="1:4">
      <c r="A11655">
        <v>40944</v>
      </c>
      <c r="B11655" t="s">
        <v>12030</v>
      </c>
      <c r="C11655" t="s">
        <v>433</v>
      </c>
      <c r="D11655" t="s">
        <v>26755</v>
      </c>
    </row>
    <row r="11656" spans="1:4">
      <c r="A11656">
        <v>6175</v>
      </c>
      <c r="B11656" t="s">
        <v>12031</v>
      </c>
      <c r="C11656" t="s">
        <v>432</v>
      </c>
      <c r="D11656" t="s">
        <v>19612</v>
      </c>
    </row>
    <row r="11657" spans="1:4">
      <c r="A11657">
        <v>41092</v>
      </c>
      <c r="B11657" t="s">
        <v>12032</v>
      </c>
      <c r="C11657" t="s">
        <v>433</v>
      </c>
      <c r="D11657" t="s">
        <v>26756</v>
      </c>
    </row>
    <row r="11658" spans="1:4">
      <c r="A11658">
        <v>37712</v>
      </c>
      <c r="B11658" t="s">
        <v>12033</v>
      </c>
      <c r="C11658" t="s">
        <v>426</v>
      </c>
      <c r="D11658" t="s">
        <v>26757</v>
      </c>
    </row>
    <row r="11659" spans="1:4">
      <c r="A11659">
        <v>34547</v>
      </c>
      <c r="B11659" t="s">
        <v>12034</v>
      </c>
      <c r="C11659" t="s">
        <v>429</v>
      </c>
      <c r="D11659" t="s">
        <v>26758</v>
      </c>
    </row>
    <row r="11660" spans="1:4">
      <c r="A11660">
        <v>34548</v>
      </c>
      <c r="B11660" t="s">
        <v>12035</v>
      </c>
      <c r="C11660" t="s">
        <v>429</v>
      </c>
      <c r="D11660" t="s">
        <v>16324</v>
      </c>
    </row>
    <row r="11661" spans="1:4">
      <c r="A11661">
        <v>34558</v>
      </c>
      <c r="B11661" t="s">
        <v>12036</v>
      </c>
      <c r="C11661" t="s">
        <v>429</v>
      </c>
      <c r="D11661" t="s">
        <v>19243</v>
      </c>
    </row>
    <row r="11662" spans="1:4">
      <c r="A11662">
        <v>34550</v>
      </c>
      <c r="B11662" t="s">
        <v>12037</v>
      </c>
      <c r="C11662" t="s">
        <v>429</v>
      </c>
      <c r="D11662" t="s">
        <v>25658</v>
      </c>
    </row>
    <row r="11663" spans="1:4">
      <c r="A11663">
        <v>34557</v>
      </c>
      <c r="B11663" t="s">
        <v>12038</v>
      </c>
      <c r="C11663" t="s">
        <v>429</v>
      </c>
      <c r="D11663" t="s">
        <v>20183</v>
      </c>
    </row>
    <row r="11664" spans="1:4">
      <c r="A11664">
        <v>37411</v>
      </c>
      <c r="B11664" t="s">
        <v>12039</v>
      </c>
      <c r="C11664" t="s">
        <v>426</v>
      </c>
      <c r="D11664" t="s">
        <v>24015</v>
      </c>
    </row>
    <row r="11665" spans="1:4">
      <c r="A11665">
        <v>39508</v>
      </c>
      <c r="B11665" t="s">
        <v>12040</v>
      </c>
      <c r="C11665" t="s">
        <v>426</v>
      </c>
      <c r="D11665" t="s">
        <v>14871</v>
      </c>
    </row>
    <row r="11666" spans="1:4">
      <c r="A11666">
        <v>39507</v>
      </c>
      <c r="B11666" t="s">
        <v>12041</v>
      </c>
      <c r="C11666" t="s">
        <v>426</v>
      </c>
      <c r="D11666" t="s">
        <v>26759</v>
      </c>
    </row>
    <row r="11667" spans="1:4">
      <c r="A11667">
        <v>7155</v>
      </c>
      <c r="B11667" t="s">
        <v>12042</v>
      </c>
      <c r="C11667" t="s">
        <v>426</v>
      </c>
      <c r="D11667" t="s">
        <v>18283</v>
      </c>
    </row>
    <row r="11668" spans="1:4">
      <c r="A11668">
        <v>42406</v>
      </c>
      <c r="B11668" t="s">
        <v>12043</v>
      </c>
      <c r="C11668" t="s">
        <v>426</v>
      </c>
      <c r="D11668" t="s">
        <v>19699</v>
      </c>
    </row>
    <row r="11669" spans="1:4">
      <c r="A11669">
        <v>7156</v>
      </c>
      <c r="B11669" t="s">
        <v>12044</v>
      </c>
      <c r="C11669" t="s">
        <v>426</v>
      </c>
      <c r="D11669" t="s">
        <v>23137</v>
      </c>
    </row>
    <row r="11670" spans="1:4">
      <c r="A11670">
        <v>43127</v>
      </c>
      <c r="B11670" t="s">
        <v>12045</v>
      </c>
      <c r="C11670" t="s">
        <v>426</v>
      </c>
      <c r="D11670" t="s">
        <v>26760</v>
      </c>
    </row>
    <row r="11671" spans="1:4">
      <c r="A11671">
        <v>10917</v>
      </c>
      <c r="B11671" t="s">
        <v>12046</v>
      </c>
      <c r="C11671" t="s">
        <v>426</v>
      </c>
      <c r="D11671" t="s">
        <v>15356</v>
      </c>
    </row>
    <row r="11672" spans="1:4">
      <c r="A11672">
        <v>21141</v>
      </c>
      <c r="B11672" t="s">
        <v>12047</v>
      </c>
      <c r="C11672" t="s">
        <v>426</v>
      </c>
      <c r="D11672" t="s">
        <v>17496</v>
      </c>
    </row>
    <row r="11673" spans="1:4">
      <c r="A11673">
        <v>39509</v>
      </c>
      <c r="B11673" t="s">
        <v>12048</v>
      </c>
      <c r="C11673" t="s">
        <v>426</v>
      </c>
      <c r="D11673" t="s">
        <v>16005</v>
      </c>
    </row>
    <row r="11674" spans="1:4">
      <c r="A11674">
        <v>44529</v>
      </c>
      <c r="B11674" t="s">
        <v>13553</v>
      </c>
      <c r="C11674" t="s">
        <v>426</v>
      </c>
      <c r="D11674" t="s">
        <v>24316</v>
      </c>
    </row>
    <row r="11675" spans="1:4">
      <c r="A11675">
        <v>7167</v>
      </c>
      <c r="B11675" t="s">
        <v>12049</v>
      </c>
      <c r="C11675" t="s">
        <v>426</v>
      </c>
      <c r="D11675" t="s">
        <v>22528</v>
      </c>
    </row>
    <row r="11676" spans="1:4">
      <c r="A11676">
        <v>10928</v>
      </c>
      <c r="B11676" t="s">
        <v>12050</v>
      </c>
      <c r="C11676" t="s">
        <v>426</v>
      </c>
      <c r="D11676" t="s">
        <v>26761</v>
      </c>
    </row>
    <row r="11677" spans="1:4">
      <c r="A11677">
        <v>10933</v>
      </c>
      <c r="B11677" t="s">
        <v>12051</v>
      </c>
      <c r="C11677" t="s">
        <v>426</v>
      </c>
      <c r="D11677" t="s">
        <v>16014</v>
      </c>
    </row>
    <row r="11678" spans="1:4">
      <c r="A11678">
        <v>7158</v>
      </c>
      <c r="B11678" t="s">
        <v>12052</v>
      </c>
      <c r="C11678" t="s">
        <v>426</v>
      </c>
      <c r="D11678" t="s">
        <v>18275</v>
      </c>
    </row>
    <row r="11679" spans="1:4">
      <c r="A11679">
        <v>10927</v>
      </c>
      <c r="B11679" t="s">
        <v>12053</v>
      </c>
      <c r="C11679" t="s">
        <v>426</v>
      </c>
      <c r="D11679" t="s">
        <v>24648</v>
      </c>
    </row>
    <row r="11680" spans="1:4">
      <c r="A11680">
        <v>7162</v>
      </c>
      <c r="B11680" t="s">
        <v>12054</v>
      </c>
      <c r="C11680" t="s">
        <v>426</v>
      </c>
      <c r="D11680" t="s">
        <v>14961</v>
      </c>
    </row>
    <row r="11681" spans="1:4">
      <c r="A11681">
        <v>10932</v>
      </c>
      <c r="B11681" t="s">
        <v>12055</v>
      </c>
      <c r="C11681" t="s">
        <v>426</v>
      </c>
      <c r="D11681" t="s">
        <v>26762</v>
      </c>
    </row>
    <row r="11682" spans="1:4">
      <c r="A11682">
        <v>10937</v>
      </c>
      <c r="B11682" t="s">
        <v>12056</v>
      </c>
      <c r="C11682" t="s">
        <v>426</v>
      </c>
      <c r="D11682" t="s">
        <v>18638</v>
      </c>
    </row>
    <row r="11683" spans="1:4">
      <c r="A11683">
        <v>10935</v>
      </c>
      <c r="B11683" t="s">
        <v>12057</v>
      </c>
      <c r="C11683" t="s">
        <v>426</v>
      </c>
      <c r="D11683" t="s">
        <v>21428</v>
      </c>
    </row>
    <row r="11684" spans="1:4">
      <c r="A11684">
        <v>10931</v>
      </c>
      <c r="B11684" t="s">
        <v>12058</v>
      </c>
      <c r="C11684" t="s">
        <v>426</v>
      </c>
      <c r="D11684" t="s">
        <v>18314</v>
      </c>
    </row>
    <row r="11685" spans="1:4">
      <c r="A11685">
        <v>7164</v>
      </c>
      <c r="B11685" t="s">
        <v>12059</v>
      </c>
      <c r="C11685" t="s">
        <v>426</v>
      </c>
      <c r="D11685" t="s">
        <v>22900</v>
      </c>
    </row>
    <row r="11686" spans="1:4">
      <c r="A11686">
        <v>36887</v>
      </c>
      <c r="B11686" t="s">
        <v>12060</v>
      </c>
      <c r="C11686" t="s">
        <v>426</v>
      </c>
      <c r="D11686" t="s">
        <v>17245</v>
      </c>
    </row>
    <row r="11687" spans="1:4">
      <c r="A11687">
        <v>34630</v>
      </c>
      <c r="B11687" t="s">
        <v>12061</v>
      </c>
      <c r="C11687" t="s">
        <v>427</v>
      </c>
      <c r="D11687" t="s">
        <v>26763</v>
      </c>
    </row>
    <row r="11688" spans="1:4">
      <c r="A11688">
        <v>7161</v>
      </c>
      <c r="B11688" t="s">
        <v>12062</v>
      </c>
      <c r="C11688" t="s">
        <v>426</v>
      </c>
      <c r="D11688" t="s">
        <v>23312</v>
      </c>
    </row>
    <row r="11689" spans="1:4">
      <c r="A11689">
        <v>7170</v>
      </c>
      <c r="B11689" t="s">
        <v>12063</v>
      </c>
      <c r="C11689" t="s">
        <v>426</v>
      </c>
      <c r="D11689" t="s">
        <v>24912</v>
      </c>
    </row>
    <row r="11690" spans="1:4">
      <c r="A11690">
        <v>37524</v>
      </c>
      <c r="B11690" t="s">
        <v>12064</v>
      </c>
      <c r="C11690" t="s">
        <v>429</v>
      </c>
      <c r="D11690" t="s">
        <v>15307</v>
      </c>
    </row>
    <row r="11691" spans="1:4">
      <c r="A11691">
        <v>37525</v>
      </c>
      <c r="B11691" t="s">
        <v>12065</v>
      </c>
      <c r="C11691" t="s">
        <v>429</v>
      </c>
      <c r="D11691" t="s">
        <v>18841</v>
      </c>
    </row>
    <row r="11692" spans="1:4">
      <c r="A11692">
        <v>36789</v>
      </c>
      <c r="B11692" t="s">
        <v>12066</v>
      </c>
      <c r="C11692" t="s">
        <v>427</v>
      </c>
      <c r="D11692" t="s">
        <v>20097</v>
      </c>
    </row>
    <row r="11693" spans="1:4">
      <c r="A11693">
        <v>7173</v>
      </c>
      <c r="B11693" t="s">
        <v>12067</v>
      </c>
      <c r="C11693" t="s">
        <v>436</v>
      </c>
      <c r="D11693" t="s">
        <v>26764</v>
      </c>
    </row>
    <row r="11694" spans="1:4">
      <c r="A11694">
        <v>7175</v>
      </c>
      <c r="B11694" t="s">
        <v>12068</v>
      </c>
      <c r="C11694" t="s">
        <v>427</v>
      </c>
      <c r="D11694" t="s">
        <v>15456</v>
      </c>
    </row>
    <row r="11695" spans="1:4">
      <c r="A11695">
        <v>40741</v>
      </c>
      <c r="B11695" t="s">
        <v>12069</v>
      </c>
      <c r="C11695" t="s">
        <v>427</v>
      </c>
      <c r="D11695" t="s">
        <v>15386</v>
      </c>
    </row>
    <row r="11696" spans="1:4">
      <c r="A11696">
        <v>7184</v>
      </c>
      <c r="B11696" t="s">
        <v>12070</v>
      </c>
      <c r="C11696" t="s">
        <v>426</v>
      </c>
      <c r="D11696" t="s">
        <v>26765</v>
      </c>
    </row>
    <row r="11697" spans="1:4">
      <c r="A11697">
        <v>34458</v>
      </c>
      <c r="B11697" t="s">
        <v>12071</v>
      </c>
      <c r="C11697" t="s">
        <v>427</v>
      </c>
      <c r="D11697" t="s">
        <v>26766</v>
      </c>
    </row>
    <row r="11698" spans="1:4">
      <c r="A11698">
        <v>34464</v>
      </c>
      <c r="B11698" t="s">
        <v>12072</v>
      </c>
      <c r="C11698" t="s">
        <v>427</v>
      </c>
      <c r="D11698" t="s">
        <v>26767</v>
      </c>
    </row>
    <row r="11699" spans="1:4">
      <c r="A11699">
        <v>34468</v>
      </c>
      <c r="B11699" t="s">
        <v>12073</v>
      </c>
      <c r="C11699" t="s">
        <v>427</v>
      </c>
      <c r="D11699" t="s">
        <v>26768</v>
      </c>
    </row>
    <row r="11700" spans="1:4">
      <c r="A11700">
        <v>34473</v>
      </c>
      <c r="B11700" t="s">
        <v>12074</v>
      </c>
      <c r="C11700" t="s">
        <v>427</v>
      </c>
      <c r="D11700" t="s">
        <v>26769</v>
      </c>
    </row>
    <row r="11701" spans="1:4">
      <c r="A11701">
        <v>34480</v>
      </c>
      <c r="B11701" t="s">
        <v>12075</v>
      </c>
      <c r="C11701" t="s">
        <v>427</v>
      </c>
      <c r="D11701" t="s">
        <v>26770</v>
      </c>
    </row>
    <row r="11702" spans="1:4">
      <c r="A11702">
        <v>34486</v>
      </c>
      <c r="B11702" t="s">
        <v>12076</v>
      </c>
      <c r="C11702" t="s">
        <v>427</v>
      </c>
      <c r="D11702" t="s">
        <v>26771</v>
      </c>
    </row>
    <row r="11703" spans="1:4">
      <c r="A11703">
        <v>7190</v>
      </c>
      <c r="B11703" t="s">
        <v>12077</v>
      </c>
      <c r="C11703" t="s">
        <v>427</v>
      </c>
      <c r="D11703" t="s">
        <v>24316</v>
      </c>
    </row>
    <row r="11704" spans="1:4">
      <c r="A11704">
        <v>34417</v>
      </c>
      <c r="B11704" t="s">
        <v>12078</v>
      </c>
      <c r="C11704" t="s">
        <v>427</v>
      </c>
      <c r="D11704" t="s">
        <v>23624</v>
      </c>
    </row>
    <row r="11705" spans="1:4">
      <c r="A11705">
        <v>7213</v>
      </c>
      <c r="B11705" t="s">
        <v>12079</v>
      </c>
      <c r="C11705" t="s">
        <v>426</v>
      </c>
      <c r="D11705" t="s">
        <v>22806</v>
      </c>
    </row>
    <row r="11706" spans="1:4">
      <c r="A11706">
        <v>7195</v>
      </c>
      <c r="B11706" t="s">
        <v>12080</v>
      </c>
      <c r="C11706" t="s">
        <v>427</v>
      </c>
      <c r="D11706" t="s">
        <v>26772</v>
      </c>
    </row>
    <row r="11707" spans="1:4">
      <c r="A11707">
        <v>7186</v>
      </c>
      <c r="B11707" t="s">
        <v>12081</v>
      </c>
      <c r="C11707" t="s">
        <v>427</v>
      </c>
      <c r="D11707" t="s">
        <v>26773</v>
      </c>
    </row>
    <row r="11708" spans="1:4">
      <c r="A11708">
        <v>7194</v>
      </c>
      <c r="B11708" t="s">
        <v>12082</v>
      </c>
      <c r="C11708" t="s">
        <v>426</v>
      </c>
      <c r="D11708" t="s">
        <v>18652</v>
      </c>
    </row>
    <row r="11709" spans="1:4">
      <c r="A11709">
        <v>7197</v>
      </c>
      <c r="B11709" t="s">
        <v>12083</v>
      </c>
      <c r="C11709" t="s">
        <v>427</v>
      </c>
      <c r="D11709" t="s">
        <v>14922</v>
      </c>
    </row>
    <row r="11710" spans="1:4">
      <c r="A11710">
        <v>7192</v>
      </c>
      <c r="B11710" t="s">
        <v>12084</v>
      </c>
      <c r="C11710" t="s">
        <v>427</v>
      </c>
      <c r="D11710" t="s">
        <v>26774</v>
      </c>
    </row>
    <row r="11711" spans="1:4">
      <c r="A11711">
        <v>7193</v>
      </c>
      <c r="B11711" t="s">
        <v>12085</v>
      </c>
      <c r="C11711" t="s">
        <v>427</v>
      </c>
      <c r="D11711" t="s">
        <v>26775</v>
      </c>
    </row>
    <row r="11712" spans="1:4">
      <c r="A11712">
        <v>7189</v>
      </c>
      <c r="B11712" t="s">
        <v>12086</v>
      </c>
      <c r="C11712" t="s">
        <v>427</v>
      </c>
      <c r="D11712" t="s">
        <v>26776</v>
      </c>
    </row>
    <row r="11713" spans="1:4">
      <c r="A11713">
        <v>34402</v>
      </c>
      <c r="B11713" t="s">
        <v>12087</v>
      </c>
      <c r="C11713" t="s">
        <v>427</v>
      </c>
      <c r="D11713" t="s">
        <v>26777</v>
      </c>
    </row>
    <row r="11714" spans="1:4">
      <c r="A11714">
        <v>7245</v>
      </c>
      <c r="B11714" t="s">
        <v>12088</v>
      </c>
      <c r="C11714" t="s">
        <v>427</v>
      </c>
      <c r="D11714" t="s">
        <v>26778</v>
      </c>
    </row>
    <row r="11715" spans="1:4">
      <c r="A11715">
        <v>34425</v>
      </c>
      <c r="B11715" t="s">
        <v>12089</v>
      </c>
      <c r="C11715" t="s">
        <v>427</v>
      </c>
      <c r="D11715" t="s">
        <v>17482</v>
      </c>
    </row>
    <row r="11716" spans="1:4">
      <c r="A11716">
        <v>7223</v>
      </c>
      <c r="B11716" t="s">
        <v>12090</v>
      </c>
      <c r="C11716" t="s">
        <v>427</v>
      </c>
      <c r="D11716" t="s">
        <v>26779</v>
      </c>
    </row>
    <row r="11717" spans="1:4">
      <c r="A11717">
        <v>7234</v>
      </c>
      <c r="B11717" t="s">
        <v>12091</v>
      </c>
      <c r="C11717" t="s">
        <v>427</v>
      </c>
      <c r="D11717" t="s">
        <v>26337</v>
      </c>
    </row>
    <row r="11718" spans="1:4">
      <c r="A11718">
        <v>7224</v>
      </c>
      <c r="B11718" t="s">
        <v>12092</v>
      </c>
      <c r="C11718" t="s">
        <v>427</v>
      </c>
      <c r="D11718" t="s">
        <v>26780</v>
      </c>
    </row>
    <row r="11719" spans="1:4">
      <c r="A11719">
        <v>7225</v>
      </c>
      <c r="B11719" t="s">
        <v>12093</v>
      </c>
      <c r="C11719" t="s">
        <v>427</v>
      </c>
      <c r="D11719" t="s">
        <v>26781</v>
      </c>
    </row>
    <row r="11720" spans="1:4">
      <c r="A11720">
        <v>7226</v>
      </c>
      <c r="B11720" t="s">
        <v>12094</v>
      </c>
      <c r="C11720" t="s">
        <v>427</v>
      </c>
      <c r="D11720" t="s">
        <v>25989</v>
      </c>
    </row>
    <row r="11721" spans="1:4">
      <c r="A11721">
        <v>7227</v>
      </c>
      <c r="B11721" t="s">
        <v>12095</v>
      </c>
      <c r="C11721" t="s">
        <v>427</v>
      </c>
      <c r="D11721" t="s">
        <v>26782</v>
      </c>
    </row>
    <row r="11722" spans="1:4">
      <c r="A11722">
        <v>7212</v>
      </c>
      <c r="B11722" t="s">
        <v>12096</v>
      </c>
      <c r="C11722" t="s">
        <v>427</v>
      </c>
      <c r="D11722" t="s">
        <v>26783</v>
      </c>
    </row>
    <row r="11723" spans="1:4">
      <c r="A11723">
        <v>7229</v>
      </c>
      <c r="B11723" t="s">
        <v>12097</v>
      </c>
      <c r="C11723" t="s">
        <v>427</v>
      </c>
      <c r="D11723" t="s">
        <v>26784</v>
      </c>
    </row>
    <row r="11724" spans="1:4">
      <c r="A11724">
        <v>7230</v>
      </c>
      <c r="B11724" t="s">
        <v>12098</v>
      </c>
      <c r="C11724" t="s">
        <v>427</v>
      </c>
      <c r="D11724" t="s">
        <v>26785</v>
      </c>
    </row>
    <row r="11725" spans="1:4">
      <c r="A11725">
        <v>7231</v>
      </c>
      <c r="B11725" t="s">
        <v>12099</v>
      </c>
      <c r="C11725" t="s">
        <v>427</v>
      </c>
      <c r="D11725" t="s">
        <v>26786</v>
      </c>
    </row>
    <row r="11726" spans="1:4">
      <c r="A11726">
        <v>7220</v>
      </c>
      <c r="B11726" t="s">
        <v>12100</v>
      </c>
      <c r="C11726" t="s">
        <v>427</v>
      </c>
      <c r="D11726" t="s">
        <v>26787</v>
      </c>
    </row>
    <row r="11727" spans="1:4">
      <c r="A11727">
        <v>34447</v>
      </c>
      <c r="B11727" t="s">
        <v>12101</v>
      </c>
      <c r="C11727" t="s">
        <v>427</v>
      </c>
      <c r="D11727" t="s">
        <v>26788</v>
      </c>
    </row>
    <row r="11728" spans="1:4">
      <c r="A11728">
        <v>7233</v>
      </c>
      <c r="B11728" t="s">
        <v>12102</v>
      </c>
      <c r="C11728" t="s">
        <v>427</v>
      </c>
      <c r="D11728" t="s">
        <v>26789</v>
      </c>
    </row>
    <row r="11729" spans="1:4">
      <c r="A11729">
        <v>40740</v>
      </c>
      <c r="B11729" t="s">
        <v>12103</v>
      </c>
      <c r="C11729" t="s">
        <v>426</v>
      </c>
      <c r="D11729" t="s">
        <v>26790</v>
      </c>
    </row>
    <row r="11730" spans="1:4">
      <c r="A11730">
        <v>25007</v>
      </c>
      <c r="B11730" t="s">
        <v>12104</v>
      </c>
      <c r="C11730" t="s">
        <v>426</v>
      </c>
      <c r="D11730" t="s">
        <v>16314</v>
      </c>
    </row>
    <row r="11731" spans="1:4">
      <c r="A11731">
        <v>43071</v>
      </c>
      <c r="B11731" t="s">
        <v>12105</v>
      </c>
      <c r="C11731" t="s">
        <v>426</v>
      </c>
      <c r="D11731" t="s">
        <v>26791</v>
      </c>
    </row>
    <row r="11732" spans="1:4">
      <c r="A11732">
        <v>39520</v>
      </c>
      <c r="B11732" t="s">
        <v>12106</v>
      </c>
      <c r="C11732" t="s">
        <v>426</v>
      </c>
      <c r="D11732" t="s">
        <v>26792</v>
      </c>
    </row>
    <row r="11733" spans="1:4">
      <c r="A11733">
        <v>39521</v>
      </c>
      <c r="B11733" t="s">
        <v>12107</v>
      </c>
      <c r="C11733" t="s">
        <v>426</v>
      </c>
      <c r="D11733" t="s">
        <v>26793</v>
      </c>
    </row>
    <row r="11734" spans="1:4">
      <c r="A11734">
        <v>39522</v>
      </c>
      <c r="B11734" t="s">
        <v>12108</v>
      </c>
      <c r="C11734" t="s">
        <v>426</v>
      </c>
      <c r="D11734" t="s">
        <v>26794</v>
      </c>
    </row>
    <row r="11735" spans="1:4">
      <c r="A11735">
        <v>7243</v>
      </c>
      <c r="B11735" t="s">
        <v>12109</v>
      </c>
      <c r="C11735" t="s">
        <v>426</v>
      </c>
      <c r="D11735" t="s">
        <v>15925</v>
      </c>
    </row>
    <row r="11736" spans="1:4">
      <c r="A11736">
        <v>11067</v>
      </c>
      <c r="B11736" t="s">
        <v>12110</v>
      </c>
      <c r="C11736" t="s">
        <v>427</v>
      </c>
      <c r="D11736" t="s">
        <v>26795</v>
      </c>
    </row>
    <row r="11737" spans="1:4">
      <c r="A11737">
        <v>11068</v>
      </c>
      <c r="B11737" t="s">
        <v>12111</v>
      </c>
      <c r="C11737" t="s">
        <v>427</v>
      </c>
      <c r="D11737" t="s">
        <v>26796</v>
      </c>
    </row>
    <row r="11738" spans="1:4">
      <c r="A11738">
        <v>7246</v>
      </c>
      <c r="B11738" t="s">
        <v>12112</v>
      </c>
      <c r="C11738" t="s">
        <v>427</v>
      </c>
      <c r="D11738" t="s">
        <v>26797</v>
      </c>
    </row>
    <row r="11739" spans="1:4">
      <c r="A11739">
        <v>41097</v>
      </c>
      <c r="B11739" t="s">
        <v>12113</v>
      </c>
      <c r="C11739" t="s">
        <v>433</v>
      </c>
      <c r="D11739" t="s">
        <v>26798</v>
      </c>
    </row>
    <row r="11740" spans="1:4">
      <c r="A11740">
        <v>12869</v>
      </c>
      <c r="B11740" t="s">
        <v>20504</v>
      </c>
      <c r="C11740" t="s">
        <v>432</v>
      </c>
      <c r="D11740" t="s">
        <v>17225</v>
      </c>
    </row>
    <row r="11741" spans="1:4">
      <c r="A11741">
        <v>1574</v>
      </c>
      <c r="B11741" t="s">
        <v>12114</v>
      </c>
      <c r="C11741" t="s">
        <v>427</v>
      </c>
      <c r="D11741" t="s">
        <v>20094</v>
      </c>
    </row>
    <row r="11742" spans="1:4">
      <c r="A11742">
        <v>1581</v>
      </c>
      <c r="B11742" t="s">
        <v>12115</v>
      </c>
      <c r="C11742" t="s">
        <v>427</v>
      </c>
      <c r="D11742" t="s">
        <v>18549</v>
      </c>
    </row>
    <row r="11743" spans="1:4">
      <c r="A11743">
        <v>1575</v>
      </c>
      <c r="B11743" t="s">
        <v>12116</v>
      </c>
      <c r="C11743" t="s">
        <v>427</v>
      </c>
      <c r="D11743" t="s">
        <v>19126</v>
      </c>
    </row>
    <row r="11744" spans="1:4">
      <c r="A11744">
        <v>1570</v>
      </c>
      <c r="B11744" t="s">
        <v>12117</v>
      </c>
      <c r="C11744" t="s">
        <v>427</v>
      </c>
      <c r="D11744" t="s">
        <v>15490</v>
      </c>
    </row>
    <row r="11745" spans="1:4">
      <c r="A11745">
        <v>1576</v>
      </c>
      <c r="B11745" t="s">
        <v>12118</v>
      </c>
      <c r="C11745" t="s">
        <v>427</v>
      </c>
      <c r="D11745" t="s">
        <v>15577</v>
      </c>
    </row>
    <row r="11746" spans="1:4">
      <c r="A11746">
        <v>1577</v>
      </c>
      <c r="B11746" t="s">
        <v>12119</v>
      </c>
      <c r="C11746" t="s">
        <v>427</v>
      </c>
      <c r="D11746" t="s">
        <v>15151</v>
      </c>
    </row>
    <row r="11747" spans="1:4">
      <c r="A11747">
        <v>1571</v>
      </c>
      <c r="B11747" t="s">
        <v>12120</v>
      </c>
      <c r="C11747" t="s">
        <v>427</v>
      </c>
      <c r="D11747" t="s">
        <v>15284</v>
      </c>
    </row>
    <row r="11748" spans="1:4">
      <c r="A11748">
        <v>1578</v>
      </c>
      <c r="B11748" t="s">
        <v>12121</v>
      </c>
      <c r="C11748" t="s">
        <v>427</v>
      </c>
      <c r="D11748" t="s">
        <v>14930</v>
      </c>
    </row>
    <row r="11749" spans="1:4">
      <c r="A11749">
        <v>1573</v>
      </c>
      <c r="B11749" t="s">
        <v>12122</v>
      </c>
      <c r="C11749" t="s">
        <v>427</v>
      </c>
      <c r="D11749" t="s">
        <v>15285</v>
      </c>
    </row>
    <row r="11750" spans="1:4">
      <c r="A11750">
        <v>1579</v>
      </c>
      <c r="B11750" t="s">
        <v>12123</v>
      </c>
      <c r="C11750" t="s">
        <v>427</v>
      </c>
      <c r="D11750" t="s">
        <v>22435</v>
      </c>
    </row>
    <row r="11751" spans="1:4">
      <c r="A11751">
        <v>1580</v>
      </c>
      <c r="B11751" t="s">
        <v>12124</v>
      </c>
      <c r="C11751" t="s">
        <v>427</v>
      </c>
      <c r="D11751" t="s">
        <v>17232</v>
      </c>
    </row>
    <row r="11752" spans="1:4">
      <c r="A11752">
        <v>39321</v>
      </c>
      <c r="B11752" t="s">
        <v>12125</v>
      </c>
      <c r="C11752" t="s">
        <v>427</v>
      </c>
      <c r="D11752" t="s">
        <v>20071</v>
      </c>
    </row>
    <row r="11753" spans="1:4">
      <c r="A11753">
        <v>39319</v>
      </c>
      <c r="B11753" t="s">
        <v>12126</v>
      </c>
      <c r="C11753" t="s">
        <v>427</v>
      </c>
      <c r="D11753" t="s">
        <v>18057</v>
      </c>
    </row>
    <row r="11754" spans="1:4">
      <c r="A11754">
        <v>39320</v>
      </c>
      <c r="B11754" t="s">
        <v>12127</v>
      </c>
      <c r="C11754" t="s">
        <v>427</v>
      </c>
      <c r="D11754" t="s">
        <v>25392</v>
      </c>
    </row>
    <row r="11755" spans="1:4">
      <c r="A11755">
        <v>1591</v>
      </c>
      <c r="B11755" t="s">
        <v>12128</v>
      </c>
      <c r="C11755" t="s">
        <v>427</v>
      </c>
      <c r="D11755" t="s">
        <v>15873</v>
      </c>
    </row>
    <row r="11756" spans="1:4">
      <c r="A11756">
        <v>1547</v>
      </c>
      <c r="B11756" t="s">
        <v>12129</v>
      </c>
      <c r="C11756" t="s">
        <v>427</v>
      </c>
      <c r="D11756" t="s">
        <v>26799</v>
      </c>
    </row>
    <row r="11757" spans="1:4">
      <c r="A11757">
        <v>38196</v>
      </c>
      <c r="B11757" t="s">
        <v>12130</v>
      </c>
      <c r="C11757" t="s">
        <v>427</v>
      </c>
      <c r="D11757" t="s">
        <v>15436</v>
      </c>
    </row>
    <row r="11758" spans="1:4">
      <c r="A11758">
        <v>1543</v>
      </c>
      <c r="B11758" t="s">
        <v>12131</v>
      </c>
      <c r="C11758" t="s">
        <v>427</v>
      </c>
      <c r="D11758" t="s">
        <v>18204</v>
      </c>
    </row>
    <row r="11759" spans="1:4">
      <c r="A11759">
        <v>1585</v>
      </c>
      <c r="B11759" t="s">
        <v>12132</v>
      </c>
      <c r="C11759" t="s">
        <v>427</v>
      </c>
      <c r="D11759" t="s">
        <v>14930</v>
      </c>
    </row>
    <row r="11760" spans="1:4">
      <c r="A11760">
        <v>1593</v>
      </c>
      <c r="B11760" t="s">
        <v>12133</v>
      </c>
      <c r="C11760" t="s">
        <v>427</v>
      </c>
      <c r="D11760" t="s">
        <v>26800</v>
      </c>
    </row>
    <row r="11761" spans="1:4">
      <c r="A11761">
        <v>11838</v>
      </c>
      <c r="B11761" t="s">
        <v>12134</v>
      </c>
      <c r="C11761" t="s">
        <v>427</v>
      </c>
      <c r="D11761" t="s">
        <v>26801</v>
      </c>
    </row>
    <row r="11762" spans="1:4">
      <c r="A11762">
        <v>1594</v>
      </c>
      <c r="B11762" t="s">
        <v>12135</v>
      </c>
      <c r="C11762" t="s">
        <v>427</v>
      </c>
      <c r="D11762" t="s">
        <v>22210</v>
      </c>
    </row>
    <row r="11763" spans="1:4">
      <c r="A11763">
        <v>1586</v>
      </c>
      <c r="B11763" t="s">
        <v>12136</v>
      </c>
      <c r="C11763" t="s">
        <v>427</v>
      </c>
      <c r="D11763" t="s">
        <v>26802</v>
      </c>
    </row>
    <row r="11764" spans="1:4">
      <c r="A11764">
        <v>11839</v>
      </c>
      <c r="B11764" t="s">
        <v>12137</v>
      </c>
      <c r="C11764" t="s">
        <v>427</v>
      </c>
      <c r="D11764" t="s">
        <v>15718</v>
      </c>
    </row>
    <row r="11765" spans="1:4">
      <c r="A11765">
        <v>1587</v>
      </c>
      <c r="B11765" t="s">
        <v>12138</v>
      </c>
      <c r="C11765" t="s">
        <v>427</v>
      </c>
      <c r="D11765" t="s">
        <v>22875</v>
      </c>
    </row>
    <row r="11766" spans="1:4">
      <c r="A11766">
        <v>1545</v>
      </c>
      <c r="B11766" t="s">
        <v>12139</v>
      </c>
      <c r="C11766" t="s">
        <v>427</v>
      </c>
      <c r="D11766" t="s">
        <v>21703</v>
      </c>
    </row>
    <row r="11767" spans="1:4">
      <c r="A11767">
        <v>1588</v>
      </c>
      <c r="B11767" t="s">
        <v>12140</v>
      </c>
      <c r="C11767" t="s">
        <v>427</v>
      </c>
      <c r="D11767" t="s">
        <v>18218</v>
      </c>
    </row>
    <row r="11768" spans="1:4">
      <c r="A11768">
        <v>1535</v>
      </c>
      <c r="B11768" t="s">
        <v>12141</v>
      </c>
      <c r="C11768" t="s">
        <v>427</v>
      </c>
      <c r="D11768" t="s">
        <v>15812</v>
      </c>
    </row>
    <row r="11769" spans="1:4">
      <c r="A11769">
        <v>1589</v>
      </c>
      <c r="B11769" t="s">
        <v>12142</v>
      </c>
      <c r="C11769" t="s">
        <v>427</v>
      </c>
      <c r="D11769" t="s">
        <v>20170</v>
      </c>
    </row>
    <row r="11770" spans="1:4">
      <c r="A11770">
        <v>1546</v>
      </c>
      <c r="B11770" t="s">
        <v>12143</v>
      </c>
      <c r="C11770" t="s">
        <v>427</v>
      </c>
      <c r="D11770" t="s">
        <v>20814</v>
      </c>
    </row>
    <row r="11771" spans="1:4">
      <c r="A11771">
        <v>1590</v>
      </c>
      <c r="B11771" t="s">
        <v>12144</v>
      </c>
      <c r="C11771" t="s">
        <v>427</v>
      </c>
      <c r="D11771" t="s">
        <v>16974</v>
      </c>
    </row>
    <row r="11772" spans="1:4">
      <c r="A11772">
        <v>1542</v>
      </c>
      <c r="B11772" t="s">
        <v>12145</v>
      </c>
      <c r="C11772" t="s">
        <v>427</v>
      </c>
      <c r="D11772" t="s">
        <v>17226</v>
      </c>
    </row>
    <row r="11773" spans="1:4">
      <c r="A11773">
        <v>38415</v>
      </c>
      <c r="B11773" t="s">
        <v>12146</v>
      </c>
      <c r="C11773" t="s">
        <v>427</v>
      </c>
      <c r="D11773" t="s">
        <v>26803</v>
      </c>
    </row>
    <row r="11774" spans="1:4">
      <c r="A11774">
        <v>38414</v>
      </c>
      <c r="B11774" t="s">
        <v>12147</v>
      </c>
      <c r="C11774" t="s">
        <v>427</v>
      </c>
      <c r="D11774" t="s">
        <v>26804</v>
      </c>
    </row>
    <row r="11775" spans="1:4">
      <c r="A11775">
        <v>38128</v>
      </c>
      <c r="B11775" t="s">
        <v>12148</v>
      </c>
      <c r="C11775" t="s">
        <v>430</v>
      </c>
      <c r="D11775" t="s">
        <v>20093</v>
      </c>
    </row>
    <row r="11776" spans="1:4">
      <c r="A11776">
        <v>7253</v>
      </c>
      <c r="B11776" t="s">
        <v>12149</v>
      </c>
      <c r="C11776" t="s">
        <v>431</v>
      </c>
      <c r="D11776" t="s">
        <v>26805</v>
      </c>
    </row>
    <row r="11777" spans="1:4">
      <c r="A11777">
        <v>4806</v>
      </c>
      <c r="B11777" t="s">
        <v>12150</v>
      </c>
      <c r="C11777" t="s">
        <v>429</v>
      </c>
      <c r="D11777" t="s">
        <v>16635</v>
      </c>
    </row>
    <row r="11778" spans="1:4">
      <c r="A11778">
        <v>34401</v>
      </c>
      <c r="B11778" t="s">
        <v>12151</v>
      </c>
      <c r="C11778" t="s">
        <v>427</v>
      </c>
      <c r="D11778" t="s">
        <v>19571</v>
      </c>
    </row>
    <row r="11779" spans="1:4">
      <c r="A11779">
        <v>7260</v>
      </c>
      <c r="B11779" t="s">
        <v>12152</v>
      </c>
      <c r="C11779" t="s">
        <v>427</v>
      </c>
      <c r="D11779" t="s">
        <v>25754</v>
      </c>
    </row>
    <row r="11780" spans="1:4">
      <c r="A11780">
        <v>7256</v>
      </c>
      <c r="B11780" t="s">
        <v>12153</v>
      </c>
      <c r="C11780" t="s">
        <v>427</v>
      </c>
      <c r="D11780" t="s">
        <v>15148</v>
      </c>
    </row>
    <row r="11781" spans="1:4">
      <c r="A11781">
        <v>7258</v>
      </c>
      <c r="B11781" t="s">
        <v>12154</v>
      </c>
      <c r="C11781" t="s">
        <v>427</v>
      </c>
      <c r="D11781" t="s">
        <v>15610</v>
      </c>
    </row>
    <row r="11782" spans="1:4">
      <c r="A11782">
        <v>34400</v>
      </c>
      <c r="B11782" t="s">
        <v>12155</v>
      </c>
      <c r="C11782" t="s">
        <v>427</v>
      </c>
      <c r="D11782" t="s">
        <v>18841</v>
      </c>
    </row>
    <row r="11783" spans="1:4">
      <c r="A11783">
        <v>10617</v>
      </c>
      <c r="B11783" t="s">
        <v>12156</v>
      </c>
      <c r="C11783" t="s">
        <v>427</v>
      </c>
      <c r="D11783" t="s">
        <v>20075</v>
      </c>
    </row>
    <row r="11784" spans="1:4">
      <c r="A11784">
        <v>7274</v>
      </c>
      <c r="B11784" t="s">
        <v>12157</v>
      </c>
      <c r="C11784" t="s">
        <v>427</v>
      </c>
      <c r="D11784" t="s">
        <v>22410</v>
      </c>
    </row>
    <row r="11785" spans="1:4">
      <c r="A11785">
        <v>11663</v>
      </c>
      <c r="B11785" t="s">
        <v>12158</v>
      </c>
      <c r="C11785" t="s">
        <v>427</v>
      </c>
      <c r="D11785" t="s">
        <v>26806</v>
      </c>
    </row>
    <row r="11786" spans="1:4">
      <c r="A11786">
        <v>154</v>
      </c>
      <c r="B11786" t="s">
        <v>12159</v>
      </c>
      <c r="C11786" t="s">
        <v>428</v>
      </c>
      <c r="D11786" t="s">
        <v>15430</v>
      </c>
    </row>
    <row r="11787" spans="1:4">
      <c r="A11787">
        <v>38121</v>
      </c>
      <c r="B11787" t="s">
        <v>12160</v>
      </c>
      <c r="C11787" t="s">
        <v>428</v>
      </c>
      <c r="D11787" t="s">
        <v>18338</v>
      </c>
    </row>
    <row r="11788" spans="1:4">
      <c r="A11788">
        <v>43776</v>
      </c>
      <c r="B11788" t="s">
        <v>12161</v>
      </c>
      <c r="C11788" t="s">
        <v>428</v>
      </c>
      <c r="D11788" t="s">
        <v>18599</v>
      </c>
    </row>
    <row r="11789" spans="1:4">
      <c r="A11789">
        <v>7343</v>
      </c>
      <c r="B11789" t="s">
        <v>12162</v>
      </c>
      <c r="C11789" t="s">
        <v>428</v>
      </c>
      <c r="D11789" t="s">
        <v>16492</v>
      </c>
    </row>
    <row r="11790" spans="1:4">
      <c r="A11790">
        <v>7348</v>
      </c>
      <c r="B11790" t="s">
        <v>12163</v>
      </c>
      <c r="C11790" t="s">
        <v>428</v>
      </c>
      <c r="D11790" t="s">
        <v>23164</v>
      </c>
    </row>
    <row r="11791" spans="1:4">
      <c r="A11791">
        <v>7313</v>
      </c>
      <c r="B11791" t="s">
        <v>12164</v>
      </c>
      <c r="C11791" t="s">
        <v>428</v>
      </c>
      <c r="D11791" t="s">
        <v>26807</v>
      </c>
    </row>
    <row r="11792" spans="1:4">
      <c r="A11792">
        <v>7319</v>
      </c>
      <c r="B11792" t="s">
        <v>12165</v>
      </c>
      <c r="C11792" t="s">
        <v>428</v>
      </c>
      <c r="D11792" t="s">
        <v>26257</v>
      </c>
    </row>
    <row r="11793" spans="1:4">
      <c r="A11793">
        <v>7314</v>
      </c>
      <c r="B11793" t="s">
        <v>12166</v>
      </c>
      <c r="C11793" t="s">
        <v>428</v>
      </c>
      <c r="D11793" t="s">
        <v>26808</v>
      </c>
    </row>
    <row r="11794" spans="1:4">
      <c r="A11794">
        <v>7304</v>
      </c>
      <c r="B11794" t="s">
        <v>12167</v>
      </c>
      <c r="C11794" t="s">
        <v>428</v>
      </c>
      <c r="D11794" t="s">
        <v>26004</v>
      </c>
    </row>
    <row r="11795" spans="1:4">
      <c r="A11795">
        <v>43649</v>
      </c>
      <c r="B11795" t="s">
        <v>12168</v>
      </c>
      <c r="C11795" t="s">
        <v>428</v>
      </c>
      <c r="D11795" t="s">
        <v>17804</v>
      </c>
    </row>
    <row r="11796" spans="1:4">
      <c r="A11796">
        <v>43650</v>
      </c>
      <c r="B11796" t="s">
        <v>12169</v>
      </c>
      <c r="C11796" t="s">
        <v>428</v>
      </c>
      <c r="D11796" t="s">
        <v>24361</v>
      </c>
    </row>
    <row r="11797" spans="1:4">
      <c r="A11797">
        <v>7311</v>
      </c>
      <c r="B11797" t="s">
        <v>12170</v>
      </c>
      <c r="C11797" t="s">
        <v>428</v>
      </c>
      <c r="D11797" t="s">
        <v>18315</v>
      </c>
    </row>
    <row r="11798" spans="1:4">
      <c r="A11798">
        <v>7292</v>
      </c>
      <c r="B11798" t="s">
        <v>12171</v>
      </c>
      <c r="C11798" t="s">
        <v>428</v>
      </c>
      <c r="D11798" t="s">
        <v>19487</v>
      </c>
    </row>
    <row r="11799" spans="1:4">
      <c r="A11799">
        <v>7293</v>
      </c>
      <c r="B11799" t="s">
        <v>12172</v>
      </c>
      <c r="C11799" t="s">
        <v>428</v>
      </c>
      <c r="D11799" t="s">
        <v>26809</v>
      </c>
    </row>
    <row r="11800" spans="1:4">
      <c r="A11800">
        <v>7306</v>
      </c>
      <c r="B11800" t="s">
        <v>12173</v>
      </c>
      <c r="C11800" t="s">
        <v>428</v>
      </c>
      <c r="D11800" t="s">
        <v>22595</v>
      </c>
    </row>
    <row r="11801" spans="1:4">
      <c r="A11801">
        <v>7288</v>
      </c>
      <c r="B11801" t="s">
        <v>12174</v>
      </c>
      <c r="C11801" t="s">
        <v>428</v>
      </c>
      <c r="D11801" t="s">
        <v>25991</v>
      </c>
    </row>
    <row r="11802" spans="1:4">
      <c r="A11802">
        <v>43625</v>
      </c>
      <c r="B11802" t="s">
        <v>12175</v>
      </c>
      <c r="C11802" t="s">
        <v>428</v>
      </c>
      <c r="D11802" t="s">
        <v>15406</v>
      </c>
    </row>
    <row r="11803" spans="1:4">
      <c r="A11803">
        <v>43647</v>
      </c>
      <c r="B11803" t="s">
        <v>12176</v>
      </c>
      <c r="C11803" t="s">
        <v>428</v>
      </c>
      <c r="D11803" t="s">
        <v>18170</v>
      </c>
    </row>
    <row r="11804" spans="1:4">
      <c r="A11804">
        <v>43648</v>
      </c>
      <c r="B11804" t="s">
        <v>12177</v>
      </c>
      <c r="C11804" t="s">
        <v>428</v>
      </c>
      <c r="D11804" t="s">
        <v>17917</v>
      </c>
    </row>
    <row r="11805" spans="1:4">
      <c r="A11805">
        <v>35693</v>
      </c>
      <c r="B11805" t="s">
        <v>12178</v>
      </c>
      <c r="C11805" t="s">
        <v>428</v>
      </c>
      <c r="D11805" t="s">
        <v>24455</v>
      </c>
    </row>
    <row r="11806" spans="1:4">
      <c r="A11806">
        <v>7356</v>
      </c>
      <c r="B11806" t="s">
        <v>12179</v>
      </c>
      <c r="C11806" t="s">
        <v>428</v>
      </c>
      <c r="D11806" t="s">
        <v>19231</v>
      </c>
    </row>
    <row r="11807" spans="1:4">
      <c r="A11807">
        <v>35692</v>
      </c>
      <c r="B11807" t="s">
        <v>12180</v>
      </c>
      <c r="C11807" t="s">
        <v>428</v>
      </c>
      <c r="D11807" t="s">
        <v>20716</v>
      </c>
    </row>
    <row r="11808" spans="1:4">
      <c r="A11808">
        <v>43624</v>
      </c>
      <c r="B11808" t="s">
        <v>12181</v>
      </c>
      <c r="C11808" t="s">
        <v>428</v>
      </c>
      <c r="D11808" t="s">
        <v>22804</v>
      </c>
    </row>
    <row r="11809" spans="1:4">
      <c r="A11809">
        <v>7342</v>
      </c>
      <c r="B11809" t="s">
        <v>12182</v>
      </c>
      <c r="C11809" t="s">
        <v>430</v>
      </c>
      <c r="D11809" t="s">
        <v>17156</v>
      </c>
    </row>
    <row r="11810" spans="1:4">
      <c r="A11810">
        <v>7350</v>
      </c>
      <c r="B11810" t="s">
        <v>12183</v>
      </c>
      <c r="C11810" t="s">
        <v>428</v>
      </c>
      <c r="D11810" t="s">
        <v>26810</v>
      </c>
    </row>
    <row r="11811" spans="1:4">
      <c r="A11811">
        <v>39574</v>
      </c>
      <c r="B11811" t="s">
        <v>12184</v>
      </c>
      <c r="C11811" t="s">
        <v>427</v>
      </c>
      <c r="D11811" t="s">
        <v>20507</v>
      </c>
    </row>
    <row r="11812" spans="1:4">
      <c r="A11812">
        <v>11060</v>
      </c>
      <c r="B11812" t="s">
        <v>12185</v>
      </c>
      <c r="C11812" t="s">
        <v>427</v>
      </c>
      <c r="D11812" t="s">
        <v>15259</v>
      </c>
    </row>
    <row r="11813" spans="1:4">
      <c r="A11813">
        <v>37401</v>
      </c>
      <c r="B11813" t="s">
        <v>12186</v>
      </c>
      <c r="C11813" t="s">
        <v>427</v>
      </c>
      <c r="D11813" t="s">
        <v>26219</v>
      </c>
    </row>
    <row r="11814" spans="1:4">
      <c r="A11814">
        <v>7525</v>
      </c>
      <c r="B11814" t="s">
        <v>12187</v>
      </c>
      <c r="C11814" t="s">
        <v>427</v>
      </c>
      <c r="D11814" t="s">
        <v>26811</v>
      </c>
    </row>
    <row r="11815" spans="1:4">
      <c r="A11815">
        <v>7524</v>
      </c>
      <c r="B11815" t="s">
        <v>12188</v>
      </c>
      <c r="C11815" t="s">
        <v>427</v>
      </c>
      <c r="D11815" t="s">
        <v>26812</v>
      </c>
    </row>
    <row r="11816" spans="1:4">
      <c r="A11816">
        <v>38105</v>
      </c>
      <c r="B11816" t="s">
        <v>12189</v>
      </c>
      <c r="C11816" t="s">
        <v>427</v>
      </c>
      <c r="D11816" t="s">
        <v>22461</v>
      </c>
    </row>
    <row r="11817" spans="1:4">
      <c r="A11817">
        <v>38084</v>
      </c>
      <c r="B11817" t="s">
        <v>12190</v>
      </c>
      <c r="C11817" t="s">
        <v>427</v>
      </c>
      <c r="D11817" t="s">
        <v>26813</v>
      </c>
    </row>
    <row r="11818" spans="1:4">
      <c r="A11818">
        <v>38103</v>
      </c>
      <c r="B11818" t="s">
        <v>12191</v>
      </c>
      <c r="C11818" t="s">
        <v>427</v>
      </c>
      <c r="D11818" t="s">
        <v>15633</v>
      </c>
    </row>
    <row r="11819" spans="1:4">
      <c r="A11819">
        <v>38082</v>
      </c>
      <c r="B11819" t="s">
        <v>12192</v>
      </c>
      <c r="C11819" t="s">
        <v>427</v>
      </c>
      <c r="D11819" t="s">
        <v>15200</v>
      </c>
    </row>
    <row r="11820" spans="1:4">
      <c r="A11820">
        <v>38104</v>
      </c>
      <c r="B11820" t="s">
        <v>12193</v>
      </c>
      <c r="C11820" t="s">
        <v>427</v>
      </c>
      <c r="D11820" t="s">
        <v>17252</v>
      </c>
    </row>
    <row r="11821" spans="1:4">
      <c r="A11821">
        <v>38083</v>
      </c>
      <c r="B11821" t="s">
        <v>12194</v>
      </c>
      <c r="C11821" t="s">
        <v>427</v>
      </c>
      <c r="D11821" t="s">
        <v>26814</v>
      </c>
    </row>
    <row r="11822" spans="1:4">
      <c r="A11822">
        <v>38101</v>
      </c>
      <c r="B11822" t="s">
        <v>12195</v>
      </c>
      <c r="C11822" t="s">
        <v>427</v>
      </c>
      <c r="D11822" t="s">
        <v>14757</v>
      </c>
    </row>
    <row r="11823" spans="1:4">
      <c r="A11823">
        <v>7528</v>
      </c>
      <c r="B11823" t="s">
        <v>12196</v>
      </c>
      <c r="C11823" t="s">
        <v>427</v>
      </c>
      <c r="D11823" t="s">
        <v>15784</v>
      </c>
    </row>
    <row r="11824" spans="1:4">
      <c r="A11824">
        <v>12147</v>
      </c>
      <c r="B11824" t="s">
        <v>12197</v>
      </c>
      <c r="C11824" t="s">
        <v>427</v>
      </c>
      <c r="D11824" t="s">
        <v>16888</v>
      </c>
    </row>
    <row r="11825" spans="1:4">
      <c r="A11825">
        <v>38075</v>
      </c>
      <c r="B11825" t="s">
        <v>12198</v>
      </c>
      <c r="C11825" t="s">
        <v>427</v>
      </c>
      <c r="D11825" t="s">
        <v>21884</v>
      </c>
    </row>
    <row r="11826" spans="1:4">
      <c r="A11826">
        <v>38102</v>
      </c>
      <c r="B11826" t="s">
        <v>12199</v>
      </c>
      <c r="C11826" t="s">
        <v>427</v>
      </c>
      <c r="D11826" t="s">
        <v>19621</v>
      </c>
    </row>
    <row r="11827" spans="1:4">
      <c r="A11827">
        <v>38076</v>
      </c>
      <c r="B11827" t="s">
        <v>12200</v>
      </c>
      <c r="C11827" t="s">
        <v>427</v>
      </c>
      <c r="D11827" t="s">
        <v>19198</v>
      </c>
    </row>
    <row r="11828" spans="1:4">
      <c r="A11828">
        <v>7592</v>
      </c>
      <c r="B11828" t="s">
        <v>12201</v>
      </c>
      <c r="C11828" t="s">
        <v>432</v>
      </c>
      <c r="D11828" t="s">
        <v>20265</v>
      </c>
    </row>
    <row r="11829" spans="1:4">
      <c r="A11829">
        <v>40820</v>
      </c>
      <c r="B11829" t="s">
        <v>12202</v>
      </c>
      <c r="C11829" t="s">
        <v>433</v>
      </c>
      <c r="D11829" t="s">
        <v>24644</v>
      </c>
    </row>
    <row r="11830" spans="1:4">
      <c r="A11830">
        <v>11826</v>
      </c>
      <c r="B11830" t="s">
        <v>12203</v>
      </c>
      <c r="C11830" t="s">
        <v>427</v>
      </c>
      <c r="D11830" t="s">
        <v>26815</v>
      </c>
    </row>
    <row r="11831" spans="1:4">
      <c r="A11831">
        <v>7606</v>
      </c>
      <c r="B11831" t="s">
        <v>12204</v>
      </c>
      <c r="C11831" t="s">
        <v>427</v>
      </c>
      <c r="D11831" t="s">
        <v>26816</v>
      </c>
    </row>
    <row r="11832" spans="1:4">
      <c r="A11832">
        <v>11763</v>
      </c>
      <c r="B11832" t="s">
        <v>12205</v>
      </c>
      <c r="C11832" t="s">
        <v>427</v>
      </c>
      <c r="D11832" t="s">
        <v>26817</v>
      </c>
    </row>
    <row r="11833" spans="1:4">
      <c r="A11833">
        <v>11764</v>
      </c>
      <c r="B11833" t="s">
        <v>12206</v>
      </c>
      <c r="C11833" t="s">
        <v>427</v>
      </c>
      <c r="D11833" t="s">
        <v>26818</v>
      </c>
    </row>
    <row r="11834" spans="1:4">
      <c r="A11834">
        <v>11829</v>
      </c>
      <c r="B11834" t="s">
        <v>12207</v>
      </c>
      <c r="C11834" t="s">
        <v>427</v>
      </c>
      <c r="D11834" t="s">
        <v>26819</v>
      </c>
    </row>
    <row r="11835" spans="1:4">
      <c r="A11835">
        <v>11830</v>
      </c>
      <c r="B11835" t="s">
        <v>12208</v>
      </c>
      <c r="C11835" t="s">
        <v>427</v>
      </c>
      <c r="D11835" t="s">
        <v>26820</v>
      </c>
    </row>
    <row r="11836" spans="1:4">
      <c r="A11836">
        <v>11825</v>
      </c>
      <c r="B11836" t="s">
        <v>12209</v>
      </c>
      <c r="C11836" t="s">
        <v>427</v>
      </c>
      <c r="D11836" t="s">
        <v>26821</v>
      </c>
    </row>
    <row r="11837" spans="1:4">
      <c r="A11837">
        <v>11767</v>
      </c>
      <c r="B11837" t="s">
        <v>12210</v>
      </c>
      <c r="C11837" t="s">
        <v>427</v>
      </c>
      <c r="D11837" t="s">
        <v>26822</v>
      </c>
    </row>
    <row r="11838" spans="1:4">
      <c r="A11838">
        <v>11766</v>
      </c>
      <c r="B11838" t="s">
        <v>12211</v>
      </c>
      <c r="C11838" t="s">
        <v>427</v>
      </c>
      <c r="D11838" t="s">
        <v>26823</v>
      </c>
    </row>
    <row r="11839" spans="1:4">
      <c r="A11839">
        <v>11765</v>
      </c>
      <c r="B11839" t="s">
        <v>12212</v>
      </c>
      <c r="C11839" t="s">
        <v>427</v>
      </c>
      <c r="D11839" t="s">
        <v>26824</v>
      </c>
    </row>
    <row r="11840" spans="1:4">
      <c r="A11840">
        <v>11824</v>
      </c>
      <c r="B11840" t="s">
        <v>12213</v>
      </c>
      <c r="C11840" t="s">
        <v>427</v>
      </c>
      <c r="D11840" t="s">
        <v>26825</v>
      </c>
    </row>
    <row r="11841" spans="1:4">
      <c r="A11841">
        <v>44045</v>
      </c>
      <c r="B11841" t="s">
        <v>13554</v>
      </c>
      <c r="C11841" t="s">
        <v>427</v>
      </c>
      <c r="D11841" t="s">
        <v>26826</v>
      </c>
    </row>
    <row r="11842" spans="1:4">
      <c r="A11842">
        <v>39702</v>
      </c>
      <c r="B11842" t="s">
        <v>13555</v>
      </c>
      <c r="C11842" t="s">
        <v>427</v>
      </c>
      <c r="D11842" t="s">
        <v>26827</v>
      </c>
    </row>
    <row r="11843" spans="1:4">
      <c r="A11843">
        <v>13415</v>
      </c>
      <c r="B11843" t="s">
        <v>13556</v>
      </c>
      <c r="C11843" t="s">
        <v>427</v>
      </c>
      <c r="D11843" t="s">
        <v>16096</v>
      </c>
    </row>
    <row r="11844" spans="1:4">
      <c r="A11844">
        <v>7602</v>
      </c>
      <c r="B11844" t="s">
        <v>12214</v>
      </c>
      <c r="C11844" t="s">
        <v>427</v>
      </c>
      <c r="D11844" t="s">
        <v>26828</v>
      </c>
    </row>
    <row r="11845" spans="1:4">
      <c r="A11845">
        <v>7603</v>
      </c>
      <c r="B11845" t="s">
        <v>12215</v>
      </c>
      <c r="C11845" t="s">
        <v>427</v>
      </c>
      <c r="D11845" t="s">
        <v>26829</v>
      </c>
    </row>
    <row r="11846" spans="1:4">
      <c r="A11846">
        <v>11777</v>
      </c>
      <c r="B11846" t="s">
        <v>12216</v>
      </c>
      <c r="C11846" t="s">
        <v>427</v>
      </c>
      <c r="D11846" t="s">
        <v>26830</v>
      </c>
    </row>
    <row r="11847" spans="1:4">
      <c r="A11847">
        <v>13417</v>
      </c>
      <c r="B11847" t="s">
        <v>13557</v>
      </c>
      <c r="C11847" t="s">
        <v>427</v>
      </c>
      <c r="D11847" t="s">
        <v>24035</v>
      </c>
    </row>
    <row r="11848" spans="1:4">
      <c r="A11848">
        <v>36791</v>
      </c>
      <c r="B11848" t="s">
        <v>13558</v>
      </c>
      <c r="C11848" t="s">
        <v>427</v>
      </c>
      <c r="D11848" t="s">
        <v>19238</v>
      </c>
    </row>
    <row r="11849" spans="1:4">
      <c r="A11849">
        <v>36795</v>
      </c>
      <c r="B11849" t="s">
        <v>13559</v>
      </c>
      <c r="C11849" t="s">
        <v>427</v>
      </c>
      <c r="D11849" t="s">
        <v>26831</v>
      </c>
    </row>
    <row r="11850" spans="1:4">
      <c r="A11850">
        <v>36796</v>
      </c>
      <c r="B11850" t="s">
        <v>13560</v>
      </c>
      <c r="C11850" t="s">
        <v>427</v>
      </c>
      <c r="D11850" t="s">
        <v>15217</v>
      </c>
    </row>
    <row r="11851" spans="1:4">
      <c r="A11851">
        <v>36792</v>
      </c>
      <c r="B11851" t="s">
        <v>13561</v>
      </c>
      <c r="C11851" t="s">
        <v>427</v>
      </c>
      <c r="D11851" t="s">
        <v>26832</v>
      </c>
    </row>
    <row r="11852" spans="1:4">
      <c r="A11852">
        <v>11773</v>
      </c>
      <c r="B11852" t="s">
        <v>13562</v>
      </c>
      <c r="C11852" t="s">
        <v>427</v>
      </c>
      <c r="D11852" t="s">
        <v>26833</v>
      </c>
    </row>
    <row r="11853" spans="1:4">
      <c r="A11853">
        <v>11762</v>
      </c>
      <c r="B11853" t="s">
        <v>13563</v>
      </c>
      <c r="C11853" t="s">
        <v>427</v>
      </c>
      <c r="D11853" t="s">
        <v>26834</v>
      </c>
    </row>
    <row r="11854" spans="1:4">
      <c r="A11854">
        <v>7604</v>
      </c>
      <c r="B11854" t="s">
        <v>13564</v>
      </c>
      <c r="C11854" t="s">
        <v>427</v>
      </c>
      <c r="D11854" t="s">
        <v>24026</v>
      </c>
    </row>
    <row r="11855" spans="1:4">
      <c r="A11855">
        <v>13984</v>
      </c>
      <c r="B11855" t="s">
        <v>13565</v>
      </c>
      <c r="C11855" t="s">
        <v>427</v>
      </c>
      <c r="D11855" t="s">
        <v>26835</v>
      </c>
    </row>
    <row r="11856" spans="1:4">
      <c r="A11856">
        <v>11772</v>
      </c>
      <c r="B11856" t="s">
        <v>13566</v>
      </c>
      <c r="C11856" t="s">
        <v>427</v>
      </c>
      <c r="D11856" t="s">
        <v>26836</v>
      </c>
    </row>
    <row r="11857" spans="1:4">
      <c r="A11857">
        <v>13983</v>
      </c>
      <c r="B11857" t="s">
        <v>13567</v>
      </c>
      <c r="C11857" t="s">
        <v>427</v>
      </c>
      <c r="D11857" t="s">
        <v>26837</v>
      </c>
    </row>
    <row r="11858" spans="1:4">
      <c r="A11858">
        <v>13416</v>
      </c>
      <c r="B11858" t="s">
        <v>13568</v>
      </c>
      <c r="C11858" t="s">
        <v>427</v>
      </c>
      <c r="D11858" t="s">
        <v>15179</v>
      </c>
    </row>
    <row r="11859" spans="1:4">
      <c r="A11859">
        <v>40329</v>
      </c>
      <c r="B11859" t="s">
        <v>12217</v>
      </c>
      <c r="C11859" t="s">
        <v>427</v>
      </c>
      <c r="D11859" t="s">
        <v>18040</v>
      </c>
    </row>
    <row r="11860" spans="1:4">
      <c r="A11860">
        <v>11823</v>
      </c>
      <c r="B11860" t="s">
        <v>12218</v>
      </c>
      <c r="C11860" t="s">
        <v>427</v>
      </c>
      <c r="D11860" t="s">
        <v>18107</v>
      </c>
    </row>
    <row r="11861" spans="1:4">
      <c r="A11861">
        <v>11822</v>
      </c>
      <c r="B11861" t="s">
        <v>12219</v>
      </c>
      <c r="C11861" t="s">
        <v>427</v>
      </c>
      <c r="D11861" t="s">
        <v>25149</v>
      </c>
    </row>
    <row r="11862" spans="1:4">
      <c r="A11862">
        <v>11831</v>
      </c>
      <c r="B11862" t="s">
        <v>12220</v>
      </c>
      <c r="C11862" t="s">
        <v>427</v>
      </c>
      <c r="D11862" t="s">
        <v>22844</v>
      </c>
    </row>
    <row r="11863" spans="1:4">
      <c r="A11863">
        <v>7613</v>
      </c>
      <c r="B11863" t="s">
        <v>12221</v>
      </c>
      <c r="C11863" t="s">
        <v>427</v>
      </c>
      <c r="D11863" t="s">
        <v>26838</v>
      </c>
    </row>
    <row r="11864" spans="1:4">
      <c r="A11864">
        <v>7619</v>
      </c>
      <c r="B11864" t="s">
        <v>12222</v>
      </c>
      <c r="C11864" t="s">
        <v>427</v>
      </c>
      <c r="D11864" t="s">
        <v>26839</v>
      </c>
    </row>
    <row r="11865" spans="1:4">
      <c r="A11865">
        <v>12076</v>
      </c>
      <c r="B11865" t="s">
        <v>12223</v>
      </c>
      <c r="C11865" t="s">
        <v>427</v>
      </c>
      <c r="D11865" t="s">
        <v>26840</v>
      </c>
    </row>
    <row r="11866" spans="1:4">
      <c r="A11866">
        <v>7614</v>
      </c>
      <c r="B11866" t="s">
        <v>12224</v>
      </c>
      <c r="C11866" t="s">
        <v>427</v>
      </c>
      <c r="D11866" t="s">
        <v>26841</v>
      </c>
    </row>
    <row r="11867" spans="1:4">
      <c r="A11867">
        <v>7618</v>
      </c>
      <c r="B11867" t="s">
        <v>12225</v>
      </c>
      <c r="C11867" t="s">
        <v>427</v>
      </c>
      <c r="D11867" t="s">
        <v>26842</v>
      </c>
    </row>
    <row r="11868" spans="1:4">
      <c r="A11868">
        <v>7620</v>
      </c>
      <c r="B11868" t="s">
        <v>12226</v>
      </c>
      <c r="C11868" t="s">
        <v>427</v>
      </c>
      <c r="D11868" t="s">
        <v>26843</v>
      </c>
    </row>
    <row r="11869" spans="1:4">
      <c r="A11869">
        <v>7610</v>
      </c>
      <c r="B11869" t="s">
        <v>12227</v>
      </c>
      <c r="C11869" t="s">
        <v>427</v>
      </c>
      <c r="D11869" t="s">
        <v>26844</v>
      </c>
    </row>
    <row r="11870" spans="1:4">
      <c r="A11870">
        <v>7615</v>
      </c>
      <c r="B11870" t="s">
        <v>12228</v>
      </c>
      <c r="C11870" t="s">
        <v>427</v>
      </c>
      <c r="D11870" t="s">
        <v>26845</v>
      </c>
    </row>
    <row r="11871" spans="1:4">
      <c r="A11871">
        <v>7617</v>
      </c>
      <c r="B11871" t="s">
        <v>12229</v>
      </c>
      <c r="C11871" t="s">
        <v>427</v>
      </c>
      <c r="D11871" t="s">
        <v>26846</v>
      </c>
    </row>
    <row r="11872" spans="1:4">
      <c r="A11872">
        <v>7616</v>
      </c>
      <c r="B11872" t="s">
        <v>12230</v>
      </c>
      <c r="C11872" t="s">
        <v>427</v>
      </c>
      <c r="D11872" t="s">
        <v>26847</v>
      </c>
    </row>
    <row r="11873" spans="1:4">
      <c r="A11873">
        <v>7611</v>
      </c>
      <c r="B11873" t="s">
        <v>12231</v>
      </c>
      <c r="C11873" t="s">
        <v>427</v>
      </c>
      <c r="D11873" t="s">
        <v>26848</v>
      </c>
    </row>
    <row r="11874" spans="1:4">
      <c r="A11874">
        <v>7612</v>
      </c>
      <c r="B11874" t="s">
        <v>12232</v>
      </c>
      <c r="C11874" t="s">
        <v>427</v>
      </c>
      <c r="D11874" t="s">
        <v>26849</v>
      </c>
    </row>
    <row r="11875" spans="1:4">
      <c r="A11875">
        <v>37371</v>
      </c>
      <c r="B11875" t="s">
        <v>12233</v>
      </c>
      <c r="C11875" t="s">
        <v>432</v>
      </c>
      <c r="D11875" t="s">
        <v>24275</v>
      </c>
    </row>
    <row r="11876" spans="1:4">
      <c r="A11876">
        <v>40861</v>
      </c>
      <c r="B11876" t="s">
        <v>12234</v>
      </c>
      <c r="C11876" t="s">
        <v>433</v>
      </c>
      <c r="D11876" t="s">
        <v>26850</v>
      </c>
    </row>
    <row r="11877" spans="1:4">
      <c r="A11877">
        <v>36510</v>
      </c>
      <c r="B11877" t="s">
        <v>12235</v>
      </c>
      <c r="C11877" t="s">
        <v>427</v>
      </c>
      <c r="D11877" t="s">
        <v>26851</v>
      </c>
    </row>
    <row r="11878" spans="1:4">
      <c r="A11878">
        <v>25020</v>
      </c>
      <c r="B11878" t="s">
        <v>12236</v>
      </c>
      <c r="C11878" t="s">
        <v>427</v>
      </c>
      <c r="D11878" t="s">
        <v>26852</v>
      </c>
    </row>
    <row r="11879" spans="1:4">
      <c r="A11879">
        <v>7622</v>
      </c>
      <c r="B11879" t="s">
        <v>12237</v>
      </c>
      <c r="C11879" t="s">
        <v>427</v>
      </c>
      <c r="D11879" t="s">
        <v>26853</v>
      </c>
    </row>
    <row r="11880" spans="1:4">
      <c r="A11880">
        <v>7624</v>
      </c>
      <c r="B11880" t="s">
        <v>12238</v>
      </c>
      <c r="C11880" t="s">
        <v>427</v>
      </c>
      <c r="D11880" t="s">
        <v>26854</v>
      </c>
    </row>
    <row r="11881" spans="1:4">
      <c r="A11881">
        <v>7625</v>
      </c>
      <c r="B11881" t="s">
        <v>12239</v>
      </c>
      <c r="C11881" t="s">
        <v>427</v>
      </c>
      <c r="D11881" t="s">
        <v>26855</v>
      </c>
    </row>
    <row r="11882" spans="1:4">
      <c r="A11882">
        <v>7623</v>
      </c>
      <c r="B11882" t="s">
        <v>12240</v>
      </c>
      <c r="C11882" t="s">
        <v>427</v>
      </c>
      <c r="D11882" t="s">
        <v>26852</v>
      </c>
    </row>
    <row r="11883" spans="1:4">
      <c r="A11883">
        <v>36508</v>
      </c>
      <c r="B11883" t="s">
        <v>12241</v>
      </c>
      <c r="C11883" t="s">
        <v>427</v>
      </c>
      <c r="D11883" t="s">
        <v>26856</v>
      </c>
    </row>
    <row r="11884" spans="1:4">
      <c r="A11884">
        <v>36509</v>
      </c>
      <c r="B11884" t="s">
        <v>12242</v>
      </c>
      <c r="C11884" t="s">
        <v>427</v>
      </c>
      <c r="D11884" t="s">
        <v>26857</v>
      </c>
    </row>
    <row r="11885" spans="1:4">
      <c r="A11885">
        <v>13238</v>
      </c>
      <c r="B11885" t="s">
        <v>12243</v>
      </c>
      <c r="C11885" t="s">
        <v>427</v>
      </c>
      <c r="D11885" t="s">
        <v>26858</v>
      </c>
    </row>
    <row r="11886" spans="1:4">
      <c r="A11886">
        <v>36511</v>
      </c>
      <c r="B11886" t="s">
        <v>12244</v>
      </c>
      <c r="C11886" t="s">
        <v>427</v>
      </c>
      <c r="D11886" t="s">
        <v>26859</v>
      </c>
    </row>
    <row r="11887" spans="1:4">
      <c r="A11887">
        <v>36515</v>
      </c>
      <c r="B11887" t="s">
        <v>12245</v>
      </c>
      <c r="C11887" t="s">
        <v>427</v>
      </c>
      <c r="D11887" t="s">
        <v>26860</v>
      </c>
    </row>
    <row r="11888" spans="1:4">
      <c r="A11888">
        <v>10598</v>
      </c>
      <c r="B11888" t="s">
        <v>12246</v>
      </c>
      <c r="C11888" t="s">
        <v>427</v>
      </c>
      <c r="D11888" t="s">
        <v>26861</v>
      </c>
    </row>
    <row r="11889" spans="1:4">
      <c r="A11889">
        <v>7640</v>
      </c>
      <c r="B11889" t="s">
        <v>12247</v>
      </c>
      <c r="C11889" t="s">
        <v>427</v>
      </c>
      <c r="D11889" t="s">
        <v>26862</v>
      </c>
    </row>
    <row r="11890" spans="1:4">
      <c r="A11890">
        <v>36513</v>
      </c>
      <c r="B11890" t="s">
        <v>12248</v>
      </c>
      <c r="C11890" t="s">
        <v>427</v>
      </c>
      <c r="D11890" t="s">
        <v>26863</v>
      </c>
    </row>
    <row r="11891" spans="1:4">
      <c r="A11891">
        <v>36514</v>
      </c>
      <c r="B11891" t="s">
        <v>12249</v>
      </c>
      <c r="C11891" t="s">
        <v>427</v>
      </c>
      <c r="D11891" t="s">
        <v>26864</v>
      </c>
    </row>
    <row r="11892" spans="1:4">
      <c r="A11892">
        <v>11572</v>
      </c>
      <c r="B11892" t="s">
        <v>12250</v>
      </c>
      <c r="C11892" t="s">
        <v>427</v>
      </c>
      <c r="D11892" t="s">
        <v>22913</v>
      </c>
    </row>
    <row r="11893" spans="1:4">
      <c r="A11893">
        <v>36149</v>
      </c>
      <c r="B11893" t="s">
        <v>12251</v>
      </c>
      <c r="C11893" t="s">
        <v>427</v>
      </c>
      <c r="D11893" t="s">
        <v>26865</v>
      </c>
    </row>
    <row r="11894" spans="1:4">
      <c r="A11894">
        <v>42407</v>
      </c>
      <c r="B11894" t="s">
        <v>12252</v>
      </c>
      <c r="C11894" t="s">
        <v>429</v>
      </c>
      <c r="D11894" t="s">
        <v>19190</v>
      </c>
    </row>
    <row r="11895" spans="1:4">
      <c r="A11895">
        <v>11581</v>
      </c>
      <c r="B11895" t="s">
        <v>12253</v>
      </c>
      <c r="C11895" t="s">
        <v>429</v>
      </c>
      <c r="D11895" t="s">
        <v>15390</v>
      </c>
    </row>
    <row r="11896" spans="1:4">
      <c r="A11896">
        <v>43605</v>
      </c>
      <c r="B11896" t="s">
        <v>12254</v>
      </c>
      <c r="C11896" t="s">
        <v>429</v>
      </c>
      <c r="D11896" t="s">
        <v>15711</v>
      </c>
    </row>
    <row r="11897" spans="1:4">
      <c r="A11897">
        <v>11580</v>
      </c>
      <c r="B11897" t="s">
        <v>12255</v>
      </c>
      <c r="C11897" t="s">
        <v>429</v>
      </c>
      <c r="D11897" t="s">
        <v>19125</v>
      </c>
    </row>
    <row r="11898" spans="1:4">
      <c r="A11898">
        <v>10743</v>
      </c>
      <c r="B11898" t="s">
        <v>12256</v>
      </c>
      <c r="C11898" t="s">
        <v>427</v>
      </c>
      <c r="D11898" t="s">
        <v>26866</v>
      </c>
    </row>
    <row r="11899" spans="1:4">
      <c r="A11899">
        <v>39848</v>
      </c>
      <c r="B11899" t="s">
        <v>12257</v>
      </c>
      <c r="C11899" t="s">
        <v>429</v>
      </c>
      <c r="D11899" t="s">
        <v>23891</v>
      </c>
    </row>
    <row r="11900" spans="1:4">
      <c r="A11900">
        <v>20999</v>
      </c>
      <c r="B11900" t="s">
        <v>12258</v>
      </c>
      <c r="C11900" t="s">
        <v>429</v>
      </c>
      <c r="D11900" t="s">
        <v>21351</v>
      </c>
    </row>
    <row r="11901" spans="1:4">
      <c r="A11901">
        <v>21001</v>
      </c>
      <c r="B11901" t="s">
        <v>12259</v>
      </c>
      <c r="C11901" t="s">
        <v>429</v>
      </c>
      <c r="D11901" t="s">
        <v>17310</v>
      </c>
    </row>
    <row r="11902" spans="1:4">
      <c r="A11902">
        <v>21003</v>
      </c>
      <c r="B11902" t="s">
        <v>12260</v>
      </c>
      <c r="C11902" t="s">
        <v>429</v>
      </c>
      <c r="D11902" t="s">
        <v>26867</v>
      </c>
    </row>
    <row r="11903" spans="1:4">
      <c r="A11903">
        <v>21006</v>
      </c>
      <c r="B11903" t="s">
        <v>12261</v>
      </c>
      <c r="C11903" t="s">
        <v>429</v>
      </c>
      <c r="D11903" t="s">
        <v>26868</v>
      </c>
    </row>
    <row r="11904" spans="1:4">
      <c r="A11904">
        <v>21019</v>
      </c>
      <c r="B11904" t="s">
        <v>12262</v>
      </c>
      <c r="C11904" t="s">
        <v>429</v>
      </c>
      <c r="D11904" t="s">
        <v>16094</v>
      </c>
    </row>
    <row r="11905" spans="1:4">
      <c r="A11905">
        <v>21021</v>
      </c>
      <c r="B11905" t="s">
        <v>12263</v>
      </c>
      <c r="C11905" t="s">
        <v>429</v>
      </c>
      <c r="D11905" t="s">
        <v>18669</v>
      </c>
    </row>
    <row r="11906" spans="1:4">
      <c r="A11906">
        <v>21024</v>
      </c>
      <c r="B11906" t="s">
        <v>12264</v>
      </c>
      <c r="C11906" t="s">
        <v>429</v>
      </c>
      <c r="D11906" t="s">
        <v>26869</v>
      </c>
    </row>
    <row r="11907" spans="1:4">
      <c r="A11907">
        <v>40624</v>
      </c>
      <c r="B11907" t="s">
        <v>12265</v>
      </c>
      <c r="C11907" t="s">
        <v>429</v>
      </c>
      <c r="D11907" t="s">
        <v>20886</v>
      </c>
    </row>
    <row r="11908" spans="1:4">
      <c r="A11908">
        <v>42575</v>
      </c>
      <c r="B11908" t="s">
        <v>12266</v>
      </c>
      <c r="C11908" t="s">
        <v>429</v>
      </c>
      <c r="D11908" t="s">
        <v>26870</v>
      </c>
    </row>
    <row r="11909" spans="1:4">
      <c r="A11909">
        <v>13127</v>
      </c>
      <c r="B11909" t="s">
        <v>12267</v>
      </c>
      <c r="C11909" t="s">
        <v>429</v>
      </c>
      <c r="D11909" t="s">
        <v>26871</v>
      </c>
    </row>
    <row r="11910" spans="1:4">
      <c r="A11910">
        <v>13137</v>
      </c>
      <c r="B11910" t="s">
        <v>12268</v>
      </c>
      <c r="C11910" t="s">
        <v>429</v>
      </c>
      <c r="D11910" t="s">
        <v>26872</v>
      </c>
    </row>
    <row r="11911" spans="1:4">
      <c r="A11911">
        <v>42574</v>
      </c>
      <c r="B11911" t="s">
        <v>12269</v>
      </c>
      <c r="C11911" t="s">
        <v>429</v>
      </c>
      <c r="D11911" t="s">
        <v>22178</v>
      </c>
    </row>
    <row r="11912" spans="1:4">
      <c r="A11912">
        <v>20989</v>
      </c>
      <c r="B11912" t="s">
        <v>12270</v>
      </c>
      <c r="C11912" t="s">
        <v>429</v>
      </c>
      <c r="D11912" t="s">
        <v>26873</v>
      </c>
    </row>
    <row r="11913" spans="1:4">
      <c r="A11913">
        <v>21147</v>
      </c>
      <c r="B11913" t="s">
        <v>12271</v>
      </c>
      <c r="C11913" t="s">
        <v>429</v>
      </c>
      <c r="D11913" t="s">
        <v>26874</v>
      </c>
    </row>
    <row r="11914" spans="1:4">
      <c r="A11914">
        <v>21148</v>
      </c>
      <c r="B11914" t="s">
        <v>12272</v>
      </c>
      <c r="C11914" t="s">
        <v>429</v>
      </c>
      <c r="D11914" t="s">
        <v>16465</v>
      </c>
    </row>
    <row r="11915" spans="1:4">
      <c r="A11915">
        <v>20984</v>
      </c>
      <c r="B11915" t="s">
        <v>12273</v>
      </c>
      <c r="C11915" t="s">
        <v>429</v>
      </c>
      <c r="D11915" t="s">
        <v>26875</v>
      </c>
    </row>
    <row r="11916" spans="1:4">
      <c r="A11916">
        <v>13042</v>
      </c>
      <c r="B11916" t="s">
        <v>12274</v>
      </c>
      <c r="C11916" t="s">
        <v>429</v>
      </c>
      <c r="D11916" t="s">
        <v>26876</v>
      </c>
    </row>
    <row r="11917" spans="1:4">
      <c r="A11917">
        <v>21150</v>
      </c>
      <c r="B11917" t="s">
        <v>12275</v>
      </c>
      <c r="C11917" t="s">
        <v>429</v>
      </c>
      <c r="D11917" t="s">
        <v>18734</v>
      </c>
    </row>
    <row r="11918" spans="1:4">
      <c r="A11918">
        <v>13141</v>
      </c>
      <c r="B11918" t="s">
        <v>12276</v>
      </c>
      <c r="C11918" t="s">
        <v>429</v>
      </c>
      <c r="D11918" t="s">
        <v>26877</v>
      </c>
    </row>
    <row r="11919" spans="1:4">
      <c r="A11919">
        <v>42576</v>
      </c>
      <c r="B11919" t="s">
        <v>12277</v>
      </c>
      <c r="C11919" t="s">
        <v>429</v>
      </c>
      <c r="D11919" t="s">
        <v>26878</v>
      </c>
    </row>
    <row r="11920" spans="1:4">
      <c r="A11920">
        <v>21151</v>
      </c>
      <c r="B11920" t="s">
        <v>12278</v>
      </c>
      <c r="C11920" t="s">
        <v>429</v>
      </c>
      <c r="D11920" t="s">
        <v>26879</v>
      </c>
    </row>
    <row r="11921" spans="1:4">
      <c r="A11921">
        <v>13142</v>
      </c>
      <c r="B11921" t="s">
        <v>12279</v>
      </c>
      <c r="C11921" t="s">
        <v>429</v>
      </c>
      <c r="D11921" t="s">
        <v>26880</v>
      </c>
    </row>
    <row r="11922" spans="1:4">
      <c r="A11922">
        <v>42577</v>
      </c>
      <c r="B11922" t="s">
        <v>12280</v>
      </c>
      <c r="C11922" t="s">
        <v>429</v>
      </c>
      <c r="D11922" t="s">
        <v>26881</v>
      </c>
    </row>
    <row r="11923" spans="1:4">
      <c r="A11923">
        <v>20994</v>
      </c>
      <c r="B11923" t="s">
        <v>12281</v>
      </c>
      <c r="C11923" t="s">
        <v>429</v>
      </c>
      <c r="D11923" t="s">
        <v>26882</v>
      </c>
    </row>
    <row r="11924" spans="1:4">
      <c r="A11924">
        <v>7672</v>
      </c>
      <c r="B11924" t="s">
        <v>12282</v>
      </c>
      <c r="C11924" t="s">
        <v>429</v>
      </c>
      <c r="D11924" t="s">
        <v>26883</v>
      </c>
    </row>
    <row r="11925" spans="1:4">
      <c r="A11925">
        <v>20995</v>
      </c>
      <c r="B11925" t="s">
        <v>12283</v>
      </c>
      <c r="C11925" t="s">
        <v>429</v>
      </c>
      <c r="D11925" t="s">
        <v>26884</v>
      </c>
    </row>
    <row r="11926" spans="1:4">
      <c r="A11926">
        <v>7690</v>
      </c>
      <c r="B11926" t="s">
        <v>12284</v>
      </c>
      <c r="C11926" t="s">
        <v>429</v>
      </c>
      <c r="D11926" t="s">
        <v>26885</v>
      </c>
    </row>
    <row r="11927" spans="1:4">
      <c r="A11927">
        <v>20980</v>
      </c>
      <c r="B11927" t="s">
        <v>12285</v>
      </c>
      <c r="C11927" t="s">
        <v>429</v>
      </c>
      <c r="D11927" t="s">
        <v>26886</v>
      </c>
    </row>
    <row r="11928" spans="1:4">
      <c r="A11928">
        <v>7661</v>
      </c>
      <c r="B11928" t="s">
        <v>12286</v>
      </c>
      <c r="C11928" t="s">
        <v>429</v>
      </c>
      <c r="D11928" t="s">
        <v>26887</v>
      </c>
    </row>
    <row r="11929" spans="1:4">
      <c r="A11929">
        <v>21016</v>
      </c>
      <c r="B11929" t="s">
        <v>12287</v>
      </c>
      <c r="C11929" t="s">
        <v>429</v>
      </c>
      <c r="D11929" t="s">
        <v>26888</v>
      </c>
    </row>
    <row r="11930" spans="1:4">
      <c r="A11930">
        <v>21008</v>
      </c>
      <c r="B11930" t="s">
        <v>12288</v>
      </c>
      <c r="C11930" t="s">
        <v>429</v>
      </c>
      <c r="D11930" t="s">
        <v>16005</v>
      </c>
    </row>
    <row r="11931" spans="1:4">
      <c r="A11931">
        <v>21009</v>
      </c>
      <c r="B11931" t="s">
        <v>12289</v>
      </c>
      <c r="C11931" t="s">
        <v>429</v>
      </c>
      <c r="D11931" t="s">
        <v>25275</v>
      </c>
    </row>
    <row r="11932" spans="1:4">
      <c r="A11932">
        <v>21010</v>
      </c>
      <c r="B11932" t="s">
        <v>12290</v>
      </c>
      <c r="C11932" t="s">
        <v>429</v>
      </c>
      <c r="D11932" t="s">
        <v>26889</v>
      </c>
    </row>
    <row r="11933" spans="1:4">
      <c r="A11933">
        <v>21011</v>
      </c>
      <c r="B11933" t="s">
        <v>12291</v>
      </c>
      <c r="C11933" t="s">
        <v>429</v>
      </c>
      <c r="D11933" t="s">
        <v>18544</v>
      </c>
    </row>
    <row r="11934" spans="1:4">
      <c r="A11934">
        <v>21012</v>
      </c>
      <c r="B11934" t="s">
        <v>12292</v>
      </c>
      <c r="C11934" t="s">
        <v>429</v>
      </c>
      <c r="D11934" t="s">
        <v>16551</v>
      </c>
    </row>
    <row r="11935" spans="1:4">
      <c r="A11935">
        <v>21013</v>
      </c>
      <c r="B11935" t="s">
        <v>12293</v>
      </c>
      <c r="C11935" t="s">
        <v>429</v>
      </c>
      <c r="D11935" t="s">
        <v>26890</v>
      </c>
    </row>
    <row r="11936" spans="1:4">
      <c r="A11936">
        <v>21014</v>
      </c>
      <c r="B11936" t="s">
        <v>12294</v>
      </c>
      <c r="C11936" t="s">
        <v>429</v>
      </c>
      <c r="D11936" t="s">
        <v>20766</v>
      </c>
    </row>
    <row r="11937" spans="1:4">
      <c r="A11937">
        <v>21015</v>
      </c>
      <c r="B11937" t="s">
        <v>12295</v>
      </c>
      <c r="C11937" t="s">
        <v>429</v>
      </c>
      <c r="D11937" t="s">
        <v>26891</v>
      </c>
    </row>
    <row r="11938" spans="1:4">
      <c r="A11938">
        <v>7697</v>
      </c>
      <c r="B11938" t="s">
        <v>12296</v>
      </c>
      <c r="C11938" t="s">
        <v>429</v>
      </c>
      <c r="D11938" t="s">
        <v>23660</v>
      </c>
    </row>
    <row r="11939" spans="1:4">
      <c r="A11939">
        <v>7698</v>
      </c>
      <c r="B11939" t="s">
        <v>12297</v>
      </c>
      <c r="C11939" t="s">
        <v>429</v>
      </c>
      <c r="D11939" t="s">
        <v>25462</v>
      </c>
    </row>
    <row r="11940" spans="1:4">
      <c r="A11940">
        <v>7691</v>
      </c>
      <c r="B11940" t="s">
        <v>12298</v>
      </c>
      <c r="C11940" t="s">
        <v>429</v>
      </c>
      <c r="D11940" t="s">
        <v>18690</v>
      </c>
    </row>
    <row r="11941" spans="1:4">
      <c r="A11941">
        <v>40626</v>
      </c>
      <c r="B11941" t="s">
        <v>12299</v>
      </c>
      <c r="C11941" t="s">
        <v>429</v>
      </c>
      <c r="D11941" t="s">
        <v>17465</v>
      </c>
    </row>
    <row r="11942" spans="1:4">
      <c r="A11942">
        <v>7701</v>
      </c>
      <c r="B11942" t="s">
        <v>12300</v>
      </c>
      <c r="C11942" t="s">
        <v>429</v>
      </c>
      <c r="D11942" t="s">
        <v>26892</v>
      </c>
    </row>
    <row r="11943" spans="1:4">
      <c r="A11943">
        <v>7696</v>
      </c>
      <c r="B11943" t="s">
        <v>12301</v>
      </c>
      <c r="C11943" t="s">
        <v>429</v>
      </c>
      <c r="D11943" t="s">
        <v>20661</v>
      </c>
    </row>
    <row r="11944" spans="1:4">
      <c r="A11944">
        <v>7700</v>
      </c>
      <c r="B11944" t="s">
        <v>12302</v>
      </c>
      <c r="C11944" t="s">
        <v>429</v>
      </c>
      <c r="D11944" t="s">
        <v>18680</v>
      </c>
    </row>
    <row r="11945" spans="1:4">
      <c r="A11945">
        <v>7694</v>
      </c>
      <c r="B11945" t="s">
        <v>12303</v>
      </c>
      <c r="C11945" t="s">
        <v>429</v>
      </c>
      <c r="D11945" t="s">
        <v>25107</v>
      </c>
    </row>
    <row r="11946" spans="1:4">
      <c r="A11946">
        <v>7693</v>
      </c>
      <c r="B11946" t="s">
        <v>12304</v>
      </c>
      <c r="C11946" t="s">
        <v>429</v>
      </c>
      <c r="D11946" t="s">
        <v>23055</v>
      </c>
    </row>
    <row r="11947" spans="1:4">
      <c r="A11947">
        <v>7692</v>
      </c>
      <c r="B11947" t="s">
        <v>12305</v>
      </c>
      <c r="C11947" t="s">
        <v>429</v>
      </c>
      <c r="D11947" t="s">
        <v>26893</v>
      </c>
    </row>
    <row r="11948" spans="1:4">
      <c r="A11948">
        <v>7695</v>
      </c>
      <c r="B11948" t="s">
        <v>12306</v>
      </c>
      <c r="C11948" t="s">
        <v>429</v>
      </c>
      <c r="D11948" t="s">
        <v>26894</v>
      </c>
    </row>
    <row r="11949" spans="1:4">
      <c r="A11949">
        <v>13356</v>
      </c>
      <c r="B11949" t="s">
        <v>12307</v>
      </c>
      <c r="C11949" t="s">
        <v>429</v>
      </c>
      <c r="D11949" t="s">
        <v>25841</v>
      </c>
    </row>
    <row r="11950" spans="1:4">
      <c r="A11950">
        <v>36365</v>
      </c>
      <c r="B11950" t="s">
        <v>12308</v>
      </c>
      <c r="C11950" t="s">
        <v>429</v>
      </c>
      <c r="D11950" t="s">
        <v>26895</v>
      </c>
    </row>
    <row r="11951" spans="1:4">
      <c r="A11951">
        <v>41930</v>
      </c>
      <c r="B11951" t="s">
        <v>12309</v>
      </c>
      <c r="C11951" t="s">
        <v>429</v>
      </c>
      <c r="D11951" t="s">
        <v>26896</v>
      </c>
    </row>
    <row r="11952" spans="1:4">
      <c r="A11952">
        <v>41931</v>
      </c>
      <c r="B11952" t="s">
        <v>12310</v>
      </c>
      <c r="C11952" t="s">
        <v>429</v>
      </c>
      <c r="D11952" t="s">
        <v>26897</v>
      </c>
    </row>
    <row r="11953" spans="1:4">
      <c r="A11953">
        <v>41932</v>
      </c>
      <c r="B11953" t="s">
        <v>12311</v>
      </c>
      <c r="C11953" t="s">
        <v>429</v>
      </c>
      <c r="D11953" t="s">
        <v>26898</v>
      </c>
    </row>
    <row r="11954" spans="1:4">
      <c r="A11954">
        <v>41933</v>
      </c>
      <c r="B11954" t="s">
        <v>12312</v>
      </c>
      <c r="C11954" t="s">
        <v>429</v>
      </c>
      <c r="D11954" t="s">
        <v>26899</v>
      </c>
    </row>
    <row r="11955" spans="1:4">
      <c r="A11955">
        <v>41934</v>
      </c>
      <c r="B11955" t="s">
        <v>12313</v>
      </c>
      <c r="C11955" t="s">
        <v>429</v>
      </c>
      <c r="D11955" t="s">
        <v>26900</v>
      </c>
    </row>
    <row r="11956" spans="1:4">
      <c r="A11956">
        <v>41936</v>
      </c>
      <c r="B11956" t="s">
        <v>12314</v>
      </c>
      <c r="C11956" t="s">
        <v>429</v>
      </c>
      <c r="D11956" t="s">
        <v>26901</v>
      </c>
    </row>
    <row r="11957" spans="1:4">
      <c r="A11957">
        <v>41785</v>
      </c>
      <c r="B11957" t="s">
        <v>12315</v>
      </c>
      <c r="C11957" t="s">
        <v>429</v>
      </c>
      <c r="D11957" t="s">
        <v>26902</v>
      </c>
    </row>
    <row r="11958" spans="1:4">
      <c r="A11958">
        <v>41781</v>
      </c>
      <c r="B11958" t="s">
        <v>12316</v>
      </c>
      <c r="C11958" t="s">
        <v>429</v>
      </c>
      <c r="D11958" t="s">
        <v>26903</v>
      </c>
    </row>
    <row r="11959" spans="1:4">
      <c r="A11959">
        <v>41783</v>
      </c>
      <c r="B11959" t="s">
        <v>12317</v>
      </c>
      <c r="C11959" t="s">
        <v>429</v>
      </c>
      <c r="D11959" t="s">
        <v>26904</v>
      </c>
    </row>
    <row r="11960" spans="1:4">
      <c r="A11960">
        <v>41786</v>
      </c>
      <c r="B11960" t="s">
        <v>12318</v>
      </c>
      <c r="C11960" t="s">
        <v>429</v>
      </c>
      <c r="D11960" t="s">
        <v>26905</v>
      </c>
    </row>
    <row r="11961" spans="1:4">
      <c r="A11961">
        <v>41779</v>
      </c>
      <c r="B11961" t="s">
        <v>12319</v>
      </c>
      <c r="C11961" t="s">
        <v>429</v>
      </c>
      <c r="D11961" t="s">
        <v>26906</v>
      </c>
    </row>
    <row r="11962" spans="1:4">
      <c r="A11962">
        <v>41780</v>
      </c>
      <c r="B11962" t="s">
        <v>12320</v>
      </c>
      <c r="C11962" t="s">
        <v>429</v>
      </c>
      <c r="D11962" t="s">
        <v>26907</v>
      </c>
    </row>
    <row r="11963" spans="1:4">
      <c r="A11963">
        <v>41782</v>
      </c>
      <c r="B11963" t="s">
        <v>12321</v>
      </c>
      <c r="C11963" t="s">
        <v>429</v>
      </c>
      <c r="D11963" t="s">
        <v>26908</v>
      </c>
    </row>
    <row r="11964" spans="1:4">
      <c r="A11964">
        <v>38130</v>
      </c>
      <c r="B11964" t="s">
        <v>12322</v>
      </c>
      <c r="C11964" t="s">
        <v>429</v>
      </c>
      <c r="D11964" t="s">
        <v>22810</v>
      </c>
    </row>
    <row r="11965" spans="1:4">
      <c r="A11965">
        <v>21123</v>
      </c>
      <c r="B11965" t="s">
        <v>12323</v>
      </c>
      <c r="C11965" t="s">
        <v>429</v>
      </c>
      <c r="D11965" t="s">
        <v>22070</v>
      </c>
    </row>
    <row r="11966" spans="1:4">
      <c r="A11966">
        <v>21124</v>
      </c>
      <c r="B11966" t="s">
        <v>12324</v>
      </c>
      <c r="C11966" t="s">
        <v>429</v>
      </c>
      <c r="D11966" t="s">
        <v>21772</v>
      </c>
    </row>
    <row r="11967" spans="1:4">
      <c r="A11967">
        <v>21125</v>
      </c>
      <c r="B11967" t="s">
        <v>12325</v>
      </c>
      <c r="C11967" t="s">
        <v>429</v>
      </c>
      <c r="D11967" t="s">
        <v>26909</v>
      </c>
    </row>
    <row r="11968" spans="1:4">
      <c r="A11968">
        <v>38028</v>
      </c>
      <c r="B11968" t="s">
        <v>12326</v>
      </c>
      <c r="C11968" t="s">
        <v>429</v>
      </c>
      <c r="D11968" t="s">
        <v>24981</v>
      </c>
    </row>
    <row r="11969" spans="1:4">
      <c r="A11969">
        <v>38029</v>
      </c>
      <c r="B11969" t="s">
        <v>12327</v>
      </c>
      <c r="C11969" t="s">
        <v>429</v>
      </c>
      <c r="D11969" t="s">
        <v>26910</v>
      </c>
    </row>
    <row r="11970" spans="1:4">
      <c r="A11970">
        <v>38030</v>
      </c>
      <c r="B11970" t="s">
        <v>12328</v>
      </c>
      <c r="C11970" t="s">
        <v>429</v>
      </c>
      <c r="D11970" t="s">
        <v>26911</v>
      </c>
    </row>
    <row r="11971" spans="1:4">
      <c r="A11971">
        <v>38031</v>
      </c>
      <c r="B11971" t="s">
        <v>12329</v>
      </c>
      <c r="C11971" t="s">
        <v>429</v>
      </c>
      <c r="D11971" t="s">
        <v>26912</v>
      </c>
    </row>
    <row r="11972" spans="1:4">
      <c r="A11972">
        <v>39735</v>
      </c>
      <c r="B11972" t="s">
        <v>12330</v>
      </c>
      <c r="C11972" t="s">
        <v>429</v>
      </c>
      <c r="D11972" t="s">
        <v>26913</v>
      </c>
    </row>
    <row r="11973" spans="1:4">
      <c r="A11973">
        <v>39734</v>
      </c>
      <c r="B11973" t="s">
        <v>12331</v>
      </c>
      <c r="C11973" t="s">
        <v>429</v>
      </c>
      <c r="D11973" t="s">
        <v>26914</v>
      </c>
    </row>
    <row r="11974" spans="1:4">
      <c r="A11974">
        <v>39736</v>
      </c>
      <c r="B11974" t="s">
        <v>12332</v>
      </c>
      <c r="C11974" t="s">
        <v>429</v>
      </c>
      <c r="D11974" t="s">
        <v>26915</v>
      </c>
    </row>
    <row r="11975" spans="1:4">
      <c r="A11975">
        <v>39737</v>
      </c>
      <c r="B11975" t="s">
        <v>12333</v>
      </c>
      <c r="C11975" t="s">
        <v>429</v>
      </c>
      <c r="D11975" t="s">
        <v>20388</v>
      </c>
    </row>
    <row r="11976" spans="1:4">
      <c r="A11976">
        <v>39738</v>
      </c>
      <c r="B11976" t="s">
        <v>12334</v>
      </c>
      <c r="C11976" t="s">
        <v>429</v>
      </c>
      <c r="D11976" t="s">
        <v>20565</v>
      </c>
    </row>
    <row r="11977" spans="1:4">
      <c r="A11977">
        <v>39739</v>
      </c>
      <c r="B11977" t="s">
        <v>12335</v>
      </c>
      <c r="C11977" t="s">
        <v>429</v>
      </c>
      <c r="D11977" t="s">
        <v>18745</v>
      </c>
    </row>
    <row r="11978" spans="1:4">
      <c r="A11978">
        <v>39733</v>
      </c>
      <c r="B11978" t="s">
        <v>12336</v>
      </c>
      <c r="C11978" t="s">
        <v>429</v>
      </c>
      <c r="D11978" t="s">
        <v>26916</v>
      </c>
    </row>
    <row r="11979" spans="1:4">
      <c r="A11979">
        <v>39854</v>
      </c>
      <c r="B11979" t="s">
        <v>12337</v>
      </c>
      <c r="C11979" t="s">
        <v>429</v>
      </c>
      <c r="D11979" t="s">
        <v>26917</v>
      </c>
    </row>
    <row r="11980" spans="1:4">
      <c r="A11980">
        <v>39740</v>
      </c>
      <c r="B11980" t="s">
        <v>12338</v>
      </c>
      <c r="C11980" t="s">
        <v>429</v>
      </c>
      <c r="D11980" t="s">
        <v>26918</v>
      </c>
    </row>
    <row r="11981" spans="1:4">
      <c r="A11981">
        <v>39741</v>
      </c>
      <c r="B11981" t="s">
        <v>12339</v>
      </c>
      <c r="C11981" t="s">
        <v>429</v>
      </c>
      <c r="D11981" t="s">
        <v>15049</v>
      </c>
    </row>
    <row r="11982" spans="1:4">
      <c r="A11982">
        <v>39853</v>
      </c>
      <c r="B11982" t="s">
        <v>12340</v>
      </c>
      <c r="C11982" t="s">
        <v>429</v>
      </c>
      <c r="D11982" t="s">
        <v>25775</v>
      </c>
    </row>
    <row r="11983" spans="1:4">
      <c r="A11983">
        <v>39742</v>
      </c>
      <c r="B11983" t="s">
        <v>12341</v>
      </c>
      <c r="C11983" t="s">
        <v>429</v>
      </c>
      <c r="D11983" t="s">
        <v>26919</v>
      </c>
    </row>
    <row r="11984" spans="1:4">
      <c r="A11984">
        <v>39749</v>
      </c>
      <c r="B11984" t="s">
        <v>12342</v>
      </c>
      <c r="C11984" t="s">
        <v>429</v>
      </c>
      <c r="D11984" t="s">
        <v>26920</v>
      </c>
    </row>
    <row r="11985" spans="1:4">
      <c r="A11985">
        <v>39751</v>
      </c>
      <c r="B11985" t="s">
        <v>12343</v>
      </c>
      <c r="C11985" t="s">
        <v>429</v>
      </c>
      <c r="D11985" t="s">
        <v>26921</v>
      </c>
    </row>
    <row r="11986" spans="1:4">
      <c r="A11986">
        <v>39750</v>
      </c>
      <c r="B11986" t="s">
        <v>12344</v>
      </c>
      <c r="C11986" t="s">
        <v>429</v>
      </c>
      <c r="D11986" t="s">
        <v>21767</v>
      </c>
    </row>
    <row r="11987" spans="1:4">
      <c r="A11987">
        <v>39747</v>
      </c>
      <c r="B11987" t="s">
        <v>12345</v>
      </c>
      <c r="C11987" t="s">
        <v>429</v>
      </c>
      <c r="D11987" t="s">
        <v>26922</v>
      </c>
    </row>
    <row r="11988" spans="1:4">
      <c r="A11988">
        <v>39753</v>
      </c>
      <c r="B11988" t="s">
        <v>12346</v>
      </c>
      <c r="C11988" t="s">
        <v>429</v>
      </c>
      <c r="D11988" t="s">
        <v>26923</v>
      </c>
    </row>
    <row r="11989" spans="1:4">
      <c r="A11989">
        <v>39754</v>
      </c>
      <c r="B11989" t="s">
        <v>12347</v>
      </c>
      <c r="C11989" t="s">
        <v>429</v>
      </c>
      <c r="D11989" t="s">
        <v>26924</v>
      </c>
    </row>
    <row r="11990" spans="1:4">
      <c r="A11990">
        <v>39748</v>
      </c>
      <c r="B11990" t="s">
        <v>12348</v>
      </c>
      <c r="C11990" t="s">
        <v>429</v>
      </c>
      <c r="D11990" t="s">
        <v>26925</v>
      </c>
    </row>
    <row r="11991" spans="1:4">
      <c r="A11991">
        <v>39755</v>
      </c>
      <c r="B11991" t="s">
        <v>12349</v>
      </c>
      <c r="C11991" t="s">
        <v>429</v>
      </c>
      <c r="D11991" t="s">
        <v>26926</v>
      </c>
    </row>
    <row r="11992" spans="1:4">
      <c r="A11992">
        <v>12742</v>
      </c>
      <c r="B11992" t="s">
        <v>12350</v>
      </c>
      <c r="C11992" t="s">
        <v>429</v>
      </c>
      <c r="D11992" t="s">
        <v>26927</v>
      </c>
    </row>
    <row r="11993" spans="1:4">
      <c r="A11993">
        <v>12713</v>
      </c>
      <c r="B11993" t="s">
        <v>12351</v>
      </c>
      <c r="C11993" t="s">
        <v>429</v>
      </c>
      <c r="D11993" t="s">
        <v>26928</v>
      </c>
    </row>
    <row r="11994" spans="1:4">
      <c r="A11994">
        <v>12743</v>
      </c>
      <c r="B11994" t="s">
        <v>12352</v>
      </c>
      <c r="C11994" t="s">
        <v>429</v>
      </c>
      <c r="D11994" t="s">
        <v>26929</v>
      </c>
    </row>
    <row r="11995" spans="1:4">
      <c r="A11995">
        <v>12744</v>
      </c>
      <c r="B11995" t="s">
        <v>12353</v>
      </c>
      <c r="C11995" t="s">
        <v>429</v>
      </c>
      <c r="D11995" t="s">
        <v>26930</v>
      </c>
    </row>
    <row r="11996" spans="1:4">
      <c r="A11996">
        <v>12745</v>
      </c>
      <c r="B11996" t="s">
        <v>12354</v>
      </c>
      <c r="C11996" t="s">
        <v>429</v>
      </c>
      <c r="D11996" t="s">
        <v>26931</v>
      </c>
    </row>
    <row r="11997" spans="1:4">
      <c r="A11997">
        <v>12746</v>
      </c>
      <c r="B11997" t="s">
        <v>12355</v>
      </c>
      <c r="C11997" t="s">
        <v>429</v>
      </c>
      <c r="D11997" t="s">
        <v>23977</v>
      </c>
    </row>
    <row r="11998" spans="1:4">
      <c r="A11998">
        <v>12747</v>
      </c>
      <c r="B11998" t="s">
        <v>12356</v>
      </c>
      <c r="C11998" t="s">
        <v>429</v>
      </c>
      <c r="D11998" t="s">
        <v>26932</v>
      </c>
    </row>
    <row r="11999" spans="1:4">
      <c r="A11999">
        <v>12748</v>
      </c>
      <c r="B11999" t="s">
        <v>12357</v>
      </c>
      <c r="C11999" t="s">
        <v>429</v>
      </c>
      <c r="D11999" t="s">
        <v>26933</v>
      </c>
    </row>
    <row r="12000" spans="1:4">
      <c r="A12000">
        <v>12749</v>
      </c>
      <c r="B12000" t="s">
        <v>12358</v>
      </c>
      <c r="C12000" t="s">
        <v>429</v>
      </c>
      <c r="D12000" t="s">
        <v>26934</v>
      </c>
    </row>
    <row r="12001" spans="1:4">
      <c r="A12001">
        <v>39726</v>
      </c>
      <c r="B12001" t="s">
        <v>12359</v>
      </c>
      <c r="C12001" t="s">
        <v>429</v>
      </c>
      <c r="D12001" t="s">
        <v>14884</v>
      </c>
    </row>
    <row r="12002" spans="1:4">
      <c r="A12002">
        <v>39728</v>
      </c>
      <c r="B12002" t="s">
        <v>12360</v>
      </c>
      <c r="C12002" t="s">
        <v>429</v>
      </c>
      <c r="D12002" t="s">
        <v>26935</v>
      </c>
    </row>
    <row r="12003" spans="1:4">
      <c r="A12003">
        <v>39727</v>
      </c>
      <c r="B12003" t="s">
        <v>12361</v>
      </c>
      <c r="C12003" t="s">
        <v>429</v>
      </c>
      <c r="D12003" t="s">
        <v>26936</v>
      </c>
    </row>
    <row r="12004" spans="1:4">
      <c r="A12004">
        <v>39724</v>
      </c>
      <c r="B12004" t="s">
        <v>12362</v>
      </c>
      <c r="C12004" t="s">
        <v>429</v>
      </c>
      <c r="D12004" t="s">
        <v>15296</v>
      </c>
    </row>
    <row r="12005" spans="1:4">
      <c r="A12005">
        <v>39729</v>
      </c>
      <c r="B12005" t="s">
        <v>12363</v>
      </c>
      <c r="C12005" t="s">
        <v>429</v>
      </c>
      <c r="D12005" t="s">
        <v>26937</v>
      </c>
    </row>
    <row r="12006" spans="1:4">
      <c r="A12006">
        <v>39730</v>
      </c>
      <c r="B12006" t="s">
        <v>12364</v>
      </c>
      <c r="C12006" t="s">
        <v>429</v>
      </c>
      <c r="D12006" t="s">
        <v>26938</v>
      </c>
    </row>
    <row r="12007" spans="1:4">
      <c r="A12007">
        <v>39731</v>
      </c>
      <c r="B12007" t="s">
        <v>12365</v>
      </c>
      <c r="C12007" t="s">
        <v>429</v>
      </c>
      <c r="D12007" t="s">
        <v>26939</v>
      </c>
    </row>
    <row r="12008" spans="1:4">
      <c r="A12008">
        <v>39725</v>
      </c>
      <c r="B12008" t="s">
        <v>12366</v>
      </c>
      <c r="C12008" t="s">
        <v>429</v>
      </c>
      <c r="D12008" t="s">
        <v>26940</v>
      </c>
    </row>
    <row r="12009" spans="1:4">
      <c r="A12009">
        <v>39732</v>
      </c>
      <c r="B12009" t="s">
        <v>12367</v>
      </c>
      <c r="C12009" t="s">
        <v>429</v>
      </c>
      <c r="D12009" t="s">
        <v>26941</v>
      </c>
    </row>
    <row r="12010" spans="1:4">
      <c r="A12010">
        <v>39660</v>
      </c>
      <c r="B12010" t="s">
        <v>12368</v>
      </c>
      <c r="C12010" t="s">
        <v>429</v>
      </c>
      <c r="D12010" t="s">
        <v>26942</v>
      </c>
    </row>
    <row r="12011" spans="1:4">
      <c r="A12011">
        <v>39662</v>
      </c>
      <c r="B12011" t="s">
        <v>12369</v>
      </c>
      <c r="C12011" t="s">
        <v>429</v>
      </c>
      <c r="D12011" t="s">
        <v>17440</v>
      </c>
    </row>
    <row r="12012" spans="1:4">
      <c r="A12012">
        <v>39661</v>
      </c>
      <c r="B12012" t="s">
        <v>12370</v>
      </c>
      <c r="C12012" t="s">
        <v>429</v>
      </c>
      <c r="D12012" t="s">
        <v>19806</v>
      </c>
    </row>
    <row r="12013" spans="1:4">
      <c r="A12013">
        <v>39666</v>
      </c>
      <c r="B12013" t="s">
        <v>12371</v>
      </c>
      <c r="C12013" t="s">
        <v>429</v>
      </c>
      <c r="D12013" t="s">
        <v>26943</v>
      </c>
    </row>
    <row r="12014" spans="1:4">
      <c r="A12014">
        <v>39664</v>
      </c>
      <c r="B12014" t="s">
        <v>12372</v>
      </c>
      <c r="C12014" t="s">
        <v>429</v>
      </c>
      <c r="D12014" t="s">
        <v>26944</v>
      </c>
    </row>
    <row r="12015" spans="1:4">
      <c r="A12015">
        <v>39663</v>
      </c>
      <c r="B12015" t="s">
        <v>12373</v>
      </c>
      <c r="C12015" t="s">
        <v>429</v>
      </c>
      <c r="D12015" t="s">
        <v>24019</v>
      </c>
    </row>
    <row r="12016" spans="1:4">
      <c r="A12016">
        <v>39665</v>
      </c>
      <c r="B12016" t="s">
        <v>12374</v>
      </c>
      <c r="C12016" t="s">
        <v>429</v>
      </c>
      <c r="D12016" t="s">
        <v>24483</v>
      </c>
    </row>
    <row r="12017" spans="1:4">
      <c r="A12017">
        <v>39752</v>
      </c>
      <c r="B12017" t="s">
        <v>12375</v>
      </c>
      <c r="C12017" t="s">
        <v>429</v>
      </c>
      <c r="D12017" t="s">
        <v>26945</v>
      </c>
    </row>
    <row r="12018" spans="1:4">
      <c r="A12018">
        <v>7725</v>
      </c>
      <c r="B12018" t="s">
        <v>12376</v>
      </c>
      <c r="C12018" t="s">
        <v>429</v>
      </c>
      <c r="D12018" t="s">
        <v>26946</v>
      </c>
    </row>
    <row r="12019" spans="1:4">
      <c r="A12019">
        <v>7753</v>
      </c>
      <c r="B12019" t="s">
        <v>12377</v>
      </c>
      <c r="C12019" t="s">
        <v>429</v>
      </c>
      <c r="D12019" t="s">
        <v>26947</v>
      </c>
    </row>
    <row r="12020" spans="1:4">
      <c r="A12020">
        <v>13256</v>
      </c>
      <c r="B12020" t="s">
        <v>12378</v>
      </c>
      <c r="C12020" t="s">
        <v>429</v>
      </c>
      <c r="D12020" t="s">
        <v>26948</v>
      </c>
    </row>
    <row r="12021" spans="1:4">
      <c r="A12021">
        <v>7757</v>
      </c>
      <c r="B12021" t="s">
        <v>12379</v>
      </c>
      <c r="C12021" t="s">
        <v>429</v>
      </c>
      <c r="D12021" t="s">
        <v>26949</v>
      </c>
    </row>
    <row r="12022" spans="1:4">
      <c r="A12022">
        <v>7758</v>
      </c>
      <c r="B12022" t="s">
        <v>12380</v>
      </c>
      <c r="C12022" t="s">
        <v>429</v>
      </c>
      <c r="D12022" t="s">
        <v>26950</v>
      </c>
    </row>
    <row r="12023" spans="1:4">
      <c r="A12023">
        <v>7759</v>
      </c>
      <c r="B12023" t="s">
        <v>12381</v>
      </c>
      <c r="C12023" t="s">
        <v>429</v>
      </c>
      <c r="D12023" t="s">
        <v>26951</v>
      </c>
    </row>
    <row r="12024" spans="1:4">
      <c r="A12024">
        <v>40334</v>
      </c>
      <c r="B12024" t="s">
        <v>12382</v>
      </c>
      <c r="C12024" t="s">
        <v>429</v>
      </c>
      <c r="D12024" t="s">
        <v>26952</v>
      </c>
    </row>
    <row r="12025" spans="1:4">
      <c r="A12025">
        <v>7745</v>
      </c>
      <c r="B12025" t="s">
        <v>12383</v>
      </c>
      <c r="C12025" t="s">
        <v>429</v>
      </c>
      <c r="D12025" t="s">
        <v>26953</v>
      </c>
    </row>
    <row r="12026" spans="1:4">
      <c r="A12026">
        <v>7714</v>
      </c>
      <c r="B12026" t="s">
        <v>12384</v>
      </c>
      <c r="C12026" t="s">
        <v>429</v>
      </c>
      <c r="D12026" t="s">
        <v>25112</v>
      </c>
    </row>
    <row r="12027" spans="1:4">
      <c r="A12027">
        <v>7742</v>
      </c>
      <c r="B12027" t="s">
        <v>12385</v>
      </c>
      <c r="C12027" t="s">
        <v>429</v>
      </c>
      <c r="D12027" t="s">
        <v>26954</v>
      </c>
    </row>
    <row r="12028" spans="1:4">
      <c r="A12028">
        <v>7750</v>
      </c>
      <c r="B12028" t="s">
        <v>12386</v>
      </c>
      <c r="C12028" t="s">
        <v>429</v>
      </c>
      <c r="D12028" t="s">
        <v>26955</v>
      </c>
    </row>
    <row r="12029" spans="1:4">
      <c r="A12029">
        <v>7756</v>
      </c>
      <c r="B12029" t="s">
        <v>12387</v>
      </c>
      <c r="C12029" t="s">
        <v>429</v>
      </c>
      <c r="D12029" t="s">
        <v>23292</v>
      </c>
    </row>
    <row r="12030" spans="1:4">
      <c r="A12030">
        <v>7765</v>
      </c>
      <c r="B12030" t="s">
        <v>12388</v>
      </c>
      <c r="C12030" t="s">
        <v>429</v>
      </c>
      <c r="D12030" t="s">
        <v>26956</v>
      </c>
    </row>
    <row r="12031" spans="1:4">
      <c r="A12031">
        <v>12569</v>
      </c>
      <c r="B12031" t="s">
        <v>12389</v>
      </c>
      <c r="C12031" t="s">
        <v>429</v>
      </c>
      <c r="D12031" t="s">
        <v>26957</v>
      </c>
    </row>
    <row r="12032" spans="1:4">
      <c r="A12032">
        <v>7766</v>
      </c>
      <c r="B12032" t="s">
        <v>12390</v>
      </c>
      <c r="C12032" t="s">
        <v>429</v>
      </c>
      <c r="D12032" t="s">
        <v>26958</v>
      </c>
    </row>
    <row r="12033" spans="1:4">
      <c r="A12033">
        <v>7767</v>
      </c>
      <c r="B12033" t="s">
        <v>12391</v>
      </c>
      <c r="C12033" t="s">
        <v>429</v>
      </c>
      <c r="D12033" t="s">
        <v>26959</v>
      </c>
    </row>
    <row r="12034" spans="1:4">
      <c r="A12034">
        <v>7727</v>
      </c>
      <c r="B12034" t="s">
        <v>12392</v>
      </c>
      <c r="C12034" t="s">
        <v>429</v>
      </c>
      <c r="D12034" t="s">
        <v>26960</v>
      </c>
    </row>
    <row r="12035" spans="1:4">
      <c r="A12035">
        <v>7760</v>
      </c>
      <c r="B12035" t="s">
        <v>12393</v>
      </c>
      <c r="C12035" t="s">
        <v>429</v>
      </c>
      <c r="D12035" t="s">
        <v>26617</v>
      </c>
    </row>
    <row r="12036" spans="1:4">
      <c r="A12036">
        <v>7761</v>
      </c>
      <c r="B12036" t="s">
        <v>12394</v>
      </c>
      <c r="C12036" t="s">
        <v>429</v>
      </c>
      <c r="D12036" t="s">
        <v>19397</v>
      </c>
    </row>
    <row r="12037" spans="1:4">
      <c r="A12037">
        <v>7752</v>
      </c>
      <c r="B12037" t="s">
        <v>12395</v>
      </c>
      <c r="C12037" t="s">
        <v>429</v>
      </c>
      <c r="D12037" t="s">
        <v>26618</v>
      </c>
    </row>
    <row r="12038" spans="1:4">
      <c r="A12038">
        <v>7762</v>
      </c>
      <c r="B12038" t="s">
        <v>12396</v>
      </c>
      <c r="C12038" t="s">
        <v>429</v>
      </c>
      <c r="D12038" t="s">
        <v>26961</v>
      </c>
    </row>
    <row r="12039" spans="1:4">
      <c r="A12039">
        <v>7722</v>
      </c>
      <c r="B12039" t="s">
        <v>12397</v>
      </c>
      <c r="C12039" t="s">
        <v>429</v>
      </c>
      <c r="D12039" t="s">
        <v>26962</v>
      </c>
    </row>
    <row r="12040" spans="1:4">
      <c r="A12040">
        <v>7763</v>
      </c>
      <c r="B12040" t="s">
        <v>12398</v>
      </c>
      <c r="C12040" t="s">
        <v>429</v>
      </c>
      <c r="D12040" t="s">
        <v>25004</v>
      </c>
    </row>
    <row r="12041" spans="1:4">
      <c r="A12041">
        <v>7764</v>
      </c>
      <c r="B12041" t="s">
        <v>12399</v>
      </c>
      <c r="C12041" t="s">
        <v>429</v>
      </c>
      <c r="D12041" t="s">
        <v>26963</v>
      </c>
    </row>
    <row r="12042" spans="1:4">
      <c r="A12042">
        <v>12572</v>
      </c>
      <c r="B12042" t="s">
        <v>12400</v>
      </c>
      <c r="C12042" t="s">
        <v>429</v>
      </c>
      <c r="D12042" t="s">
        <v>26948</v>
      </c>
    </row>
    <row r="12043" spans="1:4">
      <c r="A12043">
        <v>12573</v>
      </c>
      <c r="B12043" t="s">
        <v>12401</v>
      </c>
      <c r="C12043" t="s">
        <v>429</v>
      </c>
      <c r="D12043" t="s">
        <v>26964</v>
      </c>
    </row>
    <row r="12044" spans="1:4">
      <c r="A12044">
        <v>12574</v>
      </c>
      <c r="B12044" t="s">
        <v>12402</v>
      </c>
      <c r="C12044" t="s">
        <v>429</v>
      </c>
      <c r="D12044" t="s">
        <v>26965</v>
      </c>
    </row>
    <row r="12045" spans="1:4">
      <c r="A12045">
        <v>12575</v>
      </c>
      <c r="B12045" t="s">
        <v>12403</v>
      </c>
      <c r="C12045" t="s">
        <v>429</v>
      </c>
      <c r="D12045" t="s">
        <v>26966</v>
      </c>
    </row>
    <row r="12046" spans="1:4">
      <c r="A12046">
        <v>12576</v>
      </c>
      <c r="B12046" t="s">
        <v>12404</v>
      </c>
      <c r="C12046" t="s">
        <v>429</v>
      </c>
      <c r="D12046" t="s">
        <v>25711</v>
      </c>
    </row>
    <row r="12047" spans="1:4">
      <c r="A12047">
        <v>12577</v>
      </c>
      <c r="B12047" t="s">
        <v>12405</v>
      </c>
      <c r="C12047" t="s">
        <v>429</v>
      </c>
      <c r="D12047" t="s">
        <v>26967</v>
      </c>
    </row>
    <row r="12048" spans="1:4">
      <c r="A12048">
        <v>12578</v>
      </c>
      <c r="B12048" t="s">
        <v>12406</v>
      </c>
      <c r="C12048" t="s">
        <v>429</v>
      </c>
      <c r="D12048" t="s">
        <v>26968</v>
      </c>
    </row>
    <row r="12049" spans="1:4">
      <c r="A12049">
        <v>12579</v>
      </c>
      <c r="B12049" t="s">
        <v>12407</v>
      </c>
      <c r="C12049" t="s">
        <v>429</v>
      </c>
      <c r="D12049" t="s">
        <v>26969</v>
      </c>
    </row>
    <row r="12050" spans="1:4">
      <c r="A12050">
        <v>12580</v>
      </c>
      <c r="B12050" t="s">
        <v>12408</v>
      </c>
      <c r="C12050" t="s">
        <v>429</v>
      </c>
      <c r="D12050" t="s">
        <v>26970</v>
      </c>
    </row>
    <row r="12051" spans="1:4">
      <c r="A12051">
        <v>12581</v>
      </c>
      <c r="B12051" t="s">
        <v>12409</v>
      </c>
      <c r="C12051" t="s">
        <v>429</v>
      </c>
      <c r="D12051" t="s">
        <v>26971</v>
      </c>
    </row>
    <row r="12052" spans="1:4">
      <c r="A12052">
        <v>7720</v>
      </c>
      <c r="B12052" t="s">
        <v>12410</v>
      </c>
      <c r="C12052" t="s">
        <v>429</v>
      </c>
      <c r="D12052" t="s">
        <v>26972</v>
      </c>
    </row>
    <row r="12053" spans="1:4">
      <c r="A12053">
        <v>40335</v>
      </c>
      <c r="B12053" t="s">
        <v>12411</v>
      </c>
      <c r="C12053" t="s">
        <v>429</v>
      </c>
      <c r="D12053" t="s">
        <v>26973</v>
      </c>
    </row>
    <row r="12054" spans="1:4">
      <c r="A12054">
        <v>7740</v>
      </c>
      <c r="B12054" t="s">
        <v>12412</v>
      </c>
      <c r="C12054" t="s">
        <v>429</v>
      </c>
      <c r="D12054" t="s">
        <v>26974</v>
      </c>
    </row>
    <row r="12055" spans="1:4">
      <c r="A12055">
        <v>7741</v>
      </c>
      <c r="B12055" t="s">
        <v>12413</v>
      </c>
      <c r="C12055" t="s">
        <v>429</v>
      </c>
      <c r="D12055" t="s">
        <v>26975</v>
      </c>
    </row>
    <row r="12056" spans="1:4">
      <c r="A12056">
        <v>7774</v>
      </c>
      <c r="B12056" t="s">
        <v>12414</v>
      </c>
      <c r="C12056" t="s">
        <v>429</v>
      </c>
      <c r="D12056" t="s">
        <v>26976</v>
      </c>
    </row>
    <row r="12057" spans="1:4">
      <c r="A12057">
        <v>7744</v>
      </c>
      <c r="B12057" t="s">
        <v>12415</v>
      </c>
      <c r="C12057" t="s">
        <v>429</v>
      </c>
      <c r="D12057" t="s">
        <v>26977</v>
      </c>
    </row>
    <row r="12058" spans="1:4">
      <c r="A12058">
        <v>7773</v>
      </c>
      <c r="B12058" t="s">
        <v>12416</v>
      </c>
      <c r="C12058" t="s">
        <v>429</v>
      </c>
      <c r="D12058" t="s">
        <v>26978</v>
      </c>
    </row>
    <row r="12059" spans="1:4">
      <c r="A12059">
        <v>7754</v>
      </c>
      <c r="B12059" t="s">
        <v>12417</v>
      </c>
      <c r="C12059" t="s">
        <v>429</v>
      </c>
      <c r="D12059" t="s">
        <v>26979</v>
      </c>
    </row>
    <row r="12060" spans="1:4">
      <c r="A12060">
        <v>7735</v>
      </c>
      <c r="B12060" t="s">
        <v>12418</v>
      </c>
      <c r="C12060" t="s">
        <v>429</v>
      </c>
      <c r="D12060" t="s">
        <v>26980</v>
      </c>
    </row>
    <row r="12061" spans="1:4">
      <c r="A12061">
        <v>7755</v>
      </c>
      <c r="B12061" t="s">
        <v>12419</v>
      </c>
      <c r="C12061" t="s">
        <v>429</v>
      </c>
      <c r="D12061" t="s">
        <v>26981</v>
      </c>
    </row>
    <row r="12062" spans="1:4">
      <c r="A12062">
        <v>7776</v>
      </c>
      <c r="B12062" t="s">
        <v>12420</v>
      </c>
      <c r="C12062" t="s">
        <v>429</v>
      </c>
      <c r="D12062" t="s">
        <v>26982</v>
      </c>
    </row>
    <row r="12063" spans="1:4">
      <c r="A12063">
        <v>7743</v>
      </c>
      <c r="B12063" t="s">
        <v>12421</v>
      </c>
      <c r="C12063" t="s">
        <v>429</v>
      </c>
      <c r="D12063" t="s">
        <v>26983</v>
      </c>
    </row>
    <row r="12064" spans="1:4">
      <c r="A12064">
        <v>7733</v>
      </c>
      <c r="B12064" t="s">
        <v>12422</v>
      </c>
      <c r="C12064" t="s">
        <v>429</v>
      </c>
      <c r="D12064" t="s">
        <v>26984</v>
      </c>
    </row>
    <row r="12065" spans="1:4">
      <c r="A12065">
        <v>7775</v>
      </c>
      <c r="B12065" t="s">
        <v>12423</v>
      </c>
      <c r="C12065" t="s">
        <v>429</v>
      </c>
      <c r="D12065" t="s">
        <v>26985</v>
      </c>
    </row>
    <row r="12066" spans="1:4">
      <c r="A12066">
        <v>7734</v>
      </c>
      <c r="B12066" t="s">
        <v>12424</v>
      </c>
      <c r="C12066" t="s">
        <v>429</v>
      </c>
      <c r="D12066" t="s">
        <v>26986</v>
      </c>
    </row>
    <row r="12067" spans="1:4">
      <c r="A12067">
        <v>37449</v>
      </c>
      <c r="B12067" t="s">
        <v>12425</v>
      </c>
      <c r="C12067" t="s">
        <v>429</v>
      </c>
      <c r="D12067" t="s">
        <v>26987</v>
      </c>
    </row>
    <row r="12068" spans="1:4">
      <c r="A12068">
        <v>37450</v>
      </c>
      <c r="B12068" t="s">
        <v>12426</v>
      </c>
      <c r="C12068" t="s">
        <v>429</v>
      </c>
      <c r="D12068" t="s">
        <v>26988</v>
      </c>
    </row>
    <row r="12069" spans="1:4">
      <c r="A12069">
        <v>37451</v>
      </c>
      <c r="B12069" t="s">
        <v>12427</v>
      </c>
      <c r="C12069" t="s">
        <v>429</v>
      </c>
      <c r="D12069" t="s">
        <v>22182</v>
      </c>
    </row>
    <row r="12070" spans="1:4">
      <c r="A12070">
        <v>37452</v>
      </c>
      <c r="B12070" t="s">
        <v>12428</v>
      </c>
      <c r="C12070" t="s">
        <v>429</v>
      </c>
      <c r="D12070" t="s">
        <v>22637</v>
      </c>
    </row>
    <row r="12071" spans="1:4">
      <c r="A12071">
        <v>37453</v>
      </c>
      <c r="B12071" t="s">
        <v>12429</v>
      </c>
      <c r="C12071" t="s">
        <v>429</v>
      </c>
      <c r="D12071" t="s">
        <v>26989</v>
      </c>
    </row>
    <row r="12072" spans="1:4">
      <c r="A12072">
        <v>7778</v>
      </c>
      <c r="B12072" t="s">
        <v>12430</v>
      </c>
      <c r="C12072" t="s">
        <v>429</v>
      </c>
      <c r="D12072" t="s">
        <v>26990</v>
      </c>
    </row>
    <row r="12073" spans="1:4">
      <c r="A12073">
        <v>7796</v>
      </c>
      <c r="B12073" t="s">
        <v>12431</v>
      </c>
      <c r="C12073" t="s">
        <v>429</v>
      </c>
      <c r="D12073" t="s">
        <v>26991</v>
      </c>
    </row>
    <row r="12074" spans="1:4">
      <c r="A12074">
        <v>7781</v>
      </c>
      <c r="B12074" t="s">
        <v>12432</v>
      </c>
      <c r="C12074" t="s">
        <v>429</v>
      </c>
      <c r="D12074" t="s">
        <v>20631</v>
      </c>
    </row>
    <row r="12075" spans="1:4">
      <c r="A12075">
        <v>7795</v>
      </c>
      <c r="B12075" t="s">
        <v>12433</v>
      </c>
      <c r="C12075" t="s">
        <v>429</v>
      </c>
      <c r="D12075" t="s">
        <v>26992</v>
      </c>
    </row>
    <row r="12076" spans="1:4">
      <c r="A12076">
        <v>7791</v>
      </c>
      <c r="B12076" t="s">
        <v>12434</v>
      </c>
      <c r="C12076" t="s">
        <v>429</v>
      </c>
      <c r="D12076" t="s">
        <v>26993</v>
      </c>
    </row>
    <row r="12077" spans="1:4">
      <c r="A12077">
        <v>7783</v>
      </c>
      <c r="B12077" t="s">
        <v>12435</v>
      </c>
      <c r="C12077" t="s">
        <v>429</v>
      </c>
      <c r="D12077" t="s">
        <v>26994</v>
      </c>
    </row>
    <row r="12078" spans="1:4">
      <c r="A12078">
        <v>7790</v>
      </c>
      <c r="B12078" t="s">
        <v>12436</v>
      </c>
      <c r="C12078" t="s">
        <v>429</v>
      </c>
      <c r="D12078" t="s">
        <v>26995</v>
      </c>
    </row>
    <row r="12079" spans="1:4">
      <c r="A12079">
        <v>7785</v>
      </c>
      <c r="B12079" t="s">
        <v>12437</v>
      </c>
      <c r="C12079" t="s">
        <v>429</v>
      </c>
      <c r="D12079" t="s">
        <v>26996</v>
      </c>
    </row>
    <row r="12080" spans="1:4">
      <c r="A12080">
        <v>7792</v>
      </c>
      <c r="B12080" t="s">
        <v>12438</v>
      </c>
      <c r="C12080" t="s">
        <v>429</v>
      </c>
      <c r="D12080" t="s">
        <v>26997</v>
      </c>
    </row>
    <row r="12081" spans="1:4">
      <c r="A12081">
        <v>7793</v>
      </c>
      <c r="B12081" t="s">
        <v>12439</v>
      </c>
      <c r="C12081" t="s">
        <v>429</v>
      </c>
      <c r="D12081" t="s">
        <v>26998</v>
      </c>
    </row>
    <row r="12082" spans="1:4">
      <c r="A12082">
        <v>13159</v>
      </c>
      <c r="B12082" t="s">
        <v>12440</v>
      </c>
      <c r="C12082" t="s">
        <v>429</v>
      </c>
      <c r="D12082" t="s">
        <v>26999</v>
      </c>
    </row>
    <row r="12083" spans="1:4">
      <c r="A12083">
        <v>13168</v>
      </c>
      <c r="B12083" t="s">
        <v>12441</v>
      </c>
      <c r="C12083" t="s">
        <v>429</v>
      </c>
      <c r="D12083" t="s">
        <v>27000</v>
      </c>
    </row>
    <row r="12084" spans="1:4">
      <c r="A12084">
        <v>13173</v>
      </c>
      <c r="B12084" t="s">
        <v>12442</v>
      </c>
      <c r="C12084" t="s">
        <v>429</v>
      </c>
      <c r="D12084" t="s">
        <v>26041</v>
      </c>
    </row>
    <row r="12085" spans="1:4">
      <c r="A12085">
        <v>12583</v>
      </c>
      <c r="B12085" t="s">
        <v>12443</v>
      </c>
      <c r="C12085" t="s">
        <v>429</v>
      </c>
      <c r="D12085" t="s">
        <v>17400</v>
      </c>
    </row>
    <row r="12086" spans="1:4">
      <c r="A12086">
        <v>12584</v>
      </c>
      <c r="B12086" t="s">
        <v>12444</v>
      </c>
      <c r="C12086" t="s">
        <v>429</v>
      </c>
      <c r="D12086" t="s">
        <v>27001</v>
      </c>
    </row>
    <row r="12087" spans="1:4">
      <c r="A12087">
        <v>12613</v>
      </c>
      <c r="B12087" t="s">
        <v>12445</v>
      </c>
      <c r="C12087" t="s">
        <v>427</v>
      </c>
      <c r="D12087" t="s">
        <v>27002</v>
      </c>
    </row>
    <row r="12088" spans="1:4">
      <c r="A12088">
        <v>1031</v>
      </c>
      <c r="B12088" t="s">
        <v>12446</v>
      </c>
      <c r="C12088" t="s">
        <v>427</v>
      </c>
      <c r="D12088" t="s">
        <v>27003</v>
      </c>
    </row>
    <row r="12089" spans="1:4">
      <c r="A12089">
        <v>39707</v>
      </c>
      <c r="B12089" t="s">
        <v>12447</v>
      </c>
      <c r="C12089" t="s">
        <v>429</v>
      </c>
      <c r="D12089" t="s">
        <v>15705</v>
      </c>
    </row>
    <row r="12090" spans="1:4">
      <c r="A12090">
        <v>39708</v>
      </c>
      <c r="B12090" t="s">
        <v>12448</v>
      </c>
      <c r="C12090" t="s">
        <v>429</v>
      </c>
      <c r="D12090" t="s">
        <v>20563</v>
      </c>
    </row>
    <row r="12091" spans="1:4">
      <c r="A12091">
        <v>39710</v>
      </c>
      <c r="B12091" t="s">
        <v>12449</v>
      </c>
      <c r="C12091" t="s">
        <v>429</v>
      </c>
      <c r="D12091" t="s">
        <v>20088</v>
      </c>
    </row>
    <row r="12092" spans="1:4">
      <c r="A12092">
        <v>39709</v>
      </c>
      <c r="B12092" t="s">
        <v>12450</v>
      </c>
      <c r="C12092" t="s">
        <v>429</v>
      </c>
      <c r="D12092" t="s">
        <v>15663</v>
      </c>
    </row>
    <row r="12093" spans="1:4">
      <c r="A12093">
        <v>39711</v>
      </c>
      <c r="B12093" t="s">
        <v>12451</v>
      </c>
      <c r="C12093" t="s">
        <v>429</v>
      </c>
      <c r="D12093" t="s">
        <v>15587</v>
      </c>
    </row>
    <row r="12094" spans="1:4">
      <c r="A12094">
        <v>39712</v>
      </c>
      <c r="B12094" t="s">
        <v>12452</v>
      </c>
      <c r="C12094" t="s">
        <v>429</v>
      </c>
      <c r="D12094" t="s">
        <v>24970</v>
      </c>
    </row>
    <row r="12095" spans="1:4">
      <c r="A12095">
        <v>39713</v>
      </c>
      <c r="B12095" t="s">
        <v>12453</v>
      </c>
      <c r="C12095" t="s">
        <v>429</v>
      </c>
      <c r="D12095" t="s">
        <v>15468</v>
      </c>
    </row>
    <row r="12096" spans="1:4">
      <c r="A12096">
        <v>39714</v>
      </c>
      <c r="B12096" t="s">
        <v>12454</v>
      </c>
      <c r="C12096" t="s">
        <v>429</v>
      </c>
      <c r="D12096" t="s">
        <v>23549</v>
      </c>
    </row>
    <row r="12097" spans="1:4">
      <c r="A12097">
        <v>39715</v>
      </c>
      <c r="B12097" t="s">
        <v>12455</v>
      </c>
      <c r="C12097" t="s">
        <v>429</v>
      </c>
      <c r="D12097" t="s">
        <v>20072</v>
      </c>
    </row>
    <row r="12098" spans="1:4">
      <c r="A12098">
        <v>39716</v>
      </c>
      <c r="B12098" t="s">
        <v>12456</v>
      </c>
      <c r="C12098" t="s">
        <v>429</v>
      </c>
      <c r="D12098" t="s">
        <v>25259</v>
      </c>
    </row>
    <row r="12099" spans="1:4">
      <c r="A12099">
        <v>39718</v>
      </c>
      <c r="B12099" t="s">
        <v>12457</v>
      </c>
      <c r="C12099" t="s">
        <v>429</v>
      </c>
      <c r="D12099" t="s">
        <v>15386</v>
      </c>
    </row>
    <row r="12100" spans="1:4">
      <c r="A12100">
        <v>9813</v>
      </c>
      <c r="B12100" t="s">
        <v>12458</v>
      </c>
      <c r="C12100" t="s">
        <v>429</v>
      </c>
      <c r="D12100" t="s">
        <v>15582</v>
      </c>
    </row>
    <row r="12101" spans="1:4">
      <c r="A12101">
        <v>9815</v>
      </c>
      <c r="B12101" t="s">
        <v>12459</v>
      </c>
      <c r="C12101" t="s">
        <v>429</v>
      </c>
      <c r="D12101" t="s">
        <v>16909</v>
      </c>
    </row>
    <row r="12102" spans="1:4">
      <c r="A12102">
        <v>44543</v>
      </c>
      <c r="B12102" t="s">
        <v>13569</v>
      </c>
      <c r="C12102" t="s">
        <v>429</v>
      </c>
      <c r="D12102" t="s">
        <v>27004</v>
      </c>
    </row>
    <row r="12103" spans="1:4">
      <c r="A12103">
        <v>44526</v>
      </c>
      <c r="B12103" t="s">
        <v>13570</v>
      </c>
      <c r="C12103" t="s">
        <v>429</v>
      </c>
      <c r="D12103" t="s">
        <v>27005</v>
      </c>
    </row>
    <row r="12104" spans="1:4">
      <c r="A12104">
        <v>44518</v>
      </c>
      <c r="B12104" t="s">
        <v>13571</v>
      </c>
      <c r="C12104" t="s">
        <v>429</v>
      </c>
      <c r="D12104" t="s">
        <v>27006</v>
      </c>
    </row>
    <row r="12105" spans="1:4">
      <c r="A12105">
        <v>44544</v>
      </c>
      <c r="B12105" t="s">
        <v>13572</v>
      </c>
      <c r="C12105" t="s">
        <v>429</v>
      </c>
      <c r="D12105" t="s">
        <v>27007</v>
      </c>
    </row>
    <row r="12106" spans="1:4">
      <c r="A12106">
        <v>44545</v>
      </c>
      <c r="B12106" t="s">
        <v>13573</v>
      </c>
      <c r="C12106" t="s">
        <v>429</v>
      </c>
      <c r="D12106" t="s">
        <v>27008</v>
      </c>
    </row>
    <row r="12107" spans="1:4">
      <c r="A12107">
        <v>44546</v>
      </c>
      <c r="B12107" t="s">
        <v>13574</v>
      </c>
      <c r="C12107" t="s">
        <v>429</v>
      </c>
      <c r="D12107" t="s">
        <v>27009</v>
      </c>
    </row>
    <row r="12108" spans="1:4">
      <c r="A12108">
        <v>44525</v>
      </c>
      <c r="B12108" t="s">
        <v>13575</v>
      </c>
      <c r="C12108" t="s">
        <v>429</v>
      </c>
      <c r="D12108" t="s">
        <v>27010</v>
      </c>
    </row>
    <row r="12109" spans="1:4">
      <c r="A12109">
        <v>44547</v>
      </c>
      <c r="B12109" t="s">
        <v>13576</v>
      </c>
      <c r="C12109" t="s">
        <v>429</v>
      </c>
      <c r="D12109" t="s">
        <v>27011</v>
      </c>
    </row>
    <row r="12110" spans="1:4">
      <c r="A12110">
        <v>44519</v>
      </c>
      <c r="B12110" t="s">
        <v>13577</v>
      </c>
      <c r="C12110" t="s">
        <v>429</v>
      </c>
      <c r="D12110" t="s">
        <v>27012</v>
      </c>
    </row>
    <row r="12111" spans="1:4">
      <c r="A12111">
        <v>44520</v>
      </c>
      <c r="B12111" t="s">
        <v>13578</v>
      </c>
      <c r="C12111" t="s">
        <v>429</v>
      </c>
      <c r="D12111" t="s">
        <v>27013</v>
      </c>
    </row>
    <row r="12112" spans="1:4">
      <c r="A12112">
        <v>44521</v>
      </c>
      <c r="B12112" t="s">
        <v>13579</v>
      </c>
      <c r="C12112" t="s">
        <v>429</v>
      </c>
      <c r="D12112" t="s">
        <v>27014</v>
      </c>
    </row>
    <row r="12113" spans="1:4">
      <c r="A12113">
        <v>44522</v>
      </c>
      <c r="B12113" t="s">
        <v>13580</v>
      </c>
      <c r="C12113" t="s">
        <v>429</v>
      </c>
      <c r="D12113" t="s">
        <v>27015</v>
      </c>
    </row>
    <row r="12114" spans="1:4">
      <c r="A12114">
        <v>44523</v>
      </c>
      <c r="B12114" t="s">
        <v>13581</v>
      </c>
      <c r="C12114" t="s">
        <v>429</v>
      </c>
      <c r="D12114" t="s">
        <v>27016</v>
      </c>
    </row>
    <row r="12115" spans="1:4">
      <c r="A12115">
        <v>44527</v>
      </c>
      <c r="B12115" t="s">
        <v>13582</v>
      </c>
      <c r="C12115" t="s">
        <v>429</v>
      </c>
      <c r="D12115" t="s">
        <v>27017</v>
      </c>
    </row>
    <row r="12116" spans="1:4">
      <c r="A12116">
        <v>44524</v>
      </c>
      <c r="B12116" t="s">
        <v>13583</v>
      </c>
      <c r="C12116" t="s">
        <v>429</v>
      </c>
      <c r="D12116" t="s">
        <v>27018</v>
      </c>
    </row>
    <row r="12117" spans="1:4">
      <c r="A12117">
        <v>44542</v>
      </c>
      <c r="B12117" t="s">
        <v>13584</v>
      </c>
      <c r="C12117" t="s">
        <v>429</v>
      </c>
      <c r="D12117" t="s">
        <v>27019</v>
      </c>
    </row>
    <row r="12118" spans="1:4">
      <c r="A12118">
        <v>9876</v>
      </c>
      <c r="B12118" t="s">
        <v>12460</v>
      </c>
      <c r="C12118" t="s">
        <v>429</v>
      </c>
      <c r="D12118" t="s">
        <v>26108</v>
      </c>
    </row>
    <row r="12119" spans="1:4">
      <c r="A12119">
        <v>9877</v>
      </c>
      <c r="B12119" t="s">
        <v>12461</v>
      </c>
      <c r="C12119" t="s">
        <v>429</v>
      </c>
      <c r="D12119" t="s">
        <v>27020</v>
      </c>
    </row>
    <row r="12120" spans="1:4">
      <c r="A12120">
        <v>9878</v>
      </c>
      <c r="B12120" t="s">
        <v>12462</v>
      </c>
      <c r="C12120" t="s">
        <v>429</v>
      </c>
      <c r="D12120" t="s">
        <v>27021</v>
      </c>
    </row>
    <row r="12121" spans="1:4">
      <c r="A12121">
        <v>9879</v>
      </c>
      <c r="B12121" t="s">
        <v>12463</v>
      </c>
      <c r="C12121" t="s">
        <v>429</v>
      </c>
      <c r="D12121" t="s">
        <v>27022</v>
      </c>
    </row>
    <row r="12122" spans="1:4">
      <c r="A12122">
        <v>41986</v>
      </c>
      <c r="B12122" t="s">
        <v>12464</v>
      </c>
      <c r="C12122" t="s">
        <v>429</v>
      </c>
      <c r="D12122" t="s">
        <v>27023</v>
      </c>
    </row>
    <row r="12123" spans="1:4">
      <c r="A12123">
        <v>43422</v>
      </c>
      <c r="B12123" t="s">
        <v>12465</v>
      </c>
      <c r="C12123" t="s">
        <v>429</v>
      </c>
      <c r="D12123" t="s">
        <v>27024</v>
      </c>
    </row>
    <row r="12124" spans="1:4">
      <c r="A12124">
        <v>41987</v>
      </c>
      <c r="B12124" t="s">
        <v>12466</v>
      </c>
      <c r="C12124" t="s">
        <v>429</v>
      </c>
      <c r="D12124" t="s">
        <v>27025</v>
      </c>
    </row>
    <row r="12125" spans="1:4">
      <c r="A12125">
        <v>41988</v>
      </c>
      <c r="B12125" t="s">
        <v>12467</v>
      </c>
      <c r="C12125" t="s">
        <v>429</v>
      </c>
      <c r="D12125" t="s">
        <v>27026</v>
      </c>
    </row>
    <row r="12126" spans="1:4">
      <c r="A12126">
        <v>41697</v>
      </c>
      <c r="B12126" t="s">
        <v>12468</v>
      </c>
      <c r="C12126" t="s">
        <v>429</v>
      </c>
      <c r="D12126" t="s">
        <v>27027</v>
      </c>
    </row>
    <row r="12127" spans="1:4">
      <c r="A12127">
        <v>41985</v>
      </c>
      <c r="B12127" t="s">
        <v>12469</v>
      </c>
      <c r="C12127" t="s">
        <v>429</v>
      </c>
      <c r="D12127" t="s">
        <v>27028</v>
      </c>
    </row>
    <row r="12128" spans="1:4">
      <c r="A12128">
        <v>41699</v>
      </c>
      <c r="B12128" t="s">
        <v>12470</v>
      </c>
      <c r="C12128" t="s">
        <v>429</v>
      </c>
      <c r="D12128" t="s">
        <v>27029</v>
      </c>
    </row>
    <row r="12129" spans="1:4">
      <c r="A12129">
        <v>38053</v>
      </c>
      <c r="B12129" t="s">
        <v>12471</v>
      </c>
      <c r="C12129" t="s">
        <v>429</v>
      </c>
      <c r="D12129" t="s">
        <v>25811</v>
      </c>
    </row>
    <row r="12130" spans="1:4">
      <c r="A12130">
        <v>38054</v>
      </c>
      <c r="B12130" t="s">
        <v>12472</v>
      </c>
      <c r="C12130" t="s">
        <v>429</v>
      </c>
      <c r="D12130" t="s">
        <v>18442</v>
      </c>
    </row>
    <row r="12131" spans="1:4">
      <c r="A12131">
        <v>38052</v>
      </c>
      <c r="B12131" t="s">
        <v>12473</v>
      </c>
      <c r="C12131" t="s">
        <v>429</v>
      </c>
      <c r="D12131" t="s">
        <v>25243</v>
      </c>
    </row>
    <row r="12132" spans="1:4">
      <c r="A12132">
        <v>38051</v>
      </c>
      <c r="B12132" t="s">
        <v>12474</v>
      </c>
      <c r="C12132" t="s">
        <v>429</v>
      </c>
      <c r="D12132" t="s">
        <v>14738</v>
      </c>
    </row>
    <row r="12133" spans="1:4">
      <c r="A12133">
        <v>38787</v>
      </c>
      <c r="B12133" t="s">
        <v>12475</v>
      </c>
      <c r="C12133" t="s">
        <v>429</v>
      </c>
      <c r="D12133" t="s">
        <v>17211</v>
      </c>
    </row>
    <row r="12134" spans="1:4">
      <c r="A12134">
        <v>38825</v>
      </c>
      <c r="B12134" t="s">
        <v>12476</v>
      </c>
      <c r="C12134" t="s">
        <v>429</v>
      </c>
      <c r="D12134" t="s">
        <v>23147</v>
      </c>
    </row>
    <row r="12135" spans="1:4">
      <c r="A12135">
        <v>38826</v>
      </c>
      <c r="B12135" t="s">
        <v>12477</v>
      </c>
      <c r="C12135" t="s">
        <v>429</v>
      </c>
      <c r="D12135" t="s">
        <v>15717</v>
      </c>
    </row>
    <row r="12136" spans="1:4">
      <c r="A12136">
        <v>38827</v>
      </c>
      <c r="B12136" t="s">
        <v>12478</v>
      </c>
      <c r="C12136" t="s">
        <v>429</v>
      </c>
      <c r="D12136" t="s">
        <v>15566</v>
      </c>
    </row>
    <row r="12137" spans="1:4">
      <c r="A12137">
        <v>38830</v>
      </c>
      <c r="B12137" t="s">
        <v>12479</v>
      </c>
      <c r="C12137" t="s">
        <v>429</v>
      </c>
      <c r="D12137" t="s">
        <v>24625</v>
      </c>
    </row>
    <row r="12138" spans="1:4">
      <c r="A12138">
        <v>38828</v>
      </c>
      <c r="B12138" t="s">
        <v>12480</v>
      </c>
      <c r="C12138" t="s">
        <v>429</v>
      </c>
      <c r="D12138" t="s">
        <v>20509</v>
      </c>
    </row>
    <row r="12139" spans="1:4">
      <c r="A12139">
        <v>38829</v>
      </c>
      <c r="B12139" t="s">
        <v>12481</v>
      </c>
      <c r="C12139" t="s">
        <v>429</v>
      </c>
      <c r="D12139" t="s">
        <v>26002</v>
      </c>
    </row>
    <row r="12140" spans="1:4">
      <c r="A12140">
        <v>38831</v>
      </c>
      <c r="B12140" t="s">
        <v>12482</v>
      </c>
      <c r="C12140" t="s">
        <v>429</v>
      </c>
      <c r="D12140" t="s">
        <v>27030</v>
      </c>
    </row>
    <row r="12141" spans="1:4">
      <c r="A12141">
        <v>36274</v>
      </c>
      <c r="B12141" t="s">
        <v>12483</v>
      </c>
      <c r="C12141" t="s">
        <v>429</v>
      </c>
      <c r="D12141" t="s">
        <v>27031</v>
      </c>
    </row>
    <row r="12142" spans="1:4">
      <c r="A12142">
        <v>36278</v>
      </c>
      <c r="B12142" t="s">
        <v>12484</v>
      </c>
      <c r="C12142" t="s">
        <v>429</v>
      </c>
      <c r="D12142" t="s">
        <v>22055</v>
      </c>
    </row>
    <row r="12143" spans="1:4">
      <c r="A12143">
        <v>38977</v>
      </c>
      <c r="B12143" t="s">
        <v>12485</v>
      </c>
      <c r="C12143" t="s">
        <v>429</v>
      </c>
      <c r="D12143" t="s">
        <v>27032</v>
      </c>
    </row>
    <row r="12144" spans="1:4">
      <c r="A12144">
        <v>38971</v>
      </c>
      <c r="B12144" t="s">
        <v>12486</v>
      </c>
      <c r="C12144" t="s">
        <v>429</v>
      </c>
      <c r="D12144" t="s">
        <v>20185</v>
      </c>
    </row>
    <row r="12145" spans="1:4">
      <c r="A12145">
        <v>38972</v>
      </c>
      <c r="B12145" t="s">
        <v>12487</v>
      </c>
      <c r="C12145" t="s">
        <v>429</v>
      </c>
      <c r="D12145" t="s">
        <v>17930</v>
      </c>
    </row>
    <row r="12146" spans="1:4">
      <c r="A12146">
        <v>38973</v>
      </c>
      <c r="B12146" t="s">
        <v>12488</v>
      </c>
      <c r="C12146" t="s">
        <v>429</v>
      </c>
      <c r="D12146" t="s">
        <v>27033</v>
      </c>
    </row>
    <row r="12147" spans="1:4">
      <c r="A12147">
        <v>38974</v>
      </c>
      <c r="B12147" t="s">
        <v>12489</v>
      </c>
      <c r="C12147" t="s">
        <v>429</v>
      </c>
      <c r="D12147" t="s">
        <v>27034</v>
      </c>
    </row>
    <row r="12148" spans="1:4">
      <c r="A12148">
        <v>38975</v>
      </c>
      <c r="B12148" t="s">
        <v>12490</v>
      </c>
      <c r="C12148" t="s">
        <v>429</v>
      </c>
      <c r="D12148" t="s">
        <v>16705</v>
      </c>
    </row>
    <row r="12149" spans="1:4">
      <c r="A12149">
        <v>38976</v>
      </c>
      <c r="B12149" t="s">
        <v>12491</v>
      </c>
      <c r="C12149" t="s">
        <v>429</v>
      </c>
      <c r="D12149" t="s">
        <v>27035</v>
      </c>
    </row>
    <row r="12150" spans="1:4">
      <c r="A12150">
        <v>38986</v>
      </c>
      <c r="B12150" t="s">
        <v>12492</v>
      </c>
      <c r="C12150" t="s">
        <v>429</v>
      </c>
      <c r="D12150" t="s">
        <v>27036</v>
      </c>
    </row>
    <row r="12151" spans="1:4">
      <c r="A12151">
        <v>38978</v>
      </c>
      <c r="B12151" t="s">
        <v>12493</v>
      </c>
      <c r="C12151" t="s">
        <v>429</v>
      </c>
      <c r="D12151" t="s">
        <v>27031</v>
      </c>
    </row>
    <row r="12152" spans="1:4">
      <c r="A12152">
        <v>38979</v>
      </c>
      <c r="B12152" t="s">
        <v>12494</v>
      </c>
      <c r="C12152" t="s">
        <v>429</v>
      </c>
      <c r="D12152" t="s">
        <v>22055</v>
      </c>
    </row>
    <row r="12153" spans="1:4">
      <c r="A12153">
        <v>38980</v>
      </c>
      <c r="B12153" t="s">
        <v>12495</v>
      </c>
      <c r="C12153" t="s">
        <v>429</v>
      </c>
      <c r="D12153" t="s">
        <v>17331</v>
      </c>
    </row>
    <row r="12154" spans="1:4">
      <c r="A12154">
        <v>38981</v>
      </c>
      <c r="B12154" t="s">
        <v>12496</v>
      </c>
      <c r="C12154" t="s">
        <v>429</v>
      </c>
      <c r="D12154" t="s">
        <v>27037</v>
      </c>
    </row>
    <row r="12155" spans="1:4">
      <c r="A12155">
        <v>38982</v>
      </c>
      <c r="B12155" t="s">
        <v>12497</v>
      </c>
      <c r="C12155" t="s">
        <v>429</v>
      </c>
      <c r="D12155" t="s">
        <v>18594</v>
      </c>
    </row>
    <row r="12156" spans="1:4">
      <c r="A12156">
        <v>38983</v>
      </c>
      <c r="B12156" t="s">
        <v>12498</v>
      </c>
      <c r="C12156" t="s">
        <v>429</v>
      </c>
      <c r="D12156" t="s">
        <v>27038</v>
      </c>
    </row>
    <row r="12157" spans="1:4">
      <c r="A12157">
        <v>38984</v>
      </c>
      <c r="B12157" t="s">
        <v>12499</v>
      </c>
      <c r="C12157" t="s">
        <v>429</v>
      </c>
      <c r="D12157" t="s">
        <v>27039</v>
      </c>
    </row>
    <row r="12158" spans="1:4">
      <c r="A12158">
        <v>38985</v>
      </c>
      <c r="B12158" t="s">
        <v>12500</v>
      </c>
      <c r="C12158" t="s">
        <v>429</v>
      </c>
      <c r="D12158" t="s">
        <v>27040</v>
      </c>
    </row>
    <row r="12159" spans="1:4">
      <c r="A12159">
        <v>9836</v>
      </c>
      <c r="B12159" t="s">
        <v>12501</v>
      </c>
      <c r="C12159" t="s">
        <v>429</v>
      </c>
      <c r="D12159" t="s">
        <v>18410</v>
      </c>
    </row>
    <row r="12160" spans="1:4">
      <c r="A12160">
        <v>20065</v>
      </c>
      <c r="B12160" t="s">
        <v>12502</v>
      </c>
      <c r="C12160" t="s">
        <v>429</v>
      </c>
      <c r="D12160" t="s">
        <v>25166</v>
      </c>
    </row>
    <row r="12161" spans="1:4">
      <c r="A12161">
        <v>9835</v>
      </c>
      <c r="B12161" t="s">
        <v>12503</v>
      </c>
      <c r="C12161" t="s">
        <v>429</v>
      </c>
      <c r="D12161" t="s">
        <v>20099</v>
      </c>
    </row>
    <row r="12162" spans="1:4">
      <c r="A12162">
        <v>38032</v>
      </c>
      <c r="B12162" t="s">
        <v>12504</v>
      </c>
      <c r="C12162" t="s">
        <v>429</v>
      </c>
      <c r="D12162" t="s">
        <v>27041</v>
      </c>
    </row>
    <row r="12163" spans="1:4">
      <c r="A12163">
        <v>38033</v>
      </c>
      <c r="B12163" t="s">
        <v>12505</v>
      </c>
      <c r="C12163" t="s">
        <v>429</v>
      </c>
      <c r="D12163" t="s">
        <v>25965</v>
      </c>
    </row>
    <row r="12164" spans="1:4">
      <c r="A12164">
        <v>38034</v>
      </c>
      <c r="B12164" t="s">
        <v>12506</v>
      </c>
      <c r="C12164" t="s">
        <v>429</v>
      </c>
      <c r="D12164" t="s">
        <v>27042</v>
      </c>
    </row>
    <row r="12165" spans="1:4">
      <c r="A12165">
        <v>38035</v>
      </c>
      <c r="B12165" t="s">
        <v>12507</v>
      </c>
      <c r="C12165" t="s">
        <v>429</v>
      </c>
      <c r="D12165" t="s">
        <v>24965</v>
      </c>
    </row>
    <row r="12166" spans="1:4">
      <c r="A12166">
        <v>38036</v>
      </c>
      <c r="B12166" t="s">
        <v>12508</v>
      </c>
      <c r="C12166" t="s">
        <v>429</v>
      </c>
      <c r="D12166" t="s">
        <v>27043</v>
      </c>
    </row>
    <row r="12167" spans="1:4">
      <c r="A12167">
        <v>38037</v>
      </c>
      <c r="B12167" t="s">
        <v>12509</v>
      </c>
      <c r="C12167" t="s">
        <v>429</v>
      </c>
      <c r="D12167" t="s">
        <v>27044</v>
      </c>
    </row>
    <row r="12168" spans="1:4">
      <c r="A12168">
        <v>9850</v>
      </c>
      <c r="B12168" t="s">
        <v>12510</v>
      </c>
      <c r="C12168" t="s">
        <v>429</v>
      </c>
      <c r="D12168" t="s">
        <v>27045</v>
      </c>
    </row>
    <row r="12169" spans="1:4">
      <c r="A12169">
        <v>9853</v>
      </c>
      <c r="B12169" t="s">
        <v>12511</v>
      </c>
      <c r="C12169" t="s">
        <v>429</v>
      </c>
      <c r="D12169" t="s">
        <v>27046</v>
      </c>
    </row>
    <row r="12170" spans="1:4">
      <c r="A12170">
        <v>9854</v>
      </c>
      <c r="B12170" t="s">
        <v>12512</v>
      </c>
      <c r="C12170" t="s">
        <v>429</v>
      </c>
      <c r="D12170" t="s">
        <v>21043</v>
      </c>
    </row>
    <row r="12171" spans="1:4">
      <c r="A12171">
        <v>9851</v>
      </c>
      <c r="B12171" t="s">
        <v>12513</v>
      </c>
      <c r="C12171" t="s">
        <v>429</v>
      </c>
      <c r="D12171" t="s">
        <v>27047</v>
      </c>
    </row>
    <row r="12172" spans="1:4">
      <c r="A12172">
        <v>9855</v>
      </c>
      <c r="B12172" t="s">
        <v>12514</v>
      </c>
      <c r="C12172" t="s">
        <v>429</v>
      </c>
      <c r="D12172" t="s">
        <v>27048</v>
      </c>
    </row>
    <row r="12173" spans="1:4">
      <c r="A12173">
        <v>9825</v>
      </c>
      <c r="B12173" t="s">
        <v>12515</v>
      </c>
      <c r="C12173" t="s">
        <v>429</v>
      </c>
      <c r="D12173" t="s">
        <v>20964</v>
      </c>
    </row>
    <row r="12174" spans="1:4">
      <c r="A12174">
        <v>9828</v>
      </c>
      <c r="B12174" t="s">
        <v>12516</v>
      </c>
      <c r="C12174" t="s">
        <v>429</v>
      </c>
      <c r="D12174" t="s">
        <v>27049</v>
      </c>
    </row>
    <row r="12175" spans="1:4">
      <c r="A12175">
        <v>9829</v>
      </c>
      <c r="B12175" t="s">
        <v>12517</v>
      </c>
      <c r="C12175" t="s">
        <v>429</v>
      </c>
      <c r="D12175" t="s">
        <v>27050</v>
      </c>
    </row>
    <row r="12176" spans="1:4">
      <c r="A12176">
        <v>9826</v>
      </c>
      <c r="B12176" t="s">
        <v>12518</v>
      </c>
      <c r="C12176" t="s">
        <v>429</v>
      </c>
      <c r="D12176" t="s">
        <v>27051</v>
      </c>
    </row>
    <row r="12177" spans="1:4">
      <c r="A12177">
        <v>9827</v>
      </c>
      <c r="B12177" t="s">
        <v>12519</v>
      </c>
      <c r="C12177" t="s">
        <v>429</v>
      </c>
      <c r="D12177" t="s">
        <v>27052</v>
      </c>
    </row>
    <row r="12178" spans="1:4">
      <c r="A12178">
        <v>36374</v>
      </c>
      <c r="B12178" t="s">
        <v>12520</v>
      </c>
      <c r="C12178" t="s">
        <v>429</v>
      </c>
      <c r="D12178" t="s">
        <v>27053</v>
      </c>
    </row>
    <row r="12179" spans="1:4">
      <c r="A12179">
        <v>36084</v>
      </c>
      <c r="B12179" t="s">
        <v>12521</v>
      </c>
      <c r="C12179" t="s">
        <v>429</v>
      </c>
      <c r="D12179" t="s">
        <v>19457</v>
      </c>
    </row>
    <row r="12180" spans="1:4">
      <c r="A12180">
        <v>36373</v>
      </c>
      <c r="B12180" t="s">
        <v>12522</v>
      </c>
      <c r="C12180" t="s">
        <v>429</v>
      </c>
      <c r="D12180" t="s">
        <v>19808</v>
      </c>
    </row>
    <row r="12181" spans="1:4">
      <c r="A12181">
        <v>36377</v>
      </c>
      <c r="B12181" t="s">
        <v>12523</v>
      </c>
      <c r="C12181" t="s">
        <v>429</v>
      </c>
      <c r="D12181" t="s">
        <v>27054</v>
      </c>
    </row>
    <row r="12182" spans="1:4">
      <c r="A12182">
        <v>36375</v>
      </c>
      <c r="B12182" t="s">
        <v>12524</v>
      </c>
      <c r="C12182" t="s">
        <v>429</v>
      </c>
      <c r="D12182" t="s">
        <v>16664</v>
      </c>
    </row>
    <row r="12183" spans="1:4">
      <c r="A12183">
        <v>36376</v>
      </c>
      <c r="B12183" t="s">
        <v>12525</v>
      </c>
      <c r="C12183" t="s">
        <v>429</v>
      </c>
      <c r="D12183" t="s">
        <v>20966</v>
      </c>
    </row>
    <row r="12184" spans="1:4">
      <c r="A12184">
        <v>36380</v>
      </c>
      <c r="B12184" t="s">
        <v>12526</v>
      </c>
      <c r="C12184" t="s">
        <v>429</v>
      </c>
      <c r="D12184" t="s">
        <v>27055</v>
      </c>
    </row>
    <row r="12185" spans="1:4">
      <c r="A12185">
        <v>36378</v>
      </c>
      <c r="B12185" t="s">
        <v>12527</v>
      </c>
      <c r="C12185" t="s">
        <v>429</v>
      </c>
      <c r="D12185" t="s">
        <v>27056</v>
      </c>
    </row>
    <row r="12186" spans="1:4">
      <c r="A12186">
        <v>36379</v>
      </c>
      <c r="B12186" t="s">
        <v>12528</v>
      </c>
      <c r="C12186" t="s">
        <v>429</v>
      </c>
      <c r="D12186" t="s">
        <v>27057</v>
      </c>
    </row>
    <row r="12187" spans="1:4">
      <c r="A12187">
        <v>9859</v>
      </c>
      <c r="B12187" t="s">
        <v>12529</v>
      </c>
      <c r="C12187" t="s">
        <v>429</v>
      </c>
      <c r="D12187" t="s">
        <v>16959</v>
      </c>
    </row>
    <row r="12188" spans="1:4">
      <c r="A12188">
        <v>9838</v>
      </c>
      <c r="B12188" t="s">
        <v>12530</v>
      </c>
      <c r="C12188" t="s">
        <v>429</v>
      </c>
      <c r="D12188" t="s">
        <v>17955</v>
      </c>
    </row>
    <row r="12189" spans="1:4">
      <c r="A12189">
        <v>9837</v>
      </c>
      <c r="B12189" t="s">
        <v>12531</v>
      </c>
      <c r="C12189" t="s">
        <v>429</v>
      </c>
      <c r="D12189" t="s">
        <v>20362</v>
      </c>
    </row>
    <row r="12190" spans="1:4">
      <c r="A12190">
        <v>9833</v>
      </c>
      <c r="B12190" t="s">
        <v>12532</v>
      </c>
      <c r="C12190" t="s">
        <v>429</v>
      </c>
      <c r="D12190" t="s">
        <v>17294</v>
      </c>
    </row>
    <row r="12191" spans="1:4">
      <c r="A12191">
        <v>9830</v>
      </c>
      <c r="B12191" t="s">
        <v>12533</v>
      </c>
      <c r="C12191" t="s">
        <v>429</v>
      </c>
      <c r="D12191" t="s">
        <v>17224</v>
      </c>
    </row>
    <row r="12192" spans="1:4">
      <c r="A12192">
        <v>9834</v>
      </c>
      <c r="B12192" t="s">
        <v>12534</v>
      </c>
      <c r="C12192" t="s">
        <v>429</v>
      </c>
      <c r="D12192" t="s">
        <v>17403</v>
      </c>
    </row>
    <row r="12193" spans="1:4">
      <c r="A12193">
        <v>9863</v>
      </c>
      <c r="B12193" t="s">
        <v>12535</v>
      </c>
      <c r="C12193" t="s">
        <v>429</v>
      </c>
      <c r="D12193" t="s">
        <v>22089</v>
      </c>
    </row>
    <row r="12194" spans="1:4">
      <c r="A12194">
        <v>9860</v>
      </c>
      <c r="B12194" t="s">
        <v>12536</v>
      </c>
      <c r="C12194" t="s">
        <v>429</v>
      </c>
      <c r="D12194" t="s">
        <v>21333</v>
      </c>
    </row>
    <row r="12195" spans="1:4">
      <c r="A12195">
        <v>9862</v>
      </c>
      <c r="B12195" t="s">
        <v>12537</v>
      </c>
      <c r="C12195" t="s">
        <v>429</v>
      </c>
      <c r="D12195" t="s">
        <v>25113</v>
      </c>
    </row>
    <row r="12196" spans="1:4">
      <c r="A12196">
        <v>9861</v>
      </c>
      <c r="B12196" t="s">
        <v>12538</v>
      </c>
      <c r="C12196" t="s">
        <v>429</v>
      </c>
      <c r="D12196" t="s">
        <v>22626</v>
      </c>
    </row>
    <row r="12197" spans="1:4">
      <c r="A12197">
        <v>9856</v>
      </c>
      <c r="B12197" t="s">
        <v>12539</v>
      </c>
      <c r="C12197" t="s">
        <v>429</v>
      </c>
      <c r="D12197" t="s">
        <v>19606</v>
      </c>
    </row>
    <row r="12198" spans="1:4">
      <c r="A12198">
        <v>9866</v>
      </c>
      <c r="B12198" t="s">
        <v>12540</v>
      </c>
      <c r="C12198" t="s">
        <v>429</v>
      </c>
      <c r="D12198" t="s">
        <v>27058</v>
      </c>
    </row>
    <row r="12199" spans="1:4">
      <c r="A12199">
        <v>9857</v>
      </c>
      <c r="B12199" t="s">
        <v>12541</v>
      </c>
      <c r="C12199" t="s">
        <v>429</v>
      </c>
      <c r="D12199" t="s">
        <v>27059</v>
      </c>
    </row>
    <row r="12200" spans="1:4">
      <c r="A12200">
        <v>9864</v>
      </c>
      <c r="B12200" t="s">
        <v>12542</v>
      </c>
      <c r="C12200" t="s">
        <v>429</v>
      </c>
      <c r="D12200" t="s">
        <v>27060</v>
      </c>
    </row>
    <row r="12201" spans="1:4">
      <c r="A12201">
        <v>9865</v>
      </c>
      <c r="B12201" t="s">
        <v>12543</v>
      </c>
      <c r="C12201" t="s">
        <v>429</v>
      </c>
      <c r="D12201" t="s">
        <v>27061</v>
      </c>
    </row>
    <row r="12202" spans="1:4">
      <c r="A12202">
        <v>9858</v>
      </c>
      <c r="B12202" t="s">
        <v>12544</v>
      </c>
      <c r="C12202" t="s">
        <v>429</v>
      </c>
      <c r="D12202" t="s">
        <v>27062</v>
      </c>
    </row>
    <row r="12203" spans="1:4">
      <c r="A12203">
        <v>9841</v>
      </c>
      <c r="B12203" t="s">
        <v>12545</v>
      </c>
      <c r="C12203" t="s">
        <v>429</v>
      </c>
      <c r="D12203" t="s">
        <v>27063</v>
      </c>
    </row>
    <row r="12204" spans="1:4">
      <c r="A12204">
        <v>9840</v>
      </c>
      <c r="B12204" t="s">
        <v>12546</v>
      </c>
      <c r="C12204" t="s">
        <v>429</v>
      </c>
      <c r="D12204" t="s">
        <v>27064</v>
      </c>
    </row>
    <row r="12205" spans="1:4">
      <c r="A12205">
        <v>20067</v>
      </c>
      <c r="B12205" t="s">
        <v>12547</v>
      </c>
      <c r="C12205" t="s">
        <v>429</v>
      </c>
      <c r="D12205" t="s">
        <v>21128</v>
      </c>
    </row>
    <row r="12206" spans="1:4">
      <c r="A12206">
        <v>20068</v>
      </c>
      <c r="B12206" t="s">
        <v>12548</v>
      </c>
      <c r="C12206" t="s">
        <v>429</v>
      </c>
      <c r="D12206" t="s">
        <v>17216</v>
      </c>
    </row>
    <row r="12207" spans="1:4">
      <c r="A12207">
        <v>9839</v>
      </c>
      <c r="B12207" t="s">
        <v>12549</v>
      </c>
      <c r="C12207" t="s">
        <v>429</v>
      </c>
      <c r="D12207" t="s">
        <v>25527</v>
      </c>
    </row>
    <row r="12208" spans="1:4">
      <c r="A12208">
        <v>9870</v>
      </c>
      <c r="B12208" t="s">
        <v>12550</v>
      </c>
      <c r="C12208" t="s">
        <v>429</v>
      </c>
      <c r="D12208" t="s">
        <v>17854</v>
      </c>
    </row>
    <row r="12209" spans="1:4">
      <c r="A12209">
        <v>9867</v>
      </c>
      <c r="B12209" t="s">
        <v>12551</v>
      </c>
      <c r="C12209" t="s">
        <v>429</v>
      </c>
      <c r="D12209" t="s">
        <v>15221</v>
      </c>
    </row>
    <row r="12210" spans="1:4">
      <c r="A12210">
        <v>9868</v>
      </c>
      <c r="B12210" t="s">
        <v>12552</v>
      </c>
      <c r="C12210" t="s">
        <v>429</v>
      </c>
      <c r="D12210" t="s">
        <v>20650</v>
      </c>
    </row>
    <row r="12211" spans="1:4">
      <c r="A12211">
        <v>9869</v>
      </c>
      <c r="B12211" t="s">
        <v>12553</v>
      </c>
      <c r="C12211" t="s">
        <v>429</v>
      </c>
      <c r="D12211" t="s">
        <v>26331</v>
      </c>
    </row>
    <row r="12212" spans="1:4">
      <c r="A12212">
        <v>9874</v>
      </c>
      <c r="B12212" t="s">
        <v>12554</v>
      </c>
      <c r="C12212" t="s">
        <v>429</v>
      </c>
      <c r="D12212" t="s">
        <v>22711</v>
      </c>
    </row>
    <row r="12213" spans="1:4">
      <c r="A12213">
        <v>9875</v>
      </c>
      <c r="B12213" t="s">
        <v>12555</v>
      </c>
      <c r="C12213" t="s">
        <v>429</v>
      </c>
      <c r="D12213" t="s">
        <v>19573</v>
      </c>
    </row>
    <row r="12214" spans="1:4">
      <c r="A12214">
        <v>9873</v>
      </c>
      <c r="B12214" t="s">
        <v>12556</v>
      </c>
      <c r="C12214" t="s">
        <v>429</v>
      </c>
      <c r="D12214" t="s">
        <v>18629</v>
      </c>
    </row>
    <row r="12215" spans="1:4">
      <c r="A12215">
        <v>9871</v>
      </c>
      <c r="B12215" t="s">
        <v>12557</v>
      </c>
      <c r="C12215" t="s">
        <v>429</v>
      </c>
      <c r="D12215" t="s">
        <v>27065</v>
      </c>
    </row>
    <row r="12216" spans="1:4">
      <c r="A12216">
        <v>9872</v>
      </c>
      <c r="B12216" t="s">
        <v>12558</v>
      </c>
      <c r="C12216" t="s">
        <v>429</v>
      </c>
      <c r="D12216" t="s">
        <v>21972</v>
      </c>
    </row>
    <row r="12217" spans="1:4">
      <c r="A12217">
        <v>7667</v>
      </c>
      <c r="B12217" t="s">
        <v>12559</v>
      </c>
      <c r="C12217" t="s">
        <v>429</v>
      </c>
      <c r="D12217" t="s">
        <v>27066</v>
      </c>
    </row>
    <row r="12218" spans="1:4">
      <c r="A12218">
        <v>7660</v>
      </c>
      <c r="B12218" t="s">
        <v>12560</v>
      </c>
      <c r="C12218" t="s">
        <v>429</v>
      </c>
      <c r="D12218" t="s">
        <v>27067</v>
      </c>
    </row>
    <row r="12219" spans="1:4">
      <c r="A12219">
        <v>7676</v>
      </c>
      <c r="B12219" t="s">
        <v>12561</v>
      </c>
      <c r="C12219" t="s">
        <v>429</v>
      </c>
      <c r="D12219" t="s">
        <v>27068</v>
      </c>
    </row>
    <row r="12220" spans="1:4">
      <c r="A12220">
        <v>12426</v>
      </c>
      <c r="B12220" t="s">
        <v>12562</v>
      </c>
      <c r="C12220" t="s">
        <v>427</v>
      </c>
      <c r="D12220" t="s">
        <v>21572</v>
      </c>
    </row>
    <row r="12221" spans="1:4">
      <c r="A12221">
        <v>12425</v>
      </c>
      <c r="B12221" t="s">
        <v>12563</v>
      </c>
      <c r="C12221" t="s">
        <v>427</v>
      </c>
      <c r="D12221" t="s">
        <v>17455</v>
      </c>
    </row>
    <row r="12222" spans="1:4">
      <c r="A12222">
        <v>12427</v>
      </c>
      <c r="B12222" t="s">
        <v>12564</v>
      </c>
      <c r="C12222" t="s">
        <v>427</v>
      </c>
      <c r="D12222" t="s">
        <v>27069</v>
      </c>
    </row>
    <row r="12223" spans="1:4">
      <c r="A12223">
        <v>12428</v>
      </c>
      <c r="B12223" t="s">
        <v>12565</v>
      </c>
      <c r="C12223" t="s">
        <v>427</v>
      </c>
      <c r="D12223" t="s">
        <v>25710</v>
      </c>
    </row>
    <row r="12224" spans="1:4">
      <c r="A12224">
        <v>12430</v>
      </c>
      <c r="B12224" t="s">
        <v>12566</v>
      </c>
      <c r="C12224" t="s">
        <v>427</v>
      </c>
      <c r="D12224" t="s">
        <v>23985</v>
      </c>
    </row>
    <row r="12225" spans="1:4">
      <c r="A12225">
        <v>12429</v>
      </c>
      <c r="B12225" t="s">
        <v>12567</v>
      </c>
      <c r="C12225" t="s">
        <v>427</v>
      </c>
      <c r="D12225" t="s">
        <v>27070</v>
      </c>
    </row>
    <row r="12226" spans="1:4">
      <c r="A12226">
        <v>12431</v>
      </c>
      <c r="B12226" t="s">
        <v>12568</v>
      </c>
      <c r="C12226" t="s">
        <v>427</v>
      </c>
      <c r="D12226" t="s">
        <v>27071</v>
      </c>
    </row>
    <row r="12227" spans="1:4">
      <c r="A12227">
        <v>12432</v>
      </c>
      <c r="B12227" t="s">
        <v>12569</v>
      </c>
      <c r="C12227" t="s">
        <v>427</v>
      </c>
      <c r="D12227" t="s">
        <v>27072</v>
      </c>
    </row>
    <row r="12228" spans="1:4">
      <c r="A12228">
        <v>12434</v>
      </c>
      <c r="B12228" t="s">
        <v>12570</v>
      </c>
      <c r="C12228" t="s">
        <v>427</v>
      </c>
      <c r="D12228" t="s">
        <v>20866</v>
      </c>
    </row>
    <row r="12229" spans="1:4">
      <c r="A12229">
        <v>12433</v>
      </c>
      <c r="B12229" t="s">
        <v>12571</v>
      </c>
      <c r="C12229" t="s">
        <v>427</v>
      </c>
      <c r="D12229" t="s">
        <v>27073</v>
      </c>
    </row>
    <row r="12230" spans="1:4">
      <c r="A12230">
        <v>12435</v>
      </c>
      <c r="B12230" t="s">
        <v>12572</v>
      </c>
      <c r="C12230" t="s">
        <v>427</v>
      </c>
      <c r="D12230" t="s">
        <v>22643</v>
      </c>
    </row>
    <row r="12231" spans="1:4">
      <c r="A12231">
        <v>12437</v>
      </c>
      <c r="B12231" t="s">
        <v>12573</v>
      </c>
      <c r="C12231" t="s">
        <v>427</v>
      </c>
      <c r="D12231" t="s">
        <v>21097</v>
      </c>
    </row>
    <row r="12232" spans="1:4">
      <c r="A12232">
        <v>12439</v>
      </c>
      <c r="B12232" t="s">
        <v>12574</v>
      </c>
      <c r="C12232" t="s">
        <v>427</v>
      </c>
      <c r="D12232" t="s">
        <v>27074</v>
      </c>
    </row>
    <row r="12233" spans="1:4">
      <c r="A12233">
        <v>12438</v>
      </c>
      <c r="B12233" t="s">
        <v>12575</v>
      </c>
      <c r="C12233" t="s">
        <v>427</v>
      </c>
      <c r="D12233" t="s">
        <v>27075</v>
      </c>
    </row>
    <row r="12234" spans="1:4">
      <c r="A12234">
        <v>12436</v>
      </c>
      <c r="B12234" t="s">
        <v>12576</v>
      </c>
      <c r="C12234" t="s">
        <v>427</v>
      </c>
      <c r="D12234" t="s">
        <v>27076</v>
      </c>
    </row>
    <row r="12235" spans="1:4">
      <c r="A12235">
        <v>36357</v>
      </c>
      <c r="B12235" t="s">
        <v>12577</v>
      </c>
      <c r="C12235" t="s">
        <v>427</v>
      </c>
      <c r="D12235" t="s">
        <v>27077</v>
      </c>
    </row>
    <row r="12236" spans="1:4">
      <c r="A12236">
        <v>12424</v>
      </c>
      <c r="B12236" t="s">
        <v>12578</v>
      </c>
      <c r="C12236" t="s">
        <v>427</v>
      </c>
      <c r="D12236" t="s">
        <v>20539</v>
      </c>
    </row>
    <row r="12237" spans="1:4">
      <c r="A12237">
        <v>12440</v>
      </c>
      <c r="B12237" t="s">
        <v>12579</v>
      </c>
      <c r="C12237" t="s">
        <v>427</v>
      </c>
      <c r="D12237" t="s">
        <v>24949</v>
      </c>
    </row>
    <row r="12238" spans="1:4">
      <c r="A12238">
        <v>9884</v>
      </c>
      <c r="B12238" t="s">
        <v>12580</v>
      </c>
      <c r="C12238" t="s">
        <v>427</v>
      </c>
      <c r="D12238" t="s">
        <v>27078</v>
      </c>
    </row>
    <row r="12239" spans="1:4">
      <c r="A12239">
        <v>9888</v>
      </c>
      <c r="B12239" t="s">
        <v>12581</v>
      </c>
      <c r="C12239" t="s">
        <v>427</v>
      </c>
      <c r="D12239" t="s">
        <v>22518</v>
      </c>
    </row>
    <row r="12240" spans="1:4">
      <c r="A12240">
        <v>9883</v>
      </c>
      <c r="B12240" t="s">
        <v>12582</v>
      </c>
      <c r="C12240" t="s">
        <v>427</v>
      </c>
      <c r="D12240" t="s">
        <v>27079</v>
      </c>
    </row>
    <row r="12241" spans="1:4">
      <c r="A12241">
        <v>9886</v>
      </c>
      <c r="B12241" t="s">
        <v>12583</v>
      </c>
      <c r="C12241" t="s">
        <v>427</v>
      </c>
      <c r="D12241" t="s">
        <v>19013</v>
      </c>
    </row>
    <row r="12242" spans="1:4">
      <c r="A12242">
        <v>9889</v>
      </c>
      <c r="B12242" t="s">
        <v>12584</v>
      </c>
      <c r="C12242" t="s">
        <v>427</v>
      </c>
      <c r="D12242" t="s">
        <v>27080</v>
      </c>
    </row>
    <row r="12243" spans="1:4">
      <c r="A12243">
        <v>9887</v>
      </c>
      <c r="B12243" t="s">
        <v>12585</v>
      </c>
      <c r="C12243" t="s">
        <v>427</v>
      </c>
      <c r="D12243" t="s">
        <v>27081</v>
      </c>
    </row>
    <row r="12244" spans="1:4">
      <c r="A12244">
        <v>9885</v>
      </c>
      <c r="B12244" t="s">
        <v>12586</v>
      </c>
      <c r="C12244" t="s">
        <v>427</v>
      </c>
      <c r="D12244" t="s">
        <v>15519</v>
      </c>
    </row>
    <row r="12245" spans="1:4">
      <c r="A12245">
        <v>9890</v>
      </c>
      <c r="B12245" t="s">
        <v>12587</v>
      </c>
      <c r="C12245" t="s">
        <v>427</v>
      </c>
      <c r="D12245" t="s">
        <v>27082</v>
      </c>
    </row>
    <row r="12246" spans="1:4">
      <c r="A12246">
        <v>9891</v>
      </c>
      <c r="B12246" t="s">
        <v>12588</v>
      </c>
      <c r="C12246" t="s">
        <v>427</v>
      </c>
      <c r="D12246" t="s">
        <v>26608</v>
      </c>
    </row>
    <row r="12247" spans="1:4">
      <c r="A12247">
        <v>39292</v>
      </c>
      <c r="B12247" t="s">
        <v>12589</v>
      </c>
      <c r="C12247" t="s">
        <v>427</v>
      </c>
      <c r="D12247" t="s">
        <v>16888</v>
      </c>
    </row>
    <row r="12248" spans="1:4">
      <c r="A12248">
        <v>39293</v>
      </c>
      <c r="B12248" t="s">
        <v>12590</v>
      </c>
      <c r="C12248" t="s">
        <v>427</v>
      </c>
      <c r="D12248" t="s">
        <v>23617</v>
      </c>
    </row>
    <row r="12249" spans="1:4">
      <c r="A12249">
        <v>39294</v>
      </c>
      <c r="B12249" t="s">
        <v>12591</v>
      </c>
      <c r="C12249" t="s">
        <v>427</v>
      </c>
      <c r="D12249" t="s">
        <v>23617</v>
      </c>
    </row>
    <row r="12250" spans="1:4">
      <c r="A12250">
        <v>39295</v>
      </c>
      <c r="B12250" t="s">
        <v>12592</v>
      </c>
      <c r="C12250" t="s">
        <v>427</v>
      </c>
      <c r="D12250" t="s">
        <v>22829</v>
      </c>
    </row>
    <row r="12251" spans="1:4">
      <c r="A12251">
        <v>36313</v>
      </c>
      <c r="B12251" t="s">
        <v>12593</v>
      </c>
      <c r="C12251" t="s">
        <v>427</v>
      </c>
      <c r="D12251" t="s">
        <v>18094</v>
      </c>
    </row>
    <row r="12252" spans="1:4">
      <c r="A12252">
        <v>36316</v>
      </c>
      <c r="B12252" t="s">
        <v>12594</v>
      </c>
      <c r="C12252" t="s">
        <v>427</v>
      </c>
      <c r="D12252" t="s">
        <v>19827</v>
      </c>
    </row>
    <row r="12253" spans="1:4">
      <c r="A12253">
        <v>64</v>
      </c>
      <c r="B12253" t="s">
        <v>12595</v>
      </c>
      <c r="C12253" t="s">
        <v>427</v>
      </c>
      <c r="D12253" t="s">
        <v>15582</v>
      </c>
    </row>
    <row r="12254" spans="1:4">
      <c r="A12254">
        <v>37423</v>
      </c>
      <c r="B12254" t="s">
        <v>12596</v>
      </c>
      <c r="C12254" t="s">
        <v>427</v>
      </c>
      <c r="D12254" t="s">
        <v>19580</v>
      </c>
    </row>
    <row r="12255" spans="1:4">
      <c r="A12255">
        <v>39296</v>
      </c>
      <c r="B12255" t="s">
        <v>12597</v>
      </c>
      <c r="C12255" t="s">
        <v>427</v>
      </c>
      <c r="D12255" t="s">
        <v>15650</v>
      </c>
    </row>
    <row r="12256" spans="1:4">
      <c r="A12256">
        <v>39297</v>
      </c>
      <c r="B12256" t="s">
        <v>12598</v>
      </c>
      <c r="C12256" t="s">
        <v>427</v>
      </c>
      <c r="D12256" t="s">
        <v>18023</v>
      </c>
    </row>
    <row r="12257" spans="1:4">
      <c r="A12257">
        <v>39298</v>
      </c>
      <c r="B12257" t="s">
        <v>12599</v>
      </c>
      <c r="C12257" t="s">
        <v>427</v>
      </c>
      <c r="D12257" t="s">
        <v>24890</v>
      </c>
    </row>
    <row r="12258" spans="1:4">
      <c r="A12258">
        <v>39299</v>
      </c>
      <c r="B12258" t="s">
        <v>12600</v>
      </c>
      <c r="C12258" t="s">
        <v>427</v>
      </c>
      <c r="D12258" t="s">
        <v>19699</v>
      </c>
    </row>
    <row r="12259" spans="1:4">
      <c r="A12259">
        <v>9892</v>
      </c>
      <c r="B12259" t="s">
        <v>12601</v>
      </c>
      <c r="C12259" t="s">
        <v>427</v>
      </c>
      <c r="D12259" t="s">
        <v>27083</v>
      </c>
    </row>
    <row r="12260" spans="1:4">
      <c r="A12260">
        <v>9893</v>
      </c>
      <c r="B12260" t="s">
        <v>12602</v>
      </c>
      <c r="C12260" t="s">
        <v>427</v>
      </c>
      <c r="D12260" t="s">
        <v>27084</v>
      </c>
    </row>
    <row r="12261" spans="1:4">
      <c r="A12261">
        <v>9901</v>
      </c>
      <c r="B12261" t="s">
        <v>12603</v>
      </c>
      <c r="C12261" t="s">
        <v>427</v>
      </c>
      <c r="D12261" t="s">
        <v>25373</v>
      </c>
    </row>
    <row r="12262" spans="1:4">
      <c r="A12262">
        <v>9896</v>
      </c>
      <c r="B12262" t="s">
        <v>12604</v>
      </c>
      <c r="C12262" t="s">
        <v>427</v>
      </c>
      <c r="D12262" t="s">
        <v>14783</v>
      </c>
    </row>
    <row r="12263" spans="1:4">
      <c r="A12263">
        <v>9900</v>
      </c>
      <c r="B12263" t="s">
        <v>12605</v>
      </c>
      <c r="C12263" t="s">
        <v>427</v>
      </c>
      <c r="D12263" t="s">
        <v>19231</v>
      </c>
    </row>
    <row r="12264" spans="1:4">
      <c r="A12264">
        <v>9898</v>
      </c>
      <c r="B12264" t="s">
        <v>12606</v>
      </c>
      <c r="C12264" t="s">
        <v>427</v>
      </c>
      <c r="D12264" t="s">
        <v>16852</v>
      </c>
    </row>
    <row r="12265" spans="1:4">
      <c r="A12265">
        <v>9899</v>
      </c>
      <c r="B12265" t="s">
        <v>12607</v>
      </c>
      <c r="C12265" t="s">
        <v>427</v>
      </c>
      <c r="D12265" t="s">
        <v>18072</v>
      </c>
    </row>
    <row r="12266" spans="1:4">
      <c r="A12266">
        <v>9902</v>
      </c>
      <c r="B12266" t="s">
        <v>12608</v>
      </c>
      <c r="C12266" t="s">
        <v>427</v>
      </c>
      <c r="D12266" t="s">
        <v>27085</v>
      </c>
    </row>
    <row r="12267" spans="1:4">
      <c r="A12267">
        <v>9908</v>
      </c>
      <c r="B12267" t="s">
        <v>12609</v>
      </c>
      <c r="C12267" t="s">
        <v>427</v>
      </c>
      <c r="D12267" t="s">
        <v>27086</v>
      </c>
    </row>
    <row r="12268" spans="1:4">
      <c r="A12268">
        <v>9905</v>
      </c>
      <c r="B12268" t="s">
        <v>12610</v>
      </c>
      <c r="C12268" t="s">
        <v>427</v>
      </c>
      <c r="D12268" t="s">
        <v>18227</v>
      </c>
    </row>
    <row r="12269" spans="1:4">
      <c r="A12269">
        <v>9906</v>
      </c>
      <c r="B12269" t="s">
        <v>12611</v>
      </c>
      <c r="C12269" t="s">
        <v>427</v>
      </c>
      <c r="D12269" t="s">
        <v>17303</v>
      </c>
    </row>
    <row r="12270" spans="1:4">
      <c r="A12270">
        <v>9895</v>
      </c>
      <c r="B12270" t="s">
        <v>12612</v>
      </c>
      <c r="C12270" t="s">
        <v>427</v>
      </c>
      <c r="D12270" t="s">
        <v>16899</v>
      </c>
    </row>
    <row r="12271" spans="1:4">
      <c r="A12271">
        <v>9894</v>
      </c>
      <c r="B12271" t="s">
        <v>12613</v>
      </c>
      <c r="C12271" t="s">
        <v>427</v>
      </c>
      <c r="D12271" t="s">
        <v>27087</v>
      </c>
    </row>
    <row r="12272" spans="1:4">
      <c r="A12272">
        <v>9897</v>
      </c>
      <c r="B12272" t="s">
        <v>12614</v>
      </c>
      <c r="C12272" t="s">
        <v>427</v>
      </c>
      <c r="D12272" t="s">
        <v>27088</v>
      </c>
    </row>
    <row r="12273" spans="1:4">
      <c r="A12273">
        <v>9910</v>
      </c>
      <c r="B12273" t="s">
        <v>12615</v>
      </c>
      <c r="C12273" t="s">
        <v>427</v>
      </c>
      <c r="D12273" t="s">
        <v>19422</v>
      </c>
    </row>
    <row r="12274" spans="1:4">
      <c r="A12274">
        <v>9909</v>
      </c>
      <c r="B12274" t="s">
        <v>12616</v>
      </c>
      <c r="C12274" t="s">
        <v>427</v>
      </c>
      <c r="D12274" t="s">
        <v>27089</v>
      </c>
    </row>
    <row r="12275" spans="1:4">
      <c r="A12275">
        <v>9907</v>
      </c>
      <c r="B12275" t="s">
        <v>12617</v>
      </c>
      <c r="C12275" t="s">
        <v>427</v>
      </c>
      <c r="D12275" t="s">
        <v>27090</v>
      </c>
    </row>
    <row r="12276" spans="1:4">
      <c r="A12276">
        <v>20973</v>
      </c>
      <c r="B12276" t="s">
        <v>12618</v>
      </c>
      <c r="C12276" t="s">
        <v>427</v>
      </c>
      <c r="D12276" t="s">
        <v>27091</v>
      </c>
    </row>
    <row r="12277" spans="1:4">
      <c r="A12277">
        <v>20974</v>
      </c>
      <c r="B12277" t="s">
        <v>12619</v>
      </c>
      <c r="C12277" t="s">
        <v>427</v>
      </c>
      <c r="D12277" t="s">
        <v>27092</v>
      </c>
    </row>
    <row r="12278" spans="1:4">
      <c r="A12278">
        <v>37989</v>
      </c>
      <c r="B12278" t="s">
        <v>12620</v>
      </c>
      <c r="C12278" t="s">
        <v>427</v>
      </c>
      <c r="D12278" t="s">
        <v>15331</v>
      </c>
    </row>
    <row r="12279" spans="1:4">
      <c r="A12279">
        <v>37990</v>
      </c>
      <c r="B12279" t="s">
        <v>12621</v>
      </c>
      <c r="C12279" t="s">
        <v>427</v>
      </c>
      <c r="D12279" t="s">
        <v>22031</v>
      </c>
    </row>
    <row r="12280" spans="1:4">
      <c r="A12280">
        <v>37991</v>
      </c>
      <c r="B12280" t="s">
        <v>12622</v>
      </c>
      <c r="C12280" t="s">
        <v>427</v>
      </c>
      <c r="D12280" t="s">
        <v>18164</v>
      </c>
    </row>
    <row r="12281" spans="1:4">
      <c r="A12281">
        <v>37992</v>
      </c>
      <c r="B12281" t="s">
        <v>12623</v>
      </c>
      <c r="C12281" t="s">
        <v>427</v>
      </c>
      <c r="D12281" t="s">
        <v>27093</v>
      </c>
    </row>
    <row r="12282" spans="1:4">
      <c r="A12282">
        <v>37993</v>
      </c>
      <c r="B12282" t="s">
        <v>12624</v>
      </c>
      <c r="C12282" t="s">
        <v>427</v>
      </c>
      <c r="D12282" t="s">
        <v>16530</v>
      </c>
    </row>
    <row r="12283" spans="1:4">
      <c r="A12283">
        <v>37994</v>
      </c>
      <c r="B12283" t="s">
        <v>12625</v>
      </c>
      <c r="C12283" t="s">
        <v>427</v>
      </c>
      <c r="D12283" t="s">
        <v>27094</v>
      </c>
    </row>
    <row r="12284" spans="1:4">
      <c r="A12284">
        <v>37995</v>
      </c>
      <c r="B12284" t="s">
        <v>12626</v>
      </c>
      <c r="C12284" t="s">
        <v>427</v>
      </c>
      <c r="D12284" t="s">
        <v>27095</v>
      </c>
    </row>
    <row r="12285" spans="1:4">
      <c r="A12285">
        <v>37996</v>
      </c>
      <c r="B12285" t="s">
        <v>12627</v>
      </c>
      <c r="C12285" t="s">
        <v>427</v>
      </c>
      <c r="D12285" t="s">
        <v>27096</v>
      </c>
    </row>
    <row r="12286" spans="1:4">
      <c r="A12286">
        <v>13883</v>
      </c>
      <c r="B12286" t="s">
        <v>12628</v>
      </c>
      <c r="C12286" t="s">
        <v>427</v>
      </c>
      <c r="D12286" t="s">
        <v>27097</v>
      </c>
    </row>
    <row r="12287" spans="1:4">
      <c r="A12287">
        <v>38604</v>
      </c>
      <c r="B12287" t="s">
        <v>12629</v>
      </c>
      <c r="C12287" t="s">
        <v>427</v>
      </c>
      <c r="D12287" t="s">
        <v>27098</v>
      </c>
    </row>
    <row r="12288" spans="1:4">
      <c r="A12288">
        <v>10601</v>
      </c>
      <c r="B12288" t="s">
        <v>12630</v>
      </c>
      <c r="C12288" t="s">
        <v>427</v>
      </c>
      <c r="D12288" t="s">
        <v>27099</v>
      </c>
    </row>
    <row r="12289" spans="1:4">
      <c r="A12289">
        <v>44469</v>
      </c>
      <c r="B12289" t="s">
        <v>12631</v>
      </c>
      <c r="C12289" t="s">
        <v>427</v>
      </c>
      <c r="D12289" t="s">
        <v>27100</v>
      </c>
    </row>
    <row r="12290" spans="1:4">
      <c r="A12290">
        <v>13894</v>
      </c>
      <c r="B12290" t="s">
        <v>12632</v>
      </c>
      <c r="C12290" t="s">
        <v>427</v>
      </c>
      <c r="D12290" t="s">
        <v>27101</v>
      </c>
    </row>
    <row r="12291" spans="1:4">
      <c r="A12291">
        <v>13895</v>
      </c>
      <c r="B12291" t="s">
        <v>12633</v>
      </c>
      <c r="C12291" t="s">
        <v>427</v>
      </c>
      <c r="D12291" t="s">
        <v>27102</v>
      </c>
    </row>
    <row r="12292" spans="1:4">
      <c r="A12292">
        <v>13892</v>
      </c>
      <c r="B12292" t="s">
        <v>12634</v>
      </c>
      <c r="C12292" t="s">
        <v>427</v>
      </c>
      <c r="D12292" t="s">
        <v>27103</v>
      </c>
    </row>
    <row r="12293" spans="1:4">
      <c r="A12293">
        <v>9914</v>
      </c>
      <c r="B12293" t="s">
        <v>12635</v>
      </c>
      <c r="C12293" t="s">
        <v>427</v>
      </c>
      <c r="D12293" t="s">
        <v>25578</v>
      </c>
    </row>
    <row r="12294" spans="1:4">
      <c r="A12294">
        <v>36485</v>
      </c>
      <c r="B12294" t="s">
        <v>12636</v>
      </c>
      <c r="C12294" t="s">
        <v>427</v>
      </c>
      <c r="D12294" t="s">
        <v>27104</v>
      </c>
    </row>
    <row r="12295" spans="1:4">
      <c r="A12295">
        <v>9912</v>
      </c>
      <c r="B12295" t="s">
        <v>12637</v>
      </c>
      <c r="C12295" t="s">
        <v>427</v>
      </c>
      <c r="D12295" t="s">
        <v>27105</v>
      </c>
    </row>
    <row r="12296" spans="1:4">
      <c r="A12296">
        <v>9921</v>
      </c>
      <c r="B12296" t="s">
        <v>12638</v>
      </c>
      <c r="C12296" t="s">
        <v>427</v>
      </c>
      <c r="D12296" t="s">
        <v>27106</v>
      </c>
    </row>
    <row r="12297" spans="1:4">
      <c r="A12297">
        <v>21112</v>
      </c>
      <c r="B12297" t="s">
        <v>12639</v>
      </c>
      <c r="C12297" t="s">
        <v>427</v>
      </c>
      <c r="D12297" t="s">
        <v>27107</v>
      </c>
    </row>
    <row r="12298" spans="1:4">
      <c r="A12298">
        <v>10228</v>
      </c>
      <c r="B12298" t="s">
        <v>12640</v>
      </c>
      <c r="C12298" t="s">
        <v>427</v>
      </c>
      <c r="D12298" t="s">
        <v>27108</v>
      </c>
    </row>
    <row r="12299" spans="1:4">
      <c r="A12299">
        <v>11781</v>
      </c>
      <c r="B12299" t="s">
        <v>12641</v>
      </c>
      <c r="C12299" t="s">
        <v>427</v>
      </c>
      <c r="D12299" t="s">
        <v>27109</v>
      </c>
    </row>
    <row r="12300" spans="1:4">
      <c r="A12300">
        <v>37588</v>
      </c>
      <c r="B12300" t="s">
        <v>12642</v>
      </c>
      <c r="C12300" t="s">
        <v>427</v>
      </c>
      <c r="D12300" t="s">
        <v>27110</v>
      </c>
    </row>
    <row r="12301" spans="1:4">
      <c r="A12301">
        <v>11746</v>
      </c>
      <c r="B12301" t="s">
        <v>12643</v>
      </c>
      <c r="C12301" t="s">
        <v>427</v>
      </c>
      <c r="D12301" t="s">
        <v>27111</v>
      </c>
    </row>
    <row r="12302" spans="1:4">
      <c r="A12302">
        <v>11751</v>
      </c>
      <c r="B12302" t="s">
        <v>12644</v>
      </c>
      <c r="C12302" t="s">
        <v>427</v>
      </c>
      <c r="D12302" t="s">
        <v>27112</v>
      </c>
    </row>
    <row r="12303" spans="1:4">
      <c r="A12303">
        <v>11750</v>
      </c>
      <c r="B12303" t="s">
        <v>12645</v>
      </c>
      <c r="C12303" t="s">
        <v>427</v>
      </c>
      <c r="D12303" t="s">
        <v>23806</v>
      </c>
    </row>
    <row r="12304" spans="1:4">
      <c r="A12304">
        <v>11748</v>
      </c>
      <c r="B12304" t="s">
        <v>12646</v>
      </c>
      <c r="C12304" t="s">
        <v>427</v>
      </c>
      <c r="D12304" t="s">
        <v>27113</v>
      </c>
    </row>
    <row r="12305" spans="1:4">
      <c r="A12305">
        <v>11747</v>
      </c>
      <c r="B12305" t="s">
        <v>12647</v>
      </c>
      <c r="C12305" t="s">
        <v>427</v>
      </c>
      <c r="D12305" t="s">
        <v>27114</v>
      </c>
    </row>
    <row r="12306" spans="1:4">
      <c r="A12306">
        <v>11749</v>
      </c>
      <c r="B12306" t="s">
        <v>12648</v>
      </c>
      <c r="C12306" t="s">
        <v>427</v>
      </c>
      <c r="D12306" t="s">
        <v>27115</v>
      </c>
    </row>
    <row r="12307" spans="1:4">
      <c r="A12307">
        <v>10236</v>
      </c>
      <c r="B12307" t="s">
        <v>12649</v>
      </c>
      <c r="C12307" t="s">
        <v>427</v>
      </c>
      <c r="D12307" t="s">
        <v>27116</v>
      </c>
    </row>
    <row r="12308" spans="1:4">
      <c r="A12308">
        <v>10233</v>
      </c>
      <c r="B12308" t="s">
        <v>12650</v>
      </c>
      <c r="C12308" t="s">
        <v>427</v>
      </c>
      <c r="D12308" t="s">
        <v>25418</v>
      </c>
    </row>
    <row r="12309" spans="1:4">
      <c r="A12309">
        <v>10234</v>
      </c>
      <c r="B12309" t="s">
        <v>12651</v>
      </c>
      <c r="C12309" t="s">
        <v>427</v>
      </c>
      <c r="D12309" t="s">
        <v>23662</v>
      </c>
    </row>
    <row r="12310" spans="1:4">
      <c r="A12310">
        <v>10231</v>
      </c>
      <c r="B12310" t="s">
        <v>12652</v>
      </c>
      <c r="C12310" t="s">
        <v>427</v>
      </c>
      <c r="D12310" t="s">
        <v>27117</v>
      </c>
    </row>
    <row r="12311" spans="1:4">
      <c r="A12311">
        <v>10232</v>
      </c>
      <c r="B12311" t="s">
        <v>12653</v>
      </c>
      <c r="C12311" t="s">
        <v>427</v>
      </c>
      <c r="D12311" t="s">
        <v>27118</v>
      </c>
    </row>
    <row r="12312" spans="1:4">
      <c r="A12312">
        <v>10229</v>
      </c>
      <c r="B12312" t="s">
        <v>12654</v>
      </c>
      <c r="C12312" t="s">
        <v>427</v>
      </c>
      <c r="D12312" t="s">
        <v>21048</v>
      </c>
    </row>
    <row r="12313" spans="1:4">
      <c r="A12313">
        <v>10235</v>
      </c>
      <c r="B12313" t="s">
        <v>12655</v>
      </c>
      <c r="C12313" t="s">
        <v>427</v>
      </c>
      <c r="D12313" t="s">
        <v>27119</v>
      </c>
    </row>
    <row r="12314" spans="1:4">
      <c r="A12314">
        <v>10230</v>
      </c>
      <c r="B12314" t="s">
        <v>12656</v>
      </c>
      <c r="C12314" t="s">
        <v>427</v>
      </c>
      <c r="D12314" t="s">
        <v>27120</v>
      </c>
    </row>
    <row r="12315" spans="1:4">
      <c r="A12315">
        <v>10409</v>
      </c>
      <c r="B12315" t="s">
        <v>12657</v>
      </c>
      <c r="C12315" t="s">
        <v>427</v>
      </c>
      <c r="D12315" t="s">
        <v>27121</v>
      </c>
    </row>
    <row r="12316" spans="1:4">
      <c r="A12316">
        <v>10411</v>
      </c>
      <c r="B12316" t="s">
        <v>12658</v>
      </c>
      <c r="C12316" t="s">
        <v>427</v>
      </c>
      <c r="D12316" t="s">
        <v>27122</v>
      </c>
    </row>
    <row r="12317" spans="1:4">
      <c r="A12317">
        <v>10404</v>
      </c>
      <c r="B12317" t="s">
        <v>12659</v>
      </c>
      <c r="C12317" t="s">
        <v>427</v>
      </c>
      <c r="D12317" t="s">
        <v>23688</v>
      </c>
    </row>
    <row r="12318" spans="1:4">
      <c r="A12318">
        <v>10410</v>
      </c>
      <c r="B12318" t="s">
        <v>12660</v>
      </c>
      <c r="C12318" t="s">
        <v>427</v>
      </c>
      <c r="D12318" t="s">
        <v>27123</v>
      </c>
    </row>
    <row r="12319" spans="1:4">
      <c r="A12319">
        <v>10405</v>
      </c>
      <c r="B12319" t="s">
        <v>12661</v>
      </c>
      <c r="C12319" t="s">
        <v>427</v>
      </c>
      <c r="D12319" t="s">
        <v>27124</v>
      </c>
    </row>
    <row r="12320" spans="1:4">
      <c r="A12320">
        <v>10408</v>
      </c>
      <c r="B12320" t="s">
        <v>12662</v>
      </c>
      <c r="C12320" t="s">
        <v>427</v>
      </c>
      <c r="D12320" t="s">
        <v>27125</v>
      </c>
    </row>
    <row r="12321" spans="1:4">
      <c r="A12321">
        <v>10412</v>
      </c>
      <c r="B12321" t="s">
        <v>12663</v>
      </c>
      <c r="C12321" t="s">
        <v>427</v>
      </c>
      <c r="D12321" t="s">
        <v>27126</v>
      </c>
    </row>
    <row r="12322" spans="1:4">
      <c r="A12322">
        <v>10406</v>
      </c>
      <c r="B12322" t="s">
        <v>12664</v>
      </c>
      <c r="C12322" t="s">
        <v>427</v>
      </c>
      <c r="D12322" t="s">
        <v>27127</v>
      </c>
    </row>
    <row r="12323" spans="1:4">
      <c r="A12323">
        <v>10407</v>
      </c>
      <c r="B12323" t="s">
        <v>12665</v>
      </c>
      <c r="C12323" t="s">
        <v>427</v>
      </c>
      <c r="D12323" t="s">
        <v>27128</v>
      </c>
    </row>
    <row r="12324" spans="1:4">
      <c r="A12324">
        <v>10416</v>
      </c>
      <c r="B12324" t="s">
        <v>12666</v>
      </c>
      <c r="C12324" t="s">
        <v>427</v>
      </c>
      <c r="D12324" t="s">
        <v>26833</v>
      </c>
    </row>
    <row r="12325" spans="1:4">
      <c r="A12325">
        <v>10419</v>
      </c>
      <c r="B12325" t="s">
        <v>12667</v>
      </c>
      <c r="C12325" t="s">
        <v>427</v>
      </c>
      <c r="D12325" t="s">
        <v>27129</v>
      </c>
    </row>
    <row r="12326" spans="1:4">
      <c r="A12326">
        <v>21092</v>
      </c>
      <c r="B12326" t="s">
        <v>12668</v>
      </c>
      <c r="C12326" t="s">
        <v>427</v>
      </c>
      <c r="D12326" t="s">
        <v>25622</v>
      </c>
    </row>
    <row r="12327" spans="1:4">
      <c r="A12327">
        <v>10418</v>
      </c>
      <c r="B12327" t="s">
        <v>12669</v>
      </c>
      <c r="C12327" t="s">
        <v>427</v>
      </c>
      <c r="D12327" t="s">
        <v>27130</v>
      </c>
    </row>
    <row r="12328" spans="1:4">
      <c r="A12328">
        <v>12657</v>
      </c>
      <c r="B12328" t="s">
        <v>12670</v>
      </c>
      <c r="C12328" t="s">
        <v>427</v>
      </c>
      <c r="D12328" t="s">
        <v>27131</v>
      </c>
    </row>
    <row r="12329" spans="1:4">
      <c r="A12329">
        <v>10417</v>
      </c>
      <c r="B12329" t="s">
        <v>12671</v>
      </c>
      <c r="C12329" t="s">
        <v>427</v>
      </c>
      <c r="D12329" t="s">
        <v>27132</v>
      </c>
    </row>
    <row r="12330" spans="1:4">
      <c r="A12330">
        <v>10413</v>
      </c>
      <c r="B12330" t="s">
        <v>12672</v>
      </c>
      <c r="C12330" t="s">
        <v>427</v>
      </c>
      <c r="D12330" t="s">
        <v>27133</v>
      </c>
    </row>
    <row r="12331" spans="1:4">
      <c r="A12331">
        <v>10414</v>
      </c>
      <c r="B12331" t="s">
        <v>12673</v>
      </c>
      <c r="C12331" t="s">
        <v>427</v>
      </c>
      <c r="D12331" t="s">
        <v>27134</v>
      </c>
    </row>
    <row r="12332" spans="1:4">
      <c r="A12332">
        <v>10415</v>
      </c>
      <c r="B12332" t="s">
        <v>12674</v>
      </c>
      <c r="C12332" t="s">
        <v>427</v>
      </c>
      <c r="D12332" t="s">
        <v>27135</v>
      </c>
    </row>
    <row r="12333" spans="1:4">
      <c r="A12333">
        <v>38643</v>
      </c>
      <c r="B12333" t="s">
        <v>12675</v>
      </c>
      <c r="C12333" t="s">
        <v>427</v>
      </c>
      <c r="D12333" t="s">
        <v>27136</v>
      </c>
    </row>
    <row r="12334" spans="1:4">
      <c r="A12334">
        <v>6157</v>
      </c>
      <c r="B12334" t="s">
        <v>12676</v>
      </c>
      <c r="C12334" t="s">
        <v>427</v>
      </c>
      <c r="D12334" t="s">
        <v>27137</v>
      </c>
    </row>
    <row r="12335" spans="1:4">
      <c r="A12335">
        <v>6152</v>
      </c>
      <c r="B12335" t="s">
        <v>12677</v>
      </c>
      <c r="C12335" t="s">
        <v>427</v>
      </c>
      <c r="D12335" t="s">
        <v>15525</v>
      </c>
    </row>
    <row r="12336" spans="1:4">
      <c r="A12336">
        <v>6158</v>
      </c>
      <c r="B12336" t="s">
        <v>12678</v>
      </c>
      <c r="C12336" t="s">
        <v>427</v>
      </c>
      <c r="D12336" t="s">
        <v>19244</v>
      </c>
    </row>
    <row r="12337" spans="1:4">
      <c r="A12337">
        <v>6153</v>
      </c>
      <c r="B12337" t="s">
        <v>12679</v>
      </c>
      <c r="C12337" t="s">
        <v>427</v>
      </c>
      <c r="D12337" t="s">
        <v>17227</v>
      </c>
    </row>
    <row r="12338" spans="1:4">
      <c r="A12338">
        <v>6156</v>
      </c>
      <c r="B12338" t="s">
        <v>12680</v>
      </c>
      <c r="C12338" t="s">
        <v>427</v>
      </c>
      <c r="D12338" t="s">
        <v>24350</v>
      </c>
    </row>
    <row r="12339" spans="1:4">
      <c r="A12339">
        <v>6154</v>
      </c>
      <c r="B12339" t="s">
        <v>12681</v>
      </c>
      <c r="C12339" t="s">
        <v>427</v>
      </c>
      <c r="D12339" t="s">
        <v>19186</v>
      </c>
    </row>
    <row r="12340" spans="1:4">
      <c r="A12340">
        <v>6155</v>
      </c>
      <c r="B12340" t="s">
        <v>12682</v>
      </c>
      <c r="C12340" t="s">
        <v>427</v>
      </c>
      <c r="D12340" t="s">
        <v>17216</v>
      </c>
    </row>
    <row r="12341" spans="1:4">
      <c r="A12341">
        <v>43595</v>
      </c>
      <c r="B12341" t="s">
        <v>12683</v>
      </c>
      <c r="C12341" t="s">
        <v>427</v>
      </c>
      <c r="D12341" t="s">
        <v>23183</v>
      </c>
    </row>
    <row r="12342" spans="1:4">
      <c r="A12342">
        <v>43596</v>
      </c>
      <c r="B12342" t="s">
        <v>12684</v>
      </c>
      <c r="C12342" t="s">
        <v>427</v>
      </c>
      <c r="D12342" t="s">
        <v>17350</v>
      </c>
    </row>
    <row r="12343" spans="1:4">
      <c r="A12343">
        <v>38108</v>
      </c>
      <c r="B12343" t="s">
        <v>12685</v>
      </c>
      <c r="C12343" t="s">
        <v>427</v>
      </c>
      <c r="D12343" t="s">
        <v>27138</v>
      </c>
    </row>
    <row r="12344" spans="1:4">
      <c r="A12344">
        <v>38087</v>
      </c>
      <c r="B12344" t="s">
        <v>12686</v>
      </c>
      <c r="C12344" t="s">
        <v>427</v>
      </c>
      <c r="D12344" t="s">
        <v>27139</v>
      </c>
    </row>
    <row r="12345" spans="1:4">
      <c r="A12345">
        <v>38109</v>
      </c>
      <c r="B12345" t="s">
        <v>12687</v>
      </c>
      <c r="C12345" t="s">
        <v>427</v>
      </c>
      <c r="D12345" t="s">
        <v>27140</v>
      </c>
    </row>
    <row r="12346" spans="1:4">
      <c r="A12346">
        <v>38088</v>
      </c>
      <c r="B12346" t="s">
        <v>12688</v>
      </c>
      <c r="C12346" t="s">
        <v>427</v>
      </c>
      <c r="D12346" t="s">
        <v>18714</v>
      </c>
    </row>
    <row r="12347" spans="1:4">
      <c r="A12347">
        <v>38110</v>
      </c>
      <c r="B12347" t="s">
        <v>12689</v>
      </c>
      <c r="C12347" t="s">
        <v>427</v>
      </c>
      <c r="D12347" t="s">
        <v>22979</v>
      </c>
    </row>
    <row r="12348" spans="1:4">
      <c r="A12348">
        <v>38089</v>
      </c>
      <c r="B12348" t="s">
        <v>12690</v>
      </c>
      <c r="C12348" t="s">
        <v>427</v>
      </c>
      <c r="D12348" t="s">
        <v>14899</v>
      </c>
    </row>
    <row r="12349" spans="1:4">
      <c r="A12349">
        <v>38111</v>
      </c>
      <c r="B12349" t="s">
        <v>12691</v>
      </c>
      <c r="C12349" t="s">
        <v>427</v>
      </c>
      <c r="D12349" t="s">
        <v>16663</v>
      </c>
    </row>
    <row r="12350" spans="1:4">
      <c r="A12350">
        <v>38090</v>
      </c>
      <c r="B12350" t="s">
        <v>12692</v>
      </c>
      <c r="C12350" t="s">
        <v>427</v>
      </c>
      <c r="D12350" t="s">
        <v>27093</v>
      </c>
    </row>
    <row r="12351" spans="1:4">
      <c r="A12351">
        <v>13726</v>
      </c>
      <c r="B12351" t="s">
        <v>12693</v>
      </c>
      <c r="C12351" t="s">
        <v>427</v>
      </c>
      <c r="D12351" t="s">
        <v>27141</v>
      </c>
    </row>
    <row r="12352" spans="1:4">
      <c r="A12352">
        <v>38400</v>
      </c>
      <c r="B12352" t="s">
        <v>12694</v>
      </c>
      <c r="C12352" t="s">
        <v>427</v>
      </c>
      <c r="D12352" t="s">
        <v>20524</v>
      </c>
    </row>
    <row r="12353" spans="1:4">
      <c r="A12353">
        <v>12627</v>
      </c>
      <c r="B12353" t="s">
        <v>12695</v>
      </c>
      <c r="C12353" t="s">
        <v>427</v>
      </c>
      <c r="D12353" t="s">
        <v>15605</v>
      </c>
    </row>
    <row r="12354" spans="1:4">
      <c r="A12354">
        <v>39996</v>
      </c>
      <c r="B12354" t="s">
        <v>12696</v>
      </c>
      <c r="C12354" t="s">
        <v>429</v>
      </c>
      <c r="D12354" t="s">
        <v>14818</v>
      </c>
    </row>
    <row r="12355" spans="1:4">
      <c r="A12355">
        <v>10478</v>
      </c>
      <c r="B12355" t="s">
        <v>13585</v>
      </c>
      <c r="C12355" t="s">
        <v>428</v>
      </c>
      <c r="D12355" t="s">
        <v>22190</v>
      </c>
    </row>
    <row r="12356" spans="1:4">
      <c r="A12356">
        <v>10481</v>
      </c>
      <c r="B12356" t="s">
        <v>13586</v>
      </c>
      <c r="C12356" t="s">
        <v>428</v>
      </c>
      <c r="D12356" t="s">
        <v>17220</v>
      </c>
    </row>
    <row r="12357" spans="1:4">
      <c r="A12357">
        <v>10475</v>
      </c>
      <c r="B12357" t="s">
        <v>13587</v>
      </c>
      <c r="C12357" t="s">
        <v>428</v>
      </c>
      <c r="D12357" t="s">
        <v>18228</v>
      </c>
    </row>
    <row r="12358" spans="1:4">
      <c r="A12358">
        <v>4031</v>
      </c>
      <c r="B12358" t="s">
        <v>12697</v>
      </c>
      <c r="C12358" t="s">
        <v>426</v>
      </c>
      <c r="D12358" t="s">
        <v>25516</v>
      </c>
    </row>
    <row r="12359" spans="1:4">
      <c r="A12359">
        <v>4030</v>
      </c>
      <c r="B12359" t="s">
        <v>12698</v>
      </c>
      <c r="C12359" t="s">
        <v>426</v>
      </c>
      <c r="D12359" t="s">
        <v>24491</v>
      </c>
    </row>
    <row r="12360" spans="1:4">
      <c r="A12360">
        <v>39399</v>
      </c>
      <c r="B12360" t="s">
        <v>12699</v>
      </c>
      <c r="C12360" t="s">
        <v>427</v>
      </c>
      <c r="D12360" t="s">
        <v>27142</v>
      </c>
    </row>
    <row r="12361" spans="1:4">
      <c r="A12361">
        <v>39400</v>
      </c>
      <c r="B12361" t="s">
        <v>12700</v>
      </c>
      <c r="C12361" t="s">
        <v>427</v>
      </c>
      <c r="D12361" t="s">
        <v>27143</v>
      </c>
    </row>
    <row r="12362" spans="1:4">
      <c r="A12362">
        <v>39401</v>
      </c>
      <c r="B12362" t="s">
        <v>12701</v>
      </c>
      <c r="C12362" t="s">
        <v>427</v>
      </c>
      <c r="D12362" t="s">
        <v>27144</v>
      </c>
    </row>
    <row r="12363" spans="1:4">
      <c r="A12363">
        <v>11652</v>
      </c>
      <c r="B12363" t="s">
        <v>12702</v>
      </c>
      <c r="C12363" t="s">
        <v>427</v>
      </c>
      <c r="D12363" t="s">
        <v>27145</v>
      </c>
    </row>
    <row r="12364" spans="1:4">
      <c r="A12364">
        <v>13896</v>
      </c>
      <c r="B12364" t="s">
        <v>12703</v>
      </c>
      <c r="C12364" t="s">
        <v>427</v>
      </c>
      <c r="D12364" t="s">
        <v>27146</v>
      </c>
    </row>
    <row r="12365" spans="1:4">
      <c r="A12365">
        <v>13475</v>
      </c>
      <c r="B12365" t="s">
        <v>12704</v>
      </c>
      <c r="C12365" t="s">
        <v>427</v>
      </c>
      <c r="D12365" t="s">
        <v>27147</v>
      </c>
    </row>
    <row r="12366" spans="1:4">
      <c r="A12366">
        <v>44491</v>
      </c>
      <c r="B12366" t="s">
        <v>13588</v>
      </c>
      <c r="C12366" t="s">
        <v>427</v>
      </c>
      <c r="D12366" t="s">
        <v>27148</v>
      </c>
    </row>
    <row r="12367" spans="1:4">
      <c r="A12367">
        <v>44470</v>
      </c>
      <c r="B12367" t="s">
        <v>12705</v>
      </c>
      <c r="C12367" t="s">
        <v>427</v>
      </c>
      <c r="D12367" t="s">
        <v>27149</v>
      </c>
    </row>
    <row r="12368" spans="1:4">
      <c r="A12368">
        <v>13476</v>
      </c>
      <c r="B12368" t="s">
        <v>12706</v>
      </c>
      <c r="C12368" t="s">
        <v>427</v>
      </c>
      <c r="D12368" t="s">
        <v>27150</v>
      </c>
    </row>
    <row r="12369" spans="1:4">
      <c r="A12369">
        <v>10488</v>
      </c>
      <c r="B12369" t="s">
        <v>12707</v>
      </c>
      <c r="C12369" t="s">
        <v>427</v>
      </c>
      <c r="D12369" t="s">
        <v>27151</v>
      </c>
    </row>
    <row r="12370" spans="1:4">
      <c r="A12370">
        <v>13606</v>
      </c>
      <c r="B12370" t="s">
        <v>12708</v>
      </c>
      <c r="C12370" t="s">
        <v>427</v>
      </c>
      <c r="D12370" t="s">
        <v>27152</v>
      </c>
    </row>
    <row r="12371" spans="1:4">
      <c r="A12371">
        <v>10489</v>
      </c>
      <c r="B12371" t="s">
        <v>13589</v>
      </c>
      <c r="C12371" t="s">
        <v>432</v>
      </c>
      <c r="D12371" t="s">
        <v>15717</v>
      </c>
    </row>
    <row r="12372" spans="1:4">
      <c r="A12372">
        <v>41073</v>
      </c>
      <c r="B12372" t="s">
        <v>12709</v>
      </c>
      <c r="C12372" t="s">
        <v>433</v>
      </c>
      <c r="D12372" t="s">
        <v>27153</v>
      </c>
    </row>
    <row r="12373" spans="1:4">
      <c r="A12373">
        <v>34391</v>
      </c>
      <c r="B12373" t="s">
        <v>12710</v>
      </c>
      <c r="C12373" t="s">
        <v>426</v>
      </c>
      <c r="D12373" t="s">
        <v>27154</v>
      </c>
    </row>
    <row r="12374" spans="1:4">
      <c r="A12374">
        <v>10496</v>
      </c>
      <c r="B12374" t="s">
        <v>12711</v>
      </c>
      <c r="C12374" t="s">
        <v>426</v>
      </c>
      <c r="D12374" t="s">
        <v>27155</v>
      </c>
    </row>
    <row r="12375" spans="1:4">
      <c r="A12375">
        <v>10497</v>
      </c>
      <c r="B12375" t="s">
        <v>12712</v>
      </c>
      <c r="C12375" t="s">
        <v>426</v>
      </c>
      <c r="D12375" t="s">
        <v>27156</v>
      </c>
    </row>
    <row r="12376" spans="1:4">
      <c r="A12376">
        <v>10504</v>
      </c>
      <c r="B12376" t="s">
        <v>12713</v>
      </c>
      <c r="C12376" t="s">
        <v>426</v>
      </c>
      <c r="D12376" t="s">
        <v>27157</v>
      </c>
    </row>
    <row r="12377" spans="1:4">
      <c r="A12377">
        <v>34390</v>
      </c>
      <c r="B12377" t="s">
        <v>12714</v>
      </c>
      <c r="C12377" t="s">
        <v>426</v>
      </c>
      <c r="D12377" t="s">
        <v>27158</v>
      </c>
    </row>
    <row r="12378" spans="1:4">
      <c r="A12378">
        <v>34389</v>
      </c>
      <c r="B12378" t="s">
        <v>12715</v>
      </c>
      <c r="C12378" t="s">
        <v>426</v>
      </c>
      <c r="D12378" t="s">
        <v>27159</v>
      </c>
    </row>
    <row r="12379" spans="1:4">
      <c r="A12379">
        <v>34388</v>
      </c>
      <c r="B12379" t="s">
        <v>12716</v>
      </c>
      <c r="C12379" t="s">
        <v>426</v>
      </c>
      <c r="D12379" t="s">
        <v>19694</v>
      </c>
    </row>
    <row r="12380" spans="1:4">
      <c r="A12380">
        <v>34387</v>
      </c>
      <c r="B12380" t="s">
        <v>12717</v>
      </c>
      <c r="C12380" t="s">
        <v>426</v>
      </c>
      <c r="D12380" t="s">
        <v>27160</v>
      </c>
    </row>
    <row r="12381" spans="1:4">
      <c r="A12381">
        <v>11188</v>
      </c>
      <c r="B12381" t="s">
        <v>12718</v>
      </c>
      <c r="C12381" t="s">
        <v>426</v>
      </c>
      <c r="D12381" t="s">
        <v>27161</v>
      </c>
    </row>
    <row r="12382" spans="1:4">
      <c r="A12382">
        <v>11189</v>
      </c>
      <c r="B12382" t="s">
        <v>12719</v>
      </c>
      <c r="C12382" t="s">
        <v>426</v>
      </c>
      <c r="D12382" t="s">
        <v>27162</v>
      </c>
    </row>
    <row r="12383" spans="1:4">
      <c r="A12383">
        <v>21107</v>
      </c>
      <c r="B12383" t="s">
        <v>12720</v>
      </c>
      <c r="C12383" t="s">
        <v>426</v>
      </c>
      <c r="D12383" t="s">
        <v>16848</v>
      </c>
    </row>
    <row r="12384" spans="1:4">
      <c r="A12384">
        <v>34386</v>
      </c>
      <c r="B12384" t="s">
        <v>12721</v>
      </c>
      <c r="C12384" t="s">
        <v>426</v>
      </c>
      <c r="D12384" t="s">
        <v>27163</v>
      </c>
    </row>
    <row r="12385" spans="1:4">
      <c r="A12385">
        <v>10490</v>
      </c>
      <c r="B12385" t="s">
        <v>12722</v>
      </c>
      <c r="C12385" t="s">
        <v>426</v>
      </c>
      <c r="D12385" t="s">
        <v>27164</v>
      </c>
    </row>
    <row r="12386" spans="1:4">
      <c r="A12386">
        <v>10492</v>
      </c>
      <c r="B12386" t="s">
        <v>12723</v>
      </c>
      <c r="C12386" t="s">
        <v>426</v>
      </c>
      <c r="D12386" t="s">
        <v>27165</v>
      </c>
    </row>
    <row r="12387" spans="1:4">
      <c r="A12387">
        <v>10493</v>
      </c>
      <c r="B12387" t="s">
        <v>12724</v>
      </c>
      <c r="C12387" t="s">
        <v>426</v>
      </c>
      <c r="D12387" t="s">
        <v>27159</v>
      </c>
    </row>
    <row r="12388" spans="1:4">
      <c r="A12388">
        <v>10491</v>
      </c>
      <c r="B12388" t="s">
        <v>12725</v>
      </c>
      <c r="C12388" t="s">
        <v>426</v>
      </c>
      <c r="D12388" t="s">
        <v>27166</v>
      </c>
    </row>
    <row r="12389" spans="1:4">
      <c r="A12389">
        <v>34385</v>
      </c>
      <c r="B12389" t="s">
        <v>12726</v>
      </c>
      <c r="C12389" t="s">
        <v>426</v>
      </c>
      <c r="D12389" t="s">
        <v>27167</v>
      </c>
    </row>
    <row r="12390" spans="1:4">
      <c r="A12390">
        <v>10499</v>
      </c>
      <c r="B12390" t="s">
        <v>12727</v>
      </c>
      <c r="C12390" t="s">
        <v>426</v>
      </c>
      <c r="D12390" t="s">
        <v>27168</v>
      </c>
    </row>
    <row r="12391" spans="1:4">
      <c r="A12391">
        <v>34384</v>
      </c>
      <c r="B12391" t="s">
        <v>12728</v>
      </c>
      <c r="C12391" t="s">
        <v>426</v>
      </c>
      <c r="D12391" t="s">
        <v>27163</v>
      </c>
    </row>
    <row r="12392" spans="1:4">
      <c r="A12392">
        <v>11185</v>
      </c>
      <c r="B12392" t="s">
        <v>12729</v>
      </c>
      <c r="C12392" t="s">
        <v>426</v>
      </c>
      <c r="D12392" t="s">
        <v>27169</v>
      </c>
    </row>
    <row r="12393" spans="1:4">
      <c r="A12393">
        <v>10507</v>
      </c>
      <c r="B12393" t="s">
        <v>12730</v>
      </c>
      <c r="C12393" t="s">
        <v>426</v>
      </c>
      <c r="D12393" t="s">
        <v>27170</v>
      </c>
    </row>
    <row r="12394" spans="1:4">
      <c r="A12394">
        <v>10505</v>
      </c>
      <c r="B12394" t="s">
        <v>12731</v>
      </c>
      <c r="C12394" t="s">
        <v>426</v>
      </c>
      <c r="D12394" t="s">
        <v>19455</v>
      </c>
    </row>
    <row r="12395" spans="1:4">
      <c r="A12395">
        <v>10506</v>
      </c>
      <c r="B12395" t="s">
        <v>12732</v>
      </c>
      <c r="C12395" t="s">
        <v>426</v>
      </c>
      <c r="D12395" t="s">
        <v>27171</v>
      </c>
    </row>
    <row r="12396" spans="1:4">
      <c r="A12396">
        <v>5031</v>
      </c>
      <c r="B12396" t="s">
        <v>12733</v>
      </c>
      <c r="C12396" t="s">
        <v>426</v>
      </c>
      <c r="D12396" t="s">
        <v>27172</v>
      </c>
    </row>
    <row r="12397" spans="1:4">
      <c r="A12397">
        <v>10502</v>
      </c>
      <c r="B12397" t="s">
        <v>12734</v>
      </c>
      <c r="C12397" t="s">
        <v>426</v>
      </c>
      <c r="D12397" t="s">
        <v>27173</v>
      </c>
    </row>
    <row r="12398" spans="1:4">
      <c r="A12398">
        <v>10501</v>
      </c>
      <c r="B12398" t="s">
        <v>12735</v>
      </c>
      <c r="C12398" t="s">
        <v>426</v>
      </c>
      <c r="D12398" t="s">
        <v>27174</v>
      </c>
    </row>
    <row r="12399" spans="1:4">
      <c r="A12399">
        <v>10503</v>
      </c>
      <c r="B12399" t="s">
        <v>12736</v>
      </c>
      <c r="C12399" t="s">
        <v>426</v>
      </c>
      <c r="D12399" t="s">
        <v>27175</v>
      </c>
    </row>
    <row r="12400" spans="1:4">
      <c r="A12400">
        <v>4500</v>
      </c>
      <c r="B12400" t="s">
        <v>12737</v>
      </c>
      <c r="C12400" t="s">
        <v>429</v>
      </c>
      <c r="D12400" t="s">
        <v>22662</v>
      </c>
    </row>
    <row r="12401" spans="1:4">
      <c r="A12401">
        <v>4448</v>
      </c>
      <c r="B12401" t="s">
        <v>12738</v>
      </c>
      <c r="C12401" t="s">
        <v>429</v>
      </c>
      <c r="D12401" t="s">
        <v>21123</v>
      </c>
    </row>
    <row r="12402" spans="1:4">
      <c r="A12402">
        <v>20213</v>
      </c>
      <c r="B12402" t="s">
        <v>12739</v>
      </c>
      <c r="C12402" t="s">
        <v>429</v>
      </c>
      <c r="D12402" t="s">
        <v>27176</v>
      </c>
    </row>
    <row r="12403" spans="1:4">
      <c r="A12403">
        <v>20211</v>
      </c>
      <c r="B12403" t="s">
        <v>12740</v>
      </c>
      <c r="C12403" t="s">
        <v>429</v>
      </c>
      <c r="D12403" t="s">
        <v>27177</v>
      </c>
    </row>
    <row r="12404" spans="1:4">
      <c r="A12404">
        <v>40270</v>
      </c>
      <c r="B12404" t="s">
        <v>12741</v>
      </c>
      <c r="C12404" t="s">
        <v>429</v>
      </c>
      <c r="D12404" t="s">
        <v>27178</v>
      </c>
    </row>
    <row r="12405" spans="1:4">
      <c r="A12405">
        <v>4425</v>
      </c>
      <c r="B12405" t="s">
        <v>12742</v>
      </c>
      <c r="C12405" t="s">
        <v>429</v>
      </c>
      <c r="D12405" t="s">
        <v>15388</v>
      </c>
    </row>
    <row r="12406" spans="1:4">
      <c r="A12406">
        <v>4472</v>
      </c>
      <c r="B12406" t="s">
        <v>12743</v>
      </c>
      <c r="C12406" t="s">
        <v>429</v>
      </c>
      <c r="D12406" t="s">
        <v>19789</v>
      </c>
    </row>
    <row r="12407" spans="1:4">
      <c r="A12407">
        <v>35272</v>
      </c>
      <c r="B12407" t="s">
        <v>12744</v>
      </c>
      <c r="C12407" t="s">
        <v>429</v>
      </c>
      <c r="D12407" t="s">
        <v>16306</v>
      </c>
    </row>
    <row r="12408" spans="1:4">
      <c r="A12408">
        <v>4481</v>
      </c>
      <c r="B12408" t="s">
        <v>12745</v>
      </c>
      <c r="C12408" t="s">
        <v>429</v>
      </c>
      <c r="D12408" t="s">
        <v>24375</v>
      </c>
    </row>
    <row r="12409" spans="1:4">
      <c r="A12409">
        <v>34345</v>
      </c>
      <c r="B12409" t="s">
        <v>12746</v>
      </c>
      <c r="C12409" t="s">
        <v>432</v>
      </c>
      <c r="D12409" t="s">
        <v>16929</v>
      </c>
    </row>
    <row r="12410" spans="1:4">
      <c r="A12410">
        <v>41096</v>
      </c>
      <c r="B12410" t="s">
        <v>12747</v>
      </c>
      <c r="C12410" t="s">
        <v>433</v>
      </c>
      <c r="D12410" t="s">
        <v>24768</v>
      </c>
    </row>
    <row r="12411" spans="1:4">
      <c r="A12411">
        <v>41776</v>
      </c>
      <c r="B12411" t="s">
        <v>12748</v>
      </c>
      <c r="C12411" t="s">
        <v>432</v>
      </c>
      <c r="D12411" t="s">
        <v>17328</v>
      </c>
    </row>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636"/>
  <sheetViews>
    <sheetView view="pageBreakPreview" topLeftCell="A221" zoomScale="60" zoomScaleNormal="55" zoomScalePageLayoutView="40" workbookViewId="0">
      <selection activeCell="N9089" sqref="N9089"/>
    </sheetView>
  </sheetViews>
  <sheetFormatPr defaultRowHeight="15"/>
  <cols>
    <col min="1" max="1" width="26.5703125" style="121" customWidth="1"/>
    <col min="2" max="2" width="255.7109375" style="121" customWidth="1"/>
    <col min="3" max="3" width="24.7109375" style="121" customWidth="1"/>
    <col min="4" max="4" width="59" style="121" customWidth="1"/>
  </cols>
  <sheetData>
    <row r="3" spans="1:4">
      <c r="A3" s="122" t="s">
        <v>14580</v>
      </c>
      <c r="B3" s="122" t="s">
        <v>21</v>
      </c>
      <c r="C3" s="121" t="s">
        <v>14583</v>
      </c>
      <c r="D3" s="121" t="s">
        <v>14584</v>
      </c>
    </row>
    <row r="4" spans="1:4">
      <c r="A4" s="123" t="s">
        <v>14504</v>
      </c>
      <c r="B4" s="123" t="s">
        <v>7665</v>
      </c>
      <c r="C4" s="124">
        <v>1</v>
      </c>
      <c r="D4" s="124">
        <v>484.13</v>
      </c>
    </row>
    <row r="5" spans="1:4">
      <c r="B5" s="123" t="s">
        <v>7663</v>
      </c>
      <c r="C5" s="124">
        <v>1</v>
      </c>
      <c r="D5" s="124">
        <v>111.31</v>
      </c>
    </row>
    <row r="6" spans="1:4">
      <c r="B6" s="123" t="s">
        <v>7666</v>
      </c>
      <c r="C6" s="124">
        <v>1</v>
      </c>
      <c r="D6" s="124">
        <v>72.52</v>
      </c>
    </row>
    <row r="7" spans="1:4">
      <c r="B7" s="123" t="s">
        <v>7633</v>
      </c>
      <c r="C7" s="124">
        <v>1</v>
      </c>
      <c r="D7" s="124">
        <v>13721.84</v>
      </c>
    </row>
    <row r="8" spans="1:4">
      <c r="B8" s="123" t="s">
        <v>208</v>
      </c>
      <c r="C8" s="124">
        <v>1</v>
      </c>
      <c r="D8" s="124">
        <v>371.76</v>
      </c>
    </row>
    <row r="9" spans="1:4">
      <c r="B9" s="123" t="s">
        <v>13084</v>
      </c>
      <c r="C9" s="124">
        <v>1</v>
      </c>
      <c r="D9" s="124">
        <v>550</v>
      </c>
    </row>
    <row r="10" spans="1:4">
      <c r="B10" s="123" t="s">
        <v>7664</v>
      </c>
      <c r="C10" s="124">
        <v>1</v>
      </c>
      <c r="D10" s="124">
        <v>111.31</v>
      </c>
    </row>
    <row r="11" spans="1:4">
      <c r="B11" s="123" t="s">
        <v>13925</v>
      </c>
      <c r="C11" s="124">
        <v>1</v>
      </c>
      <c r="D11" s="124">
        <v>10.73</v>
      </c>
    </row>
    <row r="12" spans="1:4">
      <c r="B12" s="123" t="s">
        <v>14166</v>
      </c>
      <c r="C12" s="124">
        <v>1</v>
      </c>
      <c r="D12" s="124">
        <v>42.31</v>
      </c>
    </row>
    <row r="13" spans="1:4">
      <c r="B13" s="123" t="s">
        <v>7740</v>
      </c>
      <c r="C13" s="124">
        <v>1</v>
      </c>
      <c r="D13" s="124">
        <v>56.06</v>
      </c>
    </row>
    <row r="14" spans="1:4">
      <c r="B14" s="123" t="s">
        <v>406</v>
      </c>
      <c r="C14" s="124">
        <v>1</v>
      </c>
      <c r="D14" s="124">
        <v>31.849999999999998</v>
      </c>
    </row>
    <row r="15" spans="1:4">
      <c r="B15" s="123" t="s">
        <v>14158</v>
      </c>
      <c r="C15" s="124">
        <v>1</v>
      </c>
      <c r="D15" s="124">
        <v>1730.6599999999999</v>
      </c>
    </row>
    <row r="16" spans="1:4">
      <c r="B16" s="123" t="s">
        <v>13118</v>
      </c>
      <c r="C16" s="124">
        <v>1</v>
      </c>
      <c r="D16" s="124">
        <v>139.19999999999999</v>
      </c>
    </row>
    <row r="17" spans="2:4" ht="30">
      <c r="B17" s="123" t="s">
        <v>7667</v>
      </c>
      <c r="C17" s="124">
        <v>1</v>
      </c>
      <c r="D17" s="124">
        <v>19.02</v>
      </c>
    </row>
    <row r="18" spans="2:4">
      <c r="B18" s="123" t="s">
        <v>210</v>
      </c>
      <c r="C18" s="124">
        <v>1</v>
      </c>
      <c r="D18" s="124">
        <v>133.14000000000001</v>
      </c>
    </row>
    <row r="19" spans="2:4">
      <c r="B19" s="123" t="s">
        <v>7685</v>
      </c>
      <c r="C19" s="124">
        <v>1</v>
      </c>
      <c r="D19" s="124">
        <v>18.45</v>
      </c>
    </row>
    <row r="20" spans="2:4">
      <c r="B20" s="123" t="s">
        <v>7636</v>
      </c>
      <c r="C20" s="124">
        <v>3</v>
      </c>
      <c r="D20" s="124">
        <v>388.74</v>
      </c>
    </row>
    <row r="21" spans="2:4">
      <c r="B21" s="123" t="s">
        <v>7634</v>
      </c>
      <c r="C21" s="124">
        <v>1</v>
      </c>
      <c r="D21" s="124">
        <v>6.1899999999999995</v>
      </c>
    </row>
    <row r="22" spans="2:4">
      <c r="B22" s="123" t="s">
        <v>7662</v>
      </c>
      <c r="C22" s="124">
        <v>1</v>
      </c>
      <c r="D22" s="124">
        <v>3295.81</v>
      </c>
    </row>
    <row r="23" spans="2:4">
      <c r="B23" s="123" t="s">
        <v>13167</v>
      </c>
      <c r="C23" s="124">
        <v>1</v>
      </c>
      <c r="D23" s="124">
        <v>76.09</v>
      </c>
    </row>
    <row r="24" spans="2:4">
      <c r="B24" s="123" t="s">
        <v>14524</v>
      </c>
      <c r="C24" s="124">
        <v>1</v>
      </c>
      <c r="D24" s="124">
        <v>39823.320000000007</v>
      </c>
    </row>
    <row r="25" spans="2:4">
      <c r="B25" s="123" t="s">
        <v>13242</v>
      </c>
      <c r="C25" s="124">
        <v>2</v>
      </c>
      <c r="D25" s="124">
        <v>1509.2</v>
      </c>
    </row>
    <row r="26" spans="2:4">
      <c r="B26" s="123" t="s">
        <v>7691</v>
      </c>
      <c r="C26" s="124">
        <v>1</v>
      </c>
      <c r="D26" s="124">
        <v>169.81</v>
      </c>
    </row>
    <row r="27" spans="2:4">
      <c r="B27" s="123" t="s">
        <v>13263</v>
      </c>
      <c r="C27" s="124">
        <v>1</v>
      </c>
      <c r="D27" s="124">
        <v>195.6</v>
      </c>
    </row>
    <row r="28" spans="2:4">
      <c r="B28" s="123" t="s">
        <v>7759</v>
      </c>
      <c r="C28" s="124">
        <v>2</v>
      </c>
      <c r="D28" s="124">
        <v>811.06000000000006</v>
      </c>
    </row>
    <row r="29" spans="2:4">
      <c r="B29" s="123" t="s">
        <v>7668</v>
      </c>
      <c r="C29" s="124">
        <v>1</v>
      </c>
      <c r="D29" s="124">
        <v>1049.7099999999998</v>
      </c>
    </row>
    <row r="30" spans="2:4">
      <c r="B30" s="123" t="s">
        <v>7608</v>
      </c>
      <c r="C30" s="124">
        <v>2</v>
      </c>
      <c r="D30" s="124">
        <v>33583.18</v>
      </c>
    </row>
    <row r="31" spans="2:4">
      <c r="B31" s="123" t="s">
        <v>14160</v>
      </c>
      <c r="C31" s="124">
        <v>2</v>
      </c>
      <c r="D31" s="124">
        <v>2318.1200000000003</v>
      </c>
    </row>
    <row r="32" spans="2:4">
      <c r="B32" s="123" t="s">
        <v>7641</v>
      </c>
      <c r="C32" s="124">
        <v>3</v>
      </c>
      <c r="D32" s="124">
        <v>7636.5600000000013</v>
      </c>
    </row>
    <row r="33" spans="2:4">
      <c r="B33" s="123" t="s">
        <v>7389</v>
      </c>
      <c r="C33" s="124">
        <v>1</v>
      </c>
      <c r="D33" s="124">
        <v>2545.5200000000004</v>
      </c>
    </row>
    <row r="34" spans="2:4">
      <c r="B34" s="123" t="s">
        <v>7686</v>
      </c>
      <c r="C34" s="124">
        <v>1</v>
      </c>
      <c r="D34" s="124">
        <v>65.97</v>
      </c>
    </row>
    <row r="35" spans="2:4">
      <c r="B35" s="123" t="s">
        <v>14558</v>
      </c>
      <c r="C35" s="124">
        <v>1</v>
      </c>
      <c r="D35" s="124">
        <v>136.27000000000001</v>
      </c>
    </row>
    <row r="36" spans="2:4">
      <c r="B36" s="123" t="s">
        <v>14560</v>
      </c>
      <c r="C36" s="124">
        <v>1</v>
      </c>
      <c r="D36" s="124">
        <v>292.90999999999997</v>
      </c>
    </row>
    <row r="37" spans="2:4">
      <c r="B37" s="123" t="s">
        <v>14554</v>
      </c>
      <c r="C37" s="124">
        <v>1</v>
      </c>
      <c r="D37" s="124">
        <v>62.25</v>
      </c>
    </row>
    <row r="38" spans="2:4">
      <c r="B38" s="123" t="s">
        <v>13067</v>
      </c>
      <c r="C38" s="124">
        <v>1</v>
      </c>
      <c r="D38" s="124">
        <v>113.55</v>
      </c>
    </row>
    <row r="39" spans="2:4">
      <c r="B39" s="123" t="s">
        <v>13182</v>
      </c>
      <c r="C39" s="124">
        <v>1</v>
      </c>
      <c r="D39" s="124">
        <v>1477.9299999999998</v>
      </c>
    </row>
    <row r="40" spans="2:4">
      <c r="B40" s="123" t="s">
        <v>14235</v>
      </c>
      <c r="C40" s="124">
        <v>1</v>
      </c>
      <c r="D40" s="124">
        <v>29019.100000000002</v>
      </c>
    </row>
    <row r="41" spans="2:4">
      <c r="B41" s="123" t="s">
        <v>13213</v>
      </c>
      <c r="C41" s="124">
        <v>1</v>
      </c>
      <c r="D41" s="124">
        <v>183.55</v>
      </c>
    </row>
    <row r="42" spans="2:4">
      <c r="B42" s="123" t="s">
        <v>7097</v>
      </c>
      <c r="C42" s="124">
        <v>5</v>
      </c>
      <c r="D42" s="124">
        <v>299</v>
      </c>
    </row>
    <row r="43" spans="2:4">
      <c r="B43" s="123" t="s">
        <v>14236</v>
      </c>
      <c r="C43" s="124">
        <v>1</v>
      </c>
      <c r="D43" s="124">
        <v>2448.37</v>
      </c>
    </row>
    <row r="44" spans="2:4">
      <c r="B44" s="123" t="s">
        <v>14238</v>
      </c>
      <c r="C44" s="124">
        <v>1</v>
      </c>
      <c r="D44" s="124">
        <v>1653.5200000000002</v>
      </c>
    </row>
    <row r="45" spans="2:4">
      <c r="B45" s="123" t="s">
        <v>14237</v>
      </c>
      <c r="C45" s="124">
        <v>1</v>
      </c>
      <c r="D45" s="124">
        <v>1574.88</v>
      </c>
    </row>
    <row r="46" spans="2:4">
      <c r="B46" s="123" t="s">
        <v>7737</v>
      </c>
      <c r="C46" s="124">
        <v>1</v>
      </c>
      <c r="D46" s="124">
        <v>18.84</v>
      </c>
    </row>
    <row r="47" spans="2:4">
      <c r="B47" s="123" t="s">
        <v>7736</v>
      </c>
      <c r="C47" s="124">
        <v>1</v>
      </c>
      <c r="D47" s="124">
        <v>42.089999999999996</v>
      </c>
    </row>
    <row r="48" spans="2:4">
      <c r="B48" s="123" t="s">
        <v>7632</v>
      </c>
      <c r="C48" s="124">
        <v>1</v>
      </c>
      <c r="D48" s="124">
        <v>327.04000000000002</v>
      </c>
    </row>
    <row r="49" spans="2:4">
      <c r="B49" s="123" t="s">
        <v>7732</v>
      </c>
      <c r="C49" s="124">
        <v>1</v>
      </c>
      <c r="D49" s="124">
        <v>44.1</v>
      </c>
    </row>
    <row r="50" spans="2:4">
      <c r="B50" s="123" t="s">
        <v>7731</v>
      </c>
      <c r="C50" s="124">
        <v>1</v>
      </c>
      <c r="D50" s="124">
        <v>64.7</v>
      </c>
    </row>
    <row r="51" spans="2:4">
      <c r="B51" s="123" t="s">
        <v>7670</v>
      </c>
      <c r="C51" s="124">
        <v>1</v>
      </c>
      <c r="D51" s="124">
        <v>21.01</v>
      </c>
    </row>
    <row r="52" spans="2:4">
      <c r="B52" s="123" t="s">
        <v>7671</v>
      </c>
      <c r="C52" s="124">
        <v>1</v>
      </c>
      <c r="D52" s="124">
        <v>21.35</v>
      </c>
    </row>
    <row r="53" spans="2:4">
      <c r="B53" s="123" t="s">
        <v>7672</v>
      </c>
      <c r="C53" s="124">
        <v>1</v>
      </c>
      <c r="D53" s="124">
        <v>18.48</v>
      </c>
    </row>
    <row r="54" spans="2:4">
      <c r="B54" s="123" t="s">
        <v>13931</v>
      </c>
      <c r="C54" s="124">
        <v>1</v>
      </c>
      <c r="D54" s="124">
        <v>21.01</v>
      </c>
    </row>
    <row r="55" spans="2:4">
      <c r="B55" s="123" t="s">
        <v>7678</v>
      </c>
      <c r="C55" s="124">
        <v>1</v>
      </c>
      <c r="D55" s="124">
        <v>20.450000000000003</v>
      </c>
    </row>
    <row r="56" spans="2:4">
      <c r="B56" s="123" t="s">
        <v>7679</v>
      </c>
      <c r="C56" s="124">
        <v>1</v>
      </c>
      <c r="D56" s="124">
        <v>20.450000000000003</v>
      </c>
    </row>
    <row r="57" spans="2:4">
      <c r="B57" s="123" t="s">
        <v>7682</v>
      </c>
      <c r="C57" s="124">
        <v>1</v>
      </c>
      <c r="D57" s="124">
        <v>20.450000000000003</v>
      </c>
    </row>
    <row r="58" spans="2:4">
      <c r="B58" s="123" t="s">
        <v>7680</v>
      </c>
      <c r="C58" s="124">
        <v>1</v>
      </c>
      <c r="D58" s="124">
        <v>24.04</v>
      </c>
    </row>
    <row r="59" spans="2:4">
      <c r="B59" s="123" t="s">
        <v>7681</v>
      </c>
      <c r="C59" s="124">
        <v>1</v>
      </c>
      <c r="D59" s="124">
        <v>24.04</v>
      </c>
    </row>
    <row r="60" spans="2:4">
      <c r="B60" s="123" t="s">
        <v>13853</v>
      </c>
      <c r="C60" s="124">
        <v>2</v>
      </c>
      <c r="D60" s="124">
        <v>5329.1600000000008</v>
      </c>
    </row>
    <row r="61" spans="2:4">
      <c r="B61" s="123" t="s">
        <v>13854</v>
      </c>
      <c r="C61" s="124">
        <v>1</v>
      </c>
      <c r="D61" s="124">
        <v>2437.2399999999998</v>
      </c>
    </row>
    <row r="62" spans="2:4">
      <c r="B62" s="123" t="s">
        <v>13860</v>
      </c>
      <c r="C62" s="124">
        <v>1</v>
      </c>
      <c r="D62" s="124">
        <v>2929.77</v>
      </c>
    </row>
    <row r="63" spans="2:4">
      <c r="B63" s="123" t="s">
        <v>7642</v>
      </c>
      <c r="C63" s="124">
        <v>2</v>
      </c>
      <c r="D63" s="124">
        <v>4219.54</v>
      </c>
    </row>
    <row r="64" spans="2:4">
      <c r="B64" s="123" t="s">
        <v>7315</v>
      </c>
      <c r="C64" s="124">
        <v>1</v>
      </c>
      <c r="D64" s="124">
        <v>9.2200000000000006</v>
      </c>
    </row>
    <row r="65" spans="2:4">
      <c r="B65" s="123" t="s">
        <v>7730</v>
      </c>
      <c r="C65" s="124">
        <v>1</v>
      </c>
      <c r="D65" s="124">
        <v>14.460000000000003</v>
      </c>
    </row>
    <row r="66" spans="2:4">
      <c r="B66" s="123" t="s">
        <v>339</v>
      </c>
      <c r="C66" s="124">
        <v>1</v>
      </c>
      <c r="D66" s="124">
        <v>339.29</v>
      </c>
    </row>
    <row r="67" spans="2:4">
      <c r="B67" s="123" t="s">
        <v>13935</v>
      </c>
      <c r="C67" s="124">
        <v>1</v>
      </c>
      <c r="D67" s="124">
        <v>192.54000000000002</v>
      </c>
    </row>
    <row r="68" spans="2:4" ht="30">
      <c r="B68" s="123" t="s">
        <v>7638</v>
      </c>
      <c r="C68" s="124">
        <v>1</v>
      </c>
      <c r="D68" s="124">
        <v>116.13999999999999</v>
      </c>
    </row>
    <row r="69" spans="2:4">
      <c r="B69" s="123" t="s">
        <v>13009</v>
      </c>
      <c r="C69" s="124">
        <v>5</v>
      </c>
      <c r="D69" s="124">
        <v>564.75</v>
      </c>
    </row>
    <row r="70" spans="2:4">
      <c r="B70" s="123" t="s">
        <v>14239</v>
      </c>
      <c r="C70" s="124">
        <v>1</v>
      </c>
      <c r="D70" s="124">
        <v>1375.7700000000002</v>
      </c>
    </row>
    <row r="71" spans="2:4">
      <c r="B71" s="123" t="s">
        <v>199</v>
      </c>
      <c r="C71" s="124">
        <v>1</v>
      </c>
      <c r="D71" s="124">
        <v>140.01000000000002</v>
      </c>
    </row>
    <row r="72" spans="2:4">
      <c r="B72" s="123" t="s">
        <v>7690</v>
      </c>
      <c r="C72" s="124">
        <v>1</v>
      </c>
      <c r="D72" s="124">
        <v>108.38</v>
      </c>
    </row>
    <row r="73" spans="2:4">
      <c r="B73" s="123" t="s">
        <v>7734</v>
      </c>
      <c r="C73" s="124">
        <v>1</v>
      </c>
      <c r="D73" s="124">
        <v>14.379999999999999</v>
      </c>
    </row>
    <row r="74" spans="2:4">
      <c r="B74" s="123" t="s">
        <v>7733</v>
      </c>
      <c r="C74" s="124">
        <v>1</v>
      </c>
      <c r="D74" s="124">
        <v>7.63</v>
      </c>
    </row>
    <row r="75" spans="2:4">
      <c r="B75" s="123" t="s">
        <v>7661</v>
      </c>
      <c r="C75" s="124">
        <v>1</v>
      </c>
      <c r="D75" s="124">
        <v>1133.4699999999998</v>
      </c>
    </row>
    <row r="76" spans="2:4">
      <c r="B76" s="123" t="s">
        <v>7164</v>
      </c>
      <c r="C76" s="124">
        <v>1</v>
      </c>
      <c r="D76" s="124">
        <v>297.39</v>
      </c>
    </row>
    <row r="77" spans="2:4">
      <c r="B77" s="123" t="s">
        <v>13936</v>
      </c>
      <c r="C77" s="124">
        <v>1</v>
      </c>
      <c r="D77" s="124">
        <v>97.750000000000014</v>
      </c>
    </row>
    <row r="78" spans="2:4">
      <c r="B78" s="123" t="s">
        <v>13939</v>
      </c>
      <c r="C78" s="124">
        <v>1</v>
      </c>
      <c r="D78" s="124">
        <v>118.49</v>
      </c>
    </row>
    <row r="79" spans="2:4">
      <c r="B79" s="123" t="s">
        <v>7699</v>
      </c>
      <c r="C79" s="124">
        <v>1</v>
      </c>
      <c r="D79" s="124">
        <v>13.809999999999999</v>
      </c>
    </row>
    <row r="80" spans="2:4">
      <c r="B80" s="123" t="s">
        <v>7700</v>
      </c>
      <c r="C80" s="124">
        <v>1</v>
      </c>
      <c r="D80" s="124">
        <v>14.71</v>
      </c>
    </row>
    <row r="81" spans="2:4">
      <c r="B81" s="123" t="s">
        <v>7703</v>
      </c>
      <c r="C81" s="124">
        <v>1</v>
      </c>
      <c r="D81" s="124">
        <v>19.759999999999998</v>
      </c>
    </row>
    <row r="82" spans="2:4">
      <c r="B82" s="123" t="s">
        <v>14162</v>
      </c>
      <c r="C82" s="124">
        <v>2</v>
      </c>
      <c r="D82" s="124">
        <v>12.440000000000001</v>
      </c>
    </row>
    <row r="83" spans="2:4">
      <c r="B83" s="123" t="s">
        <v>402</v>
      </c>
      <c r="C83" s="124">
        <v>1</v>
      </c>
      <c r="D83" s="124">
        <v>7.95</v>
      </c>
    </row>
    <row r="84" spans="2:4">
      <c r="B84" s="123" t="s">
        <v>411</v>
      </c>
      <c r="C84" s="124">
        <v>1</v>
      </c>
      <c r="D84" s="124">
        <v>15.330000000000002</v>
      </c>
    </row>
    <row r="85" spans="2:4">
      <c r="B85" s="123" t="s">
        <v>337</v>
      </c>
      <c r="C85" s="124">
        <v>1</v>
      </c>
      <c r="D85" s="124">
        <v>279.28000000000003</v>
      </c>
    </row>
    <row r="86" spans="2:4">
      <c r="B86" s="123" t="s">
        <v>14597</v>
      </c>
      <c r="C86" s="124">
        <v>1</v>
      </c>
      <c r="D86" s="124">
        <v>182.86</v>
      </c>
    </row>
    <row r="87" spans="2:4">
      <c r="B87" s="123" t="s">
        <v>14638</v>
      </c>
      <c r="C87" s="124">
        <v>1</v>
      </c>
      <c r="D87" s="124">
        <v>5041.0600000000004</v>
      </c>
    </row>
    <row r="88" spans="2:4">
      <c r="B88" s="123" t="s">
        <v>14640</v>
      </c>
      <c r="C88" s="124">
        <v>1</v>
      </c>
      <c r="D88" s="124">
        <v>2934.61</v>
      </c>
    </row>
    <row r="89" spans="2:4">
      <c r="B89" s="123" t="s">
        <v>14642</v>
      </c>
      <c r="C89" s="124">
        <v>1</v>
      </c>
      <c r="D89" s="124">
        <v>3150.51</v>
      </c>
    </row>
    <row r="90" spans="2:4">
      <c r="B90" s="123" t="s">
        <v>14644</v>
      </c>
      <c r="C90" s="124">
        <v>1</v>
      </c>
      <c r="D90" s="124">
        <v>1414.0400000000002</v>
      </c>
    </row>
    <row r="91" spans="2:4">
      <c r="B91" s="123" t="s">
        <v>14648</v>
      </c>
      <c r="C91" s="124">
        <v>1</v>
      </c>
      <c r="D91" s="124">
        <v>735.43</v>
      </c>
    </row>
    <row r="92" spans="2:4">
      <c r="B92" s="123" t="s">
        <v>14650</v>
      </c>
      <c r="C92" s="124">
        <v>1</v>
      </c>
      <c r="D92" s="124">
        <v>1016.76</v>
      </c>
    </row>
    <row r="93" spans="2:4">
      <c r="B93" s="123" t="s">
        <v>14633</v>
      </c>
      <c r="C93" s="124">
        <v>2</v>
      </c>
      <c r="D93" s="124">
        <v>10314.040000000001</v>
      </c>
    </row>
    <row r="94" spans="2:4">
      <c r="B94" s="123" t="s">
        <v>14636</v>
      </c>
      <c r="C94" s="124">
        <v>2</v>
      </c>
      <c r="D94" s="124">
        <v>8064.82</v>
      </c>
    </row>
    <row r="95" spans="2:4">
      <c r="B95" s="123" t="s">
        <v>27188</v>
      </c>
      <c r="C95" s="124">
        <v>1</v>
      </c>
      <c r="D95" s="124">
        <v>106.42</v>
      </c>
    </row>
    <row r="96" spans="2:4">
      <c r="B96" s="123" t="s">
        <v>27181</v>
      </c>
      <c r="C96" s="124">
        <v>1</v>
      </c>
      <c r="D96" s="124">
        <v>275.45000000000005</v>
      </c>
    </row>
    <row r="97" spans="2:4">
      <c r="B97" s="123" t="s">
        <v>14666</v>
      </c>
      <c r="C97" s="124">
        <v>1</v>
      </c>
      <c r="D97" s="124">
        <v>1311.22</v>
      </c>
    </row>
    <row r="98" spans="2:4">
      <c r="B98" s="123" t="s">
        <v>14667</v>
      </c>
      <c r="C98" s="124">
        <v>1</v>
      </c>
      <c r="D98" s="124">
        <v>630.12</v>
      </c>
    </row>
    <row r="99" spans="2:4">
      <c r="B99" s="123" t="s">
        <v>14670</v>
      </c>
      <c r="C99" s="124">
        <v>1</v>
      </c>
      <c r="D99" s="124">
        <v>241.35</v>
      </c>
    </row>
    <row r="100" spans="2:4">
      <c r="B100" s="123" t="s">
        <v>14672</v>
      </c>
      <c r="C100" s="124">
        <v>1</v>
      </c>
      <c r="D100" s="124">
        <v>201.82000000000002</v>
      </c>
    </row>
    <row r="101" spans="2:4">
      <c r="B101" s="123" t="s">
        <v>14675</v>
      </c>
      <c r="C101" s="124">
        <v>1</v>
      </c>
      <c r="D101" s="124">
        <v>130.28</v>
      </c>
    </row>
    <row r="102" spans="2:4">
      <c r="B102" s="123" t="s">
        <v>14677</v>
      </c>
      <c r="C102" s="124">
        <v>1</v>
      </c>
      <c r="D102" s="124">
        <v>894.67000000000007</v>
      </c>
    </row>
    <row r="103" spans="2:4">
      <c r="B103" s="123" t="s">
        <v>13355</v>
      </c>
      <c r="C103" s="124">
        <v>1</v>
      </c>
      <c r="D103" s="124">
        <v>108.98</v>
      </c>
    </row>
    <row r="104" spans="2:4">
      <c r="B104" s="123" t="s">
        <v>7696</v>
      </c>
      <c r="C104" s="124">
        <v>1</v>
      </c>
      <c r="D104" s="124">
        <v>393.93999999999994</v>
      </c>
    </row>
    <row r="105" spans="2:4">
      <c r="B105" s="123" t="s">
        <v>7697</v>
      </c>
      <c r="C105" s="124">
        <v>1</v>
      </c>
      <c r="D105" s="124">
        <v>426.29999999999995</v>
      </c>
    </row>
    <row r="106" spans="2:4">
      <c r="B106" s="123" t="s">
        <v>13351</v>
      </c>
      <c r="C106" s="124">
        <v>1</v>
      </c>
      <c r="D106" s="124">
        <v>197.36</v>
      </c>
    </row>
    <row r="107" spans="2:4">
      <c r="B107" s="123" t="s">
        <v>13156</v>
      </c>
      <c r="C107" s="124">
        <v>1</v>
      </c>
      <c r="D107" s="124">
        <v>56.94</v>
      </c>
    </row>
    <row r="108" spans="2:4">
      <c r="B108" s="123" t="s">
        <v>13319</v>
      </c>
      <c r="C108" s="124">
        <v>1</v>
      </c>
      <c r="D108" s="124">
        <v>26.63</v>
      </c>
    </row>
    <row r="109" spans="2:4">
      <c r="B109" s="123" t="s">
        <v>7196</v>
      </c>
      <c r="C109" s="124">
        <v>1</v>
      </c>
      <c r="D109" s="124">
        <v>1236.75</v>
      </c>
    </row>
    <row r="110" spans="2:4">
      <c r="B110" s="123" t="s">
        <v>13338</v>
      </c>
      <c r="C110" s="124">
        <v>1</v>
      </c>
      <c r="D110" s="124">
        <v>10.06</v>
      </c>
    </row>
    <row r="111" spans="2:4">
      <c r="B111" s="123" t="s">
        <v>14682</v>
      </c>
      <c r="C111" s="124">
        <v>1</v>
      </c>
      <c r="D111" s="124">
        <v>77.149999999999991</v>
      </c>
    </row>
    <row r="112" spans="2:4">
      <c r="B112" s="123" t="s">
        <v>14686</v>
      </c>
      <c r="C112" s="124">
        <v>1</v>
      </c>
      <c r="D112" s="124">
        <v>101.72</v>
      </c>
    </row>
    <row r="113" spans="1:4">
      <c r="B113" s="123" t="s">
        <v>14604</v>
      </c>
      <c r="C113" s="124">
        <v>1</v>
      </c>
      <c r="D113" s="124">
        <v>28431.489999999998</v>
      </c>
    </row>
    <row r="114" spans="1:4">
      <c r="B114" s="123" t="s">
        <v>14605</v>
      </c>
      <c r="C114" s="124">
        <v>1</v>
      </c>
      <c r="D114" s="124">
        <v>25374.070000000003</v>
      </c>
    </row>
    <row r="115" spans="1:4">
      <c r="B115" s="123" t="s">
        <v>14699</v>
      </c>
      <c r="C115" s="124">
        <v>2</v>
      </c>
      <c r="D115" s="124">
        <v>1766.4399999999998</v>
      </c>
    </row>
    <row r="116" spans="1:4">
      <c r="B116" s="123" t="s">
        <v>14232</v>
      </c>
      <c r="C116" s="124">
        <v>1</v>
      </c>
      <c r="D116" s="124">
        <v>43383.73000000001</v>
      </c>
    </row>
    <row r="117" spans="1:4">
      <c r="B117" s="123" t="s">
        <v>27196</v>
      </c>
      <c r="C117" s="124">
        <v>1</v>
      </c>
      <c r="D117" s="124">
        <v>2669.9900000000002</v>
      </c>
    </row>
    <row r="118" spans="1:4">
      <c r="B118" s="123" t="s">
        <v>27198</v>
      </c>
      <c r="C118" s="124">
        <v>1</v>
      </c>
      <c r="D118" s="124">
        <v>2335.8000000000002</v>
      </c>
    </row>
    <row r="119" spans="1:4">
      <c r="B119" s="123" t="s">
        <v>27260</v>
      </c>
      <c r="C119" s="124">
        <v>2</v>
      </c>
      <c r="D119" s="124">
        <v>362.32</v>
      </c>
    </row>
    <row r="120" spans="1:4">
      <c r="B120" s="123" t="s">
        <v>27261</v>
      </c>
      <c r="C120" s="124">
        <v>2</v>
      </c>
      <c r="D120" s="124">
        <v>28.639999999999997</v>
      </c>
    </row>
    <row r="121" spans="1:4">
      <c r="A121" s="123" t="s">
        <v>79</v>
      </c>
      <c r="B121" s="123" t="s">
        <v>13376</v>
      </c>
      <c r="C121" s="124">
        <v>1</v>
      </c>
      <c r="D121" s="124">
        <v>77.67</v>
      </c>
    </row>
    <row r="122" spans="1:4">
      <c r="B122" s="123" t="s">
        <v>13379</v>
      </c>
      <c r="C122" s="124">
        <v>1</v>
      </c>
      <c r="D122" s="124">
        <v>53.760000000000005</v>
      </c>
    </row>
    <row r="123" spans="1:4">
      <c r="B123" s="123" t="s">
        <v>4484</v>
      </c>
      <c r="C123" s="124">
        <v>1</v>
      </c>
      <c r="D123" s="124">
        <v>0</v>
      </c>
    </row>
    <row r="124" spans="1:4">
      <c r="B124" s="123" t="s">
        <v>3766</v>
      </c>
      <c r="C124" s="124">
        <v>1</v>
      </c>
      <c r="D124" s="124">
        <v>0</v>
      </c>
    </row>
    <row r="125" spans="1:4">
      <c r="B125" s="123" t="s">
        <v>13783</v>
      </c>
      <c r="C125" s="124">
        <v>3</v>
      </c>
      <c r="D125" s="124">
        <v>0</v>
      </c>
    </row>
    <row r="126" spans="1:4">
      <c r="B126" s="123" t="s">
        <v>5686</v>
      </c>
      <c r="C126" s="124">
        <v>3</v>
      </c>
      <c r="D126" s="124">
        <v>0</v>
      </c>
    </row>
    <row r="127" spans="1:4">
      <c r="B127" s="123" t="s">
        <v>5691</v>
      </c>
      <c r="C127" s="124">
        <v>1</v>
      </c>
      <c r="D127" s="124">
        <v>0</v>
      </c>
    </row>
    <row r="128" spans="1:4">
      <c r="B128" s="123" t="s">
        <v>5670</v>
      </c>
      <c r="C128" s="124">
        <v>1</v>
      </c>
      <c r="D128" s="124">
        <v>0</v>
      </c>
    </row>
    <row r="129" spans="2:4">
      <c r="B129" s="123" t="s">
        <v>351</v>
      </c>
      <c r="C129" s="124">
        <v>1</v>
      </c>
      <c r="D129" s="124">
        <v>0</v>
      </c>
    </row>
    <row r="130" spans="2:4">
      <c r="B130" s="123" t="s">
        <v>5698</v>
      </c>
      <c r="C130" s="124">
        <v>2</v>
      </c>
      <c r="D130" s="124">
        <v>0</v>
      </c>
    </row>
    <row r="131" spans="2:4">
      <c r="B131" s="123" t="s">
        <v>81</v>
      </c>
      <c r="C131" s="124">
        <v>3</v>
      </c>
      <c r="D131" s="124">
        <v>0</v>
      </c>
    </row>
    <row r="132" spans="2:4">
      <c r="B132" s="123" t="s">
        <v>5694</v>
      </c>
      <c r="C132" s="124">
        <v>1</v>
      </c>
      <c r="D132" s="124">
        <v>0</v>
      </c>
    </row>
    <row r="133" spans="2:4">
      <c r="B133" s="123" t="s">
        <v>303</v>
      </c>
      <c r="C133" s="124">
        <v>7</v>
      </c>
      <c r="D133" s="124">
        <v>0</v>
      </c>
    </row>
    <row r="134" spans="2:4">
      <c r="B134" s="123" t="s">
        <v>301</v>
      </c>
      <c r="C134" s="124">
        <v>7</v>
      </c>
      <c r="D134" s="124">
        <v>0</v>
      </c>
    </row>
    <row r="135" spans="2:4">
      <c r="B135" s="123" t="s">
        <v>2705</v>
      </c>
      <c r="C135" s="124">
        <v>3</v>
      </c>
      <c r="D135" s="124">
        <v>0</v>
      </c>
    </row>
    <row r="136" spans="2:4">
      <c r="B136" s="123" t="s">
        <v>2706</v>
      </c>
      <c r="C136" s="124">
        <v>6</v>
      </c>
      <c r="D136" s="124">
        <v>0</v>
      </c>
    </row>
    <row r="137" spans="2:4">
      <c r="B137" s="123" t="s">
        <v>299</v>
      </c>
      <c r="C137" s="124">
        <v>1</v>
      </c>
      <c r="D137" s="124">
        <v>0</v>
      </c>
    </row>
    <row r="138" spans="2:4">
      <c r="B138" s="123" t="s">
        <v>2631</v>
      </c>
      <c r="C138" s="124">
        <v>1</v>
      </c>
      <c r="D138" s="124">
        <v>0</v>
      </c>
    </row>
    <row r="139" spans="2:4">
      <c r="B139" s="123" t="s">
        <v>2632</v>
      </c>
      <c r="C139" s="124">
        <v>1</v>
      </c>
      <c r="D139" s="124">
        <v>0</v>
      </c>
    </row>
    <row r="140" spans="2:4">
      <c r="B140" s="123" t="s">
        <v>298</v>
      </c>
      <c r="C140" s="124">
        <v>1</v>
      </c>
      <c r="D140" s="124">
        <v>0</v>
      </c>
    </row>
    <row r="141" spans="2:4">
      <c r="B141" s="123" t="s">
        <v>2647</v>
      </c>
      <c r="C141" s="124">
        <v>1</v>
      </c>
      <c r="D141" s="124">
        <v>0</v>
      </c>
    </row>
    <row r="142" spans="2:4">
      <c r="B142" s="123" t="s">
        <v>2646</v>
      </c>
      <c r="C142" s="124">
        <v>1</v>
      </c>
      <c r="D142" s="124">
        <v>0</v>
      </c>
    </row>
    <row r="143" spans="2:4">
      <c r="B143" s="123" t="s">
        <v>2644</v>
      </c>
      <c r="C143" s="124">
        <v>1</v>
      </c>
      <c r="D143" s="124">
        <v>0</v>
      </c>
    </row>
    <row r="144" spans="2:4">
      <c r="B144" s="123" t="s">
        <v>2968</v>
      </c>
      <c r="C144" s="124">
        <v>1</v>
      </c>
      <c r="D144" s="124">
        <v>0</v>
      </c>
    </row>
    <row r="145" spans="2:4">
      <c r="B145" s="123" t="s">
        <v>2959</v>
      </c>
      <c r="C145" s="124">
        <v>2</v>
      </c>
      <c r="D145" s="124">
        <v>0</v>
      </c>
    </row>
    <row r="146" spans="2:4">
      <c r="B146" s="123" t="s">
        <v>13719</v>
      </c>
      <c r="C146" s="124">
        <v>1</v>
      </c>
      <c r="D146" s="124">
        <v>0</v>
      </c>
    </row>
    <row r="147" spans="2:4">
      <c r="B147" s="123" t="s">
        <v>13720</v>
      </c>
      <c r="C147" s="124">
        <v>1</v>
      </c>
      <c r="D147" s="124">
        <v>0</v>
      </c>
    </row>
    <row r="148" spans="2:4">
      <c r="B148" s="123" t="s">
        <v>2961</v>
      </c>
      <c r="C148" s="124">
        <v>1</v>
      </c>
      <c r="D148" s="124">
        <v>0</v>
      </c>
    </row>
    <row r="149" spans="2:4">
      <c r="B149" s="123" t="s">
        <v>2964</v>
      </c>
      <c r="C149" s="124">
        <v>1</v>
      </c>
      <c r="D149" s="124">
        <v>0</v>
      </c>
    </row>
    <row r="150" spans="2:4">
      <c r="B150" s="123" t="s">
        <v>13722</v>
      </c>
      <c r="C150" s="124">
        <v>1</v>
      </c>
      <c r="D150" s="124">
        <v>0</v>
      </c>
    </row>
    <row r="151" spans="2:4">
      <c r="B151" s="123" t="s">
        <v>2990</v>
      </c>
      <c r="C151" s="124">
        <v>1</v>
      </c>
      <c r="D151" s="124">
        <v>0</v>
      </c>
    </row>
    <row r="152" spans="2:4">
      <c r="B152" s="123" t="s">
        <v>1633</v>
      </c>
      <c r="C152" s="124">
        <v>1</v>
      </c>
      <c r="D152" s="124">
        <v>0</v>
      </c>
    </row>
    <row r="153" spans="2:4">
      <c r="B153" s="123" t="s">
        <v>5947</v>
      </c>
      <c r="C153" s="124">
        <v>3</v>
      </c>
      <c r="D153" s="124">
        <v>0</v>
      </c>
    </row>
    <row r="154" spans="2:4">
      <c r="B154" s="123" t="s">
        <v>5164</v>
      </c>
      <c r="C154" s="124">
        <v>1</v>
      </c>
      <c r="D154" s="124">
        <v>0</v>
      </c>
    </row>
    <row r="155" spans="2:4">
      <c r="B155" s="123" t="s">
        <v>5165</v>
      </c>
      <c r="C155" s="124">
        <v>1</v>
      </c>
      <c r="D155" s="124">
        <v>0</v>
      </c>
    </row>
    <row r="156" spans="2:4">
      <c r="B156" s="123" t="s">
        <v>5163</v>
      </c>
      <c r="C156" s="124">
        <v>1</v>
      </c>
      <c r="D156" s="124">
        <v>0</v>
      </c>
    </row>
    <row r="157" spans="2:4">
      <c r="B157" s="123" t="s">
        <v>2731</v>
      </c>
      <c r="C157" s="124">
        <v>2</v>
      </c>
      <c r="D157" s="124">
        <v>0</v>
      </c>
    </row>
    <row r="158" spans="2:4">
      <c r="B158" s="123" t="s">
        <v>306</v>
      </c>
      <c r="C158" s="124">
        <v>1</v>
      </c>
      <c r="D158" s="124">
        <v>0</v>
      </c>
    </row>
    <row r="159" spans="2:4">
      <c r="B159" s="123" t="s">
        <v>2732</v>
      </c>
      <c r="C159" s="124">
        <v>3</v>
      </c>
      <c r="D159" s="124">
        <v>0</v>
      </c>
    </row>
    <row r="160" spans="2:4">
      <c r="B160" s="123" t="s">
        <v>2996</v>
      </c>
      <c r="C160" s="124">
        <v>1</v>
      </c>
      <c r="D160" s="124">
        <v>0</v>
      </c>
    </row>
    <row r="161" spans="2:4">
      <c r="B161" s="123" t="s">
        <v>2999</v>
      </c>
      <c r="C161" s="124">
        <v>1</v>
      </c>
      <c r="D161" s="124">
        <v>0</v>
      </c>
    </row>
    <row r="162" spans="2:4">
      <c r="B162" s="123" t="s">
        <v>2997</v>
      </c>
      <c r="C162" s="124">
        <v>1</v>
      </c>
      <c r="D162" s="124">
        <v>0</v>
      </c>
    </row>
    <row r="163" spans="2:4">
      <c r="B163" s="123" t="s">
        <v>3002</v>
      </c>
      <c r="C163" s="124">
        <v>1</v>
      </c>
      <c r="D163" s="124">
        <v>0</v>
      </c>
    </row>
    <row r="164" spans="2:4">
      <c r="B164" s="123" t="s">
        <v>3004</v>
      </c>
      <c r="C164" s="124">
        <v>1</v>
      </c>
      <c r="D164" s="124">
        <v>0</v>
      </c>
    </row>
    <row r="165" spans="2:4">
      <c r="B165" s="123" t="s">
        <v>3005</v>
      </c>
      <c r="C165" s="124">
        <v>1</v>
      </c>
      <c r="D165" s="124">
        <v>0</v>
      </c>
    </row>
    <row r="166" spans="2:4">
      <c r="B166" s="123" t="s">
        <v>3008</v>
      </c>
      <c r="C166" s="124">
        <v>1</v>
      </c>
      <c r="D166" s="124">
        <v>0</v>
      </c>
    </row>
    <row r="167" spans="2:4">
      <c r="B167" s="123" t="s">
        <v>3009</v>
      </c>
      <c r="C167" s="124">
        <v>1</v>
      </c>
      <c r="D167" s="124">
        <v>0</v>
      </c>
    </row>
    <row r="168" spans="2:4">
      <c r="B168" s="123" t="s">
        <v>3016</v>
      </c>
      <c r="C168" s="124">
        <v>1</v>
      </c>
      <c r="D168" s="124">
        <v>0</v>
      </c>
    </row>
    <row r="169" spans="2:4">
      <c r="B169" s="123" t="s">
        <v>5868</v>
      </c>
      <c r="C169" s="124">
        <v>1</v>
      </c>
      <c r="D169" s="124">
        <v>0</v>
      </c>
    </row>
    <row r="170" spans="2:4">
      <c r="B170" s="123" t="s">
        <v>13359</v>
      </c>
      <c r="C170" s="124">
        <v>1</v>
      </c>
      <c r="D170" s="124">
        <v>108.98</v>
      </c>
    </row>
    <row r="171" spans="2:4">
      <c r="B171" s="123" t="s">
        <v>13361</v>
      </c>
      <c r="C171" s="124">
        <v>1</v>
      </c>
      <c r="D171" s="124">
        <v>75.63</v>
      </c>
    </row>
    <row r="172" spans="2:4">
      <c r="B172" s="123" t="s">
        <v>2937</v>
      </c>
      <c r="C172" s="124">
        <v>1</v>
      </c>
      <c r="D172" s="124">
        <v>0</v>
      </c>
    </row>
    <row r="173" spans="2:4">
      <c r="B173" s="123" t="s">
        <v>6427</v>
      </c>
      <c r="C173" s="124">
        <v>1</v>
      </c>
      <c r="D173" s="124">
        <v>0</v>
      </c>
    </row>
    <row r="174" spans="2:4">
      <c r="B174" s="123" t="s">
        <v>33</v>
      </c>
      <c r="C174" s="124">
        <v>1</v>
      </c>
      <c r="D174" s="124">
        <v>0</v>
      </c>
    </row>
    <row r="175" spans="2:4">
      <c r="B175" s="123" t="s">
        <v>3048</v>
      </c>
      <c r="C175" s="124">
        <v>1</v>
      </c>
      <c r="D175" s="124">
        <v>0</v>
      </c>
    </row>
    <row r="176" spans="2:4">
      <c r="B176" s="123" t="s">
        <v>3049</v>
      </c>
      <c r="C176" s="124">
        <v>1</v>
      </c>
      <c r="D176" s="124">
        <v>0</v>
      </c>
    </row>
    <row r="177" spans="2:4">
      <c r="B177" s="123" t="s">
        <v>3040</v>
      </c>
      <c r="C177" s="124">
        <v>1</v>
      </c>
      <c r="D177" s="124">
        <v>0</v>
      </c>
    </row>
    <row r="178" spans="2:4">
      <c r="B178" s="123" t="s">
        <v>3041</v>
      </c>
      <c r="C178" s="124">
        <v>1</v>
      </c>
      <c r="D178" s="124">
        <v>0</v>
      </c>
    </row>
    <row r="179" spans="2:4">
      <c r="B179" s="123" t="s">
        <v>3079</v>
      </c>
      <c r="C179" s="124">
        <v>1</v>
      </c>
      <c r="D179" s="124">
        <v>0</v>
      </c>
    </row>
    <row r="180" spans="2:4">
      <c r="B180" s="123" t="s">
        <v>14519</v>
      </c>
      <c r="C180" s="124">
        <v>1</v>
      </c>
      <c r="D180" s="124">
        <v>496.52000000000004</v>
      </c>
    </row>
    <row r="181" spans="2:4">
      <c r="B181" s="123" t="s">
        <v>3056</v>
      </c>
      <c r="C181" s="124">
        <v>1</v>
      </c>
      <c r="D181" s="124">
        <v>0</v>
      </c>
    </row>
    <row r="182" spans="2:4">
      <c r="B182" s="123" t="s">
        <v>3057</v>
      </c>
      <c r="C182" s="124">
        <v>1</v>
      </c>
      <c r="D182" s="124">
        <v>0</v>
      </c>
    </row>
    <row r="183" spans="2:4">
      <c r="B183" s="123" t="s">
        <v>7695</v>
      </c>
      <c r="C183" s="124">
        <v>1</v>
      </c>
      <c r="D183" s="124">
        <v>226.12</v>
      </c>
    </row>
    <row r="184" spans="2:4">
      <c r="B184" s="123" t="s">
        <v>7694</v>
      </c>
      <c r="C184" s="124">
        <v>1</v>
      </c>
      <c r="D184" s="124">
        <v>176.04000000000002</v>
      </c>
    </row>
    <row r="185" spans="2:4">
      <c r="B185" s="123" t="s">
        <v>2897</v>
      </c>
      <c r="C185" s="124">
        <v>1</v>
      </c>
      <c r="D185" s="124">
        <v>0</v>
      </c>
    </row>
    <row r="186" spans="2:4">
      <c r="B186" s="123" t="s">
        <v>2898</v>
      </c>
      <c r="C186" s="124">
        <v>1</v>
      </c>
      <c r="D186" s="124">
        <v>0</v>
      </c>
    </row>
    <row r="187" spans="2:4">
      <c r="B187" s="123" t="s">
        <v>13707</v>
      </c>
      <c r="C187" s="124">
        <v>1</v>
      </c>
      <c r="D187" s="124">
        <v>0</v>
      </c>
    </row>
    <row r="188" spans="2:4">
      <c r="B188" s="123" t="s">
        <v>2884</v>
      </c>
      <c r="C188" s="124">
        <v>1</v>
      </c>
      <c r="D188" s="124">
        <v>0</v>
      </c>
    </row>
    <row r="189" spans="2:4">
      <c r="B189" s="123" t="s">
        <v>2885</v>
      </c>
      <c r="C189" s="124">
        <v>1</v>
      </c>
      <c r="D189" s="124">
        <v>0</v>
      </c>
    </row>
    <row r="190" spans="2:4">
      <c r="B190" s="123" t="s">
        <v>322</v>
      </c>
      <c r="C190" s="124">
        <v>1</v>
      </c>
      <c r="D190" s="124">
        <v>0</v>
      </c>
    </row>
    <row r="191" spans="2:4">
      <c r="B191" s="123" t="s">
        <v>2882</v>
      </c>
      <c r="C191" s="124">
        <v>1</v>
      </c>
      <c r="D191" s="124">
        <v>0</v>
      </c>
    </row>
    <row r="192" spans="2:4">
      <c r="B192" s="123" t="s">
        <v>13703</v>
      </c>
      <c r="C192" s="124">
        <v>1</v>
      </c>
      <c r="D192" s="124">
        <v>0</v>
      </c>
    </row>
    <row r="193" spans="2:4">
      <c r="B193" s="123" t="s">
        <v>5356</v>
      </c>
      <c r="C193" s="124">
        <v>2</v>
      </c>
      <c r="D193" s="124">
        <v>0</v>
      </c>
    </row>
    <row r="194" spans="2:4">
      <c r="B194" s="123" t="s">
        <v>5237</v>
      </c>
      <c r="C194" s="124">
        <v>4</v>
      </c>
      <c r="D194" s="124">
        <v>0</v>
      </c>
    </row>
    <row r="195" spans="2:4">
      <c r="B195" s="123" t="s">
        <v>5234</v>
      </c>
      <c r="C195" s="124">
        <v>3</v>
      </c>
      <c r="D195" s="124">
        <v>0</v>
      </c>
    </row>
    <row r="196" spans="2:4">
      <c r="B196" s="123" t="s">
        <v>2381</v>
      </c>
      <c r="C196" s="124">
        <v>3</v>
      </c>
      <c r="D196" s="124">
        <v>0</v>
      </c>
    </row>
    <row r="197" spans="2:4">
      <c r="B197" s="123" t="s">
        <v>345</v>
      </c>
      <c r="C197" s="124">
        <v>1</v>
      </c>
      <c r="D197" s="124">
        <v>0</v>
      </c>
    </row>
    <row r="198" spans="2:4">
      <c r="B198" s="123" t="s">
        <v>1826</v>
      </c>
      <c r="C198" s="124">
        <v>1</v>
      </c>
      <c r="D198" s="124">
        <v>0</v>
      </c>
    </row>
    <row r="199" spans="2:4">
      <c r="B199" s="123" t="s">
        <v>652</v>
      </c>
      <c r="C199" s="124">
        <v>1</v>
      </c>
      <c r="D199" s="124">
        <v>0</v>
      </c>
    </row>
    <row r="200" spans="2:4">
      <c r="B200" s="123" t="s">
        <v>5856</v>
      </c>
      <c r="C200" s="124">
        <v>1</v>
      </c>
      <c r="D200" s="124">
        <v>0</v>
      </c>
    </row>
    <row r="201" spans="2:4">
      <c r="B201" s="123" t="s">
        <v>5607</v>
      </c>
      <c r="C201" s="124">
        <v>1</v>
      </c>
      <c r="D201" s="124">
        <v>0</v>
      </c>
    </row>
    <row r="202" spans="2:4">
      <c r="B202" s="123" t="s">
        <v>654</v>
      </c>
      <c r="C202" s="124">
        <v>1</v>
      </c>
      <c r="D202" s="124">
        <v>0</v>
      </c>
    </row>
    <row r="203" spans="2:4">
      <c r="B203" s="123" t="s">
        <v>659</v>
      </c>
      <c r="C203" s="124">
        <v>1</v>
      </c>
      <c r="D203" s="124">
        <v>0</v>
      </c>
    </row>
    <row r="204" spans="2:4">
      <c r="B204" s="123" t="s">
        <v>656</v>
      </c>
      <c r="C204" s="124">
        <v>1</v>
      </c>
      <c r="D204" s="124">
        <v>0</v>
      </c>
    </row>
    <row r="205" spans="2:4">
      <c r="B205" s="123" t="s">
        <v>5517</v>
      </c>
      <c r="C205" s="124">
        <v>1</v>
      </c>
      <c r="D205" s="124">
        <v>0</v>
      </c>
    </row>
    <row r="206" spans="2:4">
      <c r="B206" s="123" t="s">
        <v>143</v>
      </c>
      <c r="C206" s="124">
        <v>1</v>
      </c>
      <c r="D206" s="124">
        <v>0</v>
      </c>
    </row>
    <row r="207" spans="2:4">
      <c r="B207" s="123" t="s">
        <v>142</v>
      </c>
      <c r="C207" s="124">
        <v>1</v>
      </c>
      <c r="D207" s="124">
        <v>0</v>
      </c>
    </row>
    <row r="208" spans="2:4">
      <c r="B208" s="123" t="s">
        <v>311</v>
      </c>
      <c r="C208" s="124">
        <v>1</v>
      </c>
      <c r="D208" s="124">
        <v>0</v>
      </c>
    </row>
    <row r="209" spans="2:4">
      <c r="B209" s="123" t="s">
        <v>2419</v>
      </c>
      <c r="C209" s="124">
        <v>6</v>
      </c>
      <c r="D209" s="124">
        <v>0</v>
      </c>
    </row>
    <row r="210" spans="2:4">
      <c r="B210" s="123" t="s">
        <v>305</v>
      </c>
      <c r="C210" s="124">
        <v>2</v>
      </c>
      <c r="D210" s="124">
        <v>0</v>
      </c>
    </row>
    <row r="211" spans="2:4">
      <c r="B211" s="123" t="s">
        <v>1674</v>
      </c>
      <c r="C211" s="124">
        <v>1</v>
      </c>
      <c r="D211" s="124">
        <v>0</v>
      </c>
    </row>
    <row r="212" spans="2:4">
      <c r="B212" s="123" t="s">
        <v>1666</v>
      </c>
      <c r="C212" s="124">
        <v>1</v>
      </c>
      <c r="D212" s="124">
        <v>0</v>
      </c>
    </row>
    <row r="213" spans="2:4">
      <c r="B213" s="123" t="s">
        <v>1668</v>
      </c>
      <c r="C213" s="124">
        <v>1</v>
      </c>
      <c r="D213" s="124">
        <v>0</v>
      </c>
    </row>
    <row r="214" spans="2:4">
      <c r="B214" s="123" t="s">
        <v>304</v>
      </c>
      <c r="C214" s="124">
        <v>1</v>
      </c>
      <c r="D214" s="124">
        <v>0</v>
      </c>
    </row>
    <row r="215" spans="2:4">
      <c r="B215" s="123" t="s">
        <v>5168</v>
      </c>
      <c r="C215" s="124">
        <v>1</v>
      </c>
      <c r="D215" s="124">
        <v>0</v>
      </c>
    </row>
    <row r="216" spans="2:4">
      <c r="B216" s="123" t="s">
        <v>5170</v>
      </c>
      <c r="C216" s="124">
        <v>1</v>
      </c>
      <c r="D216" s="124">
        <v>0</v>
      </c>
    </row>
    <row r="217" spans="2:4">
      <c r="B217" s="123" t="s">
        <v>417</v>
      </c>
      <c r="C217" s="124">
        <v>1</v>
      </c>
      <c r="D217" s="124">
        <v>0</v>
      </c>
    </row>
    <row r="218" spans="2:4">
      <c r="B218" s="123" t="s">
        <v>5139</v>
      </c>
      <c r="C218" s="124">
        <v>1</v>
      </c>
      <c r="D218" s="124">
        <v>0</v>
      </c>
    </row>
    <row r="219" spans="2:4">
      <c r="B219" s="123" t="s">
        <v>5137</v>
      </c>
      <c r="C219" s="124">
        <v>1</v>
      </c>
      <c r="D219" s="124">
        <v>0</v>
      </c>
    </row>
    <row r="220" spans="2:4">
      <c r="B220" s="123" t="s">
        <v>5140</v>
      </c>
      <c r="C220" s="124">
        <v>1</v>
      </c>
      <c r="D220" s="124">
        <v>0</v>
      </c>
    </row>
    <row r="221" spans="2:4">
      <c r="B221" s="123" t="s">
        <v>3410</v>
      </c>
      <c r="C221" s="124">
        <v>1</v>
      </c>
      <c r="D221" s="124">
        <v>0</v>
      </c>
    </row>
    <row r="222" spans="2:4">
      <c r="B222" s="123" t="s">
        <v>2830</v>
      </c>
      <c r="C222" s="124">
        <v>1</v>
      </c>
      <c r="D222" s="124">
        <v>0</v>
      </c>
    </row>
    <row r="223" spans="2:4">
      <c r="B223" s="123" t="s">
        <v>2840</v>
      </c>
      <c r="C223" s="124">
        <v>7</v>
      </c>
      <c r="D223" s="124">
        <v>0</v>
      </c>
    </row>
    <row r="224" spans="2:4">
      <c r="B224" s="123" t="s">
        <v>2836</v>
      </c>
      <c r="C224" s="124">
        <v>1</v>
      </c>
      <c r="D224" s="124">
        <v>0</v>
      </c>
    </row>
    <row r="225" spans="2:4">
      <c r="B225" s="123" t="s">
        <v>3114</v>
      </c>
      <c r="C225" s="124">
        <v>1</v>
      </c>
      <c r="D225" s="124">
        <v>0</v>
      </c>
    </row>
    <row r="226" spans="2:4">
      <c r="B226" s="123" t="s">
        <v>3098</v>
      </c>
      <c r="C226" s="124">
        <v>1</v>
      </c>
      <c r="D226" s="124">
        <v>0</v>
      </c>
    </row>
    <row r="227" spans="2:4">
      <c r="B227" s="123" t="s">
        <v>3112</v>
      </c>
      <c r="C227" s="124">
        <v>1</v>
      </c>
      <c r="D227" s="124">
        <v>0</v>
      </c>
    </row>
    <row r="228" spans="2:4">
      <c r="B228" s="123" t="s">
        <v>5735</v>
      </c>
      <c r="C228" s="124">
        <v>2</v>
      </c>
      <c r="D228" s="124">
        <v>0</v>
      </c>
    </row>
    <row r="229" spans="2:4">
      <c r="B229" s="123" t="s">
        <v>4129</v>
      </c>
      <c r="C229" s="124">
        <v>1</v>
      </c>
      <c r="D229" s="124">
        <v>0</v>
      </c>
    </row>
    <row r="230" spans="2:4">
      <c r="B230" s="123" t="s">
        <v>4087</v>
      </c>
      <c r="C230" s="124">
        <v>1</v>
      </c>
      <c r="D230" s="124">
        <v>0</v>
      </c>
    </row>
    <row r="231" spans="2:4">
      <c r="B231" s="123" t="s">
        <v>3743</v>
      </c>
      <c r="C231" s="124">
        <v>1</v>
      </c>
      <c r="D231" s="124">
        <v>0</v>
      </c>
    </row>
    <row r="232" spans="2:4">
      <c r="B232" s="123" t="s">
        <v>4220</v>
      </c>
      <c r="C232" s="124">
        <v>1</v>
      </c>
      <c r="D232" s="124">
        <v>0</v>
      </c>
    </row>
    <row r="233" spans="2:4">
      <c r="B233" s="123" t="s">
        <v>4128</v>
      </c>
      <c r="C233" s="124">
        <v>1</v>
      </c>
      <c r="D233" s="124">
        <v>0</v>
      </c>
    </row>
    <row r="234" spans="2:4">
      <c r="B234" s="123" t="s">
        <v>4086</v>
      </c>
      <c r="C234" s="124">
        <v>1</v>
      </c>
      <c r="D234" s="124">
        <v>0</v>
      </c>
    </row>
    <row r="235" spans="2:4">
      <c r="B235" s="123" t="s">
        <v>3742</v>
      </c>
      <c r="C235" s="124">
        <v>1</v>
      </c>
      <c r="D235" s="124">
        <v>0</v>
      </c>
    </row>
    <row r="236" spans="2:4">
      <c r="B236" s="123" t="s">
        <v>2746</v>
      </c>
      <c r="C236" s="124">
        <v>2</v>
      </c>
      <c r="D236" s="124">
        <v>0</v>
      </c>
    </row>
    <row r="237" spans="2:4">
      <c r="B237" s="123" t="s">
        <v>2408</v>
      </c>
      <c r="C237" s="124">
        <v>3</v>
      </c>
      <c r="D237" s="124">
        <v>0</v>
      </c>
    </row>
    <row r="238" spans="2:4">
      <c r="B238" s="123" t="s">
        <v>3196</v>
      </c>
      <c r="C238" s="124">
        <v>1</v>
      </c>
      <c r="D238" s="124">
        <v>0</v>
      </c>
    </row>
    <row r="239" spans="2:4">
      <c r="B239" s="123" t="s">
        <v>2950</v>
      </c>
      <c r="C239" s="124">
        <v>2</v>
      </c>
      <c r="D239" s="124">
        <v>0</v>
      </c>
    </row>
    <row r="240" spans="2:4">
      <c r="B240" s="123" t="s">
        <v>2951</v>
      </c>
      <c r="C240" s="124">
        <v>2</v>
      </c>
      <c r="D240" s="124">
        <v>0</v>
      </c>
    </row>
    <row r="241" spans="2:4">
      <c r="B241" s="123" t="s">
        <v>2948</v>
      </c>
      <c r="C241" s="124">
        <v>1</v>
      </c>
      <c r="D241" s="124">
        <v>0</v>
      </c>
    </row>
    <row r="242" spans="2:4">
      <c r="B242" s="123" t="s">
        <v>2915</v>
      </c>
      <c r="C242" s="124">
        <v>1</v>
      </c>
      <c r="D242" s="124">
        <v>0</v>
      </c>
    </row>
    <row r="243" spans="2:4" ht="30">
      <c r="B243" s="123" t="s">
        <v>61</v>
      </c>
      <c r="C243" s="124">
        <v>3</v>
      </c>
      <c r="D243" s="124">
        <v>0</v>
      </c>
    </row>
    <row r="244" spans="2:4">
      <c r="B244" s="123" t="s">
        <v>260</v>
      </c>
      <c r="C244" s="124">
        <v>1</v>
      </c>
      <c r="D244" s="124">
        <v>0</v>
      </c>
    </row>
    <row r="245" spans="2:4">
      <c r="B245" s="123" t="s">
        <v>5794</v>
      </c>
      <c r="C245" s="124">
        <v>1</v>
      </c>
      <c r="D245" s="124">
        <v>0</v>
      </c>
    </row>
    <row r="246" spans="2:4">
      <c r="B246" s="123" t="s">
        <v>5820</v>
      </c>
      <c r="C246" s="124">
        <v>1</v>
      </c>
      <c r="D246" s="124">
        <v>0</v>
      </c>
    </row>
    <row r="247" spans="2:4">
      <c r="B247" s="123" t="s">
        <v>5843</v>
      </c>
      <c r="C247" s="124">
        <v>1</v>
      </c>
      <c r="D247" s="124">
        <v>0</v>
      </c>
    </row>
    <row r="248" spans="2:4">
      <c r="B248" s="123" t="s">
        <v>2288</v>
      </c>
      <c r="C248" s="124">
        <v>1</v>
      </c>
      <c r="D248" s="124">
        <v>0</v>
      </c>
    </row>
    <row r="249" spans="2:4">
      <c r="B249" s="123" t="s">
        <v>296</v>
      </c>
      <c r="C249" s="124">
        <v>7</v>
      </c>
      <c r="D249" s="124">
        <v>0</v>
      </c>
    </row>
    <row r="250" spans="2:4">
      <c r="B250" s="123" t="s">
        <v>236</v>
      </c>
      <c r="C250" s="124">
        <v>1</v>
      </c>
      <c r="D250" s="124">
        <v>0</v>
      </c>
    </row>
    <row r="251" spans="2:4">
      <c r="B251" s="123" t="s">
        <v>5143</v>
      </c>
      <c r="C251" s="124">
        <v>1</v>
      </c>
      <c r="D251" s="124">
        <v>0</v>
      </c>
    </row>
    <row r="252" spans="2:4">
      <c r="B252" s="123" t="s">
        <v>5145</v>
      </c>
      <c r="C252" s="124">
        <v>1</v>
      </c>
      <c r="D252" s="124">
        <v>0</v>
      </c>
    </row>
    <row r="253" spans="2:4">
      <c r="B253" s="123" t="s">
        <v>5146</v>
      </c>
      <c r="C253" s="124">
        <v>1</v>
      </c>
      <c r="D253" s="124">
        <v>0</v>
      </c>
    </row>
    <row r="254" spans="2:4">
      <c r="B254" s="123" t="s">
        <v>5405</v>
      </c>
      <c r="C254" s="124">
        <v>1</v>
      </c>
      <c r="D254" s="124">
        <v>0</v>
      </c>
    </row>
    <row r="255" spans="2:4">
      <c r="B255" s="123" t="s">
        <v>297</v>
      </c>
      <c r="C255" s="124">
        <v>5</v>
      </c>
      <c r="D255" s="124">
        <v>0</v>
      </c>
    </row>
    <row r="256" spans="2:4">
      <c r="B256" s="123" t="s">
        <v>5050</v>
      </c>
      <c r="C256" s="124">
        <v>1</v>
      </c>
      <c r="D256" s="124">
        <v>0</v>
      </c>
    </row>
    <row r="257" spans="2:4">
      <c r="B257" s="123" t="s">
        <v>5054</v>
      </c>
      <c r="C257" s="124">
        <v>1</v>
      </c>
      <c r="D257" s="124">
        <v>0</v>
      </c>
    </row>
    <row r="258" spans="2:4">
      <c r="B258" s="123" t="s">
        <v>6442</v>
      </c>
      <c r="C258" s="124">
        <v>3</v>
      </c>
      <c r="D258" s="124">
        <v>0</v>
      </c>
    </row>
    <row r="259" spans="2:4">
      <c r="B259" s="123" t="s">
        <v>13</v>
      </c>
      <c r="C259" s="124">
        <v>3</v>
      </c>
      <c r="D259" s="124">
        <v>0</v>
      </c>
    </row>
    <row r="260" spans="2:4">
      <c r="B260" s="123" t="s">
        <v>31</v>
      </c>
      <c r="C260" s="124">
        <v>1</v>
      </c>
      <c r="D260" s="124">
        <v>0</v>
      </c>
    </row>
    <row r="261" spans="2:4">
      <c r="B261" s="123" t="s">
        <v>11</v>
      </c>
      <c r="C261" s="124">
        <v>3</v>
      </c>
      <c r="D261" s="124">
        <v>0</v>
      </c>
    </row>
    <row r="262" spans="2:4">
      <c r="B262" s="123" t="s">
        <v>6447</v>
      </c>
      <c r="C262" s="124">
        <v>1</v>
      </c>
      <c r="D262" s="124">
        <v>0</v>
      </c>
    </row>
    <row r="263" spans="2:4">
      <c r="B263" s="123" t="s">
        <v>6455</v>
      </c>
      <c r="C263" s="124">
        <v>1</v>
      </c>
      <c r="D263" s="124">
        <v>0</v>
      </c>
    </row>
    <row r="264" spans="2:4">
      <c r="B264" s="123" t="s">
        <v>6453</v>
      </c>
      <c r="C264" s="124">
        <v>1</v>
      </c>
      <c r="D264" s="124">
        <v>0</v>
      </c>
    </row>
    <row r="265" spans="2:4">
      <c r="B265" s="123" t="s">
        <v>1634</v>
      </c>
      <c r="C265" s="124">
        <v>1</v>
      </c>
      <c r="D265" s="124">
        <v>0</v>
      </c>
    </row>
    <row r="266" spans="2:4">
      <c r="B266" s="123" t="s">
        <v>13353</v>
      </c>
      <c r="C266" s="124">
        <v>1</v>
      </c>
      <c r="D266" s="124">
        <v>9.57</v>
      </c>
    </row>
    <row r="267" spans="2:4">
      <c r="B267" s="123" t="s">
        <v>3415</v>
      </c>
      <c r="C267" s="124">
        <v>1</v>
      </c>
      <c r="D267" s="124">
        <v>0</v>
      </c>
    </row>
    <row r="268" spans="2:4">
      <c r="B268" s="123" t="s">
        <v>13382</v>
      </c>
      <c r="C268" s="124">
        <v>1</v>
      </c>
      <c r="D268" s="124">
        <v>8.2100000000000009</v>
      </c>
    </row>
    <row r="269" spans="2:4">
      <c r="B269" s="123" t="s">
        <v>261</v>
      </c>
      <c r="C269" s="124">
        <v>1</v>
      </c>
      <c r="D269" s="124">
        <v>0</v>
      </c>
    </row>
    <row r="270" spans="2:4">
      <c r="B270" s="123" t="s">
        <v>1615</v>
      </c>
      <c r="C270" s="124">
        <v>1</v>
      </c>
      <c r="D270" s="124">
        <v>0</v>
      </c>
    </row>
    <row r="271" spans="2:4">
      <c r="B271" s="123" t="s">
        <v>3138</v>
      </c>
      <c r="C271" s="124">
        <v>1</v>
      </c>
      <c r="D271" s="124">
        <v>0</v>
      </c>
    </row>
    <row r="272" spans="2:4">
      <c r="B272" s="123" t="s">
        <v>5062</v>
      </c>
      <c r="C272" s="124">
        <v>1</v>
      </c>
      <c r="D272" s="124">
        <v>0</v>
      </c>
    </row>
    <row r="273" spans="2:4">
      <c r="B273" s="123" t="s">
        <v>6304</v>
      </c>
      <c r="C273" s="124">
        <v>2</v>
      </c>
      <c r="D273" s="124">
        <v>0</v>
      </c>
    </row>
    <row r="274" spans="2:4">
      <c r="B274" s="123" t="s">
        <v>12294</v>
      </c>
      <c r="C274" s="124">
        <v>1</v>
      </c>
      <c r="D274" s="124">
        <v>115.34</v>
      </c>
    </row>
    <row r="275" spans="2:4">
      <c r="B275" s="123" t="s">
        <v>3500</v>
      </c>
      <c r="C275" s="124">
        <v>1</v>
      </c>
      <c r="D275" s="124">
        <v>0</v>
      </c>
    </row>
    <row r="276" spans="2:4">
      <c r="B276" s="123" t="s">
        <v>3499</v>
      </c>
      <c r="C276" s="124">
        <v>1</v>
      </c>
      <c r="D276" s="124">
        <v>0</v>
      </c>
    </row>
    <row r="277" spans="2:4">
      <c r="B277" s="123" t="s">
        <v>3491</v>
      </c>
      <c r="C277" s="124">
        <v>1</v>
      </c>
      <c r="D277" s="124">
        <v>0</v>
      </c>
    </row>
    <row r="278" spans="2:4">
      <c r="B278" s="123" t="s">
        <v>263</v>
      </c>
      <c r="C278" s="124">
        <v>1</v>
      </c>
      <c r="D278" s="124">
        <v>0</v>
      </c>
    </row>
    <row r="279" spans="2:4">
      <c r="B279" s="123" t="s">
        <v>5077</v>
      </c>
      <c r="C279" s="124">
        <v>1</v>
      </c>
      <c r="D279" s="124">
        <v>0</v>
      </c>
    </row>
    <row r="280" spans="2:4">
      <c r="B280" s="123" t="s">
        <v>3036</v>
      </c>
      <c r="C280" s="124">
        <v>1</v>
      </c>
      <c r="D280" s="124">
        <v>0</v>
      </c>
    </row>
    <row r="281" spans="2:4">
      <c r="B281" s="123" t="s">
        <v>2728</v>
      </c>
      <c r="C281" s="124">
        <v>5</v>
      </c>
      <c r="D281" s="124">
        <v>0</v>
      </c>
    </row>
    <row r="282" spans="2:4">
      <c r="B282" s="123" t="s">
        <v>2333</v>
      </c>
      <c r="C282" s="124">
        <v>3</v>
      </c>
      <c r="D282" s="124">
        <v>0</v>
      </c>
    </row>
    <row r="283" spans="2:4">
      <c r="B283" s="123" t="s">
        <v>2962</v>
      </c>
      <c r="C283" s="124">
        <v>1</v>
      </c>
      <c r="D283" s="124">
        <v>0</v>
      </c>
    </row>
    <row r="284" spans="2:4">
      <c r="B284" s="123" t="s">
        <v>2966</v>
      </c>
      <c r="C284" s="124">
        <v>1</v>
      </c>
      <c r="D284" s="124">
        <v>0</v>
      </c>
    </row>
    <row r="285" spans="2:4">
      <c r="B285" s="123" t="s">
        <v>13721</v>
      </c>
      <c r="C285" s="124">
        <v>1</v>
      </c>
      <c r="D285" s="124">
        <v>0</v>
      </c>
    </row>
    <row r="286" spans="2:4">
      <c r="B286" s="123" t="s">
        <v>13724</v>
      </c>
      <c r="C286" s="124">
        <v>1</v>
      </c>
      <c r="D286" s="124">
        <v>0</v>
      </c>
    </row>
    <row r="287" spans="2:4">
      <c r="B287" s="123" t="s">
        <v>5171</v>
      </c>
      <c r="C287" s="124">
        <v>1</v>
      </c>
      <c r="D287" s="124">
        <v>0</v>
      </c>
    </row>
    <row r="288" spans="2:4">
      <c r="B288" s="123" t="s">
        <v>5172</v>
      </c>
      <c r="C288" s="124">
        <v>1</v>
      </c>
      <c r="D288" s="124">
        <v>0</v>
      </c>
    </row>
    <row r="289" spans="1:4">
      <c r="B289" s="123" t="s">
        <v>3054</v>
      </c>
      <c r="C289" s="124">
        <v>1</v>
      </c>
      <c r="D289" s="124">
        <v>0</v>
      </c>
    </row>
    <row r="290" spans="1:4">
      <c r="B290" s="123" t="s">
        <v>3055</v>
      </c>
      <c r="C290" s="124">
        <v>1</v>
      </c>
      <c r="D290" s="124">
        <v>0</v>
      </c>
    </row>
    <row r="291" spans="1:4">
      <c r="B291" s="123" t="s">
        <v>2910</v>
      </c>
      <c r="C291" s="124">
        <v>1</v>
      </c>
      <c r="D291" s="124">
        <v>0</v>
      </c>
    </row>
    <row r="292" spans="1:4">
      <c r="B292" s="123" t="s">
        <v>2911</v>
      </c>
      <c r="C292" s="124">
        <v>1</v>
      </c>
      <c r="D292" s="124">
        <v>0</v>
      </c>
    </row>
    <row r="293" spans="1:4">
      <c r="B293" s="123" t="s">
        <v>13709</v>
      </c>
      <c r="C293" s="124">
        <v>1</v>
      </c>
      <c r="D293" s="124">
        <v>0</v>
      </c>
    </row>
    <row r="294" spans="1:4">
      <c r="B294" s="123" t="s">
        <v>13700</v>
      </c>
      <c r="C294" s="124">
        <v>1</v>
      </c>
      <c r="D294" s="124">
        <v>0</v>
      </c>
    </row>
    <row r="295" spans="1:4">
      <c r="B295" s="123" t="s">
        <v>13702</v>
      </c>
      <c r="C295" s="124">
        <v>1</v>
      </c>
      <c r="D295" s="124">
        <v>0</v>
      </c>
    </row>
    <row r="296" spans="1:4">
      <c r="B296" s="123" t="s">
        <v>3037</v>
      </c>
      <c r="C296" s="124">
        <v>1</v>
      </c>
      <c r="D296" s="124">
        <v>0</v>
      </c>
    </row>
    <row r="297" spans="1:4">
      <c r="B297" s="123" t="s">
        <v>3072</v>
      </c>
      <c r="C297" s="124">
        <v>1</v>
      </c>
      <c r="D297" s="124">
        <v>0</v>
      </c>
    </row>
    <row r="298" spans="1:4">
      <c r="B298" s="123" t="s">
        <v>1652</v>
      </c>
      <c r="C298" s="124">
        <v>1</v>
      </c>
      <c r="D298" s="124">
        <v>0</v>
      </c>
    </row>
    <row r="299" spans="1:4">
      <c r="B299" s="123" t="s">
        <v>17039</v>
      </c>
      <c r="C299" s="124">
        <v>1</v>
      </c>
      <c r="D299" s="124">
        <v>0</v>
      </c>
    </row>
    <row r="300" spans="1:4">
      <c r="B300" s="123" t="s">
        <v>12875</v>
      </c>
      <c r="C300" s="124">
        <v>1</v>
      </c>
      <c r="D300" s="124">
        <v>0</v>
      </c>
    </row>
    <row r="301" spans="1:4">
      <c r="A301" s="123" t="s">
        <v>14581</v>
      </c>
      <c r="B301" s="123" t="s">
        <v>7068</v>
      </c>
      <c r="C301" s="124"/>
      <c r="D301" s="124"/>
    </row>
    <row r="302" spans="1:4">
      <c r="B302" s="123" t="s">
        <v>126</v>
      </c>
      <c r="C302" s="124"/>
      <c r="D302" s="124"/>
    </row>
    <row r="303" spans="1:4">
      <c r="B303" s="123" t="s">
        <v>7542</v>
      </c>
      <c r="C303" s="124"/>
      <c r="D303" s="124"/>
    </row>
    <row r="304" spans="1:4">
      <c r="B304" s="123" t="s">
        <v>45</v>
      </c>
      <c r="C304" s="124"/>
      <c r="D304" s="124"/>
    </row>
    <row r="305" spans="2:4">
      <c r="B305" s="123" t="s">
        <v>60</v>
      </c>
      <c r="C305" s="124"/>
      <c r="D305" s="124"/>
    </row>
    <row r="306" spans="2:4">
      <c r="B306" s="123" t="s">
        <v>7605</v>
      </c>
      <c r="C306" s="124"/>
      <c r="D306" s="124"/>
    </row>
    <row r="307" spans="2:4">
      <c r="B307" s="123" t="s">
        <v>14231</v>
      </c>
      <c r="C307" s="124"/>
      <c r="D307" s="124"/>
    </row>
    <row r="308" spans="2:4">
      <c r="B308" s="123" t="s">
        <v>14509</v>
      </c>
      <c r="C308" s="124"/>
      <c r="D308" s="124"/>
    </row>
    <row r="309" spans="2:4">
      <c r="B309" s="123" t="s">
        <v>13311</v>
      </c>
      <c r="C309" s="124"/>
      <c r="D309" s="124"/>
    </row>
    <row r="310" spans="2:4">
      <c r="B310" s="123" t="s">
        <v>14179</v>
      </c>
      <c r="C310" s="124"/>
      <c r="D310" s="124"/>
    </row>
    <row r="311" spans="2:4">
      <c r="B311" s="123" t="s">
        <v>7522</v>
      </c>
      <c r="C311" s="124"/>
      <c r="D311" s="124"/>
    </row>
    <row r="312" spans="2:4">
      <c r="B312" s="123" t="s">
        <v>7524</v>
      </c>
      <c r="C312" s="124"/>
      <c r="D312" s="124"/>
    </row>
    <row r="313" spans="2:4">
      <c r="B313" s="123" t="s">
        <v>13312</v>
      </c>
      <c r="C313" s="124"/>
      <c r="D313" s="124"/>
    </row>
    <row r="314" spans="2:4">
      <c r="B314" s="123" t="s">
        <v>12997</v>
      </c>
      <c r="C314" s="124"/>
      <c r="D314" s="124"/>
    </row>
    <row r="315" spans="2:4">
      <c r="B315" s="123" t="s">
        <v>27</v>
      </c>
      <c r="C315" s="124"/>
      <c r="D315" s="124"/>
    </row>
    <row r="316" spans="2:4">
      <c r="B316" s="123" t="s">
        <v>13011</v>
      </c>
      <c r="C316" s="124"/>
      <c r="D316" s="124"/>
    </row>
    <row r="317" spans="2:4">
      <c r="B317" s="123" t="s">
        <v>7515</v>
      </c>
      <c r="C317" s="124"/>
      <c r="D317" s="124"/>
    </row>
    <row r="318" spans="2:4">
      <c r="B318" s="123" t="s">
        <v>7392</v>
      </c>
      <c r="C318" s="124"/>
      <c r="D318" s="124"/>
    </row>
    <row r="319" spans="2:4">
      <c r="B319" s="123" t="s">
        <v>7246</v>
      </c>
      <c r="C319" s="124"/>
      <c r="D319" s="124"/>
    </row>
    <row r="320" spans="2:4">
      <c r="B320" s="123" t="s">
        <v>124</v>
      </c>
      <c r="C320" s="124"/>
      <c r="D320" s="124"/>
    </row>
    <row r="321" spans="2:4">
      <c r="B321" s="123" t="s">
        <v>13116</v>
      </c>
      <c r="C321" s="124"/>
      <c r="D321" s="124"/>
    </row>
    <row r="322" spans="2:4">
      <c r="B322" s="123" t="s">
        <v>13823</v>
      </c>
      <c r="C322" s="124"/>
      <c r="D322" s="124"/>
    </row>
    <row r="323" spans="2:4">
      <c r="B323" s="123" t="s">
        <v>7527</v>
      </c>
      <c r="C323" s="124"/>
      <c r="D323" s="124"/>
    </row>
    <row r="324" spans="2:4">
      <c r="B324" s="123" t="s">
        <v>294</v>
      </c>
      <c r="C324" s="124"/>
      <c r="D324" s="124"/>
    </row>
    <row r="325" spans="2:4">
      <c r="B325" s="123" t="s">
        <v>14211</v>
      </c>
      <c r="C325" s="124"/>
      <c r="D325" s="124"/>
    </row>
    <row r="326" spans="2:4">
      <c r="B326" s="123" t="s">
        <v>7606</v>
      </c>
      <c r="C326" s="124"/>
      <c r="D326" s="124"/>
    </row>
    <row r="327" spans="2:4">
      <c r="B327" s="123" t="s">
        <v>7526</v>
      </c>
      <c r="C327" s="124"/>
      <c r="D327" s="124"/>
    </row>
    <row r="328" spans="2:4">
      <c r="B328" s="123" t="s">
        <v>14543</v>
      </c>
      <c r="C328" s="124"/>
      <c r="D328" s="124"/>
    </row>
    <row r="329" spans="2:4">
      <c r="B329" s="123" t="s">
        <v>418</v>
      </c>
      <c r="C329" s="124"/>
      <c r="D329" s="124"/>
    </row>
    <row r="330" spans="2:4">
      <c r="B330" s="123" t="s">
        <v>14475</v>
      </c>
      <c r="C330" s="124"/>
      <c r="D330" s="124"/>
    </row>
    <row r="331" spans="2:4">
      <c r="B331" s="123" t="s">
        <v>14259</v>
      </c>
      <c r="C331" s="124"/>
      <c r="D331" s="124"/>
    </row>
    <row r="332" spans="2:4">
      <c r="B332" s="123" t="s">
        <v>293</v>
      </c>
      <c r="C332" s="124"/>
      <c r="D332" s="124"/>
    </row>
    <row r="333" spans="2:4">
      <c r="B333" s="123" t="s">
        <v>7278</v>
      </c>
      <c r="C333" s="124"/>
      <c r="D333" s="124"/>
    </row>
    <row r="334" spans="2:4">
      <c r="B334" s="123" t="s">
        <v>240</v>
      </c>
      <c r="C334" s="124"/>
      <c r="D334" s="124"/>
    </row>
    <row r="335" spans="2:4">
      <c r="B335" s="123" t="s">
        <v>349</v>
      </c>
      <c r="C335" s="124"/>
      <c r="D335" s="124"/>
    </row>
    <row r="336" spans="2:4">
      <c r="B336" s="123" t="s">
        <v>14476</v>
      </c>
      <c r="C336" s="124"/>
      <c r="D336" s="124"/>
    </row>
    <row r="337" spans="2:4">
      <c r="B337" s="123" t="s">
        <v>295</v>
      </c>
      <c r="C337" s="124"/>
      <c r="D337" s="124"/>
    </row>
    <row r="338" spans="2:4">
      <c r="B338" s="123" t="s">
        <v>80</v>
      </c>
      <c r="C338" s="124"/>
      <c r="D338" s="124"/>
    </row>
    <row r="339" spans="2:4">
      <c r="B339" s="123" t="s">
        <v>13828</v>
      </c>
      <c r="C339" s="124"/>
      <c r="D339" s="124"/>
    </row>
    <row r="340" spans="2:4">
      <c r="B340" s="123" t="s">
        <v>13876</v>
      </c>
      <c r="C340" s="124"/>
      <c r="D340" s="124"/>
    </row>
    <row r="341" spans="2:4">
      <c r="B341" s="123" t="s">
        <v>13829</v>
      </c>
      <c r="C341" s="124"/>
      <c r="D341" s="124"/>
    </row>
    <row r="342" spans="2:4">
      <c r="B342" s="123" t="s">
        <v>239</v>
      </c>
      <c r="C342" s="124"/>
      <c r="D342" s="124"/>
    </row>
    <row r="343" spans="2:4">
      <c r="B343" s="123" t="s">
        <v>123</v>
      </c>
      <c r="C343" s="124"/>
      <c r="D343" s="124"/>
    </row>
    <row r="344" spans="2:4">
      <c r="B344" s="123" t="s">
        <v>13825</v>
      </c>
      <c r="C344" s="124"/>
      <c r="D344" s="124"/>
    </row>
    <row r="345" spans="2:4">
      <c r="B345" s="123" t="s">
        <v>13877</v>
      </c>
      <c r="C345" s="124"/>
      <c r="D345" s="124"/>
    </row>
    <row r="346" spans="2:4">
      <c r="B346" s="123" t="s">
        <v>38</v>
      </c>
      <c r="C346" s="124"/>
      <c r="D346" s="124"/>
    </row>
    <row r="347" spans="2:4">
      <c r="B347" s="123" t="s">
        <v>7291</v>
      </c>
      <c r="C347" s="124"/>
      <c r="D347" s="124"/>
    </row>
    <row r="348" spans="2:4">
      <c r="B348" s="123" t="s">
        <v>13821</v>
      </c>
      <c r="C348" s="124"/>
      <c r="D348" s="124"/>
    </row>
    <row r="349" spans="2:4">
      <c r="B349" s="123" t="s">
        <v>13822</v>
      </c>
      <c r="C349" s="124"/>
      <c r="D349" s="124"/>
    </row>
    <row r="350" spans="2:4">
      <c r="B350" s="123" t="s">
        <v>168</v>
      </c>
      <c r="C350" s="124"/>
      <c r="D350" s="124"/>
    </row>
    <row r="351" spans="2:4">
      <c r="B351" s="123" t="s">
        <v>13824</v>
      </c>
      <c r="C351" s="124"/>
      <c r="D351" s="124"/>
    </row>
    <row r="352" spans="2:4">
      <c r="B352" s="123" t="s">
        <v>14581</v>
      </c>
      <c r="C352" s="124"/>
      <c r="D352" s="124"/>
    </row>
    <row r="353" spans="1:4">
      <c r="B353" s="123" t="s">
        <v>27200</v>
      </c>
      <c r="C353" s="124"/>
      <c r="D353" s="124"/>
    </row>
    <row r="354" spans="1:4">
      <c r="B354" s="123" t="s">
        <v>4868</v>
      </c>
      <c r="C354" s="124">
        <v>1</v>
      </c>
      <c r="D354" s="124">
        <v>0</v>
      </c>
    </row>
    <row r="355" spans="1:4">
      <c r="A355" s="123" t="s">
        <v>14582</v>
      </c>
      <c r="C355" s="124">
        <v>405</v>
      </c>
      <c r="D355" s="124">
        <v>313818.82000000007</v>
      </c>
    </row>
    <row r="1093" spans="1:4" s="15" customFormat="1">
      <c r="A1093" s="151"/>
      <c r="B1093" s="151"/>
      <c r="C1093" s="151"/>
      <c r="D1093" s="151"/>
    </row>
    <row r="1635" spans="1:4" s="15" customFormat="1">
      <c r="A1635" s="151"/>
      <c r="B1635" s="151"/>
      <c r="C1635" s="151"/>
      <c r="D1635" s="151"/>
    </row>
    <row r="1636" spans="1:4" s="15" customFormat="1">
      <c r="A1636" s="151"/>
      <c r="B1636" s="151"/>
      <c r="C1636" s="151"/>
      <c r="D1636" s="151"/>
    </row>
  </sheetData>
  <printOptions horizontalCentered="1"/>
  <pageMargins left="0.22727272727272727" right="0.43636363636363634" top="1.0236220472440944" bottom="1.5748031496062993" header="0.31496062992125984" footer="0.31496062992125984"/>
  <pageSetup scale="44" orientation="portrait" r:id="rId2"/>
  <headerFooter>
    <oddHeader xml:space="preserve">&amp;L&amp;G&amp;RSecretaria de Estado de Planejamento e Gestão - SEPLAG
(65) 3613-3619
GERENCIA DE INFRAESTRUTURA
(65) 3611-3753
</oddHeader>
    <oddFooter>&amp;L&amp;G&amp;C&amp;P
&amp;R&amp;A
&amp;D&amp;T</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37"/>
  <sheetViews>
    <sheetView showGridLines="0" view="pageBreakPreview" topLeftCell="A13" zoomScale="85" zoomScaleNormal="70" zoomScaleSheetLayoutView="85" zoomScalePageLayoutView="40" workbookViewId="0">
      <selection activeCell="K214" sqref="K214"/>
    </sheetView>
  </sheetViews>
  <sheetFormatPr defaultRowHeight="15"/>
  <cols>
    <col min="1" max="1" width="13.28515625" style="684" customWidth="1"/>
    <col min="2" max="2" width="12.85546875" style="334" customWidth="1"/>
    <col min="3" max="3" width="14.5703125" style="856" customWidth="1"/>
    <col min="4" max="4" width="82.28515625" style="857" customWidth="1"/>
    <col min="5" max="5" width="12.28515625" style="858" bestFit="1" customWidth="1"/>
    <col min="6" max="6" width="12.5703125" style="676" bestFit="1" customWidth="1"/>
    <col min="7" max="7" width="16.85546875" style="859" bestFit="1" customWidth="1"/>
    <col min="8" max="8" width="15.7109375" style="859" customWidth="1"/>
    <col min="9" max="9" width="19.140625" style="859" customWidth="1"/>
    <col min="10" max="10" width="15.140625" style="859" hidden="1" customWidth="1"/>
    <col min="11" max="11" width="15.85546875" style="859" hidden="1" customWidth="1"/>
    <col min="12" max="12" width="23.7109375" style="859" hidden="1" customWidth="1"/>
    <col min="13" max="13" width="9.140625" style="637"/>
    <col min="14" max="14" width="11.140625" style="637" bestFit="1" customWidth="1"/>
    <col min="15" max="18" width="9.140625" style="637"/>
    <col min="19" max="19" width="24" style="637" customWidth="1"/>
    <col min="20" max="16384" width="9.140625" style="637"/>
  </cols>
  <sheetData>
    <row r="1" spans="1:19">
      <c r="A1" s="1327" t="s">
        <v>0</v>
      </c>
      <c r="B1" s="1328"/>
      <c r="C1" s="1328"/>
      <c r="D1" s="1328"/>
      <c r="E1" s="1328"/>
      <c r="F1" s="1328"/>
      <c r="G1" s="1328"/>
      <c r="H1" s="1328"/>
      <c r="I1" s="1328"/>
      <c r="J1" s="1328"/>
      <c r="K1" s="1328"/>
      <c r="L1" s="1329"/>
    </row>
    <row r="2" spans="1:19">
      <c r="A2" s="1330" t="s">
        <v>82</v>
      </c>
      <c r="B2" s="1331"/>
      <c r="C2" s="1331"/>
      <c r="D2" s="1331"/>
      <c r="E2" s="1331"/>
      <c r="F2" s="1331"/>
      <c r="G2" s="1331"/>
      <c r="H2" s="1331"/>
      <c r="I2" s="1331"/>
      <c r="J2" s="1331"/>
      <c r="K2" s="1331"/>
      <c r="L2" s="1332"/>
    </row>
    <row r="3" spans="1:19">
      <c r="A3" s="680"/>
      <c r="B3" s="681"/>
      <c r="C3" s="681"/>
      <c r="D3" s="681"/>
      <c r="E3" s="681"/>
      <c r="F3" s="681"/>
      <c r="G3" s="681"/>
      <c r="H3" s="681"/>
      <c r="I3" s="681"/>
      <c r="J3" s="681"/>
      <c r="K3" s="681"/>
      <c r="L3" s="682"/>
    </row>
    <row r="4" spans="1:19" ht="36" customHeight="1">
      <c r="A4" s="683" t="s">
        <v>1</v>
      </c>
      <c r="B4" s="684" t="s">
        <v>14522</v>
      </c>
      <c r="C4" s="684"/>
      <c r="D4" s="684"/>
      <c r="E4" s="684"/>
      <c r="F4" s="684"/>
      <c r="G4" s="684"/>
      <c r="H4" s="684"/>
      <c r="I4" s="685" t="str">
        <f>'MEM CAL'!E4</f>
        <v>FONTE:</v>
      </c>
      <c r="J4" s="685"/>
      <c r="K4" s="686" t="s">
        <v>7013</v>
      </c>
      <c r="L4" s="687" t="s">
        <v>7014</v>
      </c>
    </row>
    <row r="5" spans="1:19" ht="43.5">
      <c r="A5" s="683" t="s">
        <v>2</v>
      </c>
      <c r="B5" s="684" t="s">
        <v>96</v>
      </c>
      <c r="C5" s="684"/>
      <c r="D5" s="684"/>
      <c r="E5" s="684"/>
      <c r="F5" s="684"/>
      <c r="G5" s="684"/>
      <c r="H5" s="684"/>
      <c r="I5" s="688" t="str">
        <f>'MEM CAL'!E5</f>
        <v>TABELA SINAPI 02/2022, SETOP 04/2021</v>
      </c>
      <c r="J5" s="688"/>
      <c r="K5" s="689"/>
      <c r="L5" s="687"/>
    </row>
    <row r="6" spans="1:19">
      <c r="A6" s="683" t="s">
        <v>3</v>
      </c>
      <c r="B6" s="684" t="s">
        <v>0</v>
      </c>
      <c r="C6" s="684"/>
      <c r="D6" s="684"/>
      <c r="E6" s="684"/>
      <c r="F6" s="684"/>
      <c r="G6" s="684"/>
      <c r="H6" s="684"/>
      <c r="I6" s="688"/>
      <c r="J6" s="688"/>
      <c r="K6" s="690">
        <f>BDI!C109</f>
        <v>0.22226164190779008</v>
      </c>
      <c r="L6" s="691">
        <f>BDI!C33</f>
        <v>0.28347674918197008</v>
      </c>
    </row>
    <row r="7" spans="1:19">
      <c r="A7" s="683" t="s">
        <v>4</v>
      </c>
      <c r="B7" s="684" t="s">
        <v>161</v>
      </c>
      <c r="C7" s="684"/>
      <c r="D7" s="684"/>
      <c r="E7" s="684"/>
      <c r="F7" s="684"/>
      <c r="G7" s="684"/>
      <c r="H7" s="684"/>
      <c r="I7" s="688"/>
      <c r="J7" s="688"/>
      <c r="K7" s="690"/>
      <c r="L7" s="691"/>
    </row>
    <row r="8" spans="1:19">
      <c r="A8" s="692"/>
      <c r="B8" s="693"/>
      <c r="C8" s="693"/>
      <c r="D8" s="693"/>
      <c r="E8" s="693"/>
      <c r="F8" s="693"/>
      <c r="G8" s="693"/>
      <c r="H8" s="693"/>
      <c r="I8" s="693"/>
      <c r="J8" s="693"/>
      <c r="K8" s="693"/>
      <c r="L8" s="694"/>
    </row>
    <row r="9" spans="1:19" s="642" customFormat="1" ht="21" thickBot="1">
      <c r="A9" s="1333" t="s">
        <v>83</v>
      </c>
      <c r="B9" s="1334"/>
      <c r="C9" s="1334"/>
      <c r="D9" s="1334"/>
      <c r="E9" s="1334"/>
      <c r="F9" s="1334"/>
      <c r="G9" s="1334"/>
      <c r="H9" s="1334"/>
      <c r="I9" s="1334"/>
      <c r="J9" s="1334"/>
      <c r="K9" s="1334"/>
      <c r="L9" s="1335"/>
    </row>
    <row r="10" spans="1:19" s="642" customFormat="1">
      <c r="A10" s="695"/>
      <c r="B10" s="696"/>
      <c r="C10" s="696"/>
      <c r="D10" s="696"/>
      <c r="E10" s="696"/>
      <c r="F10" s="696"/>
      <c r="G10" s="696"/>
      <c r="H10" s="696"/>
      <c r="I10" s="696"/>
      <c r="J10" s="696"/>
      <c r="K10" s="696"/>
      <c r="L10" s="697"/>
    </row>
    <row r="11" spans="1:19" ht="60">
      <c r="A11" s="131" t="s">
        <v>6</v>
      </c>
      <c r="B11" s="132" t="s">
        <v>23</v>
      </c>
      <c r="C11" s="133" t="s">
        <v>22</v>
      </c>
      <c r="D11" s="133" t="s">
        <v>21</v>
      </c>
      <c r="E11" s="132" t="s">
        <v>24</v>
      </c>
      <c r="F11" s="132" t="s">
        <v>25</v>
      </c>
      <c r="G11" s="133" t="s">
        <v>14574</v>
      </c>
      <c r="H11" s="133" t="s">
        <v>14575</v>
      </c>
      <c r="I11" s="133" t="s">
        <v>14578</v>
      </c>
      <c r="J11" s="698" t="s">
        <v>14576</v>
      </c>
      <c r="K11" s="698" t="s">
        <v>14577</v>
      </c>
      <c r="L11" s="698" t="s">
        <v>14579</v>
      </c>
    </row>
    <row r="12" spans="1:19" s="703" customFormat="1">
      <c r="A12" s="1115"/>
      <c r="B12" s="1116"/>
      <c r="C12" s="1117"/>
      <c r="D12" s="1117"/>
      <c r="E12" s="1116"/>
      <c r="F12" s="1118"/>
      <c r="G12" s="1117"/>
      <c r="H12" s="1117"/>
      <c r="I12" s="1119"/>
      <c r="J12" s="701"/>
      <c r="K12" s="701"/>
      <c r="L12" s="702"/>
    </row>
    <row r="13" spans="1:19" s="703" customFormat="1">
      <c r="A13" s="704" t="s">
        <v>7</v>
      </c>
      <c r="B13" s="705"/>
      <c r="C13" s="706"/>
      <c r="D13" s="707" t="s">
        <v>38</v>
      </c>
      <c r="E13" s="708"/>
      <c r="F13" s="709"/>
      <c r="G13" s="710"/>
      <c r="H13" s="710"/>
      <c r="I13" s="710"/>
      <c r="J13" s="709"/>
      <c r="K13" s="709"/>
      <c r="L13" s="709"/>
    </row>
    <row r="14" spans="1:19" s="716" customFormat="1" ht="28.5">
      <c r="A14" s="89" t="s">
        <v>44</v>
      </c>
      <c r="B14" s="711" t="s">
        <v>14504</v>
      </c>
      <c r="C14" s="74" t="s">
        <v>354</v>
      </c>
      <c r="D14" s="712" t="str">
        <f>IF(B14="SEPLAG",VLOOKUP(C14,COMPOSIÇÃO,2,FALSE),VLOOKUP(C14,'NAO DESO'!A:B,2,FALSE))</f>
        <v>PLACA DE OBRA EM CHAPA DE ACO GALVANIZADO. FORNECIMENTO E INSTALAÇÃO.</v>
      </c>
      <c r="E14" s="76" t="str">
        <f>IF(B14="SEPLAG",VLOOKUP(C14,UNIDADE,3,FALSE),VLOOKUP(C14,'NAO DESO'!A:C,3,FALSE))</f>
        <v>M2</v>
      </c>
      <c r="F14" s="713">
        <f t="shared" ref="F14:F20" si="0">VLOOKUP(A14,MEMÓRIA,6,FALSE)</f>
        <v>12.5</v>
      </c>
      <c r="G14" s="714">
        <f>IF(B14="SEPLAG",VLOOKUP(CONCATENATE("TOTAL DO ITEM NÃO DESON. - ",C14),BASE01,8,FALSE),VLOOKUP(C14,'NAO DESO'!A:D,4,FALSE))</f>
        <v>327.04000000000002</v>
      </c>
      <c r="H14" s="715">
        <f t="shared" ref="H14:H19" si="1">TRUNC(G14+G14*$K$6,2)</f>
        <v>399.72</v>
      </c>
      <c r="I14" s="715">
        <f t="shared" ref="I14:I19" si="2">TRUNC(F14*H14,2)</f>
        <v>4996.5</v>
      </c>
      <c r="J14" s="715">
        <f>IF(B14="SEPLAG",VLOOKUP(CONCATENATE("TOTAL DO ITEM DESON. - ",C14),BASE02,10,FALSE),VLOOKUP(C14,DESON!A:D,4,FALSE))</f>
        <v>321.40999999999997</v>
      </c>
      <c r="K14" s="715">
        <f t="shared" ref="K14:K20" si="3">J14+J14*$L$6</f>
        <v>412.52226195457695</v>
      </c>
      <c r="L14" s="715">
        <f t="shared" ref="L14:L19" si="4">TRUNC(F14*K14,2)</f>
        <v>5156.5200000000004</v>
      </c>
    </row>
    <row r="15" spans="1:19" s="716" customFormat="1" ht="28.5" customHeight="1">
      <c r="A15" s="89" t="s">
        <v>84</v>
      </c>
      <c r="B15" s="717" t="s">
        <v>79</v>
      </c>
      <c r="C15" s="74">
        <v>93207</v>
      </c>
      <c r="D15" s="712" t="str">
        <f>IF(B15="SEPLAG",VLOOKUP(C15,COMPOSIÇÃO,2,FALSE),VLOOKUP(C15,'NAO DESO'!A:B,2,FALSE))</f>
        <v>EXECUÇÃO DE ESCRITÓRIO EM CANTEIRO DE OBRA EM CHAPA DE MADEIRA COMPENSADA, NÃO INCLUSO MOBILIÁRIO E EQUIPAMENTOS. AF_02/2016</v>
      </c>
      <c r="E15" s="76" t="str">
        <f>IF(B15="SEPLAG",VLOOKUP(C15,UNIDADE,3,FALSE),VLOOKUP(C15,'NAO DESO'!A:C,3,FALSE))</f>
        <v>M2</v>
      </c>
      <c r="F15" s="713">
        <f t="shared" si="0"/>
        <v>32</v>
      </c>
      <c r="G15" s="714" t="str">
        <f>IF(B15="SEPLAG",VLOOKUP(CONCATENATE("TOTAL DO ITEM NÃO DESON. - ",C15),BASE01,8,FALSE),VLOOKUP(C15,'NAO DESO'!A:D,4,FALSE))</f>
        <v>1.077,81</v>
      </c>
      <c r="H15" s="715">
        <f t="shared" si="1"/>
        <v>1317.36</v>
      </c>
      <c r="I15" s="715">
        <f t="shared" si="2"/>
        <v>42155.519999999997</v>
      </c>
      <c r="J15" s="715" t="str">
        <f>IF(B15="SEPLAG",VLOOKUP(CONCATENATE("TOTAL DO ITEM DESON. - ",C15),BASE02,10,FALSE),VLOOKUP(C15,DESON!A:D,4,FALSE))</f>
        <v>1.054,95</v>
      </c>
      <c r="K15" s="715">
        <f t="shared" si="3"/>
        <v>1354.0037965495194</v>
      </c>
      <c r="L15" s="715">
        <f t="shared" si="4"/>
        <v>43328.12</v>
      </c>
      <c r="S15" s="718"/>
    </row>
    <row r="16" spans="1:19" s="716" customFormat="1" ht="28.5">
      <c r="A16" s="89" t="s">
        <v>12999</v>
      </c>
      <c r="B16" s="717" t="s">
        <v>79</v>
      </c>
      <c r="C16" s="74">
        <v>93208</v>
      </c>
      <c r="D16" s="712" t="str">
        <f>IF(B16="SEPLAG",VLOOKUP(C16,COMPOSIÇÃO,2,FALSE),VLOOKUP(C16,'NAO DESO'!A:B,2,FALSE))</f>
        <v>EXECUÇÃO DE ALMOXARIFADO EM CANTEIRO DE OBRA EM CHAPA DE MADEIRA COMPENSADA, INCLUSO PRATELEIRAS. AF_02/2016</v>
      </c>
      <c r="E16" s="76" t="str">
        <f>IF(B16="SEPLAG",VLOOKUP(C16,UNIDADE,3,FALSE),VLOOKUP(C16,'NAO DESO'!A:C,3,FALSE))</f>
        <v>M2</v>
      </c>
      <c r="F16" s="713">
        <f t="shared" si="0"/>
        <v>28</v>
      </c>
      <c r="G16" s="714" t="str">
        <f>IF(B16="SEPLAG",VLOOKUP(CONCATENATE("TOTAL DO ITEM NÃO DESON. - ",C16),BASE01,8,FALSE),VLOOKUP(C16,'NAO DESO'!A:D,4,FALSE))</f>
        <v>859,63</v>
      </c>
      <c r="H16" s="715">
        <f t="shared" si="1"/>
        <v>1050.69</v>
      </c>
      <c r="I16" s="715">
        <f t="shared" si="2"/>
        <v>29419.32</v>
      </c>
      <c r="J16" s="715" t="str">
        <f>IF(B16="SEPLAG",VLOOKUP(CONCATENATE("TOTAL DO ITEM DESON. - ",C16),BASE02,10,FALSE),VLOOKUP(C16,DESON!A:D,4,FALSE))</f>
        <v>843,14</v>
      </c>
      <c r="K16" s="715">
        <f t="shared" si="3"/>
        <v>1082.1505863052862</v>
      </c>
      <c r="L16" s="715">
        <f t="shared" si="4"/>
        <v>30300.21</v>
      </c>
      <c r="S16" s="718"/>
    </row>
    <row r="17" spans="1:19" s="716" customFormat="1" ht="28.5">
      <c r="A17" s="89" t="s">
        <v>13000</v>
      </c>
      <c r="B17" s="717" t="s">
        <v>79</v>
      </c>
      <c r="C17" s="74">
        <v>93210</v>
      </c>
      <c r="D17" s="712" t="str">
        <f>IF(B17="SEPLAG",VLOOKUP(C17,COMPOSIÇÃO,2,FALSE),VLOOKUP(C17,'NAO DESO'!A:B,2,FALSE))</f>
        <v>EXECUÇÃO DE REFEITÓRIO EM CANTEIRO DE OBRA EM CHAPA DE MADEIRA COMPENSADA, NÃO INCLUSO MOBILIÁRIO E EQUIPAMENTOS. AF_02/2016</v>
      </c>
      <c r="E17" s="76" t="str">
        <f>IF(B17="SEPLAG",VLOOKUP(C17,UNIDADE,3,FALSE),VLOOKUP(C17,'NAO DESO'!A:C,3,FALSE))</f>
        <v>M2</v>
      </c>
      <c r="F17" s="713">
        <f t="shared" si="0"/>
        <v>166</v>
      </c>
      <c r="G17" s="714" t="str">
        <f>IF(B17="SEPLAG",VLOOKUP(CONCATENATE("TOTAL DO ITEM NÃO DESON. - ",C17),BASE01,8,FALSE),VLOOKUP(C17,'NAO DESO'!A:D,4,FALSE))</f>
        <v>575,49</v>
      </c>
      <c r="H17" s="715">
        <f t="shared" si="1"/>
        <v>703.39</v>
      </c>
      <c r="I17" s="715">
        <f t="shared" si="2"/>
        <v>116762.74</v>
      </c>
      <c r="J17" s="715" t="str">
        <f>IF(B17="SEPLAG",VLOOKUP(CONCATENATE("TOTAL DO ITEM DESON. - ",C17),BASE02,10,FALSE),VLOOKUP(C17,DESON!A:D,4,FALSE))</f>
        <v>561,26</v>
      </c>
      <c r="K17" s="715">
        <f t="shared" si="3"/>
        <v>720.36416024587254</v>
      </c>
      <c r="L17" s="715">
        <f t="shared" si="4"/>
        <v>119580.45</v>
      </c>
      <c r="S17" s="718"/>
    </row>
    <row r="18" spans="1:19" s="716" customFormat="1" ht="28.5">
      <c r="A18" s="89" t="s">
        <v>13001</v>
      </c>
      <c r="B18" s="717" t="s">
        <v>79</v>
      </c>
      <c r="C18" s="74">
        <v>93212</v>
      </c>
      <c r="D18" s="712" t="str">
        <f>IF(B18="SEPLAG",VLOOKUP(C18,COMPOSIÇÃO,2,FALSE),VLOOKUP(C18,'NAO DESO'!A:B,2,FALSE))</f>
        <v>EXECUÇÃO DE SANITÁRIO E VESTIÁRIO EM CANTEIRO DE OBRA EM CHAPA DE MADEIRA COMPENSADA, NÃO INCLUSO MOBILIÁRIO. AF_02/2016</v>
      </c>
      <c r="E18" s="76" t="str">
        <f>IF(B18="SEPLAG",VLOOKUP(C18,UNIDADE,3,FALSE),VLOOKUP(C18,'NAO DESO'!A:C,3,FALSE))</f>
        <v>M2</v>
      </c>
      <c r="F18" s="713">
        <f t="shared" si="0"/>
        <v>40</v>
      </c>
      <c r="G18" s="714" t="str">
        <f>IF(B18="SEPLAG",VLOOKUP(CONCATENATE("TOTAL DO ITEM NÃO DESON. - ",C18),BASE01,8,FALSE),VLOOKUP(C18,'NAO DESO'!A:D,4,FALSE))</f>
        <v>953,13</v>
      </c>
      <c r="H18" s="715">
        <f t="shared" si="1"/>
        <v>1164.97</v>
      </c>
      <c r="I18" s="715">
        <f t="shared" si="2"/>
        <v>46598.8</v>
      </c>
      <c r="J18" s="715" t="str">
        <f>IF(B18="SEPLAG",VLOOKUP(CONCATENATE("TOTAL DO ITEM DESON. - ",C18),BASE02,10,FALSE),VLOOKUP(C18,DESON!A:D,4,FALSE))</f>
        <v>929,58</v>
      </c>
      <c r="K18" s="715">
        <f t="shared" si="3"/>
        <v>1193.0943165045758</v>
      </c>
      <c r="L18" s="715">
        <f t="shared" si="4"/>
        <v>47723.77</v>
      </c>
    </row>
    <row r="19" spans="1:19" s="716" customFormat="1" ht="28.5">
      <c r="A19" s="89" t="s">
        <v>13002</v>
      </c>
      <c r="B19" s="717" t="s">
        <v>79</v>
      </c>
      <c r="C19" s="74">
        <v>93243</v>
      </c>
      <c r="D19" s="712" t="str">
        <f>IF(B19="SEPLAG",VLOOKUP(C19,COMPOSIÇÃO,2,FALSE),VLOOKUP(C19,'NAO DESO'!A:B,2,FALSE))</f>
        <v>EXECUÇÃO DE RESERVATÓRIO ELEVADO DE ÁGUA (2000 LITROS) EM CANTEIRO DE OBRA, APOIADO EM ESTRUTURA DE MADEIRA. AF_02/2016</v>
      </c>
      <c r="E19" s="76" t="str">
        <f>IF(B19="SEPLAG",VLOOKUP(C19,UNIDADE,3,FALSE),VLOOKUP(C19,'NAO DESO'!A:C,3,FALSE))</f>
        <v>UN</v>
      </c>
      <c r="F19" s="713">
        <f t="shared" si="0"/>
        <v>1</v>
      </c>
      <c r="G19" s="714" t="str">
        <f>IF(B19="SEPLAG",VLOOKUP(CONCATENATE("TOTAL DO ITEM NÃO DESON. - ",C19),BASE01,8,FALSE),VLOOKUP(C19,'NAO DESO'!A:D,4,FALSE))</f>
        <v>8.369,98</v>
      </c>
      <c r="H19" s="715">
        <f t="shared" si="1"/>
        <v>10230.299999999999</v>
      </c>
      <c r="I19" s="715">
        <f t="shared" si="2"/>
        <v>10230.299999999999</v>
      </c>
      <c r="J19" s="715" t="str">
        <f>IF(B19="SEPLAG",VLOOKUP(CONCATENATE("TOTAL DO ITEM DESON. - ",C19),BASE02,10,FALSE),VLOOKUP(C19,DESON!A:D,4,FALSE))</f>
        <v>8.321,10</v>
      </c>
      <c r="K19" s="715">
        <f t="shared" si="3"/>
        <v>10679.938377618091</v>
      </c>
      <c r="L19" s="715">
        <f t="shared" si="4"/>
        <v>10679.93</v>
      </c>
    </row>
    <row r="20" spans="1:19" s="716" customFormat="1" ht="28.5">
      <c r="A20" s="89" t="s">
        <v>13085</v>
      </c>
      <c r="B20" s="717" t="s">
        <v>14504</v>
      </c>
      <c r="C20" s="74" t="s">
        <v>13083</v>
      </c>
      <c r="D20" s="712" t="str">
        <f>IF(B20="SEPLAG",VLOOKUP(C20,COMPOSIÇÃO,2,FALSE),VLOOKUP(C20,'NAO DESO'!A:B,2,FALSE))</f>
        <v>BANHEIRO QUÍMICO, FORNECIMENTO E INSTALAÇÃO.</v>
      </c>
      <c r="E20" s="76" t="str">
        <f>IF(B20="SEPLAG",VLOOKUP(C20,UNIDADE,3,FALSE),VLOOKUP(C20,'NAO DESO'!A:C,3,FALSE))</f>
        <v>UND</v>
      </c>
      <c r="F20" s="713">
        <f t="shared" si="0"/>
        <v>2</v>
      </c>
      <c r="G20" s="714">
        <f>IF(B20="SEPLAG",VLOOKUP(CONCATENATE("TOTAL DO ITEM NÃO DESON. - ",C20),BASE01,8,FALSE),VLOOKUP(C20,'NAO DESO'!A:D,4,FALSE))</f>
        <v>550</v>
      </c>
      <c r="H20" s="715">
        <f>TRUNC(G20+G20*$K$6,2)</f>
        <v>672.24</v>
      </c>
      <c r="I20" s="715">
        <f>TRUNC(F20*H20,2)</f>
        <v>1344.48</v>
      </c>
      <c r="J20" s="715">
        <f>IF(B20="SEPLAG",VLOOKUP(CONCATENATE("TOTAL DO ITEM DESON. - ",C20),BASE02,10,FALSE),VLOOKUP(C20,DESON!A:D,4,FALSE))</f>
        <v>550</v>
      </c>
      <c r="K20" s="715">
        <f t="shared" si="3"/>
        <v>705.91221205008355</v>
      </c>
      <c r="L20" s="715">
        <f>TRUNC(F20*K20,2)</f>
        <v>1411.82</v>
      </c>
    </row>
    <row r="21" spans="1:19" s="1289" customFormat="1">
      <c r="A21" s="1257" t="str">
        <f>CONCATENATE("TOTAL DO ITEM &gt;&gt;&gt;&gt;",A13)</f>
        <v>TOTAL DO ITEM &gt;&gt;&gt;&gt;1.0</v>
      </c>
      <c r="B21" s="1287"/>
      <c r="C21" s="1287"/>
      <c r="D21" s="1287"/>
      <c r="E21" s="1287"/>
      <c r="F21" s="1287"/>
      <c r="G21" s="1287"/>
      <c r="H21" s="1287"/>
      <c r="I21" s="1288">
        <f>SUM(I14:I20)</f>
        <v>251507.66</v>
      </c>
      <c r="J21" s="1288"/>
      <c r="K21" s="1288"/>
      <c r="L21" s="1288">
        <f>SUM(L14:L20)</f>
        <v>258180.81999999998</v>
      </c>
    </row>
    <row r="22" spans="1:19" s="110" customFormat="1">
      <c r="A22" s="1252"/>
      <c r="B22" s="1253"/>
      <c r="C22" s="1253"/>
      <c r="D22" s="1253"/>
      <c r="E22" s="1253"/>
      <c r="F22" s="1253"/>
      <c r="G22" s="1253"/>
      <c r="H22" s="1253"/>
      <c r="I22" s="1253"/>
      <c r="J22" s="1253"/>
      <c r="K22" s="1253"/>
      <c r="L22" s="1254"/>
    </row>
    <row r="23" spans="1:19" s="1289" customFormat="1">
      <c r="A23" s="1280" t="s">
        <v>50</v>
      </c>
      <c r="B23" s="1290"/>
      <c r="C23" s="1291"/>
      <c r="D23" s="931" t="s">
        <v>45</v>
      </c>
      <c r="E23" s="1292"/>
      <c r="F23" s="1293"/>
      <c r="G23" s="1293"/>
      <c r="H23" s="1293"/>
      <c r="I23" s="1293"/>
      <c r="J23" s="1293"/>
      <c r="K23" s="1294"/>
      <c r="L23" s="1294"/>
    </row>
    <row r="24" spans="1:19" s="716" customFormat="1" ht="28.5">
      <c r="A24" s="89" t="s">
        <v>51</v>
      </c>
      <c r="B24" s="717" t="s">
        <v>14504</v>
      </c>
      <c r="C24" s="74" t="s">
        <v>355</v>
      </c>
      <c r="D24" s="712" t="str">
        <f>IF(B24="SEPLAG",VLOOKUP(C24,COMPOSIÇÃO,2,FALSE),VLOOKUP(C24,'NAO DESO'!A:B,2,FALSE))</f>
        <v>ADMINISTRAÇÃO LOCAL DE OBRA.</v>
      </c>
      <c r="E24" s="76" t="s">
        <v>32</v>
      </c>
      <c r="F24" s="713">
        <f>'MEM CAL'!F22</f>
        <v>12</v>
      </c>
      <c r="G24" s="714">
        <f>COMPOSIÇÕES!H29</f>
        <v>13721.84</v>
      </c>
      <c r="H24" s="715">
        <f>TRUNC(G24+G24*$K$6,2)</f>
        <v>16771.669999999998</v>
      </c>
      <c r="I24" s="715">
        <f>TRUNC(F24*H24,2)</f>
        <v>201260.04</v>
      </c>
      <c r="J24" s="715">
        <f>COMPOSIÇÕES!J30</f>
        <v>11887.039999999999</v>
      </c>
      <c r="K24" s="715">
        <f>J24+J24*$L$6</f>
        <v>15256.739456596044</v>
      </c>
      <c r="L24" s="715">
        <f>TRUNC(F24*K24,2)</f>
        <v>183080.87</v>
      </c>
    </row>
    <row r="25" spans="1:19" s="1289" customFormat="1">
      <c r="A25" s="1257" t="str">
        <f>CONCATENATE("TOTAL DO ITEM &gt;&gt;&gt;&gt;",A23)</f>
        <v>TOTAL DO ITEM &gt;&gt;&gt;&gt;2.0</v>
      </c>
      <c r="B25" s="1287"/>
      <c r="C25" s="1287"/>
      <c r="D25" s="1287"/>
      <c r="E25" s="1287"/>
      <c r="F25" s="1287"/>
      <c r="G25" s="1287"/>
      <c r="H25" s="1287"/>
      <c r="I25" s="1295">
        <f>SUM(I24)</f>
        <v>201260.04</v>
      </c>
      <c r="J25" s="1288"/>
      <c r="K25" s="1288"/>
      <c r="L25" s="1295">
        <f>SUM(L24)</f>
        <v>183080.87</v>
      </c>
    </row>
    <row r="26" spans="1:19" s="110" customFormat="1">
      <c r="A26" s="1252"/>
      <c r="B26" s="1253"/>
      <c r="C26" s="1253"/>
      <c r="D26" s="1253"/>
      <c r="E26" s="1253"/>
      <c r="F26" s="1253"/>
      <c r="G26" s="1253"/>
      <c r="H26" s="1253"/>
      <c r="I26" s="1253"/>
      <c r="J26" s="1253"/>
      <c r="K26" s="1253"/>
      <c r="L26" s="1254"/>
    </row>
    <row r="27" spans="1:19" s="110" customFormat="1">
      <c r="A27" s="1280" t="s">
        <v>52</v>
      </c>
      <c r="B27" s="1296"/>
      <c r="C27" s="1296"/>
      <c r="D27" s="1280" t="s">
        <v>13821</v>
      </c>
      <c r="E27" s="1296"/>
      <c r="F27" s="1297"/>
      <c r="G27" s="1297"/>
      <c r="H27" s="1297"/>
      <c r="I27" s="1297"/>
      <c r="J27" s="1297"/>
      <c r="K27" s="1297"/>
      <c r="L27" s="1297"/>
    </row>
    <row r="28" spans="1:19" s="716" customFormat="1">
      <c r="A28" s="719" t="s">
        <v>53</v>
      </c>
      <c r="B28" s="720"/>
      <c r="C28" s="721"/>
      <c r="D28" s="140" t="s">
        <v>27</v>
      </c>
      <c r="E28" s="722"/>
      <c r="F28" s="723"/>
      <c r="G28" s="723"/>
      <c r="H28" s="723"/>
      <c r="I28" s="723"/>
      <c r="J28" s="144"/>
      <c r="K28" s="724"/>
      <c r="L28" s="144"/>
    </row>
    <row r="29" spans="1:19" s="716" customFormat="1" ht="28.5">
      <c r="A29" s="89" t="s">
        <v>7078</v>
      </c>
      <c r="B29" s="717" t="s">
        <v>79</v>
      </c>
      <c r="C29" s="74">
        <v>97640</v>
      </c>
      <c r="D29" s="712" t="str">
        <f>IF(B29="SEPLAG",VLOOKUP(C29,COMPOSIÇÃO,2,FALSE),VLOOKUP(C29,'NAO DESO'!A:B,2,FALSE))</f>
        <v>REMOÇÃO DE FORROS DE DRYWALL, PVC E FIBROMINERAL, DE FORMA MANUAL, SEM REAPROVEITAMENTO. AF_12/2017</v>
      </c>
      <c r="E29" s="76" t="str">
        <f>IF(B29="SEPLAG",VLOOKUP(C29,UNIDADE,3,FALSE),VLOOKUP(C29,'NAO DESO'!A:C,3,FALSE))</f>
        <v>M2</v>
      </c>
      <c r="F29" s="713">
        <f t="shared" ref="F29:F35" si="5">VLOOKUP(A29,MEMÓRIA,6,FALSE)</f>
        <v>246.75</v>
      </c>
      <c r="G29" s="714" t="str">
        <f>IF(B29="SEPLAG",VLOOKUP(CONCATENATE("TOTAL DO ITEM NÃO DESON. - ",C29),BASE01,8,FALSE),VLOOKUP(C29,'NAO DESO'!A:D,4,FALSE))</f>
        <v>1,24</v>
      </c>
      <c r="H29" s="715">
        <f t="shared" ref="H29:H35" si="6">TRUNC(G29+G29*$K$6,2)</f>
        <v>1.51</v>
      </c>
      <c r="I29" s="715">
        <f t="shared" ref="I29:I35" si="7">TRUNC(F29*H29,2)</f>
        <v>372.59</v>
      </c>
      <c r="J29" s="715" t="str">
        <f>IF(B29="SEPLAG",VLOOKUP(CONCATENATE("TOTAL DO ITEM DESON. - ",C29),BASE02,10,FALSE),VLOOKUP(C29,DESON!A:D,4,FALSE))</f>
        <v>1,11</v>
      </c>
      <c r="K29" s="715">
        <f t="shared" ref="K29:K35" si="8">J29+J29*$L$6</f>
        <v>1.4246591915919868</v>
      </c>
      <c r="L29" s="715">
        <f t="shared" ref="L29:L35" si="9">TRUNC(F29*K29,2)</f>
        <v>351.53</v>
      </c>
    </row>
    <row r="30" spans="1:19" s="716" customFormat="1" ht="28.5">
      <c r="A30" s="89" t="s">
        <v>7079</v>
      </c>
      <c r="B30" s="717" t="s">
        <v>79</v>
      </c>
      <c r="C30" s="74">
        <v>97644</v>
      </c>
      <c r="D30" s="712" t="str">
        <f>IF(B30="SEPLAG",VLOOKUP(C30,COMPOSIÇÃO,2,FALSE),VLOOKUP(C30,'NAO DESO'!A:B,2,FALSE))</f>
        <v>REMOÇÃO DE PORTAS, DE FORMA MANUAL, SEM REAPROVEITAMENTO. AF_12/2017</v>
      </c>
      <c r="E30" s="76" t="str">
        <f>IF(B30="SEPLAG",VLOOKUP(C30,UNIDADE,3,FALSE),VLOOKUP(C30,'NAO DESO'!A:C,3,FALSE))</f>
        <v>M2</v>
      </c>
      <c r="F30" s="713">
        <f t="shared" si="5"/>
        <v>13.98</v>
      </c>
      <c r="G30" s="714" t="str">
        <f>IF(B30="SEPLAG",VLOOKUP(CONCATENATE("TOTAL DO ITEM NÃO DESON. - ",C30),BASE01,8,FALSE),VLOOKUP(C30,'NAO DESO'!A:D,4,FALSE))</f>
        <v>7,11</v>
      </c>
      <c r="H30" s="715">
        <f t="shared" si="6"/>
        <v>8.69</v>
      </c>
      <c r="I30" s="715">
        <f t="shared" si="7"/>
        <v>121.48</v>
      </c>
      <c r="J30" s="715" t="str">
        <f>IF(B30="SEPLAG",VLOOKUP(CONCATENATE("TOTAL DO ITEM DESON. - ",C30),BASE02,10,FALSE),VLOOKUP(C30,DESON!A:D,4,FALSE))</f>
        <v>6,39</v>
      </c>
      <c r="K30" s="715">
        <f t="shared" si="8"/>
        <v>8.2014164272727879</v>
      </c>
      <c r="L30" s="715">
        <f t="shared" si="9"/>
        <v>114.65</v>
      </c>
    </row>
    <row r="31" spans="1:19" s="716" customFormat="1" ht="28.5">
      <c r="A31" s="89" t="s">
        <v>7080</v>
      </c>
      <c r="B31" s="717" t="s">
        <v>79</v>
      </c>
      <c r="C31" s="74">
        <v>97645</v>
      </c>
      <c r="D31" s="712" t="str">
        <f>IF(B31="SEPLAG",VLOOKUP(C31,COMPOSIÇÃO,2,FALSE),VLOOKUP(C31,'NAO DESO'!A:B,2,FALSE))</f>
        <v>REMOÇÃO DE JANELAS, DE FORMA MANUAL, SEM REAPROVEITAMENTO. AF_12/2017</v>
      </c>
      <c r="E31" s="76" t="str">
        <f>IF(B31="SEPLAG",VLOOKUP(C31,UNIDADE,3,FALSE),VLOOKUP(C31,'NAO DESO'!A:C,3,FALSE))</f>
        <v>M2</v>
      </c>
      <c r="F31" s="713">
        <f t="shared" si="5"/>
        <v>39.200000000000003</v>
      </c>
      <c r="G31" s="714" t="str">
        <f>IF(B31="SEPLAG",VLOOKUP(CONCATENATE("TOTAL DO ITEM NÃO DESON. - ",C31),BASE01,8,FALSE),VLOOKUP(C31,'NAO DESO'!A:D,4,FALSE))</f>
        <v>25,94</v>
      </c>
      <c r="H31" s="715">
        <f t="shared" si="6"/>
        <v>31.7</v>
      </c>
      <c r="I31" s="715">
        <f t="shared" si="7"/>
        <v>1242.6400000000001</v>
      </c>
      <c r="J31" s="715" t="str">
        <f>IF(B31="SEPLAG",VLOOKUP(CONCATENATE("TOTAL DO ITEM DESON. - ",C31),BASE02,10,FALSE),VLOOKUP(C31,DESON!A:D,4,FALSE))</f>
        <v>23,93</v>
      </c>
      <c r="K31" s="715">
        <f t="shared" si="8"/>
        <v>30.713598607924546</v>
      </c>
      <c r="L31" s="715">
        <f t="shared" si="9"/>
        <v>1203.97</v>
      </c>
    </row>
    <row r="32" spans="1:19" s="716" customFormat="1" ht="28.5">
      <c r="A32" s="89" t="s">
        <v>7081</v>
      </c>
      <c r="B32" s="717" t="s">
        <v>14504</v>
      </c>
      <c r="C32" s="74" t="s">
        <v>358</v>
      </c>
      <c r="D32" s="712" t="str">
        <f>IF(B32="SEPLAG",VLOOKUP(C32,COMPOSIÇÃO,2,FALSE),VLOOKUP(C32,'NAO DESO'!A:B,2,FALSE))</f>
        <v>DEMOLIÇÃO DE DIVISÓRIA NAVAL, INCLUSIVE AFASTAMENTO.</v>
      </c>
      <c r="E32" s="76" t="str">
        <f>IF(B32="SEPLAG",VLOOKUP(C32,UNIDADE,3,FALSE),VLOOKUP(C32,'NAO DESO'!A:C,3,FALSE))</f>
        <v>m²</v>
      </c>
      <c r="F32" s="713">
        <f t="shared" si="5"/>
        <v>20.826000000000001</v>
      </c>
      <c r="G32" s="714">
        <f>IF(B32="SEPLAG",VLOOKUP(CONCATENATE("TOTAL DO ITEM NÃO DESON. - ",C32),BASE01,8,FALSE),VLOOKUP(C32,'NAO DESO'!A:D,4,FALSE))</f>
        <v>6.1899999999999995</v>
      </c>
      <c r="H32" s="715">
        <f t="shared" si="6"/>
        <v>7.56</v>
      </c>
      <c r="I32" s="715">
        <f t="shared" si="7"/>
        <v>157.44</v>
      </c>
      <c r="J32" s="715">
        <f>IF(B32="SEPLAG",VLOOKUP(CONCATENATE("TOTAL DO ITEM DESON. - ",C32),BASE02,10,FALSE),VLOOKUP(C32,DESON!A:D,4,FALSE))</f>
        <v>5.55</v>
      </c>
      <c r="K32" s="715">
        <f t="shared" si="8"/>
        <v>7.1232959579599342</v>
      </c>
      <c r="L32" s="715">
        <f t="shared" si="9"/>
        <v>148.34</v>
      </c>
    </row>
    <row r="33" spans="1:12" s="716" customFormat="1" ht="28.5">
      <c r="A33" s="89" t="s">
        <v>7082</v>
      </c>
      <c r="B33" s="717" t="s">
        <v>79</v>
      </c>
      <c r="C33" s="74">
        <v>97633</v>
      </c>
      <c r="D33" s="712" t="str">
        <f>IF(B33="SEPLAG",VLOOKUP(C33,COMPOSIÇÃO,2,FALSE),VLOOKUP(C33,'NAO DESO'!A:B,2,FALSE))</f>
        <v>DEMOLIÇÃO DE REVESTIMENTO CERÂMICO, DE FORMA MANUAL, SEM REAPROVEITAMENTO. AF_12/2017</v>
      </c>
      <c r="E33" s="76" t="str">
        <f>IF(B33="SEPLAG",VLOOKUP(C33,UNIDADE,3,FALSE),VLOOKUP(C33,'NAO DESO'!A:C,3,FALSE))</f>
        <v>M2</v>
      </c>
      <c r="F33" s="713">
        <f t="shared" si="5"/>
        <v>72.8</v>
      </c>
      <c r="G33" s="714" t="str">
        <f>IF(B33="SEPLAG",VLOOKUP(CONCATENATE("TOTAL DO ITEM NÃO DESON. - ",C33),BASE01,8,FALSE),VLOOKUP(C33,'NAO DESO'!A:D,4,FALSE))</f>
        <v>17,46</v>
      </c>
      <c r="H33" s="715">
        <f t="shared" si="6"/>
        <v>21.34</v>
      </c>
      <c r="I33" s="715">
        <f t="shared" si="7"/>
        <v>1553.55</v>
      </c>
      <c r="J33" s="715" t="str">
        <f>IF(B33="SEPLAG",VLOOKUP(CONCATENATE("TOTAL DO ITEM DESON. - ",C33),BASE02,10,FALSE),VLOOKUP(C33,DESON!A:D,4,FALSE))</f>
        <v>15,69</v>
      </c>
      <c r="K33" s="715">
        <f t="shared" si="8"/>
        <v>20.137750194665109</v>
      </c>
      <c r="L33" s="715">
        <f t="shared" si="9"/>
        <v>1466.02</v>
      </c>
    </row>
    <row r="34" spans="1:12" s="716" customFormat="1" ht="28.5">
      <c r="A34" s="89" t="s">
        <v>7083</v>
      </c>
      <c r="B34" s="717" t="s">
        <v>79</v>
      </c>
      <c r="C34" s="74">
        <v>97663</v>
      </c>
      <c r="D34" s="712" t="str">
        <f>IF(B34="SEPLAG",VLOOKUP(C34,COMPOSIÇÃO,2,FALSE),VLOOKUP(C34,'NAO DESO'!A:B,2,FALSE))</f>
        <v>REMOÇÃO DE LOUÇAS, DE FORMA MANUAL, SEM REAPROVEITAMENTO. AF_12/2017</v>
      </c>
      <c r="E34" s="76" t="str">
        <f>IF(B34="SEPLAG",VLOOKUP(C34,UNIDADE,3,FALSE),VLOOKUP(C34,'NAO DESO'!A:C,3,FALSE))</f>
        <v>UN</v>
      </c>
      <c r="F34" s="713">
        <f t="shared" si="5"/>
        <v>2</v>
      </c>
      <c r="G34" s="714" t="str">
        <f>IF(B34="SEPLAG",VLOOKUP(CONCATENATE("TOTAL DO ITEM NÃO DESON. - ",C34),BASE01,8,FALSE),VLOOKUP(C34,'NAO DESO'!A:D,4,FALSE))</f>
        <v>9,49</v>
      </c>
      <c r="H34" s="715">
        <f t="shared" si="6"/>
        <v>11.59</v>
      </c>
      <c r="I34" s="715">
        <f t="shared" si="7"/>
        <v>23.18</v>
      </c>
      <c r="J34" s="715" t="str">
        <f>IF(B34="SEPLAG",VLOOKUP(CONCATENATE("TOTAL DO ITEM DESON. - ",C34),BASE02,10,FALSE),VLOOKUP(C34,DESON!A:D,4,FALSE))</f>
        <v>8,50</v>
      </c>
      <c r="K34" s="715">
        <f t="shared" si="8"/>
        <v>10.909552368046747</v>
      </c>
      <c r="L34" s="715">
        <f t="shared" si="9"/>
        <v>21.81</v>
      </c>
    </row>
    <row r="35" spans="1:12" s="716" customFormat="1" ht="28.5">
      <c r="A35" s="89" t="s">
        <v>14261</v>
      </c>
      <c r="B35" s="717" t="s">
        <v>14504</v>
      </c>
      <c r="C35" s="74" t="s">
        <v>360</v>
      </c>
      <c r="D35" s="712" t="str">
        <f>IF(B35="SEPLAG",VLOOKUP(C35,COMPOSIÇÃO,2,FALSE),VLOOKUP(C35,'NAO DESO'!A:B,2,FALSE))</f>
        <v>DEMOLIÇÃO DE CONCRETO SIMPLES - COM EQUIPAMENTO ELÉTRICO, INCLUSIVE AFASTAMENTO.</v>
      </c>
      <c r="E35" s="76" t="str">
        <f>IF(B35="SEPLAG",VLOOKUP(C35,UNIDADE,3,FALSE),VLOOKUP(C35,'NAO DESO'!A:C,3,FALSE))</f>
        <v>m³</v>
      </c>
      <c r="F35" s="713">
        <f t="shared" si="5"/>
        <v>0.1134</v>
      </c>
      <c r="G35" s="714">
        <f>IF(B35="SEPLAG",VLOOKUP(CONCATENATE("TOTAL DO ITEM NÃO DESON. - ",C35),BASE01,8,FALSE),VLOOKUP(C35,'NAO DESO'!A:D,4,FALSE))</f>
        <v>129.58000000000001</v>
      </c>
      <c r="H35" s="715">
        <f t="shared" si="6"/>
        <v>158.38</v>
      </c>
      <c r="I35" s="715">
        <f t="shared" si="7"/>
        <v>17.96</v>
      </c>
      <c r="J35" s="715">
        <f>IF(B35="SEPLAG",VLOOKUP(CONCATENATE("TOTAL DO ITEM DESON. - ",C35),BASE02,10,FALSE),VLOOKUP(C35,DESON!A:D,4,FALSE))</f>
        <v>119.1</v>
      </c>
      <c r="K35" s="715">
        <f t="shared" si="8"/>
        <v>152.86208082757264</v>
      </c>
      <c r="L35" s="715">
        <f t="shared" si="9"/>
        <v>17.329999999999998</v>
      </c>
    </row>
    <row r="36" spans="1:12" s="716" customFormat="1">
      <c r="A36" s="725" t="str">
        <f>CONCATENATE("TOTAL DO ITEM &gt;&gt;&gt;&gt;",A28)</f>
        <v>TOTAL DO ITEM &gt;&gt;&gt;&gt;3.1</v>
      </c>
      <c r="B36" s="726"/>
      <c r="C36" s="726"/>
      <c r="D36" s="726"/>
      <c r="E36" s="726"/>
      <c r="F36" s="726"/>
      <c r="G36" s="726"/>
      <c r="H36" s="726"/>
      <c r="I36" s="727">
        <f>SUM(I29:I35)</f>
        <v>3488.8399999999997</v>
      </c>
      <c r="J36" s="728"/>
      <c r="K36" s="728"/>
      <c r="L36" s="727">
        <f>SUM(L29:L35)</f>
        <v>3323.65</v>
      </c>
    </row>
    <row r="37" spans="1:12" s="716" customFormat="1">
      <c r="A37" s="126"/>
      <c r="B37" s="127"/>
      <c r="C37" s="127"/>
      <c r="D37" s="127"/>
      <c r="E37" s="127"/>
      <c r="F37" s="127"/>
      <c r="G37" s="127"/>
      <c r="H37" s="127"/>
      <c r="I37" s="127"/>
      <c r="J37" s="127"/>
      <c r="K37" s="127"/>
      <c r="L37" s="128"/>
    </row>
    <row r="38" spans="1:12" s="716" customFormat="1">
      <c r="A38" s="729" t="s">
        <v>54</v>
      </c>
      <c r="B38" s="730"/>
      <c r="C38" s="730"/>
      <c r="D38" s="731" t="s">
        <v>295</v>
      </c>
      <c r="E38" s="730"/>
      <c r="F38" s="732"/>
      <c r="G38" s="732"/>
      <c r="H38" s="732"/>
      <c r="I38" s="732"/>
      <c r="J38" s="733"/>
      <c r="K38" s="732"/>
      <c r="L38" s="733"/>
    </row>
    <row r="39" spans="1:12" s="716" customFormat="1" ht="28.5">
      <c r="A39" s="89" t="s">
        <v>7084</v>
      </c>
      <c r="B39" s="76" t="s">
        <v>79</v>
      </c>
      <c r="C39" s="76">
        <v>96523</v>
      </c>
      <c r="D39" s="712" t="str">
        <f>IF(B39="SEPLAG",VLOOKUP(C39,COMPOSIÇÃO,2,FALSE),VLOOKUP(C39,'NAO DESO'!A:B,2,FALSE))</f>
        <v>ESCAVAÇÃO MANUAL PARA BLOCO DE COROAMENTO OU SAPATA (INCLUINDO ESCAVAÇÃO PARA COLOCAÇÃO DE FÔRMAS). AF_06/2017</v>
      </c>
      <c r="E39" s="76" t="str">
        <f>IF(B39="SEPLAG",VLOOKUP(C39,UNIDADE,3,FALSE),VLOOKUP(C39,'NAO DESO'!A:C,3,FALSE))</f>
        <v>M3</v>
      </c>
      <c r="F39" s="713">
        <f>VLOOKUP(A39,MEMÓRIA,6,FALSE)</f>
        <v>2.835</v>
      </c>
      <c r="G39" s="714" t="str">
        <f>IF(B39="SEPLAG",VLOOKUP(CONCATENATE("TOTAL DO ITEM NÃO DESON. - ",C39),BASE01,8,FALSE),VLOOKUP(C39,'NAO DESO'!A:D,4,FALSE))</f>
        <v>76,46</v>
      </c>
      <c r="H39" s="715">
        <f>TRUNC(G39+G39*$K$6,2)</f>
        <v>93.45</v>
      </c>
      <c r="I39" s="715">
        <f>TRUNC(F39*H39,2)</f>
        <v>264.93</v>
      </c>
      <c r="J39" s="715" t="str">
        <f>IF(B39="SEPLAG",VLOOKUP(CONCATENATE("TOTAL DO ITEM DESON. - ",C39),BASE02,10,FALSE),VLOOKUP(C39,DESON!A:D,4,FALSE))</f>
        <v>68,70</v>
      </c>
      <c r="K39" s="715">
        <f>J39+J39*$L$6</f>
        <v>88.17485266880135</v>
      </c>
      <c r="L39" s="715">
        <f>TRUNC(F39*K39,2)</f>
        <v>249.97</v>
      </c>
    </row>
    <row r="40" spans="1:12" s="716" customFormat="1" ht="28.5">
      <c r="A40" s="89" t="s">
        <v>7085</v>
      </c>
      <c r="B40" s="76" t="s">
        <v>79</v>
      </c>
      <c r="C40" s="76">
        <v>101616</v>
      </c>
      <c r="D40" s="712" t="str">
        <f>IF(B40="SEPLAG",VLOOKUP(C40,COMPOSIÇÃO,2,FALSE),VLOOKUP(C40,'NAO DESO'!A:B,2,FALSE))</f>
        <v>PREPARO DE FUNDO DE VALA COM LARGURA MENOR QUE 1,5 M (ACERTO DO SOLO NATURAL). AF_08/2020</v>
      </c>
      <c r="E40" s="76" t="str">
        <f>IF(B40="SEPLAG",VLOOKUP(C40,UNIDADE,3,FALSE),VLOOKUP(C40,'NAO DESO'!A:C,3,FALSE))</f>
        <v>M2</v>
      </c>
      <c r="F40" s="713">
        <f>VLOOKUP(A40,MEMÓRIA,6,FALSE)</f>
        <v>2.835</v>
      </c>
      <c r="G40" s="714" t="str">
        <f>IF(B40="SEPLAG",VLOOKUP(CONCATENATE("TOTAL DO ITEM NÃO DESON. - ",C40),BASE01,8,FALSE),VLOOKUP(C40,'NAO DESO'!A:D,4,FALSE))</f>
        <v>4,86</v>
      </c>
      <c r="H40" s="715">
        <f>TRUNC(G40+G40*$K$6,2)</f>
        <v>5.94</v>
      </c>
      <c r="I40" s="715">
        <f>TRUNC(F40*H40,2)</f>
        <v>16.829999999999998</v>
      </c>
      <c r="J40" s="715" t="str">
        <f>IF(B40="SEPLAG",VLOOKUP(CONCATENATE("TOTAL DO ITEM DESON. - ",C40),BASE02,10,FALSE),VLOOKUP(C40,DESON!A:D,4,FALSE))</f>
        <v>4,37</v>
      </c>
      <c r="K40" s="715">
        <f>J40+J40*$L$6</f>
        <v>5.6087933939252093</v>
      </c>
      <c r="L40" s="715">
        <f>TRUNC(F40*K40,2)</f>
        <v>15.9</v>
      </c>
    </row>
    <row r="41" spans="1:12" s="716" customFormat="1" ht="28.5">
      <c r="A41" s="89" t="s">
        <v>7086</v>
      </c>
      <c r="B41" s="76" t="s">
        <v>79</v>
      </c>
      <c r="C41" s="76">
        <v>96616</v>
      </c>
      <c r="D41" s="712" t="str">
        <f>IF(B41="SEPLAG",VLOOKUP(C41,COMPOSIÇÃO,2,FALSE),VLOOKUP(C41,'NAO DESO'!A:B,2,FALSE))</f>
        <v>LASTRO DE CONCRETO MAGRO, APLICADO EM BLOCOS DE COROAMENTO OU SAPATAS. AF_08/2017</v>
      </c>
      <c r="E41" s="76" t="str">
        <f>IF(B41="SEPLAG",VLOOKUP(C41,UNIDADE,3,FALSE),VLOOKUP(C41,'NAO DESO'!A:C,3,FALSE))</f>
        <v>M3</v>
      </c>
      <c r="F41" s="713">
        <f>VLOOKUP(A41,MEMÓRIA,6,FALSE)</f>
        <v>8.5049999999999987E-2</v>
      </c>
      <c r="G41" s="714" t="str">
        <f>IF(B41="SEPLAG",VLOOKUP(CONCATENATE("TOTAL DO ITEM NÃO DESON. - ",C41),BASE01,8,FALSE),VLOOKUP(C41,'NAO DESO'!A:D,4,FALSE))</f>
        <v>535,54</v>
      </c>
      <c r="H41" s="715">
        <f>TRUNC(G41+G41*$K$6,2)</f>
        <v>654.55999999999995</v>
      </c>
      <c r="I41" s="715">
        <f>TRUNC(F41*H41,2)</f>
        <v>55.67</v>
      </c>
      <c r="J41" s="715" t="str">
        <f>IF(B41="SEPLAG",VLOOKUP(CONCATENATE("TOTAL DO ITEM DESON. - ",C41),BASE02,10,FALSE),VLOOKUP(C41,DESON!A:D,4,FALSE))</f>
        <v>512,44</v>
      </c>
      <c r="K41" s="715">
        <f>J41+J41*$L$6</f>
        <v>657.70482535080885</v>
      </c>
      <c r="L41" s="715">
        <f>TRUNC(F41*K41,2)</f>
        <v>55.93</v>
      </c>
    </row>
    <row r="42" spans="1:12" s="716" customFormat="1" ht="28.5">
      <c r="A42" s="89" t="s">
        <v>13088</v>
      </c>
      <c r="B42" s="76" t="s">
        <v>79</v>
      </c>
      <c r="C42" s="76">
        <v>93382</v>
      </c>
      <c r="D42" s="712" t="str">
        <f>IF(B42="SEPLAG",VLOOKUP(C42,COMPOSIÇÃO,2,FALSE),VLOOKUP(C42,'NAO DESO'!A:B,2,FALSE))</f>
        <v>REATERRO MANUAL DE VALAS COM COMPACTAÇÃO MECANIZADA. AF_04/2016</v>
      </c>
      <c r="E42" s="76" t="str">
        <f>IF(B42="SEPLAG",VLOOKUP(C42,UNIDADE,3,FALSE),VLOOKUP(C42,'NAO DESO'!A:C,3,FALSE))</f>
        <v>M3</v>
      </c>
      <c r="F42" s="713">
        <f>VLOOKUP(A42,MEMÓRIA,6,FALSE)</f>
        <v>1.8800000000000001</v>
      </c>
      <c r="G42" s="714" t="str">
        <f>IF(B42="SEPLAG",VLOOKUP(CONCATENATE("TOTAL DO ITEM NÃO DESON. - ",C42),BASE01,8,FALSE),VLOOKUP(C42,'NAO DESO'!A:D,4,FALSE))</f>
        <v>23,85</v>
      </c>
      <c r="H42" s="715">
        <f>TRUNC(G42+G42*$K$6,2)</f>
        <v>29.15</v>
      </c>
      <c r="I42" s="715">
        <f>TRUNC(F42*H42,2)</f>
        <v>54.8</v>
      </c>
      <c r="J42" s="715" t="str">
        <f>IF(B42="SEPLAG",VLOOKUP(CONCATENATE("TOTAL DO ITEM DESON. - ",C42),BASE02,10,FALSE),VLOOKUP(C42,DESON!A:D,4,FALSE))</f>
        <v>21,84</v>
      </c>
      <c r="K42" s="715">
        <f>J42+J42*$L$6</f>
        <v>28.031132202134227</v>
      </c>
      <c r="L42" s="715">
        <f>TRUNC(F42*K42,2)</f>
        <v>52.69</v>
      </c>
    </row>
    <row r="43" spans="1:12" s="716" customFormat="1">
      <c r="A43" s="734" t="str">
        <f>CONCATENATE("TOTAL DO ITEM &gt;&gt;&gt;&gt;",A38)</f>
        <v>TOTAL DO ITEM &gt;&gt;&gt;&gt;3.2</v>
      </c>
      <c r="B43" s="735"/>
      <c r="C43" s="735"/>
      <c r="D43" s="735"/>
      <c r="E43" s="735"/>
      <c r="F43" s="735"/>
      <c r="G43" s="735"/>
      <c r="H43" s="735"/>
      <c r="I43" s="736">
        <f>SUM(I39:I42)</f>
        <v>392.23</v>
      </c>
      <c r="J43" s="715"/>
      <c r="K43" s="715"/>
      <c r="L43" s="736">
        <f>SUM(L39:L42)</f>
        <v>374.49</v>
      </c>
    </row>
    <row r="44" spans="1:12" s="716" customFormat="1">
      <c r="A44" s="126"/>
      <c r="B44" s="127"/>
      <c r="C44" s="127"/>
      <c r="D44" s="127"/>
      <c r="E44" s="127"/>
      <c r="F44" s="127"/>
      <c r="G44" s="127"/>
      <c r="H44" s="127"/>
      <c r="I44" s="127"/>
      <c r="J44" s="127"/>
      <c r="K44" s="127"/>
      <c r="L44" s="128"/>
    </row>
    <row r="45" spans="1:12">
      <c r="A45" s="138" t="s">
        <v>55</v>
      </c>
      <c r="B45" s="737"/>
      <c r="C45" s="738"/>
      <c r="D45" s="739" t="s">
        <v>14259</v>
      </c>
      <c r="E45" s="740"/>
      <c r="F45" s="142"/>
      <c r="G45" s="142"/>
      <c r="H45" s="741"/>
      <c r="I45" s="144"/>
      <c r="J45" s="741"/>
      <c r="K45" s="741"/>
      <c r="L45" s="741"/>
    </row>
    <row r="46" spans="1:12" ht="42.75">
      <c r="A46" s="77" t="s">
        <v>7087</v>
      </c>
      <c r="B46" s="75" t="s">
        <v>79</v>
      </c>
      <c r="C46" s="742">
        <v>96555</v>
      </c>
      <c r="D46" s="712" t="str">
        <f>IF(B46="SEPLAG",VLOOKUP(C46,COMPOSIÇÃO,2,FALSE),VLOOKUP(C46,'NAO DESO'!A:B,2,FALSE))</f>
        <v>CONCRETAGEM DE BLOCOS DE COROAMENTO E VIGAS BALDRAME, FCK 30 MPA, COM USO DE JERICA  LANÇAMENTO, ADENSAMENTO E ACABAMENTO. AF_06/2017</v>
      </c>
      <c r="E46" s="76" t="str">
        <f>IF(B46="SEPLAG",VLOOKUP(C46,UNIDADE,3,FALSE),VLOOKUP(C46,'NAO DESO'!A:C,3,FALSE))</f>
        <v>M3</v>
      </c>
      <c r="F46" s="713">
        <f t="shared" ref="F46:F51" si="10">VLOOKUP(A46,MEMÓRIA,6,FALSE)</f>
        <v>3.65</v>
      </c>
      <c r="G46" s="714" t="str">
        <f>IF(B46="SEPLAG",VLOOKUP(CONCATENATE("TOTAL DO ITEM NÃO DESON. - ",C46),BASE01,8,FALSE),VLOOKUP(C46,'NAO DESO'!A:D,4,FALSE))</f>
        <v>606,83</v>
      </c>
      <c r="H46" s="715">
        <f t="shared" ref="H46:H51" si="11">TRUNC(G46+G46*$K$6,2)</f>
        <v>741.7</v>
      </c>
      <c r="I46" s="715">
        <f t="shared" ref="I46:I51" si="12">TRUNC(F46*H46,2)</f>
        <v>2707.2</v>
      </c>
      <c r="J46" s="715" t="str">
        <f>IF(B46="SEPLAG",VLOOKUP(CONCATENATE("TOTAL DO ITEM DESON. - ",C46),BASE02,10,FALSE),VLOOKUP(C46,DESON!A:D,4,FALSE))</f>
        <v>591,38</v>
      </c>
      <c r="K46" s="715">
        <f t="shared" ref="K46:K51" si="13">J46+J46*$L$6</f>
        <v>759.02247993123342</v>
      </c>
      <c r="L46" s="715">
        <f t="shared" ref="L46:L51" si="14">TRUNC(F46*K46,2)</f>
        <v>2770.43</v>
      </c>
    </row>
    <row r="47" spans="1:12" s="654" customFormat="1" ht="28.5">
      <c r="A47" s="77" t="s">
        <v>7088</v>
      </c>
      <c r="B47" s="75" t="s">
        <v>79</v>
      </c>
      <c r="C47" s="74">
        <v>96543</v>
      </c>
      <c r="D47" s="712" t="str">
        <f>IF(B47="SEPLAG",VLOOKUP(C47,COMPOSIÇÃO,2,FALSE),VLOOKUP(C47,'NAO DESO'!A:B,2,FALSE))</f>
        <v>ARMAÇÃO DE BLOCO, VIGA BALDRAME E SAPATA UTILIZANDO AÇO CA-60 DE 5 MM - MONTAGEM. AF_06/2017</v>
      </c>
      <c r="E47" s="76" t="str">
        <f>IF(B47="SEPLAG",VLOOKUP(C47,UNIDADE,3,FALSE),VLOOKUP(C47,'NAO DESO'!A:C,3,FALSE))</f>
        <v>KG</v>
      </c>
      <c r="F47" s="713">
        <f t="shared" si="10"/>
        <v>66</v>
      </c>
      <c r="G47" s="714" t="str">
        <f>IF(B47="SEPLAG",VLOOKUP(CONCATENATE("TOTAL DO ITEM NÃO DESON. - ",C47),BASE01,8,FALSE),VLOOKUP(C47,'NAO DESO'!A:D,4,FALSE))</f>
        <v>18,45</v>
      </c>
      <c r="H47" s="715">
        <f t="shared" si="11"/>
        <v>22.55</v>
      </c>
      <c r="I47" s="715">
        <f t="shared" si="12"/>
        <v>1488.3</v>
      </c>
      <c r="J47" s="715" t="str">
        <f>IF(B47="SEPLAG",VLOOKUP(CONCATENATE("TOTAL DO ITEM DESON. - ",C47),BASE02,10,FALSE),VLOOKUP(C47,DESON!A:D,4,FALSE))</f>
        <v>17,73</v>
      </c>
      <c r="K47" s="715">
        <f t="shared" si="13"/>
        <v>22.75604276299633</v>
      </c>
      <c r="L47" s="715">
        <f t="shared" si="14"/>
        <v>1501.89</v>
      </c>
    </row>
    <row r="48" spans="1:12" ht="28.5">
      <c r="A48" s="77" t="s">
        <v>14246</v>
      </c>
      <c r="B48" s="75" t="s">
        <v>79</v>
      </c>
      <c r="C48" s="74">
        <v>96545</v>
      </c>
      <c r="D48" s="712" t="str">
        <f>IF(B48="SEPLAG",VLOOKUP(C48,COMPOSIÇÃO,2,FALSE),VLOOKUP(C48,'NAO DESO'!A:B,2,FALSE))</f>
        <v>ARMAÇÃO DE BLOCO, VIGA BALDRAME OU SAPATA UTILIZANDO AÇO CA-50 DE 8 MM - MONTAGEM. AF_06/2017</v>
      </c>
      <c r="E48" s="76" t="str">
        <f>IF(B48="SEPLAG",VLOOKUP(C48,UNIDADE,3,FALSE),VLOOKUP(C48,'NAO DESO'!A:C,3,FALSE))</f>
        <v>KG</v>
      </c>
      <c r="F48" s="713">
        <f t="shared" si="10"/>
        <v>105.3</v>
      </c>
      <c r="G48" s="714" t="str">
        <f>IF(B48="SEPLAG",VLOOKUP(CONCATENATE("TOTAL DO ITEM NÃO DESON. - ",C48),BASE01,8,FALSE),VLOOKUP(C48,'NAO DESO'!A:D,4,FALSE))</f>
        <v>16,54</v>
      </c>
      <c r="H48" s="715">
        <f t="shared" si="11"/>
        <v>20.21</v>
      </c>
      <c r="I48" s="715">
        <f t="shared" si="12"/>
        <v>2128.11</v>
      </c>
      <c r="J48" s="715" t="str">
        <f>IF(B48="SEPLAG",VLOOKUP(CONCATENATE("TOTAL DO ITEM DESON. - ",C48),BASE02,10,FALSE),VLOOKUP(C48,DESON!A:D,4,FALSE))</f>
        <v>16,16</v>
      </c>
      <c r="K48" s="715">
        <f t="shared" si="13"/>
        <v>20.740984266780636</v>
      </c>
      <c r="L48" s="715">
        <f t="shared" si="14"/>
        <v>2184.02</v>
      </c>
    </row>
    <row r="49" spans="1:12" ht="28.5">
      <c r="A49" s="77" t="s">
        <v>14247</v>
      </c>
      <c r="B49" s="75" t="s">
        <v>79</v>
      </c>
      <c r="C49" s="74">
        <v>96546</v>
      </c>
      <c r="D49" s="712" t="str">
        <f>IF(B49="SEPLAG",VLOOKUP(C49,COMPOSIÇÃO,2,FALSE),VLOOKUP(C49,'NAO DESO'!A:B,2,FALSE))</f>
        <v>ARMAÇÃO DE BLOCO, VIGA BALDRAME OU SAPATA UTILIZANDO AÇO CA-50 DE 10 MM - MONTAGEM. AF_06/2017</v>
      </c>
      <c r="E49" s="76" t="str">
        <f>IF(B49="SEPLAG",VLOOKUP(C49,UNIDADE,3,FALSE),VLOOKUP(C49,'NAO DESO'!A:C,3,FALSE))</f>
        <v>KG</v>
      </c>
      <c r="F49" s="713">
        <f t="shared" si="10"/>
        <v>93.8</v>
      </c>
      <c r="G49" s="714" t="str">
        <f>IF(B49="SEPLAG",VLOOKUP(CONCATENATE("TOTAL DO ITEM NÃO DESON. - ",C49),BASE01,8,FALSE),VLOOKUP(C49,'NAO DESO'!A:D,4,FALSE))</f>
        <v>14,85</v>
      </c>
      <c r="H49" s="715">
        <f t="shared" si="11"/>
        <v>18.149999999999999</v>
      </c>
      <c r="I49" s="715">
        <f t="shared" si="12"/>
        <v>1702.47</v>
      </c>
      <c r="J49" s="715" t="str">
        <f>IF(B49="SEPLAG",VLOOKUP(CONCATENATE("TOTAL DO ITEM DESON. - ",C49),BASE02,10,FALSE),VLOOKUP(C49,DESON!A:D,4,FALSE))</f>
        <v>14,57</v>
      </c>
      <c r="K49" s="715">
        <f t="shared" si="13"/>
        <v>18.700256235581303</v>
      </c>
      <c r="L49" s="715">
        <f t="shared" si="14"/>
        <v>1754.08</v>
      </c>
    </row>
    <row r="50" spans="1:12" ht="28.5">
      <c r="A50" s="77" t="s">
        <v>14248</v>
      </c>
      <c r="B50" s="75" t="s">
        <v>79</v>
      </c>
      <c r="C50" s="74">
        <v>92263</v>
      </c>
      <c r="D50" s="712" t="str">
        <f>IF(B50="SEPLAG",VLOOKUP(C50,COMPOSIÇÃO,2,FALSE),VLOOKUP(C50,'NAO DESO'!A:B,2,FALSE))</f>
        <v>FABRICAÇÃO DE FÔRMA PARA PILARES E ESTRUTURAS SIMILARES, EM CHAPA DE MADEIRA COMPENSADA RESINADA, E = 17 MM. AF_09/2020</v>
      </c>
      <c r="E50" s="76" t="str">
        <f>IF(B50="SEPLAG",VLOOKUP(C50,UNIDADE,3,FALSE),VLOOKUP(C50,'NAO DESO'!A:C,3,FALSE))</f>
        <v>M2</v>
      </c>
      <c r="F50" s="713">
        <f t="shared" si="10"/>
        <v>50.75</v>
      </c>
      <c r="G50" s="714" t="str">
        <f>IF(B50="SEPLAG",VLOOKUP(CONCATENATE("TOTAL DO ITEM NÃO DESON. - ",C50),BASE01,8,FALSE),VLOOKUP(C50,'NAO DESO'!A:D,4,FALSE))</f>
        <v>175,96</v>
      </c>
      <c r="H50" s="715">
        <f t="shared" si="11"/>
        <v>215.06</v>
      </c>
      <c r="I50" s="715">
        <f t="shared" si="12"/>
        <v>10914.29</v>
      </c>
      <c r="J50" s="715" t="str">
        <f>IF(B50="SEPLAG",VLOOKUP(CONCATENATE("TOTAL DO ITEM DESON. - ",C50),BASE02,10,FALSE),VLOOKUP(C50,DESON!A:D,4,FALSE))</f>
        <v>172,32</v>
      </c>
      <c r="K50" s="715">
        <f t="shared" si="13"/>
        <v>221.16871341903709</v>
      </c>
      <c r="L50" s="715">
        <f t="shared" si="14"/>
        <v>11224.31</v>
      </c>
    </row>
    <row r="51" spans="1:12" ht="28.5">
      <c r="A51" s="77" t="s">
        <v>14249</v>
      </c>
      <c r="B51" s="75" t="s">
        <v>79</v>
      </c>
      <c r="C51" s="75">
        <v>98557</v>
      </c>
      <c r="D51" s="712" t="str">
        <f>IF(B51="SEPLAG",VLOOKUP(C51,COMPOSIÇÃO,2,FALSE),VLOOKUP(C51,'NAO DESO'!A:B,2,FALSE))</f>
        <v>IMPERMEABILIZAÇÃO DE SUPERFÍCIE COM EMULSÃO ASFÁLTICA, 2 DEMÃOS AF_06/2018</v>
      </c>
      <c r="E51" s="76" t="str">
        <f>IF(B51="SEPLAG",VLOOKUP(C51,UNIDADE,3,FALSE),VLOOKUP(C51,'NAO DESO'!A:C,3,FALSE))</f>
        <v>M2</v>
      </c>
      <c r="F51" s="713">
        <f t="shared" si="10"/>
        <v>50.75</v>
      </c>
      <c r="G51" s="714" t="str">
        <f>IF(B51="SEPLAG",VLOOKUP(CONCATENATE("TOTAL DO ITEM NÃO DESON. - ",C51),BASE01,8,FALSE),VLOOKUP(C51,'NAO DESO'!A:D,4,FALSE))</f>
        <v>58,82</v>
      </c>
      <c r="H51" s="715">
        <f t="shared" si="11"/>
        <v>71.89</v>
      </c>
      <c r="I51" s="715">
        <f t="shared" si="12"/>
        <v>3648.41</v>
      </c>
      <c r="J51" s="715" t="str">
        <f>IF(B51="SEPLAG",VLOOKUP(CONCATENATE("TOTAL DO ITEM DESON. - ",C51),BASE02,10,FALSE),VLOOKUP(C51,DESON!A:D,4,FALSE))</f>
        <v>57,84</v>
      </c>
      <c r="K51" s="715">
        <f t="shared" si="13"/>
        <v>74.236295172685146</v>
      </c>
      <c r="L51" s="715">
        <f t="shared" si="14"/>
        <v>3767.49</v>
      </c>
    </row>
    <row r="52" spans="1:12">
      <c r="A52" s="734" t="str">
        <f>CONCATENATE("TOTAL DO ITEM &gt;&gt;&gt;&gt;",A45)</f>
        <v>TOTAL DO ITEM &gt;&gt;&gt;&gt;3.3</v>
      </c>
      <c r="B52" s="118"/>
      <c r="C52" s="118"/>
      <c r="D52" s="118"/>
      <c r="E52" s="118"/>
      <c r="F52" s="118"/>
      <c r="G52" s="118"/>
      <c r="H52" s="118"/>
      <c r="I52" s="743">
        <f>SUM(I46:I51)</f>
        <v>22588.780000000002</v>
      </c>
      <c r="J52" s="744"/>
      <c r="K52" s="744"/>
      <c r="L52" s="743">
        <f>SUM(L46:L51)</f>
        <v>23202.22</v>
      </c>
    </row>
    <row r="53" spans="1:12" s="716" customFormat="1">
      <c r="A53" s="126"/>
      <c r="B53" s="127"/>
      <c r="C53" s="127"/>
      <c r="D53" s="127"/>
      <c r="E53" s="127"/>
      <c r="F53" s="127"/>
      <c r="G53" s="127"/>
      <c r="H53" s="127"/>
      <c r="I53" s="127"/>
      <c r="J53" s="127"/>
      <c r="K53" s="127"/>
      <c r="L53" s="128"/>
    </row>
    <row r="54" spans="1:12" s="716" customFormat="1">
      <c r="A54" s="719" t="s">
        <v>56</v>
      </c>
      <c r="B54" s="720"/>
      <c r="C54" s="721"/>
      <c r="D54" s="140" t="s">
        <v>60</v>
      </c>
      <c r="E54" s="722"/>
      <c r="F54" s="745"/>
      <c r="G54" s="745"/>
      <c r="H54" s="745"/>
      <c r="I54" s="745"/>
      <c r="J54" s="144"/>
      <c r="K54" s="724"/>
      <c r="L54" s="144"/>
    </row>
    <row r="55" spans="1:12" s="716" customFormat="1" ht="28.5">
      <c r="A55" s="89" t="s">
        <v>7089</v>
      </c>
      <c r="B55" s="717" t="s">
        <v>79</v>
      </c>
      <c r="C55" s="76">
        <v>96113</v>
      </c>
      <c r="D55" s="712" t="str">
        <f>IF(B55="SEPLAG",VLOOKUP(C55,COMPOSIÇÃO,2,FALSE),VLOOKUP(C55,'NAO DESO'!A:B,2,FALSE))</f>
        <v>FORRO EM PLACAS DE GESSO, PARA AMBIENTES COMERCIAIS. AF_05/2017_P</v>
      </c>
      <c r="E55" s="76" t="str">
        <f>IF(B55="SEPLAG",VLOOKUP(C55,UNIDADE,3,FALSE),VLOOKUP(C55,'NAO DESO'!A:C,3,FALSE))</f>
        <v>M2</v>
      </c>
      <c r="F55" s="713">
        <f>VLOOKUP(A55,MEMÓRIA,6,FALSE)</f>
        <v>246.75</v>
      </c>
      <c r="G55" s="714" t="str">
        <f>IF(B55="SEPLAG",VLOOKUP(CONCATENATE("TOTAL DO ITEM NÃO DESON. - ",C55),BASE01,8,FALSE),VLOOKUP(C55,'NAO DESO'!A:D,4,FALSE))</f>
        <v>33,52</v>
      </c>
      <c r="H55" s="715">
        <f>TRUNC(G55+G55*$K$6,2)</f>
        <v>40.97</v>
      </c>
      <c r="I55" s="715">
        <f>TRUNC(F55*H55,2)</f>
        <v>10109.34</v>
      </c>
      <c r="J55" s="715" t="str">
        <f>IF(B55="SEPLAG",VLOOKUP(CONCATENATE("TOTAL DO ITEM DESON. - ",C55),BASE02,10,FALSE),VLOOKUP(C55,DESON!A:D,4,FALSE))</f>
        <v>31,65</v>
      </c>
      <c r="K55" s="715">
        <f>J55+J55*$L$6</f>
        <v>40.622039111609354</v>
      </c>
      <c r="L55" s="715">
        <f>TRUNC(F55*K55,2)</f>
        <v>10023.48</v>
      </c>
    </row>
    <row r="56" spans="1:12" s="716" customFormat="1" ht="42.75">
      <c r="A56" s="89" t="s">
        <v>7090</v>
      </c>
      <c r="B56" s="717" t="s">
        <v>79</v>
      </c>
      <c r="C56" s="76">
        <v>103328</v>
      </c>
      <c r="D56" s="712" t="str">
        <f>IF(B56="SEPLAG",VLOOKUP(C56,COMPOSIÇÃO,2,FALSE),VLOOKUP(C56,'NAO DESO'!A:B,2,FALSE))</f>
        <v>ALVENARIA DE VEDAÇÃO DE BLOCOS CERÂMICOS FURADOS NA HORIZONTAL DE 9X19X19 CM (ESPESSURA 9 CM) E ARGAMASSA DE ASSENTAMENTO COM PREPARO EM BETONEIRA. AF_12/2021</v>
      </c>
      <c r="E56" s="76" t="str">
        <f>IF(B56="SEPLAG",VLOOKUP(C56,UNIDADE,3,FALSE),VLOOKUP(C56,'NAO DESO'!A:C,3,FALSE))</f>
        <v>M2</v>
      </c>
      <c r="F56" s="713">
        <f>VLOOKUP(A56,MEMÓRIA,6,FALSE)</f>
        <v>62.607999999999997</v>
      </c>
      <c r="G56" s="714" t="str">
        <f>IF(B56="SEPLAG",VLOOKUP(CONCATENATE("TOTAL DO ITEM NÃO DESON. - ",C56),BASE01,8,FALSE),VLOOKUP(C56,'NAO DESO'!A:D,4,FALSE))</f>
        <v>78,91</v>
      </c>
      <c r="H56" s="715">
        <f>TRUNC(G56+G56*$K$6,2)</f>
        <v>96.44</v>
      </c>
      <c r="I56" s="715">
        <f>TRUNC(F56*H56,2)</f>
        <v>6037.91</v>
      </c>
      <c r="J56" s="715" t="str">
        <f>IF(B56="SEPLAG",VLOOKUP(CONCATENATE("TOTAL DO ITEM DESON. - ",C56),BASE02,10,FALSE),VLOOKUP(C56,DESON!A:D,4,FALSE))</f>
        <v>73,90</v>
      </c>
      <c r="K56" s="715">
        <f>J56+J56*$L$6</f>
        <v>94.848931764547601</v>
      </c>
      <c r="L56" s="715">
        <f>TRUNC(F56*K56,2)</f>
        <v>5938.3</v>
      </c>
    </row>
    <row r="57" spans="1:12" s="716" customFormat="1" ht="42.75">
      <c r="A57" s="89" t="s">
        <v>7091</v>
      </c>
      <c r="B57" s="717" t="s">
        <v>79</v>
      </c>
      <c r="C57" s="76">
        <v>87893</v>
      </c>
      <c r="D57" s="712" t="str">
        <f>IF(B57="SEPLAG",VLOOKUP(C57,COMPOSIÇÃO,2,FALSE),VLOOKUP(C57,'NAO DESO'!A:B,2,FALSE))</f>
        <v>CHAPISCO APLICADO EM ALVENARIA (SEM PRESENÇA DE VÃOS) E ESTRUTURAS DE CONCRETO DE FACHADA, COM COLHER DE PEDREIRO.  ARGAMASSA TRAÇO 1:3 COM PREPARO MANUAL. AF_06/2014</v>
      </c>
      <c r="E57" s="76" t="str">
        <f>IF(B57="SEPLAG",VLOOKUP(C57,UNIDADE,3,FALSE),VLOOKUP(C57,'NAO DESO'!A:C,3,FALSE))</f>
        <v>M2</v>
      </c>
      <c r="F57" s="713">
        <f>VLOOKUP(A57,MEMÓRIA,6,FALSE)</f>
        <v>270.49360000000001</v>
      </c>
      <c r="G57" s="714" t="str">
        <f>IF(B57="SEPLAG",VLOOKUP(CONCATENATE("TOTAL DO ITEM NÃO DESON. - ",C57),BASE01,8,FALSE),VLOOKUP(C57,'NAO DESO'!A:D,4,FALSE))</f>
        <v>6,04</v>
      </c>
      <c r="H57" s="715">
        <f>TRUNC(G57+G57*$K$6,2)</f>
        <v>7.38</v>
      </c>
      <c r="I57" s="715">
        <f>TRUNC(F57*H57,2)</f>
        <v>1996.24</v>
      </c>
      <c r="J57" s="715" t="str">
        <f>IF(B57="SEPLAG",VLOOKUP(CONCATENATE("TOTAL DO ITEM DESON. - ",C57),BASE02,10,FALSE),VLOOKUP(C57,DESON!A:D,4,FALSE))</f>
        <v>5,57</v>
      </c>
      <c r="K57" s="715">
        <f>J57+J57*$L$6</f>
        <v>7.1489654929435735</v>
      </c>
      <c r="L57" s="715">
        <f>TRUNC(F57*K57,2)</f>
        <v>1933.74</v>
      </c>
    </row>
    <row r="58" spans="1:12" s="716" customFormat="1" ht="57">
      <c r="A58" s="89" t="s">
        <v>7092</v>
      </c>
      <c r="B58" s="717" t="s">
        <v>79</v>
      </c>
      <c r="C58" s="76">
        <v>87543</v>
      </c>
      <c r="D58" s="712" t="str">
        <f>IF(B58="SEPLAG",VLOOKUP(C58,COMPOSIÇÃO,2,FALSE),VLOOKUP(C58,'NAO DESO'!A:B,2,FALSE))</f>
        <v>MASSA ÚNICA, PARA RECEBIMENTO DE PINTURA OU CERÂMICA, ARGAMASSA INDUSTRIALIZADA, PREPARO MECÂNICO, APLICADO COM EQUIPAMENTO DE MISTURA E PROJEÇÃO DE 1,5 M3/H EM FACES INTERNAS DE PAREDES, ESPESSURA DE 5MM, SEM EXECUÇÃO DE TALISCAS. AF_06/2014</v>
      </c>
      <c r="E58" s="76" t="str">
        <f>IF(B58="SEPLAG",VLOOKUP(C58,UNIDADE,3,FALSE),VLOOKUP(C58,'NAO DESO'!A:C,3,FALSE))</f>
        <v>M2</v>
      </c>
      <c r="F58" s="713">
        <f>VLOOKUP(A58,MEMÓRIA,6,FALSE)</f>
        <v>270.49360000000001</v>
      </c>
      <c r="G58" s="714" t="str">
        <f>IF(B58="SEPLAG",VLOOKUP(CONCATENATE("TOTAL DO ITEM NÃO DESON. - ",C58),BASE01,8,FALSE),VLOOKUP(C58,'NAO DESO'!A:D,4,FALSE))</f>
        <v>24,40</v>
      </c>
      <c r="H58" s="715">
        <f>TRUNC(G58+G58*$K$6,2)</f>
        <v>29.82</v>
      </c>
      <c r="I58" s="715">
        <f>TRUNC(F58*H58,2)</f>
        <v>8066.11</v>
      </c>
      <c r="J58" s="715" t="str">
        <f>IF(B58="SEPLAG",VLOOKUP(CONCATENATE("TOTAL DO ITEM DESON. - ",C58),BASE02,10,FALSE),VLOOKUP(C58,DESON!A:D,4,FALSE))</f>
        <v>23,82</v>
      </c>
      <c r="K58" s="715">
        <f>J58+J58*$L$6</f>
        <v>30.572416165514529</v>
      </c>
      <c r="L58" s="715">
        <f>TRUNC(F58*K58,2)</f>
        <v>8269.64</v>
      </c>
    </row>
    <row r="59" spans="1:12" s="716" customFormat="1">
      <c r="A59" s="734" t="str">
        <f>CONCATENATE("TOTAL DO ITEM &gt;&gt;&gt;&gt;",A54)</f>
        <v>TOTAL DO ITEM &gt;&gt;&gt;&gt;3.4</v>
      </c>
      <c r="B59" s="735"/>
      <c r="C59" s="735"/>
      <c r="D59" s="735"/>
      <c r="E59" s="735"/>
      <c r="F59" s="735"/>
      <c r="G59" s="735"/>
      <c r="H59" s="735"/>
      <c r="I59" s="736">
        <f>SUM(I55:I58)</f>
        <v>26209.600000000002</v>
      </c>
      <c r="J59" s="715"/>
      <c r="K59" s="746"/>
      <c r="L59" s="736">
        <f>SUM(L55:L58)</f>
        <v>26165.16</v>
      </c>
    </row>
    <row r="60" spans="1:12" s="748" customFormat="1">
      <c r="A60" s="699"/>
      <c r="B60" s="700"/>
      <c r="C60" s="700"/>
      <c r="D60" s="700"/>
      <c r="E60" s="700"/>
      <c r="F60" s="700"/>
      <c r="G60" s="700"/>
      <c r="H60" s="700"/>
      <c r="I60" s="700"/>
      <c r="J60" s="700"/>
      <c r="K60" s="700"/>
      <c r="L60" s="747"/>
    </row>
    <row r="61" spans="1:12" s="716" customFormat="1">
      <c r="A61" s="719" t="s">
        <v>57</v>
      </c>
      <c r="B61" s="720"/>
      <c r="C61" s="721"/>
      <c r="D61" s="140" t="s">
        <v>13829</v>
      </c>
      <c r="E61" s="722"/>
      <c r="F61" s="745"/>
      <c r="G61" s="745"/>
      <c r="H61" s="723"/>
      <c r="I61" s="723"/>
      <c r="J61" s="144"/>
      <c r="K61" s="724"/>
      <c r="L61" s="144"/>
    </row>
    <row r="62" spans="1:12" s="716" customFormat="1" ht="28.5">
      <c r="A62" s="89" t="s">
        <v>7093</v>
      </c>
      <c r="B62" s="717" t="s">
        <v>79</v>
      </c>
      <c r="C62" s="74">
        <v>98678</v>
      </c>
      <c r="D62" s="712" t="str">
        <f>IF(B62="SEPLAG",VLOOKUP(C62,COMPOSIÇÃO,2,FALSE),VLOOKUP(C62,'NAO DESO'!A:B,2,FALSE))</f>
        <v>PISO ELEVADO COM ESTRUTURA EM AÇO, COMPOSTO POR PEDESTAIS E LONGARINAS. AF_09/2020</v>
      </c>
      <c r="E62" s="76" t="str">
        <f>IF(B62="SEPLAG",VLOOKUP(C62,UNIDADE,3,FALSE),VLOOKUP(C62,'NAO DESO'!A:C,3,FALSE))</f>
        <v>M2</v>
      </c>
      <c r="F62" s="713">
        <f>VLOOKUP(A62,MEMÓRIA,6,FALSE)</f>
        <v>46.55</v>
      </c>
      <c r="G62" s="714" t="str">
        <f>IF(B62="SEPLAG",VLOOKUP(CONCATENATE("TOTAL DO ITEM NÃO DESON. - ",C62),BASE01,8,FALSE),VLOOKUP(C62,'NAO DESO'!A:D,4,FALSE))</f>
        <v>491,73</v>
      </c>
      <c r="H62" s="715">
        <f>TRUNC(G62+G62*$K$6,2)</f>
        <v>601.02</v>
      </c>
      <c r="I62" s="715">
        <f>TRUNC(F62*H62,2)</f>
        <v>27977.48</v>
      </c>
      <c r="J62" s="715" t="str">
        <f>IF(B62="SEPLAG",VLOOKUP(CONCATENATE("TOTAL DO ITEM DESON. - ",C62),BASE02,10,FALSE),VLOOKUP(C62,DESON!A:D,4,FALSE))</f>
        <v>490,48</v>
      </c>
      <c r="K62" s="715">
        <f>J62+J62*$L$6</f>
        <v>629.51967593877271</v>
      </c>
      <c r="L62" s="715">
        <f>TRUNC(F62*K62,2)</f>
        <v>29304.14</v>
      </c>
    </row>
    <row r="63" spans="1:12" s="716" customFormat="1">
      <c r="A63" s="725" t="str">
        <f>CONCATENATE("TOTAL DO ITEM &gt;&gt;&gt;&gt;",A61)</f>
        <v>TOTAL DO ITEM &gt;&gt;&gt;&gt;3.5</v>
      </c>
      <c r="B63" s="726"/>
      <c r="C63" s="726"/>
      <c r="D63" s="726"/>
      <c r="E63" s="726"/>
      <c r="F63" s="726"/>
      <c r="G63" s="726"/>
      <c r="H63" s="726"/>
      <c r="I63" s="727">
        <f>SUM(I62:I62)</f>
        <v>27977.48</v>
      </c>
      <c r="J63" s="728"/>
      <c r="K63" s="749"/>
      <c r="L63" s="727">
        <f>SUM(L62:L62)</f>
        <v>29304.14</v>
      </c>
    </row>
    <row r="64" spans="1:12" s="716" customFormat="1">
      <c r="A64" s="126"/>
      <c r="B64" s="750"/>
      <c r="C64" s="750"/>
      <c r="D64" s="750"/>
      <c r="E64" s="750"/>
      <c r="F64" s="750"/>
      <c r="G64" s="750"/>
      <c r="H64" s="750"/>
      <c r="I64" s="750"/>
      <c r="J64" s="750"/>
      <c r="K64" s="750"/>
      <c r="L64" s="751"/>
    </row>
    <row r="65" spans="1:12" s="716" customFormat="1">
      <c r="A65" s="729" t="s">
        <v>58</v>
      </c>
      <c r="B65" s="752"/>
      <c r="C65" s="753"/>
      <c r="D65" s="731" t="s">
        <v>80</v>
      </c>
      <c r="E65" s="754"/>
      <c r="F65" s="755"/>
      <c r="G65" s="755"/>
      <c r="H65" s="756"/>
      <c r="I65" s="756"/>
      <c r="J65" s="733"/>
      <c r="K65" s="732"/>
      <c r="L65" s="733"/>
    </row>
    <row r="66" spans="1:12" s="716" customFormat="1" ht="28.5">
      <c r="A66" s="89" t="s">
        <v>7094</v>
      </c>
      <c r="B66" s="717" t="s">
        <v>79</v>
      </c>
      <c r="C66" s="74">
        <v>88485</v>
      </c>
      <c r="D66" s="712" t="str">
        <f>IF(B66="SEPLAG",VLOOKUP(C66,COMPOSIÇÃO,2,FALSE),VLOOKUP(C66,'NAO DESO'!A:B,2,FALSE))</f>
        <v>APLICAÇÃO DE FUNDO SELADOR ACRÍLICO EM PAREDES, UMA DEMÃO. AF_06/2014</v>
      </c>
      <c r="E66" s="76" t="str">
        <f>IF(B66="SEPLAG",VLOOKUP(C66,UNIDADE,3,FALSE),VLOOKUP(C66,'NAO DESO'!A:C,3,FALSE))</f>
        <v>M2</v>
      </c>
      <c r="F66" s="713">
        <f>VLOOKUP(A66,MEMÓRIA,6,FALSE)</f>
        <v>372.1576</v>
      </c>
      <c r="G66" s="714" t="str">
        <f>IF(B66="SEPLAG",VLOOKUP(CONCATENATE("TOTAL DO ITEM NÃO DESON. - ",C66),BASE01,8,FALSE),VLOOKUP(C66,'NAO DESO'!A:D,4,FALSE))</f>
        <v>1,80</v>
      </c>
      <c r="H66" s="715">
        <f>TRUNC(G66+G66*$K$6,2)</f>
        <v>2.2000000000000002</v>
      </c>
      <c r="I66" s="715">
        <f>TRUNC(F66*H66,2)</f>
        <v>818.74</v>
      </c>
      <c r="J66" s="715" t="str">
        <f>IF(B66="SEPLAG",VLOOKUP(CONCATENATE("TOTAL DO ITEM DESON. - ",C66),BASE02,10,FALSE),VLOOKUP(C66,DESON!A:D,4,FALSE))</f>
        <v>1,69</v>
      </c>
      <c r="K66" s="715">
        <f>J66+J66*$L$6</f>
        <v>2.1690757061175292</v>
      </c>
      <c r="L66" s="715">
        <f>TRUNC(F66*K66,2)</f>
        <v>807.23</v>
      </c>
    </row>
    <row r="67" spans="1:12" s="716" customFormat="1" ht="28.5">
      <c r="A67" s="89" t="s">
        <v>7095</v>
      </c>
      <c r="B67" s="717" t="s">
        <v>79</v>
      </c>
      <c r="C67" s="74">
        <v>88497</v>
      </c>
      <c r="D67" s="712" t="str">
        <f>IF(B67="SEPLAG",VLOOKUP(C67,COMPOSIÇÃO,2,FALSE),VLOOKUP(C67,'NAO DESO'!A:B,2,FALSE))</f>
        <v>APLICAÇÃO E LIXAMENTO DE MASSA LÁTEX EM PAREDES, DUAS DEMÃOS. AF_06/2014</v>
      </c>
      <c r="E67" s="76" t="str">
        <f>IF(B67="SEPLAG",VLOOKUP(C67,UNIDADE,3,FALSE),VLOOKUP(C67,'NAO DESO'!A:C,3,FALSE))</f>
        <v>M2</v>
      </c>
      <c r="F67" s="713">
        <f>VLOOKUP(A67,MEMÓRIA,6,FALSE)</f>
        <v>372.1576</v>
      </c>
      <c r="G67" s="714" t="str">
        <f>IF(B67="SEPLAG",VLOOKUP(CONCATENATE("TOTAL DO ITEM NÃO DESON. - ",C67),BASE01,8,FALSE),VLOOKUP(C67,'NAO DESO'!A:D,4,FALSE))</f>
        <v>14,10</v>
      </c>
      <c r="H67" s="715">
        <f>TRUNC(G67+G67*$K$6,2)</f>
        <v>17.23</v>
      </c>
      <c r="I67" s="715">
        <f>TRUNC(F67*H67,2)</f>
        <v>6412.27</v>
      </c>
      <c r="J67" s="715" t="str">
        <f>IF(B67="SEPLAG",VLOOKUP(CONCATENATE("TOTAL DO ITEM DESON. - ",C67),BASE02,10,FALSE),VLOOKUP(C67,DESON!A:D,4,FALSE))</f>
        <v>13,22</v>
      </c>
      <c r="K67" s="715">
        <f>J67+J67*$L$6</f>
        <v>16.967562624185646</v>
      </c>
      <c r="L67" s="715">
        <f>TRUNC(F67*K67,2)</f>
        <v>6314.6</v>
      </c>
    </row>
    <row r="68" spans="1:12" s="716" customFormat="1" ht="28.5">
      <c r="A68" s="89" t="s">
        <v>7096</v>
      </c>
      <c r="B68" s="717" t="s">
        <v>79</v>
      </c>
      <c r="C68" s="74">
        <v>88489</v>
      </c>
      <c r="D68" s="712" t="str">
        <f>IF(B68="SEPLAG",VLOOKUP(C68,COMPOSIÇÃO,2,FALSE),VLOOKUP(C68,'NAO DESO'!A:B,2,FALSE))</f>
        <v>APLICAÇÃO MANUAL DE PINTURA COM TINTA LÁTEX ACRÍLICA EM PAREDES, DUAS DEMÃOS. AF_06/2014</v>
      </c>
      <c r="E68" s="76" t="str">
        <f>IF(B68="SEPLAG",VLOOKUP(C68,UNIDADE,3,FALSE),VLOOKUP(C68,'NAO DESO'!A:C,3,FALSE))</f>
        <v>M2</v>
      </c>
      <c r="F68" s="713">
        <f>VLOOKUP(A68,MEMÓRIA,6,FALSE)</f>
        <v>372.1576</v>
      </c>
      <c r="G68" s="714" t="str">
        <f>IF(B68="SEPLAG",VLOOKUP(CONCATENATE("TOTAL DO ITEM NÃO DESON. - ",C68),BASE01,8,FALSE),VLOOKUP(C68,'NAO DESO'!A:D,4,FALSE))</f>
        <v>12,69</v>
      </c>
      <c r="H68" s="715">
        <f>TRUNC(G68+G68*$K$6,2)</f>
        <v>15.51</v>
      </c>
      <c r="I68" s="715">
        <f>TRUNC(F68*H68,2)</f>
        <v>5772.16</v>
      </c>
      <c r="J68" s="715" t="str">
        <f>IF(B68="SEPLAG",VLOOKUP(CONCATENATE("TOTAL DO ITEM DESON. - ",C68),BASE02,10,FALSE),VLOOKUP(C68,DESON!A:D,4,FALSE))</f>
        <v>12,15</v>
      </c>
      <c r="K68" s="715">
        <f>J68+J68*$L$6</f>
        <v>15.594242502560936</v>
      </c>
      <c r="L68" s="715">
        <f>TRUNC(F68*K68,2)</f>
        <v>5803.51</v>
      </c>
    </row>
    <row r="69" spans="1:12" s="716" customFormat="1" ht="71.25">
      <c r="A69" s="89" t="s">
        <v>14264</v>
      </c>
      <c r="B69" s="717" t="s">
        <v>14504</v>
      </c>
      <c r="C69" s="74" t="s">
        <v>362</v>
      </c>
      <c r="D69" s="712" t="str">
        <f>IF(B69="SEPLAG",VLOOKUP(C69,COMPOSIÇÃO,2,FALSE),VLOOKUP(C69,'NAO DESO'!A:B,2,FALSE))</f>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
      <c r="E69" s="76" t="str">
        <f>IF(B69="SEPLAG",VLOOKUP(C69,UNIDADE,3,FALSE),VLOOKUP(C69,'NAO DESO'!A:C,3,FALSE))</f>
        <v>M²</v>
      </c>
      <c r="F69" s="713">
        <f>VLOOKUP(A69,MEMÓRIA,6,FALSE)</f>
        <v>72.8</v>
      </c>
      <c r="G69" s="714">
        <f>IF(B69="SEPLAG",VLOOKUP(CONCATENATE("TOTAL DO ITEM NÃO DESON. - ",C69),BASE01,8,FALSE),VLOOKUP(C69,'NAO DESO'!A:D,4,FALSE))</f>
        <v>116.13999999999999</v>
      </c>
      <c r="H69" s="715">
        <f>TRUNC(G69+G69*$K$6,2)</f>
        <v>141.94999999999999</v>
      </c>
      <c r="I69" s="715">
        <f>TRUNC(F69*H69,2)</f>
        <v>10333.959999999999</v>
      </c>
      <c r="J69" s="715">
        <f>IF(B69="SEPLAG",VLOOKUP(CONCATENATE("TOTAL DO ITEM DESON. - ",C69),BASE02,10,FALSE),VLOOKUP(C69,DESON!A:D,4,FALSE))</f>
        <v>114.55999999999999</v>
      </c>
      <c r="K69" s="715">
        <f>J69+J69*$L$6</f>
        <v>147.03509638628648</v>
      </c>
      <c r="L69" s="715">
        <f>TRUNC(F69*K69,2)</f>
        <v>10704.15</v>
      </c>
    </row>
    <row r="70" spans="1:12" s="716" customFormat="1">
      <c r="A70" s="725" t="str">
        <f>CONCATENATE("TOTAL DO ITEM &gt;&gt;&gt;&gt;",A65)</f>
        <v>TOTAL DO ITEM &gt;&gt;&gt;&gt;3.6</v>
      </c>
      <c r="B70" s="726"/>
      <c r="C70" s="726"/>
      <c r="D70" s="726"/>
      <c r="E70" s="726"/>
      <c r="F70" s="726"/>
      <c r="G70" s="726"/>
      <c r="H70" s="726"/>
      <c r="I70" s="757">
        <f>SUM(I66:I69)</f>
        <v>23337.129999999997</v>
      </c>
      <c r="J70" s="728"/>
      <c r="K70" s="749"/>
      <c r="L70" s="757">
        <f>SUM(L66:L69)</f>
        <v>23629.489999999998</v>
      </c>
    </row>
    <row r="71" spans="1:12" s="716" customFormat="1">
      <c r="A71" s="126"/>
      <c r="B71" s="127"/>
      <c r="C71" s="127"/>
      <c r="D71" s="127"/>
      <c r="E71" s="127"/>
      <c r="F71" s="127"/>
      <c r="G71" s="127"/>
      <c r="H71" s="127"/>
      <c r="I71" s="127"/>
      <c r="J71" s="127"/>
      <c r="K71" s="127"/>
      <c r="L71" s="128"/>
    </row>
    <row r="72" spans="1:12" s="716" customFormat="1">
      <c r="A72" s="729" t="s">
        <v>13834</v>
      </c>
      <c r="B72" s="730"/>
      <c r="C72" s="730"/>
      <c r="D72" s="731" t="s">
        <v>239</v>
      </c>
      <c r="E72" s="730"/>
      <c r="F72" s="732"/>
      <c r="G72" s="732"/>
      <c r="H72" s="732"/>
      <c r="I72" s="732"/>
      <c r="J72" s="733"/>
      <c r="K72" s="732"/>
      <c r="L72" s="733"/>
    </row>
    <row r="73" spans="1:12" s="716" customFormat="1" ht="42.75">
      <c r="A73" s="89" t="s">
        <v>13835</v>
      </c>
      <c r="B73" s="76" t="s">
        <v>14504</v>
      </c>
      <c r="C73" s="74" t="s">
        <v>365</v>
      </c>
      <c r="D73" s="712" t="str">
        <f>IF(B73="SEPLAG",VLOOKUP(C73,COMPOSIÇÃO,2,FALSE),VLOOKUP(C73,'NAO DESO'!A:B,2,FALSE))</f>
        <v>KIT PORTA PRONTA PRETA LISA SÓLIDA PORMADE O,80X2,10,ACABAMENTO DE COR UNIFORME, MARCOS E ALIZARES EM PVC WOOD, RESISTENTES A ESTUFAMENTOS. FORNECIMENTO E INSTALAÇÃO.</v>
      </c>
      <c r="E73" s="76" t="str">
        <f>IF(B73="SEPLAG",VLOOKUP(C73,UNIDADE,3,FALSE),VLOOKUP(C73,'NAO DESO'!A:C,3,FALSE))</f>
        <v>UND</v>
      </c>
      <c r="F73" s="713">
        <f>VLOOKUP(A73,MEMÓRIA,6,FALSE)</f>
        <v>4</v>
      </c>
      <c r="G73" s="714">
        <f>IF(B73="SEPLAG",VLOOKUP(CONCATENATE("TOTAL DO ITEM NÃO DESON. - ",C73),BASE01,8,FALSE),VLOOKUP(C73,'NAO DESO'!A:D,4,FALSE))</f>
        <v>2545.5200000000004</v>
      </c>
      <c r="H73" s="715">
        <f>TRUNC(G73+G73*$K$6,2)</f>
        <v>3111.29</v>
      </c>
      <c r="I73" s="715">
        <f>TRUNC(F73*H73,2)</f>
        <v>12445.16</v>
      </c>
      <c r="J73" s="715">
        <f>IF(B73="SEPLAG",VLOOKUP(CONCATENATE("TOTAL DO ITEM DESON. - ",C73),BASE02,10,FALSE),VLOOKUP(C73,DESON!A:D,4,FALSE))</f>
        <v>2544.36</v>
      </c>
      <c r="K73" s="715">
        <f>J73+J73*$L$6</f>
        <v>3265.6269015486378</v>
      </c>
      <c r="L73" s="715">
        <f>TRUNC(F73*K73,2)</f>
        <v>13062.5</v>
      </c>
    </row>
    <row r="74" spans="1:12" s="716" customFormat="1" ht="42.75">
      <c r="A74" s="89" t="s">
        <v>13836</v>
      </c>
      <c r="B74" s="76" t="s">
        <v>14504</v>
      </c>
      <c r="C74" s="74" t="s">
        <v>13851</v>
      </c>
      <c r="D74" s="712" t="str">
        <f>IF(B74="SEPLAG",VLOOKUP(C74,COMPOSIÇÃO,2,FALSE),VLOOKUP(C74,'NAO DESO'!A:B,2,FALSE))</f>
        <v>PORTA DE ALUMÍNIO DE ABRIR COM LAMBRI, 2 FOLHAS, 2,00x2,10 COM GUARNIÇÃO, FIXAÇÃO COM PARAFUSOS - FORNECIMENTO E INSTALAÇÃO. AF_12/2019</v>
      </c>
      <c r="E74" s="76" t="str">
        <f>IF(B74="SEPLAG",VLOOKUP(C74,UNIDADE,3,FALSE),VLOOKUP(C74,'NAO DESO'!A:C,3,FALSE))</f>
        <v>UND</v>
      </c>
      <c r="F74" s="713">
        <f>VLOOKUP(A74,MEMÓRIA,6,FALSE)</f>
        <v>1</v>
      </c>
      <c r="G74" s="714">
        <f>IF(B74="SEPLAG",VLOOKUP(CONCATENATE("TOTAL DO ITEM NÃO DESON. - ",C74),BASE01,8,FALSE),VLOOKUP(C74,'NAO DESO'!A:D,4,FALSE))</f>
        <v>2664.5800000000004</v>
      </c>
      <c r="H74" s="715">
        <f>TRUNC(G74+G74*$K$6,2)</f>
        <v>3256.81</v>
      </c>
      <c r="I74" s="715">
        <f>TRUNC(F74*H74,2)</f>
        <v>3256.81</v>
      </c>
      <c r="J74" s="715">
        <f>IF(B74="SEPLAG",VLOOKUP(CONCATENATE("TOTAL DO ITEM DESON. - ",C74),BASE02,10,FALSE),VLOOKUP(C74,DESON!A:D,4,FALSE))</f>
        <v>2663.51</v>
      </c>
      <c r="K74" s="715">
        <f>J74+J74*$L$6</f>
        <v>3418.5531562136694</v>
      </c>
      <c r="L74" s="715">
        <f>TRUNC(F74*K74,2)</f>
        <v>3418.55</v>
      </c>
    </row>
    <row r="75" spans="1:12" s="716" customFormat="1" ht="28.5">
      <c r="A75" s="89" t="s">
        <v>13837</v>
      </c>
      <c r="B75" s="76" t="s">
        <v>14504</v>
      </c>
      <c r="C75" s="74" t="s">
        <v>13855</v>
      </c>
      <c r="D75" s="712" t="str">
        <f>IF(B75="SEPLAG",VLOOKUP(C75,COMPOSIÇÃO,2,FALSE),VLOOKUP(C75,'NAO DESO'!A:B,2,FALSE))</f>
        <v>PORTA DE ALUMÍNIO DE CORRER, 4 FOLHAS, 2,00x2,10 COM GUARNIÇÃO,  FECHADURA E PUXADOR, SEM ALIZAR. AF_12/2019</v>
      </c>
      <c r="E75" s="76" t="str">
        <f>IF(B75="SEPLAG",VLOOKUP(C75,UNIDADE,3,FALSE),VLOOKUP(C75,'NAO DESO'!A:C,3,FALSE))</f>
        <v>UND</v>
      </c>
      <c r="F75" s="713">
        <f>VLOOKUP(A75,MEMÓRIA,6,FALSE)</f>
        <v>1</v>
      </c>
      <c r="G75" s="714">
        <f>IF(B75="SEPLAG",VLOOKUP(CONCATENATE("TOTAL DO ITEM NÃO DESON. - ",C75),BASE01,8,FALSE),VLOOKUP(C75,'NAO DESO'!A:D,4,FALSE))</f>
        <v>2437.2399999999998</v>
      </c>
      <c r="H75" s="715">
        <f>TRUNC(G75+G75*$K$6,2)</f>
        <v>2978.94</v>
      </c>
      <c r="I75" s="715">
        <f>TRUNC(F75*H75,2)</f>
        <v>2978.94</v>
      </c>
      <c r="J75" s="715">
        <f>IF(B75="SEPLAG",VLOOKUP(CONCATENATE("TOTAL DO ITEM DESON. - ",C75),BASE02,10,FALSE),VLOOKUP(C75,DESON!A:D,4,FALSE))</f>
        <v>2436.39</v>
      </c>
      <c r="K75" s="715">
        <f>J75+J75*$L$6</f>
        <v>3127.0499169394598</v>
      </c>
      <c r="L75" s="715">
        <f>TRUNC(F75*K75,2)</f>
        <v>3127.04</v>
      </c>
    </row>
    <row r="76" spans="1:12" s="716" customFormat="1">
      <c r="A76" s="725" t="str">
        <f>CONCATENATE("TOTAL DO ITEM &gt;&gt;&gt;&gt;",A72)</f>
        <v>TOTAL DO ITEM &gt;&gt;&gt;&gt;3.7</v>
      </c>
      <c r="B76" s="726"/>
      <c r="C76" s="726"/>
      <c r="D76" s="726"/>
      <c r="E76" s="726"/>
      <c r="F76" s="726"/>
      <c r="G76" s="726"/>
      <c r="H76" s="726"/>
      <c r="I76" s="727">
        <f>SUM(I73:I75)</f>
        <v>18680.91</v>
      </c>
      <c r="J76" s="728"/>
      <c r="K76" s="749"/>
      <c r="L76" s="727">
        <f>SUM(L73:L75)</f>
        <v>19608.09</v>
      </c>
    </row>
    <row r="77" spans="1:12" s="716" customFormat="1">
      <c r="A77" s="126"/>
      <c r="B77" s="127"/>
      <c r="C77" s="127"/>
      <c r="D77" s="127"/>
      <c r="E77" s="127"/>
      <c r="F77" s="127"/>
      <c r="G77" s="127"/>
      <c r="H77" s="127"/>
      <c r="I77" s="127"/>
      <c r="J77" s="127"/>
      <c r="K77" s="127"/>
      <c r="L77" s="128"/>
    </row>
    <row r="78" spans="1:12" s="716" customFormat="1">
      <c r="A78" s="729" t="s">
        <v>14265</v>
      </c>
      <c r="B78" s="754"/>
      <c r="C78" s="754"/>
      <c r="D78" s="731" t="s">
        <v>240</v>
      </c>
      <c r="E78" s="754"/>
      <c r="F78" s="755"/>
      <c r="G78" s="755"/>
      <c r="H78" s="755"/>
      <c r="I78" s="758"/>
      <c r="J78" s="733"/>
      <c r="K78" s="732"/>
      <c r="L78" s="733"/>
    </row>
    <row r="79" spans="1:12" s="716" customFormat="1" ht="28.5">
      <c r="A79" s="89" t="s">
        <v>14266</v>
      </c>
      <c r="B79" s="76" t="s">
        <v>14504</v>
      </c>
      <c r="C79" s="74" t="str">
        <f>COMPOSIÇÕES!C2381</f>
        <v>SEPLAG  ARQ 155</v>
      </c>
      <c r="D79" s="712" t="str">
        <f>IF(B79="SEPLAG",VLOOKUP(C79,COMPOSIÇÃO,2,FALSE),VLOOKUP(C79,'NAO DESO'!A:B,2,FALSE))</f>
        <v>J10 (E.G) - JANELA MAXIN AR 6,15 x 1,35 (6 JANELAS DE 1,02). FORNECIMENTO E INSTALAÇÃO.</v>
      </c>
      <c r="E79" s="76" t="str">
        <f>IF(B79="SEPLAG",VLOOKUP(C79,UNIDADE,3,FALSE),VLOOKUP(C79,'NAO DESO'!A:C,3,FALSE))</f>
        <v>und</v>
      </c>
      <c r="F79" s="713">
        <f t="shared" ref="F79:F86" si="15">VLOOKUP(A79,MEMÓRIA,6,FALSE)</f>
        <v>1</v>
      </c>
      <c r="G79" s="714">
        <f>IF(B79="SEPLAG",VLOOKUP(CONCATENATE("TOTAL DO ITEM NÃO DESON. - ",C79),BASE01,8,FALSE),VLOOKUP(C79,'NAO DESO'!A:D,4,FALSE))</f>
        <v>5041.0600000000004</v>
      </c>
      <c r="H79" s="715">
        <f t="shared" ref="H79:H86" si="16">TRUNC(G79+G79*$K$6,2)</f>
        <v>6161.49</v>
      </c>
      <c r="I79" s="715">
        <f t="shared" ref="I79:I86" si="17">TRUNC(F79*H79,2)</f>
        <v>6161.49</v>
      </c>
      <c r="J79" s="715">
        <f>IF(B79="SEPLAG",VLOOKUP(CONCATENATE("TOTAL DO ITEM DESON. - ",C79),BASE02,10,FALSE),VLOOKUP(C79,DESON!A:D,4,FALSE))</f>
        <v>4994.38</v>
      </c>
      <c r="K79" s="715">
        <f t="shared" ref="K79:K86" si="18">J79+J79*$L$6</f>
        <v>6410.1706065794478</v>
      </c>
      <c r="L79" s="715">
        <f t="shared" ref="L79:L86" si="19">TRUNC(F79*K79,2)</f>
        <v>6410.17</v>
      </c>
    </row>
    <row r="80" spans="1:12" s="716" customFormat="1" ht="28.5">
      <c r="A80" s="89" t="s">
        <v>14267</v>
      </c>
      <c r="B80" s="76" t="s">
        <v>14504</v>
      </c>
      <c r="C80" s="74" t="str">
        <f>COMPOSIÇÕES!C2401</f>
        <v>SEPLAG  ARQ 156</v>
      </c>
      <c r="D80" s="712" t="str">
        <f>IF(B80="SEPLAG",VLOOKUP(C80,COMPOSIÇÃO,2,FALSE),VLOOKUP(C80,'NAO DESO'!A:B,2,FALSE))</f>
        <v>J11 (E.G) - JANELA MAXIN AR 3,06 x 1,35 (3 JANELAS DE 1,02). FORNECIMENTO E INSTALAÇÃO.</v>
      </c>
      <c r="E80" s="76" t="str">
        <f>IF(B80="SEPLAG",VLOOKUP(C80,UNIDADE,3,FALSE),VLOOKUP(C80,'NAO DESO'!A:C,3,FALSE))</f>
        <v>und</v>
      </c>
      <c r="F80" s="713">
        <f t="shared" si="15"/>
        <v>1</v>
      </c>
      <c r="G80" s="714">
        <f>IF(B80="SEPLAG",VLOOKUP(CONCATENATE("TOTAL DO ITEM NÃO DESON. - ",C80),BASE01,8,FALSE),VLOOKUP(C80,'NAO DESO'!A:D,4,FALSE))</f>
        <v>2934.61</v>
      </c>
      <c r="H80" s="715">
        <f t="shared" si="16"/>
        <v>3586.86</v>
      </c>
      <c r="I80" s="715">
        <f t="shared" si="17"/>
        <v>3586.86</v>
      </c>
      <c r="J80" s="715">
        <f>IF(B80="SEPLAG",VLOOKUP(CONCATENATE("TOTAL DO ITEM DESON. - ",C80),BASE02,10,FALSE),VLOOKUP(C80,DESON!A:D,4,FALSE))</f>
        <v>2903.4900000000002</v>
      </c>
      <c r="K80" s="715">
        <f t="shared" si="18"/>
        <v>3726.5619064823586</v>
      </c>
      <c r="L80" s="715">
        <f t="shared" si="19"/>
        <v>3726.56</v>
      </c>
    </row>
    <row r="81" spans="1:12" s="716" customFormat="1" ht="28.5">
      <c r="A81" s="89" t="s">
        <v>14268</v>
      </c>
      <c r="B81" s="76" t="s">
        <v>14504</v>
      </c>
      <c r="C81" s="74" t="str">
        <f>COMPOSIÇÕES!C2421</f>
        <v>SEPLAG  ARQ 157</v>
      </c>
      <c r="D81" s="712" t="str">
        <f>IF(B81="SEPLAG",VLOOKUP(C81,COMPOSIÇÃO,2,FALSE),VLOOKUP(C81,'NAO DESO'!A:B,2,FALSE))</f>
        <v>J12 (E.G) - JANELA MAXIN AR 3,80 x 0,9 (4 JANELAS DE 0,95). FORNECIMENTO E INSTALAÇÃO.</v>
      </c>
      <c r="E81" s="76" t="str">
        <f>IF(B81="SEPLAG",VLOOKUP(C81,UNIDADE,3,FALSE),VLOOKUP(C81,'NAO DESO'!A:C,3,FALSE))</f>
        <v>und</v>
      </c>
      <c r="F81" s="713">
        <f t="shared" si="15"/>
        <v>1</v>
      </c>
      <c r="G81" s="714">
        <f>IF(B81="SEPLAG",VLOOKUP(CONCATENATE("TOTAL DO ITEM NÃO DESON. - ",C81),BASE01,8,FALSE),VLOOKUP(C81,'NAO DESO'!A:D,4,FALSE))</f>
        <v>3150.51</v>
      </c>
      <c r="H81" s="715">
        <f t="shared" si="16"/>
        <v>3850.74</v>
      </c>
      <c r="I81" s="715">
        <f t="shared" si="17"/>
        <v>3850.74</v>
      </c>
      <c r="J81" s="715">
        <f>IF(B81="SEPLAG",VLOOKUP(CONCATENATE("TOTAL DO ITEM DESON. - ",C81),BASE02,10,FALSE),VLOOKUP(C81,DESON!A:D,4,FALSE))</f>
        <v>3115.5000000000005</v>
      </c>
      <c r="K81" s="715">
        <f t="shared" si="18"/>
        <v>3998.6718120764285</v>
      </c>
      <c r="L81" s="715">
        <f t="shared" si="19"/>
        <v>3998.67</v>
      </c>
    </row>
    <row r="82" spans="1:12" s="716" customFormat="1" ht="28.5">
      <c r="A82" s="89" t="s">
        <v>14274</v>
      </c>
      <c r="B82" s="76" t="s">
        <v>14504</v>
      </c>
      <c r="C82" s="74" t="str">
        <f>COMPOSIÇÕES!C2441</f>
        <v>SEPLAG  ARQ 158</v>
      </c>
      <c r="D82" s="712" t="str">
        <f>IF(B82="SEPLAG",VLOOKUP(C82,COMPOSIÇÃO,2,FALSE),VLOOKUP(C82,'NAO DESO'!A:B,2,FALSE))</f>
        <v>J13 (E.G) - JANELA MAXIN AR 1,97 x 0,90 (2 JANELAS DE 0,98). FORNECIMENTO E INSTALAÇÃO.</v>
      </c>
      <c r="E82" s="76" t="str">
        <f>IF(B82="SEPLAG",VLOOKUP(C82,UNIDADE,3,FALSE),VLOOKUP(C82,'NAO DESO'!A:C,3,FALSE))</f>
        <v>und</v>
      </c>
      <c r="F82" s="713">
        <f t="shared" si="15"/>
        <v>1</v>
      </c>
      <c r="G82" s="714">
        <f>IF(B82="SEPLAG",VLOOKUP(CONCATENATE("TOTAL DO ITEM NÃO DESON. - ",C82),BASE01,8,FALSE),VLOOKUP(C82,'NAO DESO'!A:D,4,FALSE))</f>
        <v>1414.0400000000002</v>
      </c>
      <c r="H82" s="715">
        <f t="shared" si="16"/>
        <v>1728.32</v>
      </c>
      <c r="I82" s="715">
        <f t="shared" si="17"/>
        <v>1728.32</v>
      </c>
      <c r="J82" s="715">
        <f>IF(B82="SEPLAG",VLOOKUP(CONCATENATE("TOTAL DO ITEM DESON. - ",C82),BASE02,10,FALSE),VLOOKUP(C82,DESON!A:D,4,FALSE))</f>
        <v>1398.4800000000002</v>
      </c>
      <c r="K82" s="715">
        <f t="shared" si="18"/>
        <v>1794.9165641960019</v>
      </c>
      <c r="L82" s="715">
        <f t="shared" si="19"/>
        <v>1794.91</v>
      </c>
    </row>
    <row r="83" spans="1:12" s="716" customFormat="1" ht="28.5">
      <c r="A83" s="89" t="s">
        <v>14651</v>
      </c>
      <c r="B83" s="76" t="s">
        <v>14504</v>
      </c>
      <c r="C83" s="74" t="str">
        <f>COMPOSIÇÕES!C2481</f>
        <v>SEPLAG  ARQ 160</v>
      </c>
      <c r="D83" s="712" t="str">
        <f>IF(B83="SEPLAG",VLOOKUP(C83,COMPOSIÇÃO,2,FALSE),VLOOKUP(C83,'NAO DESO'!A:B,2,FALSE))</f>
        <v>J21 (E.G) - JANELA MAXIN AR 0,90 x 0,90. FORNECIMENTO E INSTALAÇÃO.</v>
      </c>
      <c r="E83" s="76" t="str">
        <f>IF(B83="SEPLAG",VLOOKUP(C83,UNIDADE,3,FALSE),VLOOKUP(C83,'NAO DESO'!A:C,3,FALSE))</f>
        <v>und</v>
      </c>
      <c r="F83" s="713">
        <f t="shared" si="15"/>
        <v>1</v>
      </c>
      <c r="G83" s="714">
        <f>IF(B83="SEPLAG",VLOOKUP(CONCATENATE("TOTAL DO ITEM NÃO DESON. - ",C83),BASE01,8,FALSE),VLOOKUP(C83,'NAO DESO'!A:D,4,FALSE))</f>
        <v>735.43</v>
      </c>
      <c r="H83" s="715">
        <f t="shared" si="16"/>
        <v>898.88</v>
      </c>
      <c r="I83" s="715">
        <f t="shared" si="17"/>
        <v>898.88</v>
      </c>
      <c r="J83" s="715">
        <f>IF(B83="SEPLAG",VLOOKUP(CONCATENATE("TOTAL DO ITEM DESON. - ",C83),BASE02,10,FALSE),VLOOKUP(C83,DESON!A:D,4,FALSE))</f>
        <v>723.76</v>
      </c>
      <c r="K83" s="715">
        <f t="shared" si="18"/>
        <v>928.92913198794258</v>
      </c>
      <c r="L83" s="715">
        <f t="shared" si="19"/>
        <v>928.92</v>
      </c>
    </row>
    <row r="84" spans="1:12" s="716" customFormat="1" ht="28.5">
      <c r="A84" s="89" t="s">
        <v>14652</v>
      </c>
      <c r="B84" s="76" t="s">
        <v>14504</v>
      </c>
      <c r="C84" s="74" t="str">
        <f>COMPOSIÇÕES!C2501</f>
        <v>SEPLAG  ARQ 161</v>
      </c>
      <c r="D84" s="712" t="str">
        <f>IF(B84="SEPLAG",VLOOKUP(C84,COMPOSIÇÃO,2,FALSE),VLOOKUP(C84,'NAO DESO'!A:B,2,FALSE))</f>
        <v>J22 (E.G) - JANELA MAXIN AR 1,04 x 1,35. FORNECIMENTO E INSTALAÇÃO.</v>
      </c>
      <c r="E84" s="76" t="str">
        <f>IF(B84="SEPLAG",VLOOKUP(C84,UNIDADE,3,FALSE),VLOOKUP(C84,'NAO DESO'!A:C,3,FALSE))</f>
        <v>und</v>
      </c>
      <c r="F84" s="713">
        <f t="shared" si="15"/>
        <v>1</v>
      </c>
      <c r="G84" s="714">
        <f>IF(B84="SEPLAG",VLOOKUP(CONCATENATE("TOTAL DO ITEM NÃO DESON. - ",C84),BASE01,8,FALSE),VLOOKUP(C84,'NAO DESO'!A:D,4,FALSE))</f>
        <v>1016.76</v>
      </c>
      <c r="H84" s="715">
        <f t="shared" si="16"/>
        <v>1242.74</v>
      </c>
      <c r="I84" s="715">
        <f t="shared" si="17"/>
        <v>1242.74</v>
      </c>
      <c r="J84" s="715">
        <f>IF(B84="SEPLAG",VLOOKUP(CONCATENATE("TOTAL DO ITEM DESON. - ",C84),BASE02,10,FALSE),VLOOKUP(C84,DESON!A:D,4,FALSE))</f>
        <v>1001.2</v>
      </c>
      <c r="K84" s="715">
        <f t="shared" si="18"/>
        <v>1285.0169212809885</v>
      </c>
      <c r="L84" s="715">
        <f t="shared" si="19"/>
        <v>1285.01</v>
      </c>
    </row>
    <row r="85" spans="1:12" s="716" customFormat="1" ht="28.5">
      <c r="A85" s="89" t="s">
        <v>14653</v>
      </c>
      <c r="B85" s="76" t="s">
        <v>79</v>
      </c>
      <c r="C85" s="74">
        <v>102168</v>
      </c>
      <c r="D85" s="712" t="str">
        <f>IF(B85="SEPLAG",VLOOKUP(C85,COMPOSIÇÃO,2,FALSE),VLOOKUP(C85,'NAO DESO'!A:B,2,FALSE))</f>
        <v>INSTALAÇÃO DE VIDRO LISO INCOLOR, E = 8 MM, EM ESQUADRIA DE ALUMÍNIO OU PVC, FIXADO COM BAGUETE. AF_01/2021_P</v>
      </c>
      <c r="E85" s="76" t="str">
        <f>IF(B85="SEPLAG",VLOOKUP(C85,UNIDADE,3,FALSE),VLOOKUP(C85,'NAO DESO'!A:C,3,FALSE))</f>
        <v>M2</v>
      </c>
      <c r="F85" s="713">
        <f t="shared" si="15"/>
        <v>1.2</v>
      </c>
      <c r="G85" s="714" t="str">
        <f>IF(B85="SEPLAG",VLOOKUP(CONCATENATE("TOTAL DO ITEM NÃO DESON. - ",C85),BASE01,8,FALSE),VLOOKUP(C85,'NAO DESO'!A:D,4,FALSE))</f>
        <v>547,45</v>
      </c>
      <c r="H85" s="715">
        <f t="shared" si="16"/>
        <v>669.12</v>
      </c>
      <c r="I85" s="715">
        <f t="shared" si="17"/>
        <v>802.94</v>
      </c>
      <c r="J85" s="715" t="str">
        <f>IF(B85="SEPLAG",VLOOKUP(CONCATENATE("TOTAL DO ITEM DESON. - ",C85),BASE02,10,FALSE),VLOOKUP(C85,DESON!A:D,4,FALSE))</f>
        <v>546,19</v>
      </c>
      <c r="K85" s="715">
        <f t="shared" si="18"/>
        <v>701.02216563570028</v>
      </c>
      <c r="L85" s="715">
        <f t="shared" si="19"/>
        <v>841.22</v>
      </c>
    </row>
    <row r="86" spans="1:12" s="716" customFormat="1" ht="28.5">
      <c r="A86" s="89" t="s">
        <v>14661</v>
      </c>
      <c r="B86" s="76" t="s">
        <v>14504</v>
      </c>
      <c r="C86" s="74" t="s">
        <v>7098</v>
      </c>
      <c r="D86" s="712" t="str">
        <f>IF(B86="SEPLAG",VLOOKUP(C86,COMPOSIÇÃO,2,FALSE),VLOOKUP(C86,'NAO DESO'!A:B,2,FALSE))</f>
        <v>PELÍCULA DE SEGURANÇA PARA PAINES DE VIDRO, FONECIMENTO E INSTALAÇÃO.</v>
      </c>
      <c r="E86" s="76" t="str">
        <f>IF(B86="SEPLAG",VLOOKUP(C86,UNIDADE,3,FALSE),VLOOKUP(C86,'NAO DESO'!A:C,3,FALSE))</f>
        <v>m²</v>
      </c>
      <c r="F86" s="713">
        <f t="shared" si="15"/>
        <v>21.040499999999998</v>
      </c>
      <c r="G86" s="714">
        <f>IF(B86="SEPLAG",VLOOKUP(CONCATENATE("TOTAL DO ITEM NÃO DESON. - ",C86),BASE01,8,FALSE),VLOOKUP(C86,'NAO DESO'!A:D,4,FALSE))</f>
        <v>59.8</v>
      </c>
      <c r="H86" s="715">
        <f t="shared" si="16"/>
        <v>73.09</v>
      </c>
      <c r="I86" s="715">
        <f t="shared" si="17"/>
        <v>1537.85</v>
      </c>
      <c r="J86" s="715">
        <f>IF(B86="SEPLAG",VLOOKUP(CONCATENATE("TOTAL DO ITEM DESON. - ",C86),BASE02,10,FALSE),VLOOKUP(C86,DESON!A:D,4,FALSE))</f>
        <v>59.209999999999994</v>
      </c>
      <c r="K86" s="715">
        <f t="shared" si="18"/>
        <v>75.994658319064442</v>
      </c>
      <c r="L86" s="715">
        <f t="shared" si="19"/>
        <v>1598.96</v>
      </c>
    </row>
    <row r="87" spans="1:12" s="716" customFormat="1">
      <c r="A87" s="734" t="str">
        <f>CONCATENATE("TOTAL DO ITEM &gt;&gt;&gt;&gt;",A78)</f>
        <v>TOTAL DO ITEM &gt;&gt;&gt;&gt;3.8</v>
      </c>
      <c r="B87" s="735"/>
      <c r="C87" s="735"/>
      <c r="D87" s="735"/>
      <c r="E87" s="735"/>
      <c r="F87" s="735"/>
      <c r="G87" s="735"/>
      <c r="H87" s="735"/>
      <c r="I87" s="759">
        <f>SUM(I79:I86)</f>
        <v>19809.819999999996</v>
      </c>
      <c r="J87" s="715"/>
      <c r="K87" s="746"/>
      <c r="L87" s="759">
        <f>SUM(L79:L86)</f>
        <v>20584.419999999998</v>
      </c>
    </row>
    <row r="88" spans="1:12" s="108" customFormat="1">
      <c r="A88" s="126"/>
      <c r="B88" s="127"/>
      <c r="C88" s="127"/>
      <c r="D88" s="127"/>
      <c r="E88" s="127"/>
      <c r="F88" s="127"/>
      <c r="G88" s="127"/>
      <c r="H88" s="127"/>
      <c r="I88" s="127"/>
      <c r="J88" s="127"/>
      <c r="K88" s="127"/>
      <c r="L88" s="128"/>
    </row>
    <row r="89" spans="1:12" s="716" customFormat="1">
      <c r="A89" s="719" t="s">
        <v>14269</v>
      </c>
      <c r="B89" s="760"/>
      <c r="C89" s="141"/>
      <c r="D89" s="140" t="s">
        <v>349</v>
      </c>
      <c r="E89" s="740"/>
      <c r="F89" s="144"/>
      <c r="G89" s="761"/>
      <c r="H89" s="144"/>
      <c r="I89" s="144"/>
      <c r="J89" s="144"/>
      <c r="K89" s="724"/>
      <c r="L89" s="144"/>
    </row>
    <row r="90" spans="1:12" s="716" customFormat="1" ht="28.5">
      <c r="A90" s="89" t="s">
        <v>14270</v>
      </c>
      <c r="B90" s="89" t="s">
        <v>14504</v>
      </c>
      <c r="C90" s="74" t="s">
        <v>382</v>
      </c>
      <c r="D90" s="712" t="str">
        <f>IF(B90="SEPLAG",VLOOKUP(C90,COMPOSIÇÃO,2,FALSE),VLOOKUP(C90,'NAO DESO'!A:B,2,FALSE))</f>
        <v>BANCADA DE GRANITO BRANCO SIENA, DE 0,80 X 0,60 M, PARA LAVATÓRIO - FORNECIMENTO E INSTALAÇÃO. AF_01/2020</v>
      </c>
      <c r="E90" s="76" t="str">
        <f>IF(B90="SEPLAG",VLOOKUP(C90,UNIDADE,3,FALSE),VLOOKUP(C90,'NAO DESO'!A:C,3,FALSE))</f>
        <v>UND</v>
      </c>
      <c r="F90" s="713">
        <f>VLOOKUP(A90,MEMÓRIA,6,FALSE)</f>
        <v>2</v>
      </c>
      <c r="G90" s="714">
        <f>IF(B90="SEPLAG",VLOOKUP(CONCATENATE("TOTAL DO ITEM NÃO DESON. - ",C90),BASE01,8,FALSE),VLOOKUP(C90,'NAO DESO'!A:D,4,FALSE))</f>
        <v>371.76</v>
      </c>
      <c r="H90" s="715">
        <f>TRUNC(G90+G90*$K$6,2)</f>
        <v>454.38</v>
      </c>
      <c r="I90" s="715">
        <f>TRUNC(F90*H90,2)</f>
        <v>908.76</v>
      </c>
      <c r="J90" s="715">
        <f>IF(B90="SEPLAG",VLOOKUP(CONCATENATE("TOTAL DO ITEM DESON. - ",C90),BASE02,10,FALSE),VLOOKUP(C90,DESON!A:D,4,FALSE))</f>
        <v>362.89</v>
      </c>
      <c r="K90" s="715">
        <f>J90+J90*$L$6</f>
        <v>465.76087751064512</v>
      </c>
      <c r="L90" s="715">
        <f>TRUNC(F90*K90,2)</f>
        <v>931.52</v>
      </c>
    </row>
    <row r="91" spans="1:12" s="716" customFormat="1" ht="28.5">
      <c r="A91" s="89" t="s">
        <v>14271</v>
      </c>
      <c r="B91" s="89" t="s">
        <v>14504</v>
      </c>
      <c r="C91" s="74" t="s">
        <v>383</v>
      </c>
      <c r="D91" s="712" t="str">
        <f>IF(B91="SEPLAG",VLOOKUP(C91,COMPOSIÇÃO,2,FALSE),VLOOKUP(C91,'NAO DESO'!A:B,2,FALSE))</f>
        <v>SAIA E FRONTÃO  EM GRANITO POLIDO - BRANCO SIENA  PARA LAVATÓRIO - FORNECIMENTO E INSTALAÇÃO. AF_01/2020</v>
      </c>
      <c r="E91" s="76" t="str">
        <f>IF(B91="SEPLAG",VLOOKUP(C91,UNIDADE,3,FALSE),VLOOKUP(C91,'NAO DESO'!A:C,3,FALSE))</f>
        <v>M</v>
      </c>
      <c r="F91" s="713">
        <f>VLOOKUP(A91,MEMÓRIA,6,FALSE)</f>
        <v>2.8</v>
      </c>
      <c r="G91" s="714">
        <f>IF(B91="SEPLAG",VLOOKUP(CONCATENATE("TOTAL DO ITEM NÃO DESON. - ",C91),BASE01,8,FALSE),VLOOKUP(C91,'NAO DESO'!A:D,4,FALSE))</f>
        <v>140.01000000000002</v>
      </c>
      <c r="H91" s="715">
        <f>TRUNC(G91+G91*$K$6,2)</f>
        <v>171.12</v>
      </c>
      <c r="I91" s="715">
        <f>TRUNC(F91*H91,2)</f>
        <v>479.13</v>
      </c>
      <c r="J91" s="715">
        <f>IF(B91="SEPLAG",VLOOKUP(CONCATENATE("TOTAL DO ITEM DESON. - ",C91),BASE02,10,FALSE),VLOOKUP(C91,DESON!A:D,4,FALSE))</f>
        <v>137.99</v>
      </c>
      <c r="K91" s="715">
        <f>J91+J91*$L$6</f>
        <v>177.10695661962006</v>
      </c>
      <c r="L91" s="715">
        <f>TRUNC(F91*K91,2)</f>
        <v>495.89</v>
      </c>
    </row>
    <row r="92" spans="1:12" s="716" customFormat="1" ht="28.5">
      <c r="A92" s="89" t="s">
        <v>14272</v>
      </c>
      <c r="B92" s="89" t="s">
        <v>14504</v>
      </c>
      <c r="C92" s="74" t="s">
        <v>389</v>
      </c>
      <c r="D92" s="712" t="str">
        <f>IF(B92="SEPLAG",VLOOKUP(C92,COMPOSIÇÃO,2,FALSE),VLOOKUP(C92,'NAO DESO'!A:B,2,FALSE))</f>
        <v>CUBA DE EMBUTIR OVAL EM LOUÇA BRANCA DECA OU SIMILAR 48,5 X 37,50CM OU EQUIVALENTE - FORNECIMENTO E INSTALAÇÃO. AF_01/2020</v>
      </c>
      <c r="E92" s="76" t="str">
        <f>IF(B92="SEPLAG",VLOOKUP(C92,UNIDADE,3,FALSE),VLOOKUP(C92,'NAO DESO'!A:C,3,FALSE))</f>
        <v>UND</v>
      </c>
      <c r="F92" s="713">
        <f>VLOOKUP(A92,MEMÓRIA,6,FALSE)</f>
        <v>2</v>
      </c>
      <c r="G92" s="714">
        <f>IF(B92="SEPLAG",VLOOKUP(CONCATENATE("TOTAL DO ITEM NÃO DESON. - ",C92),BASE01,8,FALSE),VLOOKUP(C92,'NAO DESO'!A:D,4,FALSE))</f>
        <v>133.14000000000001</v>
      </c>
      <c r="H92" s="715">
        <f>TRUNC(G92+G92*$K$6,2)</f>
        <v>162.72999999999999</v>
      </c>
      <c r="I92" s="715">
        <f>TRUNC(F92*H92,2)</f>
        <v>325.45999999999998</v>
      </c>
      <c r="J92" s="715">
        <f>IF(B92="SEPLAG",VLOOKUP(CONCATENATE("TOTAL DO ITEM DESON. - ",C92),BASE02,10,FALSE),VLOOKUP(C92,DESON!A:D,4,FALSE))</f>
        <v>130.84</v>
      </c>
      <c r="K92" s="715">
        <f>J92+J92*$L$6</f>
        <v>167.93009786296898</v>
      </c>
      <c r="L92" s="715">
        <f>TRUNC(F92*K92,2)</f>
        <v>335.86</v>
      </c>
    </row>
    <row r="93" spans="1:12" s="716" customFormat="1">
      <c r="A93" s="734" t="str">
        <f>CONCATENATE("TOTAL DO ITEM &gt;&gt;&gt;&gt;",A89)</f>
        <v>TOTAL DO ITEM &gt;&gt;&gt;&gt;3.9</v>
      </c>
      <c r="B93" s="735"/>
      <c r="C93" s="735"/>
      <c r="D93" s="735"/>
      <c r="E93" s="735"/>
      <c r="F93" s="735"/>
      <c r="G93" s="735"/>
      <c r="H93" s="735"/>
      <c r="I93" s="759">
        <f>SUM(I90:I92)</f>
        <v>1713.35</v>
      </c>
      <c r="J93" s="715"/>
      <c r="K93" s="746"/>
      <c r="L93" s="759">
        <f>SUM(L90:L92)</f>
        <v>1763.27</v>
      </c>
    </row>
    <row r="94" spans="1:12" s="1245" customFormat="1">
      <c r="A94" s="1122" t="str">
        <f>CONCATENATE("TOTAL DO ITEM &gt;&gt;&gt;&gt;",A27)</f>
        <v>TOTAL DO ITEM &gt;&gt;&gt;&gt;3.0</v>
      </c>
      <c r="B94" s="1123"/>
      <c r="C94" s="1123"/>
      <c r="D94" s="1123"/>
      <c r="E94" s="1123"/>
      <c r="F94" s="1123"/>
      <c r="G94" s="1123"/>
      <c r="H94" s="1123"/>
      <c r="I94" s="1298">
        <f>SUM(I87,I76,I70,I63,I59,I36+I93+I52+I43)</f>
        <v>144198.14000000001</v>
      </c>
      <c r="J94" s="713"/>
      <c r="K94" s="1244"/>
      <c r="L94" s="1298">
        <f>SUM(L87,L76,L70,L63,L59,L36+L93+L43+L52)</f>
        <v>147954.93</v>
      </c>
    </row>
    <row r="95" spans="1:12" s="1245" customFormat="1">
      <c r="A95" s="1299"/>
      <c r="B95" s="1300"/>
      <c r="C95" s="1300"/>
      <c r="D95" s="1300"/>
      <c r="E95" s="1300"/>
      <c r="F95" s="1300"/>
      <c r="G95" s="1300"/>
      <c r="H95" s="1300"/>
      <c r="I95" s="1300"/>
      <c r="J95" s="1300"/>
      <c r="K95" s="1300"/>
      <c r="L95" s="1301"/>
    </row>
    <row r="96" spans="1:12" s="110" customFormat="1">
      <c r="A96" s="1122" t="s">
        <v>59</v>
      </c>
      <c r="B96" s="1123"/>
      <c r="C96" s="1123"/>
      <c r="D96" s="948" t="s">
        <v>13822</v>
      </c>
      <c r="E96" s="1123"/>
      <c r="F96" s="1302"/>
      <c r="G96" s="1302"/>
      <c r="H96" s="1302"/>
      <c r="I96" s="1298"/>
      <c r="J96" s="713"/>
      <c r="K96" s="1244"/>
      <c r="L96" s="713"/>
    </row>
    <row r="97" spans="1:12" s="716" customFormat="1">
      <c r="A97" s="719" t="s">
        <v>62</v>
      </c>
      <c r="B97" s="740"/>
      <c r="C97" s="740"/>
      <c r="D97" s="140" t="s">
        <v>12997</v>
      </c>
      <c r="E97" s="740"/>
      <c r="F97" s="724"/>
      <c r="G97" s="724"/>
      <c r="H97" s="724"/>
      <c r="I97" s="724"/>
      <c r="J97" s="144"/>
      <c r="K97" s="724"/>
      <c r="L97" s="144"/>
    </row>
    <row r="98" spans="1:12" s="716" customFormat="1" ht="28.5">
      <c r="A98" s="89" t="s">
        <v>12998</v>
      </c>
      <c r="B98" s="717" t="s">
        <v>79</v>
      </c>
      <c r="C98" s="74">
        <v>97640</v>
      </c>
      <c r="D98" s="712" t="str">
        <f>IF(B98="SEPLAG",VLOOKUP(C98,COMPOSIÇÃO,2,FALSE),VLOOKUP(C98,'NAO DESO'!A:B,2,FALSE))</f>
        <v>REMOÇÃO DE FORROS DE DRYWALL, PVC E FIBROMINERAL, DE FORMA MANUAL, SEM REAPROVEITAMENTO. AF_12/2017</v>
      </c>
      <c r="E98" s="76" t="str">
        <f>IF(B98="SEPLAG",VLOOKUP(C98,UNIDADE,3,FALSE),VLOOKUP(C98,'NAO DESO'!A:C,3,FALSE))</f>
        <v>M2</v>
      </c>
      <c r="F98" s="713">
        <f>VLOOKUP(A98,MEMÓRIA,6,FALSE)</f>
        <v>326.10000000000002</v>
      </c>
      <c r="G98" s="714" t="str">
        <f>IF(B98="SEPLAG",VLOOKUP(CONCATENATE("TOTAL DO ITEM NÃO DESON. - ",C98),BASE01,8,FALSE),VLOOKUP(C98,'NAO DESO'!A:D,4,FALSE))</f>
        <v>1,24</v>
      </c>
      <c r="H98" s="715">
        <f>TRUNC(G98+G98*$K$6,2)</f>
        <v>1.51</v>
      </c>
      <c r="I98" s="715">
        <f>TRUNC(F98*H98,2)</f>
        <v>492.41</v>
      </c>
      <c r="J98" s="715" t="str">
        <f>IF(B98="SEPLAG",VLOOKUP(CONCATENATE("TOTAL DO ITEM DESON. - ",C98),BASE02,10,FALSE),VLOOKUP(C98,DESON!A:D,4,FALSE))</f>
        <v>1,11</v>
      </c>
      <c r="K98" s="715">
        <f>J98+J98*$L$6</f>
        <v>1.4246591915919868</v>
      </c>
      <c r="L98" s="715">
        <f>TRUNC(F98*K98,2)</f>
        <v>464.58</v>
      </c>
    </row>
    <row r="99" spans="1:12" s="716" customFormat="1" ht="28.5">
      <c r="A99" s="89" t="s">
        <v>7059</v>
      </c>
      <c r="B99" s="717" t="s">
        <v>79</v>
      </c>
      <c r="C99" s="74">
        <v>97644</v>
      </c>
      <c r="D99" s="712" t="str">
        <f>IF(B99="SEPLAG",VLOOKUP(C99,COMPOSIÇÃO,2,FALSE),VLOOKUP(C99,'NAO DESO'!A:B,2,FALSE))</f>
        <v>REMOÇÃO DE PORTAS, DE FORMA MANUAL, SEM REAPROVEITAMENTO. AF_12/2017</v>
      </c>
      <c r="E99" s="76" t="str">
        <f>IF(B99="SEPLAG",VLOOKUP(C99,UNIDADE,3,FALSE),VLOOKUP(C99,'NAO DESO'!A:C,3,FALSE))</f>
        <v>M2</v>
      </c>
      <c r="F99" s="713">
        <f>VLOOKUP(A99,MEMÓRIA,6,FALSE)</f>
        <v>26.61</v>
      </c>
      <c r="G99" s="714" t="str">
        <f>IF(B99="SEPLAG",VLOOKUP(CONCATENATE("TOTAL DO ITEM NÃO DESON. - ",C99),BASE01,8,FALSE),VLOOKUP(C99,'NAO DESO'!A:D,4,FALSE))</f>
        <v>7,11</v>
      </c>
      <c r="H99" s="715">
        <f>TRUNC(G99+G99*$K$6,2)</f>
        <v>8.69</v>
      </c>
      <c r="I99" s="715">
        <f>TRUNC(F99*H99,2)</f>
        <v>231.24</v>
      </c>
      <c r="J99" s="715" t="str">
        <f>IF(B99="SEPLAG",VLOOKUP(CONCATENATE("TOTAL DO ITEM DESON. - ",C99),BASE02,10,FALSE),VLOOKUP(C99,DESON!A:D,4,FALSE))</f>
        <v>6,39</v>
      </c>
      <c r="K99" s="715">
        <f>J99+J99*$L$6</f>
        <v>8.2014164272727879</v>
      </c>
      <c r="L99" s="715">
        <f>TRUNC(F99*K99,2)</f>
        <v>218.23</v>
      </c>
    </row>
    <row r="100" spans="1:12" s="716" customFormat="1" ht="28.5">
      <c r="A100" s="89" t="s">
        <v>7060</v>
      </c>
      <c r="B100" s="717" t="s">
        <v>79</v>
      </c>
      <c r="C100" s="74">
        <v>97645</v>
      </c>
      <c r="D100" s="712" t="str">
        <f>IF(B100="SEPLAG",VLOOKUP(C100,COMPOSIÇÃO,2,FALSE),VLOOKUP(C100,'NAO DESO'!A:B,2,FALSE))</f>
        <v>REMOÇÃO DE JANELAS, DE FORMA MANUAL, SEM REAPROVEITAMENTO. AF_12/2017</v>
      </c>
      <c r="E100" s="76" t="str">
        <f>IF(B100="SEPLAG",VLOOKUP(C100,UNIDADE,3,FALSE),VLOOKUP(C100,'NAO DESO'!A:C,3,FALSE))</f>
        <v>M2</v>
      </c>
      <c r="F100" s="713">
        <f>VLOOKUP(A100,MEMÓRIA,6,FALSE)</f>
        <v>106.4</v>
      </c>
      <c r="G100" s="714" t="str">
        <f>IF(B100="SEPLAG",VLOOKUP(CONCATENATE("TOTAL DO ITEM NÃO DESON. - ",C100),BASE01,8,FALSE),VLOOKUP(C100,'NAO DESO'!A:D,4,FALSE))</f>
        <v>25,94</v>
      </c>
      <c r="H100" s="715">
        <f>TRUNC(G100+G100*$K$6,2)</f>
        <v>31.7</v>
      </c>
      <c r="I100" s="715">
        <f>TRUNC(F100*H100,2)</f>
        <v>3372.88</v>
      </c>
      <c r="J100" s="715" t="str">
        <f>IF(B100="SEPLAG",VLOOKUP(CONCATENATE("TOTAL DO ITEM DESON. - ",C100),BASE02,10,FALSE),VLOOKUP(C100,DESON!A:D,4,FALSE))</f>
        <v>23,93</v>
      </c>
      <c r="K100" s="715">
        <f>J100+J100*$L$6</f>
        <v>30.713598607924546</v>
      </c>
      <c r="L100" s="715">
        <f>TRUNC(F100*K100,2)</f>
        <v>3267.92</v>
      </c>
    </row>
    <row r="101" spans="1:12" s="716" customFormat="1" ht="28.5">
      <c r="A101" s="89" t="s">
        <v>13839</v>
      </c>
      <c r="B101" s="717" t="s">
        <v>79</v>
      </c>
      <c r="C101" s="74">
        <v>97622</v>
      </c>
      <c r="D101" s="712" t="str">
        <f>IF(B101="SEPLAG",VLOOKUP(C101,COMPOSIÇÃO,2,FALSE),VLOOKUP(C101,'NAO DESO'!A:B,2,FALSE))</f>
        <v>DEMOLIÇÃO DE ALVENARIA DE BLOCO FURADO, DE FORMA MANUAL, SEM REAPROVEITAMENTO. AF_12/2017</v>
      </c>
      <c r="E101" s="76" t="str">
        <f>IF(B101="SEPLAG",VLOOKUP(C101,UNIDADE,3,FALSE),VLOOKUP(C101,'NAO DESO'!A:C,3,FALSE))</f>
        <v>M3</v>
      </c>
      <c r="F101" s="713">
        <f>VLOOKUP(A101,MEMÓRIA,6,FALSE)</f>
        <v>6.13</v>
      </c>
      <c r="G101" s="714" t="str">
        <f>IF(B101="SEPLAG",VLOOKUP(CONCATENATE("TOTAL DO ITEM NÃO DESON. - ",C101),BASE01,8,FALSE),VLOOKUP(C101,'NAO DESO'!A:D,4,FALSE))</f>
        <v>43,86</v>
      </c>
      <c r="H101" s="715">
        <f>TRUNC(G101+G101*$K$6,2)</f>
        <v>53.6</v>
      </c>
      <c r="I101" s="715">
        <f>TRUNC(F101*H101,2)</f>
        <v>328.56</v>
      </c>
      <c r="J101" s="715" t="str">
        <f>IF(B101="SEPLAG",VLOOKUP(CONCATENATE("TOTAL DO ITEM DESON. - ",C101),BASE02,10,FALSE),VLOOKUP(C101,DESON!A:D,4,FALSE))</f>
        <v>39,48</v>
      </c>
      <c r="K101" s="715">
        <f>J101+J101*$L$6</f>
        <v>50.671662057704175</v>
      </c>
      <c r="L101" s="715">
        <f>TRUNC(F101*K101,2)</f>
        <v>310.61</v>
      </c>
    </row>
    <row r="102" spans="1:12" s="716" customFormat="1">
      <c r="A102" s="725" t="str">
        <f>CONCATENATE("TOTAL DO ITEM &gt;&gt;&gt;&gt;",A97)</f>
        <v>TOTAL DO ITEM &gt;&gt;&gt;&gt;4.1</v>
      </c>
      <c r="B102" s="726"/>
      <c r="C102" s="726"/>
      <c r="D102" s="726"/>
      <c r="E102" s="726"/>
      <c r="F102" s="726"/>
      <c r="G102" s="726"/>
      <c r="H102" s="726"/>
      <c r="I102" s="727">
        <f>SUM(I98:I101)</f>
        <v>4425.0900000000011</v>
      </c>
      <c r="J102" s="728"/>
      <c r="K102" s="728"/>
      <c r="L102" s="727">
        <f>SUM(L98:L101)</f>
        <v>4261.34</v>
      </c>
    </row>
    <row r="103" spans="1:12" s="108" customFormat="1">
      <c r="A103" s="126"/>
      <c r="B103" s="127"/>
      <c r="C103" s="127"/>
      <c r="D103" s="127"/>
      <c r="E103" s="127"/>
      <c r="F103" s="127"/>
      <c r="G103" s="127"/>
      <c r="H103" s="127"/>
      <c r="I103" s="127"/>
      <c r="J103" s="127"/>
      <c r="K103" s="127"/>
      <c r="L103" s="128"/>
    </row>
    <row r="104" spans="1:12" s="716" customFormat="1">
      <c r="A104" s="762" t="s">
        <v>63</v>
      </c>
      <c r="B104" s="763"/>
      <c r="C104" s="764"/>
      <c r="D104" s="765" t="s">
        <v>13829</v>
      </c>
      <c r="E104" s="766"/>
      <c r="F104" s="767"/>
      <c r="G104" s="767"/>
      <c r="H104" s="768"/>
      <c r="I104" s="768"/>
      <c r="J104" s="769"/>
      <c r="K104" s="770"/>
      <c r="L104" s="769"/>
    </row>
    <row r="105" spans="1:12" s="716" customFormat="1" ht="42.75">
      <c r="A105" s="89" t="s">
        <v>13307</v>
      </c>
      <c r="B105" s="717" t="s">
        <v>14504</v>
      </c>
      <c r="C105" s="74" t="s">
        <v>27259</v>
      </c>
      <c r="D105" s="712" t="str">
        <f>IF(B105="SEPLAG",VLOOKUP(C105,COMPOSIÇÃO,2,FALSE),VLOOKUP(C105,'NAO DESO'!A:B,2,FALSE))</f>
        <v>REVESTIMENTO CERÂMICO PARA PISO COM PLACAS TIPO PORCELANATO ARTSY CEMENT NATURAL  0,90X0,90m PORTOBELLO OU SIMILAR, ARGAMASSA TIPO AC III,FORNECIMENTO E INSTALAÇÃO. AF_06/2014</v>
      </c>
      <c r="E105" s="76" t="str">
        <f>IF(B105="SEPLAG",VLOOKUP(C105,UNIDADE,3,FALSE),VLOOKUP(C105,'NAO DESO'!A:C,3,FALSE))</f>
        <v>m²</v>
      </c>
      <c r="F105" s="713">
        <f>VLOOKUP(A105,MEMÓRIA,6,FALSE)</f>
        <v>326.10000000000002</v>
      </c>
      <c r="G105" s="714">
        <f>IF(B105="SEPLAG",VLOOKUP(CONCATENATE("TOTAL DO ITEM NÃO DESON. - ",C105),BASE01,8,FALSE),VLOOKUP(C105,'NAO DESO'!A:D,4,FALSE))</f>
        <v>181.16</v>
      </c>
      <c r="H105" s="715">
        <f>TRUNC(G105+G105*$K$6,2)</f>
        <v>221.42</v>
      </c>
      <c r="I105" s="715">
        <f>TRUNC(F105*H105,2)</f>
        <v>72205.06</v>
      </c>
      <c r="J105" s="715">
        <f>IF(B105="SEPLAG",VLOOKUP(CONCATENATE("TOTAL DO ITEM DESON. - ",C105),BASE02,10,FALSE),VLOOKUP(C105,DESON!A:D,4,FALSE))</f>
        <v>179.57999999999998</v>
      </c>
      <c r="K105" s="715">
        <f>J105+J105*$L$6</f>
        <v>230.48675461809816</v>
      </c>
      <c r="L105" s="715">
        <f>TRUNC(F105*K105,2)</f>
        <v>75161.73</v>
      </c>
    </row>
    <row r="106" spans="1:12" s="716" customFormat="1" ht="57">
      <c r="A106" s="89" t="s">
        <v>7062</v>
      </c>
      <c r="B106" s="717" t="s">
        <v>14504</v>
      </c>
      <c r="C106" s="74" t="s">
        <v>27262</v>
      </c>
      <c r="D106" s="712" t="str">
        <f>IF(B106="SEPLAG",VLOOKUP(C106,COMPOSIÇÃO,2,FALSE),VLOOKUP(C106,'NAO DESO'!A:B,2,FALSE))</f>
        <v>RODAPÉ DE 7CM EM REVESTIMENTO CERÂMICO PARA PISO COM PLACAS TIPO PORCELANATO ARTSY CEMENT NATURAL  0,90X0,90m PORTOBELLO OU SIMILAR, ARGAMASSA TIPO AC III,FORNECIMENTO E INSTALAÇÃO. AF_06/2014</v>
      </c>
      <c r="E106" s="76" t="str">
        <f>IF(B106="SEPLAG",VLOOKUP(C106,UNIDADE,3,FALSE),VLOOKUP(C106,'NAO DESO'!A:C,3,FALSE))</f>
        <v xml:space="preserve">m </v>
      </c>
      <c r="F106" s="713">
        <f>VLOOKUP(A106,MEMÓRIA,6,FALSE)</f>
        <v>184.61</v>
      </c>
      <c r="G106" s="714">
        <f>IF(B106="SEPLAG",VLOOKUP(CONCATENATE("TOTAL DO ITEM NÃO DESON. - ",C106),BASE01,8,FALSE),VLOOKUP(C106,'NAO DESO'!A:D,4,FALSE))</f>
        <v>14.319999999999999</v>
      </c>
      <c r="H106" s="715">
        <f>TRUNC(G106+G106*$K$6,2)</f>
        <v>17.5</v>
      </c>
      <c r="I106" s="715">
        <f>TRUNC(F106*H106,2)</f>
        <v>3230.67</v>
      </c>
      <c r="J106" s="715">
        <f>IF(B106="SEPLAG",VLOOKUP(CONCATENATE("TOTAL DO ITEM DESON. - ",C106),BASE02,10,FALSE),VLOOKUP(C106,DESON!A:D,4,FALSE))</f>
        <v>14.07</v>
      </c>
      <c r="K106" s="715">
        <f>J106+J106*$L$6</f>
        <v>18.058517860990321</v>
      </c>
      <c r="L106" s="715">
        <f>TRUNC(F106*K106,2)</f>
        <v>3333.78</v>
      </c>
    </row>
    <row r="107" spans="1:12" s="716" customFormat="1">
      <c r="A107" s="725" t="str">
        <f>CONCATENATE("TOTAL DO ITEM &gt;&gt;&gt;&gt;",A104)</f>
        <v>TOTAL DO ITEM &gt;&gt;&gt;&gt;4.2</v>
      </c>
      <c r="B107" s="771"/>
      <c r="C107" s="771"/>
      <c r="D107" s="771"/>
      <c r="E107" s="771"/>
      <c r="F107" s="771"/>
      <c r="G107" s="771"/>
      <c r="H107" s="771"/>
      <c r="I107" s="772">
        <f>SUM(I105:I106)</f>
        <v>75435.73</v>
      </c>
      <c r="J107" s="773"/>
      <c r="K107" s="774"/>
      <c r="L107" s="772">
        <f>SUM(L105:L106)</f>
        <v>78495.509999999995</v>
      </c>
    </row>
    <row r="108" spans="1:12" s="108" customFormat="1">
      <c r="A108" s="126"/>
      <c r="B108" s="127"/>
      <c r="C108" s="127"/>
      <c r="D108" s="127"/>
      <c r="E108" s="127"/>
      <c r="F108" s="127"/>
      <c r="G108" s="127"/>
      <c r="H108" s="127"/>
      <c r="I108" s="127"/>
      <c r="J108" s="127"/>
      <c r="K108" s="127"/>
      <c r="L108" s="128"/>
    </row>
    <row r="109" spans="1:12" s="716" customFormat="1">
      <c r="A109" s="729" t="s">
        <v>64</v>
      </c>
      <c r="B109" s="775"/>
      <c r="C109" s="776"/>
      <c r="D109" s="731" t="s">
        <v>239</v>
      </c>
      <c r="E109" s="730"/>
      <c r="F109" s="733"/>
      <c r="G109" s="777"/>
      <c r="H109" s="733"/>
      <c r="I109" s="733"/>
      <c r="J109" s="732"/>
      <c r="K109" s="732"/>
      <c r="L109" s="732"/>
    </row>
    <row r="110" spans="1:12" s="716" customFormat="1" ht="42.75">
      <c r="A110" s="89" t="s">
        <v>7061</v>
      </c>
      <c r="B110" s="717" t="s">
        <v>14504</v>
      </c>
      <c r="C110" s="74" t="s">
        <v>365</v>
      </c>
      <c r="D110" s="712" t="str">
        <f>IF(B110="SEPLAG",VLOOKUP(C110,COMPOSIÇÃO,2,FALSE),VLOOKUP(C110,'NAO DESO'!A:B,2,FALSE))</f>
        <v>KIT PORTA PRONTA PRETA LISA SÓLIDA PORMADE O,80X2,10,ACABAMENTO DE COR UNIFORME, MARCOS E ALIZARES EM PVC WOOD, RESISTENTES A ESTUFAMENTOS. FORNECIMENTO E INSTALAÇÃO.</v>
      </c>
      <c r="E110" s="76" t="str">
        <f>IF(B110="SEPLAG",VLOOKUP(C110,UNIDADE,3,FALSE),VLOOKUP(C110,'NAO DESO'!A:C,3,FALSE))</f>
        <v>UND</v>
      </c>
      <c r="F110" s="713">
        <f t="shared" ref="F110:F118" si="20">VLOOKUP(A110,MEMÓRIA,6,FALSE)</f>
        <v>7</v>
      </c>
      <c r="G110" s="714">
        <f>IF(B110="SEPLAG",VLOOKUP(CONCATENATE("TOTAL DO ITEM NÃO DESON. - ",C110),BASE01,8,FALSE),VLOOKUP(C110,'NAO DESO'!A:D,4,FALSE))</f>
        <v>2545.5200000000004</v>
      </c>
      <c r="H110" s="715">
        <f t="shared" ref="H110:H118" si="21">TRUNC(G110+G110*$K$6,2)</f>
        <v>3111.29</v>
      </c>
      <c r="I110" s="715">
        <f t="shared" ref="I110:I118" si="22">TRUNC(F110*H110,2)</f>
        <v>21779.03</v>
      </c>
      <c r="J110" s="715">
        <f>IF(B110="SEPLAG",VLOOKUP(CONCATENATE("TOTAL DO ITEM DESON. - ",C110),BASE02,10,FALSE),VLOOKUP(C110,DESON!A:D,4,FALSE))</f>
        <v>2544.36</v>
      </c>
      <c r="K110" s="715">
        <f t="shared" ref="K110:K118" si="23">J110+J110*$L$6</f>
        <v>3265.6269015486378</v>
      </c>
      <c r="L110" s="715">
        <f t="shared" ref="L110:L118" si="24">TRUNC(F110*K110,2)</f>
        <v>22859.38</v>
      </c>
    </row>
    <row r="111" spans="1:12" s="716" customFormat="1" ht="42.75">
      <c r="A111" s="89" t="s">
        <v>7063</v>
      </c>
      <c r="B111" s="717" t="s">
        <v>14504</v>
      </c>
      <c r="C111" s="74" t="s">
        <v>7189</v>
      </c>
      <c r="D111" s="712" t="str">
        <f>IF(B111="SEPLAG",VLOOKUP(C111,COMPOSIÇÃO,2,FALSE),VLOOKUP(C111,'NAO DESO'!A:B,2,FALSE))</f>
        <v>KIT PORTA PRONTA PRETA LISA SÓLIDA PORMADE O,90X2,10,ACABAMENTO DE COR UNIFORME, MARCOS E ALIZARES EM PVC WOOD, RESISTENTES A ESTUFAMENTOS. FORNECIMENTO E INSTALAÇÃO</v>
      </c>
      <c r="E111" s="76" t="str">
        <f>IF(B111="SEPLAG",VLOOKUP(C111,UNIDADE,3,FALSE),VLOOKUP(C111,'NAO DESO'!A:C,3,FALSE))</f>
        <v>UND</v>
      </c>
      <c r="F111" s="713">
        <f t="shared" si="20"/>
        <v>1</v>
      </c>
      <c r="G111" s="714">
        <f>IF(B111="SEPLAG",VLOOKUP(CONCATENATE("TOTAL DO ITEM NÃO DESON. - ",C111),BASE01,8,FALSE),VLOOKUP(C111,'NAO DESO'!A:D,4,FALSE))</f>
        <v>2545.5200000000004</v>
      </c>
      <c r="H111" s="715">
        <f t="shared" si="21"/>
        <v>3111.29</v>
      </c>
      <c r="I111" s="715">
        <f t="shared" si="22"/>
        <v>3111.29</v>
      </c>
      <c r="J111" s="715">
        <f>IF(B111="SEPLAG",VLOOKUP(CONCATENATE("TOTAL DO ITEM DESON. - ",C111),BASE02,10,FALSE),VLOOKUP(C111,DESON!A:D,4,FALSE))</f>
        <v>2544.36</v>
      </c>
      <c r="K111" s="715">
        <f t="shared" si="23"/>
        <v>3265.6269015486378</v>
      </c>
      <c r="L111" s="715">
        <f t="shared" si="24"/>
        <v>3265.62</v>
      </c>
    </row>
    <row r="112" spans="1:12" s="716" customFormat="1" ht="42.75">
      <c r="A112" s="89" t="s">
        <v>7064</v>
      </c>
      <c r="B112" s="717" t="s">
        <v>14504</v>
      </c>
      <c r="C112" s="74" t="s">
        <v>367</v>
      </c>
      <c r="D112" s="712" t="str">
        <f>IF(B112="SEPLAG",VLOOKUP(C112,COMPOSIÇÃO,2,FALSE),VLOOKUP(C112,'NAO DESO'!A:B,2,FALSE))</f>
        <v>PORTA PIVOTANTE DE VIDRO TEMPERADO, 2 FOLHAS DE 80X210 CM, ESPESSURA DE 10MM, INCLUSIVE ACESSÓRIOS. FORNECIMENTO E INSTALAÇÃO. AF_01/2021</v>
      </c>
      <c r="E112" s="76" t="str">
        <f>IF(B112="SEPLAG",VLOOKUP(C112,UNIDADE,3,FALSE),VLOOKUP(C112,'NAO DESO'!A:C,3,FALSE))</f>
        <v>UND</v>
      </c>
      <c r="F112" s="713">
        <f t="shared" si="20"/>
        <v>1</v>
      </c>
      <c r="G112" s="714">
        <f>IF(B112="SEPLAG",VLOOKUP(CONCATENATE("TOTAL DO ITEM NÃO DESON. - ",C112),BASE01,8,FALSE),VLOOKUP(C112,'NAO DESO'!A:D,4,FALSE))</f>
        <v>2109.77</v>
      </c>
      <c r="H112" s="715">
        <f t="shared" si="21"/>
        <v>2578.69</v>
      </c>
      <c r="I112" s="715">
        <f t="shared" si="22"/>
        <v>2578.69</v>
      </c>
      <c r="J112" s="715">
        <f>IF(B112="SEPLAG",VLOOKUP(CONCATENATE("TOTAL DO ITEM DESON. - ",C112),BASE02,10,FALSE),VLOOKUP(C112,DESON!A:D,4,FALSE))</f>
        <v>2095.25</v>
      </c>
      <c r="K112" s="715">
        <f t="shared" si="23"/>
        <v>2689.2046587235227</v>
      </c>
      <c r="L112" s="715">
        <f t="shared" si="24"/>
        <v>2689.2</v>
      </c>
    </row>
    <row r="113" spans="1:12" s="716" customFormat="1" ht="42.75">
      <c r="A113" s="89" t="s">
        <v>7618</v>
      </c>
      <c r="B113" s="717" t="s">
        <v>14504</v>
      </c>
      <c r="C113" s="74" t="s">
        <v>13859</v>
      </c>
      <c r="D113" s="712" t="str">
        <f>IF(B113="SEPLAG",VLOOKUP(C113,COMPOSIÇÃO,2,FALSE),VLOOKUP(C113,'NAO DESO'!A:B,2,FALSE))</f>
        <v>PORTA PIVOTANTE DE VIDRO TEMPERADO E ALUMINIO, 2 FOLHAS DE 100X250 CM, ESPESSURA DE 10MM, INCLUSIVE ACESSÓRIOS. FORNCECIMENTO E INSTALAÇÃO. AF_01/2021</v>
      </c>
      <c r="E113" s="76" t="str">
        <f>IF(B113="SEPLAG",VLOOKUP(C113,UNIDADE,3,FALSE),VLOOKUP(C113,'NAO DESO'!A:C,3,FALSE))</f>
        <v>UND</v>
      </c>
      <c r="F113" s="713">
        <f t="shared" si="20"/>
        <v>1</v>
      </c>
      <c r="G113" s="714">
        <f>IF(B113="SEPLAG",VLOOKUP(CONCATENATE("TOTAL DO ITEM NÃO DESON. - ",C113),BASE01,8,FALSE),VLOOKUP(C113,'NAO DESO'!A:D,4,FALSE))</f>
        <v>2929.77</v>
      </c>
      <c r="H113" s="715">
        <f t="shared" si="21"/>
        <v>3580.94</v>
      </c>
      <c r="I113" s="715">
        <f t="shared" si="22"/>
        <v>3580.94</v>
      </c>
      <c r="J113" s="715">
        <f>IF(B113="SEPLAG",VLOOKUP(CONCATENATE("TOTAL DO ITEM DESON. - ",C113),BASE02,10,FALSE),VLOOKUP(C113,DESON!A:D,4,FALSE))</f>
        <v>2915.25</v>
      </c>
      <c r="K113" s="715">
        <f t="shared" si="23"/>
        <v>3741.6555930527384</v>
      </c>
      <c r="L113" s="715">
        <f t="shared" si="24"/>
        <v>3741.65</v>
      </c>
    </row>
    <row r="114" spans="1:12" s="716" customFormat="1" ht="28.5">
      <c r="A114" s="89" t="s">
        <v>13857</v>
      </c>
      <c r="B114" s="717" t="s">
        <v>79</v>
      </c>
      <c r="C114" s="74">
        <v>100701</v>
      </c>
      <c r="D114" s="712" t="str">
        <f>IF(B114="SEPLAG",VLOOKUP(C114,COMPOSIÇÃO,2,FALSE),VLOOKUP(C114,'NAO DESO'!A:B,2,FALSE))</f>
        <v>PORTA DE FERRO, DE ABRIR, TIPO GRADE COM CHAPA, COM GUARNIÇÕES. AF_12/2019</v>
      </c>
      <c r="E114" s="76" t="str">
        <f>IF(B114="SEPLAG",VLOOKUP(C114,UNIDADE,3,FALSE),VLOOKUP(C114,'NAO DESO'!A:C,3,FALSE))</f>
        <v>M2</v>
      </c>
      <c r="F114" s="713">
        <f t="shared" si="20"/>
        <v>1.04</v>
      </c>
      <c r="G114" s="714" t="str">
        <f>IF(B114="SEPLAG",VLOOKUP(CONCATENATE("TOTAL DO ITEM NÃO DESON. - ",C114),BASE01,8,FALSE),VLOOKUP(C114,'NAO DESO'!A:D,4,FALSE))</f>
        <v>555,53</v>
      </c>
      <c r="H114" s="715">
        <f t="shared" si="21"/>
        <v>679</v>
      </c>
      <c r="I114" s="715">
        <f t="shared" si="22"/>
        <v>706.16</v>
      </c>
      <c r="J114" s="715" t="str">
        <f>IF(B114="SEPLAG",VLOOKUP(CONCATENATE("TOTAL DO ITEM DESON. - ",C114),BASE02,10,FALSE),VLOOKUP(C114,DESON!A:D,4,FALSE))</f>
        <v>553,95</v>
      </c>
      <c r="K114" s="715">
        <f t="shared" si="23"/>
        <v>710.98194520935238</v>
      </c>
      <c r="L114" s="715">
        <f t="shared" si="24"/>
        <v>739.42</v>
      </c>
    </row>
    <row r="115" spans="1:12" s="716" customFormat="1" ht="28.5">
      <c r="A115" s="89" t="s">
        <v>13862</v>
      </c>
      <c r="B115" s="717" t="s">
        <v>14504</v>
      </c>
      <c r="C115" s="74" t="s">
        <v>7098</v>
      </c>
      <c r="D115" s="712" t="str">
        <f>IF(B115="SEPLAG",VLOOKUP(C115,COMPOSIÇÃO,2,FALSE),VLOOKUP(C115,'NAO DESO'!A:B,2,FALSE))</f>
        <v>PELÍCULA DE SEGURANÇA PARA PAINES DE VIDRO, FONECIMENTO E INSTALAÇÃO.</v>
      </c>
      <c r="E115" s="76" t="str">
        <f>IF(B115="SEPLAG",VLOOKUP(C115,UNIDADE,3,FALSE),VLOOKUP(C115,'NAO DESO'!A:C,3,FALSE))</f>
        <v>m²</v>
      </c>
      <c r="F115" s="713">
        <f t="shared" si="20"/>
        <v>8.36</v>
      </c>
      <c r="G115" s="714">
        <f>IF(B115="SEPLAG",VLOOKUP(CONCATENATE("TOTAL DO ITEM NÃO DESON. - ",C115),BASE01,8,FALSE),VLOOKUP(C115,'NAO DESO'!A:D,4,FALSE))</f>
        <v>59.8</v>
      </c>
      <c r="H115" s="715">
        <f t="shared" si="21"/>
        <v>73.09</v>
      </c>
      <c r="I115" s="715">
        <f t="shared" si="22"/>
        <v>611.03</v>
      </c>
      <c r="J115" s="715">
        <f>IF(B115="SEPLAG",VLOOKUP(CONCATENATE("TOTAL DO ITEM DESON. - ",C115),BASE02,10,FALSE),VLOOKUP(C115,DESON!A:D,4,FALSE))</f>
        <v>59.209999999999994</v>
      </c>
      <c r="K115" s="715">
        <f t="shared" si="23"/>
        <v>75.994658319064442</v>
      </c>
      <c r="L115" s="715">
        <f t="shared" si="24"/>
        <v>635.30999999999995</v>
      </c>
    </row>
    <row r="116" spans="1:12" s="716" customFormat="1" ht="28.5">
      <c r="A116" s="89" t="s">
        <v>13863</v>
      </c>
      <c r="B116" s="717" t="s">
        <v>79</v>
      </c>
      <c r="C116" s="74">
        <v>100716</v>
      </c>
      <c r="D116" s="712" t="str">
        <f>IF(B116="SEPLAG",VLOOKUP(C116,COMPOSIÇÃO,2,FALSE),VLOOKUP(C116,'NAO DESO'!A:B,2,FALSE))</f>
        <v>JATEAMENTO ABRASIVO COM GRANALHA DE AÇO EM PERFIL METÁLICO EM FÁBRICA. AF_01/2020</v>
      </c>
      <c r="E116" s="76" t="str">
        <f>IF(B116="SEPLAG",VLOOKUP(C116,UNIDADE,3,FALSE),VLOOKUP(C116,'NAO DESO'!A:C,3,FALSE))</f>
        <v>M2</v>
      </c>
      <c r="F116" s="713">
        <f t="shared" si="20"/>
        <v>1.08</v>
      </c>
      <c r="G116" s="714" t="str">
        <f>IF(B116="SEPLAG",VLOOKUP(CONCATENATE("TOTAL DO ITEM NÃO DESON. - ",C116),BASE01,8,FALSE),VLOOKUP(C116,'NAO DESO'!A:D,4,FALSE))</f>
        <v>25,02</v>
      </c>
      <c r="H116" s="715">
        <f t="shared" si="21"/>
        <v>30.58</v>
      </c>
      <c r="I116" s="715">
        <f t="shared" si="22"/>
        <v>33.020000000000003</v>
      </c>
      <c r="J116" s="715" t="str">
        <f>IF(B116="SEPLAG",VLOOKUP(CONCATENATE("TOTAL DO ITEM DESON. - ",C116),BASE02,10,FALSE),VLOOKUP(C116,DESON!A:D,4,FALSE))</f>
        <v>24,72</v>
      </c>
      <c r="K116" s="715">
        <f t="shared" si="23"/>
        <v>31.727545239778298</v>
      </c>
      <c r="L116" s="715">
        <f t="shared" si="24"/>
        <v>34.26</v>
      </c>
    </row>
    <row r="117" spans="1:12" s="716" customFormat="1" ht="28.5">
      <c r="A117" s="89" t="s">
        <v>13868</v>
      </c>
      <c r="B117" s="717" t="s">
        <v>14504</v>
      </c>
      <c r="C117" s="74" t="s">
        <v>13117</v>
      </c>
      <c r="D117" s="712" t="str">
        <f>IF(B117="SEPLAG",VLOOKUP(C117,COMPOSIÇÃO,2,FALSE),VLOOKUP(C117,'NAO DESO'!A:B,2,FALSE))</f>
        <v>CHAPA DE AÇO INOX PARA PROTEÇÃO DAS PORTAS DOS BANHEIROS (PCD) - 2 FACES. FORNECIMENTO E INSTALAÇÃO.</v>
      </c>
      <c r="E117" s="76" t="str">
        <f>IF(B117="SEPLAG",VLOOKUP(C117,UNIDADE,3,FALSE),VLOOKUP(C117,'NAO DESO'!A:C,3,FALSE))</f>
        <v>m</v>
      </c>
      <c r="F117" s="713">
        <f t="shared" si="20"/>
        <v>0.9</v>
      </c>
      <c r="G117" s="714">
        <f>IF(B117="SEPLAG",VLOOKUP(CONCATENATE("TOTAL DO ITEM NÃO DESON. - ",C117),BASE01,8,FALSE),VLOOKUP(C117,'NAO DESO'!A:D,4,FALSE))</f>
        <v>139.19999999999999</v>
      </c>
      <c r="H117" s="715">
        <f t="shared" si="21"/>
        <v>170.13</v>
      </c>
      <c r="I117" s="715">
        <f t="shared" si="22"/>
        <v>153.11000000000001</v>
      </c>
      <c r="J117" s="715">
        <f>IF(B117="SEPLAG",VLOOKUP(CONCATENATE("TOTAL DO ITEM DESON. - ",C117),BASE02,10,FALSE),VLOOKUP(C117,DESON!A:D,4,FALSE))</f>
        <v>138.07999999999998</v>
      </c>
      <c r="K117" s="715">
        <f t="shared" si="23"/>
        <v>177.2224695270464</v>
      </c>
      <c r="L117" s="715">
        <f t="shared" si="24"/>
        <v>159.5</v>
      </c>
    </row>
    <row r="118" spans="1:12" s="716" customFormat="1" ht="28.5">
      <c r="A118" s="89" t="s">
        <v>14244</v>
      </c>
      <c r="B118" s="717" t="s">
        <v>79</v>
      </c>
      <c r="C118" s="74">
        <v>100874</v>
      </c>
      <c r="D118" s="712" t="str">
        <f>IF(B118="SEPLAG",VLOOKUP(C118,COMPOSIÇÃO,2,FALSE),VLOOKUP(C118,'NAO DESO'!A:B,2,FALSE))</f>
        <v>PUXADOR PARA PCD, FIXADO NA PORTA - FORNECIMENTO E INSTALAÇÃO. AF_01/2020</v>
      </c>
      <c r="E118" s="76" t="str">
        <f>IF(B118="SEPLAG",VLOOKUP(C118,UNIDADE,3,FALSE),VLOOKUP(C118,'NAO DESO'!A:C,3,FALSE))</f>
        <v>UN</v>
      </c>
      <c r="F118" s="713">
        <f t="shared" si="20"/>
        <v>2</v>
      </c>
      <c r="G118" s="714" t="str">
        <f>IF(B118="SEPLAG",VLOOKUP(CONCATENATE("TOTAL DO ITEM NÃO DESON. - ",C118),BASE01,8,FALSE),VLOOKUP(C118,'NAO DESO'!A:D,4,FALSE))</f>
        <v>342,60</v>
      </c>
      <c r="H118" s="715">
        <f t="shared" si="21"/>
        <v>418.74</v>
      </c>
      <c r="I118" s="715">
        <f t="shared" si="22"/>
        <v>837.48</v>
      </c>
      <c r="J118" s="715" t="str">
        <f>IF(B118="SEPLAG",VLOOKUP(CONCATENATE("TOTAL DO ITEM DESON. - ",C118),BASE02,10,FALSE),VLOOKUP(C118,DESON!A:D,4,FALSE))</f>
        <v>339,91</v>
      </c>
      <c r="K118" s="715">
        <f t="shared" si="23"/>
        <v>436.2665818144435</v>
      </c>
      <c r="L118" s="715">
        <f t="shared" si="24"/>
        <v>872.53</v>
      </c>
    </row>
    <row r="119" spans="1:12" s="716" customFormat="1">
      <c r="A119" s="725" t="str">
        <f>CONCATENATE("TOTAL DO ITEM &gt;&gt;&gt;&gt;",A109)</f>
        <v>TOTAL DO ITEM &gt;&gt;&gt;&gt;4.3</v>
      </c>
      <c r="B119" s="726"/>
      <c r="C119" s="726"/>
      <c r="D119" s="726"/>
      <c r="E119" s="726"/>
      <c r="F119" s="726"/>
      <c r="G119" s="726"/>
      <c r="H119" s="726"/>
      <c r="I119" s="757">
        <f>SUM(I110:I118)</f>
        <v>33390.75</v>
      </c>
      <c r="J119" s="749"/>
      <c r="K119" s="749"/>
      <c r="L119" s="757">
        <f>SUM(L110:L118)</f>
        <v>34996.870000000003</v>
      </c>
    </row>
    <row r="120" spans="1:12" s="716" customFormat="1">
      <c r="A120" s="778"/>
      <c r="B120" s="779"/>
      <c r="C120" s="779"/>
      <c r="D120" s="779"/>
      <c r="E120" s="779"/>
      <c r="F120" s="779"/>
      <c r="G120" s="779"/>
      <c r="H120" s="779"/>
      <c r="I120" s="779"/>
      <c r="J120" s="779"/>
      <c r="K120" s="779"/>
      <c r="L120" s="780"/>
    </row>
    <row r="121" spans="1:12" s="716" customFormat="1">
      <c r="A121" s="729" t="s">
        <v>65</v>
      </c>
      <c r="B121" s="775"/>
      <c r="C121" s="776"/>
      <c r="D121" s="731" t="s">
        <v>240</v>
      </c>
      <c r="E121" s="730"/>
      <c r="F121" s="733"/>
      <c r="G121" s="777"/>
      <c r="H121" s="733"/>
      <c r="I121" s="733"/>
      <c r="J121" s="732"/>
      <c r="K121" s="732"/>
      <c r="L121" s="732"/>
    </row>
    <row r="122" spans="1:12" s="716" customFormat="1" ht="28.5">
      <c r="A122" s="89" t="s">
        <v>7065</v>
      </c>
      <c r="B122" s="717" t="s">
        <v>14504</v>
      </c>
      <c r="C122" s="74" t="str">
        <f>COMPOSIÇÕES!C2341</f>
        <v>SEPLAG  ARQ 153</v>
      </c>
      <c r="D122" s="712" t="str">
        <f>IF(B122="SEPLAG",VLOOKUP(C122,COMPOSIÇÃO,2,FALSE),VLOOKUP(C122,'NAO DESO'!A:B,2,FALSE))</f>
        <v>J01 (E.G) - JANELA MAXIN AR 3,80 x 2,55 (3 JANELAS DE 1,20). FORNECIMENTO E INSTALAÇÃO.</v>
      </c>
      <c r="E122" s="76" t="str">
        <f>IF(B122="SEPLAG",VLOOKUP(C122,UNIDADE,3,FALSE),VLOOKUP(C122,'NAO DESO'!A:C,3,FALSE))</f>
        <v>und</v>
      </c>
      <c r="F122" s="713">
        <f t="shared" ref="F122:F127" si="25">VLOOKUP(A122,MEMÓRIA,6,FALSE)</f>
        <v>2</v>
      </c>
      <c r="G122" s="714">
        <f>IF(B122="SEPLAG",VLOOKUP(CONCATENATE("TOTAL DO ITEM NÃO DESON. - ",C122),BASE01,8,FALSE),VLOOKUP(C122,'NAO DESO'!A:D,4,FALSE))</f>
        <v>5157.0200000000004</v>
      </c>
      <c r="H122" s="715">
        <f t="shared" ref="H122:H127" si="26">TRUNC(G122+G122*$K$6,2)</f>
        <v>6303.22</v>
      </c>
      <c r="I122" s="715">
        <f t="shared" ref="I122:I127" si="27">TRUNC(F122*H122,2)</f>
        <v>12606.44</v>
      </c>
      <c r="J122" s="715">
        <f>IF(B122="SEPLAG",VLOOKUP(CONCATENATE("TOTAL DO ITEM DESON. - ",C122),BASE02,10,FALSE),VLOOKUP(C122,DESON!A:D,4,FALSE))</f>
        <v>5098.67</v>
      </c>
      <c r="K122" s="715">
        <f t="shared" ref="K122:K127" si="28">J122+J122*$L$6</f>
        <v>6544.0243967516353</v>
      </c>
      <c r="L122" s="715">
        <f t="shared" ref="L122:L127" si="29">TRUNC(F122*K122,2)</f>
        <v>13088.04</v>
      </c>
    </row>
    <row r="123" spans="1:12" s="716" customFormat="1" ht="28.5">
      <c r="A123" s="89" t="s">
        <v>7066</v>
      </c>
      <c r="B123" s="717" t="s">
        <v>14504</v>
      </c>
      <c r="C123" s="74" t="str">
        <f>COMPOSIÇÕES!C2361</f>
        <v>SEPLAG  ARQ 154</v>
      </c>
      <c r="D123" s="712" t="str">
        <f>IF(B123="SEPLAG",VLOOKUP(C123,COMPOSIÇÃO,2,FALSE),VLOOKUP(C123,'NAO DESO'!A:B,2,FALSE))</f>
        <v>J08 (E.G) - JANELA MAXIN AR 1,53 x 4,85 (1 JANELAS DE 3MODULOS 1,53). FORNECIMENTO E INSTALAÇÃO.</v>
      </c>
      <c r="E123" s="76" t="str">
        <f>IF(B123="SEPLAG",VLOOKUP(C123,UNIDADE,3,FALSE),VLOOKUP(C123,'NAO DESO'!A:C,3,FALSE))</f>
        <v>und</v>
      </c>
      <c r="F123" s="713">
        <f t="shared" si="25"/>
        <v>1</v>
      </c>
      <c r="G123" s="714">
        <f>IF(B123="SEPLAG",VLOOKUP(CONCATENATE("TOTAL DO ITEM NÃO DESON. - ",C123),BASE01,8,FALSE),VLOOKUP(C123,'NAO DESO'!A:D,4,FALSE))</f>
        <v>4032.41</v>
      </c>
      <c r="H123" s="715">
        <f t="shared" si="26"/>
        <v>4928.66</v>
      </c>
      <c r="I123" s="715">
        <f t="shared" si="27"/>
        <v>4928.66</v>
      </c>
      <c r="J123" s="715">
        <f>IF(B123="SEPLAG",VLOOKUP(CONCATENATE("TOTAL DO ITEM DESON. - ",C123),BASE02,10,FALSE),VLOOKUP(C123,DESON!A:D,4,FALSE))</f>
        <v>3993.5099999999998</v>
      </c>
      <c r="K123" s="715">
        <f t="shared" si="28"/>
        <v>5125.5772326256892</v>
      </c>
      <c r="L123" s="715">
        <f t="shared" si="29"/>
        <v>5125.57</v>
      </c>
    </row>
    <row r="124" spans="1:12" s="716" customFormat="1" ht="28.5">
      <c r="A124" s="89" t="s">
        <v>7067</v>
      </c>
      <c r="B124" s="717" t="s">
        <v>14504</v>
      </c>
      <c r="C124" s="74" t="str">
        <f>COMPOSIÇÕES!C743</f>
        <v>SEPLAG  ARQ 68</v>
      </c>
      <c r="D124" s="712" t="str">
        <f>IF(B124="SEPLAG",VLOOKUP(C124,COMPOSIÇÃO,2,FALSE),VLOOKUP(C124,'NAO DESO'!A:B,2,FALSE))</f>
        <v>J02- JANELA MAXIN AR 12,60 x 1,70 (12 JANELAS DE 1,05). FORNECIMENTO E INSTALAÇÃO.</v>
      </c>
      <c r="E124" s="76" t="str">
        <f>IF(B124="SEPLAG",VLOOKUP(C124,UNIDADE,3,FALSE),VLOOKUP(C124,'NAO DESO'!A:C,3,FALSE))</f>
        <v>und</v>
      </c>
      <c r="F124" s="713">
        <f t="shared" si="25"/>
        <v>1</v>
      </c>
      <c r="G124" s="714">
        <f>IF(B124="SEPLAG",VLOOKUP(CONCATENATE("TOTAL DO ITEM NÃO DESON. - ",C124),BASE01,8,FALSE),VLOOKUP(C124,'NAO DESO'!A:D,4,FALSE))</f>
        <v>16791.59</v>
      </c>
      <c r="H124" s="715">
        <f t="shared" si="26"/>
        <v>20523.71</v>
      </c>
      <c r="I124" s="715">
        <f t="shared" si="27"/>
        <v>20523.71</v>
      </c>
      <c r="J124" s="715">
        <f>IF(B124="SEPLAG",VLOOKUP(CONCATENATE("TOTAL DO ITEM DESON. - ",C124),BASE02,10,FALSE),VLOOKUP(C124,DESON!A:D,4,FALSE))</f>
        <v>16519.96</v>
      </c>
      <c r="K124" s="715">
        <f t="shared" si="28"/>
        <v>21202.984557416177</v>
      </c>
      <c r="L124" s="715">
        <f t="shared" si="29"/>
        <v>21202.98</v>
      </c>
    </row>
    <row r="125" spans="1:12" s="716" customFormat="1" ht="28.5">
      <c r="A125" s="89" t="s">
        <v>14603</v>
      </c>
      <c r="B125" s="717" t="s">
        <v>14504</v>
      </c>
      <c r="C125" s="74" t="str">
        <f>COMPOSIÇÕES!C970</f>
        <v>SEPLAG  ARQ 76</v>
      </c>
      <c r="D125" s="712" t="str">
        <f>IF(B125="SEPLAG",VLOOKUP(C125,COMPOSIÇÃO,2,FALSE),VLOOKUP(C125,'NAO DESO'!A:B,2,FALSE))</f>
        <v>J04- JANELA MAXIN AR 1,00 x 1,70 FORNECIMENTO E INSTALAÇÃO. FORNECIMENTO E INSTALAÇÃO.</v>
      </c>
      <c r="E125" s="76" t="str">
        <f>IF(B125="SEPLAG",VLOOKUP(C125,UNIDADE,3,FALSE),VLOOKUP(C125,'NAO DESO'!A:C,3,FALSE))</f>
        <v>und</v>
      </c>
      <c r="F125" s="713">
        <f t="shared" si="25"/>
        <v>1</v>
      </c>
      <c r="G125" s="714">
        <f>IF(B125="SEPLAG",VLOOKUP(CONCATENATE("TOTAL DO ITEM NÃO DESON. - ",C125),BASE01,8,FALSE),VLOOKUP(C125,'NAO DESO'!A:D,4,FALSE))</f>
        <v>1159.0600000000002</v>
      </c>
      <c r="H125" s="715">
        <f t="shared" si="26"/>
        <v>1416.67</v>
      </c>
      <c r="I125" s="715">
        <f t="shared" si="27"/>
        <v>1416.67</v>
      </c>
      <c r="J125" s="715">
        <f>IF(B125="SEPLAG",VLOOKUP(CONCATENATE("TOTAL DO ITEM DESON. - ",C125),BASE02,10,FALSE),VLOOKUP(C125,DESON!A:D,4,FALSE))</f>
        <v>1145.1000000000001</v>
      </c>
      <c r="K125" s="715">
        <f t="shared" si="28"/>
        <v>1469.7092254882741</v>
      </c>
      <c r="L125" s="715">
        <f t="shared" si="29"/>
        <v>1469.7</v>
      </c>
    </row>
    <row r="126" spans="1:12" s="716" customFormat="1" ht="28.5">
      <c r="A126" s="89" t="s">
        <v>14654</v>
      </c>
      <c r="B126" s="717" t="s">
        <v>79</v>
      </c>
      <c r="C126" s="74">
        <v>102168</v>
      </c>
      <c r="D126" s="712" t="str">
        <f>IF(B126="SEPLAG",VLOOKUP(C126,COMPOSIÇÃO,2,FALSE),VLOOKUP(C126,'NAO DESO'!A:B,2,FALSE))</f>
        <v>INSTALAÇÃO DE VIDRO LISO INCOLOR, E = 8 MM, EM ESQUADRIA DE ALUMÍNIO OU PVC, FIXADO COM BAGUETE. AF_01/2021_P</v>
      </c>
      <c r="E126" s="76" t="str">
        <f>IF(B126="SEPLAG",VLOOKUP(C126,UNIDADE,3,FALSE),VLOOKUP(C126,'NAO DESO'!A:C,3,FALSE))</f>
        <v>M2</v>
      </c>
      <c r="F126" s="713">
        <f t="shared" si="25"/>
        <v>3.87</v>
      </c>
      <c r="G126" s="714" t="str">
        <f>IF(B126="SEPLAG",VLOOKUP(CONCATENATE("TOTAL DO ITEM NÃO DESON. - ",C126),BASE01,8,FALSE),VLOOKUP(C126,'NAO DESO'!A:D,4,FALSE))</f>
        <v>547,45</v>
      </c>
      <c r="H126" s="715">
        <f t="shared" si="26"/>
        <v>669.12</v>
      </c>
      <c r="I126" s="715">
        <f t="shared" si="27"/>
        <v>2589.4899999999998</v>
      </c>
      <c r="J126" s="715" t="str">
        <f>IF(B126="SEPLAG",VLOOKUP(CONCATENATE("TOTAL DO ITEM DESON. - ",C126),BASE02,10,FALSE),VLOOKUP(C126,DESON!A:D,4,FALSE))</f>
        <v>546,19</v>
      </c>
      <c r="K126" s="715">
        <f t="shared" si="28"/>
        <v>701.02216563570028</v>
      </c>
      <c r="L126" s="715">
        <f t="shared" si="29"/>
        <v>2712.95</v>
      </c>
    </row>
    <row r="127" spans="1:12" s="716" customFormat="1" ht="28.5">
      <c r="A127" s="89" t="s">
        <v>14655</v>
      </c>
      <c r="B127" s="717" t="s">
        <v>14504</v>
      </c>
      <c r="C127" s="74" t="s">
        <v>7098</v>
      </c>
      <c r="D127" s="712" t="str">
        <f>IF(B127="SEPLAG",VLOOKUP(C127,COMPOSIÇÃO,2,FALSE),VLOOKUP(C127,'NAO DESO'!A:B,2,FALSE))</f>
        <v>PELÍCULA DE SEGURANÇA PARA PAINES DE VIDRO, FONECIMENTO E INSTALAÇÃO.</v>
      </c>
      <c r="E127" s="76" t="str">
        <f>IF(B127="SEPLAG",VLOOKUP(C127,UNIDADE,3,FALSE),VLOOKUP(C127,'NAO DESO'!A:C,3,FALSE))</f>
        <v>m²</v>
      </c>
      <c r="F127" s="713">
        <f t="shared" si="25"/>
        <v>44.100499999999997</v>
      </c>
      <c r="G127" s="714">
        <f>IF(B127="SEPLAG",VLOOKUP(CONCATENATE("TOTAL DO ITEM NÃO DESON. - ",C127),BASE01,8,FALSE),VLOOKUP(C127,'NAO DESO'!A:D,4,FALSE))</f>
        <v>59.8</v>
      </c>
      <c r="H127" s="715">
        <f t="shared" si="26"/>
        <v>73.09</v>
      </c>
      <c r="I127" s="715">
        <f t="shared" si="27"/>
        <v>3223.3</v>
      </c>
      <c r="J127" s="715">
        <f>IF(B127="SEPLAG",VLOOKUP(CONCATENATE("TOTAL DO ITEM DESON. - ",C127),BASE02,10,FALSE),VLOOKUP(C127,DESON!A:D,4,FALSE))</f>
        <v>59.209999999999994</v>
      </c>
      <c r="K127" s="715">
        <f t="shared" si="28"/>
        <v>75.994658319064442</v>
      </c>
      <c r="L127" s="715">
        <f t="shared" si="29"/>
        <v>3351.4</v>
      </c>
    </row>
    <row r="128" spans="1:12" s="716" customFormat="1">
      <c r="A128" s="725" t="str">
        <f>CONCATENATE("TOTAL DO ITEM &gt;&gt;&gt;&gt;",A121)</f>
        <v>TOTAL DO ITEM &gt;&gt;&gt;&gt;4.4</v>
      </c>
      <c r="B128" s="726"/>
      <c r="C128" s="726"/>
      <c r="D128" s="726"/>
      <c r="E128" s="726"/>
      <c r="F128" s="726"/>
      <c r="G128" s="726"/>
      <c r="H128" s="726"/>
      <c r="I128" s="757">
        <f>SUM(I122:I127)</f>
        <v>45288.27</v>
      </c>
      <c r="J128" s="749"/>
      <c r="K128" s="749"/>
      <c r="L128" s="757">
        <f>SUM(L122:L127)</f>
        <v>46950.639999999992</v>
      </c>
    </row>
    <row r="129" spans="1:12" s="716" customFormat="1">
      <c r="A129" s="699"/>
      <c r="B129" s="700"/>
      <c r="C129" s="700"/>
      <c r="D129" s="700"/>
      <c r="E129" s="700"/>
      <c r="F129" s="700"/>
      <c r="G129" s="700"/>
      <c r="H129" s="700"/>
      <c r="I129" s="781"/>
      <c r="J129" s="782"/>
      <c r="K129" s="782"/>
      <c r="L129" s="783"/>
    </row>
    <row r="130" spans="1:12" s="308" customFormat="1">
      <c r="A130" s="729" t="s">
        <v>14706</v>
      </c>
      <c r="B130" s="754"/>
      <c r="C130" s="754"/>
      <c r="D130" s="729" t="s">
        <v>80</v>
      </c>
      <c r="E130" s="754"/>
      <c r="F130" s="755"/>
      <c r="G130" s="755"/>
      <c r="H130" s="755"/>
      <c r="I130" s="758"/>
      <c r="J130" s="733"/>
      <c r="K130" s="732"/>
      <c r="L130" s="758"/>
    </row>
    <row r="131" spans="1:12" s="308" customFormat="1" ht="28.5">
      <c r="A131" s="89" t="s">
        <v>14707</v>
      </c>
      <c r="B131" s="717" t="s">
        <v>79</v>
      </c>
      <c r="C131" s="74">
        <v>88485</v>
      </c>
      <c r="D131" s="712" t="str">
        <f>IF(B131="SEPLAG",VLOOKUP(C131,COMPOSIÇÃO,2,FALSE),VLOOKUP(C131,'NAO DESO'!A:B,2,FALSE))</f>
        <v>APLICAÇÃO DE FUNDO SELADOR ACRÍLICO EM PAREDES, UMA DEMÃO. AF_06/2014</v>
      </c>
      <c r="E131" s="76" t="str">
        <f>IF(B131="SEPLAG",VLOOKUP(C131,UNIDADE,3,FALSE),VLOOKUP(C131,'NAO DESO'!A:C,3,FALSE))</f>
        <v>M2</v>
      </c>
      <c r="F131" s="713">
        <f>VLOOKUP(A131,MEMÓRIA,6,FALSE)</f>
        <v>840.82</v>
      </c>
      <c r="G131" s="714" t="str">
        <f>IF(B131="SEPLAG",VLOOKUP(CONCATENATE("TOTAL DO ITEM NÃO DESON. - ",C131),BASE01,8,FALSE),VLOOKUP(C131,'NAO DESO'!A:D,4,FALSE))</f>
        <v>1,80</v>
      </c>
      <c r="H131" s="715">
        <f>TRUNC(G131+G131*$K$6,2)</f>
        <v>2.2000000000000002</v>
      </c>
      <c r="I131" s="715">
        <f>TRUNC(F131*H131,2)</f>
        <v>1849.8</v>
      </c>
      <c r="J131" s="715" t="str">
        <f>IF(B131="SEPLAG",VLOOKUP(CONCATENATE("TOTAL DO ITEM DESON. - ",C131),BASE02,10,FALSE),VLOOKUP(C131,DESON!A:D,4,FALSE))</f>
        <v>1,69</v>
      </c>
      <c r="K131" s="715">
        <f>J131+J131*$L$6</f>
        <v>2.1690757061175292</v>
      </c>
      <c r="L131" s="715">
        <f>TRUNC(F131*K131,2)</f>
        <v>1823.8</v>
      </c>
    </row>
    <row r="132" spans="1:12" s="308" customFormat="1" ht="42.75">
      <c r="A132" s="89" t="s">
        <v>14708</v>
      </c>
      <c r="B132" s="717" t="s">
        <v>79</v>
      </c>
      <c r="C132" s="74">
        <v>96126</v>
      </c>
      <c r="D132" s="712" t="str">
        <f>IF(B132="SEPLAG",VLOOKUP(C132,COMPOSIÇÃO,2,FALSE),VLOOKUP(C132,'NAO DESO'!A:B,2,FALSE))</f>
        <v>APLICAÇÃO MANUAL DE MASSA ACRÍLICA EM PANOS DE FACHADA COM PRESENÇA DE VÃOS, DE EDIFÍCIOS DE MÚLTIPLOS PAVIMENTOS, UMA DEMÃO. AF_05/2017</v>
      </c>
      <c r="E132" s="76" t="str">
        <f>IF(B132="SEPLAG",VLOOKUP(C132,UNIDADE,3,FALSE),VLOOKUP(C132,'NAO DESO'!A:C,3,FALSE))</f>
        <v>M2</v>
      </c>
      <c r="F132" s="713">
        <f>VLOOKUP(A132,MEMÓRIA,6,FALSE)</f>
        <v>840.82</v>
      </c>
      <c r="G132" s="714" t="str">
        <f>IF(B132="SEPLAG",VLOOKUP(CONCATENATE("TOTAL DO ITEM NÃO DESON. - ",C132),BASE01,8,FALSE),VLOOKUP(C132,'NAO DESO'!A:D,4,FALSE))</f>
        <v>16,48</v>
      </c>
      <c r="H132" s="715">
        <f>TRUNC(G132+G132*$K$6,2)</f>
        <v>20.14</v>
      </c>
      <c r="I132" s="715">
        <f>TRUNC(F132*H132,2)</f>
        <v>16934.11</v>
      </c>
      <c r="J132" s="715" t="str">
        <f>IF(B132="SEPLAG",VLOOKUP(CONCATENATE("TOTAL DO ITEM DESON. - ",C132),BASE02,10,FALSE),VLOOKUP(C132,DESON!A:D,4,FALSE))</f>
        <v>15,46</v>
      </c>
      <c r="K132" s="715">
        <f>J132+J132*$L$6</f>
        <v>19.842550542353258</v>
      </c>
      <c r="L132" s="715">
        <f>TRUNC(F132*K132,2)</f>
        <v>16684.009999999998</v>
      </c>
    </row>
    <row r="133" spans="1:12" s="308" customFormat="1" ht="28.5">
      <c r="A133" s="89" t="s">
        <v>14709</v>
      </c>
      <c r="B133" s="717" t="s">
        <v>79</v>
      </c>
      <c r="C133" s="74">
        <v>88489</v>
      </c>
      <c r="D133" s="712" t="str">
        <f>IF(B133="SEPLAG",VLOOKUP(C133,COMPOSIÇÃO,2,FALSE),VLOOKUP(C133,'NAO DESO'!A:B,2,FALSE))</f>
        <v>APLICAÇÃO MANUAL DE PINTURA COM TINTA LÁTEX ACRÍLICA EM PAREDES, DUAS DEMÃOS. AF_06/2014</v>
      </c>
      <c r="E133" s="76" t="str">
        <f>IF(B133="SEPLAG",VLOOKUP(C133,UNIDADE,3,FALSE),VLOOKUP(C133,'NAO DESO'!A:C,3,FALSE))</f>
        <v>M2</v>
      </c>
      <c r="F133" s="713">
        <f>VLOOKUP(A133,MEMÓRIA,6,FALSE)</f>
        <v>840.82</v>
      </c>
      <c r="G133" s="714" t="str">
        <f>IF(B133="SEPLAG",VLOOKUP(CONCATENATE("TOTAL DO ITEM NÃO DESON. - ",C133),BASE01,8,FALSE),VLOOKUP(C133,'NAO DESO'!A:D,4,FALSE))</f>
        <v>12,69</v>
      </c>
      <c r="H133" s="715">
        <f>TRUNC(G133+G133*$K$6,2)</f>
        <v>15.51</v>
      </c>
      <c r="I133" s="715">
        <f>TRUNC(F133*H133,2)</f>
        <v>13041.11</v>
      </c>
      <c r="J133" s="715" t="str">
        <f>IF(B133="SEPLAG",VLOOKUP(CONCATENATE("TOTAL DO ITEM DESON. - ",C133),BASE02,10,FALSE),VLOOKUP(C133,DESON!A:D,4,FALSE))</f>
        <v>12,15</v>
      </c>
      <c r="K133" s="715">
        <f>J133+J133*$L$6</f>
        <v>15.594242502560936</v>
      </c>
      <c r="L133" s="715">
        <f>TRUNC(F133*K133,2)</f>
        <v>13111.95</v>
      </c>
    </row>
    <row r="134" spans="1:12" s="308" customFormat="1">
      <c r="A134" s="725" t="str">
        <f>CONCATENATE("TOTAL DO ITEM &gt;&gt;&gt;&gt;",A130)</f>
        <v>TOTAL DO ITEM &gt;&gt;&gt;&gt;4.5</v>
      </c>
      <c r="B134" s="726"/>
      <c r="C134" s="726"/>
      <c r="D134" s="726"/>
      <c r="E134" s="726"/>
      <c r="F134" s="726"/>
      <c r="G134" s="726"/>
      <c r="H134" s="726"/>
      <c r="I134" s="757">
        <f>SUM(I131:I133)</f>
        <v>31825.02</v>
      </c>
      <c r="J134" s="728"/>
      <c r="K134" s="749"/>
      <c r="L134" s="757">
        <f>SUM(L131:L133)</f>
        <v>31619.759999999998</v>
      </c>
    </row>
    <row r="135" spans="1:12" s="716" customFormat="1">
      <c r="A135" s="699"/>
      <c r="B135" s="700"/>
      <c r="C135" s="700"/>
      <c r="D135" s="700"/>
      <c r="E135" s="700"/>
      <c r="F135" s="700"/>
      <c r="G135" s="700"/>
      <c r="H135" s="700"/>
      <c r="I135" s="781"/>
      <c r="J135" s="782"/>
      <c r="K135" s="782"/>
      <c r="L135" s="783"/>
    </row>
    <row r="136" spans="1:12" s="1245" customFormat="1">
      <c r="A136" s="1280" t="str">
        <f>CONCATENATE("TOTAL DO ITEM &gt;&gt;&gt;&gt;",A96)</f>
        <v>TOTAL DO ITEM &gt;&gt;&gt;&gt;4.0</v>
      </c>
      <c r="B136" s="1292"/>
      <c r="C136" s="1292"/>
      <c r="D136" s="1292"/>
      <c r="E136" s="1292"/>
      <c r="F136" s="1292"/>
      <c r="G136" s="1292"/>
      <c r="H136" s="1292"/>
      <c r="I136" s="1303">
        <f>SUM(I128,I119,I107,I102,I134)</f>
        <v>190364.86</v>
      </c>
      <c r="J136" s="1277"/>
      <c r="K136" s="1297"/>
      <c r="L136" s="1303">
        <f>SUM(L128,L119,L107,L102,L134)</f>
        <v>196324.12</v>
      </c>
    </row>
    <row r="137" spans="1:12" s="1304" customFormat="1">
      <c r="A137" s="1283"/>
      <c r="B137" s="1242"/>
      <c r="C137" s="1242"/>
      <c r="D137" s="1242"/>
      <c r="E137" s="1242"/>
      <c r="F137" s="1242"/>
      <c r="G137" s="1242"/>
      <c r="H137" s="1242"/>
      <c r="I137" s="1242"/>
      <c r="J137" s="1242"/>
      <c r="K137" s="1242"/>
      <c r="L137" s="1242"/>
    </row>
    <row r="138" spans="1:12" s="1305" customFormat="1">
      <c r="A138" s="1122" t="s">
        <v>66</v>
      </c>
      <c r="B138" s="1123"/>
      <c r="C138" s="1123"/>
      <c r="D138" s="948" t="s">
        <v>7068</v>
      </c>
      <c r="E138" s="1123"/>
      <c r="F138" s="1302"/>
      <c r="G138" s="1302"/>
      <c r="H138" s="1302"/>
      <c r="I138" s="1298"/>
      <c r="J138" s="713"/>
      <c r="K138" s="1244"/>
      <c r="L138" s="713"/>
    </row>
    <row r="139" spans="1:12" s="308" customFormat="1">
      <c r="A139" s="719" t="s">
        <v>67</v>
      </c>
      <c r="B139" s="740"/>
      <c r="C139" s="740"/>
      <c r="D139" s="140" t="s">
        <v>12997</v>
      </c>
      <c r="E139" s="740"/>
      <c r="F139" s="724"/>
      <c r="G139" s="724"/>
      <c r="H139" s="724"/>
      <c r="I139" s="724"/>
      <c r="J139" s="144"/>
      <c r="K139" s="724"/>
      <c r="L139" s="144"/>
    </row>
    <row r="140" spans="1:12" s="716" customFormat="1" ht="28.5">
      <c r="A140" s="89" t="s">
        <v>7069</v>
      </c>
      <c r="B140" s="717" t="s">
        <v>79</v>
      </c>
      <c r="C140" s="74">
        <v>97640</v>
      </c>
      <c r="D140" s="712" t="str">
        <f>IF(B140="SEPLAG",VLOOKUP(C140,COMPOSIÇÃO,2,FALSE),VLOOKUP(C140,'NAO DESO'!A:B,2,FALSE))</f>
        <v>REMOÇÃO DE FORROS DE DRYWALL, PVC E FIBROMINERAL, DE FORMA MANUAL, SEM REAPROVEITAMENTO. AF_12/2017</v>
      </c>
      <c r="E140" s="76" t="str">
        <f>IF(B140="SEPLAG",VLOOKUP(C140,UNIDADE,3,FALSE),VLOOKUP(C140,'NAO DESO'!A:C,3,FALSE))</f>
        <v>M2</v>
      </c>
      <c r="F140" s="713">
        <f>VLOOKUP(A140,MEMÓRIA,6,FALSE)</f>
        <v>297.31</v>
      </c>
      <c r="G140" s="714" t="str">
        <f>IF(B140="SEPLAG",VLOOKUP(CONCATENATE("TOTAL DO ITEM NÃO DESON. - ",C140),BASE01,8,FALSE),VLOOKUP(C140,'NAO DESO'!A:D,4,FALSE))</f>
        <v>1,24</v>
      </c>
      <c r="H140" s="715">
        <f>TRUNC(G140+G140*$K$6,2)</f>
        <v>1.51</v>
      </c>
      <c r="I140" s="715">
        <f>TRUNC(F140*H140,2)</f>
        <v>448.93</v>
      </c>
      <c r="J140" s="715" t="str">
        <f>IF(B140="SEPLAG",VLOOKUP(CONCATENATE("TOTAL DO ITEM DESON. - ",C140),BASE02,10,FALSE),VLOOKUP(C140,DESON!A:D,4,FALSE))</f>
        <v>1,11</v>
      </c>
      <c r="K140" s="715">
        <f>J140+J140*$L$6</f>
        <v>1.4246591915919868</v>
      </c>
      <c r="L140" s="715">
        <f>TRUNC(F140*K140,2)</f>
        <v>423.56</v>
      </c>
    </row>
    <row r="141" spans="1:12" s="716" customFormat="1" ht="28.5">
      <c r="A141" s="89" t="s">
        <v>7070</v>
      </c>
      <c r="B141" s="717" t="s">
        <v>79</v>
      </c>
      <c r="C141" s="74">
        <v>97644</v>
      </c>
      <c r="D141" s="712" t="str">
        <f>IF(B141="SEPLAG",VLOOKUP(C141,COMPOSIÇÃO,2,FALSE),VLOOKUP(C141,'NAO DESO'!A:B,2,FALSE))</f>
        <v>REMOÇÃO DE PORTAS, DE FORMA MANUAL, SEM REAPROVEITAMENTO. AF_12/2017</v>
      </c>
      <c r="E141" s="76" t="str">
        <f>IF(B141="SEPLAG",VLOOKUP(C141,UNIDADE,3,FALSE),VLOOKUP(C141,'NAO DESO'!A:C,3,FALSE))</f>
        <v>M2</v>
      </c>
      <c r="F141" s="713">
        <f>VLOOKUP(A141,MEMÓRIA,6,FALSE)</f>
        <v>25.08</v>
      </c>
      <c r="G141" s="714" t="str">
        <f>IF(B141="SEPLAG",VLOOKUP(CONCATENATE("TOTAL DO ITEM NÃO DESON. - ",C141),BASE01,8,FALSE),VLOOKUP(C141,'NAO DESO'!A:D,4,FALSE))</f>
        <v>7,11</v>
      </c>
      <c r="H141" s="715">
        <f>TRUNC(G141+G141*$K$6,2)</f>
        <v>8.69</v>
      </c>
      <c r="I141" s="715">
        <f>TRUNC(F141*H141,2)</f>
        <v>217.94</v>
      </c>
      <c r="J141" s="715" t="str">
        <f>IF(B141="SEPLAG",VLOOKUP(CONCATENATE("TOTAL DO ITEM DESON. - ",C141),BASE02,10,FALSE),VLOOKUP(C141,DESON!A:D,4,FALSE))</f>
        <v>6,39</v>
      </c>
      <c r="K141" s="715">
        <f>J141+J141*$L$6</f>
        <v>8.2014164272727879</v>
      </c>
      <c r="L141" s="715">
        <f>TRUNC(F141*K141,2)</f>
        <v>205.69</v>
      </c>
    </row>
    <row r="142" spans="1:12" s="716" customFormat="1" ht="28.5">
      <c r="A142" s="89" t="s">
        <v>7071</v>
      </c>
      <c r="B142" s="717" t="s">
        <v>79</v>
      </c>
      <c r="C142" s="74">
        <v>97645</v>
      </c>
      <c r="D142" s="712" t="str">
        <f>IF(B142="SEPLAG",VLOOKUP(C142,COMPOSIÇÃO,2,FALSE),VLOOKUP(C142,'NAO DESO'!A:B,2,FALSE))</f>
        <v>REMOÇÃO DE JANELAS, DE FORMA MANUAL, SEM REAPROVEITAMENTO. AF_12/2017</v>
      </c>
      <c r="E142" s="76" t="str">
        <f>IF(B142="SEPLAG",VLOOKUP(C142,UNIDADE,3,FALSE),VLOOKUP(C142,'NAO DESO'!A:C,3,FALSE))</f>
        <v>M2</v>
      </c>
      <c r="F142" s="713">
        <f>VLOOKUP(A142,MEMÓRIA,6,FALSE)</f>
        <v>102.74</v>
      </c>
      <c r="G142" s="714" t="str">
        <f>IF(B142="SEPLAG",VLOOKUP(CONCATENATE("TOTAL DO ITEM NÃO DESON. - ",C142),BASE01,8,FALSE),VLOOKUP(C142,'NAO DESO'!A:D,4,FALSE))</f>
        <v>25,94</v>
      </c>
      <c r="H142" s="715">
        <f>TRUNC(G142+G142*$K$6,2)</f>
        <v>31.7</v>
      </c>
      <c r="I142" s="715">
        <f>TRUNC(F142*H142,2)</f>
        <v>3256.85</v>
      </c>
      <c r="J142" s="715" t="str">
        <f>IF(B142="SEPLAG",VLOOKUP(CONCATENATE("TOTAL DO ITEM DESON. - ",C142),BASE02,10,FALSE),VLOOKUP(C142,DESON!A:D,4,FALSE))</f>
        <v>23,93</v>
      </c>
      <c r="K142" s="715">
        <f>J142+J142*$L$6</f>
        <v>30.713598607924546</v>
      </c>
      <c r="L142" s="715">
        <f>TRUNC(F142*K142,2)</f>
        <v>3155.51</v>
      </c>
    </row>
    <row r="143" spans="1:12" s="308" customFormat="1">
      <c r="A143" s="725" t="str">
        <f>CONCATENATE("TOTAL DO ITEM &gt;&gt;&gt;&gt;",A139)</f>
        <v>TOTAL DO ITEM &gt;&gt;&gt;&gt;5.1</v>
      </c>
      <c r="B143" s="726"/>
      <c r="C143" s="726"/>
      <c r="D143" s="726"/>
      <c r="E143" s="726"/>
      <c r="F143" s="726"/>
      <c r="G143" s="726"/>
      <c r="H143" s="726"/>
      <c r="I143" s="727">
        <f>SUM(I140:I142)</f>
        <v>3923.72</v>
      </c>
      <c r="J143" s="728"/>
      <c r="K143" s="728"/>
      <c r="L143" s="727">
        <f>SUM(L140:L142)</f>
        <v>3784.76</v>
      </c>
    </row>
    <row r="144" spans="1:12" s="748" customFormat="1">
      <c r="A144" s="699"/>
      <c r="B144" s="700"/>
      <c r="C144" s="700"/>
      <c r="D144" s="700"/>
      <c r="E144" s="700"/>
      <c r="F144" s="700"/>
      <c r="G144" s="700"/>
      <c r="H144" s="700"/>
      <c r="I144" s="700"/>
      <c r="J144" s="700"/>
      <c r="K144" s="700"/>
      <c r="L144" s="747"/>
    </row>
    <row r="145" spans="1:12" s="784" customFormat="1">
      <c r="A145" s="729" t="s">
        <v>68</v>
      </c>
      <c r="B145" s="754"/>
      <c r="C145" s="754"/>
      <c r="D145" s="729" t="s">
        <v>13828</v>
      </c>
      <c r="E145" s="754"/>
      <c r="F145" s="755"/>
      <c r="G145" s="755"/>
      <c r="H145" s="755"/>
      <c r="I145" s="758"/>
      <c r="J145" s="733"/>
      <c r="K145" s="732"/>
      <c r="L145" s="758"/>
    </row>
    <row r="146" spans="1:12" s="784" customFormat="1" ht="42.75">
      <c r="A146" s="89" t="s">
        <v>7072</v>
      </c>
      <c r="B146" s="717" t="s">
        <v>14504</v>
      </c>
      <c r="C146" s="74" t="s">
        <v>27259</v>
      </c>
      <c r="D146" s="712" t="str">
        <f>IF(B146="SEPLAG",VLOOKUP(C146,COMPOSIÇÃO,2,FALSE),VLOOKUP(C146,'NAO DESO'!A:B,2,FALSE))</f>
        <v>REVESTIMENTO CERÂMICO PARA PISO COM PLACAS TIPO PORCELANATO ARTSY CEMENT NATURAL  0,90X0,90m PORTOBELLO OU SIMILAR, ARGAMASSA TIPO AC III,FORNECIMENTO E INSTALAÇÃO. AF_06/2014</v>
      </c>
      <c r="E146" s="76" t="str">
        <f>IF(B146="SEPLAG",VLOOKUP(C146,UNIDADE,3,FALSE),VLOOKUP(C146,'NAO DESO'!A:C,3,FALSE))</f>
        <v>m²</v>
      </c>
      <c r="F146" s="713">
        <f>VLOOKUP(A146,MEMÓRIA,6,FALSE)</f>
        <v>297.31</v>
      </c>
      <c r="G146" s="714">
        <f>IF(B146="SEPLAG",VLOOKUP(CONCATENATE("TOTAL DO ITEM NÃO DESON. - ",C146),BASE01,8,FALSE),VLOOKUP(C146,'NAO DESO'!A:D,4,FALSE))</f>
        <v>181.16</v>
      </c>
      <c r="H146" s="715">
        <f>TRUNC(G146+G146*$K$6,2)</f>
        <v>221.42</v>
      </c>
      <c r="I146" s="715">
        <f>TRUNC(F146*H146,2)</f>
        <v>65830.38</v>
      </c>
      <c r="J146" s="715">
        <f>IF(B146="SEPLAG",VLOOKUP(CONCATENATE("TOTAL DO ITEM DESON. - ",C146),BASE02,10,FALSE),VLOOKUP(C146,DESON!A:D,4,FALSE))</f>
        <v>179.57999999999998</v>
      </c>
      <c r="K146" s="715">
        <f>J146+J146*$L$6</f>
        <v>230.48675461809816</v>
      </c>
      <c r="L146" s="715">
        <f>TRUNC(F146*K146,2)</f>
        <v>68526.009999999995</v>
      </c>
    </row>
    <row r="147" spans="1:12" s="784" customFormat="1" ht="57">
      <c r="A147" s="89" t="s">
        <v>7073</v>
      </c>
      <c r="B147" s="717" t="s">
        <v>14504</v>
      </c>
      <c r="C147" s="74" t="s">
        <v>27262</v>
      </c>
      <c r="D147" s="712" t="str">
        <f>IF(B147="SEPLAG",VLOOKUP(C147,COMPOSIÇÃO,2,FALSE),VLOOKUP(C147,'NAO DESO'!A:B,2,FALSE))</f>
        <v>RODAPÉ DE 7CM EM REVESTIMENTO CERÂMICO PARA PISO COM PLACAS TIPO PORCELANATO ARTSY CEMENT NATURAL  0,90X0,90m PORTOBELLO OU SIMILAR, ARGAMASSA TIPO AC III,FORNECIMENTO E INSTALAÇÃO. AF_06/2014</v>
      </c>
      <c r="E147" s="76" t="str">
        <f>IF(B147="SEPLAG",VLOOKUP(C147,UNIDADE,3,FALSE),VLOOKUP(C147,'NAO DESO'!A:C,3,FALSE))</f>
        <v xml:space="preserve">m </v>
      </c>
      <c r="F147" s="713">
        <f>VLOOKUP(A147,MEMÓRIA,6,FALSE)</f>
        <v>187.42</v>
      </c>
      <c r="G147" s="714">
        <f>IF(B147="SEPLAG",VLOOKUP(CONCATENATE("TOTAL DO ITEM NÃO DESON. - ",C147),BASE01,8,FALSE),VLOOKUP(C147,'NAO DESO'!A:D,4,FALSE))</f>
        <v>14.319999999999999</v>
      </c>
      <c r="H147" s="715">
        <f>TRUNC(G147+G147*$K$6,2)</f>
        <v>17.5</v>
      </c>
      <c r="I147" s="715">
        <f>TRUNC(F147*H147,2)</f>
        <v>3279.85</v>
      </c>
      <c r="J147" s="715">
        <f>IF(B147="SEPLAG",VLOOKUP(CONCATENATE("TOTAL DO ITEM DESON. - ",C147),BASE02,10,FALSE),VLOOKUP(C147,DESON!A:D,4,FALSE))</f>
        <v>14.07</v>
      </c>
      <c r="K147" s="715">
        <f>J147+J147*$L$6</f>
        <v>18.058517860990321</v>
      </c>
      <c r="L147" s="715">
        <f>TRUNC(F147*K147,2)</f>
        <v>3384.52</v>
      </c>
    </row>
    <row r="148" spans="1:12" s="308" customFormat="1">
      <c r="A148" s="725" t="str">
        <f>CONCATENATE("TOTAL DO ITEM &gt;&gt;&gt;&gt;",A145)</f>
        <v>TOTAL DO ITEM &gt;&gt;&gt;&gt;5.2</v>
      </c>
      <c r="B148" s="726"/>
      <c r="C148" s="726"/>
      <c r="D148" s="726"/>
      <c r="E148" s="726"/>
      <c r="F148" s="726"/>
      <c r="G148" s="726"/>
      <c r="H148" s="726"/>
      <c r="I148" s="757">
        <f>SUM(I146:I147)</f>
        <v>69110.23000000001</v>
      </c>
      <c r="J148" s="728"/>
      <c r="K148" s="749"/>
      <c r="L148" s="757">
        <f>SUM(L146:L147)</f>
        <v>71910.53</v>
      </c>
    </row>
    <row r="149" spans="1:12" s="748" customFormat="1">
      <c r="A149" s="699"/>
      <c r="B149" s="700"/>
      <c r="C149" s="700"/>
      <c r="D149" s="700"/>
      <c r="E149" s="700"/>
      <c r="F149" s="700"/>
      <c r="G149" s="700"/>
      <c r="H149" s="700"/>
      <c r="I149" s="700"/>
      <c r="J149" s="700"/>
      <c r="K149" s="700"/>
      <c r="L149" s="747"/>
    </row>
    <row r="150" spans="1:12" s="308" customFormat="1">
      <c r="A150" s="729" t="s">
        <v>77</v>
      </c>
      <c r="B150" s="754"/>
      <c r="C150" s="754"/>
      <c r="D150" s="729" t="s">
        <v>80</v>
      </c>
      <c r="E150" s="754"/>
      <c r="F150" s="755"/>
      <c r="G150" s="755"/>
      <c r="H150" s="755"/>
      <c r="I150" s="758"/>
      <c r="J150" s="733"/>
      <c r="K150" s="732"/>
      <c r="L150" s="758"/>
    </row>
    <row r="151" spans="1:12" s="308" customFormat="1" ht="28.5">
      <c r="A151" s="89" t="s">
        <v>7202</v>
      </c>
      <c r="B151" s="717" t="s">
        <v>79</v>
      </c>
      <c r="C151" s="74">
        <v>88485</v>
      </c>
      <c r="D151" s="712" t="str">
        <f>IF(B151="SEPLAG",VLOOKUP(C151,COMPOSIÇÃO,2,FALSE),VLOOKUP(C151,'NAO DESO'!A:B,2,FALSE))</f>
        <v>APLICAÇÃO DE FUNDO SELADOR ACRÍLICO EM PAREDES, UMA DEMÃO. AF_06/2014</v>
      </c>
      <c r="E151" s="76" t="str">
        <f>IF(B151="SEPLAG",VLOOKUP(C151,UNIDADE,3,FALSE),VLOOKUP(C151,'NAO DESO'!A:C,3,FALSE))</f>
        <v>M2</v>
      </c>
      <c r="F151" s="713">
        <f>VLOOKUP(A151,MEMÓRIA,6,FALSE)</f>
        <v>872.4</v>
      </c>
      <c r="G151" s="714" t="str">
        <f>IF(B151="SEPLAG",VLOOKUP(CONCATENATE("TOTAL DO ITEM NÃO DESON. - ",C151),BASE01,8,FALSE),VLOOKUP(C151,'NAO DESO'!A:D,4,FALSE))</f>
        <v>1,80</v>
      </c>
      <c r="H151" s="715">
        <f>TRUNC(G151+G151*$K$6,2)</f>
        <v>2.2000000000000002</v>
      </c>
      <c r="I151" s="715">
        <f>TRUNC(F151*H151,2)</f>
        <v>1919.28</v>
      </c>
      <c r="J151" s="715" t="str">
        <f>IF(B151="SEPLAG",VLOOKUP(CONCATENATE("TOTAL DO ITEM DESON. - ",C151),BASE02,10,FALSE),VLOOKUP(C151,DESON!A:D,4,FALSE))</f>
        <v>1,69</v>
      </c>
      <c r="K151" s="715">
        <f>J151+J151*$L$6</f>
        <v>2.1690757061175292</v>
      </c>
      <c r="L151" s="715">
        <f>TRUNC(F151*K151,2)</f>
        <v>1892.3</v>
      </c>
    </row>
    <row r="152" spans="1:12" s="308" customFormat="1" ht="42.75">
      <c r="A152" s="89" t="s">
        <v>7203</v>
      </c>
      <c r="B152" s="717" t="s">
        <v>79</v>
      </c>
      <c r="C152" s="74">
        <v>96126</v>
      </c>
      <c r="D152" s="712" t="str">
        <f>IF(B152="SEPLAG",VLOOKUP(C152,COMPOSIÇÃO,2,FALSE),VLOOKUP(C152,'NAO DESO'!A:B,2,FALSE))</f>
        <v>APLICAÇÃO MANUAL DE MASSA ACRÍLICA EM PANOS DE FACHADA COM PRESENÇA DE VÃOS, DE EDIFÍCIOS DE MÚLTIPLOS PAVIMENTOS, UMA DEMÃO. AF_05/2017</v>
      </c>
      <c r="E152" s="76" t="str">
        <f>IF(B152="SEPLAG",VLOOKUP(C152,UNIDADE,3,FALSE),VLOOKUP(C152,'NAO DESO'!A:C,3,FALSE))</f>
        <v>M2</v>
      </c>
      <c r="F152" s="713">
        <f>VLOOKUP(A152,MEMÓRIA,6,FALSE)</f>
        <v>872.4</v>
      </c>
      <c r="G152" s="714" t="str">
        <f>IF(B152="SEPLAG",VLOOKUP(CONCATENATE("TOTAL DO ITEM NÃO DESON. - ",C152),BASE01,8,FALSE),VLOOKUP(C152,'NAO DESO'!A:D,4,FALSE))</f>
        <v>16,48</v>
      </c>
      <c r="H152" s="715">
        <f>TRUNC(G152+G152*$K$6,2)</f>
        <v>20.14</v>
      </c>
      <c r="I152" s="715">
        <f>TRUNC(F152*H152,2)</f>
        <v>17570.13</v>
      </c>
      <c r="J152" s="715" t="str">
        <f>IF(B152="SEPLAG",VLOOKUP(CONCATENATE("TOTAL DO ITEM DESON. - ",C152),BASE02,10,FALSE),VLOOKUP(C152,DESON!A:D,4,FALSE))</f>
        <v>15,46</v>
      </c>
      <c r="K152" s="715">
        <f>J152+J152*$L$6</f>
        <v>19.842550542353258</v>
      </c>
      <c r="L152" s="715">
        <f>TRUNC(F152*K152,2)</f>
        <v>17310.64</v>
      </c>
    </row>
    <row r="153" spans="1:12" s="308" customFormat="1" ht="28.5">
      <c r="A153" s="89" t="s">
        <v>7074</v>
      </c>
      <c r="B153" s="717" t="s">
        <v>79</v>
      </c>
      <c r="C153" s="74">
        <v>88489</v>
      </c>
      <c r="D153" s="712" t="str">
        <f>IF(B153="SEPLAG",VLOOKUP(C153,COMPOSIÇÃO,2,FALSE),VLOOKUP(C153,'NAO DESO'!A:B,2,FALSE))</f>
        <v>APLICAÇÃO MANUAL DE PINTURA COM TINTA LÁTEX ACRÍLICA EM PAREDES, DUAS DEMÃOS. AF_06/2014</v>
      </c>
      <c r="E153" s="76" t="str">
        <f>IF(B153="SEPLAG",VLOOKUP(C153,UNIDADE,3,FALSE),VLOOKUP(C153,'NAO DESO'!A:C,3,FALSE))</f>
        <v>M2</v>
      </c>
      <c r="F153" s="713">
        <f>VLOOKUP(A153,MEMÓRIA,6,FALSE)</f>
        <v>872.4</v>
      </c>
      <c r="G153" s="714" t="str">
        <f>IF(B153="SEPLAG",VLOOKUP(CONCATENATE("TOTAL DO ITEM NÃO DESON. - ",C153),BASE01,8,FALSE),VLOOKUP(C153,'NAO DESO'!A:D,4,FALSE))</f>
        <v>12,69</v>
      </c>
      <c r="H153" s="715">
        <f>TRUNC(G153+G153*$K$6,2)</f>
        <v>15.51</v>
      </c>
      <c r="I153" s="715">
        <f>TRUNC(F153*H153,2)</f>
        <v>13530.92</v>
      </c>
      <c r="J153" s="715" t="str">
        <f>IF(B153="SEPLAG",VLOOKUP(CONCATENATE("TOTAL DO ITEM DESON. - ",C153),BASE02,10,FALSE),VLOOKUP(C153,DESON!A:D,4,FALSE))</f>
        <v>12,15</v>
      </c>
      <c r="K153" s="715">
        <f>J153+J153*$L$6</f>
        <v>15.594242502560936</v>
      </c>
      <c r="L153" s="715">
        <f>TRUNC(F153*K153,2)</f>
        <v>13604.41</v>
      </c>
    </row>
    <row r="154" spans="1:12" s="308" customFormat="1">
      <c r="A154" s="725" t="str">
        <f>CONCATENATE("TOTAL DO ITEM &gt;&gt;&gt;&gt;",A150)</f>
        <v>TOTAL DO ITEM &gt;&gt;&gt;&gt;5.3</v>
      </c>
      <c r="B154" s="726"/>
      <c r="C154" s="726"/>
      <c r="D154" s="726"/>
      <c r="E154" s="726"/>
      <c r="F154" s="726"/>
      <c r="G154" s="726"/>
      <c r="H154" s="726"/>
      <c r="I154" s="757">
        <f>SUM(I151:I153)</f>
        <v>33020.33</v>
      </c>
      <c r="J154" s="728"/>
      <c r="K154" s="749"/>
      <c r="L154" s="757">
        <f>SUM(L151:L153)</f>
        <v>32807.35</v>
      </c>
    </row>
    <row r="155" spans="1:12" s="748" customFormat="1">
      <c r="A155" s="699"/>
      <c r="B155" s="700"/>
      <c r="C155" s="700"/>
      <c r="D155" s="700"/>
      <c r="E155" s="700"/>
      <c r="F155" s="700"/>
      <c r="G155" s="700"/>
      <c r="H155" s="700"/>
      <c r="I155" s="700"/>
      <c r="J155" s="700"/>
      <c r="K155" s="700"/>
      <c r="L155" s="747"/>
    </row>
    <row r="156" spans="1:12" s="308" customFormat="1">
      <c r="A156" s="729" t="s">
        <v>78</v>
      </c>
      <c r="B156" s="775"/>
      <c r="C156" s="776"/>
      <c r="D156" s="731" t="s">
        <v>239</v>
      </c>
      <c r="E156" s="730"/>
      <c r="F156" s="733"/>
      <c r="G156" s="777"/>
      <c r="H156" s="733"/>
      <c r="I156" s="733"/>
      <c r="J156" s="732"/>
      <c r="K156" s="732"/>
      <c r="L156" s="732"/>
    </row>
    <row r="157" spans="1:12" s="308" customFormat="1" ht="42.75">
      <c r="A157" s="89" t="s">
        <v>7075</v>
      </c>
      <c r="B157" s="717" t="s">
        <v>14504</v>
      </c>
      <c r="C157" s="74" t="s">
        <v>365</v>
      </c>
      <c r="D157" s="712" t="str">
        <f>IF(B157="SEPLAG",VLOOKUP(C157,COMPOSIÇÃO,2,FALSE),VLOOKUP(C157,'NAO DESO'!A:B,2,FALSE))</f>
        <v>KIT PORTA PRONTA PRETA LISA SÓLIDA PORMADE O,80X2,10,ACABAMENTO DE COR UNIFORME, MARCOS E ALIZARES EM PVC WOOD, RESISTENTES A ESTUFAMENTOS. FORNECIMENTO E INSTALAÇÃO.</v>
      </c>
      <c r="E157" s="76" t="str">
        <f>IF(B157="SEPLAG",VLOOKUP(C157,UNIDADE,3,FALSE),VLOOKUP(C157,'NAO DESO'!A:C,3,FALSE))</f>
        <v>UND</v>
      </c>
      <c r="F157" s="713">
        <f>VLOOKUP(A157,MEMÓRIA,6,FALSE)</f>
        <v>9</v>
      </c>
      <c r="G157" s="714">
        <f>IF(B157="SEPLAG",VLOOKUP(CONCATENATE("TOTAL DO ITEM NÃO DESON. - ",C157),BASE01,8,FALSE),VLOOKUP(C157,'NAO DESO'!A:D,4,FALSE))</f>
        <v>2545.5200000000004</v>
      </c>
      <c r="H157" s="715">
        <f>TRUNC(G157+G157*$K$6,2)</f>
        <v>3111.29</v>
      </c>
      <c r="I157" s="715">
        <f>TRUNC(F157*H157,2)</f>
        <v>28001.61</v>
      </c>
      <c r="J157" s="715">
        <f>IF(B157="SEPLAG",VLOOKUP(CONCATENATE("TOTAL DO ITEM DESON. - ",C157),BASE02,10,FALSE),VLOOKUP(C157,DESON!A:D,4,FALSE))</f>
        <v>2544.36</v>
      </c>
      <c r="K157" s="715">
        <f>J157+J157*$L$6</f>
        <v>3265.6269015486378</v>
      </c>
      <c r="L157" s="715">
        <f>TRUNC(F157*K157,2)</f>
        <v>29390.639999999999</v>
      </c>
    </row>
    <row r="158" spans="1:12" s="308" customFormat="1" ht="42.75">
      <c r="A158" s="89" t="s">
        <v>7076</v>
      </c>
      <c r="B158" s="717" t="s">
        <v>14504</v>
      </c>
      <c r="C158" s="74" t="s">
        <v>367</v>
      </c>
      <c r="D158" s="712" t="str">
        <f>IF(B158="SEPLAG",VLOOKUP(C158,COMPOSIÇÃO,2,FALSE),VLOOKUP(C158,'NAO DESO'!A:B,2,FALSE))</f>
        <v>PORTA PIVOTANTE DE VIDRO TEMPERADO, 2 FOLHAS DE 80X210 CM, ESPESSURA DE 10MM, INCLUSIVE ACESSÓRIOS. FORNECIMENTO E INSTALAÇÃO. AF_01/2021</v>
      </c>
      <c r="E158" s="76" t="str">
        <f>IF(B158="SEPLAG",VLOOKUP(C158,UNIDADE,3,FALSE),VLOOKUP(C158,'NAO DESO'!A:C,3,FALSE))</f>
        <v>UND</v>
      </c>
      <c r="F158" s="713">
        <f>VLOOKUP(A158,MEMÓRIA,6,FALSE)</f>
        <v>1</v>
      </c>
      <c r="G158" s="714">
        <f>IF(B158="SEPLAG",VLOOKUP(CONCATENATE("TOTAL DO ITEM NÃO DESON. - ",C158),BASE01,8,FALSE),VLOOKUP(C158,'NAO DESO'!A:D,4,FALSE))</f>
        <v>2109.77</v>
      </c>
      <c r="H158" s="715">
        <f>TRUNC(G158+G158*$K$6,2)</f>
        <v>2578.69</v>
      </c>
      <c r="I158" s="715">
        <f>TRUNC(F158*H158,2)</f>
        <v>2578.69</v>
      </c>
      <c r="J158" s="715">
        <f>IF(B158="SEPLAG",VLOOKUP(CONCATENATE("TOTAL DO ITEM DESON. - ",C158),BASE02,10,FALSE),VLOOKUP(C158,DESON!A:D,4,FALSE))</f>
        <v>2095.25</v>
      </c>
      <c r="K158" s="715">
        <f>J158+J158*$L$6</f>
        <v>2689.2046587235227</v>
      </c>
      <c r="L158" s="715">
        <f>TRUNC(F158*K158,2)</f>
        <v>2689.2</v>
      </c>
    </row>
    <row r="159" spans="1:12" s="308" customFormat="1" ht="28.5">
      <c r="A159" s="89" t="s">
        <v>7077</v>
      </c>
      <c r="B159" s="717" t="s">
        <v>14504</v>
      </c>
      <c r="C159" s="74" t="s">
        <v>13262</v>
      </c>
      <c r="D159" s="712" t="str">
        <f>IF(B159="SEPLAG",VLOOKUP(C159,COMPOSIÇÃO,2,FALSE),VLOOKUP(C159,'NAO DESO'!A:B,2,FALSE))</f>
        <v>GRADE EM ESTRUTURA METALICA PARA PROTEÇÃO DA PASSARELA TIPO 01, FORNECIMENTO E INSTALAÇÃO.</v>
      </c>
      <c r="E159" s="76" t="str">
        <f>IF(B159="SEPLAG",VLOOKUP(C159,UNIDADE,3,FALSE),VLOOKUP(C159,'NAO DESO'!A:C,3,FALSE))</f>
        <v>m</v>
      </c>
      <c r="F159" s="713">
        <f>VLOOKUP(A159,MEMÓRIA,6,FALSE)</f>
        <v>1</v>
      </c>
      <c r="G159" s="714">
        <f>IF(B159="SEPLAG",VLOOKUP(CONCATENATE("TOTAL DO ITEM NÃO DESON. - ",C159),BASE01,8,FALSE),VLOOKUP(C159,'NAO DESO'!A:D,4,FALSE))</f>
        <v>195.6</v>
      </c>
      <c r="H159" s="715">
        <f>TRUNC(G159+G159*$K$6,2)</f>
        <v>239.07</v>
      </c>
      <c r="I159" s="715">
        <f>TRUNC(F159*H159,2)</f>
        <v>239.07</v>
      </c>
      <c r="J159" s="715">
        <f>IF(B159="SEPLAG",VLOOKUP(CONCATENATE("TOTAL DO ITEM DESON. - ",C159),BASE02,10,FALSE),VLOOKUP(C159,DESON!A:D,4,FALSE))</f>
        <v>189.37</v>
      </c>
      <c r="K159" s="715">
        <f>J159+J159*$L$6</f>
        <v>243.05199199258968</v>
      </c>
      <c r="L159" s="715">
        <f>TRUNC(F159*K159,2)</f>
        <v>243.05</v>
      </c>
    </row>
    <row r="160" spans="1:12" s="308" customFormat="1" ht="28.5">
      <c r="A160" s="89" t="s">
        <v>13872</v>
      </c>
      <c r="B160" s="717" t="s">
        <v>14504</v>
      </c>
      <c r="C160" s="74" t="s">
        <v>7098</v>
      </c>
      <c r="D160" s="712" t="str">
        <f>IF(B160="SEPLAG",VLOOKUP(C160,COMPOSIÇÃO,2,FALSE),VLOOKUP(C160,'NAO DESO'!A:B,2,FALSE))</f>
        <v>PELÍCULA DE SEGURANÇA PARA PAINES DE VIDRO, FONECIMENTO E INSTALAÇÃO.</v>
      </c>
      <c r="E160" s="76" t="str">
        <f>IF(B160="SEPLAG",VLOOKUP(C160,UNIDADE,3,FALSE),VLOOKUP(C160,'NAO DESO'!A:C,3,FALSE))</f>
        <v>m²</v>
      </c>
      <c r="F160" s="713">
        <f>VLOOKUP(A160,MEMÓRIA,6,FALSE)</f>
        <v>3.36</v>
      </c>
      <c r="G160" s="714">
        <f>IF(B160="SEPLAG",VLOOKUP(CONCATENATE("TOTAL DO ITEM NÃO DESON. - ",C160),BASE01,8,FALSE),VLOOKUP(C160,'NAO DESO'!A:D,4,FALSE))</f>
        <v>59.8</v>
      </c>
      <c r="H160" s="715">
        <f>TRUNC(G160+G160*$K$6,2)</f>
        <v>73.09</v>
      </c>
      <c r="I160" s="715">
        <f>TRUNC(F160*H160,2)</f>
        <v>245.58</v>
      </c>
      <c r="J160" s="715">
        <f>IF(B160="SEPLAG",VLOOKUP(CONCATENATE("TOTAL DO ITEM DESON. - ",C160),BASE02,10,FALSE),VLOOKUP(C160,DESON!A:D,4,FALSE))</f>
        <v>59.209999999999994</v>
      </c>
      <c r="K160" s="715">
        <f>J160+J160*$L$6</f>
        <v>75.994658319064442</v>
      </c>
      <c r="L160" s="715">
        <f>TRUNC(F160*K160,2)</f>
        <v>255.34</v>
      </c>
    </row>
    <row r="161" spans="1:12" s="308" customFormat="1" ht="28.5">
      <c r="A161" s="89" t="s">
        <v>13874</v>
      </c>
      <c r="B161" s="717" t="s">
        <v>79</v>
      </c>
      <c r="C161" s="74">
        <v>100716</v>
      </c>
      <c r="D161" s="712" t="str">
        <f>IF(B161="SEPLAG",VLOOKUP(C161,COMPOSIÇÃO,2,FALSE),VLOOKUP(C161,'NAO DESO'!A:B,2,FALSE))</f>
        <v>JATEAMENTO ABRASIVO COM GRANALHA DE AÇO EM PERFIL METÁLICO EM FÁBRICA. AF_01/2020</v>
      </c>
      <c r="E161" s="76" t="str">
        <f>IF(B161="SEPLAG",VLOOKUP(C161,UNIDADE,3,FALSE),VLOOKUP(C161,'NAO DESO'!A:C,3,FALSE))</f>
        <v>M2</v>
      </c>
      <c r="F161" s="713">
        <f>VLOOKUP(A161,MEMÓRIA,6,FALSE)</f>
        <v>0.48</v>
      </c>
      <c r="G161" s="714" t="str">
        <f>IF(B161="SEPLAG",VLOOKUP(CONCATENATE("TOTAL DO ITEM NÃO DESON. - ",C161),BASE01,8,FALSE),VLOOKUP(C161,'NAO DESO'!A:D,4,FALSE))</f>
        <v>25,02</v>
      </c>
      <c r="H161" s="715">
        <f>TRUNC(G161+G161*$K$6,2)</f>
        <v>30.58</v>
      </c>
      <c r="I161" s="715">
        <f>TRUNC(F161*H161,2)</f>
        <v>14.67</v>
      </c>
      <c r="J161" s="715" t="str">
        <f>IF(B161="SEPLAG",VLOOKUP(CONCATENATE("TOTAL DO ITEM DESON. - ",C161),BASE02,10,FALSE),VLOOKUP(C161,DESON!A:D,4,FALSE))</f>
        <v>24,72</v>
      </c>
      <c r="K161" s="715">
        <f>J161+J161*$L$6</f>
        <v>31.727545239778298</v>
      </c>
      <c r="L161" s="715">
        <f>TRUNC(F161*K161,2)</f>
        <v>15.22</v>
      </c>
    </row>
    <row r="162" spans="1:12" s="308" customFormat="1">
      <c r="A162" s="725" t="str">
        <f>CONCATENATE("TOTAL DO ITEM &gt;&gt;&gt;&gt;",A156)</f>
        <v>TOTAL DO ITEM &gt;&gt;&gt;&gt;5.4</v>
      </c>
      <c r="B162" s="726"/>
      <c r="C162" s="726"/>
      <c r="D162" s="726"/>
      <c r="E162" s="726"/>
      <c r="F162" s="726"/>
      <c r="G162" s="726"/>
      <c r="H162" s="726"/>
      <c r="I162" s="757">
        <f>SUM(I157:I161)</f>
        <v>31079.62</v>
      </c>
      <c r="J162" s="749"/>
      <c r="K162" s="749"/>
      <c r="L162" s="757">
        <f>SUM(L157:L161)</f>
        <v>32593.45</v>
      </c>
    </row>
    <row r="163" spans="1:12" s="308" customFormat="1">
      <c r="A163" s="778"/>
      <c r="B163" s="779"/>
      <c r="C163" s="779"/>
      <c r="D163" s="779"/>
      <c r="E163" s="779"/>
      <c r="F163" s="779"/>
      <c r="G163" s="779"/>
      <c r="H163" s="779"/>
      <c r="I163" s="779"/>
      <c r="J163" s="779"/>
      <c r="K163" s="779"/>
      <c r="L163" s="780"/>
    </row>
    <row r="164" spans="1:12" s="308" customFormat="1">
      <c r="A164" s="729" t="s">
        <v>109</v>
      </c>
      <c r="B164" s="775"/>
      <c r="C164" s="776"/>
      <c r="D164" s="731" t="s">
        <v>240</v>
      </c>
      <c r="E164" s="730"/>
      <c r="F164" s="733"/>
      <c r="G164" s="777"/>
      <c r="H164" s="733"/>
      <c r="I164" s="733"/>
      <c r="J164" s="732"/>
      <c r="K164" s="732"/>
      <c r="L164" s="732"/>
    </row>
    <row r="165" spans="1:12" s="308" customFormat="1" ht="28.5">
      <c r="A165" s="89" t="s">
        <v>14245</v>
      </c>
      <c r="B165" s="717" t="s">
        <v>14504</v>
      </c>
      <c r="C165" s="74" t="s">
        <v>7364</v>
      </c>
      <c r="D165" s="712" t="str">
        <f>IF(B165="SEPLAG",VLOOKUP(C165,COMPOSIÇÃO,2,FALSE),VLOOKUP(C165,'NAO DESO'!A:B,2,FALSE))</f>
        <v>J04- JANELA MAXIN AR 1,00 x 1,70 FORNECIMENTO E INSTALAÇÃO. FORNECIMENTO E INSTALAÇÃO.</v>
      </c>
      <c r="E165" s="76" t="str">
        <f>IF(B165="SEPLAG",VLOOKUP(C165,UNIDADE,3,FALSE),VLOOKUP(C165,'NAO DESO'!A:C,3,FALSE))</f>
        <v>und</v>
      </c>
      <c r="F165" s="713">
        <f t="shared" ref="F165:F170" si="30">VLOOKUP(A165,MEMÓRIA,6,FALSE)</f>
        <v>2</v>
      </c>
      <c r="G165" s="714">
        <f>IF(B165="SEPLAG",VLOOKUP(CONCATENATE("TOTAL DO ITEM NÃO DESON. - ",C165),BASE01,8,FALSE),VLOOKUP(C165,'NAO DESO'!A:D,4,FALSE))</f>
        <v>1159.0600000000002</v>
      </c>
      <c r="H165" s="715">
        <f t="shared" ref="H165:H170" si="31">TRUNC(G165+G165*$K$6,2)</f>
        <v>1416.67</v>
      </c>
      <c r="I165" s="715">
        <f t="shared" ref="I165:I170" si="32">TRUNC(F165*H165,2)</f>
        <v>2833.34</v>
      </c>
      <c r="J165" s="715">
        <f>IF(B165="SEPLAG",VLOOKUP(CONCATENATE("TOTAL DO ITEM DESON. - ",C165),BASE02,10,FALSE),VLOOKUP(C165,DESON!A:D,4,FALSE))</f>
        <v>1145.1000000000001</v>
      </c>
      <c r="K165" s="715">
        <f t="shared" ref="K165:K170" si="33">J165+J165*$L$6</f>
        <v>1469.7092254882741</v>
      </c>
      <c r="L165" s="715">
        <f t="shared" ref="L165:L170" si="34">TRUNC(F165*K165,2)</f>
        <v>2939.41</v>
      </c>
    </row>
    <row r="166" spans="1:12" s="308" customFormat="1" ht="28.5">
      <c r="A166" s="89" t="s">
        <v>14275</v>
      </c>
      <c r="B166" s="717" t="s">
        <v>14504</v>
      </c>
      <c r="C166" s="74" t="s">
        <v>7344</v>
      </c>
      <c r="D166" s="712" t="str">
        <f>IF(B166="SEPLAG",VLOOKUP(C166,COMPOSIÇÃO,2,FALSE),VLOOKUP(C166,'NAO DESO'!A:B,2,FALSE))</f>
        <v>J02- JANELA MAXIN AR 12,60 x 1,70 (12 JANELAS DE 1,05). FORNECIMENTO E INSTALAÇÃO.</v>
      </c>
      <c r="E166" s="76" t="str">
        <f>IF(B166="SEPLAG",VLOOKUP(C166,UNIDADE,3,FALSE),VLOOKUP(C166,'NAO DESO'!A:C,3,FALSE))</f>
        <v>und</v>
      </c>
      <c r="F166" s="713">
        <f t="shared" si="30"/>
        <v>1</v>
      </c>
      <c r="G166" s="714">
        <f>IF(B166="SEPLAG",VLOOKUP(CONCATENATE("TOTAL DO ITEM NÃO DESON. - ",C166),BASE01,8,FALSE),VLOOKUP(C166,'NAO DESO'!A:D,4,FALSE))</f>
        <v>16791.59</v>
      </c>
      <c r="H166" s="715">
        <f t="shared" si="31"/>
        <v>20523.71</v>
      </c>
      <c r="I166" s="715">
        <f t="shared" si="32"/>
        <v>20523.71</v>
      </c>
      <c r="J166" s="715">
        <f>IF(B166="SEPLAG",VLOOKUP(CONCATENATE("TOTAL DO ITEM DESON. - ",C166),BASE02,10,FALSE),VLOOKUP(C166,DESON!A:D,4,FALSE))</f>
        <v>16519.96</v>
      </c>
      <c r="K166" s="715">
        <f t="shared" si="33"/>
        <v>21202.984557416177</v>
      </c>
      <c r="L166" s="715">
        <f t="shared" si="34"/>
        <v>21202.98</v>
      </c>
    </row>
    <row r="167" spans="1:12" s="308" customFormat="1" ht="28.5">
      <c r="A167" s="89" t="s">
        <v>14276</v>
      </c>
      <c r="B167" s="717" t="s">
        <v>14504</v>
      </c>
      <c r="C167" s="74" t="str">
        <f>COMPOSIÇÕES!C2341</f>
        <v>SEPLAG  ARQ 153</v>
      </c>
      <c r="D167" s="712" t="str">
        <f>IF(B167="SEPLAG",VLOOKUP(C167,COMPOSIÇÃO,2,FALSE),VLOOKUP(C167,'NAO DESO'!A:B,2,FALSE))</f>
        <v>J01 (E.G) - JANELA MAXIN AR 3,80 x 2,55 (3 JANELAS DE 1,20). FORNECIMENTO E INSTALAÇÃO.</v>
      </c>
      <c r="E167" s="76" t="str">
        <f>IF(B167="SEPLAG",VLOOKUP(C167,UNIDADE,3,FALSE),VLOOKUP(C167,'NAO DESO'!A:C,3,FALSE))</f>
        <v>und</v>
      </c>
      <c r="F167" s="713">
        <f t="shared" si="30"/>
        <v>2</v>
      </c>
      <c r="G167" s="714">
        <f>IF(B167="SEPLAG",VLOOKUP(CONCATENATE("TOTAL DO ITEM NÃO DESON. - ",C167),BASE01,8,FALSE),VLOOKUP(C167,'NAO DESO'!A:D,4,FALSE))</f>
        <v>5157.0200000000004</v>
      </c>
      <c r="H167" s="715">
        <f t="shared" si="31"/>
        <v>6303.22</v>
      </c>
      <c r="I167" s="715">
        <f t="shared" si="32"/>
        <v>12606.44</v>
      </c>
      <c r="J167" s="715">
        <f>IF(B167="SEPLAG",VLOOKUP(CONCATENATE("TOTAL DO ITEM DESON. - ",C167),BASE02,10,FALSE),VLOOKUP(C167,DESON!A:D,4,FALSE))</f>
        <v>5098.67</v>
      </c>
      <c r="K167" s="715">
        <f t="shared" si="33"/>
        <v>6544.0243967516353</v>
      </c>
      <c r="L167" s="715">
        <f t="shared" si="34"/>
        <v>13088.04</v>
      </c>
    </row>
    <row r="168" spans="1:12" s="308" customFormat="1" ht="28.5">
      <c r="A168" s="89" t="s">
        <v>14277</v>
      </c>
      <c r="B168" s="717" t="s">
        <v>14504</v>
      </c>
      <c r="C168" s="74" t="str">
        <f>COMPOSIÇÕES!C2361</f>
        <v>SEPLAG  ARQ 154</v>
      </c>
      <c r="D168" s="712" t="str">
        <f>IF(B168="SEPLAG",VLOOKUP(C168,COMPOSIÇÃO,2,FALSE),VLOOKUP(C168,'NAO DESO'!A:B,2,FALSE))</f>
        <v>J08 (E.G) - JANELA MAXIN AR 1,53 x 4,85 (1 JANELAS DE 3MODULOS 1,53). FORNECIMENTO E INSTALAÇÃO.</v>
      </c>
      <c r="E168" s="76" t="str">
        <f>IF(B168="SEPLAG",VLOOKUP(C168,UNIDADE,3,FALSE),VLOOKUP(C168,'NAO DESO'!A:C,3,FALSE))</f>
        <v>und</v>
      </c>
      <c r="F168" s="713">
        <f t="shared" si="30"/>
        <v>1</v>
      </c>
      <c r="G168" s="714">
        <f>IF(B168="SEPLAG",VLOOKUP(CONCATENATE("TOTAL DO ITEM NÃO DESON. - ",C168),BASE01,8,FALSE),VLOOKUP(C168,'NAO DESO'!A:D,4,FALSE))</f>
        <v>4032.41</v>
      </c>
      <c r="H168" s="715">
        <f>TRUNC(G168+G168*$K$6,2)</f>
        <v>4928.66</v>
      </c>
      <c r="I168" s="715">
        <f>TRUNC(F168*H168,2)</f>
        <v>4928.66</v>
      </c>
      <c r="J168" s="715">
        <f>IF(B168="SEPLAG",VLOOKUP(CONCATENATE("TOTAL DO ITEM DESON. - ",C168),BASE02,10,FALSE),VLOOKUP(C168,DESON!A:D,4,FALSE))</f>
        <v>3993.5099999999998</v>
      </c>
      <c r="K168" s="715">
        <f>J168+J168*$L$6</f>
        <v>5125.5772326256892</v>
      </c>
      <c r="L168" s="715">
        <f>TRUNC(F168*K168,2)</f>
        <v>5125.57</v>
      </c>
    </row>
    <row r="169" spans="1:12" s="308" customFormat="1" ht="28.5">
      <c r="A169" s="89" t="s">
        <v>14658</v>
      </c>
      <c r="B169" s="717" t="s">
        <v>79</v>
      </c>
      <c r="C169" s="74">
        <v>102168</v>
      </c>
      <c r="D169" s="712" t="str">
        <f>IF(B169="SEPLAG",VLOOKUP(C169,COMPOSIÇÃO,2,FALSE),VLOOKUP(C169,'NAO DESO'!A:B,2,FALSE))</f>
        <v>INSTALAÇÃO DE VIDRO LISO INCOLOR, E = 8 MM, EM ESQUADRIA DE ALUMÍNIO OU PVC, FIXADO COM BAGUETE. AF_01/2021_P</v>
      </c>
      <c r="E169" s="76" t="str">
        <f>IF(B169="SEPLAG",VLOOKUP(C169,UNIDADE,3,FALSE),VLOOKUP(C169,'NAO DESO'!A:C,3,FALSE))</f>
        <v>M2</v>
      </c>
      <c r="F169" s="713">
        <f t="shared" si="30"/>
        <v>6.27</v>
      </c>
      <c r="G169" s="714" t="str">
        <f>IF(B169="SEPLAG",VLOOKUP(CONCATENATE("TOTAL DO ITEM NÃO DESON. - ",C169),BASE01,8,FALSE),VLOOKUP(C169,'NAO DESO'!A:D,4,FALSE))</f>
        <v>547,45</v>
      </c>
      <c r="H169" s="715">
        <f>TRUNC(G169+G169*$K$6,2)</f>
        <v>669.12</v>
      </c>
      <c r="I169" s="715">
        <f>TRUNC(F169*H169,2)</f>
        <v>4195.38</v>
      </c>
      <c r="J169" s="715" t="str">
        <f>IF(B169="SEPLAG",VLOOKUP(CONCATENATE("TOTAL DO ITEM DESON. - ",C169),BASE02,10,FALSE),VLOOKUP(C169,DESON!A:D,4,FALSE))</f>
        <v>546,19</v>
      </c>
      <c r="K169" s="715">
        <f>J169+J169*$L$6</f>
        <v>701.02216563570028</v>
      </c>
      <c r="L169" s="715">
        <f>TRUNC(F169*K169,2)</f>
        <v>4395.3999999999996</v>
      </c>
    </row>
    <row r="170" spans="1:12" s="308" customFormat="1" ht="28.5">
      <c r="A170" s="89" t="s">
        <v>14659</v>
      </c>
      <c r="B170" s="717" t="s">
        <v>14504</v>
      </c>
      <c r="C170" s="74" t="s">
        <v>7098</v>
      </c>
      <c r="D170" s="712" t="str">
        <f>IF(B170="SEPLAG",VLOOKUP(C170,COMPOSIÇÃO,2,FALSE),VLOOKUP(C170,'NAO DESO'!A:B,2,FALSE))</f>
        <v>PELÍCULA DE SEGURANÇA PARA PAINES DE VIDRO, FONECIMENTO E INSTALAÇÃO.</v>
      </c>
      <c r="E170" s="76" t="str">
        <f>IF(B170="SEPLAG",VLOOKUP(C170,UNIDADE,3,FALSE),VLOOKUP(C170,'NAO DESO'!A:C,3,FALSE))</f>
        <v>m²</v>
      </c>
      <c r="F170" s="713">
        <f t="shared" si="30"/>
        <v>88.490500000000011</v>
      </c>
      <c r="G170" s="714">
        <f>IF(B170="SEPLAG",VLOOKUP(CONCATENATE("TOTAL DO ITEM NÃO DESON. - ",C170),BASE01,8,FALSE),VLOOKUP(C170,'NAO DESO'!A:D,4,FALSE))</f>
        <v>59.8</v>
      </c>
      <c r="H170" s="715">
        <f t="shared" si="31"/>
        <v>73.09</v>
      </c>
      <c r="I170" s="715">
        <f t="shared" si="32"/>
        <v>6467.77</v>
      </c>
      <c r="J170" s="715">
        <f>IF(B170="SEPLAG",VLOOKUP(CONCATENATE("TOTAL DO ITEM DESON. - ",C170),BASE02,10,FALSE),VLOOKUP(C170,DESON!A:D,4,FALSE))</f>
        <v>59.209999999999994</v>
      </c>
      <c r="K170" s="715">
        <f t="shared" si="33"/>
        <v>75.994658319064442</v>
      </c>
      <c r="L170" s="715">
        <f t="shared" si="34"/>
        <v>6724.8</v>
      </c>
    </row>
    <row r="171" spans="1:12" s="308" customFormat="1">
      <c r="A171" s="734" t="str">
        <f>CONCATENATE("TOTAL DO ITEM &gt;&gt;&gt;&gt;",A164)</f>
        <v>TOTAL DO ITEM &gt;&gt;&gt;&gt;5.5</v>
      </c>
      <c r="B171" s="735"/>
      <c r="C171" s="735"/>
      <c r="D171" s="735"/>
      <c r="E171" s="735"/>
      <c r="F171" s="735"/>
      <c r="G171" s="735"/>
      <c r="H171" s="735"/>
      <c r="I171" s="759">
        <f>SUM(I165:I170)</f>
        <v>51555.299999999988</v>
      </c>
      <c r="J171" s="746"/>
      <c r="K171" s="746"/>
      <c r="L171" s="759">
        <f>SUM(L165:L170)</f>
        <v>53476.200000000004</v>
      </c>
    </row>
    <row r="172" spans="1:12" s="1305" customFormat="1">
      <c r="A172" s="1257" t="str">
        <f>CONCATENATE("TOTAL DO ITEM &gt;&gt;&gt;&gt;",A138)</f>
        <v>TOTAL DO ITEM &gt;&gt;&gt;&gt;5.0</v>
      </c>
      <c r="B172" s="1287"/>
      <c r="C172" s="1287"/>
      <c r="D172" s="1287"/>
      <c r="E172" s="1287"/>
      <c r="F172" s="1287"/>
      <c r="G172" s="1287"/>
      <c r="H172" s="1287"/>
      <c r="I172" s="1306">
        <f>SUM(I171,I162,I154,I148,I143)</f>
        <v>188689.19999999998</v>
      </c>
      <c r="J172" s="813"/>
      <c r="K172" s="1307"/>
      <c r="L172" s="1306">
        <f>SUM(L171,L162,L154,L148,L143)</f>
        <v>194572.29</v>
      </c>
    </row>
    <row r="173" spans="1:12" s="110" customFormat="1">
      <c r="A173" s="1246"/>
      <c r="B173" s="1120"/>
      <c r="C173" s="1120"/>
      <c r="D173" s="1120"/>
      <c r="E173" s="1120"/>
      <c r="F173" s="1120"/>
      <c r="G173" s="1120"/>
      <c r="H173" s="1120"/>
      <c r="I173" s="1120"/>
      <c r="J173" s="1120"/>
      <c r="K173" s="1120"/>
      <c r="L173" s="1121"/>
    </row>
    <row r="174" spans="1:12" s="110" customFormat="1">
      <c r="A174" s="1263" t="s">
        <v>13940</v>
      </c>
      <c r="B174" s="1285"/>
      <c r="C174" s="1286"/>
      <c r="D174" s="1266" t="s">
        <v>123</v>
      </c>
      <c r="E174" s="1124"/>
      <c r="F174" s="1273"/>
      <c r="G174" s="1273"/>
      <c r="H174" s="1273"/>
      <c r="I174" s="1273"/>
      <c r="J174" s="1279"/>
      <c r="K174" s="1308"/>
      <c r="L174" s="1308"/>
    </row>
    <row r="175" spans="1:12" s="716" customFormat="1">
      <c r="A175" s="138" t="s">
        <v>13941</v>
      </c>
      <c r="B175" s="788"/>
      <c r="C175" s="789"/>
      <c r="D175" s="147" t="s">
        <v>124</v>
      </c>
      <c r="E175" s="790"/>
      <c r="F175" s="791"/>
      <c r="G175" s="791"/>
      <c r="H175" s="791"/>
      <c r="I175" s="791"/>
      <c r="J175" s="146"/>
      <c r="K175" s="792"/>
      <c r="L175" s="792"/>
    </row>
    <row r="176" spans="1:12" s="716" customFormat="1" ht="28.5" customHeight="1">
      <c r="A176" s="89" t="s">
        <v>13942</v>
      </c>
      <c r="B176" s="717" t="s">
        <v>14504</v>
      </c>
      <c r="C176" s="74" t="s">
        <v>264</v>
      </c>
      <c r="D176" s="712" t="str">
        <f>IF(B176="SEPLAG",VLOOKUP(C176,COMPOSIÇÃO,2,FALSE),VLOOKUP(C176,'NAO DESO'!A:B,2,FALSE))</f>
        <v>ELETROBOMBA MOTOR DE 3,0 CV, 220V, TRIFÁSICO COM CAPACIDADE DE VAZÃO DE 2501/MIN. A 18 MCA DE PRESSÃO.  FORNECIMENTO E INSTALAÇÃO.</v>
      </c>
      <c r="E176" s="76" t="str">
        <f>IF(B176="SEPLAG",VLOOKUP(C176,UNIDADE,3,FALSE),VLOOKUP(C176,'NAO DESO'!A:C,3,FALSE))</f>
        <v>UND</v>
      </c>
      <c r="F176" s="713">
        <f t="shared" ref="F176:F181" si="35">VLOOKUP(A176,MEMÓRIA,6,FALSE)</f>
        <v>1</v>
      </c>
      <c r="G176" s="714">
        <f>IF(B176="SEPLAG",VLOOKUP(CONCATENATE("TOTAL DO ITEM NÃO DESON. - ",C176),BASE01,8,FALSE),VLOOKUP(C176,'NAO DESO'!A:D,4,FALSE))</f>
        <v>3295.81</v>
      </c>
      <c r="H176" s="715">
        <f t="shared" ref="H176:H181" si="36">TRUNC(G176+G176*$K$6,2)</f>
        <v>4028.34</v>
      </c>
      <c r="I176" s="715">
        <f t="shared" ref="I176:I181" si="37">TRUNC(F176*H176,2)</f>
        <v>4028.34</v>
      </c>
      <c r="J176" s="715">
        <f>IF(B176="SEPLAG",VLOOKUP(CONCATENATE("TOTAL DO ITEM DESON. - ",C176),BASE02,10,FALSE),VLOOKUP(C176,DESON!A:D,4,FALSE))</f>
        <v>3263.8900000000003</v>
      </c>
      <c r="K176" s="715">
        <f t="shared" ref="K176:K181" si="38">J176+J176*$L$6</f>
        <v>4189.1269268875403</v>
      </c>
      <c r="L176" s="715">
        <f t="shared" ref="L176:L181" si="39">TRUNC(F176*K176,2)</f>
        <v>4189.12</v>
      </c>
    </row>
    <row r="177" spans="1:12" s="716" customFormat="1" ht="28.5">
      <c r="A177" s="89" t="s">
        <v>13943</v>
      </c>
      <c r="B177" s="717" t="s">
        <v>14504</v>
      </c>
      <c r="C177" s="74" t="s">
        <v>265</v>
      </c>
      <c r="D177" s="712" t="str">
        <f>IF(B177="SEPLAG",VLOOKUP(C177,COMPOSIÇÃO,2,FALSE),VLOOKUP(C177,'NAO DESO'!A:B,2,FALSE))</f>
        <v>SIRENE PARA ALARME DE BOMBA EM FUNCIONAMENTO, 220V.  FORNECIMENTO E INSTALAÇÃO.</v>
      </c>
      <c r="E177" s="76" t="str">
        <f>IF(B177="SEPLAG",VLOOKUP(C177,UNIDADE,3,FALSE),VLOOKUP(C177,'NAO DESO'!A:C,3,FALSE))</f>
        <v>UND</v>
      </c>
      <c r="F177" s="713">
        <f t="shared" si="35"/>
        <v>3</v>
      </c>
      <c r="G177" s="714">
        <f>IF(B177="SEPLAG",VLOOKUP(CONCATENATE("TOTAL DO ITEM NÃO DESON. - ",C177),BASE01,8,FALSE),VLOOKUP(C177,'NAO DESO'!A:D,4,FALSE))</f>
        <v>1133.4699999999998</v>
      </c>
      <c r="H177" s="715">
        <f t="shared" si="36"/>
        <v>1385.39</v>
      </c>
      <c r="I177" s="715">
        <f t="shared" si="37"/>
        <v>4156.17</v>
      </c>
      <c r="J177" s="715">
        <f>IF(B177="SEPLAG",VLOOKUP(CONCATENATE("TOTAL DO ITEM DESON. - ",C177),BASE02,10,FALSE),VLOOKUP(C177,DESON!A:D,4,FALSE))</f>
        <v>1131.03</v>
      </c>
      <c r="K177" s="715">
        <f t="shared" si="38"/>
        <v>1451.6507076272835</v>
      </c>
      <c r="L177" s="715">
        <f t="shared" si="39"/>
        <v>4354.95</v>
      </c>
    </row>
    <row r="178" spans="1:12" s="716" customFormat="1" ht="28.5">
      <c r="A178" s="89" t="s">
        <v>13944</v>
      </c>
      <c r="B178" s="717" t="s">
        <v>14504</v>
      </c>
      <c r="C178" s="74" t="s">
        <v>266</v>
      </c>
      <c r="D178" s="712" t="str">
        <f>IF(B178="SEPLAG",VLOOKUP(C178,COMPOSIÇÃO,2,FALSE),VLOOKUP(C178,'NAO DESO'!A:B,2,FALSE))</f>
        <v>ACIONADOR MANUAL (BOTOEIRA) TIPO QUEBRA-VIDRO, P/INCENDIO.  FORNECIMENTO E INSTALAÇÃO.</v>
      </c>
      <c r="E178" s="76" t="str">
        <f>IF(B178="SEPLAG",VLOOKUP(C178,UNIDADE,3,FALSE),VLOOKUP(C178,'NAO DESO'!A:C,3,FALSE))</f>
        <v>UND</v>
      </c>
      <c r="F178" s="713">
        <f t="shared" si="35"/>
        <v>3</v>
      </c>
      <c r="G178" s="714">
        <f>IF(B178="SEPLAG",VLOOKUP(CONCATENATE("TOTAL DO ITEM NÃO DESON. - ",C178),BASE01,8,FALSE),VLOOKUP(C178,'NAO DESO'!A:D,4,FALSE))</f>
        <v>111.31</v>
      </c>
      <c r="H178" s="715">
        <f t="shared" si="36"/>
        <v>136.04</v>
      </c>
      <c r="I178" s="715">
        <f t="shared" si="37"/>
        <v>408.12</v>
      </c>
      <c r="J178" s="715">
        <f>IF(B178="SEPLAG",VLOOKUP(CONCATENATE("TOTAL DO ITEM DESON. - ",C178),BASE02,10,FALSE),VLOOKUP(C178,DESON!A:D,4,FALSE))</f>
        <v>108.87</v>
      </c>
      <c r="K178" s="715">
        <f t="shared" si="38"/>
        <v>139.7321136834411</v>
      </c>
      <c r="L178" s="715">
        <f t="shared" si="39"/>
        <v>419.19</v>
      </c>
    </row>
    <row r="179" spans="1:12" s="110" customFormat="1" ht="28.5">
      <c r="A179" s="89" t="s">
        <v>13945</v>
      </c>
      <c r="B179" s="793" t="s">
        <v>14504</v>
      </c>
      <c r="C179" s="794" t="s">
        <v>267</v>
      </c>
      <c r="D179" s="712" t="str">
        <f>IF(B179="SEPLAG",VLOOKUP(C179,COMPOSIÇÃO,2,FALSE),VLOOKUP(C179,'NAO DESO'!A:B,2,FALSE))</f>
        <v>BOTOEIRA LIGA-DESLIGA PARA BOMBA DE INCÊNDIO MODELO BLD-1, MARCA VERIN OU SIMILAR.  FORNECIMENTO E INSTALAÇÃO.</v>
      </c>
      <c r="E179" s="76" t="str">
        <f>IF(B179="SEPLAG",VLOOKUP(C179,UNIDADE,3,FALSE),VLOOKUP(C179,'NAO DESO'!A:C,3,FALSE))</f>
        <v>UND</v>
      </c>
      <c r="F179" s="713">
        <f t="shared" si="35"/>
        <v>3</v>
      </c>
      <c r="G179" s="714">
        <f>IF(B179="SEPLAG",VLOOKUP(CONCATENATE("TOTAL DO ITEM NÃO DESON. - ",C179),BASE01,8,FALSE),VLOOKUP(C179,'NAO DESO'!A:D,4,FALSE))</f>
        <v>111.31</v>
      </c>
      <c r="H179" s="715">
        <f t="shared" si="36"/>
        <v>136.04</v>
      </c>
      <c r="I179" s="715">
        <f t="shared" si="37"/>
        <v>408.12</v>
      </c>
      <c r="J179" s="715">
        <f>IF(B179="SEPLAG",VLOOKUP(CONCATENATE("TOTAL DO ITEM DESON. - ",C179),BASE02,10,FALSE),VLOOKUP(C179,DESON!A:D,4,FALSE))</f>
        <v>108.87</v>
      </c>
      <c r="K179" s="715">
        <f t="shared" si="38"/>
        <v>139.7321136834411</v>
      </c>
      <c r="L179" s="715">
        <f t="shared" si="39"/>
        <v>419.19</v>
      </c>
    </row>
    <row r="180" spans="1:12" s="110" customFormat="1" ht="28.5">
      <c r="A180" s="89" t="s">
        <v>27190</v>
      </c>
      <c r="B180" s="793" t="s">
        <v>14504</v>
      </c>
      <c r="C180" s="794" t="s">
        <v>27186</v>
      </c>
      <c r="D180" s="712" t="str">
        <f>IF(B180="SEPLAG",VLOOKUP(C180,COMPOSIÇÃO,2,FALSE),VLOOKUP(C180,'NAO DESO'!A:B,2,FALSE))</f>
        <v>DETECTOR DE INCÊNDIO</v>
      </c>
      <c r="E180" s="76" t="str">
        <f>IF(B180="SEPLAG",VLOOKUP(C180,UNIDADE,3,FALSE),VLOOKUP(C180,'NAO DESO'!A:C,3,FALSE))</f>
        <v>UND</v>
      </c>
      <c r="F180" s="713">
        <f t="shared" si="35"/>
        <v>10</v>
      </c>
      <c r="G180" s="714">
        <f>IF(B180="SEPLAG",VLOOKUP(CONCATENATE("TOTAL DO ITEM NÃO DESON. - ",C180),BASE01,8,FALSE),VLOOKUP(C180,'NAO DESO'!A:D,4,FALSE))</f>
        <v>106.42</v>
      </c>
      <c r="H180" s="715">
        <f t="shared" si="36"/>
        <v>130.07</v>
      </c>
      <c r="I180" s="715">
        <f t="shared" si="37"/>
        <v>1300.7</v>
      </c>
      <c r="J180" s="715">
        <f>IF(B180="SEPLAG",VLOOKUP(CONCATENATE("TOTAL DO ITEM DESON. - ",C180),BASE02,10,FALSE),VLOOKUP(C180,DESON!A:D,4,FALSE))</f>
        <v>104.46</v>
      </c>
      <c r="K180" s="715">
        <f t="shared" si="38"/>
        <v>134.07198121954858</v>
      </c>
      <c r="L180" s="715">
        <f t="shared" si="39"/>
        <v>1340.71</v>
      </c>
    </row>
    <row r="181" spans="1:12" s="110" customFormat="1" ht="28.5">
      <c r="A181" s="89" t="s">
        <v>27191</v>
      </c>
      <c r="B181" s="793" t="s">
        <v>14504</v>
      </c>
      <c r="C181" s="794" t="s">
        <v>27187</v>
      </c>
      <c r="D181" s="712" t="str">
        <f>IF(B181="SEPLAG",VLOOKUP(C181,COMPOSIÇÃO,2,FALSE),VLOOKUP(C181,'NAO DESO'!A:B,2,FALSE))</f>
        <v>DETECTOR DE FUMAÇA</v>
      </c>
      <c r="E181" s="76" t="str">
        <f>IF(B181="SEPLAG",VLOOKUP(C181,UNIDADE,3,FALSE),VLOOKUP(C181,'NAO DESO'!A:C,3,FALSE))</f>
        <v>UND</v>
      </c>
      <c r="F181" s="713">
        <f t="shared" si="35"/>
        <v>4</v>
      </c>
      <c r="G181" s="714">
        <f>IF(B181="SEPLAG",VLOOKUP(CONCATENATE("TOTAL DO ITEM NÃO DESON. - ",C181),BASE01,8,FALSE),VLOOKUP(C181,'NAO DESO'!A:D,4,FALSE))</f>
        <v>275.45000000000005</v>
      </c>
      <c r="H181" s="715">
        <f t="shared" si="36"/>
        <v>336.67</v>
      </c>
      <c r="I181" s="715">
        <f t="shared" si="37"/>
        <v>1346.68</v>
      </c>
      <c r="J181" s="715">
        <f>IF(B181="SEPLAG",VLOOKUP(CONCATENATE("TOTAL DO ITEM DESON. - ",C181),BASE02,10,FALSE),VLOOKUP(C181,DESON!A:D,4,FALSE))</f>
        <v>273.49</v>
      </c>
      <c r="K181" s="715">
        <f t="shared" si="38"/>
        <v>351.01805613377701</v>
      </c>
      <c r="L181" s="715">
        <f t="shared" si="39"/>
        <v>1404.07</v>
      </c>
    </row>
    <row r="182" spans="1:12" s="716" customFormat="1">
      <c r="A182" s="725" t="str">
        <f>CONCATENATE("TOTAL DO ITEM &gt;&gt;&gt;&gt;",A175)</f>
        <v>TOTAL DO ITEM &gt;&gt;&gt;&gt;6.1</v>
      </c>
      <c r="B182" s="771"/>
      <c r="C182" s="771"/>
      <c r="D182" s="771"/>
      <c r="E182" s="771"/>
      <c r="F182" s="771"/>
      <c r="G182" s="771"/>
      <c r="H182" s="771"/>
      <c r="I182" s="795">
        <f>SUM(I176:I181)</f>
        <v>11648.130000000003</v>
      </c>
      <c r="J182" s="773"/>
      <c r="K182" s="774"/>
      <c r="L182" s="795">
        <f>SUM(L176:L181)</f>
        <v>12127.23</v>
      </c>
    </row>
    <row r="183" spans="1:12" s="716" customFormat="1">
      <c r="A183" s="785"/>
      <c r="B183" s="786"/>
      <c r="C183" s="786"/>
      <c r="D183" s="786"/>
      <c r="E183" s="786"/>
      <c r="F183" s="786"/>
      <c r="G183" s="786"/>
      <c r="H183" s="786"/>
      <c r="I183" s="786"/>
      <c r="J183" s="796"/>
      <c r="K183" s="797"/>
      <c r="L183" s="798"/>
    </row>
    <row r="184" spans="1:12" s="716" customFormat="1">
      <c r="A184" s="762" t="s">
        <v>13946</v>
      </c>
      <c r="B184" s="763"/>
      <c r="C184" s="764"/>
      <c r="D184" s="765" t="s">
        <v>126</v>
      </c>
      <c r="E184" s="766"/>
      <c r="F184" s="767"/>
      <c r="G184" s="767"/>
      <c r="H184" s="767"/>
      <c r="I184" s="767"/>
      <c r="J184" s="769"/>
      <c r="K184" s="770"/>
      <c r="L184" s="770"/>
    </row>
    <row r="185" spans="1:12" s="716" customFormat="1" ht="57">
      <c r="A185" s="89" t="s">
        <v>13947</v>
      </c>
      <c r="B185" s="717" t="s">
        <v>14504</v>
      </c>
      <c r="C185" s="74" t="s">
        <v>268</v>
      </c>
      <c r="D185" s="712" t="str">
        <f>IF(B185="SEPLAG",VLOOKUP(C185,COMPOSIÇÃO,2,FALSE),VLOOKUP(C185,'NAO DESO'!A:B,2,FALSE))</f>
        <v>ABRIGO EM CHAPA TIPO EXTERNO 1 PORTA DE AÇO CARBONO, COMPLETO, VIDRO TRANSPARENTE, COM A INSCRIÇÃO "INCÊNDIO", SUPORTE BASCULANTE PARA MANGUEIRA PINTADO DE VERMELHO NAS DIMENSÕES 90 X 60 X 17 CM.  FORNECIMENTO E INSTALAÇÃO.</v>
      </c>
      <c r="E185" s="76" t="str">
        <f>IF(B185="SEPLAG",VLOOKUP(C185,UNIDADE,3,FALSE),VLOOKUP(C185,'NAO DESO'!A:C,3,FALSE))</f>
        <v>UND</v>
      </c>
      <c r="F185" s="713">
        <f t="shared" ref="F185:F195" si="40">VLOOKUP(A185,MEMÓRIA,6,FALSE)</f>
        <v>4</v>
      </c>
      <c r="G185" s="714">
        <f>IF(B185="SEPLAG",VLOOKUP(CONCATENATE("TOTAL DO ITEM NÃO DESON. - ",C185),BASE01,8,FALSE),VLOOKUP(C185,'NAO DESO'!A:D,4,FALSE))</f>
        <v>484.13</v>
      </c>
      <c r="H185" s="715">
        <f t="shared" ref="H185:H195" si="41">TRUNC(G185+G185*$K$6,2)</f>
        <v>591.73</v>
      </c>
      <c r="I185" s="715">
        <f t="shared" ref="I185:I195" si="42">TRUNC(F185*H185,2)</f>
        <v>2366.92</v>
      </c>
      <c r="J185" s="715">
        <f>IF(B185="SEPLAG",VLOOKUP(CONCATENATE("TOTAL DO ITEM DESON. - ",C185),BASE02,10,FALSE),VLOOKUP(C185,DESON!A:D,4,FALSE))</f>
        <v>471.95</v>
      </c>
      <c r="K185" s="715">
        <f t="shared" ref="K185:K195" si="43">J185+J185*$L$6</f>
        <v>605.73685177643074</v>
      </c>
      <c r="L185" s="715">
        <f t="shared" ref="L185:L195" si="44">TRUNC(F185*K185,2)</f>
        <v>2422.94</v>
      </c>
    </row>
    <row r="186" spans="1:12" s="716" customFormat="1" ht="28.5">
      <c r="A186" s="89" t="s">
        <v>13948</v>
      </c>
      <c r="B186" s="717" t="s">
        <v>14504</v>
      </c>
      <c r="C186" s="74" t="str">
        <f>COMPOSIÇÕES!C3038</f>
        <v>SEPLAG INC 46</v>
      </c>
      <c r="D186" s="712" t="str">
        <f>IF(B186="SEPLAG",VLOOKUP(C186,COMPOSIÇÃO,2,FALSE),VLOOKUP(C186,'NAO DESO'!A:B,2,FALSE))</f>
        <v>MANGUEIRA DE INCENDIO, TIPO 2, DE 2 1/2", COMPRIMENTO = 30 M, FORNECIMENTO E INSTALAÇÃO</v>
      </c>
      <c r="E186" s="76" t="str">
        <f>IF(B186="SEPLAG",VLOOKUP(C186,UNIDADE,3,FALSE),VLOOKUP(C186,'NAO DESO'!A:C,3,FALSE))</f>
        <v>UND</v>
      </c>
      <c r="F186" s="713">
        <f t="shared" si="40"/>
        <v>1</v>
      </c>
      <c r="G186" s="714">
        <f>IF(B186="SEPLAG",VLOOKUP(CONCATENATE("TOTAL DO ITEM NÃO DESON. - ",C186),BASE01,8,FALSE),VLOOKUP(C186,'NAO DESO'!A:D,4,FALSE))</f>
        <v>1311.22</v>
      </c>
      <c r="H186" s="715">
        <f t="shared" si="41"/>
        <v>1602.65</v>
      </c>
      <c r="I186" s="715">
        <f t="shared" si="42"/>
        <v>1602.65</v>
      </c>
      <c r="J186" s="715">
        <f>IF(B186="SEPLAG",VLOOKUP(CONCATENATE("TOTAL DO ITEM DESON. - ",C186),BASE02,10,FALSE),VLOOKUP(C186,DESON!A:D,4,FALSE))</f>
        <v>1309.1799999999998</v>
      </c>
      <c r="K186" s="715">
        <f t="shared" si="43"/>
        <v>1680.3020904940513</v>
      </c>
      <c r="L186" s="715">
        <f t="shared" si="44"/>
        <v>1680.3</v>
      </c>
    </row>
    <row r="187" spans="1:12" s="716" customFormat="1" ht="28.5">
      <c r="A187" s="89" t="s">
        <v>13949</v>
      </c>
      <c r="B187" s="717" t="s">
        <v>14504</v>
      </c>
      <c r="C187" s="74" t="str">
        <f>COMPOSIÇÕES!C3047</f>
        <v>SEPLAG INC 47</v>
      </c>
      <c r="D187" s="712" t="str">
        <f>IF(B187="SEPLAG",VLOOKUP(C187,COMPOSIÇÃO,2,FALSE),VLOOKUP(C187,'NAO DESO'!A:B,2,FALSE))</f>
        <v>MANGUEIRA DE INCENDIO, TIPO 1, DE 1 1/2", COMPRIMENTO = 30 M, FORNECIMENTO E INSTALAÇÃO</v>
      </c>
      <c r="E187" s="76" t="str">
        <f>IF(B187="SEPLAG",VLOOKUP(C187,UNIDADE,3,FALSE),VLOOKUP(C187,'NAO DESO'!A:C,3,FALSE))</f>
        <v>UND</v>
      </c>
      <c r="F187" s="713">
        <f t="shared" si="40"/>
        <v>3</v>
      </c>
      <c r="G187" s="714">
        <f>IF(B187="SEPLAG",VLOOKUP(CONCATENATE("TOTAL DO ITEM NÃO DESON. - ",C187),BASE01,8,FALSE),VLOOKUP(C187,'NAO DESO'!A:D,4,FALSE))</f>
        <v>630.12</v>
      </c>
      <c r="H187" s="715">
        <f>TRUNC(G187+G187*$K$6,2)</f>
        <v>770.17</v>
      </c>
      <c r="I187" s="715">
        <f>TRUNC(F187*H187,2)</f>
        <v>2310.5100000000002</v>
      </c>
      <c r="J187" s="715">
        <f>IF(B187="SEPLAG",VLOOKUP(CONCATENATE("TOTAL DO ITEM DESON. - ",C187),BASE02,10,FALSE),VLOOKUP(C187,DESON!A:D,4,FALSE))</f>
        <v>628.08000000000004</v>
      </c>
      <c r="K187" s="715">
        <f>J187+J187*$L$6</f>
        <v>806.12607662621178</v>
      </c>
      <c r="L187" s="715">
        <f>TRUNC(F187*K187,2)</f>
        <v>2418.37</v>
      </c>
    </row>
    <row r="188" spans="1:12" s="716" customFormat="1" ht="42.75">
      <c r="A188" s="89" t="s">
        <v>13950</v>
      </c>
      <c r="B188" s="717" t="s">
        <v>14504</v>
      </c>
      <c r="C188" s="74" t="s">
        <v>269</v>
      </c>
      <c r="D188" s="712" t="str">
        <f>IF(B188="SEPLAG",VLOOKUP(C188,COMPOSIÇÃO,2,FALSE),VLOOKUP(C188,'NAO DESO'!A:B,2,FALSE))</f>
        <v>ADAPTADOR EM LATAO P/ INSTALACAO PREDIAL DE COMBATE A INCENDIO ENGATE RAPIDO 1 1/2" X ROSCA INTERNA 5 FIOS 2 1/2" .  FORNECIMENTO E INSTALAÇÃO.</v>
      </c>
      <c r="E188" s="76" t="str">
        <f>IF(B188="SEPLAG",VLOOKUP(C188,UNIDADE,3,FALSE),VLOOKUP(C188,'NAO DESO'!A:C,3,FALSE))</f>
        <v>UND</v>
      </c>
      <c r="F188" s="713">
        <f t="shared" si="40"/>
        <v>4</v>
      </c>
      <c r="G188" s="714">
        <f>IF(B188="SEPLAG",VLOOKUP(CONCATENATE("TOTAL DO ITEM NÃO DESON. - ",C188),BASE01,8,FALSE),VLOOKUP(C188,'NAO DESO'!A:D,4,FALSE))</f>
        <v>72.52</v>
      </c>
      <c r="H188" s="715">
        <f t="shared" si="41"/>
        <v>88.63</v>
      </c>
      <c r="I188" s="715">
        <f t="shared" si="42"/>
        <v>354.52</v>
      </c>
      <c r="J188" s="715">
        <f>IF(B188="SEPLAG",VLOOKUP(CONCATENATE("TOTAL DO ITEM DESON. - ",C188),BASE02,10,FALSE),VLOOKUP(C188,DESON!A:D,4,FALSE))</f>
        <v>70.509999999999991</v>
      </c>
      <c r="K188" s="715">
        <f t="shared" si="43"/>
        <v>90.497945584820698</v>
      </c>
      <c r="L188" s="715">
        <f t="shared" si="44"/>
        <v>361.99</v>
      </c>
    </row>
    <row r="189" spans="1:12" s="716" customFormat="1" ht="28.5">
      <c r="A189" s="89" t="s">
        <v>13951</v>
      </c>
      <c r="B189" s="717" t="s">
        <v>14504</v>
      </c>
      <c r="C189" s="74" t="s">
        <v>270</v>
      </c>
      <c r="D189" s="712" t="str">
        <f>IF(B189="SEPLAG",VLOOKUP(C189,COMPOSIÇÃO,2,FALSE),VLOOKUP(C189,'NAO DESO'!A:B,2,FALSE))</f>
        <v>CHAVE PARA CONEXÕES DE ENGATE RÁPIDO,
(STORZ), 63 x 38 MM.  FORNECIMENTO E INSTALAÇÃO.</v>
      </c>
      <c r="E189" s="76" t="str">
        <f>IF(B189="SEPLAG",VLOOKUP(C189,UNIDADE,3,FALSE),VLOOKUP(C189,'NAO DESO'!A:C,3,FALSE))</f>
        <v>UND</v>
      </c>
      <c r="F189" s="713">
        <f t="shared" si="40"/>
        <v>3</v>
      </c>
      <c r="G189" s="714">
        <f>IF(B189="SEPLAG",VLOOKUP(CONCATENATE("TOTAL DO ITEM NÃO DESON. - ",C189),BASE01,8,FALSE),VLOOKUP(C189,'NAO DESO'!A:D,4,FALSE))</f>
        <v>19.02</v>
      </c>
      <c r="H189" s="715">
        <f t="shared" si="41"/>
        <v>23.24</v>
      </c>
      <c r="I189" s="715">
        <f t="shared" si="42"/>
        <v>69.72</v>
      </c>
      <c r="J189" s="715">
        <f>IF(B189="SEPLAG",VLOOKUP(CONCATENATE("TOTAL DO ITEM DESON. - ",C189),BASE02,10,FALSE),VLOOKUP(C189,DESON!A:D,4,FALSE))</f>
        <v>18.57</v>
      </c>
      <c r="K189" s="715">
        <f t="shared" si="43"/>
        <v>23.834163232309184</v>
      </c>
      <c r="L189" s="715">
        <f t="shared" si="44"/>
        <v>71.5</v>
      </c>
    </row>
    <row r="190" spans="1:12" s="716" customFormat="1" ht="28.5">
      <c r="A190" s="89" t="s">
        <v>13952</v>
      </c>
      <c r="B190" s="717" t="s">
        <v>14504</v>
      </c>
      <c r="C190" s="74" t="s">
        <v>271</v>
      </c>
      <c r="D190" s="712" t="str">
        <f>IF(B190="SEPLAG",VLOOKUP(C190,COMPOSIÇÃO,2,FALSE),VLOOKUP(C190,'NAO DESO'!A:B,2,FALSE))</f>
        <v>ESGUICHO TIPO AGULHETA, JUNTA DE UNIÃO ENGATE RÁPIDO 2.1/2.  FORNECIMENTO E INSTALAÇÃO.</v>
      </c>
      <c r="E190" s="76" t="str">
        <f>IF(B190="SEPLAG",VLOOKUP(C190,UNIDADE,3,FALSE),VLOOKUP(C190,'NAO DESO'!A:C,3,FALSE))</f>
        <v>UND</v>
      </c>
      <c r="F190" s="713">
        <f t="shared" si="40"/>
        <v>1</v>
      </c>
      <c r="G190" s="714">
        <f>IF(B190="SEPLAG",VLOOKUP(CONCATENATE("TOTAL DO ITEM NÃO DESON. - ",C190),BASE01,8,FALSE),VLOOKUP(C190,'NAO DESO'!A:D,4,FALSE))</f>
        <v>241.35</v>
      </c>
      <c r="H190" s="715">
        <f t="shared" si="41"/>
        <v>294.99</v>
      </c>
      <c r="I190" s="715">
        <f t="shared" si="42"/>
        <v>294.99</v>
      </c>
      <c r="J190" s="715">
        <f>IF(B190="SEPLAG",VLOOKUP(CONCATENATE("TOTAL DO ITEM DESON. - ",C190),BASE02,10,FALSE),VLOOKUP(C190,DESON!A:D,4,FALSE))</f>
        <v>239.34</v>
      </c>
      <c r="K190" s="715">
        <f t="shared" si="43"/>
        <v>307.18732514921271</v>
      </c>
      <c r="L190" s="715">
        <f t="shared" si="44"/>
        <v>307.18</v>
      </c>
    </row>
    <row r="191" spans="1:12" s="716" customFormat="1" ht="28.5">
      <c r="A191" s="89" t="s">
        <v>13953</v>
      </c>
      <c r="B191" s="717" t="s">
        <v>14504</v>
      </c>
      <c r="C191" s="74" t="str">
        <f>COMPOSIÇÕES!C3056</f>
        <v>SEPLAG INC 48</v>
      </c>
      <c r="D191" s="712" t="str">
        <f>IF(B191="SEPLAG",VLOOKUP(C191,COMPOSIÇÃO,2,FALSE),VLOOKUP(C191,'NAO DESO'!A:B,2,FALSE))</f>
        <v>ESGUICHO TIPO AGULHETA, JUNTA DE UNIÃO ENGATE RÁPIDO 1.1/2.  FORNECIMENTO E INSTALAÇÃO.</v>
      </c>
      <c r="E191" s="76" t="str">
        <f>IF(B191="SEPLAG",VLOOKUP(C191,UNIDADE,3,FALSE),VLOOKUP(C191,'NAO DESO'!A:C,3,FALSE))</f>
        <v>UND</v>
      </c>
      <c r="F191" s="713">
        <f>VLOOKUP(A191,MEMÓRIA,6,FALSE)</f>
        <v>3</v>
      </c>
      <c r="G191" s="714">
        <f>IF(B191="SEPLAG",VLOOKUP(CONCATENATE("TOTAL DO ITEM NÃO DESON. - ",C191),BASE01,8,FALSE),VLOOKUP(C191,'NAO DESO'!A:D,4,FALSE))</f>
        <v>201.82000000000002</v>
      </c>
      <c r="H191" s="715">
        <f>TRUNC(G191+G191*$K$6,2)</f>
        <v>246.67</v>
      </c>
      <c r="I191" s="715">
        <f>TRUNC(F191*H191,2)</f>
        <v>740.01</v>
      </c>
      <c r="J191" s="715">
        <f>IF(B191="SEPLAG",VLOOKUP(CONCATENATE("TOTAL DO ITEM DESON. - ",C191),BASE02,10,FALSE),VLOOKUP(C191,DESON!A:D,4,FALSE))</f>
        <v>199.81000000000003</v>
      </c>
      <c r="K191" s="715">
        <f>J191+J191*$L$6</f>
        <v>256.45148925404948</v>
      </c>
      <c r="L191" s="715">
        <f>TRUNC(F191*K191,2)</f>
        <v>769.35</v>
      </c>
    </row>
    <row r="192" spans="1:12" s="716" customFormat="1" ht="28.5">
      <c r="A192" s="89" t="s">
        <v>13954</v>
      </c>
      <c r="B192" s="799" t="s">
        <v>79</v>
      </c>
      <c r="C192" s="74">
        <v>101906</v>
      </c>
      <c r="D192" s="712" t="str">
        <f>IF(B192="SEPLAG",VLOOKUP(C192,COMPOSIÇÃO,2,FALSE),VLOOKUP(C192,'NAO DESO'!A:B,2,FALSE))</f>
        <v>EXTINTOR DE INCÊNDIO PORTÁTIL COM CARGA DE CO2 DE 4 KG, CLASSE BC - FORNECIMENTO E INSTALAÇÃO. AF_10/2020_P</v>
      </c>
      <c r="E192" s="76" t="str">
        <f>IF(B192="SEPLAG",VLOOKUP(C192,UNIDADE,3,FALSE),VLOOKUP(C192,'NAO DESO'!A:C,3,FALSE))</f>
        <v>UN</v>
      </c>
      <c r="F192" s="713">
        <f t="shared" si="40"/>
        <v>5</v>
      </c>
      <c r="G192" s="714" t="str">
        <f>IF(B192="SEPLAG",VLOOKUP(CONCATENATE("TOTAL DO ITEM NÃO DESON. - ",C192),BASE01,8,FALSE),VLOOKUP(C192,'NAO DESO'!A:D,4,FALSE))</f>
        <v>555,83</v>
      </c>
      <c r="H192" s="715">
        <f t="shared" si="41"/>
        <v>679.36</v>
      </c>
      <c r="I192" s="715">
        <f t="shared" si="42"/>
        <v>3396.8</v>
      </c>
      <c r="J192" s="715" t="str">
        <f>IF(B192="SEPLAG",VLOOKUP(CONCATENATE("TOTAL DO ITEM DESON. - ",C192),BASE02,10,FALSE),VLOOKUP(C192,DESON!A:D,4,FALSE))</f>
        <v>553,96</v>
      </c>
      <c r="K192" s="715">
        <f t="shared" si="43"/>
        <v>710.99477997684426</v>
      </c>
      <c r="L192" s="715">
        <f t="shared" si="44"/>
        <v>3554.97</v>
      </c>
    </row>
    <row r="193" spans="1:12" s="716" customFormat="1" ht="28.5">
      <c r="A193" s="89" t="s">
        <v>13955</v>
      </c>
      <c r="B193" s="799" t="s">
        <v>79</v>
      </c>
      <c r="C193" s="74">
        <v>101908</v>
      </c>
      <c r="D193" s="712" t="str">
        <f>IF(B193="SEPLAG",VLOOKUP(C193,COMPOSIÇÃO,2,FALSE),VLOOKUP(C193,'NAO DESO'!A:B,2,FALSE))</f>
        <v>EXTINTOR DE INCÊNDIO PORTÁTIL COM CARGA DE PQS DE 4 KG, CLASSE BC - FORNECIMENTO E INSTALAÇÃO. AF_10/2020_P</v>
      </c>
      <c r="E193" s="76" t="str">
        <f>IF(B193="SEPLAG",VLOOKUP(C193,UNIDADE,3,FALSE),VLOOKUP(C193,'NAO DESO'!A:C,3,FALSE))</f>
        <v>UN</v>
      </c>
      <c r="F193" s="713">
        <f t="shared" si="40"/>
        <v>3</v>
      </c>
      <c r="G193" s="714" t="str">
        <f>IF(B193="SEPLAG",VLOOKUP(CONCATENATE("TOTAL DO ITEM NÃO DESON. - ",C193),BASE01,8,FALSE),VLOOKUP(C193,'NAO DESO'!A:D,4,FALSE))</f>
        <v>183,02</v>
      </c>
      <c r="H193" s="715">
        <f t="shared" si="41"/>
        <v>223.69</v>
      </c>
      <c r="I193" s="715">
        <f t="shared" si="42"/>
        <v>671.07</v>
      </c>
      <c r="J193" s="715" t="str">
        <f>IF(B193="SEPLAG",VLOOKUP(CONCATENATE("TOTAL DO ITEM DESON. - ",C193),BASE02,10,FALSE),VLOOKUP(C193,DESON!A:D,4,FALSE))</f>
        <v>181,15</v>
      </c>
      <c r="K193" s="715">
        <f t="shared" si="43"/>
        <v>232.5018131143139</v>
      </c>
      <c r="L193" s="715">
        <f t="shared" si="44"/>
        <v>697.5</v>
      </c>
    </row>
    <row r="194" spans="1:12" s="716" customFormat="1" ht="28.5">
      <c r="A194" s="89" t="s">
        <v>14668</v>
      </c>
      <c r="B194" s="717" t="s">
        <v>79</v>
      </c>
      <c r="C194" s="74">
        <v>101905</v>
      </c>
      <c r="D194" s="712" t="str">
        <f>IF(B194="SEPLAG",VLOOKUP(C194,COMPOSIÇÃO,2,FALSE),VLOOKUP(C194,'NAO DESO'!A:B,2,FALSE))</f>
        <v>EXTINTOR DE INCÊNDIO PORTÁTIL COM CARGA DE ÁGUA PRESSURIZADA DE 10 L, CLASSE A - FORNECIMENTO E INSTALAÇÃO. AF_10/2020_P</v>
      </c>
      <c r="E194" s="76" t="str">
        <f>IF(B194="SEPLAG",VLOOKUP(C194,UNIDADE,3,FALSE),VLOOKUP(C194,'NAO DESO'!A:C,3,FALSE))</f>
        <v>UN</v>
      </c>
      <c r="F194" s="713">
        <f t="shared" si="40"/>
        <v>5</v>
      </c>
      <c r="G194" s="714" t="str">
        <f>IF(B194="SEPLAG",VLOOKUP(CONCATENATE("TOTAL DO ITEM NÃO DESON. - ",C194),BASE01,8,FALSE),VLOOKUP(C194,'NAO DESO'!A:D,4,FALSE))</f>
        <v>188,61</v>
      </c>
      <c r="H194" s="715">
        <f t="shared" si="41"/>
        <v>230.53</v>
      </c>
      <c r="I194" s="715">
        <f t="shared" si="42"/>
        <v>1152.6500000000001</v>
      </c>
      <c r="J194" s="715" t="str">
        <f>IF(B194="SEPLAG",VLOOKUP(CONCATENATE("TOTAL DO ITEM DESON. - ",C194),BASE02,10,FALSE),VLOOKUP(C194,DESON!A:D,4,FALSE))</f>
        <v>186,74</v>
      </c>
      <c r="K194" s="715">
        <f t="shared" si="43"/>
        <v>239.6764481422411</v>
      </c>
      <c r="L194" s="715">
        <f t="shared" si="44"/>
        <v>1198.3800000000001</v>
      </c>
    </row>
    <row r="195" spans="1:12" s="716" customFormat="1" ht="28.5">
      <c r="A195" s="89" t="s">
        <v>14673</v>
      </c>
      <c r="B195" s="799" t="s">
        <v>14504</v>
      </c>
      <c r="C195" s="74" t="s">
        <v>272</v>
      </c>
      <c r="D195" s="712" t="str">
        <f>IF(B195="SEPLAG",VLOOKUP(C195,COMPOSIÇÃO,2,FALSE),VLOOKUP(C195,'NAO DESO'!A:B,2,FALSE))</f>
        <v>HIDRANTE DE RECALQUE COMPLETO EM CAIXA DE ALVENARIA.  FORNECIMENTO E INSTALAÇÃO.</v>
      </c>
      <c r="E195" s="76" t="str">
        <f>IF(B195="SEPLAG",VLOOKUP(C195,UNIDADE,3,FALSE),VLOOKUP(C195,'NAO DESO'!A:C,3,FALSE))</f>
        <v>UND</v>
      </c>
      <c r="F195" s="713">
        <f t="shared" si="40"/>
        <v>1</v>
      </c>
      <c r="G195" s="714">
        <f>IF(B195="SEPLAG",VLOOKUP(CONCATENATE("TOTAL DO ITEM NÃO DESON. - ",C195),BASE01,8,FALSE),VLOOKUP(C195,'NAO DESO'!A:D,4,FALSE))</f>
        <v>1049.7099999999998</v>
      </c>
      <c r="H195" s="715">
        <f t="shared" si="41"/>
        <v>1283.02</v>
      </c>
      <c r="I195" s="715">
        <f t="shared" si="42"/>
        <v>1283.02</v>
      </c>
      <c r="J195" s="715">
        <f>IF(B195="SEPLAG",VLOOKUP(CONCATENATE("TOTAL DO ITEM DESON. - ",C195),BASE02,10,FALSE),VLOOKUP(C195,DESON!A:D,4,FALSE))</f>
        <v>1029.5999999999999</v>
      </c>
      <c r="K195" s="715">
        <f t="shared" si="43"/>
        <v>1321.4676609577564</v>
      </c>
      <c r="L195" s="715">
        <f t="shared" si="44"/>
        <v>1321.46</v>
      </c>
    </row>
    <row r="196" spans="1:12" s="716" customFormat="1">
      <c r="A196" s="725" t="str">
        <f>CONCATENATE("TOTAL DO ITEM &gt;&gt;&gt;&gt;",A184)</f>
        <v>TOTAL DO ITEM &gt;&gt;&gt;&gt;6.2</v>
      </c>
      <c r="B196" s="771"/>
      <c r="C196" s="771"/>
      <c r="D196" s="771"/>
      <c r="E196" s="771"/>
      <c r="F196" s="771"/>
      <c r="G196" s="771"/>
      <c r="H196" s="771"/>
      <c r="I196" s="727">
        <f>SUM(I185:I195)</f>
        <v>14242.86</v>
      </c>
      <c r="J196" s="774"/>
      <c r="K196" s="774"/>
      <c r="L196" s="727">
        <f>SUM(L185:L195)</f>
        <v>14803.939999999999</v>
      </c>
    </row>
    <row r="197" spans="1:12" s="716" customFormat="1">
      <c r="A197" s="126"/>
      <c r="B197" s="127"/>
      <c r="C197" s="127"/>
      <c r="D197" s="127"/>
      <c r="E197" s="127"/>
      <c r="F197" s="127"/>
      <c r="G197" s="127"/>
      <c r="H197" s="127"/>
      <c r="I197" s="127"/>
      <c r="J197" s="127"/>
      <c r="K197" s="127"/>
      <c r="L197" s="128"/>
    </row>
    <row r="198" spans="1:12" s="716" customFormat="1">
      <c r="A198" s="800" t="s">
        <v>13956</v>
      </c>
      <c r="B198" s="801"/>
      <c r="C198" s="801"/>
      <c r="D198" s="802" t="s">
        <v>168</v>
      </c>
      <c r="E198" s="801"/>
      <c r="F198" s="803"/>
      <c r="G198" s="803"/>
      <c r="H198" s="803"/>
      <c r="I198" s="733"/>
      <c r="J198" s="770"/>
      <c r="K198" s="770"/>
      <c r="L198" s="770"/>
    </row>
    <row r="199" spans="1:12" s="716" customFormat="1" ht="28.5">
      <c r="A199" s="77" t="s">
        <v>13957</v>
      </c>
      <c r="B199" s="799" t="s">
        <v>79</v>
      </c>
      <c r="C199" s="74">
        <v>21014</v>
      </c>
      <c r="D199" s="712" t="str">
        <f>IF(B199="SEPLAG",VLOOKUP(C199,COMPOSIÇÃO,2,FALSE),VLOOKUP(C199,'NAO DESO'!A:B,2,FALSE))</f>
        <v>TUBO ACO GALVANIZADO COM COSTURA, CLASSE LEVE, DN 65 MM ( 2 1/2"),  E = 3,35 MM, * 6,23* KG/M (NBR 5580)</v>
      </c>
      <c r="E199" s="76" t="str">
        <f>IF(B199="SEPLAG",VLOOKUP(C199,UNIDADE,3,FALSE),VLOOKUP(C199,'NAO DESO'!A:C,3,FALSE))</f>
        <v xml:space="preserve">M     </v>
      </c>
      <c r="F199" s="713">
        <f t="shared" ref="F199:F212" si="45">VLOOKUP(A199,MEMÓRIA,6,FALSE)</f>
        <v>79.5</v>
      </c>
      <c r="G199" s="714">
        <f>IF(B199="SEPLAG",VLOOKUP(CONCATENATE("TOTAL DO ITEM NÃO DESON. - ",C199),BASE01,8,FALSE),VLOOKUP(C199,'NAO DESO'!A:D,4,FALSE))</f>
        <v>115.34</v>
      </c>
      <c r="H199" s="715">
        <f t="shared" ref="H199:H212" si="46">TRUNC(G199+G199*$K$6,2)</f>
        <v>140.97</v>
      </c>
      <c r="I199" s="715">
        <f t="shared" ref="I199:I212" si="47">TRUNC(F199*H199,2)</f>
        <v>11207.11</v>
      </c>
      <c r="J199" s="715" t="str">
        <f>IF(B199="SEPLAG",VLOOKUP(CONCATENATE("TOTAL DO ITEM DESON. - ",C199),BASE02,10,FALSE),VLOOKUP(C199,DESON!A:D,4,FALSE))</f>
        <v>115,34</v>
      </c>
      <c r="K199" s="715">
        <f t="shared" ref="K199:K212" si="48">J199+J199*$L$6</f>
        <v>148.03620825064843</v>
      </c>
      <c r="L199" s="715">
        <f t="shared" ref="L199:L212" si="49">TRUNC(F199*K199,2)</f>
        <v>11768.87</v>
      </c>
    </row>
    <row r="200" spans="1:12" s="716" customFormat="1" ht="42.75">
      <c r="A200" s="77" t="s">
        <v>13958</v>
      </c>
      <c r="B200" s="799" t="s">
        <v>79</v>
      </c>
      <c r="C200" s="74">
        <v>92390</v>
      </c>
      <c r="D200" s="712" t="str">
        <f>IF(B200="SEPLAG",VLOOKUP(C200,COMPOSIÇÃO,2,FALSE),VLOOKUP(C200,'NAO DESO'!A:B,2,FALSE))</f>
        <v>JOELHO 90 GRAUS, EM FERRO GALVANIZADO, DN 65 (2 1/2"), CONEXÃO ROSQUEADA, INSTALADO EM REDE DE ALIMENTAÇÃO PARA HIDRANTE - FORNECIMENTO E INSTALAÇÃO. AF_10/2020</v>
      </c>
      <c r="E200" s="76" t="str">
        <f>IF(B200="SEPLAG",VLOOKUP(C200,UNIDADE,3,FALSE),VLOOKUP(C200,'NAO DESO'!A:C,3,FALSE))</f>
        <v>UN</v>
      </c>
      <c r="F200" s="713">
        <f t="shared" si="45"/>
        <v>25</v>
      </c>
      <c r="G200" s="714" t="str">
        <f>IF(B200="SEPLAG",VLOOKUP(CONCATENATE("TOTAL DO ITEM NÃO DESON. - ",C200),BASE01,8,FALSE),VLOOKUP(C200,'NAO DESO'!A:D,4,FALSE))</f>
        <v>114,71</v>
      </c>
      <c r="H200" s="715">
        <f t="shared" si="46"/>
        <v>140.19999999999999</v>
      </c>
      <c r="I200" s="715">
        <f t="shared" si="47"/>
        <v>3505</v>
      </c>
      <c r="J200" s="715" t="str">
        <f>IF(B200="SEPLAG",VLOOKUP(CONCATENATE("TOTAL DO ITEM DESON. - ",C200),BASE02,10,FALSE),VLOOKUP(C200,DESON!A:D,4,FALSE))</f>
        <v>110,18</v>
      </c>
      <c r="K200" s="715">
        <f t="shared" si="48"/>
        <v>141.41346822486946</v>
      </c>
      <c r="L200" s="715">
        <f t="shared" si="49"/>
        <v>3535.33</v>
      </c>
    </row>
    <row r="201" spans="1:12" s="716" customFormat="1" ht="28.5">
      <c r="A201" s="77" t="s">
        <v>13959</v>
      </c>
      <c r="B201" s="799" t="s">
        <v>79</v>
      </c>
      <c r="C201" s="74">
        <v>92357</v>
      </c>
      <c r="D201" s="712" t="str">
        <f>IF(B201="SEPLAG",VLOOKUP(C201,COMPOSIÇÃO,2,FALSE),VLOOKUP(C201,'NAO DESO'!A:B,2,FALSE))</f>
        <v>TÊ, EM FERRO GALVANIZADO, DN 65 (2 1/2"), CONEXÃO ROSQUEADA, INSTALADO EM PRUMADAS - FORNECIMENTO E INSTALAÇÃO. AF_10/2020</v>
      </c>
      <c r="E201" s="76" t="str">
        <f>IF(B201="SEPLAG",VLOOKUP(C201,UNIDADE,3,FALSE),VLOOKUP(C201,'NAO DESO'!A:C,3,FALSE))</f>
        <v>UN</v>
      </c>
      <c r="F201" s="713">
        <f t="shared" si="45"/>
        <v>3</v>
      </c>
      <c r="G201" s="714" t="str">
        <f>IF(B201="SEPLAG",VLOOKUP(CONCATENATE("TOTAL DO ITEM NÃO DESON. - ",C201),BASE01,8,FALSE),VLOOKUP(C201,'NAO DESO'!A:D,4,FALSE))</f>
        <v>154,29</v>
      </c>
      <c r="H201" s="715">
        <f t="shared" si="46"/>
        <v>188.58</v>
      </c>
      <c r="I201" s="715">
        <f t="shared" si="47"/>
        <v>565.74</v>
      </c>
      <c r="J201" s="715" t="str">
        <f>IF(B201="SEPLAG",VLOOKUP(CONCATENATE("TOTAL DO ITEM DESON. - ",C201),BASE02,10,FALSE),VLOOKUP(C201,DESON!A:D,4,FALSE))</f>
        <v>148,54</v>
      </c>
      <c r="K201" s="715">
        <f t="shared" si="48"/>
        <v>190.64763632348982</v>
      </c>
      <c r="L201" s="715">
        <f t="shared" si="49"/>
        <v>571.94000000000005</v>
      </c>
    </row>
    <row r="202" spans="1:12" s="716" customFormat="1" ht="28.5">
      <c r="A202" s="77" t="s">
        <v>13960</v>
      </c>
      <c r="B202" s="799" t="s">
        <v>79</v>
      </c>
      <c r="C202" s="74">
        <v>92346</v>
      </c>
      <c r="D202" s="712" t="str">
        <f>IF(B202="SEPLAG",VLOOKUP(C202,COMPOSIÇÃO,2,FALSE),VLOOKUP(C202,'NAO DESO'!A:B,2,FALSE))</f>
        <v>NIPLE, EM FERRO GALVANIZADO, DN 65 (2 1/2"), CONEXÃO ROSQUEADA, INSTALADO EM PRUMADAS - FORNECIMENTO E INSTALAÇÃO. AF_10/2020</v>
      </c>
      <c r="E202" s="76" t="str">
        <f>IF(B202="SEPLAG",VLOOKUP(C202,UNIDADE,3,FALSE),VLOOKUP(C202,'NAO DESO'!A:C,3,FALSE))</f>
        <v>UN</v>
      </c>
      <c r="F202" s="713">
        <f t="shared" si="45"/>
        <v>10</v>
      </c>
      <c r="G202" s="714" t="str">
        <f>IF(B202="SEPLAG",VLOOKUP(CONCATENATE("TOTAL DO ITEM NÃO DESON. - ",C202),BASE01,8,FALSE),VLOOKUP(C202,'NAO DESO'!A:D,4,FALSE))</f>
        <v>70,11</v>
      </c>
      <c r="H202" s="715">
        <f t="shared" si="46"/>
        <v>85.69</v>
      </c>
      <c r="I202" s="715">
        <f t="shared" si="47"/>
        <v>856.9</v>
      </c>
      <c r="J202" s="715" t="str">
        <f>IF(B202="SEPLAG",VLOOKUP(CONCATENATE("TOTAL DO ITEM DESON. - ",C202),BASE02,10,FALSE),VLOOKUP(C202,DESON!A:D,4,FALSE))</f>
        <v>67,23</v>
      </c>
      <c r="K202" s="715">
        <f t="shared" si="48"/>
        <v>86.288141847503852</v>
      </c>
      <c r="L202" s="715">
        <f t="shared" si="49"/>
        <v>862.88</v>
      </c>
    </row>
    <row r="203" spans="1:12" s="716" customFormat="1" ht="28.5">
      <c r="A203" s="77" t="s">
        <v>13961</v>
      </c>
      <c r="B203" s="799" t="s">
        <v>79</v>
      </c>
      <c r="C203" s="74">
        <v>92890</v>
      </c>
      <c r="D203" s="712" t="str">
        <f>IF(B203="SEPLAG",VLOOKUP(C203,COMPOSIÇÃO,2,FALSE),VLOOKUP(C203,'NAO DESO'!A:B,2,FALSE))</f>
        <v>UNIÃO, EM FERRO GALVANIZADO, DN 65 (2 1/2"), CONEXÃO ROSQUEADA, INSTALADO EM PRUMADAS - FORNECIMENTO E INSTALAÇÃO. AF_10/2020</v>
      </c>
      <c r="E203" s="76" t="str">
        <f>IF(B203="SEPLAG",VLOOKUP(C203,UNIDADE,3,FALSE),VLOOKUP(C203,'NAO DESO'!A:C,3,FALSE))</f>
        <v>UN</v>
      </c>
      <c r="F203" s="713">
        <f t="shared" si="45"/>
        <v>5</v>
      </c>
      <c r="G203" s="714" t="str">
        <f>IF(B203="SEPLAG",VLOOKUP(CONCATENATE("TOTAL DO ITEM NÃO DESON. - ",C203),BASE01,8,FALSE),VLOOKUP(C203,'NAO DESO'!A:D,4,FALSE))</f>
        <v>160,57</v>
      </c>
      <c r="H203" s="715">
        <f t="shared" si="46"/>
        <v>196.25</v>
      </c>
      <c r="I203" s="715">
        <f t="shared" si="47"/>
        <v>981.25</v>
      </c>
      <c r="J203" s="715" t="str">
        <f>IF(B203="SEPLAG",VLOOKUP(CONCATENATE("TOTAL DO ITEM DESON. - ",C203),BASE02,10,FALSE),VLOOKUP(C203,DESON!A:D,4,FALSE))</f>
        <v>157,69</v>
      </c>
      <c r="K203" s="715">
        <f t="shared" si="48"/>
        <v>202.39144857850485</v>
      </c>
      <c r="L203" s="715">
        <f t="shared" si="49"/>
        <v>1011.95</v>
      </c>
    </row>
    <row r="204" spans="1:12" s="716" customFormat="1" ht="28.5">
      <c r="A204" s="77" t="s">
        <v>13962</v>
      </c>
      <c r="B204" s="799" t="s">
        <v>79</v>
      </c>
      <c r="C204" s="74">
        <v>99624</v>
      </c>
      <c r="D204" s="712" t="str">
        <f>IF(B204="SEPLAG",VLOOKUP(C204,COMPOSIÇÃO,2,FALSE),VLOOKUP(C204,'NAO DESO'!A:B,2,FALSE))</f>
        <v>VÁLVULA DE RETENÇÃO HORIZONTAL, DE BRONZE, ROSCÁVEL, 2 1/2" - FORNECIMENTO E INSTALAÇÃO. AF_08/2021</v>
      </c>
      <c r="E204" s="76" t="str">
        <f>IF(B204="SEPLAG",VLOOKUP(C204,UNIDADE,3,FALSE),VLOOKUP(C204,'NAO DESO'!A:C,3,FALSE))</f>
        <v>UN</v>
      </c>
      <c r="F204" s="713">
        <f t="shared" si="45"/>
        <v>1</v>
      </c>
      <c r="G204" s="714" t="str">
        <f>IF(B204="SEPLAG",VLOOKUP(CONCATENATE("TOTAL DO ITEM NÃO DESON. - ",C204),BASE01,8,FALSE),VLOOKUP(C204,'NAO DESO'!A:D,4,FALSE))</f>
        <v>425,96</v>
      </c>
      <c r="H204" s="715">
        <f t="shared" si="46"/>
        <v>520.63</v>
      </c>
      <c r="I204" s="715">
        <f t="shared" si="47"/>
        <v>520.63</v>
      </c>
      <c r="J204" s="715" t="str">
        <f>IF(B204="SEPLAG",VLOOKUP(CONCATENATE("TOTAL DO ITEM DESON. - ",C204),BASE02,10,FALSE),VLOOKUP(C204,DESON!A:D,4,FALSE))</f>
        <v>424,10</v>
      </c>
      <c r="K204" s="715">
        <f t="shared" si="48"/>
        <v>544.32248932807352</v>
      </c>
      <c r="L204" s="715">
        <f t="shared" si="49"/>
        <v>544.32000000000005</v>
      </c>
    </row>
    <row r="205" spans="1:12" s="716" customFormat="1" ht="28.5">
      <c r="A205" s="77" t="s">
        <v>13963</v>
      </c>
      <c r="B205" s="799" t="s">
        <v>14504</v>
      </c>
      <c r="C205" s="74" t="s">
        <v>274</v>
      </c>
      <c r="D205" s="712" t="str">
        <f>IF(B205="SEPLAG",VLOOKUP(C205,COMPOSIÇÃO,2,FALSE),VLOOKUP(C205,'NAO DESO'!A:B,2,FALSE))</f>
        <v>VALVULA DE SUCÇÃO 2.1/2", FORNECIMENTO E INSTALAÇÃO</v>
      </c>
      <c r="E205" s="76" t="str">
        <f>IF(B205="SEPLAG",VLOOKUP(C205,UNIDADE,3,FALSE),VLOOKUP(C205,'NAO DESO'!A:C,3,FALSE))</f>
        <v>UND</v>
      </c>
      <c r="F205" s="713">
        <f t="shared" si="45"/>
        <v>1</v>
      </c>
      <c r="G205" s="714">
        <f>IF(B205="SEPLAG",VLOOKUP(CONCATENATE("TOTAL DO ITEM NÃO DESON. - ",C205),BASE01,8,FALSE),VLOOKUP(C205,'NAO DESO'!A:D,4,FALSE))</f>
        <v>279.28000000000003</v>
      </c>
      <c r="H205" s="715">
        <f t="shared" si="46"/>
        <v>341.35</v>
      </c>
      <c r="I205" s="715">
        <f t="shared" si="47"/>
        <v>341.35</v>
      </c>
      <c r="J205" s="715">
        <f>IF(B205="SEPLAG",VLOOKUP(CONCATENATE("TOTAL DO ITEM DESON. - ",C205),BASE02,10,FALSE),VLOOKUP(C205,DESON!A:D,4,FALSE))</f>
        <v>276.00000000000006</v>
      </c>
      <c r="K205" s="715">
        <f t="shared" si="48"/>
        <v>354.23958277422383</v>
      </c>
      <c r="L205" s="715">
        <f t="shared" si="49"/>
        <v>354.23</v>
      </c>
    </row>
    <row r="206" spans="1:12" s="716" customFormat="1" ht="28.5">
      <c r="A206" s="77" t="s">
        <v>13964</v>
      </c>
      <c r="B206" s="799" t="s">
        <v>79</v>
      </c>
      <c r="C206" s="74">
        <v>94499</v>
      </c>
      <c r="D206" s="712" t="str">
        <f>IF(B206="SEPLAG",VLOOKUP(C206,COMPOSIÇÃO,2,FALSE),VLOOKUP(C206,'NAO DESO'!A:B,2,FALSE))</f>
        <v>REGISTRO DE GAVETA BRUTO, LATÃO, ROSCÁVEL, 2 1/2" - FORNECIMENTO E INSTALAÇÃO. AF_08/2021</v>
      </c>
      <c r="E206" s="76" t="str">
        <f>IF(B206="SEPLAG",VLOOKUP(C206,UNIDADE,3,FALSE),VLOOKUP(C206,'NAO DESO'!A:C,3,FALSE))</f>
        <v>UN</v>
      </c>
      <c r="F206" s="713">
        <f t="shared" si="45"/>
        <v>3</v>
      </c>
      <c r="G206" s="714" t="str">
        <f>IF(B206="SEPLAG",VLOOKUP(CONCATENATE("TOTAL DO ITEM NÃO DESON. - ",C206),BASE01,8,FALSE),VLOOKUP(C206,'NAO DESO'!A:D,4,FALSE))</f>
        <v>231,51</v>
      </c>
      <c r="H206" s="715">
        <f t="shared" si="46"/>
        <v>282.95999999999998</v>
      </c>
      <c r="I206" s="715">
        <f t="shared" si="47"/>
        <v>848.88</v>
      </c>
      <c r="J206" s="715" t="str">
        <f>IF(B206="SEPLAG",VLOOKUP(CONCATENATE("TOTAL DO ITEM DESON. - ",C206),BASE02,10,FALSE),VLOOKUP(C206,DESON!A:D,4,FALSE))</f>
        <v>229,65</v>
      </c>
      <c r="K206" s="715">
        <f t="shared" si="48"/>
        <v>294.75043544963944</v>
      </c>
      <c r="L206" s="715">
        <f t="shared" si="49"/>
        <v>884.25</v>
      </c>
    </row>
    <row r="207" spans="1:12" s="716" customFormat="1" ht="28.5">
      <c r="A207" s="77" t="s">
        <v>13965</v>
      </c>
      <c r="B207" s="799" t="s">
        <v>14504</v>
      </c>
      <c r="C207" s="74" t="s">
        <v>275</v>
      </c>
      <c r="D207" s="712" t="str">
        <f>IF(B207="SEPLAG",VLOOKUP(C207,COMPOSIÇÃO,2,FALSE),VLOOKUP(C207,'NAO DESO'!A:B,2,FALSE))</f>
        <v>REGISTRO DE GAVETA 2.1/2" COM HASTE ASCENDENTE DE BRONZE, FORNECIMENTO E INSTALAÇÃO</v>
      </c>
      <c r="E207" s="76" t="str">
        <f>IF(B207="SEPLAG",VLOOKUP(C207,UNIDADE,3,FALSE),VLOOKUP(C207,'NAO DESO'!A:C,3,FALSE))</f>
        <v>UND</v>
      </c>
      <c r="F207" s="713">
        <f t="shared" si="45"/>
        <v>1</v>
      </c>
      <c r="G207" s="714">
        <f>IF(B207="SEPLAG",VLOOKUP(CONCATENATE("TOTAL DO ITEM NÃO DESON. - ",C207),BASE01,8,FALSE),VLOOKUP(C207,'NAO DESO'!A:D,4,FALSE))</f>
        <v>339.29</v>
      </c>
      <c r="H207" s="715">
        <f t="shared" si="46"/>
        <v>414.7</v>
      </c>
      <c r="I207" s="715">
        <f t="shared" si="47"/>
        <v>414.7</v>
      </c>
      <c r="J207" s="715">
        <f>IF(B207="SEPLAG",VLOOKUP(CONCATENATE("TOTAL DO ITEM DESON. - ",C207),BASE02,10,FALSE),VLOOKUP(C207,DESON!A:D,4,FALSE))</f>
        <v>336.01000000000005</v>
      </c>
      <c r="K207" s="715">
        <f t="shared" si="48"/>
        <v>431.26102249263386</v>
      </c>
      <c r="L207" s="715">
        <f t="shared" si="49"/>
        <v>431.26</v>
      </c>
    </row>
    <row r="208" spans="1:12" s="716" customFormat="1" ht="28.5">
      <c r="A208" s="77" t="s">
        <v>13966</v>
      </c>
      <c r="B208" s="799" t="s">
        <v>14504</v>
      </c>
      <c r="C208" s="74" t="s">
        <v>7738</v>
      </c>
      <c r="D208" s="712" t="str">
        <f>IF(B208="SEPLAG",VLOOKUP(C208,COMPOSIÇÃO,2,FALSE),VLOOKUP(C208,'NAO DESO'!A:B,2,FALSE))</f>
        <v>PINTURA ESMALTE EM TUBO GALVANIZADO, DUAS (2) DEMÃOS, INCLUSIVE UMA (1) DEMÃO DE FUNDO ANTICORROSIVO</v>
      </c>
      <c r="E208" s="76" t="str">
        <f>IF(B208="SEPLAG",VLOOKUP(C208,UNIDADE,3,FALSE),VLOOKUP(C208,'NAO DESO'!A:C,3,FALSE))</f>
        <v>M</v>
      </c>
      <c r="F208" s="713">
        <f t="shared" si="45"/>
        <v>15.9</v>
      </c>
      <c r="G208" s="714">
        <f>IF(B208="SEPLAG",VLOOKUP(CONCATENATE("TOTAL DO ITEM NÃO DESON. - ",C208),BASE01,8,FALSE),VLOOKUP(C208,'NAO DESO'!A:D,4,FALSE))</f>
        <v>18.84</v>
      </c>
      <c r="H208" s="715">
        <f t="shared" si="46"/>
        <v>23.02</v>
      </c>
      <c r="I208" s="715">
        <f t="shared" si="47"/>
        <v>366.01</v>
      </c>
      <c r="J208" s="715">
        <f>IF(B208="SEPLAG",VLOOKUP(CONCATENATE("TOTAL DO ITEM DESON. - ",C208),BASE02,10,FALSE),VLOOKUP(C208,DESON!A:D,4,FALSE))</f>
        <v>17.630000000000003</v>
      </c>
      <c r="K208" s="715">
        <f t="shared" si="48"/>
        <v>22.627695088078134</v>
      </c>
      <c r="L208" s="715">
        <f t="shared" si="49"/>
        <v>359.78</v>
      </c>
    </row>
    <row r="209" spans="1:12" s="716" customFormat="1" ht="28.5">
      <c r="A209" s="77" t="s">
        <v>13967</v>
      </c>
      <c r="B209" s="799" t="s">
        <v>14504</v>
      </c>
      <c r="C209" s="74" t="s">
        <v>13934</v>
      </c>
      <c r="D209" s="712" t="str">
        <f>IF(B209="SEPLAG",VLOOKUP(C209,COMPOSIÇÃO,2,FALSE),VLOOKUP(C209,'NAO DESO'!A:B,2,FALSE))</f>
        <v>REGISTRO OU VALVULA GLOBO ANGULAR EM LATAO, PARA HIDRANTES, FORNECIMENTO E INSTALAÇÃO</v>
      </c>
      <c r="E209" s="76" t="str">
        <f>IF(B209="SEPLAG",VLOOKUP(C209,UNIDADE,3,FALSE),VLOOKUP(C209,'NAO DESO'!A:C,3,FALSE))</f>
        <v>UND</v>
      </c>
      <c r="F209" s="713">
        <f t="shared" si="45"/>
        <v>4</v>
      </c>
      <c r="G209" s="714">
        <f>IF(B209="SEPLAG",VLOOKUP(CONCATENATE("TOTAL DO ITEM NÃO DESON. - ",C209),BASE01,8,FALSE),VLOOKUP(C209,'NAO DESO'!A:D,4,FALSE))</f>
        <v>192.54000000000002</v>
      </c>
      <c r="H209" s="715">
        <f t="shared" si="46"/>
        <v>235.33</v>
      </c>
      <c r="I209" s="715">
        <f t="shared" si="47"/>
        <v>941.32</v>
      </c>
      <c r="J209" s="715">
        <f>IF(B209="SEPLAG",VLOOKUP(CONCATENATE("TOTAL DO ITEM DESON. - ",C209),BASE02,10,FALSE),VLOOKUP(C209,DESON!A:D,4,FALSE))</f>
        <v>189.26000000000002</v>
      </c>
      <c r="K209" s="715">
        <f t="shared" si="48"/>
        <v>242.91080955017969</v>
      </c>
      <c r="L209" s="715">
        <f t="shared" si="49"/>
        <v>971.64</v>
      </c>
    </row>
    <row r="210" spans="1:12" s="716" customFormat="1" ht="28.5">
      <c r="A210" s="77" t="s">
        <v>13968</v>
      </c>
      <c r="B210" s="799" t="s">
        <v>14504</v>
      </c>
      <c r="C210" s="74" t="s">
        <v>13937</v>
      </c>
      <c r="D210" s="712" t="str">
        <f>IF(B210="SEPLAG",VLOOKUP(C210,COMPOSIÇÃO,2,FALSE),VLOOKUP(C210,'NAO DESO'!A:B,2,FALSE))</f>
        <v>TAMPAO COM CORRENTE, EM LATAO, ENGATE RAPIDO 1 1/2", FORNECIMENTO E INSTALAÇÃO</v>
      </c>
      <c r="E210" s="76" t="str">
        <f>IF(B210="SEPLAG",VLOOKUP(C210,UNIDADE,3,FALSE),VLOOKUP(C210,'NAO DESO'!A:C,3,FALSE))</f>
        <v>UND</v>
      </c>
      <c r="F210" s="713">
        <f t="shared" si="45"/>
        <v>3</v>
      </c>
      <c r="G210" s="714">
        <f>IF(B210="SEPLAG",VLOOKUP(CONCATENATE("TOTAL DO ITEM NÃO DESON. - ",C210),BASE01,8,FALSE),VLOOKUP(C210,'NAO DESO'!A:D,4,FALSE))</f>
        <v>97.750000000000014</v>
      </c>
      <c r="H210" s="715">
        <f t="shared" si="46"/>
        <v>119.47</v>
      </c>
      <c r="I210" s="715">
        <f t="shared" si="47"/>
        <v>358.41</v>
      </c>
      <c r="J210" s="715">
        <f>IF(B210="SEPLAG",VLOOKUP(CONCATENATE("TOTAL DO ITEM DESON. - ",C210),BASE02,10,FALSE),VLOOKUP(C210,DESON!A:D,4,FALSE))</f>
        <v>94.47</v>
      </c>
      <c r="K210" s="715">
        <f t="shared" si="48"/>
        <v>121.25004849522071</v>
      </c>
      <c r="L210" s="715">
        <f t="shared" si="49"/>
        <v>363.75</v>
      </c>
    </row>
    <row r="211" spans="1:12" s="716" customFormat="1" ht="28.5">
      <c r="A211" s="77" t="s">
        <v>13969</v>
      </c>
      <c r="B211" s="799" t="s">
        <v>14504</v>
      </c>
      <c r="C211" s="74" t="str">
        <f>COMPOSIÇÕES!C3065</f>
        <v>SEPLAG INC 49</v>
      </c>
      <c r="D211" s="712" t="str">
        <f>IF(B211="SEPLAG",VLOOKUP(C211,COMPOSIÇÃO,2,FALSE),VLOOKUP(C211,'NAO DESO'!A:B,2,FALSE))</f>
        <v>REDUÇÃO GIRATORIA TIPO STORZ - BRONZE OU LATÃO.  FORNECIMENTO E INSTALAÇÃO.</v>
      </c>
      <c r="E211" s="76" t="str">
        <f>IF(B211="SEPLAG",VLOOKUP(C211,UNIDADE,3,FALSE),VLOOKUP(C211,'NAO DESO'!A:C,3,FALSE))</f>
        <v>UND</v>
      </c>
      <c r="F211" s="713">
        <f t="shared" si="45"/>
        <v>3</v>
      </c>
      <c r="G211" s="714">
        <f>IF(B211="SEPLAG",VLOOKUP(CONCATENATE("TOTAL DO ITEM NÃO DESON. - ",C211),BASE01,8,FALSE),VLOOKUP(C211,'NAO DESO'!A:D,4,FALSE))</f>
        <v>130.28</v>
      </c>
      <c r="H211" s="715">
        <f>TRUNC(G211+G211*$K$6,2)</f>
        <v>159.22999999999999</v>
      </c>
      <c r="I211" s="715">
        <f>TRUNC(F211*H211,2)</f>
        <v>477.69</v>
      </c>
      <c r="J211" s="715">
        <f>IF(B211="SEPLAG",VLOOKUP(CONCATENATE("TOTAL DO ITEM DESON. - ",C211),BASE02,10,FALSE),VLOOKUP(C211,DESON!A:D,4,FALSE))</f>
        <v>128.26999999999998</v>
      </c>
      <c r="K211" s="715">
        <f>J211+J211*$L$6</f>
        <v>164.63156261757126</v>
      </c>
      <c r="L211" s="715">
        <f>TRUNC(F211*K211,2)</f>
        <v>493.89</v>
      </c>
    </row>
    <row r="212" spans="1:12" s="716" customFormat="1" ht="28.5">
      <c r="A212" s="77" t="s">
        <v>13970</v>
      </c>
      <c r="B212" s="799" t="s">
        <v>14504</v>
      </c>
      <c r="C212" s="74" t="s">
        <v>13938</v>
      </c>
      <c r="D212" s="712" t="str">
        <f>IF(B212="SEPLAG",VLOOKUP(C212,COMPOSIÇÃO,2,FALSE),VLOOKUP(C212,'NAO DESO'!A:B,2,FALSE))</f>
        <v>TAMPAO COM CORRENTE, EM LATAO, ENGATE RAPIDO 2 1/2", FORNECIMENTO E INSTALAÇÃO</v>
      </c>
      <c r="E212" s="76" t="str">
        <f>IF(B212="SEPLAG",VLOOKUP(C212,UNIDADE,3,FALSE),VLOOKUP(C212,'NAO DESO'!A:C,3,FALSE))</f>
        <v>UND</v>
      </c>
      <c r="F212" s="713">
        <f t="shared" si="45"/>
        <v>1</v>
      </c>
      <c r="G212" s="714">
        <f>IF(B212="SEPLAG",VLOOKUP(CONCATENATE("TOTAL DO ITEM NÃO DESON. - ",C212),BASE01,8,FALSE),VLOOKUP(C212,'NAO DESO'!A:D,4,FALSE))</f>
        <v>118.49</v>
      </c>
      <c r="H212" s="715">
        <f t="shared" si="46"/>
        <v>144.82</v>
      </c>
      <c r="I212" s="715">
        <f t="shared" si="47"/>
        <v>144.82</v>
      </c>
      <c r="J212" s="715">
        <f>IF(B212="SEPLAG",VLOOKUP(CONCATENATE("TOTAL DO ITEM DESON. - ",C212),BASE02,10,FALSE),VLOOKUP(C212,DESON!A:D,4,FALSE))</f>
        <v>115.21000000000001</v>
      </c>
      <c r="K212" s="715">
        <f t="shared" si="48"/>
        <v>147.86935627325477</v>
      </c>
      <c r="L212" s="715">
        <f t="shared" si="49"/>
        <v>147.86000000000001</v>
      </c>
    </row>
    <row r="213" spans="1:12" s="716" customFormat="1">
      <c r="A213" s="725" t="str">
        <f>CONCATENATE("TOTAL DO ITEM &gt;&gt;&gt;&gt;",A198)</f>
        <v>TOTAL DO ITEM &gt;&gt;&gt;&gt;6.3</v>
      </c>
      <c r="B213" s="771"/>
      <c r="C213" s="771"/>
      <c r="D213" s="771"/>
      <c r="E213" s="771"/>
      <c r="F213" s="771"/>
      <c r="G213" s="771"/>
      <c r="H213" s="771"/>
      <c r="I213" s="727">
        <f>SUM(I199:I212)</f>
        <v>21529.809999999998</v>
      </c>
      <c r="J213" s="804"/>
      <c r="K213" s="804"/>
      <c r="L213" s="727">
        <f>SUM(L199:L212)</f>
        <v>22301.949999999997</v>
      </c>
    </row>
    <row r="214" spans="1:12" s="716" customFormat="1">
      <c r="A214" s="126"/>
      <c r="B214" s="127"/>
      <c r="C214" s="127"/>
      <c r="D214" s="127"/>
      <c r="E214" s="127"/>
      <c r="F214" s="127"/>
      <c r="G214" s="127"/>
      <c r="H214" s="127"/>
      <c r="I214" s="127"/>
      <c r="J214" s="127"/>
      <c r="K214" s="127"/>
      <c r="L214" s="128"/>
    </row>
    <row r="215" spans="1:12" s="716" customFormat="1">
      <c r="A215" s="762" t="s">
        <v>13971</v>
      </c>
      <c r="B215" s="763"/>
      <c r="C215" s="764"/>
      <c r="D215" s="765" t="s">
        <v>293</v>
      </c>
      <c r="E215" s="766"/>
      <c r="F215" s="755"/>
      <c r="G215" s="755"/>
      <c r="H215" s="755"/>
      <c r="I215" s="755"/>
      <c r="J215" s="805"/>
      <c r="K215" s="805"/>
      <c r="L215" s="805"/>
    </row>
    <row r="216" spans="1:12" s="716" customFormat="1" ht="28.5">
      <c r="A216" s="77" t="s">
        <v>13972</v>
      </c>
      <c r="B216" s="717" t="s">
        <v>14504</v>
      </c>
      <c r="C216" s="78" t="s">
        <v>276</v>
      </c>
      <c r="D216" s="712" t="str">
        <f>IF(B216="SEPLAG",VLOOKUP(C216,COMPOSIÇÃO,2,FALSE),VLOOKUP(C216,'NAO DESO'!A:B,2,FALSE))</f>
        <v>PLACA FOTOLUMINESCENTE "E1" - (ALARME SONORO).  FORNECIMENTO E INSTALAÇÃO.</v>
      </c>
      <c r="E216" s="76" t="str">
        <f>IF(B216="SEPLAG",VLOOKUP(C216,UNIDADE,3,FALSE),VLOOKUP(C216,'NAO DESO'!A:C,3,FALSE))</f>
        <v>UND</v>
      </c>
      <c r="F216" s="713">
        <f t="shared" ref="F216:F226" si="50">VLOOKUP(A216,MEMÓRIA,6,FALSE)</f>
        <v>1</v>
      </c>
      <c r="G216" s="714">
        <f>IF(B216="SEPLAG",VLOOKUP(CONCATENATE("TOTAL DO ITEM NÃO DESON. - ",C216),BASE01,8,FALSE),VLOOKUP(C216,'NAO DESO'!A:D,4,FALSE))</f>
        <v>21.01</v>
      </c>
      <c r="H216" s="715">
        <f t="shared" ref="H216:H226" si="51">TRUNC(G216+G216*$K$6,2)</f>
        <v>25.67</v>
      </c>
      <c r="I216" s="715">
        <f t="shared" ref="I216:I226" si="52">TRUNC(F216*H216,2)</f>
        <v>25.67</v>
      </c>
      <c r="J216" s="715">
        <f>IF(B216="SEPLAG",VLOOKUP(CONCATENATE("TOTAL DO ITEM DESON. - ",C216),BASE02,10,FALSE),VLOOKUP(C216,DESON!A:D,4,FALSE))</f>
        <v>19.89</v>
      </c>
      <c r="K216" s="715">
        <f t="shared" ref="K216:K226" si="53">J216+J216*$L$6</f>
        <v>25.528352541229385</v>
      </c>
      <c r="L216" s="715">
        <f t="shared" ref="L216:L226" si="54">TRUNC(F216*K216,2)</f>
        <v>25.52</v>
      </c>
    </row>
    <row r="217" spans="1:12" s="716" customFormat="1" ht="28.5">
      <c r="A217" s="77" t="s">
        <v>13973</v>
      </c>
      <c r="B217" s="717" t="s">
        <v>14504</v>
      </c>
      <c r="C217" s="78" t="s">
        <v>277</v>
      </c>
      <c r="D217" s="712" t="str">
        <f>IF(B217="SEPLAG",VLOOKUP(C217,COMPOSIÇÃO,2,FALSE),VLOOKUP(C217,'NAO DESO'!A:B,2,FALSE))</f>
        <v>PLACA FOTOLUMINESCENTE "E2" - (ALARME INCÊNDIO).  FORNECIMENTO E INSTALAÇÃO.</v>
      </c>
      <c r="E217" s="76" t="str">
        <f>IF(B217="SEPLAG",VLOOKUP(C217,UNIDADE,3,FALSE),VLOOKUP(C217,'NAO DESO'!A:C,3,FALSE))</f>
        <v>UND</v>
      </c>
      <c r="F217" s="713">
        <f t="shared" si="50"/>
        <v>3</v>
      </c>
      <c r="G217" s="714">
        <f>IF(B217="SEPLAG",VLOOKUP(CONCATENATE("TOTAL DO ITEM NÃO DESON. - ",C217),BASE01,8,FALSE),VLOOKUP(C217,'NAO DESO'!A:D,4,FALSE))</f>
        <v>21.35</v>
      </c>
      <c r="H217" s="715">
        <f t="shared" si="51"/>
        <v>26.09</v>
      </c>
      <c r="I217" s="715">
        <f t="shared" si="52"/>
        <v>78.27</v>
      </c>
      <c r="J217" s="715">
        <f>IF(B217="SEPLAG",VLOOKUP(CONCATENATE("TOTAL DO ITEM DESON. - ",C217),BASE02,10,FALSE),VLOOKUP(C217,DESON!A:D,4,FALSE))</f>
        <v>20.23</v>
      </c>
      <c r="K217" s="715">
        <f t="shared" si="53"/>
        <v>25.964734635951256</v>
      </c>
      <c r="L217" s="715">
        <f t="shared" si="54"/>
        <v>77.89</v>
      </c>
    </row>
    <row r="218" spans="1:12" s="716" customFormat="1" ht="28.5">
      <c r="A218" s="77" t="s">
        <v>13974</v>
      </c>
      <c r="B218" s="717" t="s">
        <v>14504</v>
      </c>
      <c r="C218" s="78" t="s">
        <v>278</v>
      </c>
      <c r="D218" s="712" t="str">
        <f>IF(B218="SEPLAG",VLOOKUP(C218,COMPOSIÇÃO,2,FALSE),VLOOKUP(C218,'NAO DESO'!A:B,2,FALSE))</f>
        <v>PLACA FOTOLUMINESCENTE "E3" - (BOMBA DE INCÊNDIO).  FORNECIMENTO E INSTALAÇÃO.</v>
      </c>
      <c r="E218" s="76" t="str">
        <f>IF(B218="SEPLAG",VLOOKUP(C218,UNIDADE,3,FALSE),VLOOKUP(C218,'NAO DESO'!A:C,3,FALSE))</f>
        <v>UND</v>
      </c>
      <c r="F218" s="713">
        <f t="shared" si="50"/>
        <v>3</v>
      </c>
      <c r="G218" s="714">
        <f>IF(B218="SEPLAG",VLOOKUP(CONCATENATE("TOTAL DO ITEM NÃO DESON. - ",C218),BASE01,8,FALSE),VLOOKUP(C218,'NAO DESO'!A:D,4,FALSE))</f>
        <v>18.48</v>
      </c>
      <c r="H218" s="715">
        <f t="shared" si="51"/>
        <v>22.58</v>
      </c>
      <c r="I218" s="715">
        <f t="shared" si="52"/>
        <v>67.739999999999995</v>
      </c>
      <c r="J218" s="715">
        <f>IF(B218="SEPLAG",VLOOKUP(CONCATENATE("TOTAL DO ITEM DESON. - ",C218),BASE02,10,FALSE),VLOOKUP(C218,DESON!A:D,4,FALSE))</f>
        <v>17.36</v>
      </c>
      <c r="K218" s="715">
        <f t="shared" si="53"/>
        <v>22.281156365798999</v>
      </c>
      <c r="L218" s="715">
        <f t="shared" si="54"/>
        <v>66.84</v>
      </c>
    </row>
    <row r="219" spans="1:12" s="654" customFormat="1" ht="28.5">
      <c r="A219" s="77" t="s">
        <v>13975</v>
      </c>
      <c r="B219" s="717" t="s">
        <v>14504</v>
      </c>
      <c r="C219" s="78" t="s">
        <v>280</v>
      </c>
      <c r="D219" s="712" t="str">
        <f>IF(B219="SEPLAG",VLOOKUP(C219,COMPOSIÇÃO,2,FALSE),VLOOKUP(C219,'NAO DESO'!A:B,2,FALSE))</f>
        <v>PLACA FOTOLUMINESCENTE "E8"- ABRIGO DE MANGUEIRA E HIDRANTE- 300 X 300.  FORNECIMENTO E INSTALAÇÃO.</v>
      </c>
      <c r="E219" s="76" t="str">
        <f>IF(B219="SEPLAG",VLOOKUP(C219,UNIDADE,3,FALSE),VLOOKUP(C219,'NAO DESO'!A:C,3,FALSE))</f>
        <v>UND</v>
      </c>
      <c r="F219" s="713">
        <f t="shared" si="50"/>
        <v>3</v>
      </c>
      <c r="G219" s="714">
        <f>IF(B219="SEPLAG",VLOOKUP(CONCATENATE("TOTAL DO ITEM NÃO DESON. - ",C219),BASE01,8,FALSE),VLOOKUP(C219,'NAO DESO'!A:D,4,FALSE))</f>
        <v>21.01</v>
      </c>
      <c r="H219" s="715">
        <f t="shared" si="51"/>
        <v>25.67</v>
      </c>
      <c r="I219" s="715">
        <f t="shared" si="52"/>
        <v>77.010000000000005</v>
      </c>
      <c r="J219" s="715">
        <f>IF(B219="SEPLAG",VLOOKUP(CONCATENATE("TOTAL DO ITEM DESON. - ",C219),BASE02,10,FALSE),VLOOKUP(C219,DESON!A:D,4,FALSE))</f>
        <v>19.89</v>
      </c>
      <c r="K219" s="715">
        <f t="shared" si="53"/>
        <v>25.528352541229385</v>
      </c>
      <c r="L219" s="715">
        <f t="shared" si="54"/>
        <v>76.58</v>
      </c>
    </row>
    <row r="220" spans="1:12" s="716" customFormat="1" ht="28.5">
      <c r="A220" s="77" t="s">
        <v>13976</v>
      </c>
      <c r="B220" s="717" t="s">
        <v>14504</v>
      </c>
      <c r="C220" s="78" t="s">
        <v>285</v>
      </c>
      <c r="D220" s="712" t="str">
        <f>IF(B220="SEPLAG",VLOOKUP(C220,COMPOSIÇÃO,2,FALSE),VLOOKUP(C220,'NAO DESO'!A:B,2,FALSE))</f>
        <v>PLACA FOTOLUMINESCENTE "S1" OU "S2"- 380 X 190 MM (SAÍDA - DIREITA).  FORNECIMENTO E INSTALAÇÃO.</v>
      </c>
      <c r="E220" s="76" t="str">
        <f>IF(B220="SEPLAG",VLOOKUP(C220,UNIDADE,3,FALSE),VLOOKUP(C220,'NAO DESO'!A:C,3,FALSE))</f>
        <v>UND</v>
      </c>
      <c r="F220" s="713">
        <f t="shared" si="50"/>
        <v>1</v>
      </c>
      <c r="G220" s="714">
        <f>IF(B220="SEPLAG",VLOOKUP(CONCATENATE("TOTAL DO ITEM NÃO DESON. - ",C220),BASE01,8,FALSE),VLOOKUP(C220,'NAO DESO'!A:D,4,FALSE))</f>
        <v>20.450000000000003</v>
      </c>
      <c r="H220" s="715">
        <f t="shared" si="51"/>
        <v>24.99</v>
      </c>
      <c r="I220" s="715">
        <f t="shared" si="52"/>
        <v>24.99</v>
      </c>
      <c r="J220" s="715">
        <f>IF(B220="SEPLAG",VLOOKUP(CONCATENATE("TOTAL DO ITEM DESON. - ",C220),BASE02,10,FALSE),VLOOKUP(C220,DESON!A:D,4,FALSE))</f>
        <v>19.329999999999998</v>
      </c>
      <c r="K220" s="715">
        <f t="shared" si="53"/>
        <v>24.80960556168748</v>
      </c>
      <c r="L220" s="715">
        <f t="shared" si="54"/>
        <v>24.8</v>
      </c>
    </row>
    <row r="221" spans="1:12" s="716" customFormat="1" ht="28.5">
      <c r="A221" s="77" t="s">
        <v>13977</v>
      </c>
      <c r="B221" s="717" t="s">
        <v>14504</v>
      </c>
      <c r="C221" s="78" t="s">
        <v>286</v>
      </c>
      <c r="D221" s="712" t="str">
        <f>IF(B221="SEPLAG",VLOOKUP(C221,COMPOSIÇÃO,2,FALSE),VLOOKUP(C221,'NAO DESO'!A:B,2,FALSE))</f>
        <v>PLACA FOTOLUMINESCENTE "S1" OU "S2"- 380 X 190 MM (SAÍDA - ESQUERDA).  FORNECIMENTO E INSTALAÇÃO.</v>
      </c>
      <c r="E221" s="76" t="str">
        <f>IF(B221="SEPLAG",VLOOKUP(C221,UNIDADE,3,FALSE),VLOOKUP(C221,'NAO DESO'!A:C,3,FALSE))</f>
        <v>UND</v>
      </c>
      <c r="F221" s="713">
        <f t="shared" si="50"/>
        <v>2</v>
      </c>
      <c r="G221" s="714">
        <f>IF(B221="SEPLAG",VLOOKUP(CONCATENATE("TOTAL DO ITEM NÃO DESON. - ",C221),BASE01,8,FALSE),VLOOKUP(C221,'NAO DESO'!A:D,4,FALSE))</f>
        <v>20.450000000000003</v>
      </c>
      <c r="H221" s="715">
        <f t="shared" si="51"/>
        <v>24.99</v>
      </c>
      <c r="I221" s="715">
        <f t="shared" si="52"/>
        <v>49.98</v>
      </c>
      <c r="J221" s="715">
        <f>IF(B221="SEPLAG",VLOOKUP(CONCATENATE("TOTAL DO ITEM DESON. - ",C221),BASE02,10,FALSE),VLOOKUP(C221,DESON!A:D,4,FALSE))</f>
        <v>19.329999999999998</v>
      </c>
      <c r="K221" s="715">
        <f t="shared" si="53"/>
        <v>24.80960556168748</v>
      </c>
      <c r="L221" s="715">
        <f t="shared" si="54"/>
        <v>49.61</v>
      </c>
    </row>
    <row r="222" spans="1:12" s="716" customFormat="1" ht="28.5">
      <c r="A222" s="77" t="s">
        <v>13978</v>
      </c>
      <c r="B222" s="717" t="s">
        <v>14504</v>
      </c>
      <c r="C222" s="78" t="s">
        <v>287</v>
      </c>
      <c r="D222" s="712" t="str">
        <f>IF(B222="SEPLAG",VLOOKUP(C222,COMPOSIÇÃO,2,FALSE),VLOOKUP(C222,'NAO DESO'!A:B,2,FALSE))</f>
        <v>PLACA FOTOLUMINESCENTE "S3"- 316X 158 MM (SAÍDA EMERGÊNCIA).  FORNECIMENTO E INSTALAÇÃO.</v>
      </c>
      <c r="E222" s="76" t="str">
        <f>IF(B222="SEPLAG",VLOOKUP(C222,UNIDADE,3,FALSE),VLOOKUP(C222,'NAO DESO'!A:C,3,FALSE))</f>
        <v>UND</v>
      </c>
      <c r="F222" s="713">
        <f t="shared" si="50"/>
        <v>19</v>
      </c>
      <c r="G222" s="714">
        <f>IF(B222="SEPLAG",VLOOKUP(CONCATENATE("TOTAL DO ITEM NÃO DESON. - ",C222),BASE01,8,FALSE),VLOOKUP(C222,'NAO DESO'!A:D,4,FALSE))</f>
        <v>24.04</v>
      </c>
      <c r="H222" s="715">
        <f t="shared" si="51"/>
        <v>29.38</v>
      </c>
      <c r="I222" s="715">
        <f t="shared" si="52"/>
        <v>558.22</v>
      </c>
      <c r="J222" s="715">
        <f>IF(B222="SEPLAG",VLOOKUP(CONCATENATE("TOTAL DO ITEM DESON. - ",C222),BASE02,10,FALSE),VLOOKUP(C222,DESON!A:D,4,FALSE))</f>
        <v>22.92</v>
      </c>
      <c r="K222" s="715">
        <f t="shared" si="53"/>
        <v>29.417287091250756</v>
      </c>
      <c r="L222" s="715">
        <f t="shared" si="54"/>
        <v>558.91999999999996</v>
      </c>
    </row>
    <row r="223" spans="1:12" s="716" customFormat="1" ht="28.5">
      <c r="A223" s="77" t="s">
        <v>13979</v>
      </c>
      <c r="B223" s="717" t="s">
        <v>14504</v>
      </c>
      <c r="C223" s="78" t="s">
        <v>288</v>
      </c>
      <c r="D223" s="712" t="str">
        <f>IF(B223="SEPLAG",VLOOKUP(C223,COMPOSIÇÃO,2,FALSE),VLOOKUP(C223,'NAO DESO'!A:B,2,FALSE))</f>
        <v>PLACA FOTOLUMINESCENTE "S8"- 316X 158 MM (ESCADA DE EMERGÊNCIA).  FORNECIMENTO E INSTALAÇÃO.</v>
      </c>
      <c r="E223" s="76" t="str">
        <f>IF(B223="SEPLAG",VLOOKUP(C223,UNIDADE,3,FALSE),VLOOKUP(C223,'NAO DESO'!A:C,3,FALSE))</f>
        <v>UND</v>
      </c>
      <c r="F223" s="713">
        <f t="shared" si="50"/>
        <v>1</v>
      </c>
      <c r="G223" s="714">
        <f>IF(B223="SEPLAG",VLOOKUP(CONCATENATE("TOTAL DO ITEM NÃO DESON. - ",C223),BASE01,8,FALSE),VLOOKUP(C223,'NAO DESO'!A:D,4,FALSE))</f>
        <v>24.04</v>
      </c>
      <c r="H223" s="715">
        <f t="shared" si="51"/>
        <v>29.38</v>
      </c>
      <c r="I223" s="715">
        <f t="shared" si="52"/>
        <v>29.38</v>
      </c>
      <c r="J223" s="715">
        <f>IF(B223="SEPLAG",VLOOKUP(CONCATENATE("TOTAL DO ITEM DESON. - ",C223),BASE02,10,FALSE),VLOOKUP(C223,DESON!A:D,4,FALSE))</f>
        <v>22.92</v>
      </c>
      <c r="K223" s="715">
        <f t="shared" si="53"/>
        <v>29.417287091250756</v>
      </c>
      <c r="L223" s="715">
        <f t="shared" si="54"/>
        <v>29.41</v>
      </c>
    </row>
    <row r="224" spans="1:12" s="716" customFormat="1" ht="28.5">
      <c r="A224" s="77" t="s">
        <v>13980</v>
      </c>
      <c r="B224" s="717" t="s">
        <v>14504</v>
      </c>
      <c r="C224" s="78" t="s">
        <v>289</v>
      </c>
      <c r="D224" s="712" t="str">
        <f>IF(B224="SEPLAG",VLOOKUP(C224,COMPOSIÇÃO,2,FALSE),VLOOKUP(C224,'NAO DESO'!A:B,2,FALSE))</f>
        <v>PLACA FOTOLUMINESCENTE "S12" - 316 X 158 MM (SAÍDA EMERGENCIA).  FORNECIMENTO E INSTALAÇÃO.</v>
      </c>
      <c r="E224" s="76" t="str">
        <f>IF(B224="SEPLAG",VLOOKUP(C224,UNIDADE,3,FALSE),VLOOKUP(C224,'NAO DESO'!A:C,3,FALSE))</f>
        <v>UND</v>
      </c>
      <c r="F224" s="713">
        <f t="shared" si="50"/>
        <v>4</v>
      </c>
      <c r="G224" s="714">
        <f>IF(B224="SEPLAG",VLOOKUP(CONCATENATE("TOTAL DO ITEM NÃO DESON. - ",C224),BASE01,8,FALSE),VLOOKUP(C224,'NAO DESO'!A:D,4,FALSE))</f>
        <v>20.450000000000003</v>
      </c>
      <c r="H224" s="715">
        <f t="shared" si="51"/>
        <v>24.99</v>
      </c>
      <c r="I224" s="715">
        <f t="shared" si="52"/>
        <v>99.96</v>
      </c>
      <c r="J224" s="715">
        <f>IF(B224="SEPLAG",VLOOKUP(CONCATENATE("TOTAL DO ITEM DESON. - ",C224),BASE02,10,FALSE),VLOOKUP(C224,DESON!A:D,4,FALSE))</f>
        <v>19.329999999999998</v>
      </c>
      <c r="K224" s="715">
        <f t="shared" si="53"/>
        <v>24.80960556168748</v>
      </c>
      <c r="L224" s="715">
        <f t="shared" si="54"/>
        <v>99.23</v>
      </c>
    </row>
    <row r="225" spans="1:12" s="716" customFormat="1" ht="28.5">
      <c r="A225" s="77" t="s">
        <v>13981</v>
      </c>
      <c r="B225" s="717" t="s">
        <v>14504</v>
      </c>
      <c r="C225" s="78" t="s">
        <v>292</v>
      </c>
      <c r="D225" s="712" t="str">
        <f>IF(B225="SEPLAG",VLOOKUP(C225,COMPOSIÇÃO,2,FALSE),VLOOKUP(C225,'NAO DESO'!A:B,2,FALSE))</f>
        <v>DEMARCAÇÃO DE PISO PARA LOCAÇÃO DE EXTINTORES.  FORNECIMENTO E INSTALAÇÃO.</v>
      </c>
      <c r="E225" s="76" t="str">
        <f>IF(B225="SEPLAG",VLOOKUP(C225,UNIDADE,3,FALSE),VLOOKUP(C225,'NAO DESO'!A:C,3,FALSE))</f>
        <v>UND</v>
      </c>
      <c r="F225" s="713">
        <f t="shared" si="50"/>
        <v>14</v>
      </c>
      <c r="G225" s="714">
        <f>IF(B225="SEPLAG",VLOOKUP(CONCATENATE("TOTAL DO ITEM NÃO DESON. - ",C225),BASE01,8,FALSE),VLOOKUP(C225,'NAO DESO'!A:D,4,FALSE))</f>
        <v>18.45</v>
      </c>
      <c r="H225" s="715">
        <f t="shared" si="51"/>
        <v>22.55</v>
      </c>
      <c r="I225" s="715">
        <f t="shared" si="52"/>
        <v>315.7</v>
      </c>
      <c r="J225" s="715">
        <f>IF(B225="SEPLAG",VLOOKUP(CONCATENATE("TOTAL DO ITEM DESON. - ",C225),BASE02,10,FALSE),VLOOKUP(C225,DESON!A:D,4,FALSE))</f>
        <v>17.7</v>
      </c>
      <c r="K225" s="715">
        <f t="shared" si="53"/>
        <v>22.717538460520871</v>
      </c>
      <c r="L225" s="715">
        <f t="shared" si="54"/>
        <v>318.04000000000002</v>
      </c>
    </row>
    <row r="226" spans="1:12" s="716" customFormat="1" ht="28.5">
      <c r="A226" s="77" t="s">
        <v>13982</v>
      </c>
      <c r="B226" s="717" t="s">
        <v>14504</v>
      </c>
      <c r="C226" s="78" t="s">
        <v>308</v>
      </c>
      <c r="D226" s="712" t="str">
        <f>IF(B226="SEPLAG",VLOOKUP(C226,COMPOSIÇÃO,2,FALSE),VLOOKUP(C226,'NAO DESO'!A:B,2,FALSE))</f>
        <v>LUMINÁRIA DE EMERGÊNCIA AUTÔNOMA IE-16 COM LÂMPADA DE 8 W.  FORNECIMENTO E INSTALAÇÃO.</v>
      </c>
      <c r="E226" s="76" t="str">
        <f>IF(B226="SEPLAG",VLOOKUP(C226,UNIDADE,3,FALSE),VLOOKUP(C226,'NAO DESO'!A:C,3,FALSE))</f>
        <v>UND</v>
      </c>
      <c r="F226" s="713">
        <f t="shared" si="50"/>
        <v>30</v>
      </c>
      <c r="G226" s="714">
        <f>IF(B226="SEPLAG",VLOOKUP(CONCATENATE("TOTAL DO ITEM NÃO DESON. - ",C226),BASE01,8,FALSE),VLOOKUP(C226,'NAO DESO'!A:D,4,FALSE))</f>
        <v>65.97</v>
      </c>
      <c r="H226" s="715">
        <f t="shared" si="51"/>
        <v>80.63</v>
      </c>
      <c r="I226" s="715">
        <f t="shared" si="52"/>
        <v>2418.9</v>
      </c>
      <c r="J226" s="715">
        <f>IF(B226="SEPLAG",VLOOKUP(CONCATENATE("TOTAL DO ITEM DESON. - ",C226),BASE02,10,FALSE),VLOOKUP(C226,DESON!A:D,4,FALSE))</f>
        <v>61.58</v>
      </c>
      <c r="K226" s="715">
        <f t="shared" si="53"/>
        <v>79.036498214625709</v>
      </c>
      <c r="L226" s="715">
        <f t="shared" si="54"/>
        <v>2371.09</v>
      </c>
    </row>
    <row r="227" spans="1:12" s="716" customFormat="1">
      <c r="A227" s="734" t="str">
        <f>CONCATENATE("TOTAL DO ITEM &gt;&gt;&gt;&gt;",A215)</f>
        <v>TOTAL DO ITEM &gt;&gt;&gt;&gt;6.4</v>
      </c>
      <c r="B227" s="118"/>
      <c r="C227" s="118"/>
      <c r="D227" s="118"/>
      <c r="E227" s="118"/>
      <c r="F227" s="118"/>
      <c r="G227" s="118"/>
      <c r="H227" s="118"/>
      <c r="I227" s="743">
        <f>SUM(I216:I226)</f>
        <v>3745.82</v>
      </c>
      <c r="J227" s="744"/>
      <c r="K227" s="744"/>
      <c r="L227" s="743">
        <f>SUM(L216:L226)</f>
        <v>3697.9300000000003</v>
      </c>
    </row>
    <row r="228" spans="1:12" s="716" customFormat="1">
      <c r="A228" s="126"/>
      <c r="B228" s="127"/>
      <c r="C228" s="127"/>
      <c r="D228" s="127"/>
      <c r="E228" s="127"/>
      <c r="F228" s="127"/>
      <c r="G228" s="127"/>
      <c r="H228" s="127"/>
      <c r="I228" s="127"/>
      <c r="J228" s="127"/>
      <c r="K228" s="127"/>
      <c r="L228" s="128"/>
    </row>
    <row r="229" spans="1:12" s="716" customFormat="1">
      <c r="A229" s="806" t="s">
        <v>14178</v>
      </c>
      <c r="B229" s="807"/>
      <c r="C229" s="807"/>
      <c r="D229" s="806" t="s">
        <v>14179</v>
      </c>
      <c r="E229" s="807"/>
      <c r="F229" s="807"/>
      <c r="G229" s="807"/>
      <c r="H229" s="807"/>
      <c r="I229" s="808"/>
      <c r="J229" s="741"/>
      <c r="K229" s="741"/>
      <c r="L229" s="808"/>
    </row>
    <row r="230" spans="1:12" s="716" customFormat="1">
      <c r="A230" s="719" t="s">
        <v>14180</v>
      </c>
      <c r="B230" s="740"/>
      <c r="C230" s="740"/>
      <c r="D230" s="140" t="s">
        <v>295</v>
      </c>
      <c r="E230" s="740"/>
      <c r="F230" s="724"/>
      <c r="G230" s="724"/>
      <c r="H230" s="724"/>
      <c r="I230" s="724"/>
      <c r="J230" s="144"/>
      <c r="K230" s="724"/>
      <c r="L230" s="144"/>
    </row>
    <row r="231" spans="1:12" s="716" customFormat="1" ht="28.5">
      <c r="A231" s="89" t="s">
        <v>14181</v>
      </c>
      <c r="B231" s="76" t="s">
        <v>79</v>
      </c>
      <c r="C231" s="76">
        <v>96523</v>
      </c>
      <c r="D231" s="712" t="str">
        <f>IF(B231="SEPLAG",VLOOKUP(C231,COMPOSIÇÃO,2,FALSE),VLOOKUP(C231,'NAO DESO'!A:B,2,FALSE))</f>
        <v>ESCAVAÇÃO MANUAL PARA BLOCO DE COROAMENTO OU SAPATA (INCLUINDO ESCAVAÇÃO PARA COLOCAÇÃO DE FÔRMAS). AF_06/2017</v>
      </c>
      <c r="E231" s="76" t="str">
        <f>IF(B231="SEPLAG",VLOOKUP(C231,UNIDADE,3,FALSE),VLOOKUP(C231,'NAO DESO'!A:C,3,FALSE))</f>
        <v>M3</v>
      </c>
      <c r="F231" s="713">
        <f>VLOOKUP(A231,MEMÓRIA,6,FALSE)</f>
        <v>111.012</v>
      </c>
      <c r="G231" s="714" t="str">
        <f>IF(B231="SEPLAG",VLOOKUP(CONCATENATE("TOTAL DO ITEM NÃO DESON. - ",C231),BASE01,8,FALSE),VLOOKUP(C231,'NAO DESO'!A:D,4,FALSE))</f>
        <v>76,46</v>
      </c>
      <c r="H231" s="715">
        <f>TRUNC(G231+G231*$K$6,2)</f>
        <v>93.45</v>
      </c>
      <c r="I231" s="715">
        <f>TRUNC(F231*H231,2)</f>
        <v>10374.07</v>
      </c>
      <c r="J231" s="715" t="str">
        <f>IF(B231="SEPLAG",VLOOKUP(CONCATENATE("TOTAL DO ITEM DESON. - ",C231),BASE02,10,FALSE),VLOOKUP(C231,DESON!A:D,4,FALSE))</f>
        <v>68,70</v>
      </c>
      <c r="K231" s="715">
        <f>J231+J231*$L$6</f>
        <v>88.17485266880135</v>
      </c>
      <c r="L231" s="715">
        <f>TRUNC(F231*K231,2)</f>
        <v>9788.4599999999991</v>
      </c>
    </row>
    <row r="232" spans="1:12" s="716" customFormat="1" ht="28.5">
      <c r="A232" s="89" t="s">
        <v>14182</v>
      </c>
      <c r="B232" s="76" t="s">
        <v>79</v>
      </c>
      <c r="C232" s="76">
        <v>101616</v>
      </c>
      <c r="D232" s="712" t="str">
        <f>IF(B232="SEPLAG",VLOOKUP(C232,COMPOSIÇÃO,2,FALSE),VLOOKUP(C232,'NAO DESO'!A:B,2,FALSE))</f>
        <v>PREPARO DE FUNDO DE VALA COM LARGURA MENOR QUE 1,5 M (ACERTO DO SOLO NATURAL). AF_08/2020</v>
      </c>
      <c r="E232" s="76" t="str">
        <f>IF(B232="SEPLAG",VLOOKUP(C232,UNIDADE,3,FALSE),VLOOKUP(C232,'NAO DESO'!A:C,3,FALSE))</f>
        <v>M2</v>
      </c>
      <c r="F232" s="713">
        <f>VLOOKUP(A232,MEMÓRIA,6,FALSE)</f>
        <v>33.64</v>
      </c>
      <c r="G232" s="714" t="str">
        <f>IF(B232="SEPLAG",VLOOKUP(CONCATENATE("TOTAL DO ITEM NÃO DESON. - ",C232),BASE01,8,FALSE),VLOOKUP(C232,'NAO DESO'!A:D,4,FALSE))</f>
        <v>4,86</v>
      </c>
      <c r="H232" s="715">
        <f>TRUNC(G232+G232*$K$6,2)</f>
        <v>5.94</v>
      </c>
      <c r="I232" s="715">
        <f>TRUNC(F232*H232,2)</f>
        <v>199.82</v>
      </c>
      <c r="J232" s="715" t="str">
        <f>IF(B232="SEPLAG",VLOOKUP(CONCATENATE("TOTAL DO ITEM DESON. - ",C232),BASE02,10,FALSE),VLOOKUP(C232,DESON!A:D,4,FALSE))</f>
        <v>4,37</v>
      </c>
      <c r="K232" s="715">
        <f>J232+J232*$L$6</f>
        <v>5.6087933939252093</v>
      </c>
      <c r="L232" s="715">
        <f>TRUNC(F232*K232,2)</f>
        <v>188.67</v>
      </c>
    </row>
    <row r="233" spans="1:12" s="716" customFormat="1" ht="28.5">
      <c r="A233" s="89" t="s">
        <v>14183</v>
      </c>
      <c r="B233" s="76" t="s">
        <v>79</v>
      </c>
      <c r="C233" s="76">
        <v>96616</v>
      </c>
      <c r="D233" s="712" t="str">
        <f>IF(B233="SEPLAG",VLOOKUP(C233,COMPOSIÇÃO,2,FALSE),VLOOKUP(C233,'NAO DESO'!A:B,2,FALSE))</f>
        <v>LASTRO DE CONCRETO MAGRO, APLICADO EM BLOCOS DE COROAMENTO OU SAPATAS. AF_08/2017</v>
      </c>
      <c r="E233" s="76" t="str">
        <f>IF(B233="SEPLAG",VLOOKUP(C233,UNIDADE,3,FALSE),VLOOKUP(C233,'NAO DESO'!A:C,3,FALSE))</f>
        <v>M3</v>
      </c>
      <c r="F233" s="713">
        <f>VLOOKUP(A233,MEMÓRIA,6,FALSE)</f>
        <v>1.0091999999999999</v>
      </c>
      <c r="G233" s="714" t="str">
        <f>IF(B233="SEPLAG",VLOOKUP(CONCATENATE("TOTAL DO ITEM NÃO DESON. - ",C233),BASE01,8,FALSE),VLOOKUP(C233,'NAO DESO'!A:D,4,FALSE))</f>
        <v>535,54</v>
      </c>
      <c r="H233" s="715">
        <f>TRUNC(G233+G233*$K$6,2)</f>
        <v>654.55999999999995</v>
      </c>
      <c r="I233" s="715">
        <f>TRUNC(F233*H233,2)</f>
        <v>660.58</v>
      </c>
      <c r="J233" s="715" t="str">
        <f>IF(B233="SEPLAG",VLOOKUP(CONCATENATE("TOTAL DO ITEM DESON. - ",C233),BASE02,10,FALSE),VLOOKUP(C233,DESON!A:D,4,FALSE))</f>
        <v>512,44</v>
      </c>
      <c r="K233" s="715">
        <f>J233+J233*$L$6</f>
        <v>657.70482535080885</v>
      </c>
      <c r="L233" s="715">
        <f>TRUNC(F233*K233,2)</f>
        <v>663.75</v>
      </c>
    </row>
    <row r="234" spans="1:12" s="716" customFormat="1" ht="28.5">
      <c r="A234" s="89" t="s">
        <v>14184</v>
      </c>
      <c r="B234" s="76" t="s">
        <v>79</v>
      </c>
      <c r="C234" s="76">
        <v>93382</v>
      </c>
      <c r="D234" s="712" t="str">
        <f>IF(B234="SEPLAG",VLOOKUP(C234,COMPOSIÇÃO,2,FALSE),VLOOKUP(C234,'NAO DESO'!A:B,2,FALSE))</f>
        <v>REATERRO MANUAL DE VALAS COM COMPACTAÇÃO MECANIZADA. AF_04/2016</v>
      </c>
      <c r="E234" s="76" t="str">
        <f>IF(B234="SEPLAG",VLOOKUP(C234,UNIDADE,3,FALSE),VLOOKUP(C234,'NAO DESO'!A:C,3,FALSE))</f>
        <v>M3</v>
      </c>
      <c r="F234" s="713">
        <f>VLOOKUP(A234,MEMÓRIA,6,FALSE)</f>
        <v>21.123999999999995</v>
      </c>
      <c r="G234" s="714" t="str">
        <f>IF(B234="SEPLAG",VLOOKUP(CONCATENATE("TOTAL DO ITEM NÃO DESON. - ",C234),BASE01,8,FALSE),VLOOKUP(C234,'NAO DESO'!A:D,4,FALSE))</f>
        <v>23,85</v>
      </c>
      <c r="H234" s="715">
        <f>TRUNC(G234+G234*$K$6,2)</f>
        <v>29.15</v>
      </c>
      <c r="I234" s="715">
        <f>TRUNC(F234*H234,2)</f>
        <v>615.76</v>
      </c>
      <c r="J234" s="715" t="str">
        <f>IF(B234="SEPLAG",VLOOKUP(CONCATENATE("TOTAL DO ITEM DESON. - ",C234),BASE02,10,FALSE),VLOOKUP(C234,DESON!A:D,4,FALSE))</f>
        <v>21,84</v>
      </c>
      <c r="K234" s="715">
        <f>J234+J234*$L$6</f>
        <v>28.031132202134227</v>
      </c>
      <c r="L234" s="715">
        <f>TRUNC(F234*K234,2)</f>
        <v>592.12</v>
      </c>
    </row>
    <row r="235" spans="1:12" s="716" customFormat="1">
      <c r="A235" s="734" t="str">
        <f>CONCATENATE("TOTAL DO ITEM &gt;&gt;&gt;&gt;",A230)</f>
        <v>TOTAL DO ITEM &gt;&gt;&gt;&gt;6.5.1</v>
      </c>
      <c r="B235" s="735"/>
      <c r="C235" s="735"/>
      <c r="D235" s="735"/>
      <c r="E235" s="735"/>
      <c r="F235" s="735"/>
      <c r="G235" s="735"/>
      <c r="H235" s="735"/>
      <c r="I235" s="736">
        <f>SUM(I231:I234)</f>
        <v>11850.23</v>
      </c>
      <c r="J235" s="715"/>
      <c r="K235" s="715"/>
      <c r="L235" s="736">
        <f>SUM(L231:L234)</f>
        <v>11233</v>
      </c>
    </row>
    <row r="236" spans="1:12" s="716" customFormat="1">
      <c r="A236" s="126"/>
      <c r="B236" s="127"/>
      <c r="C236" s="127"/>
      <c r="D236" s="127"/>
      <c r="E236" s="127"/>
      <c r="F236" s="127"/>
      <c r="G236" s="127"/>
      <c r="H236" s="127"/>
      <c r="I236" s="127"/>
      <c r="J236" s="127"/>
      <c r="K236" s="127"/>
      <c r="L236" s="128"/>
    </row>
    <row r="237" spans="1:12">
      <c r="A237" s="138" t="s">
        <v>14185</v>
      </c>
      <c r="B237" s="737"/>
      <c r="C237" s="738"/>
      <c r="D237" s="739" t="s">
        <v>418</v>
      </c>
      <c r="E237" s="740"/>
      <c r="F237" s="142"/>
      <c r="G237" s="142"/>
      <c r="H237" s="741"/>
      <c r="I237" s="144"/>
      <c r="J237" s="741"/>
      <c r="K237" s="741"/>
      <c r="L237" s="741"/>
    </row>
    <row r="238" spans="1:12" ht="42.75">
      <c r="A238" s="77" t="s">
        <v>14186</v>
      </c>
      <c r="B238" s="76" t="s">
        <v>79</v>
      </c>
      <c r="C238" s="74">
        <v>96555</v>
      </c>
      <c r="D238" s="712" t="str">
        <f>IF(B238="SEPLAG",VLOOKUP(C238,COMPOSIÇÃO,2,FALSE),VLOOKUP(C238,'NAO DESO'!A:B,2,FALSE))</f>
        <v>CONCRETAGEM DE BLOCOS DE COROAMENTO E VIGAS BALDRAME, FCK 30 MPA, COM USO DE JERICA  LANÇAMENTO, ADENSAMENTO E ACABAMENTO. AF_06/2017</v>
      </c>
      <c r="E238" s="76" t="str">
        <f>IF(B238="SEPLAG",VLOOKUP(C238,UNIDADE,3,FALSE),VLOOKUP(C238,'NAO DESO'!A:C,3,FALSE))</f>
        <v>M3</v>
      </c>
      <c r="F238" s="713">
        <f t="shared" ref="F238:F245" si="55">VLOOKUP(A238,MEMÓRIA,6,FALSE)</f>
        <v>16.8</v>
      </c>
      <c r="G238" s="714" t="str">
        <f>IF(B238="SEPLAG",VLOOKUP(CONCATENATE("TOTAL DO ITEM NÃO DESON. - ",C238),BASE01,8,FALSE),VLOOKUP(C238,'NAO DESO'!A:D,4,FALSE))</f>
        <v>606,83</v>
      </c>
      <c r="H238" s="715">
        <f t="shared" ref="H238:H245" si="56">TRUNC(G238+G238*$K$6,2)</f>
        <v>741.7</v>
      </c>
      <c r="I238" s="715">
        <f t="shared" ref="I238:I245" si="57">TRUNC(F238*H238,2)</f>
        <v>12460.56</v>
      </c>
      <c r="J238" s="715" t="str">
        <f>IF(B238="SEPLAG",VLOOKUP(CONCATENATE("TOTAL DO ITEM DESON. - ",C238),BASE02,10,FALSE),VLOOKUP(C238,DESON!A:D,4,FALSE))</f>
        <v>591,38</v>
      </c>
      <c r="K238" s="715">
        <f t="shared" ref="K238:K245" si="58">J238+J238*$L$6</f>
        <v>759.02247993123342</v>
      </c>
      <c r="L238" s="715">
        <f t="shared" ref="L238:L245" si="59">TRUNC(F238*K238,2)</f>
        <v>12751.57</v>
      </c>
    </row>
    <row r="239" spans="1:12" s="654" customFormat="1" ht="28.5">
      <c r="A239" s="77" t="s">
        <v>14187</v>
      </c>
      <c r="B239" s="76" t="s">
        <v>79</v>
      </c>
      <c r="C239" s="74">
        <v>96543</v>
      </c>
      <c r="D239" s="712" t="str">
        <f>IF(B239="SEPLAG",VLOOKUP(C239,COMPOSIÇÃO,2,FALSE),VLOOKUP(C239,'NAO DESO'!A:B,2,FALSE))</f>
        <v>ARMAÇÃO DE BLOCO, VIGA BALDRAME E SAPATA UTILIZANDO AÇO CA-60 DE 5 MM - MONTAGEM. AF_06/2017</v>
      </c>
      <c r="E239" s="76" t="str">
        <f>IF(B239="SEPLAG",VLOOKUP(C239,UNIDADE,3,FALSE),VLOOKUP(C239,'NAO DESO'!A:C,3,FALSE))</f>
        <v>KG</v>
      </c>
      <c r="F239" s="713">
        <f t="shared" si="55"/>
        <v>34.6</v>
      </c>
      <c r="G239" s="714" t="str">
        <f>IF(B239="SEPLAG",VLOOKUP(CONCATENATE("TOTAL DO ITEM NÃO DESON. - ",C239),BASE01,8,FALSE),VLOOKUP(C239,'NAO DESO'!A:D,4,FALSE))</f>
        <v>18,45</v>
      </c>
      <c r="H239" s="715">
        <f t="shared" si="56"/>
        <v>22.55</v>
      </c>
      <c r="I239" s="715">
        <f t="shared" si="57"/>
        <v>780.23</v>
      </c>
      <c r="J239" s="715" t="str">
        <f>IF(B239="SEPLAG",VLOOKUP(CONCATENATE("TOTAL DO ITEM DESON. - ",C239),BASE02,10,FALSE),VLOOKUP(C239,DESON!A:D,4,FALSE))</f>
        <v>17,73</v>
      </c>
      <c r="K239" s="715">
        <f t="shared" si="58"/>
        <v>22.75604276299633</v>
      </c>
      <c r="L239" s="715">
        <f t="shared" si="59"/>
        <v>787.35</v>
      </c>
    </row>
    <row r="240" spans="1:12" ht="28.5">
      <c r="A240" s="77" t="s">
        <v>14188</v>
      </c>
      <c r="B240" s="76" t="s">
        <v>79</v>
      </c>
      <c r="C240" s="74">
        <v>96544</v>
      </c>
      <c r="D240" s="712" t="str">
        <f>IF(B240="SEPLAG",VLOOKUP(C240,COMPOSIÇÃO,2,FALSE),VLOOKUP(C240,'NAO DESO'!A:B,2,FALSE))</f>
        <v>ARMAÇÃO DE BLOCO, VIGA BALDRAME OU SAPATA UTILIZANDO AÇO CA-50 DE 6,3 MM - MONTAGEM. AF_06/2017</v>
      </c>
      <c r="E240" s="76" t="str">
        <f>IF(B240="SEPLAG",VLOOKUP(C240,UNIDADE,3,FALSE),VLOOKUP(C240,'NAO DESO'!A:C,3,FALSE))</f>
        <v>KG</v>
      </c>
      <c r="F240" s="713">
        <f t="shared" si="55"/>
        <v>338.5</v>
      </c>
      <c r="G240" s="714" t="str">
        <f>IF(B240="SEPLAG",VLOOKUP(CONCATENATE("TOTAL DO ITEM NÃO DESON. - ",C240),BASE01,8,FALSE),VLOOKUP(C240,'NAO DESO'!A:D,4,FALSE))</f>
        <v>17,53</v>
      </c>
      <c r="H240" s="715">
        <f t="shared" si="56"/>
        <v>21.42</v>
      </c>
      <c r="I240" s="715">
        <f t="shared" si="57"/>
        <v>7250.67</v>
      </c>
      <c r="J240" s="715" t="str">
        <f>IF(B240="SEPLAG",VLOOKUP(CONCATENATE("TOTAL DO ITEM DESON. - ",C240),BASE02,10,FALSE),VLOOKUP(C240,DESON!A:D,4,FALSE))</f>
        <v>17,01</v>
      </c>
      <c r="K240" s="715">
        <f t="shared" si="58"/>
        <v>21.831939503585314</v>
      </c>
      <c r="L240" s="715">
        <f t="shared" si="59"/>
        <v>7390.11</v>
      </c>
    </row>
    <row r="241" spans="1:12" ht="28.5">
      <c r="A241" s="77" t="s">
        <v>14189</v>
      </c>
      <c r="B241" s="76" t="s">
        <v>79</v>
      </c>
      <c r="C241" s="74">
        <v>96545</v>
      </c>
      <c r="D241" s="712" t="str">
        <f>IF(B241="SEPLAG",VLOOKUP(C241,COMPOSIÇÃO,2,FALSE),VLOOKUP(C241,'NAO DESO'!A:B,2,FALSE))</f>
        <v>ARMAÇÃO DE BLOCO, VIGA BALDRAME OU SAPATA UTILIZANDO AÇO CA-50 DE 8 MM - MONTAGEM. AF_06/2017</v>
      </c>
      <c r="E241" s="76" t="str">
        <f>IF(B241="SEPLAG",VLOOKUP(C241,UNIDADE,3,FALSE),VLOOKUP(C241,'NAO DESO'!A:C,3,FALSE))</f>
        <v>KG</v>
      </c>
      <c r="F241" s="713">
        <f t="shared" si="55"/>
        <v>973.5</v>
      </c>
      <c r="G241" s="714" t="str">
        <f>IF(B241="SEPLAG",VLOOKUP(CONCATENATE("TOTAL DO ITEM NÃO DESON. - ",C241),BASE01,8,FALSE),VLOOKUP(C241,'NAO DESO'!A:D,4,FALSE))</f>
        <v>16,54</v>
      </c>
      <c r="H241" s="715">
        <f t="shared" si="56"/>
        <v>20.21</v>
      </c>
      <c r="I241" s="715">
        <f t="shared" si="57"/>
        <v>19674.43</v>
      </c>
      <c r="J241" s="715" t="str">
        <f>IF(B241="SEPLAG",VLOOKUP(CONCATENATE("TOTAL DO ITEM DESON. - ",C241),BASE02,10,FALSE),VLOOKUP(C241,DESON!A:D,4,FALSE))</f>
        <v>16,16</v>
      </c>
      <c r="K241" s="715">
        <f t="shared" si="58"/>
        <v>20.740984266780636</v>
      </c>
      <c r="L241" s="715">
        <f t="shared" si="59"/>
        <v>20191.34</v>
      </c>
    </row>
    <row r="242" spans="1:12" ht="28.5">
      <c r="A242" s="77" t="s">
        <v>14190</v>
      </c>
      <c r="B242" s="76" t="s">
        <v>79</v>
      </c>
      <c r="C242" s="74">
        <v>96546</v>
      </c>
      <c r="D242" s="712" t="str">
        <f>IF(B242="SEPLAG",VLOOKUP(C242,COMPOSIÇÃO,2,FALSE),VLOOKUP(C242,'NAO DESO'!A:B,2,FALSE))</f>
        <v>ARMAÇÃO DE BLOCO, VIGA BALDRAME OU SAPATA UTILIZANDO AÇO CA-50 DE 10 MM - MONTAGEM. AF_06/2017</v>
      </c>
      <c r="E242" s="76" t="str">
        <f>IF(B242="SEPLAG",VLOOKUP(C242,UNIDADE,3,FALSE),VLOOKUP(C242,'NAO DESO'!A:C,3,FALSE))</f>
        <v>KG</v>
      </c>
      <c r="F242" s="713">
        <f t="shared" si="55"/>
        <v>85.5</v>
      </c>
      <c r="G242" s="714" t="str">
        <f>IF(B242="SEPLAG",VLOOKUP(CONCATENATE("TOTAL DO ITEM NÃO DESON. - ",C242),BASE01,8,FALSE),VLOOKUP(C242,'NAO DESO'!A:D,4,FALSE))</f>
        <v>14,85</v>
      </c>
      <c r="H242" s="715">
        <f t="shared" si="56"/>
        <v>18.149999999999999</v>
      </c>
      <c r="I242" s="715">
        <f t="shared" si="57"/>
        <v>1551.82</v>
      </c>
      <c r="J242" s="715" t="str">
        <f>IF(B242="SEPLAG",VLOOKUP(CONCATENATE("TOTAL DO ITEM DESON. - ",C242),BASE02,10,FALSE),VLOOKUP(C242,DESON!A:D,4,FALSE))</f>
        <v>14,57</v>
      </c>
      <c r="K242" s="715">
        <f t="shared" si="58"/>
        <v>18.700256235581303</v>
      </c>
      <c r="L242" s="715">
        <f t="shared" si="59"/>
        <v>1598.87</v>
      </c>
    </row>
    <row r="243" spans="1:12" ht="28.5">
      <c r="A243" s="77" t="s">
        <v>14191</v>
      </c>
      <c r="B243" s="76" t="s">
        <v>79</v>
      </c>
      <c r="C243" s="74">
        <v>92263</v>
      </c>
      <c r="D243" s="712" t="str">
        <f>IF(B243="SEPLAG",VLOOKUP(C243,COMPOSIÇÃO,2,FALSE),VLOOKUP(C243,'NAO DESO'!A:B,2,FALSE))</f>
        <v>FABRICAÇÃO DE FÔRMA PARA PILARES E ESTRUTURAS SIMILARES, EM CHAPA DE MADEIRA COMPENSADA RESINADA, E = 17 MM. AF_09/2020</v>
      </c>
      <c r="E243" s="76" t="str">
        <f>IF(B243="SEPLAG",VLOOKUP(C243,UNIDADE,3,FALSE),VLOOKUP(C243,'NAO DESO'!A:C,3,FALSE))</f>
        <v>M2</v>
      </c>
      <c r="F243" s="713">
        <f t="shared" si="55"/>
        <v>121.4</v>
      </c>
      <c r="G243" s="714" t="str">
        <f>IF(B243="SEPLAG",VLOOKUP(CONCATENATE("TOTAL DO ITEM NÃO DESON. - ",C243),BASE01,8,FALSE),VLOOKUP(C243,'NAO DESO'!A:D,4,FALSE))</f>
        <v>175,96</v>
      </c>
      <c r="H243" s="715">
        <f t="shared" si="56"/>
        <v>215.06</v>
      </c>
      <c r="I243" s="715">
        <f t="shared" si="57"/>
        <v>26108.28</v>
      </c>
      <c r="J243" s="715" t="str">
        <f>IF(B243="SEPLAG",VLOOKUP(CONCATENATE("TOTAL DO ITEM DESON. - ",C243),BASE02,10,FALSE),VLOOKUP(C243,DESON!A:D,4,FALSE))</f>
        <v>172,32</v>
      </c>
      <c r="K243" s="715">
        <f t="shared" si="58"/>
        <v>221.16871341903709</v>
      </c>
      <c r="L243" s="715">
        <f t="shared" si="59"/>
        <v>26849.88</v>
      </c>
    </row>
    <row r="244" spans="1:12" ht="28.5">
      <c r="A244" s="77" t="s">
        <v>14192</v>
      </c>
      <c r="B244" s="76" t="s">
        <v>79</v>
      </c>
      <c r="C244" s="75">
        <v>98557</v>
      </c>
      <c r="D244" s="712" t="str">
        <f>IF(B244="SEPLAG",VLOOKUP(C244,COMPOSIÇÃO,2,FALSE),VLOOKUP(C244,'NAO DESO'!A:B,2,FALSE))</f>
        <v>IMPERMEABILIZAÇÃO DE SUPERFÍCIE COM EMULSÃO ASFÁLTICA, 2 DEMÃOS AF_06/2018</v>
      </c>
      <c r="E244" s="76" t="str">
        <f>IF(B244="SEPLAG",VLOOKUP(C244,UNIDADE,3,FALSE),VLOOKUP(C244,'NAO DESO'!A:C,3,FALSE))</f>
        <v>M2</v>
      </c>
      <c r="F244" s="713">
        <f t="shared" si="55"/>
        <v>41.28</v>
      </c>
      <c r="G244" s="714" t="str">
        <f>IF(B244="SEPLAG",VLOOKUP(CONCATENATE("TOTAL DO ITEM NÃO DESON. - ",C244),BASE01,8,FALSE),VLOOKUP(C244,'NAO DESO'!A:D,4,FALSE))</f>
        <v>58,82</v>
      </c>
      <c r="H244" s="715">
        <f t="shared" si="56"/>
        <v>71.89</v>
      </c>
      <c r="I244" s="715">
        <f t="shared" si="57"/>
        <v>2967.61</v>
      </c>
      <c r="J244" s="715" t="str">
        <f>IF(B244="SEPLAG",VLOOKUP(CONCATENATE("TOTAL DO ITEM DESON. - ",C244),BASE02,10,FALSE),VLOOKUP(C244,DESON!A:D,4,FALSE))</f>
        <v>57,84</v>
      </c>
      <c r="K244" s="715">
        <f t="shared" si="58"/>
        <v>74.236295172685146</v>
      </c>
      <c r="L244" s="715">
        <f t="shared" si="59"/>
        <v>3064.47</v>
      </c>
    </row>
    <row r="245" spans="1:12" ht="42.75">
      <c r="A245" s="77" t="s">
        <v>14193</v>
      </c>
      <c r="B245" s="76" t="s">
        <v>79</v>
      </c>
      <c r="C245" s="75">
        <v>101963</v>
      </c>
      <c r="D245" s="712" t="str">
        <f>IF(B245="SEPLAG",VLOOKUP(C245,COMPOSIÇÃO,2,FALSE),VLOOKUP(C245,'NAO DESO'!A:B,2,FALSE))</f>
        <v>LAJE PRÉ-MOLDADA UNIDIRECIONAL, BIAPOIADA, PARA PISO, ENCHIMENTO EM CERÂMICA, VIGOTA CONVENCIONAL, ALTURA TOTAL DA LAJE (ENCHIMENTO+CAPA) = (8+4). AF_11/2020</v>
      </c>
      <c r="E245" s="76" t="str">
        <f>IF(B245="SEPLAG",VLOOKUP(C245,UNIDADE,3,FALSE),VLOOKUP(C245,'NAO DESO'!A:C,3,FALSE))</f>
        <v>M2</v>
      </c>
      <c r="F245" s="713">
        <f t="shared" si="55"/>
        <v>18.489999999999998</v>
      </c>
      <c r="G245" s="714" t="str">
        <f>IF(B245="SEPLAG",VLOOKUP(CONCATENATE("TOTAL DO ITEM NÃO DESON. - ",C245),BASE01,8,FALSE),VLOOKUP(C245,'NAO DESO'!A:D,4,FALSE))</f>
        <v>191,09</v>
      </c>
      <c r="H245" s="715">
        <f t="shared" si="56"/>
        <v>233.56</v>
      </c>
      <c r="I245" s="715">
        <f t="shared" si="57"/>
        <v>4318.5200000000004</v>
      </c>
      <c r="J245" s="715" t="str">
        <f>IF(B245="SEPLAG",VLOOKUP(CONCATENATE("TOTAL DO ITEM DESON. - ",C245),BASE02,10,FALSE),VLOOKUP(C245,DESON!A:D,4,FALSE))</f>
        <v>187,96</v>
      </c>
      <c r="K245" s="715">
        <f t="shared" si="58"/>
        <v>241.2422897762431</v>
      </c>
      <c r="L245" s="715">
        <f t="shared" si="59"/>
        <v>4460.5600000000004</v>
      </c>
    </row>
    <row r="246" spans="1:12">
      <c r="A246" s="734" t="str">
        <f>CONCATENATE("TOTAL DO ITEM &gt;&gt;&gt;&gt;",A237)</f>
        <v>TOTAL DO ITEM &gt;&gt;&gt;&gt;6.5.2</v>
      </c>
      <c r="B246" s="118"/>
      <c r="C246" s="118"/>
      <c r="D246" s="118"/>
      <c r="E246" s="118"/>
      <c r="F246" s="118"/>
      <c r="G246" s="118"/>
      <c r="H246" s="118"/>
      <c r="I246" s="743">
        <f>SUM(I238:I245)</f>
        <v>75112.12</v>
      </c>
      <c r="J246" s="744"/>
      <c r="K246" s="744"/>
      <c r="L246" s="743">
        <f>SUM(L238:L245)</f>
        <v>77094.149999999994</v>
      </c>
    </row>
    <row r="247" spans="1:12">
      <c r="A247" s="126"/>
      <c r="B247" s="127"/>
      <c r="C247" s="127"/>
      <c r="D247" s="127"/>
      <c r="E247" s="127"/>
      <c r="F247" s="127"/>
      <c r="G247" s="127"/>
      <c r="H247" s="127"/>
      <c r="I247" s="127"/>
      <c r="J247" s="127"/>
      <c r="K247" s="127"/>
      <c r="L247" s="128"/>
    </row>
    <row r="248" spans="1:12">
      <c r="A248" s="138" t="s">
        <v>14198</v>
      </c>
      <c r="B248" s="737"/>
      <c r="C248" s="738"/>
      <c r="D248" s="739" t="s">
        <v>13877</v>
      </c>
      <c r="E248" s="740"/>
      <c r="F248" s="142"/>
      <c r="G248" s="142"/>
      <c r="H248" s="741"/>
      <c r="I248" s="144"/>
      <c r="J248" s="741"/>
      <c r="K248" s="741"/>
      <c r="L248" s="741"/>
    </row>
    <row r="249" spans="1:12" ht="28.5">
      <c r="A249" s="77" t="s">
        <v>14199</v>
      </c>
      <c r="B249" s="75" t="s">
        <v>14504</v>
      </c>
      <c r="C249" s="74" t="str">
        <f>COMPOSIÇÕES!C2521</f>
        <v>SEPLAG  ARQ 162</v>
      </c>
      <c r="D249" s="712" t="str">
        <f>IF(B249="SEPLAG",VLOOKUP(C249,COMPOSIÇÃO,2,FALSE),VLOOKUP(C249,'NAO DESO'!A:B,2,FALSE))</f>
        <v>TAMPA EM FERRO FUNDIDO, FORNECIMENTO E INSTALAÇÃO</v>
      </c>
      <c r="E249" s="76" t="str">
        <f>IF(B249="SEPLAG",VLOOKUP(C249,UNIDADE,3,FALSE),VLOOKUP(C249,'NAO DESO'!A:C,3,FALSE))</f>
        <v>und</v>
      </c>
      <c r="F249" s="713">
        <f>VLOOKUP(A249,MEMÓRIA,6,FALSE)</f>
        <v>1</v>
      </c>
      <c r="G249" s="714">
        <f>IF(B249="SEPLAG",VLOOKUP(CONCATENATE("TOTAL DO ITEM NÃO DESON. - ",C249),BASE01,8,FALSE),VLOOKUP(C249,'NAO DESO'!A:D,4,FALSE))</f>
        <v>894.67000000000007</v>
      </c>
      <c r="H249" s="715">
        <f>TRUNC(G249+G249*$K$6,2)</f>
        <v>1093.52</v>
      </c>
      <c r="I249" s="715">
        <f>TRUNC(F249*H249,2)</f>
        <v>1093.52</v>
      </c>
      <c r="J249" s="715">
        <f>IF(B249="SEPLAG",VLOOKUP(CONCATENATE("TOTAL DO ITEM DESON. - ",C249),BASE02,10,FALSE),VLOOKUP(C249,DESON!A:D,4,FALSE))</f>
        <v>890.76</v>
      </c>
      <c r="K249" s="715">
        <f>J249+J249*$L$6</f>
        <v>1143.2697491013316</v>
      </c>
      <c r="L249" s="715">
        <f>TRUNC(F249*K249,2)</f>
        <v>1143.26</v>
      </c>
    </row>
    <row r="250" spans="1:12" ht="28.5">
      <c r="A250" s="77" t="s">
        <v>27465</v>
      </c>
      <c r="B250" s="75"/>
      <c r="C250" s="74">
        <v>102619</v>
      </c>
      <c r="D250" s="712" t="str">
        <f>IF(B250="SEPLAG",VLOOKUP(C250,COMPOSIÇÃO,2,FALSE),VLOOKUP(C250,'NAO DESO'!A:B,2,FALSE))</f>
        <v>CAIXA D´ÁGUA EM POLIÉSTER REFORÇADO COM FIBRA DE VIDRO, 10000 LITROS - FORNECIMENTO E INSTALAÇÃO. AF_06/2021</v>
      </c>
      <c r="E250" s="76" t="str">
        <f>IF(B250="SEPLAG",VLOOKUP(C250,UNIDADE,3,FALSE),VLOOKUP(C250,'NAO DESO'!A:C,3,FALSE))</f>
        <v>UN</v>
      </c>
      <c r="F250" s="713">
        <f>VLOOKUP(A250,MEMÓRIA,6,FALSE)</f>
        <v>1</v>
      </c>
      <c r="G250" s="714" t="str">
        <f>IF(B250="SEPLAG",VLOOKUP(CONCATENATE("TOTAL DO ITEM NÃO DESON. - ",C250),BASE01,8,FALSE),VLOOKUP(C250,'NAO DESO'!A:D,4,FALSE))</f>
        <v>5.659,05</v>
      </c>
      <c r="H250" s="715">
        <f>TRUNC(G250+G250*$K$6,2)</f>
        <v>6916.83</v>
      </c>
      <c r="I250" s="715">
        <f>TRUNC(F250*H250,2)</f>
        <v>6916.83</v>
      </c>
      <c r="J250" s="715" t="str">
        <f>IF(B250="SEPLAG",VLOOKUP(CONCATENATE("TOTAL DO ITEM DESON. - ",C250),BASE02,10,FALSE),VLOOKUP(C250,DESON!A:D,4,FALSE))</f>
        <v>5.648,76</v>
      </c>
      <c r="K250" s="715">
        <f>J250+J250*$L$6</f>
        <v>7250.0521217091455</v>
      </c>
      <c r="L250" s="715">
        <f>TRUNC(F250*K250,2)</f>
        <v>7250.05</v>
      </c>
    </row>
    <row r="251" spans="1:12">
      <c r="A251" s="734" t="str">
        <f>CONCATENATE("TOTAL DO ITEM &gt;&gt;&gt;&gt;",A248)</f>
        <v>TOTAL DO ITEM &gt;&gt;&gt;&gt;6.5.3</v>
      </c>
      <c r="B251" s="118"/>
      <c r="C251" s="118"/>
      <c r="D251" s="118"/>
      <c r="E251" s="118"/>
      <c r="F251" s="118"/>
      <c r="G251" s="118"/>
      <c r="H251" s="118"/>
      <c r="I251" s="743">
        <f>SUM(I249:I250)</f>
        <v>8010.35</v>
      </c>
      <c r="J251" s="744"/>
      <c r="K251" s="744"/>
      <c r="L251" s="743">
        <f>SUM(L249:L250)</f>
        <v>8393.31</v>
      </c>
    </row>
    <row r="252" spans="1:12">
      <c r="A252" s="734" t="str">
        <f>CONCATENATE("TOTAL DO ITEM &gt;&gt;&gt;&gt;",A229)</f>
        <v>TOTAL DO ITEM &gt;&gt;&gt;&gt;6.5</v>
      </c>
      <c r="B252" s="118"/>
      <c r="C252" s="118"/>
      <c r="D252" s="118"/>
      <c r="E252" s="118"/>
      <c r="F252" s="118"/>
      <c r="G252" s="118"/>
      <c r="H252" s="118"/>
      <c r="I252" s="743">
        <f>SUM(I251,I246,I235)</f>
        <v>94972.7</v>
      </c>
      <c r="J252" s="744"/>
      <c r="K252" s="744"/>
      <c r="L252" s="743">
        <f>SUM(L251,L246,L235)</f>
        <v>96720.459999999992</v>
      </c>
    </row>
    <row r="253" spans="1:12" s="110" customFormat="1">
      <c r="A253" s="1257" t="str">
        <f>CONCATENATE("TOTAL DO ITEM &gt;&gt;&gt;&gt;",A174)</f>
        <v>TOTAL DO ITEM &gt;&gt;&gt;&gt;6.0</v>
      </c>
      <c r="B253" s="1258"/>
      <c r="C253" s="1258"/>
      <c r="D253" s="1258"/>
      <c r="E253" s="1258"/>
      <c r="F253" s="1258"/>
      <c r="G253" s="1258"/>
      <c r="H253" s="1258"/>
      <c r="I253" s="1259">
        <f>SUM(I252,I227,I213,I196,I182)</f>
        <v>146139.32</v>
      </c>
      <c r="J253" s="1260"/>
      <c r="K253" s="1260"/>
      <c r="L253" s="1259">
        <f>SUM(L252,L227,L213,L196,L182)</f>
        <v>149651.50999999998</v>
      </c>
    </row>
    <row r="254" spans="1:12" s="110" customFormat="1">
      <c r="A254" s="1246"/>
      <c r="B254" s="1120"/>
      <c r="C254" s="1120"/>
      <c r="D254" s="1120"/>
      <c r="E254" s="1120"/>
      <c r="F254" s="1120"/>
      <c r="G254" s="1120"/>
      <c r="H254" s="1120"/>
      <c r="I254" s="1120"/>
      <c r="J254" s="1120"/>
      <c r="K254" s="1120"/>
      <c r="L254" s="1121"/>
    </row>
    <row r="255" spans="1:12" s="110" customFormat="1">
      <c r="A255" s="1263" t="s">
        <v>13983</v>
      </c>
      <c r="B255" s="1285"/>
      <c r="C255" s="1286"/>
      <c r="D255" s="1266" t="s">
        <v>7392</v>
      </c>
      <c r="E255" s="1124"/>
      <c r="F255" s="1273"/>
      <c r="G255" s="1273"/>
      <c r="H255" s="1273"/>
      <c r="I255" s="1273"/>
      <c r="J255" s="1268"/>
      <c r="K255" s="1268"/>
      <c r="L255" s="1268"/>
    </row>
    <row r="256" spans="1:12" s="716" customFormat="1">
      <c r="A256" s="138" t="s">
        <v>13984</v>
      </c>
      <c r="B256" s="788"/>
      <c r="C256" s="789"/>
      <c r="D256" s="147" t="s">
        <v>7246</v>
      </c>
      <c r="E256" s="790"/>
      <c r="F256" s="791"/>
      <c r="G256" s="791"/>
      <c r="H256" s="791"/>
      <c r="I256" s="791"/>
      <c r="J256" s="741"/>
      <c r="K256" s="741"/>
      <c r="L256" s="741"/>
    </row>
    <row r="257" spans="1:12" s="716" customFormat="1" ht="42.75">
      <c r="A257" s="77" t="s">
        <v>13985</v>
      </c>
      <c r="B257" s="76" t="s">
        <v>79</v>
      </c>
      <c r="C257" s="34">
        <v>95745</v>
      </c>
      <c r="D257" s="712" t="str">
        <f>IF(B257="SEPLAG",VLOOKUP(C257,COMPOSIÇÃO,2,FALSE),VLOOKUP(C257,'NAO DESO'!A:B,2,FALSE))</f>
        <v>ELETRODUTO DE AÇO GALVANIZADO, CLASSE LEVE, DN 20 MM (3/4), APARENTE, INSTALADO EM TETO - FORNECIMENTO E INSTALAÇÃO. AF_11/2016_P</v>
      </c>
      <c r="E257" s="76" t="str">
        <f>IF(B257="SEPLAG",VLOOKUP(C257,UNIDADE,3,FALSE),VLOOKUP(C257,'NAO DESO'!A:C,3,FALSE))</f>
        <v>M</v>
      </c>
      <c r="F257" s="713">
        <f t="shared" ref="F257:F268" si="60">VLOOKUP(A257,MEMÓRIA,6,FALSE)</f>
        <v>28</v>
      </c>
      <c r="G257" s="714" t="str">
        <f>IF(B257="SEPLAG",VLOOKUP(CONCATENATE("TOTAL DO ITEM NÃO DESON. - ",C257),BASE01,8,FALSE),VLOOKUP(C257,'NAO DESO'!A:D,4,FALSE))</f>
        <v>19,53</v>
      </c>
      <c r="H257" s="715">
        <f t="shared" ref="H257:H268" si="61">TRUNC(G257+G257*$K$6,2)</f>
        <v>23.87</v>
      </c>
      <c r="I257" s="715">
        <f t="shared" ref="I257:I268" si="62">TRUNC(F257*H257,2)</f>
        <v>668.36</v>
      </c>
      <c r="J257" s="715" t="str">
        <f>IF(B257="SEPLAG",VLOOKUP(CONCATENATE("TOTAL DO ITEM DESON. - ",C257),BASE02,10,FALSE),VLOOKUP(C257,DESON!A:D,4,FALSE))</f>
        <v>18,88</v>
      </c>
      <c r="K257" s="715">
        <f t="shared" ref="K257:K268" si="63">J257+J257*$L$6</f>
        <v>24.232041024555592</v>
      </c>
      <c r="L257" s="715">
        <f t="shared" ref="L257:L268" si="64">TRUNC(F257*K257,2)</f>
        <v>678.49</v>
      </c>
    </row>
    <row r="258" spans="1:12" s="716" customFormat="1" ht="42.75">
      <c r="A258" s="77" t="s">
        <v>13986</v>
      </c>
      <c r="B258" s="76" t="s">
        <v>79</v>
      </c>
      <c r="C258" s="34">
        <v>95746</v>
      </c>
      <c r="D258" s="712" t="str">
        <f>IF(B258="SEPLAG",VLOOKUP(C258,COMPOSIÇÃO,2,FALSE),VLOOKUP(C258,'NAO DESO'!A:B,2,FALSE))</f>
        <v>ELETRODUTO DE AÇO GALVANIZADO, CLASSE LEVE, DN 25 MM (1), APARENTE, INSTALADO EM TETO - FORNECIMENTO E INSTALAÇÃO. AF_11/2016_P</v>
      </c>
      <c r="E258" s="76" t="str">
        <f>IF(B258="SEPLAG",VLOOKUP(C258,UNIDADE,3,FALSE),VLOOKUP(C258,'NAO DESO'!A:C,3,FALSE))</f>
        <v>M</v>
      </c>
      <c r="F258" s="713">
        <f t="shared" si="60"/>
        <v>45</v>
      </c>
      <c r="G258" s="714" t="str">
        <f>IF(B258="SEPLAG",VLOOKUP(CONCATENATE("TOTAL DO ITEM NÃO DESON. - ",C258),BASE01,8,FALSE),VLOOKUP(C258,'NAO DESO'!A:D,4,FALSE))</f>
        <v>24,18</v>
      </c>
      <c r="H258" s="715">
        <f t="shared" si="61"/>
        <v>29.55</v>
      </c>
      <c r="I258" s="715">
        <f t="shared" si="62"/>
        <v>1329.75</v>
      </c>
      <c r="J258" s="715" t="str">
        <f>IF(B258="SEPLAG",VLOOKUP(CONCATENATE("TOTAL DO ITEM DESON. - ",C258),BASE02,10,FALSE),VLOOKUP(C258,DESON!A:D,4,FALSE))</f>
        <v>23,40</v>
      </c>
      <c r="K258" s="715">
        <f t="shared" si="63"/>
        <v>30.0333559308581</v>
      </c>
      <c r="L258" s="715">
        <f t="shared" si="64"/>
        <v>1351.5</v>
      </c>
    </row>
    <row r="259" spans="1:12" s="716" customFormat="1" ht="42.75">
      <c r="A259" s="77" t="s">
        <v>13987</v>
      </c>
      <c r="B259" s="76" t="s">
        <v>79</v>
      </c>
      <c r="C259" s="34">
        <v>95801</v>
      </c>
      <c r="D259" s="712" t="str">
        <f>IF(B259="SEPLAG",VLOOKUP(C259,COMPOSIÇÃO,2,FALSE),VLOOKUP(C259,'NAO DESO'!A:B,2,FALSE))</f>
        <v>CONDULETE DE ALUMÍNIO, TIPO X, PARA ELETRODUTO DE AÇO GALVANIZADO DN 20 MM (3/4''), APARENTE - FORNECIMENTO E INSTALAÇÃO. AF_11/2016_P</v>
      </c>
      <c r="E259" s="76" t="str">
        <f>IF(B259="SEPLAG",VLOOKUP(C259,UNIDADE,3,FALSE),VLOOKUP(C259,'NAO DESO'!A:C,3,FALSE))</f>
        <v>UN</v>
      </c>
      <c r="F259" s="713">
        <f t="shared" si="60"/>
        <v>8</v>
      </c>
      <c r="G259" s="714" t="str">
        <f>IF(B259="SEPLAG",VLOOKUP(CONCATENATE("TOTAL DO ITEM NÃO DESON. - ",C259),BASE01,8,FALSE),VLOOKUP(C259,'NAO DESO'!A:D,4,FALSE))</f>
        <v>33,09</v>
      </c>
      <c r="H259" s="715">
        <f t="shared" si="61"/>
        <v>40.44</v>
      </c>
      <c r="I259" s="715">
        <f t="shared" si="62"/>
        <v>323.52</v>
      </c>
      <c r="J259" s="715" t="str">
        <f>IF(B259="SEPLAG",VLOOKUP(CONCATENATE("TOTAL DO ITEM DESON. - ",C259),BASE02,10,FALSE),VLOOKUP(C259,DESON!A:D,4,FALSE))</f>
        <v>31,11</v>
      </c>
      <c r="K259" s="715">
        <f t="shared" si="63"/>
        <v>39.928961667051091</v>
      </c>
      <c r="L259" s="715">
        <f t="shared" si="64"/>
        <v>319.43</v>
      </c>
    </row>
    <row r="260" spans="1:12" s="108" customFormat="1" ht="42.75">
      <c r="A260" s="77" t="s">
        <v>13988</v>
      </c>
      <c r="B260" s="76" t="s">
        <v>79</v>
      </c>
      <c r="C260" s="34">
        <v>95802</v>
      </c>
      <c r="D260" s="712" t="str">
        <f>IF(B260="SEPLAG",VLOOKUP(C260,COMPOSIÇÃO,2,FALSE),VLOOKUP(C260,'NAO DESO'!A:B,2,FALSE))</f>
        <v>CONDULETE DE ALUMÍNIO, TIPO X, PARA ELETRODUTO DE AÇO GALVANIZADO DN 25 MM (1''), APARENTE - FORNECIMENTO E INSTALAÇÃO. AF_11/2016_P</v>
      </c>
      <c r="E260" s="76" t="str">
        <f>IF(B260="SEPLAG",VLOOKUP(C260,UNIDADE,3,FALSE),VLOOKUP(C260,'NAO DESO'!A:C,3,FALSE))</f>
        <v>UN</v>
      </c>
      <c r="F260" s="713">
        <f t="shared" si="60"/>
        <v>18</v>
      </c>
      <c r="G260" s="714" t="str">
        <f>IF(B260="SEPLAG",VLOOKUP(CONCATENATE("TOTAL DO ITEM NÃO DESON. - ",C260),BASE01,8,FALSE),VLOOKUP(C260,'NAO DESO'!A:D,4,FALSE))</f>
        <v>36,95</v>
      </c>
      <c r="H260" s="715">
        <f t="shared" si="61"/>
        <v>45.16</v>
      </c>
      <c r="I260" s="715">
        <f t="shared" si="62"/>
        <v>812.88</v>
      </c>
      <c r="J260" s="715" t="str">
        <f>IF(B260="SEPLAG",VLOOKUP(CONCATENATE("TOTAL DO ITEM DESON. - ",C260),BASE02,10,FALSE),VLOOKUP(C260,DESON!A:D,4,FALSE))</f>
        <v>34,80</v>
      </c>
      <c r="K260" s="715">
        <f t="shared" si="63"/>
        <v>44.664990871532552</v>
      </c>
      <c r="L260" s="715">
        <f t="shared" si="64"/>
        <v>803.96</v>
      </c>
    </row>
    <row r="261" spans="1:12" s="108" customFormat="1" ht="28.5">
      <c r="A261" s="77" t="s">
        <v>13989</v>
      </c>
      <c r="B261" s="76" t="s">
        <v>14504</v>
      </c>
      <c r="C261" s="78" t="s">
        <v>7249</v>
      </c>
      <c r="D261" s="712" t="str">
        <f>IF(B261="SEPLAG",VLOOKUP(C261,COMPOSIÇÃO,2,FALSE),VLOOKUP(C261,'NAO DESO'!A:B,2,FALSE))</f>
        <v>REDUÇÃO CONDULETE PARA ELETRODUTO METÁLICO DE 1"PARA 3/4", FORNECIMENTO E INSTALAÇÃO</v>
      </c>
      <c r="E261" s="76" t="str">
        <f>IF(B261="SEPLAG",VLOOKUP(C261,UNIDADE,3,FALSE),VLOOKUP(C261,'NAO DESO'!A:C,3,FALSE))</f>
        <v>UND</v>
      </c>
      <c r="F261" s="713">
        <f t="shared" si="60"/>
        <v>1</v>
      </c>
      <c r="G261" s="714">
        <f>IF(B261="SEPLAG",VLOOKUP(CONCATENATE("TOTAL DO ITEM NÃO DESON. - ",C261),BASE01,8,FALSE),VLOOKUP(C261,'NAO DESO'!A:D,4,FALSE))</f>
        <v>9.2200000000000006</v>
      </c>
      <c r="H261" s="715">
        <f t="shared" si="61"/>
        <v>11.26</v>
      </c>
      <c r="I261" s="715">
        <f t="shared" si="62"/>
        <v>11.26</v>
      </c>
      <c r="J261" s="715">
        <f>IF(B261="SEPLAG",VLOOKUP(CONCATENATE("TOTAL DO ITEM DESON. - ",C261),BASE02,10,FALSE),VLOOKUP(C261,DESON!A:D,4,FALSE))</f>
        <v>9.02</v>
      </c>
      <c r="K261" s="715">
        <f t="shared" si="63"/>
        <v>11.576960277621369</v>
      </c>
      <c r="L261" s="715">
        <f t="shared" si="64"/>
        <v>11.57</v>
      </c>
    </row>
    <row r="262" spans="1:12" s="716" customFormat="1" ht="28.5">
      <c r="A262" s="77" t="s">
        <v>13990</v>
      </c>
      <c r="B262" s="76" t="s">
        <v>14504</v>
      </c>
      <c r="C262" s="78" t="s">
        <v>343</v>
      </c>
      <c r="D262" s="712" t="str">
        <f>IF(B262="SEPLAG",VLOOKUP(C262,COMPOSIÇÃO,2,FALSE),VLOOKUP(C262,'NAO DESO'!A:B,2,FALSE))</f>
        <v>SENSOR DE FUMAÇA NC-102 OU SIMILAR.  FORNECIMENTO E INSTALAÇÃO.</v>
      </c>
      <c r="E262" s="76" t="str">
        <f>IF(B262="SEPLAG",VLOOKUP(C262,UNIDADE,3,FALSE),VLOOKUP(C262,'NAO DESO'!A:C,3,FALSE))</f>
        <v>UND</v>
      </c>
      <c r="F262" s="713">
        <f t="shared" si="60"/>
        <v>4</v>
      </c>
      <c r="G262" s="714">
        <f>IF(B262="SEPLAG",VLOOKUP(CONCATENATE("TOTAL DO ITEM NÃO DESON. - ",C262),BASE01,8,FALSE),VLOOKUP(C262,'NAO DESO'!A:D,4,FALSE))</f>
        <v>108.38</v>
      </c>
      <c r="H262" s="715">
        <f t="shared" si="61"/>
        <v>132.46</v>
      </c>
      <c r="I262" s="715">
        <f t="shared" si="62"/>
        <v>529.84</v>
      </c>
      <c r="J262" s="715">
        <f>IF(B262="SEPLAG",VLOOKUP(CONCATENATE("TOTAL DO ITEM DESON. - ",C262),BASE02,10,FALSE),VLOOKUP(C262,DESON!A:D,4,FALSE))</f>
        <v>106.69</v>
      </c>
      <c r="K262" s="715">
        <f t="shared" si="63"/>
        <v>136.9341343702244</v>
      </c>
      <c r="L262" s="715">
        <f t="shared" si="64"/>
        <v>547.73</v>
      </c>
    </row>
    <row r="263" spans="1:12" s="716" customFormat="1" ht="42.75">
      <c r="A263" s="77" t="s">
        <v>13991</v>
      </c>
      <c r="B263" s="76" t="s">
        <v>14504</v>
      </c>
      <c r="C263" s="78" t="s">
        <v>344</v>
      </c>
      <c r="D263" s="712" t="str">
        <f>IF(B263="SEPLAG",VLOOKUP(C263,COMPOSIÇÃO,2,FALSE),VLOOKUP(C263,'NAO DESO'!A:B,2,FALSE))</f>
        <v>FORNECIMENTO E INSTALAÇÃO DE BATERIA SELADA PARA CENTRAL DE ALARME E DETECÇÃO 12V/ 5A  - 08693/ORSE. FORNECIMENTO E INSTALAÇÃO.</v>
      </c>
      <c r="E263" s="76" t="str">
        <f>IF(B263="SEPLAG",VLOOKUP(C263,UNIDADE,3,FALSE),VLOOKUP(C263,'NAO DESO'!A:C,3,FALSE))</f>
        <v>UND</v>
      </c>
      <c r="F263" s="713">
        <f t="shared" si="60"/>
        <v>1</v>
      </c>
      <c r="G263" s="714">
        <f>IF(B263="SEPLAG",VLOOKUP(CONCATENATE("TOTAL DO ITEM NÃO DESON. - ",C263),BASE01,8,FALSE),VLOOKUP(C263,'NAO DESO'!A:D,4,FALSE))</f>
        <v>169.81</v>
      </c>
      <c r="H263" s="715">
        <f t="shared" si="61"/>
        <v>207.55</v>
      </c>
      <c r="I263" s="715">
        <f t="shared" si="62"/>
        <v>207.55</v>
      </c>
      <c r="J263" s="715">
        <f>IF(B263="SEPLAG",VLOOKUP(CONCATENATE("TOTAL DO ITEM DESON. - ",C263),BASE02,10,FALSE),VLOOKUP(C263,DESON!A:D,4,FALSE))</f>
        <v>165.82</v>
      </c>
      <c r="K263" s="715">
        <f t="shared" si="63"/>
        <v>212.82611454935426</v>
      </c>
      <c r="L263" s="715">
        <f t="shared" si="64"/>
        <v>212.82</v>
      </c>
    </row>
    <row r="264" spans="1:12" s="716" customFormat="1" ht="28.5">
      <c r="A264" s="77" t="s">
        <v>13992</v>
      </c>
      <c r="B264" s="76" t="s">
        <v>14504</v>
      </c>
      <c r="C264" s="74" t="s">
        <v>13926</v>
      </c>
      <c r="D264" s="712" t="str">
        <f>IF(B264="SEPLAG",VLOOKUP(C264,COMPOSIÇÃO,2,FALSE),VLOOKUP(C264,'NAO DESO'!A:B,2,FALSE))</f>
        <v>CABO DE COBRE FLEXIVEL BLINDADO PARA INCÊNDIO 3 VIAS + TERRA, SEÇÃO 1,5mm². FORNECIMENTO E INSTALAÇÃO.</v>
      </c>
      <c r="E264" s="76" t="str">
        <f>IF(B264="SEPLAG",VLOOKUP(C264,UNIDADE,3,FALSE),VLOOKUP(C264,'NAO DESO'!A:C,3,FALSE))</f>
        <v>M</v>
      </c>
      <c r="F264" s="713">
        <f t="shared" si="60"/>
        <v>105</v>
      </c>
      <c r="G264" s="714">
        <f>IF(B264="SEPLAG",VLOOKUP(CONCATENATE("TOTAL DO ITEM NÃO DESON. - ",C264),BASE01,8,FALSE),VLOOKUP(C264,'NAO DESO'!A:D,4,FALSE))</f>
        <v>10.73</v>
      </c>
      <c r="H264" s="715">
        <f t="shared" si="61"/>
        <v>13.11</v>
      </c>
      <c r="I264" s="715">
        <f t="shared" si="62"/>
        <v>1376.55</v>
      </c>
      <c r="J264" s="715">
        <f>IF(B264="SEPLAG",VLOOKUP(CONCATENATE("TOTAL DO ITEM DESON. - ",C264),BASE02,10,FALSE),VLOOKUP(C264,DESON!A:D,4,FALSE))</f>
        <v>10.530000000000001</v>
      </c>
      <c r="K264" s="715">
        <f t="shared" si="63"/>
        <v>13.515010168886146</v>
      </c>
      <c r="L264" s="715">
        <f t="shared" si="64"/>
        <v>1419.07</v>
      </c>
    </row>
    <row r="265" spans="1:12" s="716" customFormat="1" ht="28.5">
      <c r="A265" s="77" t="s">
        <v>13993</v>
      </c>
      <c r="B265" s="76" t="s">
        <v>79</v>
      </c>
      <c r="C265" s="74">
        <v>91926</v>
      </c>
      <c r="D265" s="712" t="str">
        <f>IF(B265="SEPLAG",VLOOKUP(C265,COMPOSIÇÃO,2,FALSE),VLOOKUP(C265,'NAO DESO'!A:B,2,FALSE))</f>
        <v>CABO DE COBRE FLEXÍVEL ISOLADO, 2,5 MM², ANTI-CHAMA 450/750 V, PARA CIRCUITOS TERMINAIS - FORNECIMENTO E INSTALAÇÃO. AF_12/2015</v>
      </c>
      <c r="E265" s="76" t="str">
        <f>IF(B265="SEPLAG",VLOOKUP(C265,UNIDADE,3,FALSE),VLOOKUP(C265,'NAO DESO'!A:C,3,FALSE))</f>
        <v>M</v>
      </c>
      <c r="F265" s="713">
        <f t="shared" si="60"/>
        <v>140</v>
      </c>
      <c r="G265" s="714" t="str">
        <f>IF(B265="SEPLAG",VLOOKUP(CONCATENATE("TOTAL DO ITEM NÃO DESON. - ",C265),BASE01,8,FALSE),VLOOKUP(C265,'NAO DESO'!A:D,4,FALSE))</f>
        <v>4,11</v>
      </c>
      <c r="H265" s="715">
        <f t="shared" si="61"/>
        <v>5.0199999999999996</v>
      </c>
      <c r="I265" s="715">
        <f t="shared" si="62"/>
        <v>702.8</v>
      </c>
      <c r="J265" s="715" t="str">
        <f>IF(B265="SEPLAG",VLOOKUP(CONCATENATE("TOTAL DO ITEM DESON. - ",C265),BASE02,10,FALSE),VLOOKUP(C265,DESON!A:D,4,FALSE))</f>
        <v>3,99</v>
      </c>
      <c r="K265" s="715">
        <f t="shared" si="63"/>
        <v>5.1210722292360611</v>
      </c>
      <c r="L265" s="715">
        <f t="shared" si="64"/>
        <v>716.95</v>
      </c>
    </row>
    <row r="266" spans="1:12" s="716" customFormat="1" ht="28.5">
      <c r="A266" s="77" t="s">
        <v>14171</v>
      </c>
      <c r="B266" s="76" t="s">
        <v>14504</v>
      </c>
      <c r="C266" s="74" t="s">
        <v>14157</v>
      </c>
      <c r="D266" s="712" t="str">
        <f>IF(B266="SEPLAG",VLOOKUP(C266,COMPOSIÇÃO,2,FALSE),VLOOKUP(C266,'NAO DESO'!A:B,2,FALSE))</f>
        <v>CENTRAL DE ALARME DE INCÊNDIO ENDEREÇAVEL 2 LAÇOS, ATENDENDO NO MINIMO 125 ENDEREÇOS POR LAÇO. FORNECIMENTO E INSTALAÇÃO.</v>
      </c>
      <c r="E266" s="76" t="str">
        <f>IF(B266="SEPLAG",VLOOKUP(C266,UNIDADE,3,FALSE),VLOOKUP(C266,'NAO DESO'!A:C,3,FALSE))</f>
        <v>UND</v>
      </c>
      <c r="F266" s="713">
        <f t="shared" si="60"/>
        <v>1</v>
      </c>
      <c r="G266" s="714">
        <f>IF(B266="SEPLAG",VLOOKUP(CONCATENATE("TOTAL DO ITEM NÃO DESON. - ",C266),BASE01,8,FALSE),VLOOKUP(C266,'NAO DESO'!A:D,4,FALSE))</f>
        <v>1730.6599999999999</v>
      </c>
      <c r="H266" s="715">
        <f t="shared" si="61"/>
        <v>2115.31</v>
      </c>
      <c r="I266" s="715">
        <f t="shared" si="62"/>
        <v>2115.31</v>
      </c>
      <c r="J266" s="715">
        <f>IF(B266="SEPLAG",VLOOKUP(CONCATENATE("TOTAL DO ITEM DESON. - ",C266),BASE02,10,FALSE),VLOOKUP(C266,DESON!A:D,4,FALSE))</f>
        <v>1728.32</v>
      </c>
      <c r="K266" s="715">
        <f t="shared" si="63"/>
        <v>2218.2585351461826</v>
      </c>
      <c r="L266" s="715">
        <f t="shared" si="64"/>
        <v>2218.25</v>
      </c>
    </row>
    <row r="267" spans="1:12" s="716" customFormat="1" ht="42.75">
      <c r="A267" s="77" t="s">
        <v>14172</v>
      </c>
      <c r="B267" s="76" t="s">
        <v>79</v>
      </c>
      <c r="C267" s="74">
        <v>95758</v>
      </c>
      <c r="D267" s="712" t="str">
        <f>IF(B267="SEPLAG",VLOOKUP(C267,COMPOSIÇÃO,2,FALSE),VLOOKUP(C267,'NAO DESO'!A:B,2,FALSE))</f>
        <v>LUVA DE EMENDA PARA ELETRODUTO, AÇO GALVANIZADO, DN 25 MM (1''), APARENTE, INSTALADA EM PAREDE - FORNECIMENTO E INSTALAÇÃO. AF_11/2016_P</v>
      </c>
      <c r="E267" s="76" t="str">
        <f>IF(B267="SEPLAG",VLOOKUP(C267,UNIDADE,3,FALSE),VLOOKUP(C267,'NAO DESO'!A:C,3,FALSE))</f>
        <v>UN</v>
      </c>
      <c r="F267" s="713">
        <f t="shared" si="60"/>
        <v>2</v>
      </c>
      <c r="G267" s="714" t="str">
        <f>IF(B267="SEPLAG",VLOOKUP(CONCATENATE("TOTAL DO ITEM NÃO DESON. - ",C267),BASE01,8,FALSE),VLOOKUP(C267,'NAO DESO'!A:D,4,FALSE))</f>
        <v>10,17</v>
      </c>
      <c r="H267" s="715">
        <f t="shared" si="61"/>
        <v>12.43</v>
      </c>
      <c r="I267" s="715">
        <f t="shared" si="62"/>
        <v>24.86</v>
      </c>
      <c r="J267" s="715" t="str">
        <f>IF(B267="SEPLAG",VLOOKUP(CONCATENATE("TOTAL DO ITEM DESON. - ",C267),BASE02,10,FALSE),VLOOKUP(C267,DESON!A:D,4,FALSE))</f>
        <v>9,36</v>
      </c>
      <c r="K267" s="715">
        <f t="shared" si="63"/>
        <v>12.013342372343239</v>
      </c>
      <c r="L267" s="715">
        <f t="shared" si="64"/>
        <v>24.02</v>
      </c>
    </row>
    <row r="268" spans="1:12" s="716" customFormat="1" ht="42.75">
      <c r="A268" s="77" t="s">
        <v>14173</v>
      </c>
      <c r="B268" s="76" t="s">
        <v>79</v>
      </c>
      <c r="C268" s="74">
        <v>95757</v>
      </c>
      <c r="D268" s="712" t="str">
        <f>IF(B268="SEPLAG",VLOOKUP(C268,COMPOSIÇÃO,2,FALSE),VLOOKUP(C268,'NAO DESO'!A:B,2,FALSE))</f>
        <v>LUVA DE EMENDA PARA ELETRODUTO, AÇO GALVANIZADO, DN 20 MM (3/4''), APARENTE, INSTALADA EM PAREDE - FORNECIMENTO E INSTALAÇÃO. AF_11/2016_P</v>
      </c>
      <c r="E268" s="76" t="str">
        <f>IF(B268="SEPLAG",VLOOKUP(C268,UNIDADE,3,FALSE),VLOOKUP(C268,'NAO DESO'!A:C,3,FALSE))</f>
        <v>UN</v>
      </c>
      <c r="F268" s="713">
        <f t="shared" si="60"/>
        <v>6</v>
      </c>
      <c r="G268" s="714" t="str">
        <f>IF(B268="SEPLAG",VLOOKUP(CONCATENATE("TOTAL DO ITEM NÃO DESON. - ",C268),BASE01,8,FALSE),VLOOKUP(C268,'NAO DESO'!A:D,4,FALSE))</f>
        <v>9,05</v>
      </c>
      <c r="H268" s="715">
        <f t="shared" si="61"/>
        <v>11.06</v>
      </c>
      <c r="I268" s="715">
        <f t="shared" si="62"/>
        <v>66.36</v>
      </c>
      <c r="J268" s="715" t="str">
        <f>IF(B268="SEPLAG",VLOOKUP(CONCATENATE("TOTAL DO ITEM DESON. - ",C268),BASE02,10,FALSE),VLOOKUP(C268,DESON!A:D,4,FALSE))</f>
        <v>8,32</v>
      </c>
      <c r="K268" s="715">
        <f t="shared" si="63"/>
        <v>10.678526553193992</v>
      </c>
      <c r="L268" s="715">
        <f t="shared" si="64"/>
        <v>64.069999999999993</v>
      </c>
    </row>
    <row r="269" spans="1:12" s="716" customFormat="1">
      <c r="A269" s="734" t="str">
        <f>CONCATENATE("TOTAL DO ITEM &gt;&gt;&gt;&gt;",A256)</f>
        <v>TOTAL DO ITEM &gt;&gt;&gt;&gt;7.1</v>
      </c>
      <c r="B269" s="118"/>
      <c r="C269" s="118"/>
      <c r="D269" s="118"/>
      <c r="E269" s="118"/>
      <c r="F269" s="118"/>
      <c r="G269" s="118"/>
      <c r="H269" s="118"/>
      <c r="I269" s="87">
        <f>SUM(I257:I268)</f>
        <v>8169.0400000000009</v>
      </c>
      <c r="J269" s="744"/>
      <c r="K269" s="744"/>
      <c r="L269" s="87">
        <f>SUM(L257:L268)</f>
        <v>8367.86</v>
      </c>
    </row>
    <row r="270" spans="1:12" s="108" customFormat="1">
      <c r="A270" s="126"/>
      <c r="B270" s="127"/>
      <c r="C270" s="127"/>
      <c r="D270" s="127"/>
      <c r="E270" s="127"/>
      <c r="F270" s="127"/>
      <c r="G270" s="127"/>
      <c r="H270" s="127"/>
      <c r="I270" s="127"/>
      <c r="J270" s="127"/>
      <c r="K270" s="127"/>
      <c r="L270" s="128"/>
    </row>
    <row r="271" spans="1:12" s="716" customFormat="1">
      <c r="A271" s="138" t="s">
        <v>13994</v>
      </c>
      <c r="B271" s="788"/>
      <c r="C271" s="789"/>
      <c r="D271" s="134" t="s">
        <v>14509</v>
      </c>
      <c r="E271" s="790"/>
      <c r="F271" s="791"/>
      <c r="G271" s="791"/>
      <c r="H271" s="791"/>
      <c r="I271" s="791"/>
      <c r="J271" s="741"/>
      <c r="K271" s="741"/>
      <c r="L271" s="741"/>
    </row>
    <row r="272" spans="1:12" s="716" customFormat="1" ht="28.5">
      <c r="A272" s="77" t="s">
        <v>13995</v>
      </c>
      <c r="B272" s="76" t="s">
        <v>79</v>
      </c>
      <c r="C272" s="45">
        <v>91935</v>
      </c>
      <c r="D272" s="712" t="str">
        <f>IF(B272="SEPLAG",VLOOKUP(C272,COMPOSIÇÃO,2,FALSE),VLOOKUP(C272,'NAO DESO'!A:B,2,FALSE))</f>
        <v>CABO DE COBRE FLEXÍVEL ISOLADO, 16 MM², ANTI-CHAMA 0,6/1,0 KV, PARA CIRCUITOS TERMINAIS - FORNECIMENTO E INSTALAÇÃO. AF_12/2015</v>
      </c>
      <c r="E272" s="76" t="str">
        <f>IF(B272="SEPLAG",VLOOKUP(C272,UNIDADE,3,FALSE),VLOOKUP(C272,'NAO DESO'!A:C,3,FALSE))</f>
        <v>M</v>
      </c>
      <c r="F272" s="713">
        <f t="shared" ref="F272:F279" si="65">VLOOKUP(A272,MEMÓRIA,6,FALSE)</f>
        <v>69</v>
      </c>
      <c r="G272" s="714" t="str">
        <f>IF(B272="SEPLAG",VLOOKUP(CONCATENATE("TOTAL DO ITEM NÃO DESON. - ",C272),BASE01,8,FALSE),VLOOKUP(C272,'NAO DESO'!A:D,4,FALSE))</f>
        <v>25,49</v>
      </c>
      <c r="H272" s="715">
        <f t="shared" ref="H272:H279" si="66">TRUNC(G272+G272*$K$6,2)</f>
        <v>31.15</v>
      </c>
      <c r="I272" s="715">
        <f t="shared" ref="I272:I279" si="67">TRUNC(F272*H272,2)</f>
        <v>2149.35</v>
      </c>
      <c r="J272" s="715" t="str">
        <f>IF(B272="SEPLAG",VLOOKUP(CONCATENATE("TOTAL DO ITEM DESON. - ",C272),BASE02,10,FALSE),VLOOKUP(C272,DESON!A:D,4,FALSE))</f>
        <v>25,03</v>
      </c>
      <c r="K272" s="715">
        <f t="shared" ref="K272:K279" si="68">J272+J272*$L$6</f>
        <v>32.125423032024713</v>
      </c>
      <c r="L272" s="715">
        <f t="shared" ref="L272:L279" si="69">TRUNC(F272*K272,2)</f>
        <v>2216.65</v>
      </c>
    </row>
    <row r="273" spans="1:12" s="642" customFormat="1" ht="42.75">
      <c r="A273" s="77" t="s">
        <v>13996</v>
      </c>
      <c r="B273" s="75" t="s">
        <v>79</v>
      </c>
      <c r="C273" s="45">
        <v>92984</v>
      </c>
      <c r="D273" s="712" t="str">
        <f>IF(B273="SEPLAG",VLOOKUP(C273,COMPOSIÇÃO,2,FALSE),VLOOKUP(C273,'NAO DESO'!A:B,2,FALSE))</f>
        <v>CABO DE COBRE FLEXÍVEL ISOLADO, 25 MM², ANTI-CHAMA 0,6/1,0 KV, PARA REDE ENTERRADA DE DISTRIBUIÇÃO DE ENERGIA ELÉTRICA - FORNECIMENTO E INSTALAÇÃO. AF_12/2021</v>
      </c>
      <c r="E273" s="76" t="str">
        <f>IF(B273="SEPLAG",VLOOKUP(C273,UNIDADE,3,FALSE),VLOOKUP(C273,'NAO DESO'!A:C,3,FALSE))</f>
        <v>M</v>
      </c>
      <c r="F273" s="713">
        <f t="shared" si="65"/>
        <v>214</v>
      </c>
      <c r="G273" s="714" t="str">
        <f>IF(B273="SEPLAG",VLOOKUP(CONCATENATE("TOTAL DO ITEM NÃO DESON. - ",C273),BASE01,8,FALSE),VLOOKUP(C273,'NAO DESO'!A:D,4,FALSE))</f>
        <v>29,67</v>
      </c>
      <c r="H273" s="715">
        <f t="shared" si="66"/>
        <v>36.26</v>
      </c>
      <c r="I273" s="715">
        <f t="shared" si="67"/>
        <v>7759.64</v>
      </c>
      <c r="J273" s="715" t="str">
        <f>IF(B273="SEPLAG",VLOOKUP(CONCATENATE("TOTAL DO ITEM DESON. - ",C273),BASE02,10,FALSE),VLOOKUP(C273,DESON!A:D,4,FALSE))</f>
        <v>29,43</v>
      </c>
      <c r="K273" s="715">
        <f t="shared" si="68"/>
        <v>37.772720728425377</v>
      </c>
      <c r="L273" s="715">
        <f t="shared" si="69"/>
        <v>8083.36</v>
      </c>
    </row>
    <row r="274" spans="1:12" ht="42.75">
      <c r="A274" s="77" t="s">
        <v>13997</v>
      </c>
      <c r="B274" s="75" t="s">
        <v>79</v>
      </c>
      <c r="C274" s="84">
        <v>92986</v>
      </c>
      <c r="D274" s="712" t="str">
        <f>IF(B274="SEPLAG",VLOOKUP(C274,COMPOSIÇÃO,2,FALSE),VLOOKUP(C274,'NAO DESO'!A:B,2,FALSE))</f>
        <v>CABO DE COBRE FLEXÍVEL ISOLADO, 35 MM², ANTI-CHAMA 0,6/1,0 KV, PARA REDE ENTERRADA DE DISTRIBUIÇÃO DE ENERGIA ELÉTRICA - FORNECIMENTO E INSTALAÇÃO. AF_12/2021</v>
      </c>
      <c r="E274" s="76" t="str">
        <f>IF(B274="SEPLAG",VLOOKUP(C274,UNIDADE,3,FALSE),VLOOKUP(C274,'NAO DESO'!A:C,3,FALSE))</f>
        <v>M</v>
      </c>
      <c r="F274" s="713">
        <f t="shared" si="65"/>
        <v>270</v>
      </c>
      <c r="G274" s="714" t="str">
        <f>IF(B274="SEPLAG",VLOOKUP(CONCATENATE("TOTAL DO ITEM NÃO DESON. - ",C274),BASE01,8,FALSE),VLOOKUP(C274,'NAO DESO'!A:D,4,FALSE))</f>
        <v>40,36</v>
      </c>
      <c r="H274" s="715">
        <f t="shared" si="66"/>
        <v>49.33</v>
      </c>
      <c r="I274" s="715">
        <f t="shared" si="67"/>
        <v>13319.1</v>
      </c>
      <c r="J274" s="715" t="str">
        <f>IF(B274="SEPLAG",VLOOKUP(CONCATENATE("TOTAL DO ITEM DESON. - ",C274),BASE02,10,FALSE),VLOOKUP(C274,DESON!A:D,4,FALSE))</f>
        <v>40,08</v>
      </c>
      <c r="K274" s="715">
        <f t="shared" si="68"/>
        <v>51.441748107213357</v>
      </c>
      <c r="L274" s="715">
        <f t="shared" si="69"/>
        <v>13889.27</v>
      </c>
    </row>
    <row r="275" spans="1:12" s="716" customFormat="1" ht="42.75">
      <c r="A275" s="77" t="s">
        <v>13998</v>
      </c>
      <c r="B275" s="75" t="s">
        <v>79</v>
      </c>
      <c r="C275" s="45">
        <v>92990</v>
      </c>
      <c r="D275" s="712" t="str">
        <f>IF(B275="SEPLAG",VLOOKUP(C275,COMPOSIÇÃO,2,FALSE),VLOOKUP(C275,'NAO DESO'!A:B,2,FALSE))</f>
        <v>CABO DE COBRE FLEXÍVEL ISOLADO, 70 MM², ANTI-CHAMA 0,6/1,0 KV, PARA REDE ENTERRADA DE DISTRIBUIÇÃO DE ENERGIA ELÉTRICA - FORNECIMENTO E INSTALAÇÃO. AF_12/2021</v>
      </c>
      <c r="E275" s="76" t="str">
        <f>IF(B275="SEPLAG",VLOOKUP(C275,UNIDADE,3,FALSE),VLOOKUP(C275,'NAO DESO'!A:C,3,FALSE))</f>
        <v>M</v>
      </c>
      <c r="F275" s="713">
        <f t="shared" si="65"/>
        <v>724.3</v>
      </c>
      <c r="G275" s="714" t="str">
        <f>IF(B275="SEPLAG",VLOOKUP(CONCATENATE("TOTAL DO ITEM NÃO DESON. - ",C275),BASE01,8,FALSE),VLOOKUP(C275,'NAO DESO'!A:D,4,FALSE))</f>
        <v>78,23</v>
      </c>
      <c r="H275" s="715">
        <f t="shared" si="66"/>
        <v>95.61</v>
      </c>
      <c r="I275" s="715">
        <f t="shared" si="67"/>
        <v>69250.320000000007</v>
      </c>
      <c r="J275" s="715" t="str">
        <f>IF(B275="SEPLAG",VLOOKUP(CONCATENATE("TOTAL DO ITEM DESON. - ",C275),BASE02,10,FALSE),VLOOKUP(C275,DESON!A:D,4,FALSE))</f>
        <v>77,82</v>
      </c>
      <c r="K275" s="715">
        <f t="shared" si="68"/>
        <v>99.880160621340906</v>
      </c>
      <c r="L275" s="715">
        <f t="shared" si="69"/>
        <v>72343.199999999997</v>
      </c>
    </row>
    <row r="276" spans="1:12" s="716" customFormat="1" ht="28.5">
      <c r="A276" s="77" t="s">
        <v>14518</v>
      </c>
      <c r="B276" s="75" t="s">
        <v>79</v>
      </c>
      <c r="C276" s="45">
        <v>91929</v>
      </c>
      <c r="D276" s="712" t="str">
        <f>IF(B276="SEPLAG",VLOOKUP(C276,COMPOSIÇÃO,2,FALSE),VLOOKUP(C276,'NAO DESO'!A:B,2,FALSE))</f>
        <v>CABO DE COBRE FLEXÍVEL ISOLADO, 4 MM², ANTI-CHAMA 0,6/1,0 KV, PARA CIRCUITOS TERMINAIS - FORNECIMENTO E INSTALAÇÃO. AF_12/2015</v>
      </c>
      <c r="E276" s="76" t="str">
        <f>IF(B276="SEPLAG",VLOOKUP(C276,UNIDADE,3,FALSE),VLOOKUP(C276,'NAO DESO'!A:C,3,FALSE))</f>
        <v>M</v>
      </c>
      <c r="F276" s="713">
        <f t="shared" si="65"/>
        <v>10</v>
      </c>
      <c r="G276" s="714" t="str">
        <f>IF(B276="SEPLAG",VLOOKUP(CONCATENATE("TOTAL DO ITEM NÃO DESON. - ",C276),BASE01,8,FALSE),VLOOKUP(C276,'NAO DESO'!A:D,4,FALSE))</f>
        <v>7,82</v>
      </c>
      <c r="H276" s="715">
        <f t="shared" si="66"/>
        <v>9.5500000000000007</v>
      </c>
      <c r="I276" s="715">
        <f t="shared" si="67"/>
        <v>95.5</v>
      </c>
      <c r="J276" s="715" t="str">
        <f>IF(B276="SEPLAG",VLOOKUP(CONCATENATE("TOTAL DO ITEM DESON. - ",C276),BASE02,10,FALSE),VLOOKUP(C276,DESON!A:D,4,FALSE))</f>
        <v>7,66</v>
      </c>
      <c r="K276" s="715">
        <f t="shared" si="68"/>
        <v>9.8314318987338911</v>
      </c>
      <c r="L276" s="715">
        <f t="shared" si="69"/>
        <v>98.31</v>
      </c>
    </row>
    <row r="277" spans="1:12" s="716" customFormat="1" ht="28.5">
      <c r="A277" s="77" t="s">
        <v>13999</v>
      </c>
      <c r="B277" s="75" t="s">
        <v>79</v>
      </c>
      <c r="C277" s="45">
        <v>91933</v>
      </c>
      <c r="D277" s="712" t="str">
        <f>IF(B277="SEPLAG",VLOOKUP(C277,COMPOSIÇÃO,2,FALSE),VLOOKUP(C277,'NAO DESO'!A:B,2,FALSE))</f>
        <v>CABO DE COBRE FLEXÍVEL ISOLADO, 10 MM², ANTI-CHAMA 0,6/1,0 KV, PARA CIRCUITOS TERMINAIS - FORNECIMENTO E INSTALAÇÃO. AF_12/2015</v>
      </c>
      <c r="E277" s="76" t="str">
        <f>IF(B277="SEPLAG",VLOOKUP(C277,UNIDADE,3,FALSE),VLOOKUP(C277,'NAO DESO'!A:C,3,FALSE))</f>
        <v>M</v>
      </c>
      <c r="F277" s="713">
        <f t="shared" si="65"/>
        <v>187.5</v>
      </c>
      <c r="G277" s="714" t="str">
        <f>IF(B277="SEPLAG",VLOOKUP(CONCATENATE("TOTAL DO ITEM NÃO DESON. - ",C277),BASE01,8,FALSE),VLOOKUP(C277,'NAO DESO'!A:D,4,FALSE))</f>
        <v>16,70</v>
      </c>
      <c r="H277" s="715">
        <f t="shared" si="66"/>
        <v>20.41</v>
      </c>
      <c r="I277" s="715">
        <f t="shared" si="67"/>
        <v>3826.87</v>
      </c>
      <c r="J277" s="715" t="str">
        <f>IF(B277="SEPLAG",VLOOKUP(CONCATENATE("TOTAL DO ITEM DESON. - ",C277),BASE02,10,FALSE),VLOOKUP(C277,DESON!A:D,4,FALSE))</f>
        <v>16,39</v>
      </c>
      <c r="K277" s="715">
        <f t="shared" si="68"/>
        <v>21.03618391909249</v>
      </c>
      <c r="L277" s="715">
        <f t="shared" si="69"/>
        <v>3944.28</v>
      </c>
    </row>
    <row r="278" spans="1:12" s="716" customFormat="1" ht="42.75">
      <c r="A278" s="77" t="s">
        <v>14000</v>
      </c>
      <c r="B278" s="75" t="s">
        <v>79</v>
      </c>
      <c r="C278" s="45">
        <v>92988</v>
      </c>
      <c r="D278" s="712" t="str">
        <f>IF(B278="SEPLAG",VLOOKUP(C278,COMPOSIÇÃO,2,FALSE),VLOOKUP(C278,'NAO DESO'!A:B,2,FALSE))</f>
        <v>CABO DE COBRE FLEXÍVEL ISOLADO, 50 MM², ANTI-CHAMA 0,6/1,0 KV, PARA REDE ENTERRADA DE DISTRIBUIÇÃO DE ENERGIA ELÉTRICA - FORNECIMENTO E INSTALAÇÃO. AF_12/2021</v>
      </c>
      <c r="E278" s="76" t="str">
        <f>IF(B278="SEPLAG",VLOOKUP(C278,UNIDADE,3,FALSE),VLOOKUP(C278,'NAO DESO'!A:C,3,FALSE))</f>
        <v>M</v>
      </c>
      <c r="F278" s="713">
        <f t="shared" si="65"/>
        <v>70.5</v>
      </c>
      <c r="G278" s="714" t="str">
        <f>IF(B278="SEPLAG",VLOOKUP(CONCATENATE("TOTAL DO ITEM NÃO DESON. - ",C278),BASE01,8,FALSE),VLOOKUP(C278,'NAO DESO'!A:D,4,FALSE))</f>
        <v>56,88</v>
      </c>
      <c r="H278" s="715">
        <f t="shared" si="66"/>
        <v>69.52</v>
      </c>
      <c r="I278" s="715">
        <f t="shared" si="67"/>
        <v>4901.16</v>
      </c>
      <c r="J278" s="715" t="str">
        <f>IF(B278="SEPLAG",VLOOKUP(CONCATENATE("TOTAL DO ITEM DESON. - ",C278),BASE02,10,FALSE),VLOOKUP(C278,DESON!A:D,4,FALSE))</f>
        <v>56,56</v>
      </c>
      <c r="K278" s="715">
        <f t="shared" si="68"/>
        <v>72.593444933732229</v>
      </c>
      <c r="L278" s="715">
        <f t="shared" si="69"/>
        <v>5117.83</v>
      </c>
    </row>
    <row r="279" spans="1:12" s="716" customFormat="1" ht="42.75">
      <c r="A279" s="77" t="s">
        <v>14001</v>
      </c>
      <c r="B279" s="75" t="s">
        <v>79</v>
      </c>
      <c r="C279" s="45">
        <v>92994</v>
      </c>
      <c r="D279" s="712" t="str">
        <f>IF(B279="SEPLAG",VLOOKUP(C279,COMPOSIÇÃO,2,FALSE),VLOOKUP(C279,'NAO DESO'!A:B,2,FALSE))</f>
        <v>CABO DE COBRE FLEXÍVEL ISOLADO, 120 MM², ANTI-CHAMA 0,6/1,0 KV, PARA REDE ENTERRADA DE DISTRIBUIÇÃO DE ENERGIA ELÉTRICA - FORNECIMENTO E INSTALAÇÃO. AF_12/2021</v>
      </c>
      <c r="E279" s="76" t="str">
        <f>IF(B279="SEPLAG",VLOOKUP(C279,UNIDADE,3,FALSE),VLOOKUP(C279,'NAO DESO'!A:C,3,FALSE))</f>
        <v>M</v>
      </c>
      <c r="F279" s="713">
        <f t="shared" si="65"/>
        <v>571</v>
      </c>
      <c r="G279" s="714" t="str">
        <f>IF(B279="SEPLAG",VLOOKUP(CONCATENATE("TOTAL DO ITEM NÃO DESON. - ",C279),BASE01,8,FALSE),VLOOKUP(C279,'NAO DESO'!A:D,4,FALSE))</f>
        <v>134,15</v>
      </c>
      <c r="H279" s="715">
        <f t="shared" si="66"/>
        <v>163.96</v>
      </c>
      <c r="I279" s="715">
        <f t="shared" si="67"/>
        <v>93621.16</v>
      </c>
      <c r="J279" s="715" t="str">
        <f>IF(B279="SEPLAG",VLOOKUP(CONCATENATE("TOTAL DO ITEM DESON. - ",C279),BASE02,10,FALSE),VLOOKUP(C279,DESON!A:D,4,FALSE))</f>
        <v>133,57</v>
      </c>
      <c r="K279" s="715">
        <f t="shared" si="68"/>
        <v>171.43398938823574</v>
      </c>
      <c r="L279" s="715">
        <f t="shared" si="69"/>
        <v>97888.8</v>
      </c>
    </row>
    <row r="280" spans="1:12" s="654" customFormat="1" ht="14.25">
      <c r="A280" s="785"/>
      <c r="B280" s="786"/>
      <c r="C280" s="786"/>
      <c r="D280" s="786"/>
      <c r="E280" s="786"/>
      <c r="F280" s="786"/>
      <c r="G280" s="786"/>
      <c r="H280" s="786"/>
      <c r="I280" s="786"/>
      <c r="J280" s="786"/>
      <c r="K280" s="786"/>
      <c r="L280" s="787"/>
    </row>
    <row r="281" spans="1:12" s="716" customFormat="1">
      <c r="A281" s="809"/>
      <c r="B281" s="737"/>
      <c r="C281" s="135"/>
      <c r="D281" s="147" t="s">
        <v>13311</v>
      </c>
      <c r="E281" s="141"/>
      <c r="F281" s="142"/>
      <c r="G281" s="810"/>
      <c r="H281" s="144"/>
      <c r="I281" s="144"/>
      <c r="J281" s="144"/>
      <c r="K281" s="144"/>
      <c r="L281" s="144"/>
    </row>
    <row r="282" spans="1:12" s="716" customFormat="1" ht="28.5">
      <c r="A282" s="89" t="s">
        <v>14514</v>
      </c>
      <c r="B282" s="76" t="s">
        <v>79</v>
      </c>
      <c r="C282" s="45">
        <v>91926</v>
      </c>
      <c r="D282" s="712" t="str">
        <f>IF(B282="SEPLAG",VLOOKUP(C282,COMPOSIÇÃO,2,FALSE),VLOOKUP(C282,'NAO DESO'!A:B,2,FALSE))</f>
        <v>CABO DE COBRE FLEXÍVEL ISOLADO, 2,5 MM², ANTI-CHAMA 450/750 V, PARA CIRCUITOS TERMINAIS - FORNECIMENTO E INSTALAÇÃO. AF_12/2015</v>
      </c>
      <c r="E282" s="76" t="str">
        <f>IF(B282="SEPLAG",VLOOKUP(C282,UNIDADE,3,FALSE),VLOOKUP(C282,'NAO DESO'!A:C,3,FALSE))</f>
        <v>M</v>
      </c>
      <c r="F282" s="713">
        <f t="shared" ref="F282:F288" si="70">VLOOKUP(A282,MEMÓRIA,6,FALSE)</f>
        <v>1536</v>
      </c>
      <c r="G282" s="714" t="str">
        <f>IF(B282="SEPLAG",VLOOKUP(CONCATENATE("TOTAL DO ITEM NÃO DESON. - ",C282),BASE01,8,FALSE),VLOOKUP(C282,'NAO DESO'!A:D,4,FALSE))</f>
        <v>4,11</v>
      </c>
      <c r="H282" s="715">
        <f t="shared" ref="H282:H288" si="71">TRUNC(G282+G282*$K$6,2)</f>
        <v>5.0199999999999996</v>
      </c>
      <c r="I282" s="715">
        <f t="shared" ref="I282:I288" si="72">TRUNC(F282*H282,2)</f>
        <v>7710.72</v>
      </c>
      <c r="J282" s="715" t="str">
        <f>IF(B282="SEPLAG",VLOOKUP(CONCATENATE("TOTAL DO ITEM DESON. - ",C282),BASE02,10,FALSE),VLOOKUP(C282,DESON!A:D,4,FALSE))</f>
        <v>3,99</v>
      </c>
      <c r="K282" s="715">
        <f t="shared" ref="K282:K288" si="73">J282+J282*$L$6</f>
        <v>5.1210722292360611</v>
      </c>
      <c r="L282" s="715">
        <f t="shared" ref="L282:L288" si="74">TRUNC(F282*K282,2)</f>
        <v>7865.96</v>
      </c>
    </row>
    <row r="283" spans="1:12" s="716" customFormat="1" ht="28.5">
      <c r="A283" s="89" t="s">
        <v>14515</v>
      </c>
      <c r="B283" s="76" t="s">
        <v>79</v>
      </c>
      <c r="C283" s="45">
        <v>91928</v>
      </c>
      <c r="D283" s="712" t="str">
        <f>IF(B283="SEPLAG",VLOOKUP(C283,COMPOSIÇÃO,2,FALSE),VLOOKUP(C283,'NAO DESO'!A:B,2,FALSE))</f>
        <v>CABO DE COBRE FLEXÍVEL ISOLADO, 4 MM², ANTI-CHAMA 450/750 V, PARA CIRCUITOS TERMINAIS - FORNECIMENTO E INSTALAÇÃO. AF_12/2015</v>
      </c>
      <c r="E283" s="76" t="str">
        <f>IF(B283="SEPLAG",VLOOKUP(C283,UNIDADE,3,FALSE),VLOOKUP(C283,'NAO DESO'!A:C,3,FALSE))</f>
        <v>M</v>
      </c>
      <c r="F283" s="713">
        <f t="shared" si="70"/>
        <v>896</v>
      </c>
      <c r="G283" s="714" t="str">
        <f>IF(B283="SEPLAG",VLOOKUP(CONCATENATE("TOTAL DO ITEM NÃO DESON. - ",C283),BASE01,8,FALSE),VLOOKUP(C283,'NAO DESO'!A:D,4,FALSE))</f>
        <v>6,82</v>
      </c>
      <c r="H283" s="715">
        <f t="shared" si="71"/>
        <v>8.33</v>
      </c>
      <c r="I283" s="715">
        <f t="shared" si="72"/>
        <v>7463.68</v>
      </c>
      <c r="J283" s="715" t="str">
        <f>IF(B283="SEPLAG",VLOOKUP(CONCATENATE("TOTAL DO ITEM DESON. - ",C283),BASE02,10,FALSE),VLOOKUP(C283,DESON!A:D,4,FALSE))</f>
        <v>6,66</v>
      </c>
      <c r="K283" s="715">
        <f t="shared" si="73"/>
        <v>8.547955149551921</v>
      </c>
      <c r="L283" s="715">
        <f t="shared" si="74"/>
        <v>7658.96</v>
      </c>
    </row>
    <row r="284" spans="1:12" s="716" customFormat="1" ht="28.5">
      <c r="A284" s="89" t="s">
        <v>14516</v>
      </c>
      <c r="B284" s="76" t="s">
        <v>79</v>
      </c>
      <c r="C284" s="45">
        <v>91931</v>
      </c>
      <c r="D284" s="712" t="str">
        <f>IF(B284="SEPLAG",VLOOKUP(C284,COMPOSIÇÃO,2,FALSE),VLOOKUP(C284,'NAO DESO'!A:B,2,FALSE))</f>
        <v>CABO DE COBRE FLEXÍVEL ISOLADO, 6 MM², ANTI-CHAMA 0,6/1,0 KV, PARA CIRCUITOS TERMINAIS - FORNECIMENTO E INSTALAÇÃO. AF_12/2015</v>
      </c>
      <c r="E284" s="76" t="str">
        <f>IF(B284="SEPLAG",VLOOKUP(C284,UNIDADE,3,FALSE),VLOOKUP(C284,'NAO DESO'!A:C,3,FALSE))</f>
        <v>M</v>
      </c>
      <c r="F284" s="713">
        <f t="shared" si="70"/>
        <v>423</v>
      </c>
      <c r="G284" s="714" t="str">
        <f>IF(B284="SEPLAG",VLOOKUP(CONCATENATE("TOTAL DO ITEM NÃO DESON. - ",C284),BASE01,8,FALSE),VLOOKUP(C284,'NAO DESO'!A:D,4,FALSE))</f>
        <v>10,58</v>
      </c>
      <c r="H284" s="715">
        <f t="shared" si="71"/>
        <v>12.93</v>
      </c>
      <c r="I284" s="715">
        <f t="shared" si="72"/>
        <v>5469.39</v>
      </c>
      <c r="J284" s="715" t="str">
        <f>IF(B284="SEPLAG",VLOOKUP(CONCATENATE("TOTAL DO ITEM DESON. - ",C284),BASE02,10,FALSE),VLOOKUP(C284,DESON!A:D,4,FALSE))</f>
        <v>10,37</v>
      </c>
      <c r="K284" s="715">
        <f t="shared" si="73"/>
        <v>13.309653889017028</v>
      </c>
      <c r="L284" s="715">
        <f t="shared" si="74"/>
        <v>5629.98</v>
      </c>
    </row>
    <row r="285" spans="1:12" s="716" customFormat="1" ht="28.5">
      <c r="A285" s="89" t="s">
        <v>14517</v>
      </c>
      <c r="B285" s="76" t="s">
        <v>14504</v>
      </c>
      <c r="C285" s="45" t="s">
        <v>7130</v>
      </c>
      <c r="D285" s="712" t="str">
        <f>IF(B285="SEPLAG",VLOOKUP(C285,COMPOSIÇÃO,2,FALSE),VLOOKUP(C285,'NAO DESO'!A:B,2,FALSE))</f>
        <v>TERMINAL A COMPRESSAO EM COBRE ESTANHADO 1 FURO PARA CABO 70 MM2. FORNECIMENTO E INSTALAÇÃO.</v>
      </c>
      <c r="E285" s="76" t="str">
        <f>IF(B285="SEPLAG",VLOOKUP(C285,UNIDADE,3,FALSE),VLOOKUP(C285,'NAO DESO'!A:C,3,FALSE))</f>
        <v>UND</v>
      </c>
      <c r="F285" s="713">
        <f t="shared" si="70"/>
        <v>20</v>
      </c>
      <c r="G285" s="714">
        <f>IF(B285="SEPLAG",VLOOKUP(CONCATENATE("TOTAL DO ITEM NÃO DESON. - ",C285),BASE01,8,FALSE),VLOOKUP(C285,'NAO DESO'!A:D,4,FALSE))</f>
        <v>19.759999999999998</v>
      </c>
      <c r="H285" s="715">
        <f t="shared" si="71"/>
        <v>24.15</v>
      </c>
      <c r="I285" s="715">
        <f t="shared" si="72"/>
        <v>483</v>
      </c>
      <c r="J285" s="715">
        <f>IF(B285="SEPLAG",VLOOKUP(CONCATENATE("TOTAL DO ITEM DESON. - ",C285),BASE02,10,FALSE),VLOOKUP(C285,DESON!A:D,4,FALSE))</f>
        <v>18.549999999999997</v>
      </c>
      <c r="K285" s="715">
        <f t="shared" si="73"/>
        <v>23.808493697325542</v>
      </c>
      <c r="L285" s="715">
        <f t="shared" si="74"/>
        <v>476.16</v>
      </c>
    </row>
    <row r="286" spans="1:12" s="716" customFormat="1" ht="42.75">
      <c r="A286" s="89" t="s">
        <v>14600</v>
      </c>
      <c r="B286" s="76" t="s">
        <v>14504</v>
      </c>
      <c r="C286" s="45" t="s">
        <v>14163</v>
      </c>
      <c r="D286" s="712" t="str">
        <f>IF(B286="SEPLAG",VLOOKUP(C286,COMPOSIÇÃO,2,FALSE),VLOOKUP(C286,'NAO DESO'!A:B,2,FALSE))</f>
        <v>TERMINAL A COMPRESSAO EM COBRE ESTANHADO PARA CABO 35 MM2, 1 FURO E 1 COMPRESSAO, PARA PARAFUSO DE FIXACAO M8, FORNECIMENTO E INSTALAÇÃO</v>
      </c>
      <c r="E286" s="76" t="str">
        <f>IF(B286="SEPLAG",VLOOKUP(C286,UNIDADE,3,FALSE),VLOOKUP(C286,'NAO DESO'!A:C,3,FALSE))</f>
        <v>UND</v>
      </c>
      <c r="F286" s="713">
        <f t="shared" si="70"/>
        <v>16</v>
      </c>
      <c r="G286" s="714">
        <f>IF(B286="SEPLAG",VLOOKUP(CONCATENATE("TOTAL DO ITEM NÃO DESON. - ",C286),BASE01,8,FALSE),VLOOKUP(C286,'NAO DESO'!A:D,4,FALSE))</f>
        <v>6.2200000000000006</v>
      </c>
      <c r="H286" s="715">
        <f t="shared" si="71"/>
        <v>7.6</v>
      </c>
      <c r="I286" s="715">
        <f t="shared" si="72"/>
        <v>121.6</v>
      </c>
      <c r="J286" s="715">
        <f>IF(B286="SEPLAG",VLOOKUP(CONCATENATE("TOTAL DO ITEM DESON. - ",C286),BASE02,10,FALSE),VLOOKUP(C286,DESON!A:D,4,FALSE))</f>
        <v>5.82</v>
      </c>
      <c r="K286" s="715">
        <f t="shared" si="73"/>
        <v>7.4698346802390665</v>
      </c>
      <c r="L286" s="715">
        <f t="shared" si="74"/>
        <v>119.51</v>
      </c>
    </row>
    <row r="287" spans="1:12" s="716" customFormat="1" ht="28.5">
      <c r="A287" s="89" t="s">
        <v>14601</v>
      </c>
      <c r="B287" s="76" t="s">
        <v>14504</v>
      </c>
      <c r="C287" s="45" t="s">
        <v>7124</v>
      </c>
      <c r="D287" s="712" t="str">
        <f>IF(B287="SEPLAG",VLOOKUP(C287,COMPOSIÇÃO,2,FALSE),VLOOKUP(C287,'NAO DESO'!A:B,2,FALSE))</f>
        <v>TERMINAL A COMPRESSAO EM COBRE ESTANHADO 1 FURO PARA CABO 25 MM2. FORNECIMENTO E INSTALAÇÃO.</v>
      </c>
      <c r="E287" s="76" t="str">
        <f>IF(B287="SEPLAG",VLOOKUP(C287,UNIDADE,3,FALSE),VLOOKUP(C287,'NAO DESO'!A:C,3,FALSE))</f>
        <v>UND</v>
      </c>
      <c r="F287" s="713">
        <f t="shared" si="70"/>
        <v>12</v>
      </c>
      <c r="G287" s="714">
        <f>IF(B287="SEPLAG",VLOOKUP(CONCATENATE("TOTAL DO ITEM NÃO DESON. - ",C287),BASE01,8,FALSE),VLOOKUP(C287,'NAO DESO'!A:D,4,FALSE))</f>
        <v>14.71</v>
      </c>
      <c r="H287" s="715">
        <f t="shared" si="71"/>
        <v>17.97</v>
      </c>
      <c r="I287" s="715">
        <f t="shared" si="72"/>
        <v>215.64</v>
      </c>
      <c r="J287" s="715">
        <f>IF(B287="SEPLAG",VLOOKUP(CONCATENATE("TOTAL DO ITEM DESON. - ",C287),BASE02,10,FALSE),VLOOKUP(C287,DESON!A:D,4,FALSE))</f>
        <v>13.5</v>
      </c>
      <c r="K287" s="715">
        <f t="shared" si="73"/>
        <v>17.326936113956595</v>
      </c>
      <c r="L287" s="715">
        <f t="shared" si="74"/>
        <v>207.92</v>
      </c>
    </row>
    <row r="288" spans="1:12" s="716" customFormat="1" ht="28.5">
      <c r="A288" s="89" t="s">
        <v>14002</v>
      </c>
      <c r="B288" s="811" t="s">
        <v>14504</v>
      </c>
      <c r="C288" s="125" t="s">
        <v>7121</v>
      </c>
      <c r="D288" s="812" t="str">
        <f>IF(B288="SEPLAG",VLOOKUP(C288,COMPOSIÇÃO,2,FALSE),VLOOKUP(C288,'NAO DESO'!A:B,2,FALSE))</f>
        <v>TERMINAL A COMPRESSAO EM COBRE ESTANHADO 1 FURO PARA CABO 16 MM2. FORNECIMENTO E INSTALAÇÃO.</v>
      </c>
      <c r="E288" s="811" t="str">
        <f>IF(B288="SEPLAG",VLOOKUP(C288,UNIDADE,3,FALSE),VLOOKUP(C288,'NAO DESO'!A:C,3,FALSE))</f>
        <v>UND</v>
      </c>
      <c r="F288" s="813">
        <f t="shared" si="70"/>
        <v>16</v>
      </c>
      <c r="G288" s="814">
        <f>IF(B288="SEPLAG",VLOOKUP(CONCATENATE("TOTAL DO ITEM NÃO DESON. - ",C288),BASE01,8,FALSE),VLOOKUP(C288,'NAO DESO'!A:D,4,FALSE))</f>
        <v>13.809999999999999</v>
      </c>
      <c r="H288" s="728">
        <f t="shared" si="71"/>
        <v>16.87</v>
      </c>
      <c r="I288" s="728">
        <f t="shared" si="72"/>
        <v>269.92</v>
      </c>
      <c r="J288" s="728">
        <f>IF(B288="SEPLAG",VLOOKUP(CONCATENATE("TOTAL DO ITEM DESON. - ",C288),BASE02,10,FALSE),VLOOKUP(C288,DESON!A:D,4,FALSE))</f>
        <v>12.6</v>
      </c>
      <c r="K288" s="728">
        <f t="shared" si="73"/>
        <v>16.171807039692823</v>
      </c>
      <c r="L288" s="728">
        <f t="shared" si="74"/>
        <v>258.74</v>
      </c>
    </row>
    <row r="289" spans="1:12" s="716" customFormat="1">
      <c r="A289" s="126"/>
      <c r="B289" s="127"/>
      <c r="C289" s="127"/>
      <c r="D289" s="127"/>
      <c r="E289" s="127"/>
      <c r="F289" s="127"/>
      <c r="G289" s="127"/>
      <c r="H289" s="127"/>
      <c r="I289" s="127"/>
      <c r="J289" s="127"/>
      <c r="K289" s="127"/>
      <c r="L289" s="128"/>
    </row>
    <row r="290" spans="1:12" s="716" customFormat="1">
      <c r="A290" s="800"/>
      <c r="B290" s="815"/>
      <c r="C290" s="136"/>
      <c r="D290" s="765" t="s">
        <v>13312</v>
      </c>
      <c r="E290" s="776"/>
      <c r="F290" s="816"/>
      <c r="G290" s="817"/>
      <c r="H290" s="733"/>
      <c r="I290" s="733"/>
      <c r="J290" s="733"/>
      <c r="K290" s="733"/>
      <c r="L290" s="733"/>
    </row>
    <row r="291" spans="1:12" s="716" customFormat="1" ht="28.5">
      <c r="A291" s="89" t="s">
        <v>14602</v>
      </c>
      <c r="B291" s="76" t="s">
        <v>79</v>
      </c>
      <c r="C291" s="45">
        <v>91953</v>
      </c>
      <c r="D291" s="712" t="str">
        <f>IF(B291="SEPLAG",VLOOKUP(C291,COMPOSIÇÃO,2,FALSE),VLOOKUP(C291,'NAO DESO'!A:B,2,FALSE))</f>
        <v>INTERRUPTOR SIMPLES (1 MÓDULO), 10A/250V, INCLUINDO SUPORTE E PLACA - FORNECIMENTO E INSTALAÇÃO. AF_12/2015</v>
      </c>
      <c r="E291" s="76" t="str">
        <f>IF(B291="SEPLAG",VLOOKUP(C291,UNIDADE,3,FALSE),VLOOKUP(C291,'NAO DESO'!A:C,3,FALSE))</f>
        <v>UN</v>
      </c>
      <c r="F291" s="713">
        <f t="shared" ref="F291:F323" si="75">VLOOKUP(A291,MEMÓRIA,6,FALSE)</f>
        <v>4</v>
      </c>
      <c r="G291" s="714" t="str">
        <f>IF(B291="SEPLAG",VLOOKUP(CONCATENATE("TOTAL DO ITEM NÃO DESON. - ",C291),BASE01,8,FALSE),VLOOKUP(C291,'NAO DESO'!A:D,4,FALSE))</f>
        <v>21,11</v>
      </c>
      <c r="H291" s="715">
        <f t="shared" ref="H291:H323" si="76">TRUNC(G291+G291*$K$6,2)</f>
        <v>25.8</v>
      </c>
      <c r="I291" s="715">
        <f t="shared" ref="I291:I323" si="77">TRUNC(F291*H291,2)</f>
        <v>103.2</v>
      </c>
      <c r="J291" s="715" t="str">
        <f>IF(B291="SEPLAG",VLOOKUP(CONCATENATE("TOTAL DO ITEM DESON. - ",C291),BASE02,10,FALSE),VLOOKUP(C291,DESON!A:D,4,FALSE))</f>
        <v>19,92</v>
      </c>
      <c r="K291" s="715">
        <f t="shared" ref="K291:K323" si="78">J291+J291*$L$6</f>
        <v>25.566856843704848</v>
      </c>
      <c r="L291" s="715">
        <f t="shared" ref="L291:L323" si="79">TRUNC(F291*K291,2)</f>
        <v>102.26</v>
      </c>
    </row>
    <row r="292" spans="1:12" s="716" customFormat="1" ht="28.5">
      <c r="A292" s="89" t="s">
        <v>14003</v>
      </c>
      <c r="B292" s="76" t="s">
        <v>79</v>
      </c>
      <c r="C292" s="45">
        <v>91967</v>
      </c>
      <c r="D292" s="712" t="str">
        <f>IF(B292="SEPLAG",VLOOKUP(C292,COMPOSIÇÃO,2,FALSE),VLOOKUP(C292,'NAO DESO'!A:B,2,FALSE))</f>
        <v>INTERRUPTOR SIMPLES (3 MÓDULOS), 10A/250V, INCLUINDO SUPORTE E PLACA - FORNECIMENTO E INSTALAÇÃO. AF_12/2015</v>
      </c>
      <c r="E292" s="76" t="str">
        <f>IF(B292="SEPLAG",VLOOKUP(C292,UNIDADE,3,FALSE),VLOOKUP(C292,'NAO DESO'!A:C,3,FALSE))</f>
        <v>UN</v>
      </c>
      <c r="F292" s="713">
        <f t="shared" si="75"/>
        <v>1</v>
      </c>
      <c r="G292" s="714" t="str">
        <f>IF(B292="SEPLAG",VLOOKUP(CONCATENATE("TOTAL DO ITEM NÃO DESON. - ",C292),BASE01,8,FALSE),VLOOKUP(C292,'NAO DESO'!A:D,4,FALSE))</f>
        <v>45,68</v>
      </c>
      <c r="H292" s="715">
        <f t="shared" si="76"/>
        <v>55.83</v>
      </c>
      <c r="I292" s="715">
        <f t="shared" si="77"/>
        <v>55.83</v>
      </c>
      <c r="J292" s="715" t="str">
        <f>IF(B292="SEPLAG",VLOOKUP(CONCATENATE("TOTAL DO ITEM DESON. - ",C292),BASE02,10,FALSE),VLOOKUP(C292,DESON!A:D,4,FALSE))</f>
        <v>43,18</v>
      </c>
      <c r="K292" s="715">
        <f t="shared" si="78"/>
        <v>55.420526029677468</v>
      </c>
      <c r="L292" s="715">
        <f t="shared" si="79"/>
        <v>55.42</v>
      </c>
    </row>
    <row r="293" spans="1:12" s="716" customFormat="1" ht="28.5">
      <c r="A293" s="89" t="s">
        <v>14004</v>
      </c>
      <c r="B293" s="76" t="s">
        <v>79</v>
      </c>
      <c r="C293" s="45">
        <v>92868</v>
      </c>
      <c r="D293" s="712" t="str">
        <f>IF(B293="SEPLAG",VLOOKUP(C293,COMPOSIÇÃO,2,FALSE),VLOOKUP(C293,'NAO DESO'!A:B,2,FALSE))</f>
        <v>CAIXA RETANGULAR 4" X 2" MÉDIA (1,30 M DO PISO), METÁLICA, INSTALADA EM PAREDE - FORNECIMENTO E INSTALAÇÃO. AF_12/2015</v>
      </c>
      <c r="E293" s="76" t="str">
        <f>IF(B293="SEPLAG",VLOOKUP(C293,UNIDADE,3,FALSE),VLOOKUP(C293,'NAO DESO'!A:C,3,FALSE))</f>
        <v>UN</v>
      </c>
      <c r="F293" s="713">
        <f t="shared" si="75"/>
        <v>18</v>
      </c>
      <c r="G293" s="714" t="str">
        <f>IF(B293="SEPLAG",VLOOKUP(CONCATENATE("TOTAL DO ITEM NÃO DESON. - ",C293),BASE01,8,FALSE),VLOOKUP(C293,'NAO DESO'!A:D,4,FALSE))</f>
        <v>11,99</v>
      </c>
      <c r="H293" s="715">
        <f t="shared" si="76"/>
        <v>14.65</v>
      </c>
      <c r="I293" s="715">
        <f t="shared" si="77"/>
        <v>263.7</v>
      </c>
      <c r="J293" s="715" t="str">
        <f>IF(B293="SEPLAG",VLOOKUP(CONCATENATE("TOTAL DO ITEM DESON. - ",C293),BASE02,10,FALSE),VLOOKUP(C293,DESON!A:D,4,FALSE))</f>
        <v>11,00</v>
      </c>
      <c r="K293" s="715">
        <f t="shared" si="78"/>
        <v>14.118244241001671</v>
      </c>
      <c r="L293" s="715">
        <f t="shared" si="79"/>
        <v>254.12</v>
      </c>
    </row>
    <row r="294" spans="1:12" s="716" customFormat="1" ht="28.5">
      <c r="A294" s="89" t="s">
        <v>14005</v>
      </c>
      <c r="B294" s="76" t="s">
        <v>79</v>
      </c>
      <c r="C294" s="45">
        <v>91969</v>
      </c>
      <c r="D294" s="712" t="str">
        <f>IF(B294="SEPLAG",VLOOKUP(C294,COMPOSIÇÃO,2,FALSE),VLOOKUP(C294,'NAO DESO'!A:B,2,FALSE))</f>
        <v>INTERRUPTOR PARALELO (3 MÓDULOS), 10A/250V, INCLUINDO SUPORTE E PLACA - FORNECIMENTO E INSTALAÇÃO. AF_12/2015</v>
      </c>
      <c r="E294" s="76" t="str">
        <f>IF(B294="SEPLAG",VLOOKUP(C294,UNIDADE,3,FALSE),VLOOKUP(C294,'NAO DESO'!A:C,3,FALSE))</f>
        <v>UN</v>
      </c>
      <c r="F294" s="713">
        <f t="shared" si="75"/>
        <v>2</v>
      </c>
      <c r="G294" s="714" t="str">
        <f>IF(B294="SEPLAG",VLOOKUP(CONCATENATE("TOTAL DO ITEM NÃO DESON. - ",C294),BASE01,8,FALSE),VLOOKUP(C294,'NAO DESO'!A:D,4,FALSE))</f>
        <v>60,58</v>
      </c>
      <c r="H294" s="715">
        <f t="shared" si="76"/>
        <v>74.040000000000006</v>
      </c>
      <c r="I294" s="715">
        <f t="shared" si="77"/>
        <v>148.08000000000001</v>
      </c>
      <c r="J294" s="715" t="str">
        <f>IF(B294="SEPLAG",VLOOKUP(CONCATENATE("TOTAL DO ITEM DESON. - ",C294),BASE02,10,FALSE),VLOOKUP(C294,DESON!A:D,4,FALSE))</f>
        <v>57,10</v>
      </c>
      <c r="K294" s="715">
        <f t="shared" si="78"/>
        <v>73.286522378290499</v>
      </c>
      <c r="L294" s="715">
        <f t="shared" si="79"/>
        <v>146.57</v>
      </c>
    </row>
    <row r="295" spans="1:12" s="716" customFormat="1" ht="28.5">
      <c r="A295" s="89" t="s">
        <v>14006</v>
      </c>
      <c r="B295" s="76" t="s">
        <v>79</v>
      </c>
      <c r="C295" s="45">
        <v>91993</v>
      </c>
      <c r="D295" s="712" t="str">
        <f>IF(B295="SEPLAG",VLOOKUP(C295,COMPOSIÇÃO,2,FALSE),VLOOKUP(C295,'NAO DESO'!A:B,2,FALSE))</f>
        <v>TOMADA ALTA DE EMBUTIR (1 MÓDULO), 2P+T 20 A, INCLUINDO SUPORTE E PLACA - FORNECIMENTO E INSTALAÇÃO. AF_12/2015</v>
      </c>
      <c r="E295" s="76" t="str">
        <f>IF(B295="SEPLAG",VLOOKUP(C295,UNIDADE,3,FALSE),VLOOKUP(C295,'NAO DESO'!A:C,3,FALSE))</f>
        <v>UN</v>
      </c>
      <c r="F295" s="713">
        <f t="shared" si="75"/>
        <v>13</v>
      </c>
      <c r="G295" s="714" t="str">
        <f>IF(B295="SEPLAG",VLOOKUP(CONCATENATE("TOTAL DO ITEM NÃO DESON. - ",C295),BASE01,8,FALSE),VLOOKUP(C295,'NAO DESO'!A:D,4,FALSE))</f>
        <v>34,29</v>
      </c>
      <c r="H295" s="715">
        <f t="shared" si="76"/>
        <v>41.91</v>
      </c>
      <c r="I295" s="715">
        <f t="shared" si="77"/>
        <v>544.83000000000004</v>
      </c>
      <c r="J295" s="715" t="str">
        <f>IF(B295="SEPLAG",VLOOKUP(CONCATENATE("TOTAL DO ITEM DESON. - ",C295),BASE02,10,FALSE),VLOOKUP(C295,DESON!A:D,4,FALSE))</f>
        <v>32,02</v>
      </c>
      <c r="K295" s="715">
        <f t="shared" si="78"/>
        <v>41.096925508806684</v>
      </c>
      <c r="L295" s="715">
        <f t="shared" si="79"/>
        <v>534.26</v>
      </c>
    </row>
    <row r="296" spans="1:12" s="716" customFormat="1" ht="42.75">
      <c r="A296" s="89" t="s">
        <v>14007</v>
      </c>
      <c r="B296" s="76" t="s">
        <v>79</v>
      </c>
      <c r="C296" s="45">
        <v>95778</v>
      </c>
      <c r="D296" s="712" t="str">
        <f>IF(B296="SEPLAG",VLOOKUP(C296,COMPOSIÇÃO,2,FALSE),VLOOKUP(C296,'NAO DESO'!A:B,2,FALSE))</f>
        <v>CONDULETE DE ALUMÍNIO, TIPO C, PARA ELETRODUTO DE AÇO GALVANIZADO DN 20 MM (3/4''), APARENTE - FORNECIMENTO E INSTALAÇÃO. AF_11/2016_P</v>
      </c>
      <c r="E296" s="76" t="str">
        <f>IF(B296="SEPLAG",VLOOKUP(C296,UNIDADE,3,FALSE),VLOOKUP(C296,'NAO DESO'!A:C,3,FALSE))</f>
        <v>UN</v>
      </c>
      <c r="F296" s="713">
        <f t="shared" si="75"/>
        <v>34</v>
      </c>
      <c r="G296" s="714" t="str">
        <f>IF(B296="SEPLAG",VLOOKUP(CONCATENATE("TOTAL DO ITEM NÃO DESON. - ",C296),BASE01,8,FALSE),VLOOKUP(C296,'NAO DESO'!A:D,4,FALSE))</f>
        <v>24,26</v>
      </c>
      <c r="H296" s="715">
        <f t="shared" si="76"/>
        <v>29.65</v>
      </c>
      <c r="I296" s="715">
        <f t="shared" si="77"/>
        <v>1008.1</v>
      </c>
      <c r="J296" s="715" t="str">
        <f>IF(B296="SEPLAG",VLOOKUP(CONCATENATE("TOTAL DO ITEM DESON. - ",C296),BASE02,10,FALSE),VLOOKUP(C296,DESON!A:D,4,FALSE))</f>
        <v>22,88</v>
      </c>
      <c r="K296" s="715">
        <f t="shared" si="78"/>
        <v>29.365948021283472</v>
      </c>
      <c r="L296" s="715">
        <f t="shared" si="79"/>
        <v>998.44</v>
      </c>
    </row>
    <row r="297" spans="1:12" s="716" customFormat="1" ht="42.75">
      <c r="A297" s="89" t="s">
        <v>14008</v>
      </c>
      <c r="B297" s="76" t="s">
        <v>79</v>
      </c>
      <c r="C297" s="45">
        <v>95781</v>
      </c>
      <c r="D297" s="712" t="str">
        <f>IF(B297="SEPLAG",VLOOKUP(C297,COMPOSIÇÃO,2,FALSE),VLOOKUP(C297,'NAO DESO'!A:B,2,FALSE))</f>
        <v>CONDULETE DE ALUMÍNIO, TIPO C, PARA ELETRODUTO DE AÇO GALVANIZADO DN 25 MM (1''), APARENTE - FORNECIMENTO E INSTALAÇÃO. AF_11/2016_P</v>
      </c>
      <c r="E297" s="76" t="str">
        <f>IF(B297="SEPLAG",VLOOKUP(C297,UNIDADE,3,FALSE),VLOOKUP(C297,'NAO DESO'!A:C,3,FALSE))</f>
        <v>UN</v>
      </c>
      <c r="F297" s="713">
        <f t="shared" si="75"/>
        <v>19</v>
      </c>
      <c r="G297" s="714" t="str">
        <f>IF(B297="SEPLAG",VLOOKUP(CONCATENATE("TOTAL DO ITEM NÃO DESON. - ",C297),BASE01,8,FALSE),VLOOKUP(C297,'NAO DESO'!A:D,4,FALSE))</f>
        <v>27,42</v>
      </c>
      <c r="H297" s="715">
        <f t="shared" si="76"/>
        <v>33.51</v>
      </c>
      <c r="I297" s="715">
        <f t="shared" si="77"/>
        <v>636.69000000000005</v>
      </c>
      <c r="J297" s="715" t="str">
        <f>IF(B297="SEPLAG",VLOOKUP(CONCATENATE("TOTAL DO ITEM DESON. - ",C297),BASE02,10,FALSE),VLOOKUP(C297,DESON!A:D,4,FALSE))</f>
        <v>26,00</v>
      </c>
      <c r="K297" s="715">
        <f t="shared" si="78"/>
        <v>33.370395478731226</v>
      </c>
      <c r="L297" s="715">
        <f t="shared" si="79"/>
        <v>634.03</v>
      </c>
    </row>
    <row r="298" spans="1:12" s="716" customFormat="1" ht="42.75">
      <c r="A298" s="89" t="s">
        <v>14009</v>
      </c>
      <c r="B298" s="76" t="s">
        <v>79</v>
      </c>
      <c r="C298" s="45">
        <v>95779</v>
      </c>
      <c r="D298" s="712" t="str">
        <f>IF(B298="SEPLAG",VLOOKUP(C298,COMPOSIÇÃO,2,FALSE),VLOOKUP(C298,'NAO DESO'!A:B,2,FALSE))</f>
        <v>CONDULETE DE ALUMÍNIO, TIPO E, PARA ELETRODUTO DE AÇO GALVANIZADO DN 20 MM (3/4''), APARENTE - FORNECIMENTO E INSTALAÇÃO. AF_11/2016_P</v>
      </c>
      <c r="E298" s="76" t="str">
        <f>IF(B298="SEPLAG",VLOOKUP(C298,UNIDADE,3,FALSE),VLOOKUP(C298,'NAO DESO'!A:C,3,FALSE))</f>
        <v>UN</v>
      </c>
      <c r="F298" s="713">
        <f t="shared" si="75"/>
        <v>57</v>
      </c>
      <c r="G298" s="714" t="str">
        <f>IF(B298="SEPLAG",VLOOKUP(CONCATENATE("TOTAL DO ITEM NÃO DESON. - ",C298),BASE01,8,FALSE),VLOOKUP(C298,'NAO DESO'!A:D,4,FALSE))</f>
        <v>22,25</v>
      </c>
      <c r="H298" s="715">
        <f t="shared" si="76"/>
        <v>27.19</v>
      </c>
      <c r="I298" s="715">
        <f t="shared" si="77"/>
        <v>1549.83</v>
      </c>
      <c r="J298" s="715" t="str">
        <f>IF(B298="SEPLAG",VLOOKUP(CONCATENATE("TOTAL DO ITEM DESON. - ",C298),BASE02,10,FALSE),VLOOKUP(C298,DESON!A:D,4,FALSE))</f>
        <v>20,87</v>
      </c>
      <c r="K298" s="715">
        <f t="shared" si="78"/>
        <v>26.786159755427718</v>
      </c>
      <c r="L298" s="715">
        <f t="shared" si="79"/>
        <v>1526.81</v>
      </c>
    </row>
    <row r="299" spans="1:12" s="716" customFormat="1" ht="42.75">
      <c r="A299" s="89" t="s">
        <v>14010</v>
      </c>
      <c r="B299" s="76" t="s">
        <v>79</v>
      </c>
      <c r="C299" s="83">
        <v>95791</v>
      </c>
      <c r="D299" s="712" t="str">
        <f>IF(B299="SEPLAG",VLOOKUP(C299,COMPOSIÇÃO,2,FALSE),VLOOKUP(C299,'NAO DESO'!A:B,2,FALSE))</f>
        <v>CONDULETE DE ALUMÍNIO, TIPO LR, PARA ELETRODUTO DE AÇO GALVANIZADO DN 32 MM (1 1/4''), APARENTE - FORNECIMENTO E INSTALAÇÃO. AF_11/2016_P</v>
      </c>
      <c r="E299" s="76" t="str">
        <f>IF(B299="SEPLAG",VLOOKUP(C299,UNIDADE,3,FALSE),VLOOKUP(C299,'NAO DESO'!A:C,3,FALSE))</f>
        <v>UN</v>
      </c>
      <c r="F299" s="713">
        <f t="shared" si="75"/>
        <v>9</v>
      </c>
      <c r="G299" s="714" t="str">
        <f>IF(B299="SEPLAG",VLOOKUP(CONCATENATE("TOTAL DO ITEM NÃO DESON. - ",C299),BASE01,8,FALSE),VLOOKUP(C299,'NAO DESO'!A:D,4,FALSE))</f>
        <v>38,46</v>
      </c>
      <c r="H299" s="715">
        <f t="shared" si="76"/>
        <v>47</v>
      </c>
      <c r="I299" s="715">
        <f t="shared" si="77"/>
        <v>423</v>
      </c>
      <c r="J299" s="715" t="str">
        <f>IF(B299="SEPLAG",VLOOKUP(CONCATENATE("TOTAL DO ITEM DESON. - ",C299),BASE02,10,FALSE),VLOOKUP(C299,DESON!A:D,4,FALSE))</f>
        <v>36,75</v>
      </c>
      <c r="K299" s="715">
        <f t="shared" si="78"/>
        <v>47.167770532437402</v>
      </c>
      <c r="L299" s="715">
        <f t="shared" si="79"/>
        <v>424.5</v>
      </c>
    </row>
    <row r="300" spans="1:12" s="716" customFormat="1" ht="42.75">
      <c r="A300" s="89" t="s">
        <v>14011</v>
      </c>
      <c r="B300" s="76" t="s">
        <v>79</v>
      </c>
      <c r="C300" s="83">
        <v>95787</v>
      </c>
      <c r="D300" s="712" t="str">
        <f>IF(B300="SEPLAG",VLOOKUP(C300,COMPOSIÇÃO,2,FALSE),VLOOKUP(C300,'NAO DESO'!A:B,2,FALSE))</f>
        <v>CONDULETE DE ALUMÍNIO, TIPO LR, PARA ELETRODUTO DE AÇO GALVANIZADO DN 20 MM (3/4''), APARENTE - FORNECIMENTO E INSTALAÇÃO. AF_11/2016_P</v>
      </c>
      <c r="E300" s="76" t="str">
        <f>IF(B300="SEPLAG",VLOOKUP(C300,UNIDADE,3,FALSE),VLOOKUP(C300,'NAO DESO'!A:C,3,FALSE))</f>
        <v>UN</v>
      </c>
      <c r="F300" s="713">
        <f t="shared" si="75"/>
        <v>9</v>
      </c>
      <c r="G300" s="714" t="str">
        <f>IF(B300="SEPLAG",VLOOKUP(CONCATENATE("TOTAL DO ITEM NÃO DESON. - ",C300),BASE01,8,FALSE),VLOOKUP(C300,'NAO DESO'!A:D,4,FALSE))</f>
        <v>23,82</v>
      </c>
      <c r="H300" s="715">
        <f t="shared" si="76"/>
        <v>29.11</v>
      </c>
      <c r="I300" s="715">
        <f t="shared" si="77"/>
        <v>261.99</v>
      </c>
      <c r="J300" s="715" t="str">
        <f>IF(B300="SEPLAG",VLOOKUP(CONCATENATE("TOTAL DO ITEM DESON. - ",C300),BASE02,10,FALSE),VLOOKUP(C300,DESON!A:D,4,FALSE))</f>
        <v>22,32</v>
      </c>
      <c r="K300" s="715">
        <f t="shared" si="78"/>
        <v>28.647201041741575</v>
      </c>
      <c r="L300" s="715">
        <f t="shared" si="79"/>
        <v>257.82</v>
      </c>
    </row>
    <row r="301" spans="1:12" s="716" customFormat="1" ht="42.75">
      <c r="A301" s="89" t="s">
        <v>14012</v>
      </c>
      <c r="B301" s="76" t="s">
        <v>79</v>
      </c>
      <c r="C301" s="83">
        <v>95795</v>
      </c>
      <c r="D301" s="712" t="str">
        <f>IF(B301="SEPLAG",VLOOKUP(C301,COMPOSIÇÃO,2,FALSE),VLOOKUP(C301,'NAO DESO'!A:B,2,FALSE))</f>
        <v>CONDULETE DE ALUMÍNIO, TIPO T, PARA ELETRODUTO DE AÇO GALVANIZADO DN 20 MM (3/4''), APARENTE - FORNECIMENTO E INSTALAÇÃO. AF_11/2016_P</v>
      </c>
      <c r="E301" s="76" t="str">
        <f>IF(B301="SEPLAG",VLOOKUP(C301,UNIDADE,3,FALSE),VLOOKUP(C301,'NAO DESO'!A:C,3,FALSE))</f>
        <v>UN</v>
      </c>
      <c r="F301" s="713">
        <f t="shared" si="75"/>
        <v>5</v>
      </c>
      <c r="G301" s="714" t="str">
        <f>IF(B301="SEPLAG",VLOOKUP(CONCATENATE("TOTAL DO ITEM NÃO DESON. - ",C301),BASE01,8,FALSE),VLOOKUP(C301,'NAO DESO'!A:D,4,FALSE))</f>
        <v>27,50</v>
      </c>
      <c r="H301" s="715">
        <f t="shared" si="76"/>
        <v>33.61</v>
      </c>
      <c r="I301" s="715">
        <f t="shared" si="77"/>
        <v>168.05</v>
      </c>
      <c r="J301" s="715" t="str">
        <f>IF(B301="SEPLAG",VLOOKUP(CONCATENATE("TOTAL DO ITEM DESON. - ",C301),BASE02,10,FALSE),VLOOKUP(C301,DESON!A:D,4,FALSE))</f>
        <v>25,76</v>
      </c>
      <c r="K301" s="715">
        <f t="shared" si="78"/>
        <v>33.06236105892755</v>
      </c>
      <c r="L301" s="715">
        <f t="shared" si="79"/>
        <v>165.31</v>
      </c>
    </row>
    <row r="302" spans="1:12" s="716" customFormat="1" ht="28.5">
      <c r="A302" s="89" t="s">
        <v>14013</v>
      </c>
      <c r="B302" s="76" t="s">
        <v>79</v>
      </c>
      <c r="C302" s="83">
        <v>93653</v>
      </c>
      <c r="D302" s="712" t="str">
        <f>IF(B302="SEPLAG",VLOOKUP(C302,COMPOSIÇÃO,2,FALSE),VLOOKUP(C302,'NAO DESO'!A:B,2,FALSE))</f>
        <v>DISJUNTOR MONOPOLAR TIPO DIN, CORRENTE NOMINAL DE 10A - FORNECIMENTO E INSTALAÇÃO. AF_10/2020</v>
      </c>
      <c r="E302" s="76" t="str">
        <f>IF(B302="SEPLAG",VLOOKUP(C302,UNIDADE,3,FALSE),VLOOKUP(C302,'NAO DESO'!A:C,3,FALSE))</f>
        <v>UN</v>
      </c>
      <c r="F302" s="713">
        <f t="shared" si="75"/>
        <v>11</v>
      </c>
      <c r="G302" s="714" t="str">
        <f>IF(B302="SEPLAG",VLOOKUP(CONCATENATE("TOTAL DO ITEM NÃO DESON. - ",C302),BASE01,8,FALSE),VLOOKUP(C302,'NAO DESO'!A:D,4,FALSE))</f>
        <v>11,75</v>
      </c>
      <c r="H302" s="715">
        <f t="shared" si="76"/>
        <v>14.36</v>
      </c>
      <c r="I302" s="715">
        <f t="shared" si="77"/>
        <v>157.96</v>
      </c>
      <c r="J302" s="715" t="str">
        <f>IF(B302="SEPLAG",VLOOKUP(CONCATENATE("TOTAL DO ITEM DESON. - ",C302),BASE02,10,FALSE),VLOOKUP(C302,DESON!A:D,4,FALSE))</f>
        <v>11,61</v>
      </c>
      <c r="K302" s="715">
        <f t="shared" si="78"/>
        <v>14.901165058002672</v>
      </c>
      <c r="L302" s="715">
        <f t="shared" si="79"/>
        <v>163.91</v>
      </c>
    </row>
    <row r="303" spans="1:12" s="716" customFormat="1" ht="28.5">
      <c r="A303" s="89" t="s">
        <v>14014</v>
      </c>
      <c r="B303" s="76" t="s">
        <v>79</v>
      </c>
      <c r="C303" s="83">
        <v>93654</v>
      </c>
      <c r="D303" s="712" t="str">
        <f>IF(B303="SEPLAG",VLOOKUP(C303,COMPOSIÇÃO,2,FALSE),VLOOKUP(C303,'NAO DESO'!A:B,2,FALSE))</f>
        <v>DISJUNTOR MONOPOLAR TIPO DIN, CORRENTE NOMINAL DE 16A - FORNECIMENTO E INSTALAÇÃO. AF_10/2020</v>
      </c>
      <c r="E303" s="76" t="str">
        <f>IF(B303="SEPLAG",VLOOKUP(C303,UNIDADE,3,FALSE),VLOOKUP(C303,'NAO DESO'!A:C,3,FALSE))</f>
        <v>UN</v>
      </c>
      <c r="F303" s="713">
        <f t="shared" si="75"/>
        <v>2</v>
      </c>
      <c r="G303" s="714" t="str">
        <f>IF(B303="SEPLAG",VLOOKUP(CONCATENATE("TOTAL DO ITEM NÃO DESON. - ",C303),BASE01,8,FALSE),VLOOKUP(C303,'NAO DESO'!A:D,4,FALSE))</f>
        <v>12,24</v>
      </c>
      <c r="H303" s="715">
        <f t="shared" si="76"/>
        <v>14.96</v>
      </c>
      <c r="I303" s="715">
        <f t="shared" si="77"/>
        <v>29.92</v>
      </c>
      <c r="J303" s="715" t="str">
        <f>IF(B303="SEPLAG",VLOOKUP(CONCATENATE("TOTAL DO ITEM DESON. - ",C303),BASE02,10,FALSE),VLOOKUP(C303,DESON!A:D,4,FALSE))</f>
        <v>12,04</v>
      </c>
      <c r="K303" s="715">
        <f t="shared" si="78"/>
        <v>15.453060060150918</v>
      </c>
      <c r="L303" s="715">
        <f t="shared" si="79"/>
        <v>30.9</v>
      </c>
    </row>
    <row r="304" spans="1:12" s="716" customFormat="1" ht="28.5">
      <c r="A304" s="89" t="s">
        <v>14015</v>
      </c>
      <c r="B304" s="76" t="s">
        <v>79</v>
      </c>
      <c r="C304" s="83">
        <v>93661</v>
      </c>
      <c r="D304" s="712" t="str">
        <f>IF(B304="SEPLAG",VLOOKUP(C304,COMPOSIÇÃO,2,FALSE),VLOOKUP(C304,'NAO DESO'!A:B,2,FALSE))</f>
        <v>DISJUNTOR BIPOLAR TIPO DIN, CORRENTE NOMINAL DE 16A - FORNECIMENTO E INSTALAÇÃO. AF_10/2020</v>
      </c>
      <c r="E304" s="76" t="str">
        <f>IF(B304="SEPLAG",VLOOKUP(C304,UNIDADE,3,FALSE),VLOOKUP(C304,'NAO DESO'!A:C,3,FALSE))</f>
        <v>UN</v>
      </c>
      <c r="F304" s="713">
        <f t="shared" si="75"/>
        <v>6</v>
      </c>
      <c r="G304" s="714" t="str">
        <f>IF(B304="SEPLAG",VLOOKUP(CONCATENATE("TOTAL DO ITEM NÃO DESON. - ",C304),BASE01,8,FALSE),VLOOKUP(C304,'NAO DESO'!A:D,4,FALSE))</f>
        <v>60,48</v>
      </c>
      <c r="H304" s="715">
        <f t="shared" si="76"/>
        <v>73.92</v>
      </c>
      <c r="I304" s="715">
        <f t="shared" si="77"/>
        <v>443.52</v>
      </c>
      <c r="J304" s="715" t="str">
        <f>IF(B304="SEPLAG",VLOOKUP(CONCATENATE("TOTAL DO ITEM DESON. - ",C304),BASE02,10,FALSE),VLOOKUP(C304,DESON!A:D,4,FALSE))</f>
        <v>60,09</v>
      </c>
      <c r="K304" s="715">
        <f t="shared" si="78"/>
        <v>77.12411785834459</v>
      </c>
      <c r="L304" s="715">
        <f t="shared" si="79"/>
        <v>462.74</v>
      </c>
    </row>
    <row r="305" spans="1:12" s="716" customFormat="1" ht="28.5">
      <c r="A305" s="89" t="s">
        <v>14016</v>
      </c>
      <c r="B305" s="76" t="s">
        <v>79</v>
      </c>
      <c r="C305" s="83">
        <v>93662</v>
      </c>
      <c r="D305" s="712" t="str">
        <f>IF(B305="SEPLAG",VLOOKUP(C305,COMPOSIÇÃO,2,FALSE),VLOOKUP(C305,'NAO DESO'!A:B,2,FALSE))</f>
        <v>DISJUNTOR BIPOLAR TIPO DIN, CORRENTE NOMINAL DE 20A - FORNECIMENTO E INSTALAÇÃO. AF_10/2020</v>
      </c>
      <c r="E305" s="76" t="str">
        <f>IF(B305="SEPLAG",VLOOKUP(C305,UNIDADE,3,FALSE),VLOOKUP(C305,'NAO DESO'!A:C,3,FALSE))</f>
        <v>UN</v>
      </c>
      <c r="F305" s="713">
        <f t="shared" si="75"/>
        <v>2</v>
      </c>
      <c r="G305" s="714" t="str">
        <f>IF(B305="SEPLAG",VLOOKUP(CONCATENATE("TOTAL DO ITEM NÃO DESON. - ",C305),BASE01,8,FALSE),VLOOKUP(C305,'NAO DESO'!A:D,4,FALSE))</f>
        <v>62,38</v>
      </c>
      <c r="H305" s="715">
        <f t="shared" si="76"/>
        <v>76.239999999999995</v>
      </c>
      <c r="I305" s="715">
        <f t="shared" si="77"/>
        <v>152.47999999999999</v>
      </c>
      <c r="J305" s="715" t="str">
        <f>IF(B305="SEPLAG",VLOOKUP(CONCATENATE("TOTAL DO ITEM DESON. - ",C305),BASE02,10,FALSE),VLOOKUP(C305,DESON!A:D,4,FALSE))</f>
        <v>61,85</v>
      </c>
      <c r="K305" s="715">
        <f t="shared" si="78"/>
        <v>79.383036936904858</v>
      </c>
      <c r="L305" s="715">
        <f t="shared" si="79"/>
        <v>158.76</v>
      </c>
    </row>
    <row r="306" spans="1:12" s="716" customFormat="1" ht="28.5">
      <c r="A306" s="89" t="s">
        <v>14017</v>
      </c>
      <c r="B306" s="76" t="s">
        <v>79</v>
      </c>
      <c r="C306" s="83">
        <v>93669</v>
      </c>
      <c r="D306" s="712" t="str">
        <f>IF(B306="SEPLAG",VLOOKUP(C306,COMPOSIÇÃO,2,FALSE),VLOOKUP(C306,'NAO DESO'!A:B,2,FALSE))</f>
        <v>DISJUNTOR TRIPOLAR TIPO DIN, CORRENTE NOMINAL DE 20A - FORNECIMENTO E INSTALAÇÃO. AF_10/2020</v>
      </c>
      <c r="E306" s="76" t="str">
        <f>IF(B306="SEPLAG",VLOOKUP(C306,UNIDADE,3,FALSE),VLOOKUP(C306,'NAO DESO'!A:C,3,FALSE))</f>
        <v>UN</v>
      </c>
      <c r="F306" s="713">
        <f t="shared" si="75"/>
        <v>9</v>
      </c>
      <c r="G306" s="714" t="str">
        <f>IF(B306="SEPLAG",VLOOKUP(CONCATENATE("TOTAL DO ITEM NÃO DESON. - ",C306),BASE01,8,FALSE),VLOOKUP(C306,'NAO DESO'!A:D,4,FALSE))</f>
        <v>78,38</v>
      </c>
      <c r="H306" s="715">
        <f t="shared" si="76"/>
        <v>95.8</v>
      </c>
      <c r="I306" s="715">
        <f t="shared" si="77"/>
        <v>862.2</v>
      </c>
      <c r="J306" s="715" t="str">
        <f>IF(B306="SEPLAG",VLOOKUP(CONCATENATE("TOTAL DO ITEM DESON. - ",C306),BASE02,10,FALSE),VLOOKUP(C306,DESON!A:D,4,FALSE))</f>
        <v>77,59</v>
      </c>
      <c r="K306" s="715">
        <f t="shared" si="78"/>
        <v>99.584960969029055</v>
      </c>
      <c r="L306" s="715">
        <f t="shared" si="79"/>
        <v>896.26</v>
      </c>
    </row>
    <row r="307" spans="1:12" s="716" customFormat="1" ht="28.5">
      <c r="A307" s="89" t="s">
        <v>14018</v>
      </c>
      <c r="B307" s="76" t="s">
        <v>79</v>
      </c>
      <c r="C307" s="83">
        <v>93670</v>
      </c>
      <c r="D307" s="712" t="str">
        <f>IF(B307="SEPLAG",VLOOKUP(C307,COMPOSIÇÃO,2,FALSE),VLOOKUP(C307,'NAO DESO'!A:B,2,FALSE))</f>
        <v>DISJUNTOR TRIPOLAR TIPO DIN, CORRENTE NOMINAL DE 25A - FORNECIMENTO E INSTALAÇÃO. AF_10/2020</v>
      </c>
      <c r="E307" s="76" t="str">
        <f>IF(B307="SEPLAG",VLOOKUP(C307,UNIDADE,3,FALSE),VLOOKUP(C307,'NAO DESO'!A:C,3,FALSE))</f>
        <v>UN</v>
      </c>
      <c r="F307" s="713">
        <f t="shared" si="75"/>
        <v>10</v>
      </c>
      <c r="G307" s="714" t="str">
        <f>IF(B307="SEPLAG",VLOOKUP(CONCATENATE("TOTAL DO ITEM NÃO DESON. - ",C307),BASE01,8,FALSE),VLOOKUP(C307,'NAO DESO'!A:D,4,FALSE))</f>
        <v>78,38</v>
      </c>
      <c r="H307" s="715">
        <f t="shared" si="76"/>
        <v>95.8</v>
      </c>
      <c r="I307" s="715">
        <f t="shared" si="77"/>
        <v>958</v>
      </c>
      <c r="J307" s="715" t="str">
        <f>IF(B307="SEPLAG",VLOOKUP(CONCATENATE("TOTAL DO ITEM DESON. - ",C307),BASE02,10,FALSE),VLOOKUP(C307,DESON!A:D,4,FALSE))</f>
        <v>77,59</v>
      </c>
      <c r="K307" s="715">
        <f t="shared" si="78"/>
        <v>99.584960969029055</v>
      </c>
      <c r="L307" s="715">
        <f t="shared" si="79"/>
        <v>995.84</v>
      </c>
    </row>
    <row r="308" spans="1:12" s="716" customFormat="1" ht="28.5">
      <c r="A308" s="89" t="s">
        <v>14019</v>
      </c>
      <c r="B308" s="76" t="s">
        <v>79</v>
      </c>
      <c r="C308" s="83">
        <v>101895</v>
      </c>
      <c r="D308" s="712" t="str">
        <f>IF(B308="SEPLAG",VLOOKUP(C308,COMPOSIÇÃO,2,FALSE),VLOOKUP(C308,'NAO DESO'!A:B,2,FALSE))</f>
        <v>DISJUNTOR TERMOMAGNÉTICO TRIPOLAR , CORRENTE NOMINAL DE 125A - FORNECIMENTO E INSTALAÇÃO. AF_10/2020</v>
      </c>
      <c r="E308" s="76" t="str">
        <f>IF(B308="SEPLAG",VLOOKUP(C308,UNIDADE,3,FALSE),VLOOKUP(C308,'NAO DESO'!A:C,3,FALSE))</f>
        <v>UN</v>
      </c>
      <c r="F308" s="713">
        <f t="shared" si="75"/>
        <v>3</v>
      </c>
      <c r="G308" s="714" t="str">
        <f>IF(B308="SEPLAG",VLOOKUP(CONCATENATE("TOTAL DO ITEM NÃO DESON. - ",C308),BASE01,8,FALSE),VLOOKUP(C308,'NAO DESO'!A:D,4,FALSE))</f>
        <v>432,90</v>
      </c>
      <c r="H308" s="715">
        <f t="shared" si="76"/>
        <v>529.11</v>
      </c>
      <c r="I308" s="715">
        <f t="shared" si="77"/>
        <v>1587.33</v>
      </c>
      <c r="J308" s="715" t="str">
        <f>IF(B308="SEPLAG",VLOOKUP(CONCATENATE("TOTAL DO ITEM DESON. - ",C308),BASE02,10,FALSE),VLOOKUP(C308,DESON!A:D,4,FALSE))</f>
        <v>427,62</v>
      </c>
      <c r="K308" s="715">
        <f t="shared" si="78"/>
        <v>548.84032748519405</v>
      </c>
      <c r="L308" s="715">
        <f t="shared" si="79"/>
        <v>1646.52</v>
      </c>
    </row>
    <row r="309" spans="1:12" s="716" customFormat="1" ht="28.5">
      <c r="A309" s="89" t="s">
        <v>14020</v>
      </c>
      <c r="B309" s="76" t="s">
        <v>79</v>
      </c>
      <c r="C309" s="83" t="s">
        <v>7161</v>
      </c>
      <c r="D309" s="712" t="str">
        <f>COMPOSIÇÕES!D3470</f>
        <v>DISJUNTOR TRIPOLAR TIPO DIN, CORRENTE NOMINAL DE 150A - FORNECIMENTO E INSTALAÇÃO. AF_10/2020</v>
      </c>
      <c r="E309" s="76" t="str">
        <f>COMPOSIÇÕES!E3470</f>
        <v>UND</v>
      </c>
      <c r="F309" s="713">
        <f t="shared" si="75"/>
        <v>7</v>
      </c>
      <c r="G309" s="714">
        <f>COMPOSIÇÕES!H3476</f>
        <v>496.52000000000004</v>
      </c>
      <c r="H309" s="715">
        <f t="shared" si="76"/>
        <v>606.87</v>
      </c>
      <c r="I309" s="715">
        <f t="shared" si="77"/>
        <v>4248.09</v>
      </c>
      <c r="J309" s="715">
        <f>COMPOSIÇÕES!J3477</f>
        <v>488.54</v>
      </c>
      <c r="K309" s="715">
        <f t="shared" si="78"/>
        <v>627.02973104535965</v>
      </c>
      <c r="L309" s="715">
        <f t="shared" si="79"/>
        <v>4389.2</v>
      </c>
    </row>
    <row r="310" spans="1:12" s="716" customFormat="1" ht="28.5">
      <c r="A310" s="89" t="s">
        <v>14021</v>
      </c>
      <c r="B310" s="76" t="s">
        <v>14504</v>
      </c>
      <c r="C310" s="83" t="s">
        <v>7163</v>
      </c>
      <c r="D310" s="712" t="str">
        <f>IF(B310="SEPLAG",VLOOKUP(C310,COMPOSIÇÃO,2,FALSE),VLOOKUP(C310,'NAO DESO'!A:B,2,FALSE))</f>
        <v>SUPRESSOR DE SURTO PARA PROTEÇÃO CLASSE 1 - 45 KA, FORNECIMENTO E INSTALAÇÃO</v>
      </c>
      <c r="E310" s="76" t="str">
        <f>IF(B310="SEPLAG",VLOOKUP(C310,UNIDADE,3,FALSE),VLOOKUP(C310,'NAO DESO'!A:C,3,FALSE))</f>
        <v>UND</v>
      </c>
      <c r="F310" s="713">
        <f t="shared" si="75"/>
        <v>27</v>
      </c>
      <c r="G310" s="714">
        <f>IF(B310="SEPLAG",VLOOKUP(CONCATENATE("TOTAL DO ITEM NÃO DESON. - ",C310),BASE01,8,FALSE),VLOOKUP(C310,'NAO DESO'!A:D,4,FALSE))</f>
        <v>297.39</v>
      </c>
      <c r="H310" s="715">
        <f t="shared" si="76"/>
        <v>363.48</v>
      </c>
      <c r="I310" s="715">
        <f t="shared" si="77"/>
        <v>9813.9599999999991</v>
      </c>
      <c r="J310" s="715">
        <f>IF(B310="SEPLAG",VLOOKUP(CONCATENATE("TOTAL DO ITEM DESON. - ",C310),BASE02,10,FALSE),VLOOKUP(C310,DESON!A:D,4,FALSE))</f>
        <v>277.44000000000005</v>
      </c>
      <c r="K310" s="715">
        <f t="shared" si="78"/>
        <v>356.08778929304583</v>
      </c>
      <c r="L310" s="715">
        <f t="shared" si="79"/>
        <v>9614.3700000000008</v>
      </c>
    </row>
    <row r="311" spans="1:12" s="716" customFormat="1" ht="42.75">
      <c r="A311" s="89" t="s">
        <v>14022</v>
      </c>
      <c r="B311" s="76" t="s">
        <v>79</v>
      </c>
      <c r="C311" s="74">
        <v>95758</v>
      </c>
      <c r="D311" s="712" t="str">
        <f>IF(B311="SEPLAG",VLOOKUP(C311,COMPOSIÇÃO,2,FALSE),VLOOKUP(C311,'NAO DESO'!A:B,2,FALSE))</f>
        <v>LUVA DE EMENDA PARA ELETRODUTO, AÇO GALVANIZADO, DN 25 MM (1''), APARENTE, INSTALADA EM PAREDE - FORNECIMENTO E INSTALAÇÃO. AF_11/2016_P</v>
      </c>
      <c r="E311" s="76" t="str">
        <f>IF(B311="SEPLAG",VLOOKUP(C311,UNIDADE,3,FALSE),VLOOKUP(C311,'NAO DESO'!A:C,3,FALSE))</f>
        <v>UN</v>
      </c>
      <c r="F311" s="713">
        <f t="shared" si="75"/>
        <v>8</v>
      </c>
      <c r="G311" s="714" t="str">
        <f>IF(B311="SEPLAG",VLOOKUP(CONCATENATE("TOTAL DO ITEM NÃO DESON. - ",C311),BASE01,8,FALSE),VLOOKUP(C311,'NAO DESO'!A:D,4,FALSE))</f>
        <v>10,17</v>
      </c>
      <c r="H311" s="715">
        <f t="shared" si="76"/>
        <v>12.43</v>
      </c>
      <c r="I311" s="715">
        <f t="shared" si="77"/>
        <v>99.44</v>
      </c>
      <c r="J311" s="715" t="str">
        <f>IF(B311="SEPLAG",VLOOKUP(CONCATENATE("TOTAL DO ITEM DESON. - ",C311),BASE02,10,FALSE),VLOOKUP(C311,DESON!A:D,4,FALSE))</f>
        <v>9,36</v>
      </c>
      <c r="K311" s="715">
        <f t="shared" si="78"/>
        <v>12.013342372343239</v>
      </c>
      <c r="L311" s="715">
        <f t="shared" si="79"/>
        <v>96.1</v>
      </c>
    </row>
    <row r="312" spans="1:12" s="716" customFormat="1" ht="42.75">
      <c r="A312" s="89" t="s">
        <v>14023</v>
      </c>
      <c r="B312" s="76" t="s">
        <v>79</v>
      </c>
      <c r="C312" s="74">
        <v>95757</v>
      </c>
      <c r="D312" s="712" t="str">
        <f>IF(B312="SEPLAG",VLOOKUP(C312,COMPOSIÇÃO,2,FALSE),VLOOKUP(C312,'NAO DESO'!A:B,2,FALSE))</f>
        <v>LUVA DE EMENDA PARA ELETRODUTO, AÇO GALVANIZADO, DN 20 MM (3/4''), APARENTE, INSTALADA EM PAREDE - FORNECIMENTO E INSTALAÇÃO. AF_11/2016_P</v>
      </c>
      <c r="E312" s="76" t="str">
        <f>IF(B312="SEPLAG",VLOOKUP(C312,UNIDADE,3,FALSE),VLOOKUP(C312,'NAO DESO'!A:C,3,FALSE))</f>
        <v>UN</v>
      </c>
      <c r="F312" s="713">
        <f t="shared" si="75"/>
        <v>40</v>
      </c>
      <c r="G312" s="714" t="str">
        <f>IF(B312="SEPLAG",VLOOKUP(CONCATENATE("TOTAL DO ITEM NÃO DESON. - ",C312),BASE01,8,FALSE),VLOOKUP(C312,'NAO DESO'!A:D,4,FALSE))</f>
        <v>9,05</v>
      </c>
      <c r="H312" s="715">
        <f t="shared" si="76"/>
        <v>11.06</v>
      </c>
      <c r="I312" s="715">
        <f t="shared" si="77"/>
        <v>442.4</v>
      </c>
      <c r="J312" s="715" t="str">
        <f>IF(B312="SEPLAG",VLOOKUP(CONCATENATE("TOTAL DO ITEM DESON. - ",C312),BASE02,10,FALSE),VLOOKUP(C312,DESON!A:D,4,FALSE))</f>
        <v>8,32</v>
      </c>
      <c r="K312" s="715">
        <f t="shared" si="78"/>
        <v>10.678526553193992</v>
      </c>
      <c r="L312" s="715">
        <f t="shared" si="79"/>
        <v>427.14</v>
      </c>
    </row>
    <row r="313" spans="1:12" s="716" customFormat="1" ht="42.75">
      <c r="A313" s="89" t="s">
        <v>14024</v>
      </c>
      <c r="B313" s="76" t="s">
        <v>79</v>
      </c>
      <c r="C313" s="83">
        <v>95755</v>
      </c>
      <c r="D313" s="712" t="str">
        <f>IF(B313="SEPLAG",VLOOKUP(C313,COMPOSIÇÃO,2,FALSE),VLOOKUP(C313,'NAO DESO'!A:B,2,FALSE))</f>
        <v>LUVA DE EMENDA PARA ELETRODUTO, AÇO GALVANIZADO, DN 32 MM (1 1/4''), APARENTE, INSTALADA EM TETO - FORNECIMENTO E INSTALAÇÃO. AF_11/2016_P</v>
      </c>
      <c r="E313" s="76" t="str">
        <f>IF(B313="SEPLAG",VLOOKUP(C313,UNIDADE,3,FALSE),VLOOKUP(C313,'NAO DESO'!A:C,3,FALSE))</f>
        <v>UN</v>
      </c>
      <c r="F313" s="713">
        <f t="shared" si="75"/>
        <v>4</v>
      </c>
      <c r="G313" s="714" t="str">
        <f>IF(B313="SEPLAG",VLOOKUP(CONCATENATE("TOTAL DO ITEM NÃO DESON. - ",C313),BASE01,8,FALSE),VLOOKUP(C313,'NAO DESO'!A:D,4,FALSE))</f>
        <v>10,95</v>
      </c>
      <c r="H313" s="715">
        <f t="shared" si="76"/>
        <v>13.38</v>
      </c>
      <c r="I313" s="715">
        <f t="shared" si="77"/>
        <v>53.52</v>
      </c>
      <c r="J313" s="715" t="str">
        <f>IF(B313="SEPLAG",VLOOKUP(CONCATENATE("TOTAL DO ITEM DESON. - ",C313),BASE02,10,FALSE),VLOOKUP(C313,DESON!A:D,4,FALSE))</f>
        <v>10,23</v>
      </c>
      <c r="K313" s="715">
        <f t="shared" si="78"/>
        <v>13.129967144131555</v>
      </c>
      <c r="L313" s="715">
        <f t="shared" si="79"/>
        <v>52.51</v>
      </c>
    </row>
    <row r="314" spans="1:12" s="716" customFormat="1" ht="42.75">
      <c r="A314" s="89" t="s">
        <v>14025</v>
      </c>
      <c r="B314" s="76" t="s">
        <v>79</v>
      </c>
      <c r="C314" s="83" t="s">
        <v>7105</v>
      </c>
      <c r="D314" s="712" t="str">
        <f>COMPOSIÇÕES!D3250</f>
        <v>ELETROCALHA LISA (50X50X300)MM EM CHAPA DE AÇO GALVANIZADO #18, COM TRATAMENTO PRÉ-ZINCADO, INCLUSIVE TAMPA DE ENCAIXE, FIXAÇÃO SUPERIOR, CONEXÕES E ACESSÓRIOS. FORNECIMENTO E INSTALAÇÃO.</v>
      </c>
      <c r="E314" s="76" t="str">
        <f>COMPOSIÇÕES!E3250</f>
        <v>UND</v>
      </c>
      <c r="F314" s="713">
        <f t="shared" si="75"/>
        <v>16.666666666666668</v>
      </c>
      <c r="G314" s="714">
        <f>COMPOSIÇÕES!H3263</f>
        <v>176.04000000000002</v>
      </c>
      <c r="H314" s="715">
        <f t="shared" si="76"/>
        <v>215.16</v>
      </c>
      <c r="I314" s="715">
        <f t="shared" si="77"/>
        <v>3586</v>
      </c>
      <c r="J314" s="715">
        <f>COMPOSIÇÕES!J3264</f>
        <v>173.17999999999998</v>
      </c>
      <c r="K314" s="715">
        <f t="shared" si="78"/>
        <v>222.27250342333355</v>
      </c>
      <c r="L314" s="715">
        <f t="shared" si="79"/>
        <v>3704.54</v>
      </c>
    </row>
    <row r="315" spans="1:12" s="716" customFormat="1" ht="42.75">
      <c r="A315" s="89" t="s">
        <v>14026</v>
      </c>
      <c r="B315" s="76" t="s">
        <v>79</v>
      </c>
      <c r="C315" s="83" t="s">
        <v>7112</v>
      </c>
      <c r="D315" s="712" t="str">
        <f>COMPOSIÇÕES!D3266</f>
        <v>ELETROCALHA LISA (100X50X300)MM EM CHAPA DE AÇO GALVANIZADO #18, COM TRATAMENTO PRÉ-ZINCADO, INCLUSIVE TAMPA DE ENCAIXE, FIXAÇÃO SUPERIOR, CONEXÕES E ACESSÓRIOS. FORNECIMENTO E INSTALAÇÃO.</v>
      </c>
      <c r="E315" s="76" t="str">
        <f>COMPOSIÇÕES!E3266</f>
        <v>UND</v>
      </c>
      <c r="F315" s="713">
        <f t="shared" si="75"/>
        <v>11.5</v>
      </c>
      <c r="G315" s="714">
        <f>COMPOSIÇÕES!H3279</f>
        <v>226.12</v>
      </c>
      <c r="H315" s="715">
        <f t="shared" si="76"/>
        <v>276.37</v>
      </c>
      <c r="I315" s="715">
        <f t="shared" si="77"/>
        <v>3178.25</v>
      </c>
      <c r="J315" s="715">
        <f>COMPOSIÇÕES!J3280</f>
        <v>223.25999999999996</v>
      </c>
      <c r="K315" s="715">
        <f t="shared" si="78"/>
        <v>286.54901902236656</v>
      </c>
      <c r="L315" s="715">
        <f t="shared" si="79"/>
        <v>3295.31</v>
      </c>
    </row>
    <row r="316" spans="1:12" s="716" customFormat="1" ht="28.5">
      <c r="A316" s="89" t="s">
        <v>14027</v>
      </c>
      <c r="B316" s="76" t="s">
        <v>79</v>
      </c>
      <c r="C316" s="83" t="s">
        <v>13343</v>
      </c>
      <c r="D316" s="712" t="str">
        <f>COMPOSIÇÕES!D3931</f>
        <v>SAÍDA HORIZONTAL PARA ELETRODUTO 1", FORNECIMENTO E INSTALAÇÃO.</v>
      </c>
      <c r="E316" s="76" t="str">
        <f>COMPOSIÇÕES!E3931</f>
        <v>UND</v>
      </c>
      <c r="F316" s="713">
        <f t="shared" si="75"/>
        <v>9</v>
      </c>
      <c r="G316" s="714">
        <f>COMPOSIÇÕES!H3937</f>
        <v>9.57</v>
      </c>
      <c r="H316" s="715">
        <f t="shared" si="76"/>
        <v>11.69</v>
      </c>
      <c r="I316" s="715">
        <f t="shared" si="77"/>
        <v>105.21</v>
      </c>
      <c r="J316" s="715">
        <f>COMPOSIÇÕES!J3938</f>
        <v>9.09</v>
      </c>
      <c r="K316" s="715">
        <f t="shared" si="78"/>
        <v>11.666803650064107</v>
      </c>
      <c r="L316" s="715">
        <f t="shared" si="79"/>
        <v>105</v>
      </c>
    </row>
    <row r="317" spans="1:12" s="716" customFormat="1" ht="28.5">
      <c r="A317" s="89" t="s">
        <v>14028</v>
      </c>
      <c r="B317" s="76" t="s">
        <v>79</v>
      </c>
      <c r="C317" s="83" t="s">
        <v>13360</v>
      </c>
      <c r="D317" s="712" t="str">
        <f>COMPOSIÇÕES!D3989</f>
        <v>CURVA (X) HORIZONTAL 90º, 50X50MM FORNECIMENTO E INSTALAÇÃO.</v>
      </c>
      <c r="E317" s="76" t="str">
        <f>COMPOSIÇÕES!E3989</f>
        <v>UND</v>
      </c>
      <c r="F317" s="713">
        <f t="shared" si="75"/>
        <v>6</v>
      </c>
      <c r="G317" s="714">
        <f>COMPOSIÇÕES!H3996</f>
        <v>75.63</v>
      </c>
      <c r="H317" s="715">
        <f t="shared" si="76"/>
        <v>92.43</v>
      </c>
      <c r="I317" s="715">
        <f t="shared" si="77"/>
        <v>554.58000000000004</v>
      </c>
      <c r="J317" s="715">
        <f>COMPOSIÇÕES!J3997</f>
        <v>71.72</v>
      </c>
      <c r="K317" s="715">
        <f t="shared" si="78"/>
        <v>92.050952451330886</v>
      </c>
      <c r="L317" s="715">
        <f t="shared" si="79"/>
        <v>552.29999999999995</v>
      </c>
    </row>
    <row r="318" spans="1:12" s="716" customFormat="1" ht="28.5">
      <c r="A318" s="89" t="s">
        <v>14029</v>
      </c>
      <c r="B318" s="76" t="s">
        <v>79</v>
      </c>
      <c r="C318" s="83" t="s">
        <v>13358</v>
      </c>
      <c r="D318" s="712" t="str">
        <f>COMPOSIÇÕES!D3979</f>
        <v>CURVA (X) HORIZONTAL 90º, 100X50MM FORNECIMENTO E INSTALAÇÃO.</v>
      </c>
      <c r="E318" s="76" t="str">
        <f>COMPOSIÇÕES!E3979</f>
        <v>UND</v>
      </c>
      <c r="F318" s="713">
        <f t="shared" si="75"/>
        <v>3</v>
      </c>
      <c r="G318" s="714">
        <f>COMPOSIÇÕES!H3986</f>
        <v>108.98</v>
      </c>
      <c r="H318" s="715">
        <f t="shared" si="76"/>
        <v>133.19999999999999</v>
      </c>
      <c r="I318" s="715">
        <f t="shared" si="77"/>
        <v>399.6</v>
      </c>
      <c r="J318" s="715">
        <f>COMPOSIÇÕES!J3987</f>
        <v>105.07</v>
      </c>
      <c r="K318" s="715">
        <f t="shared" si="78"/>
        <v>134.85490203654959</v>
      </c>
      <c r="L318" s="715">
        <f t="shared" si="79"/>
        <v>404.56</v>
      </c>
    </row>
    <row r="319" spans="1:12" s="716" customFormat="1" ht="57">
      <c r="A319" s="89" t="s">
        <v>14030</v>
      </c>
      <c r="B319" s="76" t="s">
        <v>14504</v>
      </c>
      <c r="C319" s="83" t="s">
        <v>13166</v>
      </c>
      <c r="D319" s="712" t="str">
        <f>IF(B319="SEPLAG",VLOOKUP(C319,COMPOSIÇÃO,2,FALSE),VLOOKUP(C319,'NAO DESO'!A:B,2,FALSE))</f>
        <v>ELETROCALHA PERF. GALVANIZADA TIPO "U" COM TAMPA 50X50X3000 mm + SUPORTE PARA ELETROCALHA LISA OU PERFURADA EM AÇO GALVANIZADO, LARGURA 500 OU 800 mm, ESPAÇADO A CADA 1,50 M. FORNECIMENTO E INSTALAÇÃO.</v>
      </c>
      <c r="E319" s="76" t="str">
        <f>IF(B319="SEPLAG",VLOOKUP(C319,UNIDADE,3,FALSE),VLOOKUP(C319,'NAO DESO'!A:C,3,FALSE))</f>
        <v>UND</v>
      </c>
      <c r="F319" s="713">
        <f t="shared" si="75"/>
        <v>31.666666666666668</v>
      </c>
      <c r="G319" s="714">
        <f>IF(B319="SEPLAG",VLOOKUP(CONCATENATE("TOTAL DO ITEM NÃO DESON. - ",C319),BASE01,8,FALSE),VLOOKUP(C319,'NAO DESO'!A:D,4,FALSE))</f>
        <v>76.09</v>
      </c>
      <c r="H319" s="715">
        <f t="shared" si="76"/>
        <v>93</v>
      </c>
      <c r="I319" s="715">
        <f t="shared" si="77"/>
        <v>2945</v>
      </c>
      <c r="J319" s="715">
        <f>IF(B319="SEPLAG",VLOOKUP(CONCATENATE("TOTAL DO ITEM DESON. - ",C319),BASE02,10,FALSE),VLOOKUP(C319,DESON!A:D,4,FALSE))</f>
        <v>73.819999999999993</v>
      </c>
      <c r="K319" s="715">
        <f t="shared" si="78"/>
        <v>94.746253624613018</v>
      </c>
      <c r="L319" s="715">
        <f t="shared" si="79"/>
        <v>3000.29</v>
      </c>
    </row>
    <row r="320" spans="1:12" s="716" customFormat="1" ht="28.5">
      <c r="A320" s="89" t="s">
        <v>14031</v>
      </c>
      <c r="B320" s="76" t="s">
        <v>79</v>
      </c>
      <c r="C320" s="83" t="s">
        <v>13367</v>
      </c>
      <c r="D320" s="712" t="str">
        <f>COMPOSIÇÕES!D4055</f>
        <v xml:space="preserve"> T HORIZONTAL (X) HORIZONTAL 90º, 100X50MM FORNECIMENTO E INSTALAÇÃO.</v>
      </c>
      <c r="E320" s="76" t="str">
        <f>COMPOSIÇÕES!E4055</f>
        <v>UND</v>
      </c>
      <c r="F320" s="713">
        <f t="shared" si="75"/>
        <v>4</v>
      </c>
      <c r="G320" s="714">
        <f>COMPOSIÇÕES!H4062</f>
        <v>77.67</v>
      </c>
      <c r="H320" s="715">
        <f t="shared" si="76"/>
        <v>94.93</v>
      </c>
      <c r="I320" s="715">
        <f t="shared" si="77"/>
        <v>379.72</v>
      </c>
      <c r="J320" s="715">
        <f>COMPOSIÇÕES!J4063</f>
        <v>74.929999999999993</v>
      </c>
      <c r="K320" s="715">
        <f t="shared" si="78"/>
        <v>96.170912816205004</v>
      </c>
      <c r="L320" s="715">
        <f t="shared" si="79"/>
        <v>384.68</v>
      </c>
    </row>
    <row r="321" spans="1:12" s="716" customFormat="1" ht="28.5">
      <c r="A321" s="89" t="s">
        <v>14716</v>
      </c>
      <c r="B321" s="76" t="s">
        <v>79</v>
      </c>
      <c r="C321" s="83" t="s">
        <v>13378</v>
      </c>
      <c r="D321" s="712" t="str">
        <f>COMPOSIÇÕES!D4065</f>
        <v xml:space="preserve"> T HORIZONTAL (X) HORIZONTAL 90º, 50X50MM FORNECIMENTO E INSTALAÇÃO.</v>
      </c>
      <c r="E321" s="76" t="str">
        <f>COMPOSIÇÕES!E4065</f>
        <v>UND</v>
      </c>
      <c r="F321" s="713">
        <f t="shared" si="75"/>
        <v>8</v>
      </c>
      <c r="G321" s="714">
        <f>COMPOSIÇÕES!H4072</f>
        <v>53.760000000000005</v>
      </c>
      <c r="H321" s="715">
        <f t="shared" si="76"/>
        <v>65.7</v>
      </c>
      <c r="I321" s="715">
        <f t="shared" si="77"/>
        <v>525.6</v>
      </c>
      <c r="J321" s="715">
        <f>COMPOSIÇÕES!J4073</f>
        <v>51.49</v>
      </c>
      <c r="K321" s="715">
        <f t="shared" si="78"/>
        <v>66.086217815379641</v>
      </c>
      <c r="L321" s="715">
        <f t="shared" si="79"/>
        <v>528.67999999999995</v>
      </c>
    </row>
    <row r="322" spans="1:12" s="716" customFormat="1" ht="28.5">
      <c r="A322" s="89" t="s">
        <v>14717</v>
      </c>
      <c r="B322" s="76" t="s">
        <v>79</v>
      </c>
      <c r="C322" s="83" t="s">
        <v>13384</v>
      </c>
      <c r="D322" s="712" t="str">
        <f>COMPOSIÇÕES!D4075</f>
        <v>TALA PLANA PERFURADA 100MM PARA ELETROCALHA METÁLICA, FORNCECIMENTO E INSTALAÇÃO.</v>
      </c>
      <c r="E322" s="76" t="str">
        <f>COMPOSIÇÕES!E4075</f>
        <v>UND</v>
      </c>
      <c r="F322" s="713">
        <f t="shared" si="75"/>
        <v>111</v>
      </c>
      <c r="G322" s="714">
        <f>COMPOSIÇÕES!H4081</f>
        <v>8.2100000000000009</v>
      </c>
      <c r="H322" s="715">
        <f t="shared" si="76"/>
        <v>10.029999999999999</v>
      </c>
      <c r="I322" s="715">
        <f t="shared" si="77"/>
        <v>1113.33</v>
      </c>
      <c r="J322" s="715">
        <f>COMPOSIÇÕES!J4082</f>
        <v>7.81</v>
      </c>
      <c r="K322" s="715">
        <f t="shared" si="78"/>
        <v>10.023953411111187</v>
      </c>
      <c r="L322" s="715">
        <f t="shared" si="79"/>
        <v>1112.6500000000001</v>
      </c>
    </row>
    <row r="323" spans="1:12" s="716" customFormat="1" ht="57">
      <c r="A323" s="89" t="s">
        <v>14718</v>
      </c>
      <c r="B323" s="76" t="s">
        <v>79</v>
      </c>
      <c r="C323" s="83">
        <v>91170</v>
      </c>
      <c r="D323" s="712" t="str">
        <f>IF(B323="SEPLAG",VLOOKUP(C323,COMPOSIÇÃO,2,FALSE),VLOOKUP(C323,'NAO DESO'!A:B,2,FALSE))</f>
        <v>FIXAÇÃO DE TUBOS HORIZONTAIS DE PVC, CPVC OU COBRE DIÂMETROS MENORES OU IGUAIS A 40 MM OU ELETROCALHAS ATÉ 150MM DE LARGURA, COM ABRAÇADEIRA METÁLICA RÍGIDA TIPO D 1/2, FIXADA EM PERFILADO EM LAJE. AF_05/2015</v>
      </c>
      <c r="E323" s="76" t="str">
        <f>IF(B323="SEPLAG",VLOOKUP(C323,UNIDADE,3,FALSE),VLOOKUP(C323,'NAO DESO'!A:C,3,FALSE))</f>
        <v>M</v>
      </c>
      <c r="F323" s="713">
        <f t="shared" si="75"/>
        <v>150</v>
      </c>
      <c r="G323" s="714" t="str">
        <f>IF(B323="SEPLAG",VLOOKUP(CONCATENATE("TOTAL DO ITEM NÃO DESON. - ",C323),BASE01,8,FALSE),VLOOKUP(C323,'NAO DESO'!A:D,4,FALSE))</f>
        <v>2,99</v>
      </c>
      <c r="H323" s="715">
        <f t="shared" si="76"/>
        <v>3.65</v>
      </c>
      <c r="I323" s="715">
        <f t="shared" si="77"/>
        <v>547.5</v>
      </c>
      <c r="J323" s="715" t="str">
        <f>IF(B323="SEPLAG",VLOOKUP(CONCATENATE("TOTAL DO ITEM DESON. - ",C323),BASE02,10,FALSE),VLOOKUP(C323,DESON!A:D,4,FALSE))</f>
        <v>2,81</v>
      </c>
      <c r="K323" s="715">
        <f t="shared" si="78"/>
        <v>3.6065696652013362</v>
      </c>
      <c r="L323" s="715">
        <f t="shared" si="79"/>
        <v>540.98</v>
      </c>
    </row>
    <row r="324" spans="1:12" s="716" customFormat="1" ht="42.75">
      <c r="A324" s="89" t="s">
        <v>14719</v>
      </c>
      <c r="B324" s="76" t="s">
        <v>79</v>
      </c>
      <c r="C324" s="83">
        <v>91171</v>
      </c>
      <c r="D324" s="712" t="str">
        <f>IF(B324="SEPLAG",VLOOKUP(C324,COMPOSIÇÃO,2,FALSE),VLOOKUP(C324,'NAO DESO'!A:B,2,FALSE))</f>
        <v>FIXAÇÃO DE TUBOS HORIZONTAIS DE PVC, CPVC OU COBRE DIÂMETROS MAIORES QUE 40 MM E MENORES OU IGUAIS A 75 MM COM ABRAÇADEIRA METÁLICA RÍGIDA TIPO D 1 1/2", FIXADA EM PERFILADO EM LAJE. AF_05/2015</v>
      </c>
      <c r="E324" s="76" t="str">
        <f>IF(B324="SEPLAG",VLOOKUP(C324,UNIDADE,3,FALSE),VLOOKUP(C324,'NAO DESO'!A:C,3,FALSE))</f>
        <v>M</v>
      </c>
      <c r="F324" s="713">
        <f t="shared" ref="F324:F334" si="80">VLOOKUP(A324,MEMÓRIA,6,FALSE)</f>
        <v>23</v>
      </c>
      <c r="G324" s="714" t="str">
        <f>IF(B324="SEPLAG",VLOOKUP(CONCATENATE("TOTAL DO ITEM NÃO DESON. - ",C324),BASE01,8,FALSE),VLOOKUP(C324,'NAO DESO'!A:D,4,FALSE))</f>
        <v>3,77</v>
      </c>
      <c r="H324" s="715">
        <f t="shared" ref="H324:H334" si="81">TRUNC(G324+G324*$K$6,2)</f>
        <v>4.5999999999999996</v>
      </c>
      <c r="I324" s="715">
        <f t="shared" ref="I324:I334" si="82">TRUNC(F324*H324,2)</f>
        <v>105.8</v>
      </c>
      <c r="J324" s="715" t="str">
        <f>IF(B324="SEPLAG",VLOOKUP(CONCATENATE("TOTAL DO ITEM DESON. - ",C324),BASE02,10,FALSE),VLOOKUP(C324,DESON!A:D,4,FALSE))</f>
        <v>3,56</v>
      </c>
      <c r="K324" s="715">
        <f t="shared" ref="K324:K334" si="83">J324+J324*$L$6</f>
        <v>4.5691772270878133</v>
      </c>
      <c r="L324" s="715">
        <f t="shared" ref="L324:L334" si="84">TRUNC(F324*K324,2)</f>
        <v>105.09</v>
      </c>
    </row>
    <row r="325" spans="1:12" s="716" customFormat="1" ht="42.75">
      <c r="A325" s="89" t="s">
        <v>14720</v>
      </c>
      <c r="B325" s="76" t="s">
        <v>79</v>
      </c>
      <c r="C325" s="83">
        <v>91172</v>
      </c>
      <c r="D325" s="712" t="str">
        <f>IF(B325="SEPLAG",VLOOKUP(C325,COMPOSIÇÃO,2,FALSE),VLOOKUP(C325,'NAO DESO'!A:B,2,FALSE))</f>
        <v>FIXAÇÃO DE TUBOS HORIZONTAIS DE PVC, CPVC OU COBRE DIÂMETROS MAIORES QUE 75 MM COM ABRAÇADEIRA METÁLICA RÍGIDA TIPO D 3", FIXADA EM PERFILADO EM LAJE. AF_05/2015</v>
      </c>
      <c r="E325" s="76" t="str">
        <f>IF(B325="SEPLAG",VLOOKUP(C325,UNIDADE,3,FALSE),VLOOKUP(C325,'NAO DESO'!A:C,3,FALSE))</f>
        <v>M</v>
      </c>
      <c r="F325" s="713">
        <f t="shared" si="80"/>
        <v>14</v>
      </c>
      <c r="G325" s="714" t="str">
        <f>IF(B325="SEPLAG",VLOOKUP(CONCATENATE("TOTAL DO ITEM NÃO DESON. - ",C325),BASE01,8,FALSE),VLOOKUP(C325,'NAO DESO'!A:D,4,FALSE))</f>
        <v>5,52</v>
      </c>
      <c r="H325" s="715">
        <f t="shared" si="81"/>
        <v>6.74</v>
      </c>
      <c r="I325" s="715">
        <f t="shared" si="82"/>
        <v>94.36</v>
      </c>
      <c r="J325" s="715" t="str">
        <f>IF(B325="SEPLAG",VLOOKUP(CONCATENATE("TOTAL DO ITEM DESON. - ",C325),BASE02,10,FALSE),VLOOKUP(C325,DESON!A:D,4,FALSE))</f>
        <v>5,21</v>
      </c>
      <c r="K325" s="715">
        <f t="shared" si="83"/>
        <v>6.6869138632380638</v>
      </c>
      <c r="L325" s="715">
        <f t="shared" si="84"/>
        <v>93.61</v>
      </c>
    </row>
    <row r="326" spans="1:12" s="716" customFormat="1" ht="28.5">
      <c r="A326" s="89" t="s">
        <v>14721</v>
      </c>
      <c r="B326" s="76" t="s">
        <v>14504</v>
      </c>
      <c r="C326" s="83" t="s">
        <v>13347</v>
      </c>
      <c r="D326" s="712" t="str">
        <f>IF(B326="SEPLAG",VLOOKUP(C326,COMPOSIÇÃO,2,FALSE),VLOOKUP(C326,'NAO DESO'!A:B,2,FALSE))</f>
        <v xml:space="preserve"> CRUZETA (X) HORIZONTAL 90º, 300X50MM FORNECIMENTO E INSTALAÇÃO.</v>
      </c>
      <c r="E326" s="76" t="str">
        <f>IF(B326="SEPLAG",VLOOKUP(C326,UNIDADE,3,FALSE),VLOOKUP(C326,'NAO DESO'!A:C,3,FALSE))</f>
        <v>UND</v>
      </c>
      <c r="F326" s="713">
        <f t="shared" si="80"/>
        <v>1</v>
      </c>
      <c r="G326" s="714">
        <f>IF(B326="SEPLAG",VLOOKUP(CONCATENATE("TOTAL DO ITEM NÃO DESON. - ",C326),BASE01,8,FALSE),VLOOKUP(C326,'NAO DESO'!A:D,4,FALSE))</f>
        <v>108.98</v>
      </c>
      <c r="H326" s="715">
        <f t="shared" si="81"/>
        <v>133.19999999999999</v>
      </c>
      <c r="I326" s="715">
        <f t="shared" si="82"/>
        <v>133.19999999999999</v>
      </c>
      <c r="J326" s="715">
        <f>IF(B326="SEPLAG",VLOOKUP(CONCATENATE("TOTAL DO ITEM DESON. - ",C326),BASE02,10,FALSE),VLOOKUP(C326,DESON!A:D,4,FALSE))</f>
        <v>105.07</v>
      </c>
      <c r="K326" s="715">
        <f t="shared" si="83"/>
        <v>134.85490203654959</v>
      </c>
      <c r="L326" s="715">
        <f t="shared" si="84"/>
        <v>134.85</v>
      </c>
    </row>
    <row r="327" spans="1:12" s="716" customFormat="1" ht="42.75">
      <c r="A327" s="89" t="s">
        <v>14722</v>
      </c>
      <c r="B327" s="76" t="s">
        <v>14504</v>
      </c>
      <c r="C327" s="83" t="s">
        <v>7115</v>
      </c>
      <c r="D327" s="712" t="str">
        <f>IF(B327="SEPLAG",VLOOKUP(C327,COMPOSIÇÃO,2,FALSE),VLOOKUP(C327,'NAO DESO'!A:B,2,FALSE))</f>
        <v>ELETROCALHA LISA (200X50X300)MM EM CHAPA DE AÇO GALVANIZADO #18, COM TRATAMENTO PRÉ-ZINCADO, INCLUSIVE TAMPA DE ENCAIXE, FIXAÇÃO SUPERIOR, CONEXÕES E ACESSÓRIOS. FORNECIMENTO E INSTALAÇÃO.</v>
      </c>
      <c r="E327" s="76" t="str">
        <f>IF(B327="SEPLAG",VLOOKUP(C327,UNIDADE,3,FALSE),VLOOKUP(C327,'NAO DESO'!A:C,3,FALSE))</f>
        <v>UND</v>
      </c>
      <c r="F327" s="713">
        <f t="shared" si="80"/>
        <v>1.6666666666666667</v>
      </c>
      <c r="G327" s="714">
        <f>IF(B327="SEPLAG",VLOOKUP(CONCATENATE("TOTAL DO ITEM NÃO DESON. - ",C327),BASE01,8,FALSE),VLOOKUP(C327,'NAO DESO'!A:D,4,FALSE))</f>
        <v>393.93999999999994</v>
      </c>
      <c r="H327" s="715">
        <f t="shared" si="81"/>
        <v>481.49</v>
      </c>
      <c r="I327" s="715">
        <f t="shared" si="82"/>
        <v>802.48</v>
      </c>
      <c r="J327" s="715">
        <f>IF(B327="SEPLAG",VLOOKUP(CONCATENATE("TOTAL DO ITEM DESON. - ",C327),BASE02,10,FALSE),VLOOKUP(C327,DESON!A:D,4,FALSE))</f>
        <v>391.08</v>
      </c>
      <c r="K327" s="715">
        <f t="shared" si="83"/>
        <v>501.94208707008482</v>
      </c>
      <c r="L327" s="715">
        <f t="shared" si="84"/>
        <v>836.57</v>
      </c>
    </row>
    <row r="328" spans="1:12" s="716" customFormat="1" ht="42.75">
      <c r="A328" s="89" t="s">
        <v>14728</v>
      </c>
      <c r="B328" s="76" t="s">
        <v>14504</v>
      </c>
      <c r="C328" s="83" t="s">
        <v>7118</v>
      </c>
      <c r="D328" s="712" t="str">
        <f>IF(B328="SEPLAG",VLOOKUP(C328,COMPOSIÇÃO,2,FALSE),VLOOKUP(C328,'NAO DESO'!A:B,2,FALSE))</f>
        <v>ELETROCALHA LISA (300X50X300)MM EM CHAPA DE AÇO GALVANIZADO #18, COM TRATAMENTO PRÉ-ZINCADO, INCLUSIVE TAMPA DE ENCAIXE, FIXAÇÃO SUPERIOR, CONEXÕES E ACESSÓRIOS. FORNECIMENTO E INSTALAÇÃO.</v>
      </c>
      <c r="E328" s="76" t="str">
        <f>IF(B328="SEPLAG",VLOOKUP(C328,UNIDADE,3,FALSE),VLOOKUP(C328,'NAO DESO'!A:C,3,FALSE))</f>
        <v>UND</v>
      </c>
      <c r="F328" s="713">
        <f t="shared" si="80"/>
        <v>1</v>
      </c>
      <c r="G328" s="714">
        <f>IF(B328="SEPLAG",VLOOKUP(CONCATENATE("TOTAL DO ITEM NÃO DESON. - ",C328),BASE01,8,FALSE),VLOOKUP(C328,'NAO DESO'!A:D,4,FALSE))</f>
        <v>426.29999999999995</v>
      </c>
      <c r="H328" s="715">
        <f t="shared" si="81"/>
        <v>521.04999999999995</v>
      </c>
      <c r="I328" s="715">
        <f t="shared" si="82"/>
        <v>521.04999999999995</v>
      </c>
      <c r="J328" s="715">
        <f>IF(B328="SEPLAG",VLOOKUP(CONCATENATE("TOTAL DO ITEM DESON. - ",C328),BASE02,10,FALSE),VLOOKUP(C328,DESON!A:D,4,FALSE))</f>
        <v>423.44</v>
      </c>
      <c r="K328" s="715">
        <f t="shared" si="83"/>
        <v>543.47539467361344</v>
      </c>
      <c r="L328" s="715">
        <f t="shared" si="84"/>
        <v>543.47</v>
      </c>
    </row>
    <row r="329" spans="1:12" s="716" customFormat="1" ht="42.75">
      <c r="A329" s="89" t="s">
        <v>14729</v>
      </c>
      <c r="B329" s="76" t="s">
        <v>14504</v>
      </c>
      <c r="C329" s="83" t="s">
        <v>13364</v>
      </c>
      <c r="D329" s="712" t="str">
        <f>IF(B329="SEPLAG",VLOOKUP(C329,COMPOSIÇÃO,2,FALSE),VLOOKUP(C329,'NAO DESO'!A:B,2,FALSE))</f>
        <v>ELETROCALHA LISA (150X50X300)MM EM CHAPA DE AÇO GALVANIZADO #18, COM TRATAMENTO PRÉ-ZINCADO, INCLUSIVE TAMPA DE ENCAIXE, FIXAÇÃO SUPERIOR, CONEXÕES E ACESSÓRIOS. FORNECIMENTO E INSTALAÇÃO.</v>
      </c>
      <c r="E329" s="76" t="str">
        <f>IF(B329="SEPLAG",VLOOKUP(C329,UNIDADE,3,FALSE),VLOOKUP(C329,'NAO DESO'!A:C,3,FALSE))</f>
        <v>UND</v>
      </c>
      <c r="F329" s="713">
        <f t="shared" si="80"/>
        <v>5.4666666666666659</v>
      </c>
      <c r="G329" s="714">
        <f>IF(B329="SEPLAG",VLOOKUP(CONCATENATE("TOTAL DO ITEM NÃO DESON. - ",C329),BASE01,8,FALSE),VLOOKUP(C329,'NAO DESO'!A:D,4,FALSE))</f>
        <v>197.36</v>
      </c>
      <c r="H329" s="715">
        <f t="shared" si="81"/>
        <v>241.22</v>
      </c>
      <c r="I329" s="715">
        <f t="shared" si="82"/>
        <v>1318.66</v>
      </c>
      <c r="J329" s="715">
        <f>IF(B329="SEPLAG",VLOOKUP(CONCATENATE("TOTAL DO ITEM DESON. - ",C329),BASE02,10,FALSE),VLOOKUP(C329,DESON!A:D,4,FALSE))</f>
        <v>194.49999999999997</v>
      </c>
      <c r="K329" s="715">
        <f t="shared" si="83"/>
        <v>249.63622771589314</v>
      </c>
      <c r="L329" s="715">
        <f t="shared" si="84"/>
        <v>1364.67</v>
      </c>
    </row>
    <row r="330" spans="1:12" s="716" customFormat="1" ht="28.5">
      <c r="A330" s="89" t="s">
        <v>14730</v>
      </c>
      <c r="B330" s="76" t="s">
        <v>79</v>
      </c>
      <c r="C330" s="83">
        <v>93667</v>
      </c>
      <c r="D330" s="712" t="str">
        <f>IF(B330="SEPLAG",VLOOKUP(C330,COMPOSIÇÃO,2,FALSE),VLOOKUP(C330,'NAO DESO'!A:B,2,FALSE))</f>
        <v>DISJUNTOR TRIPOLAR TIPO DIN, CORRENTE NOMINAL DE 10A - FORNECIMENTO E INSTALAÇÃO. AF_10/2020</v>
      </c>
      <c r="E330" s="76" t="str">
        <f>IF(B330="SEPLAG",VLOOKUP(C330,UNIDADE,3,FALSE),VLOOKUP(C330,'NAO DESO'!A:C,3,FALSE))</f>
        <v>UN</v>
      </c>
      <c r="F330" s="713">
        <f t="shared" si="80"/>
        <v>4</v>
      </c>
      <c r="G330" s="714" t="str">
        <f>IF(B330="SEPLAG",VLOOKUP(CONCATENATE("TOTAL DO ITEM NÃO DESON. - ",C330),BASE01,8,FALSE),VLOOKUP(C330,'NAO DESO'!A:D,4,FALSE))</f>
        <v>74,08</v>
      </c>
      <c r="H330" s="715">
        <f t="shared" si="81"/>
        <v>90.54</v>
      </c>
      <c r="I330" s="715">
        <f t="shared" si="82"/>
        <v>362.16</v>
      </c>
      <c r="J330" s="715" t="str">
        <f>IF(B330="SEPLAG",VLOOKUP(CONCATENATE("TOTAL DO ITEM DESON. - ",C330),BASE02,10,FALSE),VLOOKUP(C330,DESON!A:D,4,FALSE))</f>
        <v>73,67</v>
      </c>
      <c r="K330" s="715">
        <f t="shared" si="83"/>
        <v>94.553732112235735</v>
      </c>
      <c r="L330" s="715">
        <f t="shared" si="84"/>
        <v>378.21</v>
      </c>
    </row>
    <row r="331" spans="1:12" s="716" customFormat="1" ht="28.5">
      <c r="A331" s="89" t="s">
        <v>27192</v>
      </c>
      <c r="B331" s="76" t="s">
        <v>79</v>
      </c>
      <c r="C331" s="83">
        <v>93668</v>
      </c>
      <c r="D331" s="712" t="str">
        <f>IF(B331="SEPLAG",VLOOKUP(C331,COMPOSIÇÃO,2,FALSE),VLOOKUP(C331,'NAO DESO'!A:B,2,FALSE))</f>
        <v>DISJUNTOR TRIPOLAR TIPO DIN, CORRENTE NOMINAL DE 16A - FORNECIMENTO E INSTALAÇÃO. AF_10/2020</v>
      </c>
      <c r="E331" s="76" t="str">
        <f>IF(B331="SEPLAG",VLOOKUP(C331,UNIDADE,3,FALSE),VLOOKUP(C331,'NAO DESO'!A:C,3,FALSE))</f>
        <v>UN</v>
      </c>
      <c r="F331" s="713">
        <f t="shared" si="80"/>
        <v>1</v>
      </c>
      <c r="G331" s="714" t="str">
        <f>IF(B331="SEPLAG",VLOOKUP(CONCATENATE("TOTAL DO ITEM NÃO DESON. - ",C331),BASE01,8,FALSE),VLOOKUP(C331,'NAO DESO'!A:D,4,FALSE))</f>
        <v>75,53</v>
      </c>
      <c r="H331" s="715">
        <f t="shared" si="81"/>
        <v>92.31</v>
      </c>
      <c r="I331" s="715">
        <f t="shared" si="82"/>
        <v>92.31</v>
      </c>
      <c r="J331" s="715" t="str">
        <f>IF(B331="SEPLAG",VLOOKUP(CONCATENATE("TOTAL DO ITEM DESON. - ",C331),BASE02,10,FALSE),VLOOKUP(C331,DESON!A:D,4,FALSE))</f>
        <v>74,95</v>
      </c>
      <c r="K331" s="715">
        <f t="shared" si="83"/>
        <v>96.196582351188653</v>
      </c>
      <c r="L331" s="715">
        <f t="shared" si="84"/>
        <v>96.19</v>
      </c>
    </row>
    <row r="332" spans="1:12" s="716" customFormat="1" ht="42.75">
      <c r="A332" s="89" t="s">
        <v>27193</v>
      </c>
      <c r="B332" s="76" t="s">
        <v>79</v>
      </c>
      <c r="C332" s="83">
        <v>91879</v>
      </c>
      <c r="D332" s="712" t="str">
        <f>IF(B332="SEPLAG",VLOOKUP(C332,COMPOSIÇÃO,2,FALSE),VLOOKUP(C332,'NAO DESO'!A:B,2,FALSE))</f>
        <v>LUVA PARA ELETRODUTO, PVC, ROSCÁVEL, DN 25 MM (3/4"), PARA CIRCUITOS TERMINAIS, INSTALADA EM LAJE - FORNECIMENTO E INSTALAÇÃO. AF_12/2015</v>
      </c>
      <c r="E332" s="76" t="str">
        <f>IF(B332="SEPLAG",VLOOKUP(C332,UNIDADE,3,FALSE),VLOOKUP(C332,'NAO DESO'!A:C,3,FALSE))</f>
        <v>UN</v>
      </c>
      <c r="F332" s="713">
        <f t="shared" si="80"/>
        <v>13</v>
      </c>
      <c r="G332" s="714" t="str">
        <f>IF(B332="SEPLAG",VLOOKUP(CONCATENATE("TOTAL DO ITEM NÃO DESON. - ",C332),BASE01,8,FALSE),VLOOKUP(C332,'NAO DESO'!A:D,4,FALSE))</f>
        <v>6,34</v>
      </c>
      <c r="H332" s="715">
        <f t="shared" si="81"/>
        <v>7.74</v>
      </c>
      <c r="I332" s="715">
        <f t="shared" si="82"/>
        <v>100.62</v>
      </c>
      <c r="J332" s="715" t="str">
        <f>IF(B332="SEPLAG",VLOOKUP(CONCATENATE("TOTAL DO ITEM DESON. - ",C332),BASE02,10,FALSE),VLOOKUP(C332,DESON!A:D,4,FALSE))</f>
        <v>5,80</v>
      </c>
      <c r="K332" s="715">
        <f t="shared" si="83"/>
        <v>7.4441651452554263</v>
      </c>
      <c r="L332" s="715">
        <f t="shared" si="84"/>
        <v>96.77</v>
      </c>
    </row>
    <row r="333" spans="1:12" s="716" customFormat="1" ht="28.5">
      <c r="A333" s="89" t="s">
        <v>27194</v>
      </c>
      <c r="B333" s="76" t="s">
        <v>79</v>
      </c>
      <c r="C333" s="83">
        <v>91880</v>
      </c>
      <c r="D333" s="712" t="str">
        <f>IF(B333="SEPLAG",VLOOKUP(C333,COMPOSIÇÃO,2,FALSE),VLOOKUP(C333,'NAO DESO'!A:B,2,FALSE))</f>
        <v>LUVA PARA ELETRODUTO, PVC, ROSCÁVEL, DN 32 MM (1"), PARA CIRCUITOS TERMINAIS, INSTALADA EM LAJE - FORNECIMENTO E INSTALAÇÃO. AF_12/2015</v>
      </c>
      <c r="E333" s="76" t="str">
        <f>IF(B333="SEPLAG",VLOOKUP(C333,UNIDADE,3,FALSE),VLOOKUP(C333,'NAO DESO'!A:C,3,FALSE))</f>
        <v>UN</v>
      </c>
      <c r="F333" s="713">
        <f t="shared" si="80"/>
        <v>4</v>
      </c>
      <c r="G333" s="714" t="str">
        <f>IF(B333="SEPLAG",VLOOKUP(CONCATENATE("TOTAL DO ITEM NÃO DESON. - ",C333),BASE01,8,FALSE),VLOOKUP(C333,'NAO DESO'!A:D,4,FALSE))</f>
        <v>8,05</v>
      </c>
      <c r="H333" s="715">
        <f t="shared" si="81"/>
        <v>9.83</v>
      </c>
      <c r="I333" s="715">
        <f t="shared" si="82"/>
        <v>39.32</v>
      </c>
      <c r="J333" s="715" t="str">
        <f>IF(B333="SEPLAG",VLOOKUP(CONCATENATE("TOTAL DO ITEM DESON. - ",C333),BASE02,10,FALSE),VLOOKUP(C333,DESON!A:D,4,FALSE))</f>
        <v>7,39</v>
      </c>
      <c r="K333" s="715">
        <f t="shared" si="83"/>
        <v>9.4848931764547579</v>
      </c>
      <c r="L333" s="715">
        <f t="shared" si="84"/>
        <v>37.93</v>
      </c>
    </row>
    <row r="334" spans="1:12" s="716" customFormat="1" ht="42.75">
      <c r="A334" s="89" t="s">
        <v>27195</v>
      </c>
      <c r="B334" s="76" t="s">
        <v>79</v>
      </c>
      <c r="C334" s="83">
        <v>93013</v>
      </c>
      <c r="D334" s="712" t="str">
        <f>IF(B334="SEPLAG",VLOOKUP(C334,COMPOSIÇÃO,2,FALSE),VLOOKUP(C334,'NAO DESO'!A:B,2,FALSE))</f>
        <v>LUVA PARA ELETRODUTO, PVC, ROSCÁVEL, DN 50 MM (1 1/2"), PARA REDE ENTERRADA DE DISTRIBUIÇÃO DE ENERGIA ELÉTRICA - FORNECIMENTO E INSTALAÇÃO. AF_12/2021</v>
      </c>
      <c r="E334" s="76" t="str">
        <f>IF(B334="SEPLAG",VLOOKUP(C334,UNIDADE,3,FALSE),VLOOKUP(C334,'NAO DESO'!A:C,3,FALSE))</f>
        <v>UN</v>
      </c>
      <c r="F334" s="713">
        <f t="shared" si="80"/>
        <v>6</v>
      </c>
      <c r="G334" s="714" t="str">
        <f>IF(B334="SEPLAG",VLOOKUP(CONCATENATE("TOTAL DO ITEM NÃO DESON. - ",C334),BASE01,8,FALSE),VLOOKUP(C334,'NAO DESO'!A:D,4,FALSE))</f>
        <v>12,01</v>
      </c>
      <c r="H334" s="715">
        <f t="shared" si="81"/>
        <v>14.67</v>
      </c>
      <c r="I334" s="715">
        <f t="shared" si="82"/>
        <v>88.02</v>
      </c>
      <c r="J334" s="715" t="str">
        <f>IF(B334="SEPLAG",VLOOKUP(CONCATENATE("TOTAL DO ITEM DESON. - ",C334),BASE02,10,FALSE),VLOOKUP(C334,DESON!A:D,4,FALSE))</f>
        <v>11,12</v>
      </c>
      <c r="K334" s="715">
        <f t="shared" si="83"/>
        <v>14.272261450903507</v>
      </c>
      <c r="L334" s="715">
        <f t="shared" si="84"/>
        <v>85.63</v>
      </c>
    </row>
    <row r="335" spans="1:12" s="703" customFormat="1">
      <c r="A335" s="725" t="str">
        <f>CONCATENATE("TOTAL DO ITEM &gt;&gt;&gt;&gt;",A271)</f>
        <v>TOTAL DO ITEM &gt;&gt;&gt;&gt;7.2</v>
      </c>
      <c r="B335" s="771"/>
      <c r="C335" s="771"/>
      <c r="D335" s="771"/>
      <c r="E335" s="771"/>
      <c r="F335" s="771"/>
      <c r="G335" s="771"/>
      <c r="H335" s="771"/>
      <c r="I335" s="727">
        <f>SUM(I272:I334)</f>
        <v>257661.93999999994</v>
      </c>
      <c r="J335" s="727"/>
      <c r="K335" s="727"/>
      <c r="L335" s="727">
        <f>SUM(L272:L334)</f>
        <v>267234.70000000007</v>
      </c>
    </row>
    <row r="336" spans="1:12" s="703" customFormat="1">
      <c r="A336" s="699"/>
      <c r="B336" s="127"/>
      <c r="C336" s="127"/>
      <c r="D336" s="127"/>
      <c r="E336" s="127"/>
      <c r="F336" s="127"/>
      <c r="G336" s="127"/>
      <c r="H336" s="127"/>
      <c r="I336" s="818"/>
      <c r="J336" s="818"/>
      <c r="K336" s="818"/>
      <c r="L336" s="819"/>
    </row>
    <row r="337" spans="1:12" s="716" customFormat="1">
      <c r="A337" s="762" t="s">
        <v>14528</v>
      </c>
      <c r="B337" s="763"/>
      <c r="C337" s="764"/>
      <c r="D337" s="137" t="s">
        <v>13877</v>
      </c>
      <c r="E337" s="766"/>
      <c r="F337" s="767"/>
      <c r="G337" s="767"/>
      <c r="H337" s="767"/>
      <c r="I337" s="767"/>
      <c r="J337" s="805"/>
      <c r="K337" s="805"/>
      <c r="L337" s="805"/>
    </row>
    <row r="338" spans="1:12" s="716" customFormat="1" ht="42.75">
      <c r="A338" s="77" t="s">
        <v>14529</v>
      </c>
      <c r="B338" s="76" t="s">
        <v>79</v>
      </c>
      <c r="C338" s="45">
        <v>97669</v>
      </c>
      <c r="D338" s="712" t="str">
        <f>IF(B338="SEPLAG",VLOOKUP(C338,COMPOSIÇÃO,2,FALSE),VLOOKUP(C338,'NAO DESO'!A:B,2,FALSE))</f>
        <v>ELETRODUTO FLEXÍVEL CORRUGADO, PEAD, DN 90 (3"), PARA REDE ENTERRADA DE DISTRIBUIÇÃO DE ENERGIA ELÉTRICA - FORNECIMENTO E INSTALAÇÃO. AF_12/2021</v>
      </c>
      <c r="E338" s="76" t="str">
        <f>IF(B338="SEPLAG",VLOOKUP(C338,UNIDADE,3,FALSE),VLOOKUP(C338,'NAO DESO'!A:C,3,FALSE))</f>
        <v>M</v>
      </c>
      <c r="F338" s="713">
        <f>'MEM CAL'!F301</f>
        <v>406</v>
      </c>
      <c r="G338" s="714" t="str">
        <f>IF(B338="SEPLAG",VLOOKUP(CONCATENATE("TOTAL DO ITEM NÃO DESON. - ",C338),BASE01,8,FALSE),VLOOKUP(C338,'NAO DESO'!A:D,4,FALSE))</f>
        <v>13,56</v>
      </c>
      <c r="H338" s="715">
        <f t="shared" ref="H338:H362" si="85">TRUNC(G338+G338*$K$6,2)</f>
        <v>16.57</v>
      </c>
      <c r="I338" s="715">
        <f t="shared" ref="I338:I362" si="86">TRUNC(F338*H338,2)</f>
        <v>6727.42</v>
      </c>
      <c r="J338" s="715" t="str">
        <f>IF(B338="SEPLAG",VLOOKUP(CONCATENATE("TOTAL DO ITEM DESON. - ",C338),BASE02,10,FALSE),VLOOKUP(C338,DESON!A:D,4,FALSE))</f>
        <v>12,96</v>
      </c>
      <c r="K338" s="715">
        <f t="shared" ref="K338:K362" si="87">J338+J338*$L$6</f>
        <v>16.633858669398332</v>
      </c>
      <c r="L338" s="715">
        <f t="shared" ref="L338:L362" si="88">TRUNC(F338*K338,2)</f>
        <v>6753.34</v>
      </c>
    </row>
    <row r="339" spans="1:12" s="716" customFormat="1" ht="28.5">
      <c r="A339" s="77" t="s">
        <v>14530</v>
      </c>
      <c r="B339" s="76" t="s">
        <v>79</v>
      </c>
      <c r="C339" s="45">
        <v>93358</v>
      </c>
      <c r="D339" s="712" t="str">
        <f>IF(B339="SEPLAG",VLOOKUP(C339,COMPOSIÇÃO,2,FALSE),VLOOKUP(C339,'NAO DESO'!A:B,2,FALSE))</f>
        <v>ESCAVAÇÃO MANUAL DE VALA COM PROFUNDIDADE MENOR OU IGUAL A 1,30 M. AF_02/2021</v>
      </c>
      <c r="E339" s="76" t="str">
        <f>IF(B339="SEPLAG",VLOOKUP(C339,UNIDADE,3,FALSE),VLOOKUP(C339,'NAO DESO'!A:C,3,FALSE))</f>
        <v>M3</v>
      </c>
      <c r="F339" s="713">
        <f>'MEM CAL'!F302</f>
        <v>48.3</v>
      </c>
      <c r="G339" s="714" t="str">
        <f>IF(B339="SEPLAG",VLOOKUP(CONCATENATE("TOTAL DO ITEM NÃO DESON. - ",C339),BASE01,8,FALSE),VLOOKUP(C339,'NAO DESO'!A:D,4,FALSE))</f>
        <v>66,57</v>
      </c>
      <c r="H339" s="715">
        <f t="shared" si="85"/>
        <v>81.36</v>
      </c>
      <c r="I339" s="715">
        <f t="shared" si="86"/>
        <v>3929.68</v>
      </c>
      <c r="J339" s="715" t="str">
        <f>IF(B339="SEPLAG",VLOOKUP(CONCATENATE("TOTAL DO ITEM DESON. - ",C339),BASE02,10,FALSE),VLOOKUP(C339,DESON!A:D,4,FALSE))</f>
        <v>59,97</v>
      </c>
      <c r="K339" s="715">
        <f t="shared" si="87"/>
        <v>76.970100648442752</v>
      </c>
      <c r="L339" s="715">
        <f t="shared" si="88"/>
        <v>3717.65</v>
      </c>
    </row>
    <row r="340" spans="1:12" s="642" customFormat="1" ht="28.5">
      <c r="A340" s="77" t="s">
        <v>14531</v>
      </c>
      <c r="B340" s="75" t="s">
        <v>79</v>
      </c>
      <c r="C340" s="45">
        <v>93382</v>
      </c>
      <c r="D340" s="712" t="str">
        <f>IF(B340="SEPLAG",VLOOKUP(C340,COMPOSIÇÃO,2,FALSE),VLOOKUP(C340,'NAO DESO'!A:B,2,FALSE))</f>
        <v>REATERRO MANUAL DE VALAS COM COMPACTAÇÃO MECANIZADA. AF_04/2016</v>
      </c>
      <c r="E340" s="76" t="str">
        <f>IF(B340="SEPLAG",VLOOKUP(C340,UNIDADE,3,FALSE),VLOOKUP(C340,'NAO DESO'!A:C,3,FALSE))</f>
        <v>M3</v>
      </c>
      <c r="F340" s="713">
        <f>'MEM CAL'!F303</f>
        <v>48.3</v>
      </c>
      <c r="G340" s="714" t="str">
        <f>IF(B340="SEPLAG",VLOOKUP(CONCATENATE("TOTAL DO ITEM NÃO DESON. - ",C340),BASE01,8,FALSE),VLOOKUP(C340,'NAO DESO'!A:D,4,FALSE))</f>
        <v>23,85</v>
      </c>
      <c r="H340" s="715">
        <f t="shared" si="85"/>
        <v>29.15</v>
      </c>
      <c r="I340" s="715">
        <f t="shared" si="86"/>
        <v>1407.94</v>
      </c>
      <c r="J340" s="715" t="str">
        <f>IF(B340="SEPLAG",VLOOKUP(CONCATENATE("TOTAL DO ITEM DESON. - ",C340),BASE02,10,FALSE),VLOOKUP(C340,DESON!A:D,4,FALSE))</f>
        <v>21,84</v>
      </c>
      <c r="K340" s="715">
        <f t="shared" si="87"/>
        <v>28.031132202134227</v>
      </c>
      <c r="L340" s="715">
        <f t="shared" si="88"/>
        <v>1353.9</v>
      </c>
    </row>
    <row r="341" spans="1:12" ht="42.75">
      <c r="A341" s="77" t="s">
        <v>14532</v>
      </c>
      <c r="B341" s="75" t="s">
        <v>79</v>
      </c>
      <c r="C341" s="84">
        <v>92397</v>
      </c>
      <c r="D341" s="712" t="str">
        <f>IF(B341="SEPLAG",VLOOKUP(C341,COMPOSIÇÃO,2,FALSE),VLOOKUP(C341,'NAO DESO'!A:B,2,FALSE))</f>
        <v>EXECUÇÃO DE PÁTIO/ESTACIONAMENTO EM PISO INTERTRAVADO, COM BLOCO RETANGULAR COR NATURAL DE 20 X 10 CM, ESPESSURA 6 CM. AF_12/2015</v>
      </c>
      <c r="E341" s="76" t="str">
        <f>IF(B341="SEPLAG",VLOOKUP(C341,UNIDADE,3,FALSE),VLOOKUP(C341,'NAO DESO'!A:C,3,FALSE))</f>
        <v>M2</v>
      </c>
      <c r="F341" s="713">
        <f>'MEM CAL'!F304</f>
        <v>46.2</v>
      </c>
      <c r="G341" s="714" t="str">
        <f>IF(B341="SEPLAG",VLOOKUP(CONCATENATE("TOTAL DO ITEM NÃO DESON. - ",C341),BASE01,8,FALSE),VLOOKUP(C341,'NAO DESO'!A:D,4,FALSE))</f>
        <v>68,43</v>
      </c>
      <c r="H341" s="715">
        <f t="shared" si="85"/>
        <v>83.63</v>
      </c>
      <c r="I341" s="715">
        <f t="shared" si="86"/>
        <v>3863.7</v>
      </c>
      <c r="J341" s="715" t="str">
        <f>IF(B341="SEPLAG",VLOOKUP(CONCATENATE("TOTAL DO ITEM DESON. - ",C341),BASE02,10,FALSE),VLOOKUP(C341,DESON!A:D,4,FALSE))</f>
        <v>67,83</v>
      </c>
      <c r="K341" s="715">
        <f t="shared" si="87"/>
        <v>87.058227897013026</v>
      </c>
      <c r="L341" s="715">
        <f t="shared" si="88"/>
        <v>4022.09</v>
      </c>
    </row>
    <row r="342" spans="1:12" s="716" customFormat="1" ht="42.75">
      <c r="A342" s="77" t="s">
        <v>14533</v>
      </c>
      <c r="B342" s="75" t="s">
        <v>79</v>
      </c>
      <c r="C342" s="45">
        <v>94992</v>
      </c>
      <c r="D342" s="712" t="str">
        <f>IF(B342="SEPLAG",VLOOKUP(C342,COMPOSIÇÃO,2,FALSE),VLOOKUP(C342,'NAO DESO'!A:B,2,FALSE))</f>
        <v>EXECUÇÃO DE PASSEIO (CALÇADA) OU PISO DE CONCRETO COM CONCRETO MOLDADO IN LOCO, FEITO EM OBRA, ACABAMENTO CONVENCIONAL, ESPESSURA 6 CM, ARMADO. AF_07/2016</v>
      </c>
      <c r="E342" s="76" t="str">
        <f>IF(B342="SEPLAG",VLOOKUP(C342,UNIDADE,3,FALSE),VLOOKUP(C342,'NAO DESO'!A:C,3,FALSE))</f>
        <v>M2</v>
      </c>
      <c r="F342" s="713">
        <f>'MEM CAL'!F305</f>
        <v>34.299999999999997</v>
      </c>
      <c r="G342" s="714" t="str">
        <f>IF(B342="SEPLAG",VLOOKUP(CONCATENATE("TOTAL DO ITEM NÃO DESON. - ",C342),BASE01,8,FALSE),VLOOKUP(C342,'NAO DESO'!A:D,4,FALSE))</f>
        <v>102,18</v>
      </c>
      <c r="H342" s="715">
        <f t="shared" si="85"/>
        <v>124.89</v>
      </c>
      <c r="I342" s="715">
        <f t="shared" si="86"/>
        <v>4283.72</v>
      </c>
      <c r="J342" s="715" t="str">
        <f>IF(B342="SEPLAG",VLOOKUP(CONCATENATE("TOTAL DO ITEM DESON. - ",C342),BASE02,10,FALSE),VLOOKUP(C342,DESON!A:D,4,FALSE))</f>
        <v>100,30</v>
      </c>
      <c r="K342" s="715">
        <f t="shared" si="87"/>
        <v>128.73271794295158</v>
      </c>
      <c r="L342" s="715">
        <f t="shared" si="88"/>
        <v>4415.53</v>
      </c>
    </row>
    <row r="343" spans="1:12" s="716" customFormat="1" ht="28.5">
      <c r="A343" s="77" t="s">
        <v>14534</v>
      </c>
      <c r="B343" s="75" t="s">
        <v>79</v>
      </c>
      <c r="C343" s="45">
        <v>101811</v>
      </c>
      <c r="D343" s="712" t="str">
        <f>IF(B343="SEPLAG",VLOOKUP(C343,COMPOSIÇÃO,2,FALSE),VLOOKUP(C343,'NAO DESO'!A:B,2,FALSE))</f>
        <v>EXECUÇÃO DE TAPA BURACO COM APLICAÇÃO DE PRÉ MISTURADO A FRIO (USINAGEM PRÓPRIA) E PINTURA DE LIGAÇÃO. AF_12/2020</v>
      </c>
      <c r="E343" s="76" t="str">
        <f>IF(B343="SEPLAG",VLOOKUP(C343,UNIDADE,3,FALSE),VLOOKUP(C343,'NAO DESO'!A:C,3,FALSE))</f>
        <v>M3</v>
      </c>
      <c r="F343" s="713">
        <f>'MEM CAL'!F306</f>
        <v>2.7</v>
      </c>
      <c r="G343" s="714" t="str">
        <f>IF(B343="SEPLAG",VLOOKUP(CONCATENATE("TOTAL DO ITEM NÃO DESON. - ",C343),BASE01,8,FALSE),VLOOKUP(C343,'NAO DESO'!A:D,4,FALSE))</f>
        <v>938,83</v>
      </c>
      <c r="H343" s="715">
        <f t="shared" si="85"/>
        <v>1147.49</v>
      </c>
      <c r="I343" s="715">
        <f t="shared" si="86"/>
        <v>3098.22</v>
      </c>
      <c r="J343" s="715" t="str">
        <f>IF(B343="SEPLAG",VLOOKUP(CONCATENATE("TOTAL DO ITEM DESON. - ",C343),BASE02,10,FALSE),VLOOKUP(C343,DESON!A:D,4,FALSE))</f>
        <v>914,02</v>
      </c>
      <c r="K343" s="715">
        <f t="shared" si="87"/>
        <v>1173.1234182873043</v>
      </c>
      <c r="L343" s="715">
        <f t="shared" si="88"/>
        <v>3167.43</v>
      </c>
    </row>
    <row r="344" spans="1:12" s="716" customFormat="1" ht="42.75">
      <c r="A344" s="77" t="s">
        <v>14535</v>
      </c>
      <c r="B344" s="75" t="s">
        <v>79</v>
      </c>
      <c r="C344" s="45">
        <v>102996</v>
      </c>
      <c r="D344" s="712" t="str">
        <f>IF(B344="SEPLAG",VLOOKUP(C344,COMPOSIÇÃO,2,FALSE),VLOOKUP(C344,'NAO DESO'!A:B,2,FALSE))</f>
        <v>EXECUÇÃO DE CANALETA DE CONCRETO MOLDADO IN LOCO, ESPESSURA DE 0,07 M, GEOMETRIA TRAPEZOIDAL (DIMENSÕES INTERNAS: B=0,9 M; B=0,246 M; H=0,3 M). AF_08/2021</v>
      </c>
      <c r="E344" s="76" t="str">
        <f>IF(B344="SEPLAG",VLOOKUP(C344,UNIDADE,3,FALSE),VLOOKUP(C344,'NAO DESO'!A:C,3,FALSE))</f>
        <v>M</v>
      </c>
      <c r="F344" s="713">
        <f>'MEM CAL'!F307</f>
        <v>132</v>
      </c>
      <c r="G344" s="714" t="str">
        <f>IF(B344="SEPLAG",VLOOKUP(CONCATENATE("TOTAL DO ITEM NÃO DESON. - ",C344),BASE01,8,FALSE),VLOOKUP(C344,'NAO DESO'!A:D,4,FALSE))</f>
        <v>63,32</v>
      </c>
      <c r="H344" s="715">
        <f t="shared" si="85"/>
        <v>77.39</v>
      </c>
      <c r="I344" s="715">
        <f t="shared" si="86"/>
        <v>10215.48</v>
      </c>
      <c r="J344" s="715" t="str">
        <f>IF(B344="SEPLAG",VLOOKUP(CONCATENATE("TOTAL DO ITEM DESON. - ",C344),BASE02,10,FALSE),VLOOKUP(C344,DESON!A:D,4,FALSE))</f>
        <v>60,98</v>
      </c>
      <c r="K344" s="715">
        <f t="shared" si="87"/>
        <v>78.266412165116535</v>
      </c>
      <c r="L344" s="715">
        <f t="shared" si="88"/>
        <v>10331.16</v>
      </c>
    </row>
    <row r="345" spans="1:12" s="716" customFormat="1" ht="42.75">
      <c r="A345" s="77" t="s">
        <v>14536</v>
      </c>
      <c r="B345" s="75" t="s">
        <v>79</v>
      </c>
      <c r="C345" s="45">
        <v>93011</v>
      </c>
      <c r="D345" s="712" t="str">
        <f>IF(B345="SEPLAG",VLOOKUP(C345,COMPOSIÇÃO,2,FALSE),VLOOKUP(C345,'NAO DESO'!A:B,2,FALSE))</f>
        <v>ELETRODUTO RÍGIDO ROSCÁVEL, PVC, DN 85 MM (3"), PARA REDE ENTERRADA DE DISTRIBUIÇÃO DE ENERGIA ELÉTRICA - FORNECIMENTO E INSTALAÇÃO. AF_12/2021</v>
      </c>
      <c r="E345" s="76" t="str">
        <f>IF(B345="SEPLAG",VLOOKUP(C345,UNIDADE,3,FALSE),VLOOKUP(C345,'NAO DESO'!A:C,3,FALSE))</f>
        <v>M</v>
      </c>
      <c r="F345" s="713">
        <f>'MEM CAL'!F308</f>
        <v>29</v>
      </c>
      <c r="G345" s="714" t="str">
        <f>IF(B345="SEPLAG",VLOOKUP(CONCATENATE("TOTAL DO ITEM NÃO DESON. - ",C345),BASE01,8,FALSE),VLOOKUP(C345,'NAO DESO'!A:D,4,FALSE))</f>
        <v>36,19</v>
      </c>
      <c r="H345" s="715">
        <f t="shared" si="85"/>
        <v>44.23</v>
      </c>
      <c r="I345" s="715">
        <f t="shared" si="86"/>
        <v>1282.67</v>
      </c>
      <c r="J345" s="715" t="str">
        <f>IF(B345="SEPLAG",VLOOKUP(CONCATENATE("TOTAL DO ITEM DESON. - ",C345),BASE02,10,FALSE),VLOOKUP(C345,DESON!A:D,4,FALSE))</f>
        <v>35,51</v>
      </c>
      <c r="K345" s="715">
        <f t="shared" si="87"/>
        <v>45.576259363451754</v>
      </c>
      <c r="L345" s="715">
        <f t="shared" si="88"/>
        <v>1321.71</v>
      </c>
    </row>
    <row r="346" spans="1:12" s="716" customFormat="1" ht="42.75">
      <c r="A346" s="77" t="s">
        <v>14537</v>
      </c>
      <c r="B346" s="75" t="s">
        <v>79</v>
      </c>
      <c r="C346" s="45">
        <v>91865</v>
      </c>
      <c r="D346" s="712" t="str">
        <f>IF(B346="SEPLAG",VLOOKUP(C346,COMPOSIÇÃO,2,FALSE),VLOOKUP(C346,'NAO DESO'!A:B,2,FALSE))</f>
        <v>ELETRODUTO RÍGIDO ROSCÁVEL, PVC, DN 40 MM (1 1/4"), PARA CIRCUITOS TERMINAIS, INSTALADO EM FORRO - FORNECIMENTO E INSTALAÇÃO. AF_12/2015</v>
      </c>
      <c r="E346" s="76" t="str">
        <f>IF(B346="SEPLAG",VLOOKUP(C346,UNIDADE,3,FALSE),VLOOKUP(C346,'NAO DESO'!A:C,3,FALSE))</f>
        <v>M</v>
      </c>
      <c r="F346" s="713">
        <f>'MEM CAL'!F309</f>
        <v>19.3</v>
      </c>
      <c r="G346" s="714" t="str">
        <f>IF(B346="SEPLAG",VLOOKUP(CONCATENATE("TOTAL DO ITEM NÃO DESON. - ",C346),BASE01,8,FALSE),VLOOKUP(C346,'NAO DESO'!A:D,4,FALSE))</f>
        <v>16,48</v>
      </c>
      <c r="H346" s="715">
        <f t="shared" si="85"/>
        <v>20.14</v>
      </c>
      <c r="I346" s="715">
        <f t="shared" si="86"/>
        <v>388.7</v>
      </c>
      <c r="J346" s="715" t="str">
        <f>IF(B346="SEPLAG",VLOOKUP(CONCATENATE("TOTAL DO ITEM DESON. - ",C346),BASE02,10,FALSE),VLOOKUP(C346,DESON!A:D,4,FALSE))</f>
        <v>15,76</v>
      </c>
      <c r="K346" s="715">
        <f t="shared" si="87"/>
        <v>20.227593567107849</v>
      </c>
      <c r="L346" s="715">
        <f t="shared" si="88"/>
        <v>390.39</v>
      </c>
    </row>
    <row r="347" spans="1:12" s="716" customFormat="1" ht="42.75">
      <c r="A347" s="77" t="s">
        <v>14538</v>
      </c>
      <c r="B347" s="75" t="s">
        <v>79</v>
      </c>
      <c r="C347" s="45">
        <v>91868</v>
      </c>
      <c r="D347" s="712" t="str">
        <f>IF(B347="SEPLAG",VLOOKUP(C347,COMPOSIÇÃO,2,FALSE),VLOOKUP(C347,'NAO DESO'!A:B,2,FALSE))</f>
        <v>ELETRODUTO RÍGIDO ROSCÁVEL, PVC, DN 32 MM (1"), PARA CIRCUITOS TERMINAIS, INSTALADO EM LAJE - FORNECIMENTO E INSTALAÇÃO. AF_12/2015</v>
      </c>
      <c r="E347" s="76" t="str">
        <f>IF(B347="SEPLAG",VLOOKUP(C347,UNIDADE,3,FALSE),VLOOKUP(C347,'NAO DESO'!A:C,3,FALSE))</f>
        <v>M</v>
      </c>
      <c r="F347" s="713">
        <f>'MEM CAL'!F310</f>
        <v>59.1</v>
      </c>
      <c r="G347" s="714" t="str">
        <f>IF(B347="SEPLAG",VLOOKUP(CONCATENATE("TOTAL DO ITEM NÃO DESON. - ",C347),BASE01,8,FALSE),VLOOKUP(C347,'NAO DESO'!A:D,4,FALSE))</f>
        <v>11,16</v>
      </c>
      <c r="H347" s="715">
        <f t="shared" si="85"/>
        <v>13.64</v>
      </c>
      <c r="I347" s="715">
        <f t="shared" si="86"/>
        <v>806.12</v>
      </c>
      <c r="J347" s="715" t="str">
        <f>IF(B347="SEPLAG",VLOOKUP(CONCATENATE("TOTAL DO ITEM DESON. - ",C347),BASE02,10,FALSE),VLOOKUP(C347,DESON!A:D,4,FALSE))</f>
        <v>10,66</v>
      </c>
      <c r="K347" s="715">
        <f t="shared" si="87"/>
        <v>13.681862146279801</v>
      </c>
      <c r="L347" s="715">
        <f t="shared" si="88"/>
        <v>808.59</v>
      </c>
    </row>
    <row r="348" spans="1:12" s="716" customFormat="1" ht="42.75">
      <c r="A348" s="77" t="s">
        <v>14539</v>
      </c>
      <c r="B348" s="75" t="s">
        <v>79</v>
      </c>
      <c r="C348" s="45">
        <v>91867</v>
      </c>
      <c r="D348" s="712" t="str">
        <f>IF(B348="SEPLAG",VLOOKUP(C348,COMPOSIÇÃO,2,FALSE),VLOOKUP(C348,'NAO DESO'!A:B,2,FALSE))</f>
        <v>ELETRODUTO RÍGIDO ROSCÁVEL, PVC, DN 25 MM (3/4"), PARA CIRCUITOS TERMINAIS, INSTALADO EM LAJE - FORNECIMENTO E INSTALAÇÃO. AF_12/2015</v>
      </c>
      <c r="E348" s="76" t="str">
        <f>IF(B348="SEPLAG",VLOOKUP(C348,UNIDADE,3,FALSE),VLOOKUP(C348,'NAO DESO'!A:C,3,FALSE))</f>
        <v>M</v>
      </c>
      <c r="F348" s="713">
        <f>'MEM CAL'!F311</f>
        <v>218</v>
      </c>
      <c r="G348" s="714" t="str">
        <f>IF(B348="SEPLAG",VLOOKUP(CONCATENATE("TOTAL DO ITEM NÃO DESON. - ",C348),BASE01,8,FALSE),VLOOKUP(C348,'NAO DESO'!A:D,4,FALSE))</f>
        <v>7,96</v>
      </c>
      <c r="H348" s="715">
        <f t="shared" si="85"/>
        <v>9.7200000000000006</v>
      </c>
      <c r="I348" s="715">
        <f t="shared" si="86"/>
        <v>2118.96</v>
      </c>
      <c r="J348" s="715" t="str">
        <f>IF(B348="SEPLAG",VLOOKUP(CONCATENATE("TOTAL DO ITEM DESON. - ",C348),BASE02,10,FALSE),VLOOKUP(C348,DESON!A:D,4,FALSE))</f>
        <v>7,55</v>
      </c>
      <c r="K348" s="715">
        <f t="shared" si="87"/>
        <v>9.6902494563238744</v>
      </c>
      <c r="L348" s="715">
        <f t="shared" si="88"/>
        <v>2112.4699999999998</v>
      </c>
    </row>
    <row r="349" spans="1:12" s="716" customFormat="1" ht="28.5">
      <c r="A349" s="77" t="s">
        <v>14540</v>
      </c>
      <c r="B349" s="75" t="s">
        <v>79</v>
      </c>
      <c r="C349" s="45">
        <v>97599</v>
      </c>
      <c r="D349" s="712" t="str">
        <f>IF(B349="SEPLAG",VLOOKUP(C349,COMPOSIÇÃO,2,FALSE),VLOOKUP(C349,'NAO DESO'!A:B,2,FALSE))</f>
        <v>LUMINÁRIA DE EMERGÊNCIA, COM 30 LÂMPADAS LED DE 2 W, SEM REATOR - FORNECIMENTO E INSTALAÇÃO. AF_02/2020</v>
      </c>
      <c r="E349" s="76" t="str">
        <f>IF(B349="SEPLAG",VLOOKUP(C349,UNIDADE,3,FALSE),VLOOKUP(C349,'NAO DESO'!A:C,3,FALSE))</f>
        <v>UN</v>
      </c>
      <c r="F349" s="713">
        <f>'MEM CAL'!F312</f>
        <v>9</v>
      </c>
      <c r="G349" s="714" t="str">
        <f>IF(B349="SEPLAG",VLOOKUP(CONCATENATE("TOTAL DO ITEM NÃO DESON. - ",C349),BASE01,8,FALSE),VLOOKUP(C349,'NAO DESO'!A:D,4,FALSE))</f>
        <v>23,86</v>
      </c>
      <c r="H349" s="715">
        <f t="shared" si="85"/>
        <v>29.16</v>
      </c>
      <c r="I349" s="715">
        <f t="shared" si="86"/>
        <v>262.44</v>
      </c>
      <c r="J349" s="715" t="str">
        <f>IF(B349="SEPLAG",VLOOKUP(CONCATENATE("TOTAL DO ITEM DESON. - ",C349),BASE02,10,FALSE),VLOOKUP(C349,DESON!A:D,4,FALSE))</f>
        <v>23,32</v>
      </c>
      <c r="K349" s="715">
        <f t="shared" si="87"/>
        <v>29.930677790923543</v>
      </c>
      <c r="L349" s="715">
        <f t="shared" si="88"/>
        <v>269.37</v>
      </c>
    </row>
    <row r="350" spans="1:12" s="716" customFormat="1" ht="28.5">
      <c r="A350" s="77" t="s">
        <v>14541</v>
      </c>
      <c r="B350" s="75" t="s">
        <v>14504</v>
      </c>
      <c r="C350" s="45" t="s">
        <v>14553</v>
      </c>
      <c r="D350" s="712" t="str">
        <f>IF(B350="SEPLAG",VLOOKUP(C350,COMPOSIÇÃO,2,FALSE),VLOOKUP(C350,'NAO DESO'!A:B,2,FALSE))</f>
        <v>Luminária LED SLIM de Sobrepor, MARCA AVANT OU SIMILAR. FORNECIMENTO E INSTALAÇÃO.</v>
      </c>
      <c r="E350" s="76" t="str">
        <f>IF(B350="SEPLAG",VLOOKUP(C350,UNIDADE,3,FALSE),VLOOKUP(C350,'NAO DESO'!A:C,3,FALSE))</f>
        <v>UND</v>
      </c>
      <c r="F350" s="713">
        <f>'MEM CAL'!F313</f>
        <v>42</v>
      </c>
      <c r="G350" s="714">
        <f>IF(B350="SEPLAG",VLOOKUP(CONCATENATE("TOTAL DO ITEM NÃO DESON. - ",C350),BASE01,8,FALSE),VLOOKUP(C350,'NAO DESO'!A:D,4,FALSE))</f>
        <v>62.25</v>
      </c>
      <c r="H350" s="715">
        <f t="shared" si="85"/>
        <v>76.08</v>
      </c>
      <c r="I350" s="715">
        <f t="shared" si="86"/>
        <v>3195.36</v>
      </c>
      <c r="J350" s="715">
        <f>IF(B350="SEPLAG",VLOOKUP(CONCATENATE("TOTAL DO ITEM DESON. - ",C350),BASE02,10,FALSE),VLOOKUP(C350,DESON!A:D,4,FALSE))</f>
        <v>60.89</v>
      </c>
      <c r="K350" s="715">
        <f t="shared" si="87"/>
        <v>78.150899257690156</v>
      </c>
      <c r="L350" s="715">
        <f t="shared" si="88"/>
        <v>3282.33</v>
      </c>
    </row>
    <row r="351" spans="1:12" s="716" customFormat="1" ht="28.5">
      <c r="A351" s="77" t="s">
        <v>14542</v>
      </c>
      <c r="B351" s="75" t="s">
        <v>14504</v>
      </c>
      <c r="C351" s="45" t="s">
        <v>14557</v>
      </c>
      <c r="D351" s="712" t="str">
        <f>IF(B351="SEPLAG",VLOOKUP(C351,COMPOSIÇÃO,2,FALSE),VLOOKUP(C351,'NAO DESO'!A:B,2,FALSE))</f>
        <v>Luminária LED externa,Refletor LED 100W. FORNECIMENTO E INSTALAÇÃO.</v>
      </c>
      <c r="E351" s="76" t="str">
        <f>IF(B351="SEPLAG",VLOOKUP(C351,UNIDADE,3,FALSE),VLOOKUP(C351,'NAO DESO'!A:C,3,FALSE))</f>
        <v>UND</v>
      </c>
      <c r="F351" s="713">
        <f>'MEM CAL'!F314</f>
        <v>7</v>
      </c>
      <c r="G351" s="714">
        <f>IF(B351="SEPLAG",VLOOKUP(CONCATENATE("TOTAL DO ITEM NÃO DESON. - ",C351),BASE01,8,FALSE),VLOOKUP(C351,'NAO DESO'!A:D,4,FALSE))</f>
        <v>136.27000000000001</v>
      </c>
      <c r="H351" s="715">
        <f t="shared" si="85"/>
        <v>166.55</v>
      </c>
      <c r="I351" s="715">
        <f t="shared" si="86"/>
        <v>1165.8499999999999</v>
      </c>
      <c r="J351" s="715">
        <f>IF(B351="SEPLAG",VLOOKUP(CONCATENATE("TOTAL DO ITEM DESON. - ",C351),BASE02,10,FALSE),VLOOKUP(C351,DESON!A:D,4,FALSE))</f>
        <v>134.91</v>
      </c>
      <c r="K351" s="715">
        <f t="shared" si="87"/>
        <v>173.15384823213958</v>
      </c>
      <c r="L351" s="715">
        <f t="shared" si="88"/>
        <v>1212.07</v>
      </c>
    </row>
    <row r="352" spans="1:12" s="716" customFormat="1" ht="28.5">
      <c r="A352" s="77" t="s">
        <v>14565</v>
      </c>
      <c r="B352" s="75" t="s">
        <v>14504</v>
      </c>
      <c r="C352" s="45" t="s">
        <v>14559</v>
      </c>
      <c r="D352" s="712" t="str">
        <f>IF(B352="SEPLAG",VLOOKUP(C352,COMPOSIÇÃO,2,FALSE),VLOOKUP(C352,'NAO DESO'!A:B,2,FALSE))</f>
        <v>Luminária LED externa,Refletor LED 150W. FORNECIMENTO E INSTALAÇÃO.</v>
      </c>
      <c r="E352" s="76" t="str">
        <f>IF(B352="SEPLAG",VLOOKUP(C352,UNIDADE,3,FALSE),VLOOKUP(C352,'NAO DESO'!A:C,3,FALSE))</f>
        <v>UND</v>
      </c>
      <c r="F352" s="713">
        <f>'MEM CAL'!F315</f>
        <v>11</v>
      </c>
      <c r="G352" s="714">
        <f>IF(B352="SEPLAG",VLOOKUP(CONCATENATE("TOTAL DO ITEM NÃO DESON. - ",C352),BASE01,8,FALSE),VLOOKUP(C352,'NAO DESO'!A:D,4,FALSE))</f>
        <v>292.90999999999997</v>
      </c>
      <c r="H352" s="715">
        <f t="shared" si="85"/>
        <v>358.01</v>
      </c>
      <c r="I352" s="715">
        <f t="shared" si="86"/>
        <v>3938.11</v>
      </c>
      <c r="J352" s="715">
        <f>IF(B352="SEPLAG",VLOOKUP(CONCATENATE("TOTAL DO ITEM DESON. - ",C352),BASE02,10,FALSE),VLOOKUP(C352,DESON!A:D,4,FALSE))</f>
        <v>291.54999999999995</v>
      </c>
      <c r="K352" s="715">
        <f t="shared" si="87"/>
        <v>374.19764622400334</v>
      </c>
      <c r="L352" s="715">
        <f t="shared" si="88"/>
        <v>4116.17</v>
      </c>
    </row>
    <row r="353" spans="1:12" s="716" customFormat="1" ht="28.5">
      <c r="A353" s="77" t="s">
        <v>14566</v>
      </c>
      <c r="B353" s="75" t="s">
        <v>14504</v>
      </c>
      <c r="C353" s="45" t="s">
        <v>14596</v>
      </c>
      <c r="D353" s="712" t="str">
        <f>IF(B353="SEPLAG",VLOOKUP(C353,COMPOSIÇÃO,2,FALSE),VLOOKUP(C353,'NAO DESO'!A:B,2,FALSE))</f>
        <v>FONTE 12V METALICA COLMEIA 25A 300W. FORNECIMENTO E INSTALAÇÃO.</v>
      </c>
      <c r="E353" s="76" t="str">
        <f>IF(B353="SEPLAG",VLOOKUP(C353,UNIDADE,3,FALSE),VLOOKUP(C353,'NAO DESO'!A:C,3,FALSE))</f>
        <v>UND</v>
      </c>
      <c r="F353" s="713">
        <f>'MEM CAL'!F316</f>
        <v>41</v>
      </c>
      <c r="G353" s="714">
        <f>IF(B353="SEPLAG",VLOOKUP(CONCATENATE("TOTAL DO ITEM NÃO DESON. - ",C353),BASE01,8,FALSE),VLOOKUP(C353,'NAO DESO'!A:D,4,FALSE))</f>
        <v>182.86</v>
      </c>
      <c r="H353" s="715">
        <f t="shared" si="85"/>
        <v>223.5</v>
      </c>
      <c r="I353" s="715">
        <f t="shared" si="86"/>
        <v>9163.5</v>
      </c>
      <c r="J353" s="715">
        <f>IF(B353="SEPLAG",VLOOKUP(CONCATENATE("TOTAL DO ITEM DESON. - ",C353),BASE02,10,FALSE),VLOOKUP(C353,DESON!A:D,4,FALSE))</f>
        <v>181.5</v>
      </c>
      <c r="K353" s="715">
        <f t="shared" si="87"/>
        <v>232.95102997652756</v>
      </c>
      <c r="L353" s="715">
        <f t="shared" si="88"/>
        <v>9550.99</v>
      </c>
    </row>
    <row r="354" spans="1:12" s="716" customFormat="1" ht="42.75">
      <c r="A354" s="77" t="s">
        <v>14567</v>
      </c>
      <c r="B354" s="75" t="s">
        <v>79</v>
      </c>
      <c r="C354" s="45">
        <v>97891</v>
      </c>
      <c r="D354" s="712" t="str">
        <f>IF(B354="SEPLAG",VLOOKUP(C354,COMPOSIÇÃO,2,FALSE),VLOOKUP(C354,'NAO DESO'!A:B,2,FALSE))</f>
        <v>CAIXA ENTERRADA ELÉTRICA RETANGULAR, EM ALVENARIA COM BLOCOS DE CONCRETO, FUNDO COM BRITA, DIMENSÕES INTERNAS: 0,4X0,4X0,4 M. AF_12/2020</v>
      </c>
      <c r="E354" s="76" t="str">
        <f>IF(B354="SEPLAG",VLOOKUP(C354,UNIDADE,3,FALSE),VLOOKUP(C354,'NAO DESO'!A:C,3,FALSE))</f>
        <v>UN</v>
      </c>
      <c r="F354" s="713">
        <f>'MEM CAL'!F317</f>
        <v>16</v>
      </c>
      <c r="G354" s="714" t="str">
        <f>IF(B354="SEPLAG",VLOOKUP(CONCATENATE("TOTAL DO ITEM NÃO DESON. - ",C354),BASE01,8,FALSE),VLOOKUP(C354,'NAO DESO'!A:D,4,FALSE))</f>
        <v>180,39</v>
      </c>
      <c r="H354" s="715">
        <f t="shared" si="85"/>
        <v>220.48</v>
      </c>
      <c r="I354" s="715">
        <f t="shared" si="86"/>
        <v>3527.68</v>
      </c>
      <c r="J354" s="715" t="str">
        <f>IF(B354="SEPLAG",VLOOKUP(CONCATENATE("TOTAL DO ITEM DESON. - ",C354),BASE02,10,FALSE),VLOOKUP(C354,DESON!A:D,4,FALSE))</f>
        <v>169,02</v>
      </c>
      <c r="K354" s="715">
        <f t="shared" si="87"/>
        <v>216.93324014673658</v>
      </c>
      <c r="L354" s="715">
        <f t="shared" si="88"/>
        <v>3470.93</v>
      </c>
    </row>
    <row r="355" spans="1:12" s="716" customFormat="1" ht="42.75">
      <c r="A355" s="77" t="s">
        <v>14714</v>
      </c>
      <c r="B355" s="75" t="s">
        <v>79</v>
      </c>
      <c r="C355" s="45">
        <v>93008</v>
      </c>
      <c r="D355" s="712" t="str">
        <f>IF(B355="SEPLAG",VLOOKUP(C355,COMPOSIÇÃO,2,FALSE),VLOOKUP(C355,'NAO DESO'!A:B,2,FALSE))</f>
        <v>ELETRODUTO RÍGIDO ROSCÁVEL, PVC, DN 50 MM (1 1/2"), PARA REDE ENTERRADA DE DISTRIBUIÇÃO DE ENERGIA ELÉTRICA - FORNECIMENTO E INSTALAÇÃO. AF_12/2021</v>
      </c>
      <c r="E355" s="76" t="str">
        <f>IF(B355="SEPLAG",VLOOKUP(C355,UNIDADE,3,FALSE),VLOOKUP(C355,'NAO DESO'!A:C,3,FALSE))</f>
        <v>M</v>
      </c>
      <c r="F355" s="713">
        <f>'MEM CAL'!F318</f>
        <v>25</v>
      </c>
      <c r="G355" s="714" t="str">
        <f>IF(B355="SEPLAG",VLOOKUP(CONCATENATE("TOTAL DO ITEM NÃO DESON. - ",C355),BASE01,8,FALSE),VLOOKUP(C355,'NAO DESO'!A:D,4,FALSE))</f>
        <v>14,23</v>
      </c>
      <c r="H355" s="715">
        <f t="shared" si="85"/>
        <v>17.39</v>
      </c>
      <c r="I355" s="715">
        <f t="shared" si="86"/>
        <v>434.75</v>
      </c>
      <c r="J355" s="715" t="str">
        <f>IF(B355="SEPLAG",VLOOKUP(CONCATENATE("TOTAL DO ITEM DESON. - ",C355),BASE02,10,FALSE),VLOOKUP(C355,DESON!A:D,4,FALSE))</f>
        <v>13,79</v>
      </c>
      <c r="K355" s="715">
        <f t="shared" si="87"/>
        <v>17.699144371219365</v>
      </c>
      <c r="L355" s="715">
        <f t="shared" si="88"/>
        <v>442.47</v>
      </c>
    </row>
    <row r="356" spans="1:12" s="716" customFormat="1" ht="42.75">
      <c r="A356" s="77" t="s">
        <v>14715</v>
      </c>
      <c r="B356" s="75" t="s">
        <v>79</v>
      </c>
      <c r="C356" s="45">
        <v>93010</v>
      </c>
      <c r="D356" s="712" t="str">
        <f>IF(B356="SEPLAG",VLOOKUP(C356,COMPOSIÇÃO,2,FALSE),VLOOKUP(C356,'NAO DESO'!A:B,2,FALSE))</f>
        <v>ELETRODUTO RÍGIDO ROSCÁVEL, PVC, DN 75 MM (2 1/2"), PARA REDE ENTERRADA DE DISTRIBUIÇÃO DE ENERGIA ELÉTRICA - FORNECIMENTO E INSTALAÇÃO. AF_12/2021</v>
      </c>
      <c r="E356" s="76" t="str">
        <f>IF(B356="SEPLAG",VLOOKUP(C356,UNIDADE,3,FALSE),VLOOKUP(C356,'NAO DESO'!A:C,3,FALSE))</f>
        <v>M</v>
      </c>
      <c r="F356" s="713">
        <f>'MEM CAL'!F319</f>
        <v>6</v>
      </c>
      <c r="G356" s="714" t="str">
        <f>IF(B356="SEPLAG",VLOOKUP(CONCATENATE("TOTAL DO ITEM NÃO DESON. - ",C356),BASE01,8,FALSE),VLOOKUP(C356,'NAO DESO'!A:D,4,FALSE))</f>
        <v>29,55</v>
      </c>
      <c r="H356" s="715">
        <f t="shared" si="85"/>
        <v>36.11</v>
      </c>
      <c r="I356" s="715">
        <f t="shared" si="86"/>
        <v>216.66</v>
      </c>
      <c r="J356" s="715" t="str">
        <f>IF(B356="SEPLAG",VLOOKUP(CONCATENATE("TOTAL DO ITEM DESON. - ",C356),BASE02,10,FALSE),VLOOKUP(C356,DESON!A:D,4,FALSE))</f>
        <v>28,94</v>
      </c>
      <c r="K356" s="715">
        <f t="shared" si="87"/>
        <v>37.143817121326215</v>
      </c>
      <c r="L356" s="715">
        <f t="shared" si="88"/>
        <v>222.86</v>
      </c>
    </row>
    <row r="357" spans="1:12" s="716" customFormat="1" ht="42.75">
      <c r="A357" s="77" t="s">
        <v>14723</v>
      </c>
      <c r="B357" s="75" t="s">
        <v>79</v>
      </c>
      <c r="C357" s="45">
        <v>97892</v>
      </c>
      <c r="D357" s="712" t="str">
        <f>IF(B357="SEPLAG",VLOOKUP(C357,COMPOSIÇÃO,2,FALSE),VLOOKUP(C357,'NAO DESO'!A:B,2,FALSE))</f>
        <v>CAIXA ENTERRADA ELÉTRICA RETANGULAR, EM ALVENARIA COM BLOCOS DE CONCRETO, FUNDO COM BRITA, DIMENSÕES INTERNAS: 0,6X0,6X0,6 M. AF_12/2020</v>
      </c>
      <c r="E357" s="76" t="str">
        <f>IF(B357="SEPLAG",VLOOKUP(C357,UNIDADE,3,FALSE),VLOOKUP(C357,'NAO DESO'!A:C,3,FALSE))</f>
        <v>UN</v>
      </c>
      <c r="F357" s="713">
        <f>'MEM CAL'!F320</f>
        <v>2</v>
      </c>
      <c r="G357" s="714" t="str">
        <f>IF(B357="SEPLAG",VLOOKUP(CONCATENATE("TOTAL DO ITEM NÃO DESON. - ",C357),BASE01,8,FALSE),VLOOKUP(C357,'NAO DESO'!A:D,4,FALSE))</f>
        <v>339,16</v>
      </c>
      <c r="H357" s="715">
        <f t="shared" si="85"/>
        <v>414.54</v>
      </c>
      <c r="I357" s="715">
        <f t="shared" si="86"/>
        <v>829.08</v>
      </c>
      <c r="J357" s="715" t="str">
        <f>IF(B357="SEPLAG",VLOOKUP(CONCATENATE("TOTAL DO ITEM DESON. - ",C357),BASE02,10,FALSE),VLOOKUP(C357,DESON!A:D,4,FALSE))</f>
        <v>318,77</v>
      </c>
      <c r="K357" s="715">
        <f t="shared" si="87"/>
        <v>409.13388333673657</v>
      </c>
      <c r="L357" s="715">
        <f t="shared" si="88"/>
        <v>818.26</v>
      </c>
    </row>
    <row r="358" spans="1:12" s="716" customFormat="1" ht="28.5">
      <c r="A358" s="77" t="s">
        <v>14724</v>
      </c>
      <c r="B358" s="75" t="s">
        <v>14504</v>
      </c>
      <c r="C358" s="45" t="s">
        <v>13155</v>
      </c>
      <c r="D358" s="712" t="str">
        <f>IF(B358="SEPLAG",VLOOKUP(C358,COMPOSIÇÃO,2,FALSE),VLOOKUP(C358,'NAO DESO'!A:B,2,FALSE))</f>
        <v>CONVERSOR BALUM RJ45/P4, FORNECIMENTO E INSTALAÇÃO.</v>
      </c>
      <c r="E358" s="76" t="str">
        <f>IF(B358="SEPLAG",VLOOKUP(C358,UNIDADE,3,FALSE),VLOOKUP(C358,'NAO DESO'!A:C,3,FALSE))</f>
        <v>UND</v>
      </c>
      <c r="F358" s="713">
        <f>'MEM CAL'!F321</f>
        <v>6</v>
      </c>
      <c r="G358" s="714">
        <f>IF(B358="SEPLAG",VLOOKUP(CONCATENATE("TOTAL DO ITEM NÃO DESON. - ",C358),BASE01,8,FALSE),VLOOKUP(C358,'NAO DESO'!A:D,4,FALSE))</f>
        <v>56.94</v>
      </c>
      <c r="H358" s="715">
        <f t="shared" si="85"/>
        <v>69.59</v>
      </c>
      <c r="I358" s="715">
        <f t="shared" si="86"/>
        <v>417.54</v>
      </c>
      <c r="J358" s="715">
        <f>IF(B358="SEPLAG",VLOOKUP(CONCATENATE("TOTAL DO ITEM DESON. - ",C358),BASE02,10,FALSE),VLOOKUP(C358,DESON!A:D,4,FALSE))</f>
        <v>56.73</v>
      </c>
      <c r="K358" s="715">
        <f t="shared" si="87"/>
        <v>72.811635981093161</v>
      </c>
      <c r="L358" s="715">
        <f t="shared" si="88"/>
        <v>436.86</v>
      </c>
    </row>
    <row r="359" spans="1:12" s="716" customFormat="1" ht="28.5">
      <c r="A359" s="77" t="s">
        <v>14725</v>
      </c>
      <c r="B359" s="75" t="s">
        <v>14504</v>
      </c>
      <c r="C359" s="45" t="s">
        <v>13316</v>
      </c>
      <c r="D359" s="712" t="str">
        <f>IF(B359="SEPLAG",VLOOKUP(C359,COMPOSIÇÃO,2,FALSE),VLOOKUP(C359,'NAO DESO'!A:B,2,FALSE))</f>
        <v>PATCH CORD 5,0M CAT 6, FORNECIMENTO E INSTALAÇÃO.</v>
      </c>
      <c r="E359" s="76" t="str">
        <f>IF(B359="SEPLAG",VLOOKUP(C359,UNIDADE,3,FALSE),VLOOKUP(C359,'NAO DESO'!A:C,3,FALSE))</f>
        <v>UND</v>
      </c>
      <c r="F359" s="713">
        <f>'MEM CAL'!F322</f>
        <v>16</v>
      </c>
      <c r="G359" s="714">
        <f>IF(B359="SEPLAG",VLOOKUP(CONCATENATE("TOTAL DO ITEM NÃO DESON. - ",C359),BASE01,8,FALSE),VLOOKUP(C359,'NAO DESO'!A:D,4,FALSE))</f>
        <v>26.63</v>
      </c>
      <c r="H359" s="715">
        <f t="shared" si="85"/>
        <v>32.54</v>
      </c>
      <c r="I359" s="715">
        <f t="shared" si="86"/>
        <v>520.64</v>
      </c>
      <c r="J359" s="715">
        <f>IF(B359="SEPLAG",VLOOKUP(CONCATENATE("TOTAL DO ITEM DESON. - ",C359),BASE02,10,FALSE),VLOOKUP(C359,DESON!A:D,4,FALSE))</f>
        <v>26.46</v>
      </c>
      <c r="K359" s="715">
        <f t="shared" si="87"/>
        <v>33.960794783354928</v>
      </c>
      <c r="L359" s="715">
        <f t="shared" si="88"/>
        <v>543.37</v>
      </c>
    </row>
    <row r="360" spans="1:12" s="716" customFormat="1" ht="28.5">
      <c r="A360" s="77" t="s">
        <v>14726</v>
      </c>
      <c r="B360" s="75" t="s">
        <v>14504</v>
      </c>
      <c r="C360" s="45" t="s">
        <v>7197</v>
      </c>
      <c r="D360" s="712" t="str">
        <f>IF(B360="SEPLAG",VLOOKUP(C360,COMPOSIÇÃO,2,FALSE),VLOOKUP(C360,'NAO DESO'!A:B,2,FALSE))</f>
        <v xml:space="preserve"> PATCH PANEL 24 PORTAS, CATEGORIA "6" FURUKAWA, FORNECIMENTO E INSTALAÇÃO</v>
      </c>
      <c r="E360" s="76" t="str">
        <f>IF(B360="SEPLAG",VLOOKUP(C360,UNIDADE,3,FALSE),VLOOKUP(C360,'NAO DESO'!A:C,3,FALSE))</f>
        <v>UND</v>
      </c>
      <c r="F360" s="713">
        <f>'MEM CAL'!F323</f>
        <v>1</v>
      </c>
      <c r="G360" s="714">
        <f>IF(B360="SEPLAG",VLOOKUP(CONCATENATE("TOTAL DO ITEM NÃO DESON. - ",C360),BASE01,8,FALSE),VLOOKUP(C360,'NAO DESO'!A:D,4,FALSE))</f>
        <v>1236.75</v>
      </c>
      <c r="H360" s="715">
        <f t="shared" si="85"/>
        <v>1511.63</v>
      </c>
      <c r="I360" s="715">
        <f t="shared" si="86"/>
        <v>1511.63</v>
      </c>
      <c r="J360" s="715">
        <f>IF(B360="SEPLAG",VLOOKUP(CONCATENATE("TOTAL DO ITEM DESON. - ",C360),BASE02,10,FALSE),VLOOKUP(C360,DESON!A:D,4,FALSE))</f>
        <v>1220.79</v>
      </c>
      <c r="K360" s="715">
        <f t="shared" si="87"/>
        <v>1566.8555806338572</v>
      </c>
      <c r="L360" s="715">
        <f t="shared" si="88"/>
        <v>1566.85</v>
      </c>
    </row>
    <row r="361" spans="1:12" s="716" customFormat="1" ht="28.5">
      <c r="A361" s="77" t="s">
        <v>14727</v>
      </c>
      <c r="B361" s="75" t="s">
        <v>14504</v>
      </c>
      <c r="C361" s="45" t="s">
        <v>13337</v>
      </c>
      <c r="D361" s="712" t="str">
        <f>IF(B361="SEPLAG",VLOOKUP(C361,COMPOSIÇÃO,2,FALSE),VLOOKUP(C361,'NAO DESO'!A:B,2,FALSE))</f>
        <v>CABO UTP 4 PARES CAT 6, FORNECIMENTO E INSTALAÇÃO.</v>
      </c>
      <c r="E361" s="76" t="str">
        <f>IF(B361="SEPLAG",VLOOKUP(C361,UNIDADE,3,FALSE),VLOOKUP(C361,'NAO DESO'!A:C,3,FALSE))</f>
        <v>M</v>
      </c>
      <c r="F361" s="713">
        <f>'MEM CAL'!F324</f>
        <v>161</v>
      </c>
      <c r="G361" s="714">
        <f>IF(B361="SEPLAG",VLOOKUP(CONCATENATE("TOTAL DO ITEM NÃO DESON. - ",C361),BASE01,8,FALSE),VLOOKUP(C361,'NAO DESO'!A:D,4,FALSE))</f>
        <v>10.06</v>
      </c>
      <c r="H361" s="715">
        <f t="shared" si="85"/>
        <v>12.29</v>
      </c>
      <c r="I361" s="715">
        <f t="shared" si="86"/>
        <v>1978.69</v>
      </c>
      <c r="J361" s="715">
        <f>IF(B361="SEPLAG",VLOOKUP(CONCATENATE("TOTAL DO ITEM DESON. - ",C361),BASE02,10,FALSE),VLOOKUP(C361,DESON!A:D,4,FALSE))</f>
        <v>9.5</v>
      </c>
      <c r="K361" s="715">
        <f t="shared" si="87"/>
        <v>12.193029117228715</v>
      </c>
      <c r="L361" s="715">
        <f t="shared" si="88"/>
        <v>1963.07</v>
      </c>
    </row>
    <row r="362" spans="1:12" s="716" customFormat="1" ht="42.75">
      <c r="A362" s="77" t="s">
        <v>14731</v>
      </c>
      <c r="B362" s="75" t="s">
        <v>79</v>
      </c>
      <c r="C362" s="45">
        <v>101882</v>
      </c>
      <c r="D362" s="712" t="str">
        <f>IF(B362="SEPLAG",VLOOKUP(C362,COMPOSIÇÃO,2,FALSE),VLOOKUP(C362,'NAO DESO'!A:B,2,FALSE))</f>
        <v>QUADRO DE DISTRIBUIÇÃO DE ENERGIA EM CHAPA DE AÇO GALVANIZADO, DE EMBUTIR, COM BARRAMENTO TRIFÁSICO, PARA 30 DISJUNTORES DIN 225A - FORNECIMENTO E INSTALAÇÃO. AF_10/2020</v>
      </c>
      <c r="E362" s="76" t="str">
        <f>IF(B362="SEPLAG",VLOOKUP(C362,UNIDADE,3,FALSE),VLOOKUP(C362,'NAO DESO'!A:C,3,FALSE))</f>
        <v>UN</v>
      </c>
      <c r="F362" s="713">
        <f>'MEM CAL'!F325</f>
        <v>10</v>
      </c>
      <c r="G362" s="714" t="str">
        <f>IF(B362="SEPLAG",VLOOKUP(CONCATENATE("TOTAL DO ITEM NÃO DESON. - ",C362),BASE01,8,FALSE),VLOOKUP(C362,'NAO DESO'!A:D,4,FALSE))</f>
        <v>1.589,62</v>
      </c>
      <c r="H362" s="715">
        <f t="shared" si="85"/>
        <v>1942.93</v>
      </c>
      <c r="I362" s="715">
        <f t="shared" si="86"/>
        <v>19429.3</v>
      </c>
      <c r="J362" s="715" t="str">
        <f>IF(B362="SEPLAG",VLOOKUP(CONCATENATE("TOTAL DO ITEM DESON. - ",C362),BASE02,10,FALSE),VLOOKUP(C362,DESON!A:D,4,FALSE))</f>
        <v>1.586,73</v>
      </c>
      <c r="K362" s="715">
        <f t="shared" si="87"/>
        <v>2036.5310622295074</v>
      </c>
      <c r="L362" s="715">
        <f t="shared" si="88"/>
        <v>20365.310000000001</v>
      </c>
    </row>
    <row r="363" spans="1:12" s="703" customFormat="1">
      <c r="A363" s="725" t="str">
        <f>CONCATENATE("TOTAL DO ITEM &gt;&gt;&gt;&gt;",A337)</f>
        <v>TOTAL DO ITEM &gt;&gt;&gt;&gt;7.3</v>
      </c>
      <c r="B363" s="771"/>
      <c r="C363" s="771"/>
      <c r="D363" s="771"/>
      <c r="E363" s="771"/>
      <c r="F363" s="813"/>
      <c r="G363" s="771"/>
      <c r="H363" s="771"/>
      <c r="I363" s="727">
        <f>SUM(I338:I362)</f>
        <v>84713.840000000011</v>
      </c>
      <c r="J363" s="727"/>
      <c r="K363" s="727"/>
      <c r="L363" s="727">
        <f>SUM(L338:L362)</f>
        <v>86655.17</v>
      </c>
    </row>
    <row r="364" spans="1:12" s="703" customFormat="1">
      <c r="A364" s="699"/>
      <c r="B364" s="127"/>
      <c r="C364" s="127"/>
      <c r="D364" s="127"/>
      <c r="E364" s="127"/>
      <c r="F364" s="127"/>
      <c r="G364" s="127"/>
      <c r="H364" s="127"/>
      <c r="I364" s="818"/>
      <c r="J364" s="818"/>
      <c r="K364" s="818"/>
      <c r="L364" s="819"/>
    </row>
    <row r="365" spans="1:12" s="110" customFormat="1">
      <c r="A365" s="1280" t="str">
        <f>CONCATENATE("TOTAL DO ITEM &gt;&gt;&gt;&gt;",A255)</f>
        <v>TOTAL DO ITEM &gt;&gt;&gt;&gt;7.0</v>
      </c>
      <c r="B365" s="1281"/>
      <c r="C365" s="1281"/>
      <c r="D365" s="1281"/>
      <c r="E365" s="1281"/>
      <c r="F365" s="1281"/>
      <c r="G365" s="1281"/>
      <c r="H365" s="1281"/>
      <c r="I365" s="1282">
        <f>SUM(I269,I335,I363)</f>
        <v>350544.81999999995</v>
      </c>
      <c r="J365" s="1268"/>
      <c r="K365" s="1268"/>
      <c r="L365" s="1282">
        <f>SUM(L269,L335,L363)</f>
        <v>362257.73000000004</v>
      </c>
    </row>
    <row r="366" spans="1:12" s="110" customFormat="1">
      <c r="A366" s="1283"/>
      <c r="B366" s="1242"/>
      <c r="C366" s="1242"/>
      <c r="D366" s="1242"/>
      <c r="E366" s="1242"/>
      <c r="F366" s="1242"/>
      <c r="G366" s="1242"/>
      <c r="H366" s="1242"/>
      <c r="I366" s="1242"/>
      <c r="J366" s="1242"/>
      <c r="K366" s="1242"/>
      <c r="L366" s="1242"/>
    </row>
    <row r="367" spans="1:12" s="110" customFormat="1">
      <c r="A367" s="1248" t="s">
        <v>14032</v>
      </c>
      <c r="B367" s="1284"/>
      <c r="C367" s="1284"/>
      <c r="D367" s="948" t="s">
        <v>7278</v>
      </c>
      <c r="E367" s="1284"/>
      <c r="F367" s="843"/>
      <c r="G367" s="843"/>
      <c r="H367" s="843"/>
      <c r="I367" s="843"/>
      <c r="J367" s="843"/>
      <c r="K367" s="843"/>
      <c r="L367" s="843"/>
    </row>
    <row r="368" spans="1:12" s="642" customFormat="1">
      <c r="A368" s="138" t="s">
        <v>14033</v>
      </c>
      <c r="B368" s="788"/>
      <c r="C368" s="789"/>
      <c r="D368" s="147" t="s">
        <v>13824</v>
      </c>
      <c r="E368" s="721"/>
      <c r="F368" s="820"/>
      <c r="G368" s="821"/>
      <c r="H368" s="723"/>
      <c r="I368" s="822"/>
      <c r="J368" s="823"/>
      <c r="K368" s="823"/>
      <c r="L368" s="823"/>
    </row>
    <row r="369" spans="1:12" ht="28.5">
      <c r="A369" s="77" t="s">
        <v>14034</v>
      </c>
      <c r="B369" s="799" t="s">
        <v>79</v>
      </c>
      <c r="C369" s="45">
        <v>90443</v>
      </c>
      <c r="D369" s="712" t="str">
        <f>IF(B369="SEPLAG",VLOOKUP(C369,COMPOSIÇÃO,2,FALSE),VLOOKUP(C369,'NAO DESO'!A:B,2,FALSE))</f>
        <v>RASGO EM ALVENARIA PARA RAMAIS/ DISTRIBUIÇÃO COM DIAMETROS MENORES OU IGUAIS A 40 MM. AF_05/2015</v>
      </c>
      <c r="E369" s="76" t="str">
        <f>IF(B369="SEPLAG",VLOOKUP(C369,UNIDADE,3,FALSE),VLOOKUP(C369,'NAO DESO'!A:C,3,FALSE))</f>
        <v>M</v>
      </c>
      <c r="F369" s="713">
        <f t="shared" ref="F369:F385" si="89">VLOOKUP(A369,MEMÓRIA,6,FALSE)</f>
        <v>9.3000000000000007</v>
      </c>
      <c r="G369" s="714" t="str">
        <f>IF(B369="SEPLAG",VLOOKUP(CONCATENATE("TOTAL DO ITEM NÃO DESON. - ",C369),BASE01,8,FALSE),VLOOKUP(C369,'NAO DESO'!A:D,4,FALSE))</f>
        <v>10,65</v>
      </c>
      <c r="H369" s="715">
        <f t="shared" ref="H369:H385" si="90">TRUNC(G369+G369*$K$6,2)</f>
        <v>13.01</v>
      </c>
      <c r="I369" s="715">
        <f t="shared" ref="I369:I385" si="91">TRUNC(F369*H369,2)</f>
        <v>120.99</v>
      </c>
      <c r="J369" s="715" t="str">
        <f>IF(B369="SEPLAG",VLOOKUP(CONCATENATE("TOTAL DO ITEM DESON. - ",C369),BASE02,10,FALSE),VLOOKUP(C369,DESON!A:D,4,FALSE))</f>
        <v>9,48</v>
      </c>
      <c r="K369" s="715">
        <f t="shared" ref="K369:K385" si="92">J369+J369*$L$6</f>
        <v>12.167359582245076</v>
      </c>
      <c r="L369" s="715">
        <f t="shared" ref="L369:L385" si="93">TRUNC(F369*K369,2)</f>
        <v>113.15</v>
      </c>
    </row>
    <row r="370" spans="1:12" ht="28.5">
      <c r="A370" s="77" t="s">
        <v>14035</v>
      </c>
      <c r="B370" s="799" t="s">
        <v>79</v>
      </c>
      <c r="C370" s="45">
        <v>90445</v>
      </c>
      <c r="D370" s="712" t="str">
        <f>IF(B370="SEPLAG",VLOOKUP(C370,COMPOSIÇÃO,2,FALSE),VLOOKUP(C370,'NAO DESO'!A:B,2,FALSE))</f>
        <v>RASGO EM CONTRAPISO PARA RAMAIS/ DISTRIBUIÇÃO COM DIÂMETROS MAIORES QUE 40 MM E MENORES OU IGUAIS A 75 MM. AF_05/2015</v>
      </c>
      <c r="E370" s="76" t="str">
        <f>IF(B370="SEPLAG",VLOOKUP(C370,UNIDADE,3,FALSE),VLOOKUP(C370,'NAO DESO'!A:C,3,FALSE))</f>
        <v>M</v>
      </c>
      <c r="F370" s="713">
        <f t="shared" si="89"/>
        <v>1.86</v>
      </c>
      <c r="G370" s="714" t="str">
        <f>IF(B370="SEPLAG",VLOOKUP(CONCATENATE("TOTAL DO ITEM NÃO DESON. - ",C370),BASE01,8,FALSE),VLOOKUP(C370,'NAO DESO'!A:D,4,FALSE))</f>
        <v>21,27</v>
      </c>
      <c r="H370" s="715">
        <f t="shared" si="90"/>
        <v>25.99</v>
      </c>
      <c r="I370" s="715">
        <f t="shared" si="91"/>
        <v>48.34</v>
      </c>
      <c r="J370" s="715" t="str">
        <f>IF(B370="SEPLAG",VLOOKUP(CONCATENATE("TOTAL DO ITEM DESON. - ",C370),BASE02,10,FALSE),VLOOKUP(C370,DESON!A:D,4,FALSE))</f>
        <v>19,16</v>
      </c>
      <c r="K370" s="715">
        <f t="shared" si="92"/>
        <v>24.591414514326548</v>
      </c>
      <c r="L370" s="715">
        <f t="shared" si="93"/>
        <v>45.74</v>
      </c>
    </row>
    <row r="371" spans="1:12" ht="28.5">
      <c r="A371" s="77" t="s">
        <v>14036</v>
      </c>
      <c r="B371" s="799" t="s">
        <v>79</v>
      </c>
      <c r="C371" s="45">
        <v>90446</v>
      </c>
      <c r="D371" s="712" t="str">
        <f>IF(B371="SEPLAG",VLOOKUP(C371,COMPOSIÇÃO,2,FALSE),VLOOKUP(C371,'NAO DESO'!A:B,2,FALSE))</f>
        <v>RASGO EM CONTRAPISO PARA RAMAIS/ DISTRIBUIÇÃO COM DIÂMETROS MAIORES QUE 75 MM. AF_05/2015</v>
      </c>
      <c r="E371" s="76" t="str">
        <f>IF(B371="SEPLAG",VLOOKUP(C371,UNIDADE,3,FALSE),VLOOKUP(C371,'NAO DESO'!A:C,3,FALSE))</f>
        <v>M</v>
      </c>
      <c r="F371" s="713">
        <f t="shared" si="89"/>
        <v>14.12</v>
      </c>
      <c r="G371" s="714" t="str">
        <f>IF(B371="SEPLAG",VLOOKUP(CONCATENATE("TOTAL DO ITEM NÃO DESON. - ",C371),BASE01,8,FALSE),VLOOKUP(C371,'NAO DESO'!A:D,4,FALSE))</f>
        <v>23,10</v>
      </c>
      <c r="H371" s="715">
        <f t="shared" si="90"/>
        <v>28.23</v>
      </c>
      <c r="I371" s="715">
        <f t="shared" si="91"/>
        <v>398.6</v>
      </c>
      <c r="J371" s="715" t="str">
        <f>IF(B371="SEPLAG",VLOOKUP(CONCATENATE("TOTAL DO ITEM DESON. - ",C371),BASE02,10,FALSE),VLOOKUP(C371,DESON!A:D,4,FALSE))</f>
        <v>20,81</v>
      </c>
      <c r="K371" s="715">
        <f t="shared" si="92"/>
        <v>26.709151150476796</v>
      </c>
      <c r="L371" s="715">
        <f t="shared" si="93"/>
        <v>377.13</v>
      </c>
    </row>
    <row r="372" spans="1:12" ht="28.5">
      <c r="A372" s="77" t="s">
        <v>14037</v>
      </c>
      <c r="B372" s="799" t="s">
        <v>79</v>
      </c>
      <c r="C372" s="45">
        <v>90468</v>
      </c>
      <c r="D372" s="712" t="str">
        <f>IF(B372="SEPLAG",VLOOKUP(C372,COMPOSIÇÃO,2,FALSE),VLOOKUP(C372,'NAO DESO'!A:B,2,FALSE))</f>
        <v>CHUMBAMENTO LINEAR EM CONTRAPISO PARA RAMAIS/DISTRIBUIÇÃO COM DIÂMETROS MENORES OU IGUAIS A 40 MM. AF_05/2015</v>
      </c>
      <c r="E372" s="76" t="str">
        <f>IF(B372="SEPLAG",VLOOKUP(C372,UNIDADE,3,FALSE),VLOOKUP(C372,'NAO DESO'!A:C,3,FALSE))</f>
        <v>M</v>
      </c>
      <c r="F372" s="713">
        <f t="shared" si="89"/>
        <v>9.3000000000000007</v>
      </c>
      <c r="G372" s="714" t="str">
        <f>IF(B372="SEPLAG",VLOOKUP(CONCATENATE("TOTAL DO ITEM NÃO DESON. - ",C372),BASE01,8,FALSE),VLOOKUP(C372,'NAO DESO'!A:D,4,FALSE))</f>
        <v>4,94</v>
      </c>
      <c r="H372" s="715">
        <f t="shared" si="90"/>
        <v>6.03</v>
      </c>
      <c r="I372" s="715">
        <f t="shared" si="91"/>
        <v>56.07</v>
      </c>
      <c r="J372" s="715" t="str">
        <f>IF(B372="SEPLAG",VLOOKUP(CONCATENATE("TOTAL DO ITEM DESON. - ",C372),BASE02,10,FALSE),VLOOKUP(C372,DESON!A:D,4,FALSE))</f>
        <v>4,55</v>
      </c>
      <c r="K372" s="715">
        <f t="shared" si="92"/>
        <v>5.8398192087779641</v>
      </c>
      <c r="L372" s="715">
        <f t="shared" si="93"/>
        <v>54.31</v>
      </c>
    </row>
    <row r="373" spans="1:12" ht="28.5" customHeight="1">
      <c r="A373" s="77" t="s">
        <v>14038</v>
      </c>
      <c r="B373" s="799" t="s">
        <v>79</v>
      </c>
      <c r="C373" s="45">
        <v>90469</v>
      </c>
      <c r="D373" s="712" t="str">
        <f>IF(B373="SEPLAG",VLOOKUP(C373,COMPOSIÇÃO,2,FALSE),VLOOKUP(C373,'NAO DESO'!A:B,2,FALSE))</f>
        <v>CHUMBAMENTO LINEAR EM CONTRAPISO PARA RAMAIS/DISTRIBUIÇÃO COM DIÂMETROS MAIORES QUE 40 MM E MENORES OU IGUAIS A 75 MM. AF_05/2015</v>
      </c>
      <c r="E373" s="76" t="str">
        <f>IF(B373="SEPLAG",VLOOKUP(C373,UNIDADE,3,FALSE),VLOOKUP(C373,'NAO DESO'!A:C,3,FALSE))</f>
        <v>M</v>
      </c>
      <c r="F373" s="713">
        <f t="shared" si="89"/>
        <v>1.86</v>
      </c>
      <c r="G373" s="714" t="str">
        <f>IF(B373="SEPLAG",VLOOKUP(CONCATENATE("TOTAL DO ITEM NÃO DESON. - ",C373),BASE01,8,FALSE),VLOOKUP(C373,'NAO DESO'!A:D,4,FALSE))</f>
        <v>7,93</v>
      </c>
      <c r="H373" s="715">
        <f t="shared" si="90"/>
        <v>9.69</v>
      </c>
      <c r="I373" s="715">
        <f t="shared" si="91"/>
        <v>18.02</v>
      </c>
      <c r="J373" s="715" t="str">
        <f>IF(B373="SEPLAG",VLOOKUP(CONCATENATE("TOTAL DO ITEM DESON. - ",C373),BASE02,10,FALSE),VLOOKUP(C373,DESON!A:D,4,FALSE))</f>
        <v>7,31</v>
      </c>
      <c r="K373" s="715">
        <f t="shared" si="92"/>
        <v>9.3822150365202006</v>
      </c>
      <c r="L373" s="715">
        <f t="shared" si="93"/>
        <v>17.45</v>
      </c>
    </row>
    <row r="374" spans="1:12" ht="28.5">
      <c r="A374" s="77" t="s">
        <v>14039</v>
      </c>
      <c r="B374" s="799" t="s">
        <v>79</v>
      </c>
      <c r="C374" s="45">
        <v>90470</v>
      </c>
      <c r="D374" s="712" t="str">
        <f>IF(B374="SEPLAG",VLOOKUP(C374,COMPOSIÇÃO,2,FALSE),VLOOKUP(C374,'NAO DESO'!A:B,2,FALSE))</f>
        <v>CHUMBAMENTO LINEAR EM CONTRAPISO PARA RAMAIS/DISTRIBUIÇÃO COM DIÂMETROS MAIORES QUE 75 MM. AF_05/2015</v>
      </c>
      <c r="E374" s="76" t="str">
        <f>IF(B374="SEPLAG",VLOOKUP(C374,UNIDADE,3,FALSE),VLOOKUP(C374,'NAO DESO'!A:C,3,FALSE))</f>
        <v>M</v>
      </c>
      <c r="F374" s="713">
        <f t="shared" si="89"/>
        <v>14.12</v>
      </c>
      <c r="G374" s="714" t="str">
        <f>IF(B374="SEPLAG",VLOOKUP(CONCATENATE("TOTAL DO ITEM NÃO DESON. - ",C374),BASE01,8,FALSE),VLOOKUP(C374,'NAO DESO'!A:D,4,FALSE))</f>
        <v>11,02</v>
      </c>
      <c r="H374" s="715">
        <f t="shared" si="90"/>
        <v>13.46</v>
      </c>
      <c r="I374" s="715">
        <f t="shared" si="91"/>
        <v>190.05</v>
      </c>
      <c r="J374" s="715" t="str">
        <f>IF(B374="SEPLAG",VLOOKUP(CONCATENATE("TOTAL DO ITEM DESON. - ",C374),BASE02,10,FALSE),VLOOKUP(C374,DESON!A:D,4,FALSE))</f>
        <v>10,21</v>
      </c>
      <c r="K374" s="715">
        <f t="shared" si="92"/>
        <v>13.104297609147915</v>
      </c>
      <c r="L374" s="715">
        <f t="shared" si="93"/>
        <v>185.03</v>
      </c>
    </row>
    <row r="375" spans="1:12" ht="28.5">
      <c r="A375" s="77" t="s">
        <v>14040</v>
      </c>
      <c r="B375" s="799" t="s">
        <v>79</v>
      </c>
      <c r="C375" s="84">
        <v>89367</v>
      </c>
      <c r="D375" s="712" t="str">
        <f>IF(B375="SEPLAG",VLOOKUP(C375,COMPOSIÇÃO,2,FALSE),VLOOKUP(C375,'NAO DESO'!A:B,2,FALSE))</f>
        <v>JOELHO 90 GRAUS, PVC, SOLDÁVEL, DN 32MM, INSTALADO EM RAMAL OU SUB-RAMAL DE ÁGUA - FORNECIMENTO E INSTALAÇÃO. AF_12/2014</v>
      </c>
      <c r="E375" s="76" t="str">
        <f>IF(B375="SEPLAG",VLOOKUP(C375,UNIDADE,3,FALSE),VLOOKUP(C375,'NAO DESO'!A:C,3,FALSE))</f>
        <v>UN</v>
      </c>
      <c r="F375" s="713">
        <f t="shared" si="89"/>
        <v>5</v>
      </c>
      <c r="G375" s="714" t="str">
        <f>IF(B375="SEPLAG",VLOOKUP(CONCATENATE("TOTAL DO ITEM NÃO DESON. - ",C375),BASE01,8,FALSE),VLOOKUP(C375,'NAO DESO'!A:D,4,FALSE))</f>
        <v>10,98</v>
      </c>
      <c r="H375" s="715">
        <f t="shared" si="90"/>
        <v>13.42</v>
      </c>
      <c r="I375" s="715">
        <f t="shared" si="91"/>
        <v>67.099999999999994</v>
      </c>
      <c r="J375" s="715" t="str">
        <f>IF(B375="SEPLAG",VLOOKUP(CONCATENATE("TOTAL DO ITEM DESON. - ",C375),BASE02,10,FALSE),VLOOKUP(C375,DESON!A:D,4,FALSE))</f>
        <v>10,25</v>
      </c>
      <c r="K375" s="715">
        <f t="shared" si="92"/>
        <v>13.155636679115194</v>
      </c>
      <c r="L375" s="715">
        <f t="shared" si="93"/>
        <v>65.77</v>
      </c>
    </row>
    <row r="376" spans="1:12" ht="28.5">
      <c r="A376" s="77" t="s">
        <v>14041</v>
      </c>
      <c r="B376" s="799" t="s">
        <v>79</v>
      </c>
      <c r="C376" s="84">
        <v>89368</v>
      </c>
      <c r="D376" s="712" t="str">
        <f>IF(B376="SEPLAG",VLOOKUP(C376,COMPOSIÇÃO,2,FALSE),VLOOKUP(C376,'NAO DESO'!A:B,2,FALSE))</f>
        <v>JOELHO 45 GRAUS, PVC, SOLDÁVEL, DN 32MM, INSTALADO EM RAMAL OU SUB-RAMAL DE ÁGUA - FORNECIMENTO E INSTALAÇÃO. AF_12/2014</v>
      </c>
      <c r="E376" s="76" t="str">
        <f>IF(B376="SEPLAG",VLOOKUP(C376,UNIDADE,3,FALSE),VLOOKUP(C376,'NAO DESO'!A:C,3,FALSE))</f>
        <v>UN</v>
      </c>
      <c r="F376" s="713">
        <f t="shared" si="89"/>
        <v>4</v>
      </c>
      <c r="G376" s="714" t="str">
        <f>IF(B376="SEPLAG",VLOOKUP(CONCATENATE("TOTAL DO ITEM NÃO DESON. - ",C376),BASE01,8,FALSE),VLOOKUP(C376,'NAO DESO'!A:D,4,FALSE))</f>
        <v>13,29</v>
      </c>
      <c r="H376" s="715">
        <f t="shared" si="90"/>
        <v>16.239999999999998</v>
      </c>
      <c r="I376" s="715">
        <f t="shared" si="91"/>
        <v>64.959999999999994</v>
      </c>
      <c r="J376" s="715" t="str">
        <f>IF(B376="SEPLAG",VLOOKUP(CONCATENATE("TOTAL DO ITEM DESON. - ",C376),BASE02,10,FALSE),VLOOKUP(C376,DESON!A:D,4,FALSE))</f>
        <v>12,56</v>
      </c>
      <c r="K376" s="715">
        <f t="shared" si="92"/>
        <v>16.120467969725546</v>
      </c>
      <c r="L376" s="715">
        <f t="shared" si="93"/>
        <v>64.48</v>
      </c>
    </row>
    <row r="377" spans="1:12" ht="42.75">
      <c r="A377" s="77" t="s">
        <v>14042</v>
      </c>
      <c r="B377" s="799" t="s">
        <v>79</v>
      </c>
      <c r="C377" s="45">
        <v>89391</v>
      </c>
      <c r="D377" s="712" t="str">
        <f>IF(B377="SEPLAG",VLOOKUP(C377,COMPOSIÇÃO,2,FALSE),VLOOKUP(C377,'NAO DESO'!A:B,2,FALSE))</f>
        <v>ADAPTADOR CURTO COM BOLSA E ROSCA PARA REGISTRO, PVC, SOLDÁVEL, DN 32MM X 1, INSTALADO EM RAMAL OU SUB-RAMAL DE ÁGUA - FORNECIMENTO E INSTALAÇÃO. AF_12/2014</v>
      </c>
      <c r="E377" s="76" t="str">
        <f>IF(B377="SEPLAG",VLOOKUP(C377,UNIDADE,3,FALSE),VLOOKUP(C377,'NAO DESO'!A:C,3,FALSE))</f>
        <v>UN</v>
      </c>
      <c r="F377" s="713">
        <f t="shared" si="89"/>
        <v>2</v>
      </c>
      <c r="G377" s="714" t="str">
        <f>IF(B377="SEPLAG",VLOOKUP(CONCATENATE("TOTAL DO ITEM NÃO DESON. - ",C377),BASE01,8,FALSE),VLOOKUP(C377,'NAO DESO'!A:D,4,FALSE))</f>
        <v>8,29</v>
      </c>
      <c r="H377" s="715">
        <f t="shared" si="90"/>
        <v>10.130000000000001</v>
      </c>
      <c r="I377" s="715">
        <f t="shared" si="91"/>
        <v>20.260000000000002</v>
      </c>
      <c r="J377" s="715" t="str">
        <f>IF(B377="SEPLAG",VLOOKUP(CONCATENATE("TOTAL DO ITEM DESON. - ",C377),BASE02,10,FALSE),VLOOKUP(C377,DESON!A:D,4,FALSE))</f>
        <v>7,79</v>
      </c>
      <c r="K377" s="715">
        <f t="shared" si="92"/>
        <v>9.9982838761275463</v>
      </c>
      <c r="L377" s="715">
        <f t="shared" si="93"/>
        <v>19.989999999999998</v>
      </c>
    </row>
    <row r="378" spans="1:12" ht="57">
      <c r="A378" s="77" t="s">
        <v>14043</v>
      </c>
      <c r="B378" s="799" t="s">
        <v>79</v>
      </c>
      <c r="C378" s="45">
        <v>94704</v>
      </c>
      <c r="D378" s="712" t="str">
        <f>IF(B378="SEPLAG",VLOOKUP(C378,COMPOSIÇÃO,2,FALSE),VLOOKUP(C378,'NAO DESO'!A:B,2,FALSE))</f>
        <v>ADAPTADOR COM FLANGE E ANEL DE VEDAÇÃO, PVC, SOLDÁVEL, DN 32 MM X 1 , INSTALADO EM RESERVAÇÃO DE ÁGUA DE EDIFICAÇÃO QUE POSSUA RESERVATÓRIO DE FIBRA/FIBROCIMENTO   FORNECIMENTO E INSTALAÇÃO. AF_06/2016</v>
      </c>
      <c r="E378" s="76" t="str">
        <f>IF(B378="SEPLAG",VLOOKUP(C378,UNIDADE,3,FALSE),VLOOKUP(C378,'NAO DESO'!A:C,3,FALSE))</f>
        <v>UN</v>
      </c>
      <c r="F378" s="713">
        <f t="shared" si="89"/>
        <v>2</v>
      </c>
      <c r="G378" s="714" t="str">
        <f>IF(B378="SEPLAG",VLOOKUP(CONCATENATE("TOTAL DO ITEM NÃO DESON. - ",C378),BASE01,8,FALSE),VLOOKUP(C378,'NAO DESO'!A:D,4,FALSE))</f>
        <v>22,93</v>
      </c>
      <c r="H378" s="715">
        <f t="shared" si="90"/>
        <v>28.02</v>
      </c>
      <c r="I378" s="715">
        <f t="shared" si="91"/>
        <v>56.04</v>
      </c>
      <c r="J378" s="715" t="str">
        <f>IF(B378="SEPLAG",VLOOKUP(CONCATENATE("TOTAL DO ITEM DESON. - ",C378),BASE02,10,FALSE),VLOOKUP(C378,DESON!A:D,4,FALSE))</f>
        <v>22,37</v>
      </c>
      <c r="K378" s="715">
        <f t="shared" si="92"/>
        <v>28.711374879200672</v>
      </c>
      <c r="L378" s="715">
        <f t="shared" si="93"/>
        <v>57.42</v>
      </c>
    </row>
    <row r="379" spans="1:12" ht="28.5">
      <c r="A379" s="77" t="s">
        <v>14044</v>
      </c>
      <c r="B379" s="799" t="s">
        <v>79</v>
      </c>
      <c r="C379" s="45">
        <v>94797</v>
      </c>
      <c r="D379" s="712" t="str">
        <f>IF(B379="SEPLAG",VLOOKUP(C379,COMPOSIÇÃO,2,FALSE),VLOOKUP(C379,'NAO DESO'!A:B,2,FALSE))</f>
        <v>TORNEIRA DE BOIA PARA CAIXA D'ÁGUA, ROSCÁVEL, 1" - FORNECIMENTO E INSTALAÇÃO. AF_08/2021</v>
      </c>
      <c r="E379" s="76" t="str">
        <f>IF(B379="SEPLAG",VLOOKUP(C379,UNIDADE,3,FALSE),VLOOKUP(C379,'NAO DESO'!A:C,3,FALSE))</f>
        <v>UN</v>
      </c>
      <c r="F379" s="713">
        <f t="shared" si="89"/>
        <v>1</v>
      </c>
      <c r="G379" s="714" t="str">
        <f>IF(B379="SEPLAG",VLOOKUP(CONCATENATE("TOTAL DO ITEM NÃO DESON. - ",C379),BASE01,8,FALSE),VLOOKUP(C379,'NAO DESO'!A:D,4,FALSE))</f>
        <v>95,51</v>
      </c>
      <c r="H379" s="715">
        <f t="shared" si="90"/>
        <v>116.73</v>
      </c>
      <c r="I379" s="715">
        <f t="shared" si="91"/>
        <v>116.73</v>
      </c>
      <c r="J379" s="715" t="str">
        <f>IF(B379="SEPLAG",VLOOKUP(CONCATENATE("TOTAL DO ITEM DESON. - ",C379),BASE02,10,FALSE),VLOOKUP(C379,DESON!A:D,4,FALSE))</f>
        <v>94,46</v>
      </c>
      <c r="K379" s="715">
        <f t="shared" si="92"/>
        <v>121.23721372772889</v>
      </c>
      <c r="L379" s="715">
        <f t="shared" si="93"/>
        <v>121.23</v>
      </c>
    </row>
    <row r="380" spans="1:12" ht="28.5">
      <c r="A380" s="77" t="s">
        <v>14045</v>
      </c>
      <c r="B380" s="799" t="s">
        <v>79</v>
      </c>
      <c r="C380" s="45">
        <v>89447</v>
      </c>
      <c r="D380" s="712" t="str">
        <f>IF(B380="SEPLAG",VLOOKUP(C380,COMPOSIÇÃO,2,FALSE),VLOOKUP(C380,'NAO DESO'!A:B,2,FALSE))</f>
        <v>TUBO, PVC, SOLDÁVEL, DN 32MM, INSTALADO EM PRUMADA DE ÁGUA - FORNECIMENTO E INSTALAÇÃO. AF_12/2014</v>
      </c>
      <c r="E380" s="76" t="str">
        <f>IF(B380="SEPLAG",VLOOKUP(C380,UNIDADE,3,FALSE),VLOOKUP(C380,'NAO DESO'!A:C,3,FALSE))</f>
        <v>M</v>
      </c>
      <c r="F380" s="713">
        <f t="shared" si="89"/>
        <v>29</v>
      </c>
      <c r="G380" s="714" t="str">
        <f>IF(B380="SEPLAG",VLOOKUP(CONCATENATE("TOTAL DO ITEM NÃO DESON. - ",C380),BASE01,8,FALSE),VLOOKUP(C380,'NAO DESO'!A:D,4,FALSE))</f>
        <v>10,28</v>
      </c>
      <c r="H380" s="715">
        <f t="shared" si="90"/>
        <v>12.56</v>
      </c>
      <c r="I380" s="715">
        <f t="shared" si="91"/>
        <v>364.24</v>
      </c>
      <c r="J380" s="715" t="str">
        <f>IF(B380="SEPLAG",VLOOKUP(CONCATENATE("TOTAL DO ITEM DESON. - ",C380),BASE02,10,FALSE),VLOOKUP(C380,DESON!A:D,4,FALSE))</f>
        <v>10,20</v>
      </c>
      <c r="K380" s="715">
        <f t="shared" si="92"/>
        <v>13.091462841656094</v>
      </c>
      <c r="L380" s="715">
        <f t="shared" si="93"/>
        <v>379.65</v>
      </c>
    </row>
    <row r="381" spans="1:12" ht="28.5">
      <c r="A381" s="77" t="s">
        <v>14046</v>
      </c>
      <c r="B381" s="799" t="s">
        <v>79</v>
      </c>
      <c r="C381" s="45">
        <v>94495</v>
      </c>
      <c r="D381" s="712" t="str">
        <f>IF(B381="SEPLAG",VLOOKUP(C381,COMPOSIÇÃO,2,FALSE),VLOOKUP(C381,'NAO DESO'!A:B,2,FALSE))</f>
        <v>REGISTRO DE GAVETA BRUTO, LATÃO, ROSCÁVEL, 1" - FORNECIMENTO E INSTALAÇÃO. AF_08/2021</v>
      </c>
      <c r="E381" s="76" t="str">
        <f>IF(B381="SEPLAG",VLOOKUP(C381,UNIDADE,3,FALSE),VLOOKUP(C381,'NAO DESO'!A:C,3,FALSE))</f>
        <v>UN</v>
      </c>
      <c r="F381" s="713">
        <f t="shared" si="89"/>
        <v>1</v>
      </c>
      <c r="G381" s="714" t="str">
        <f>IF(B381="SEPLAG",VLOOKUP(CONCATENATE("TOTAL DO ITEM NÃO DESON. - ",C381),BASE01,8,FALSE),VLOOKUP(C381,'NAO DESO'!A:D,4,FALSE))</f>
        <v>48,89</v>
      </c>
      <c r="H381" s="715">
        <f t="shared" si="90"/>
        <v>59.75</v>
      </c>
      <c r="I381" s="715">
        <f t="shared" si="91"/>
        <v>59.75</v>
      </c>
      <c r="J381" s="715" t="str">
        <f>IF(B381="SEPLAG",VLOOKUP(CONCATENATE("TOTAL DO ITEM DESON. - ",C381),BASE02,10,FALSE),VLOOKUP(C381,DESON!A:D,4,FALSE))</f>
        <v>48,27</v>
      </c>
      <c r="K381" s="715">
        <f t="shared" si="92"/>
        <v>61.953422683013699</v>
      </c>
      <c r="L381" s="715">
        <f t="shared" si="93"/>
        <v>61.95</v>
      </c>
    </row>
    <row r="382" spans="1:12" ht="28.5">
      <c r="A382" s="77" t="s">
        <v>14047</v>
      </c>
      <c r="B382" s="799" t="s">
        <v>79</v>
      </c>
      <c r="C382" s="45">
        <v>90436</v>
      </c>
      <c r="D382" s="712" t="str">
        <f>IF(B382="SEPLAG",VLOOKUP(C382,COMPOSIÇÃO,2,FALSE),VLOOKUP(C382,'NAO DESO'!A:B,2,FALSE))</f>
        <v>FURO EM ALVENARIA PARA DIÂMETROS MENORES OU IGUAIS A 40 MM. AF_05/2015</v>
      </c>
      <c r="E382" s="76" t="str">
        <f>IF(B382="SEPLAG",VLOOKUP(C382,UNIDADE,3,FALSE),VLOOKUP(C382,'NAO DESO'!A:C,3,FALSE))</f>
        <v>UN</v>
      </c>
      <c r="F382" s="713">
        <f t="shared" si="89"/>
        <v>2</v>
      </c>
      <c r="G382" s="714" t="str">
        <f>IF(B382="SEPLAG",VLOOKUP(CONCATENATE("TOTAL DO ITEM NÃO DESON. - ",C382),BASE01,8,FALSE),VLOOKUP(C382,'NAO DESO'!A:D,4,FALSE))</f>
        <v>11,71</v>
      </c>
      <c r="H382" s="715">
        <f t="shared" si="90"/>
        <v>14.31</v>
      </c>
      <c r="I382" s="715">
        <f t="shared" si="91"/>
        <v>28.62</v>
      </c>
      <c r="J382" s="715" t="str">
        <f>IF(B382="SEPLAG",VLOOKUP(CONCATENATE("TOTAL DO ITEM DESON. - ",C382),BASE02,10,FALSE),VLOOKUP(C382,DESON!A:D,4,FALSE))</f>
        <v>10,43</v>
      </c>
      <c r="K382" s="715">
        <f t="shared" si="92"/>
        <v>13.386662493967947</v>
      </c>
      <c r="L382" s="715">
        <f t="shared" si="93"/>
        <v>26.77</v>
      </c>
    </row>
    <row r="383" spans="1:12" ht="28.5">
      <c r="A383" s="77" t="s">
        <v>14048</v>
      </c>
      <c r="B383" s="799" t="s">
        <v>79</v>
      </c>
      <c r="C383" s="45">
        <v>90439</v>
      </c>
      <c r="D383" s="712" t="str">
        <f>IF(B383="SEPLAG",VLOOKUP(C383,COMPOSIÇÃO,2,FALSE),VLOOKUP(C383,'NAO DESO'!A:B,2,FALSE))</f>
        <v>FURO EM CONCRETO PARA DIÂMETROS MENORES OU IGUAIS A 40 MM. AF_05/2015</v>
      </c>
      <c r="E383" s="76" t="str">
        <f>IF(B383="SEPLAG",VLOOKUP(C383,UNIDADE,3,FALSE),VLOOKUP(C383,'NAO DESO'!A:C,3,FALSE))</f>
        <v>UN</v>
      </c>
      <c r="F383" s="713">
        <f t="shared" si="89"/>
        <v>1</v>
      </c>
      <c r="G383" s="714" t="str">
        <f>IF(B383="SEPLAG",VLOOKUP(CONCATENATE("TOTAL DO ITEM NÃO DESON. - ",C383),BASE01,8,FALSE),VLOOKUP(C383,'NAO DESO'!A:D,4,FALSE))</f>
        <v>46,43</v>
      </c>
      <c r="H383" s="715">
        <f t="shared" si="90"/>
        <v>56.74</v>
      </c>
      <c r="I383" s="715">
        <f t="shared" si="91"/>
        <v>56.74</v>
      </c>
      <c r="J383" s="715" t="str">
        <f>IF(B383="SEPLAG",VLOOKUP(CONCATENATE("TOTAL DO ITEM DESON. - ",C383),BASE02,10,FALSE),VLOOKUP(C383,DESON!A:D,4,FALSE))</f>
        <v>41,83</v>
      </c>
      <c r="K383" s="715">
        <f t="shared" si="92"/>
        <v>53.687832418281808</v>
      </c>
      <c r="L383" s="715">
        <f t="shared" si="93"/>
        <v>53.68</v>
      </c>
    </row>
    <row r="384" spans="1:12">
      <c r="A384" s="77" t="s">
        <v>14049</v>
      </c>
      <c r="B384" s="799" t="s">
        <v>79</v>
      </c>
      <c r="C384" s="45">
        <v>90438</v>
      </c>
      <c r="D384" s="712" t="str">
        <f>IF(B384="SEPLAG",VLOOKUP(C384,COMPOSIÇÃO,2,FALSE),VLOOKUP(C384,'NAO DESO'!A:B,2,FALSE))</f>
        <v>FURO EM ALVENARIA PARA DIÂMETROS MAIORES QUE 75 MM. AF_05/2015</v>
      </c>
      <c r="E384" s="76" t="str">
        <f>IF(B384="SEPLAG",VLOOKUP(C384,UNIDADE,3,FALSE),VLOOKUP(C384,'NAO DESO'!A:C,3,FALSE))</f>
        <v>UN</v>
      </c>
      <c r="F384" s="713">
        <f t="shared" si="89"/>
        <v>4</v>
      </c>
      <c r="G384" s="714" t="str">
        <f>IF(B384="SEPLAG",VLOOKUP(CONCATENATE("TOTAL DO ITEM NÃO DESON. - ",C384),BASE01,8,FALSE),VLOOKUP(C384,'NAO DESO'!A:D,4,FALSE))</f>
        <v>40,81</v>
      </c>
      <c r="H384" s="715">
        <f t="shared" si="90"/>
        <v>49.88</v>
      </c>
      <c r="I384" s="715">
        <f t="shared" si="91"/>
        <v>199.52</v>
      </c>
      <c r="J384" s="715" t="str">
        <f>IF(B384="SEPLAG",VLOOKUP(CONCATENATE("TOTAL DO ITEM DESON. - ",C384),BASE02,10,FALSE),VLOOKUP(C384,DESON!A:D,4,FALSE))</f>
        <v>36,35</v>
      </c>
      <c r="K384" s="715">
        <f t="shared" si="92"/>
        <v>46.654379832764612</v>
      </c>
      <c r="L384" s="715">
        <f t="shared" si="93"/>
        <v>186.61</v>
      </c>
    </row>
    <row r="385" spans="1:12" ht="28.5">
      <c r="A385" s="77" t="s">
        <v>14050</v>
      </c>
      <c r="B385" s="799" t="s">
        <v>14504</v>
      </c>
      <c r="C385" s="45" t="s">
        <v>13057</v>
      </c>
      <c r="D385" s="712" t="str">
        <f>IF(B385="SEPLAG",VLOOKUP(C385,COMPOSIÇÃO,2,FALSE),VLOOKUP(C385,'NAO DESO'!A:B,2,FALSE))</f>
        <v>LUVA DE REDUÇÃO EM PEAD 90X63mm, FORNECIMENTO E INSTALAÇÃO</v>
      </c>
      <c r="E385" s="76" t="str">
        <f>IF(B385="SEPLAG",VLOOKUP(C385,UNIDADE,3,FALSE),VLOOKUP(C385,'NAO DESO'!A:C,3,FALSE))</f>
        <v>UND</v>
      </c>
      <c r="F385" s="713">
        <f t="shared" si="89"/>
        <v>25.3</v>
      </c>
      <c r="G385" s="714">
        <f>IF(B385="SEPLAG",VLOOKUP(CONCATENATE("TOTAL DO ITEM NÃO DESON. - ",C385),BASE01,8,FALSE),VLOOKUP(C385,'NAO DESO'!A:D,4,FALSE))</f>
        <v>113.55</v>
      </c>
      <c r="H385" s="715">
        <f t="shared" si="90"/>
        <v>138.78</v>
      </c>
      <c r="I385" s="715">
        <f t="shared" si="91"/>
        <v>3511.13</v>
      </c>
      <c r="J385" s="715">
        <f>IF(B385="SEPLAG",VLOOKUP(CONCATENATE("TOTAL DO ITEM DESON. - ",C385),BASE02,10,FALSE),VLOOKUP(C385,DESON!A:D,4,FALSE))</f>
        <v>112.94999999999999</v>
      </c>
      <c r="K385" s="715">
        <f t="shared" si="92"/>
        <v>144.9686988201035</v>
      </c>
      <c r="L385" s="715">
        <f t="shared" si="93"/>
        <v>3667.7</v>
      </c>
    </row>
    <row r="386" spans="1:12">
      <c r="A386" s="734" t="str">
        <f>CONCATENATE("TOTAL DO ITEM &gt;&gt;&gt;&gt;",A368)</f>
        <v>TOTAL DO ITEM &gt;&gt;&gt;&gt;8.1</v>
      </c>
      <c r="B386" s="118"/>
      <c r="C386" s="118"/>
      <c r="D386" s="118"/>
      <c r="E386" s="118"/>
      <c r="F386" s="118"/>
      <c r="G386" s="118"/>
      <c r="H386" s="118"/>
      <c r="I386" s="87">
        <f>SUM(I369:I385)</f>
        <v>5377.16</v>
      </c>
      <c r="J386" s="88"/>
      <c r="K386" s="88"/>
      <c r="L386" s="87">
        <f>SUM(L369:L385)</f>
        <v>5498.0599999999995</v>
      </c>
    </row>
    <row r="387" spans="1:12" s="109" customFormat="1">
      <c r="A387" s="1257" t="str">
        <f>CONCATENATE("TOTAL DO ITEM &gt;&gt;&gt;&gt;",A367)</f>
        <v>TOTAL DO ITEM &gt;&gt;&gt;&gt;8.0</v>
      </c>
      <c r="B387" s="1258"/>
      <c r="C387" s="1258"/>
      <c r="D387" s="1258"/>
      <c r="E387" s="1258"/>
      <c r="F387" s="1258"/>
      <c r="G387" s="1258"/>
      <c r="H387" s="1258"/>
      <c r="I387" s="1269">
        <f>SUM(I386,)</f>
        <v>5377.16</v>
      </c>
      <c r="J387" s="1270"/>
      <c r="K387" s="1270"/>
      <c r="L387" s="1269">
        <f>SUM(L386)</f>
        <v>5498.0599999999995</v>
      </c>
    </row>
    <row r="388" spans="1:12" s="109" customFormat="1">
      <c r="A388" s="1246"/>
      <c r="B388" s="1120"/>
      <c r="C388" s="1120"/>
      <c r="D388" s="1120"/>
      <c r="E388" s="1120"/>
      <c r="F388" s="1120"/>
      <c r="G388" s="1120"/>
      <c r="H388" s="1120"/>
      <c r="I388" s="1120"/>
      <c r="J388" s="1120"/>
      <c r="K388" s="1120"/>
      <c r="L388" s="1121"/>
    </row>
    <row r="389" spans="1:12" s="109" customFormat="1">
      <c r="A389" s="1263" t="s">
        <v>14051</v>
      </c>
      <c r="B389" s="1267"/>
      <c r="C389" s="1267"/>
      <c r="D389" s="931" t="s">
        <v>7515</v>
      </c>
      <c r="E389" s="1274"/>
      <c r="F389" s="1275"/>
      <c r="G389" s="1276"/>
      <c r="H389" s="1277"/>
      <c r="I389" s="1278"/>
      <c r="J389" s="1279"/>
      <c r="K389" s="1279"/>
      <c r="L389" s="1279"/>
    </row>
    <row r="390" spans="1:12">
      <c r="A390" s="138" t="s">
        <v>14052</v>
      </c>
      <c r="B390" s="139"/>
      <c r="C390" s="139"/>
      <c r="D390" s="140" t="s">
        <v>13011</v>
      </c>
      <c r="E390" s="141"/>
      <c r="F390" s="142"/>
      <c r="G390" s="143"/>
      <c r="H390" s="144"/>
      <c r="I390" s="145"/>
      <c r="J390" s="146"/>
      <c r="K390" s="146"/>
      <c r="L390" s="146"/>
    </row>
    <row r="391" spans="1:12" ht="28.5">
      <c r="A391" s="89" t="s">
        <v>14053</v>
      </c>
      <c r="B391" s="76" t="s">
        <v>79</v>
      </c>
      <c r="C391" s="76">
        <v>89511</v>
      </c>
      <c r="D391" s="712" t="str">
        <f>IF(B391="SEPLAG",VLOOKUP(C391,COMPOSIÇÃO,2,FALSE),VLOOKUP(C391,'NAO DESO'!A:B,2,FALSE))</f>
        <v>TUBO PVC, SÉRIE R, ÁGUA PLUVIAL, DN 75 MM, FORNECIDO E INSTALADO EM RAMAL DE ENCAMINHAMENTO. AF_12/2014</v>
      </c>
      <c r="E391" s="76" t="str">
        <f>IF(B391="SEPLAG",VLOOKUP(C391,UNIDADE,3,FALSE),VLOOKUP(C391,'NAO DESO'!A:C,3,FALSE))</f>
        <v>M</v>
      </c>
      <c r="F391" s="713">
        <f t="shared" ref="F391:F397" si="94">VLOOKUP(A391,MEMÓRIA,6,FALSE)</f>
        <v>9</v>
      </c>
      <c r="G391" s="714" t="str">
        <f>IF(B391="SEPLAG",VLOOKUP(CONCATENATE("TOTAL DO ITEM NÃO DESON. - ",C391),BASE01,8,FALSE),VLOOKUP(C391,'NAO DESO'!A:D,4,FALSE))</f>
        <v>45,52</v>
      </c>
      <c r="H391" s="715">
        <f t="shared" ref="H391:H397" si="95">TRUNC(G391+G391*$K$6,2)</f>
        <v>55.63</v>
      </c>
      <c r="I391" s="715">
        <f t="shared" ref="I391:I397" si="96">TRUNC(F391*H391,2)</f>
        <v>500.67</v>
      </c>
      <c r="J391" s="715" t="str">
        <f>IF(B391="SEPLAG",VLOOKUP(CONCATENATE("TOTAL DO ITEM DESON. - ",C391),BASE02,10,FALSE),VLOOKUP(C391,DESON!A:D,4,FALSE))</f>
        <v>44,19</v>
      </c>
      <c r="K391" s="715">
        <f t="shared" ref="K391:K397" si="97">J391+J391*$L$6</f>
        <v>56.716837546351258</v>
      </c>
      <c r="L391" s="715">
        <f t="shared" ref="L391:L397" si="98">TRUNC(F391*K391,2)</f>
        <v>510.45</v>
      </c>
    </row>
    <row r="392" spans="1:12" ht="28.5">
      <c r="A392" s="89" t="s">
        <v>14054</v>
      </c>
      <c r="B392" s="76" t="s">
        <v>79</v>
      </c>
      <c r="C392" s="76">
        <v>89512</v>
      </c>
      <c r="D392" s="712" t="str">
        <f>IF(B392="SEPLAG",VLOOKUP(C392,COMPOSIÇÃO,2,FALSE),VLOOKUP(C392,'NAO DESO'!A:B,2,FALSE))</f>
        <v>TUBO PVC, SÉRIE R, ÁGUA PLUVIAL, DN 100 MM, FORNECIDO E INSTALADO EM RAMAL DE ENCAMINHAMENTO. AF_12/2014</v>
      </c>
      <c r="E392" s="76" t="str">
        <f>IF(B392="SEPLAG",VLOOKUP(C392,UNIDADE,3,FALSE),VLOOKUP(C392,'NAO DESO'!A:C,3,FALSE))</f>
        <v>M</v>
      </c>
      <c r="F392" s="713">
        <f t="shared" si="94"/>
        <v>98</v>
      </c>
      <c r="G392" s="714" t="str">
        <f>IF(B392="SEPLAG",VLOOKUP(CONCATENATE("TOTAL DO ITEM NÃO DESON. - ",C392),BASE01,8,FALSE),VLOOKUP(C392,'NAO DESO'!A:D,4,FALSE))</f>
        <v>73,42</v>
      </c>
      <c r="H392" s="715">
        <f t="shared" si="95"/>
        <v>89.73</v>
      </c>
      <c r="I392" s="715">
        <f t="shared" si="96"/>
        <v>8793.5400000000009</v>
      </c>
      <c r="J392" s="715" t="str">
        <f>IF(B392="SEPLAG",VLOOKUP(CONCATENATE("TOTAL DO ITEM DESON. - ",C392),BASE02,10,FALSE),VLOOKUP(C392,DESON!A:D,4,FALSE))</f>
        <v>71,60</v>
      </c>
      <c r="K392" s="715">
        <f t="shared" si="97"/>
        <v>91.896935241429048</v>
      </c>
      <c r="L392" s="715">
        <f t="shared" si="98"/>
        <v>9005.89</v>
      </c>
    </row>
    <row r="393" spans="1:12" ht="42.75">
      <c r="A393" s="89" t="s">
        <v>14055</v>
      </c>
      <c r="B393" s="76" t="s">
        <v>14504</v>
      </c>
      <c r="C393" s="74" t="s">
        <v>13012</v>
      </c>
      <c r="D393" s="712" t="str">
        <f>IF(B393="SEPLAG",VLOOKUP(C393,COMPOSIÇÃO,2,FALSE),VLOOKUP(C393,'NAO DESO'!A:B,2,FALSE))</f>
        <v>REDUÇÃO EXCÊNTRICA, PVC, SERIE R, ÁGUA PLUVIAL, DN 100 X 50 MM, JUNTA PLÁSTICA, FORNECIDO E INSTALADO EM RAMAL DE ENCAMINHAMENTO. AF_12/2014. FORNECIMENTO E INSTALAÇÃO.</v>
      </c>
      <c r="E393" s="76" t="str">
        <f>IF(B393="SEPLAG",VLOOKUP(C393,UNIDADE,3,FALSE),VLOOKUP(C393,'NAO DESO'!A:C,3,FALSE))</f>
        <v>UND</v>
      </c>
      <c r="F393" s="713">
        <f t="shared" si="94"/>
        <v>10</v>
      </c>
      <c r="G393" s="714">
        <f>IF(B393="SEPLAG",VLOOKUP(CONCATENATE("TOTAL DO ITEM NÃO DESON. - ",C393),BASE01,8,FALSE),VLOOKUP(C393,'NAO DESO'!A:D,4,FALSE))</f>
        <v>14.460000000000003</v>
      </c>
      <c r="H393" s="715">
        <f t="shared" si="95"/>
        <v>17.670000000000002</v>
      </c>
      <c r="I393" s="715">
        <f t="shared" si="96"/>
        <v>176.7</v>
      </c>
      <c r="J393" s="715">
        <f>IF(B393="SEPLAG",VLOOKUP(CONCATENATE("TOTAL DO ITEM DESON. - ",C393),BASE02,10,FALSE),VLOOKUP(C393,DESON!A:D,4,FALSE))</f>
        <v>14.260000000000002</v>
      </c>
      <c r="K393" s="715">
        <f t="shared" si="97"/>
        <v>18.302378443334895</v>
      </c>
      <c r="L393" s="715">
        <f t="shared" si="98"/>
        <v>183.02</v>
      </c>
    </row>
    <row r="394" spans="1:12" ht="42.75">
      <c r="A394" s="89" t="s">
        <v>14056</v>
      </c>
      <c r="B394" s="76" t="s">
        <v>79</v>
      </c>
      <c r="C394" s="76">
        <v>89850</v>
      </c>
      <c r="D394" s="712" t="str">
        <f>IF(B394="SEPLAG",VLOOKUP(C394,COMPOSIÇÃO,2,FALSE),VLOOKUP(C394,'NAO DESO'!A:B,2,FALSE))</f>
        <v>JOELHO 90 GRAUS, PVC, SERIE NORMAL, ESGOTO PREDIAL, DN 100 MM, JUNTA ELÁSTICA, FORNECIDO E INSTALADO EM SUBCOLETOR AÉREO DE ESGOTO SANITÁRIO. AF_12/2014</v>
      </c>
      <c r="E394" s="76" t="str">
        <f>IF(B394="SEPLAG",VLOOKUP(C394,UNIDADE,3,FALSE),VLOOKUP(C394,'NAO DESO'!A:C,3,FALSE))</f>
        <v>UN</v>
      </c>
      <c r="F394" s="713">
        <f t="shared" si="94"/>
        <v>29</v>
      </c>
      <c r="G394" s="714" t="str">
        <f>IF(B394="SEPLAG",VLOOKUP(CONCATENATE("TOTAL DO ITEM NÃO DESON. - ",C394),BASE01,8,FALSE),VLOOKUP(C394,'NAO DESO'!A:D,4,FALSE))</f>
        <v>25,82</v>
      </c>
      <c r="H394" s="715">
        <f t="shared" si="95"/>
        <v>31.55</v>
      </c>
      <c r="I394" s="715">
        <f t="shared" si="96"/>
        <v>914.95</v>
      </c>
      <c r="J394" s="715" t="str">
        <f>IF(B394="SEPLAG",VLOOKUP(CONCATENATE("TOTAL DO ITEM DESON. - ",C394),BASE02,10,FALSE),VLOOKUP(C394,DESON!A:D,4,FALSE))</f>
        <v>24,84</v>
      </c>
      <c r="K394" s="715">
        <f t="shared" si="97"/>
        <v>31.881562449680136</v>
      </c>
      <c r="L394" s="715">
        <f t="shared" si="98"/>
        <v>924.56</v>
      </c>
    </row>
    <row r="395" spans="1:12" ht="42.75">
      <c r="A395" s="89" t="s">
        <v>14057</v>
      </c>
      <c r="B395" s="76" t="s">
        <v>79</v>
      </c>
      <c r="C395" s="76">
        <v>89805</v>
      </c>
      <c r="D395" s="712" t="str">
        <f>IF(B395="SEPLAG",VLOOKUP(C395,COMPOSIÇÃO,2,FALSE),VLOOKUP(C395,'NAO DESO'!A:B,2,FALSE))</f>
        <v>JOELHO 90 GRAUS, PVC, SERIE NORMAL, ESGOTO PREDIAL, DN 75 MM, JUNTA ELÁSTICA, FORNECIDO E INSTALADO EM PRUMADA DE ESGOTO SANITÁRIO OU VENTILAÇÃO. AF_12/2014</v>
      </c>
      <c r="E395" s="76" t="str">
        <f>IF(B395="SEPLAG",VLOOKUP(C395,UNIDADE,3,FALSE),VLOOKUP(C395,'NAO DESO'!A:C,3,FALSE))</f>
        <v>UN</v>
      </c>
      <c r="F395" s="713">
        <f t="shared" si="94"/>
        <v>3</v>
      </c>
      <c r="G395" s="714" t="str">
        <f>IF(B395="SEPLAG",VLOOKUP(CONCATENATE("TOTAL DO ITEM NÃO DESON. - ",C395),BASE01,8,FALSE),VLOOKUP(C395,'NAO DESO'!A:D,4,FALSE))</f>
        <v>16,15</v>
      </c>
      <c r="H395" s="715">
        <f t="shared" si="95"/>
        <v>19.73</v>
      </c>
      <c r="I395" s="715">
        <f t="shared" si="96"/>
        <v>59.19</v>
      </c>
      <c r="J395" s="715" t="str">
        <f>IF(B395="SEPLAG",VLOOKUP(CONCATENATE("TOTAL DO ITEM DESON. - ",C395),BASE02,10,FALSE),VLOOKUP(C395,DESON!A:D,4,FALSE))</f>
        <v>15,82</v>
      </c>
      <c r="K395" s="715">
        <f t="shared" si="97"/>
        <v>20.304602172058768</v>
      </c>
      <c r="L395" s="715">
        <f t="shared" si="98"/>
        <v>60.91</v>
      </c>
    </row>
    <row r="396" spans="1:12" ht="42.75">
      <c r="A396" s="89" t="s">
        <v>14058</v>
      </c>
      <c r="B396" s="76" t="s">
        <v>79</v>
      </c>
      <c r="C396" s="76">
        <v>89851</v>
      </c>
      <c r="D396" s="712" t="str">
        <f>IF(B396="SEPLAG",VLOOKUP(C396,COMPOSIÇÃO,2,FALSE),VLOOKUP(C396,'NAO DESO'!A:B,2,FALSE))</f>
        <v>JOELHO 45 GRAUS, PVC, SERIE NORMAL, ESGOTO PREDIAL, DN 100 MM, JUNTA ELÁSTICA, FORNECIDO E INSTALADO EM SUBCOLETOR AÉREO DE ESGOTO SANITÁRIO. AF_12/2014</v>
      </c>
      <c r="E396" s="76" t="str">
        <f>IF(B396="SEPLAG",VLOOKUP(C396,UNIDADE,3,FALSE),VLOOKUP(C396,'NAO DESO'!A:C,3,FALSE))</f>
        <v>UN</v>
      </c>
      <c r="F396" s="713">
        <f t="shared" si="94"/>
        <v>1</v>
      </c>
      <c r="G396" s="714" t="str">
        <f>IF(B396="SEPLAG",VLOOKUP(CONCATENATE("TOTAL DO ITEM NÃO DESON. - ",C396),BASE01,8,FALSE),VLOOKUP(C396,'NAO DESO'!A:D,4,FALSE))</f>
        <v>25,75</v>
      </c>
      <c r="H396" s="715">
        <f t="shared" si="95"/>
        <v>31.47</v>
      </c>
      <c r="I396" s="715">
        <f t="shared" si="96"/>
        <v>31.47</v>
      </c>
      <c r="J396" s="715" t="str">
        <f>IF(B396="SEPLAG",VLOOKUP(CONCATENATE("TOTAL DO ITEM DESON. - ",C396),BASE02,10,FALSE),VLOOKUP(C396,DESON!A:D,4,FALSE))</f>
        <v>24,77</v>
      </c>
      <c r="K396" s="715">
        <f t="shared" si="97"/>
        <v>31.791719077237399</v>
      </c>
      <c r="L396" s="715">
        <f t="shared" si="98"/>
        <v>31.79</v>
      </c>
    </row>
    <row r="397" spans="1:12" ht="42.75">
      <c r="A397" s="89" t="s">
        <v>14059</v>
      </c>
      <c r="B397" s="76" t="s">
        <v>79</v>
      </c>
      <c r="C397" s="76">
        <v>89806</v>
      </c>
      <c r="D397" s="712" t="str">
        <f>IF(B397="SEPLAG",VLOOKUP(C397,COMPOSIÇÃO,2,FALSE),VLOOKUP(C397,'NAO DESO'!A:B,2,FALSE))</f>
        <v>JOELHO 45 GRAUS, PVC, SERIE NORMAL, ESGOTO PREDIAL, DN 75 MM, JUNTA ELÁSTICA, FORNECIDO E INSTALADO EM PRUMADA DE ESGOTO SANITÁRIO OU VENTILAÇÃO. AF_12/2014</v>
      </c>
      <c r="E397" s="76" t="str">
        <f>IF(B397="SEPLAG",VLOOKUP(C397,UNIDADE,3,FALSE),VLOOKUP(C397,'NAO DESO'!A:C,3,FALSE))</f>
        <v>UN</v>
      </c>
      <c r="F397" s="713">
        <f t="shared" si="94"/>
        <v>1</v>
      </c>
      <c r="G397" s="714" t="str">
        <f>IF(B397="SEPLAG",VLOOKUP(CONCATENATE("TOTAL DO ITEM NÃO DESON. - ",C397),BASE01,8,FALSE),VLOOKUP(C397,'NAO DESO'!A:D,4,FALSE))</f>
        <v>17,25</v>
      </c>
      <c r="H397" s="715">
        <f t="shared" si="95"/>
        <v>21.08</v>
      </c>
      <c r="I397" s="715">
        <f t="shared" si="96"/>
        <v>21.08</v>
      </c>
      <c r="J397" s="715" t="str">
        <f>IF(B397="SEPLAG",VLOOKUP(CONCATENATE("TOTAL DO ITEM DESON. - ",C397),BASE02,10,FALSE),VLOOKUP(C397,DESON!A:D,4,FALSE))</f>
        <v>16,92</v>
      </c>
      <c r="K397" s="715">
        <f t="shared" si="97"/>
        <v>21.716426596158936</v>
      </c>
      <c r="L397" s="715">
        <f t="shared" si="98"/>
        <v>21.71</v>
      </c>
    </row>
    <row r="398" spans="1:12">
      <c r="A398" s="734" t="str">
        <f>CONCATENATE("TOTAL DO ITEM &gt;&gt;&gt;&gt;",A390)</f>
        <v>TOTAL DO ITEM &gt;&gt;&gt;&gt;9.1</v>
      </c>
      <c r="B398" s="118"/>
      <c r="C398" s="118"/>
      <c r="D398" s="118"/>
      <c r="E398" s="118"/>
      <c r="F398" s="118"/>
      <c r="G398" s="118"/>
      <c r="H398" s="118"/>
      <c r="I398" s="87">
        <f>SUM(I390:I397)</f>
        <v>10497.600000000002</v>
      </c>
      <c r="J398" s="88"/>
      <c r="K398" s="88"/>
      <c r="L398" s="87">
        <f>SUM(L390:L397)</f>
        <v>10738.33</v>
      </c>
    </row>
    <row r="399" spans="1:12" s="109" customFormat="1">
      <c r="A399" s="1257" t="str">
        <f>CONCATENATE("TOTAL DO ITEM &gt;&gt;&gt;&gt;",A389)</f>
        <v>TOTAL DO ITEM &gt;&gt;&gt;&gt;9.0</v>
      </c>
      <c r="B399" s="1258"/>
      <c r="C399" s="1258"/>
      <c r="D399" s="1258"/>
      <c r="E399" s="1258"/>
      <c r="F399" s="1258"/>
      <c r="G399" s="1258"/>
      <c r="H399" s="1258"/>
      <c r="I399" s="1269">
        <f>SUM(I391:I397)</f>
        <v>10497.600000000002</v>
      </c>
      <c r="J399" s="1270"/>
      <c r="K399" s="1270"/>
      <c r="L399" s="1269">
        <f>SUM(L391:L397)</f>
        <v>10738.33</v>
      </c>
    </row>
    <row r="400" spans="1:12" s="1245" customFormat="1">
      <c r="A400" s="838"/>
      <c r="B400" s="1271"/>
      <c r="C400" s="1271"/>
      <c r="D400" s="1271"/>
      <c r="E400" s="1271"/>
      <c r="F400" s="1271"/>
      <c r="G400" s="1271"/>
      <c r="H400" s="1271"/>
      <c r="I400" s="1271"/>
      <c r="J400" s="1271"/>
      <c r="K400" s="1271"/>
      <c r="L400" s="1272"/>
    </row>
    <row r="401" spans="1:12" s="109" customFormat="1">
      <c r="A401" s="1263" t="s">
        <v>14060</v>
      </c>
      <c r="B401" s="1267"/>
      <c r="C401" s="1267"/>
      <c r="D401" s="1266" t="s">
        <v>7291</v>
      </c>
      <c r="E401" s="1267"/>
      <c r="F401" s="1268"/>
      <c r="G401" s="1268"/>
      <c r="H401" s="1268"/>
      <c r="I401" s="1268"/>
      <c r="J401" s="1273"/>
      <c r="K401" s="1273"/>
      <c r="L401" s="1273"/>
    </row>
    <row r="402" spans="1:12" ht="28.5">
      <c r="A402" s="77" t="s">
        <v>14061</v>
      </c>
      <c r="B402" s="75" t="s">
        <v>79</v>
      </c>
      <c r="C402" s="75">
        <v>93358</v>
      </c>
      <c r="D402" s="712" t="str">
        <f>IF(B402="SEPLAG",VLOOKUP(C402,COMPOSIÇÃO,2,FALSE),VLOOKUP(C402,'NAO DESO'!A:B,2,FALSE))</f>
        <v>ESCAVAÇÃO MANUAL DE VALA COM PROFUNDIDADE MENOR OU IGUAL A 1,30 M. AF_02/2021</v>
      </c>
      <c r="E402" s="76" t="str">
        <f>IF(B402="SEPLAG",VLOOKUP(C402,UNIDADE,3,FALSE),VLOOKUP(C402,'NAO DESO'!A:C,3,FALSE))</f>
        <v>M3</v>
      </c>
      <c r="F402" s="713">
        <f t="shared" ref="F402:F418" si="99">VLOOKUP(A402,MEMÓRIA,6,FALSE)</f>
        <v>20.6</v>
      </c>
      <c r="G402" s="714" t="str">
        <f>IF(B402="SEPLAG",VLOOKUP(CONCATENATE("TOTAL DO ITEM NÃO DESON. - ",C402),BASE01,8,FALSE),VLOOKUP(C402,'NAO DESO'!A:D,4,FALSE))</f>
        <v>66,57</v>
      </c>
      <c r="H402" s="715">
        <f t="shared" ref="H402:H418" si="100">TRUNC(G402+G402*$K$6,2)</f>
        <v>81.36</v>
      </c>
      <c r="I402" s="715">
        <f t="shared" ref="I402:I418" si="101">TRUNC(F402*H402,2)</f>
        <v>1676.01</v>
      </c>
      <c r="J402" s="715" t="str">
        <f>IF(B402="SEPLAG",VLOOKUP(CONCATENATE("TOTAL DO ITEM DESON. - ",C402),BASE02,10,FALSE),VLOOKUP(C402,DESON!A:D,4,FALSE))</f>
        <v>59,97</v>
      </c>
      <c r="K402" s="715">
        <f t="shared" ref="K402:K418" si="102">J402+J402*$L$6</f>
        <v>76.970100648442752</v>
      </c>
      <c r="L402" s="715">
        <f t="shared" ref="L402:L418" si="103">TRUNC(F402*K402,2)</f>
        <v>1585.58</v>
      </c>
    </row>
    <row r="403" spans="1:12" ht="28.5">
      <c r="A403" s="77" t="s">
        <v>14062</v>
      </c>
      <c r="B403" s="75" t="s">
        <v>79</v>
      </c>
      <c r="C403" s="75">
        <v>93382</v>
      </c>
      <c r="D403" s="712" t="str">
        <f>IF(B403="SEPLAG",VLOOKUP(C403,COMPOSIÇÃO,2,FALSE),VLOOKUP(C403,'NAO DESO'!A:B,2,FALSE))</f>
        <v>REATERRO MANUAL DE VALAS COM COMPACTAÇÃO MECANIZADA. AF_04/2016</v>
      </c>
      <c r="E403" s="76" t="str">
        <f>IF(B403="SEPLAG",VLOOKUP(C403,UNIDADE,3,FALSE),VLOOKUP(C403,'NAO DESO'!A:C,3,FALSE))</f>
        <v>M3</v>
      </c>
      <c r="F403" s="713">
        <f t="shared" si="99"/>
        <v>20.6</v>
      </c>
      <c r="G403" s="714" t="str">
        <f>IF(B403="SEPLAG",VLOOKUP(CONCATENATE("TOTAL DO ITEM NÃO DESON. - ",C403),BASE01,8,FALSE),VLOOKUP(C403,'NAO DESO'!A:D,4,FALSE))</f>
        <v>23,85</v>
      </c>
      <c r="H403" s="715">
        <f t="shared" si="100"/>
        <v>29.15</v>
      </c>
      <c r="I403" s="715">
        <f t="shared" si="101"/>
        <v>600.49</v>
      </c>
      <c r="J403" s="715" t="str">
        <f>IF(B403="SEPLAG",VLOOKUP(CONCATENATE("TOTAL DO ITEM DESON. - ",C403),BASE02,10,FALSE),VLOOKUP(C403,DESON!A:D,4,FALSE))</f>
        <v>21,84</v>
      </c>
      <c r="K403" s="715">
        <f t="shared" si="102"/>
        <v>28.031132202134227</v>
      </c>
      <c r="L403" s="715">
        <f t="shared" si="103"/>
        <v>577.44000000000005</v>
      </c>
    </row>
    <row r="404" spans="1:12" ht="28.5">
      <c r="A404" s="77" t="s">
        <v>14063</v>
      </c>
      <c r="B404" s="75" t="s">
        <v>79</v>
      </c>
      <c r="C404" s="78">
        <v>96985</v>
      </c>
      <c r="D404" s="712" t="str">
        <f>IF(B404="SEPLAG",VLOOKUP(C404,COMPOSIÇÃO,2,FALSE),VLOOKUP(C404,'NAO DESO'!A:B,2,FALSE))</f>
        <v>HASTE DE ATERRAMENTO 5/8  PARA SPDA - FORNECIMENTO E INSTALAÇÃO. AF_12/2017</v>
      </c>
      <c r="E404" s="76" t="str">
        <f>IF(B404="SEPLAG",VLOOKUP(C404,UNIDADE,3,FALSE),VLOOKUP(C404,'NAO DESO'!A:C,3,FALSE))</f>
        <v>UN</v>
      </c>
      <c r="F404" s="713">
        <f t="shared" si="99"/>
        <v>41</v>
      </c>
      <c r="G404" s="714" t="str">
        <f>IF(B404="SEPLAG",VLOOKUP(CONCATENATE("TOTAL DO ITEM NÃO DESON. - ",C404),BASE01,8,FALSE),VLOOKUP(C404,'NAO DESO'!A:D,4,FALSE))</f>
        <v>61,40</v>
      </c>
      <c r="H404" s="715">
        <f t="shared" si="100"/>
        <v>75.040000000000006</v>
      </c>
      <c r="I404" s="715">
        <f t="shared" si="101"/>
        <v>3076.64</v>
      </c>
      <c r="J404" s="715" t="str">
        <f>IF(B404="SEPLAG",VLOOKUP(CONCATENATE("TOTAL DO ITEM DESON. - ",C404),BASE02,10,FALSE),VLOOKUP(C404,DESON!A:D,4,FALSE))</f>
        <v>60,39</v>
      </c>
      <c r="K404" s="715">
        <f t="shared" si="102"/>
        <v>77.50916088309917</v>
      </c>
      <c r="L404" s="715">
        <f t="shared" si="103"/>
        <v>3177.87</v>
      </c>
    </row>
    <row r="405" spans="1:12" ht="42.75">
      <c r="A405" s="77" t="s">
        <v>14064</v>
      </c>
      <c r="B405" s="75" t="s">
        <v>79</v>
      </c>
      <c r="C405" s="78">
        <v>91872</v>
      </c>
      <c r="D405" s="712" t="str">
        <f>IF(B405="SEPLAG",VLOOKUP(C405,COMPOSIÇÃO,2,FALSE),VLOOKUP(C405,'NAO DESO'!A:B,2,FALSE))</f>
        <v>ELETRODUTO RÍGIDO ROSCÁVEL, PVC, DN 32 MM (1"), PARA CIRCUITOS TERMINAIS, INSTALADO EM PAREDE - FORNECIMENTO E INSTALAÇÃO. AF_12/2015</v>
      </c>
      <c r="E405" s="76" t="str">
        <f>IF(B405="SEPLAG",VLOOKUP(C405,UNIDADE,3,FALSE),VLOOKUP(C405,'NAO DESO'!A:C,3,FALSE))</f>
        <v>M</v>
      </c>
      <c r="F405" s="713">
        <f t="shared" si="99"/>
        <v>15</v>
      </c>
      <c r="G405" s="714" t="str">
        <f>IF(B405="SEPLAG",VLOOKUP(CONCATENATE("TOTAL DO ITEM NÃO DESON. - ",C405),BASE01,8,FALSE),VLOOKUP(C405,'NAO DESO'!A:D,4,FALSE))</f>
        <v>13,75</v>
      </c>
      <c r="H405" s="715">
        <f t="shared" si="100"/>
        <v>16.8</v>
      </c>
      <c r="I405" s="715">
        <f t="shared" si="101"/>
        <v>252</v>
      </c>
      <c r="J405" s="715" t="str">
        <f>IF(B405="SEPLAG",VLOOKUP(CONCATENATE("TOTAL DO ITEM DESON. - ",C405),BASE02,10,FALSE),VLOOKUP(C405,DESON!A:D,4,FALSE))</f>
        <v>12,97</v>
      </c>
      <c r="K405" s="715">
        <f t="shared" si="102"/>
        <v>16.646693436890153</v>
      </c>
      <c r="L405" s="715">
        <f t="shared" si="103"/>
        <v>249.7</v>
      </c>
    </row>
    <row r="406" spans="1:12" ht="29.25">
      <c r="A406" s="77" t="s">
        <v>14065</v>
      </c>
      <c r="B406" s="75" t="s">
        <v>14504</v>
      </c>
      <c r="C406" s="78" t="s">
        <v>7739</v>
      </c>
      <c r="D406" s="712" t="str">
        <f>IF(B406="SEPLAG",VLOOKUP(C406,COMPOSIÇÃO,2,FALSE),VLOOKUP(C406,'NAO DESO'!A:B,2,FALSE))</f>
        <v>CABO DE COBRE NU 50 MM² - FORNECIMENTO E INSTALAÇÃO. AF_12/2017</v>
      </c>
      <c r="E406" s="76" t="str">
        <f>IF(B406="SEPLAG",VLOOKUP(C406,UNIDADE,3,FALSE),VLOOKUP(C406,'NAO DESO'!A:C,3,FALSE))</f>
        <v>M</v>
      </c>
      <c r="F406" s="713">
        <f t="shared" si="99"/>
        <v>132</v>
      </c>
      <c r="G406" s="714">
        <f>IF(B406="SEPLAG",VLOOKUP(CONCATENATE("TOTAL DO ITEM NÃO DESON. - ",C406),BASE01,8,FALSE),VLOOKUP(C406,'NAO DESO'!A:D,4,FALSE))</f>
        <v>56.06</v>
      </c>
      <c r="H406" s="715">
        <f t="shared" si="100"/>
        <v>68.510000000000005</v>
      </c>
      <c r="I406" s="715">
        <f t="shared" si="101"/>
        <v>9043.32</v>
      </c>
      <c r="J406" s="715">
        <f>IF(B406="SEPLAG",VLOOKUP(CONCATENATE("TOTAL DO ITEM DESON. - ",C406),BASE02,10,FALSE),VLOOKUP(C406,DESON!A:D,4,FALSE))</f>
        <v>54.760000000000005</v>
      </c>
      <c r="K406" s="715">
        <f t="shared" si="102"/>
        <v>70.283186785204691</v>
      </c>
      <c r="L406" s="715">
        <f t="shared" si="103"/>
        <v>9277.3799999999992</v>
      </c>
    </row>
    <row r="407" spans="1:12" ht="42.75">
      <c r="A407" s="77" t="s">
        <v>14066</v>
      </c>
      <c r="B407" s="75" t="s">
        <v>14504</v>
      </c>
      <c r="C407" s="78" t="s">
        <v>325</v>
      </c>
      <c r="D407" s="712" t="str">
        <f>IF(B407="SEPLAG",VLOOKUP(C407,COMPOSIÇÃO,2,FALSE),VLOOKUP(C407,'NAO DESO'!A:B,2,FALSE))</f>
        <v>TERMINAL A COMPRESSAO EM COBRE ESTANHADO PARA CABO 50 MM2, 1 FURO E 1 COMPRESSAO, PARA PARAFUSO DE FIXACAO M8, FORNECIMENTO E INSTALAÇÃO</v>
      </c>
      <c r="E407" s="76" t="str">
        <f>IF(B407="SEPLAG",VLOOKUP(C407,UNIDADE,3,FALSE),VLOOKUP(C407,'NAO DESO'!A:C,3,FALSE))</f>
        <v>UND</v>
      </c>
      <c r="F407" s="713">
        <f t="shared" si="99"/>
        <v>18</v>
      </c>
      <c r="G407" s="714">
        <f>IF(B407="SEPLAG",VLOOKUP(CONCATENATE("TOTAL DO ITEM NÃO DESON. - ",C407),BASE01,8,FALSE),VLOOKUP(C407,'NAO DESO'!A:D,4,FALSE))</f>
        <v>7.95</v>
      </c>
      <c r="H407" s="715">
        <f t="shared" si="100"/>
        <v>9.7100000000000009</v>
      </c>
      <c r="I407" s="715">
        <f t="shared" si="101"/>
        <v>174.78</v>
      </c>
      <c r="J407" s="715">
        <f>IF(B407="SEPLAG",VLOOKUP(CONCATENATE("TOTAL DO ITEM DESON. - ",C407),BASE02,10,FALSE),VLOOKUP(C407,DESON!A:D,4,FALSE))</f>
        <v>7.55</v>
      </c>
      <c r="K407" s="715">
        <f t="shared" si="102"/>
        <v>9.6902494563238744</v>
      </c>
      <c r="L407" s="715">
        <f t="shared" si="103"/>
        <v>174.42</v>
      </c>
    </row>
    <row r="408" spans="1:12" ht="29.25">
      <c r="A408" s="77" t="s">
        <v>14067</v>
      </c>
      <c r="B408" s="75" t="s">
        <v>14504</v>
      </c>
      <c r="C408" s="78" t="s">
        <v>315</v>
      </c>
      <c r="D408" s="712" t="str">
        <f>IF(B408="SEPLAG",VLOOKUP(C408,COMPOSIÇÃO,2,FALSE),VLOOKUP(C408,'NAO DESO'!A:B,2,FALSE))</f>
        <v>CARTUCHO PARA SOLDA EXOTÊRMICA Nº 90, FORNECIMENTO E INSTALAÇÃO</v>
      </c>
      <c r="E408" s="76" t="str">
        <f>IF(B408="SEPLAG",VLOOKUP(C408,UNIDADE,3,FALSE),VLOOKUP(C408,'NAO DESO'!A:C,3,FALSE))</f>
        <v>UND</v>
      </c>
      <c r="F408" s="713">
        <f t="shared" si="99"/>
        <v>62</v>
      </c>
      <c r="G408" s="714">
        <f>IF(B408="SEPLAG",VLOOKUP(CONCATENATE("TOTAL DO ITEM NÃO DESON. - ",C408),BASE01,8,FALSE),VLOOKUP(C408,'NAO DESO'!A:D,4,FALSE))</f>
        <v>31.849999999999998</v>
      </c>
      <c r="H408" s="715">
        <f t="shared" si="100"/>
        <v>38.92</v>
      </c>
      <c r="I408" s="715">
        <f t="shared" si="101"/>
        <v>2413.04</v>
      </c>
      <c r="J408" s="715">
        <f>IF(B408="SEPLAG",VLOOKUP(CONCATENATE("TOTAL DO ITEM DESON. - ",C408),BASE02,10,FALSE),VLOOKUP(C408,DESON!A:D,4,FALSE))</f>
        <v>30.639999999999997</v>
      </c>
      <c r="K408" s="715">
        <f t="shared" si="102"/>
        <v>39.325727594935557</v>
      </c>
      <c r="L408" s="715">
        <f t="shared" si="103"/>
        <v>2438.19</v>
      </c>
    </row>
    <row r="409" spans="1:12" ht="29.25">
      <c r="A409" s="77" t="s">
        <v>14068</v>
      </c>
      <c r="B409" s="75" t="s">
        <v>14504</v>
      </c>
      <c r="C409" s="78" t="s">
        <v>333</v>
      </c>
      <c r="D409" s="712" t="str">
        <f>IF(B409="SEPLAG",VLOOKUP(C409,COMPOSIÇÃO,2,FALSE),VLOOKUP(C409,'NAO DESO'!A:B,2,FALSE))</f>
        <v>TERMINAL AEREO BASE PLANA GALVANIZADO A QUENTE - BARRA CHATA, FORNECIMENTO E INSTALAÇÃO</v>
      </c>
      <c r="E409" s="76" t="str">
        <f>IF(B409="SEPLAG",VLOOKUP(C409,UNIDADE,3,FALSE),VLOOKUP(C409,'NAO DESO'!A:C,3,FALSE))</f>
        <v>UND</v>
      </c>
      <c r="F409" s="713">
        <f t="shared" si="99"/>
        <v>58</v>
      </c>
      <c r="G409" s="714">
        <f>IF(B409="SEPLAG",VLOOKUP(CONCATENATE("TOTAL DO ITEM NÃO DESON. - ",C409),BASE01,8,FALSE),VLOOKUP(C409,'NAO DESO'!A:D,4,FALSE))</f>
        <v>15.330000000000002</v>
      </c>
      <c r="H409" s="715">
        <f t="shared" si="100"/>
        <v>18.73</v>
      </c>
      <c r="I409" s="715">
        <f t="shared" si="101"/>
        <v>1086.3399999999999</v>
      </c>
      <c r="J409" s="715">
        <f>IF(B409="SEPLAG",VLOOKUP(CONCATENATE("TOTAL DO ITEM DESON. - ",C409),BASE02,10,FALSE),VLOOKUP(C409,DESON!A:D,4,FALSE))</f>
        <v>14.93</v>
      </c>
      <c r="K409" s="715">
        <f t="shared" si="102"/>
        <v>19.162307865286813</v>
      </c>
      <c r="L409" s="715">
        <f t="shared" si="103"/>
        <v>1111.4100000000001</v>
      </c>
    </row>
    <row r="410" spans="1:12" ht="28.5">
      <c r="A410" s="77" t="s">
        <v>14069</v>
      </c>
      <c r="B410" s="75" t="s">
        <v>79</v>
      </c>
      <c r="C410" s="78">
        <v>101749</v>
      </c>
      <c r="D410" s="712" t="str">
        <f>IF(B410="SEPLAG",VLOOKUP(C410,COMPOSIÇÃO,2,FALSE),VLOOKUP(C410,'NAO DESO'!A:B,2,FALSE))</f>
        <v>PISO CIMENTADO, TRAÇO 1:3 (CIMENTO E AREIA), ACABAMENTO LISO, ESPESSURA 4,0 CM, PREPARO MECÂNICO DA ARGAMASSA. AF_09/2020</v>
      </c>
      <c r="E410" s="76" t="str">
        <f>IF(B410="SEPLAG",VLOOKUP(C410,UNIDADE,3,FALSE),VLOOKUP(C410,'NAO DESO'!A:C,3,FALSE))</f>
        <v>M2</v>
      </c>
      <c r="F410" s="713">
        <f t="shared" si="99"/>
        <v>34.4</v>
      </c>
      <c r="G410" s="714" t="str">
        <f>IF(B410="SEPLAG",VLOOKUP(CONCATENATE("TOTAL DO ITEM NÃO DESON. - ",C410),BASE01,8,FALSE),VLOOKUP(C410,'NAO DESO'!A:D,4,FALSE))</f>
        <v>45,76</v>
      </c>
      <c r="H410" s="715">
        <f t="shared" si="100"/>
        <v>55.93</v>
      </c>
      <c r="I410" s="715">
        <f t="shared" si="101"/>
        <v>1923.99</v>
      </c>
      <c r="J410" s="715" t="str">
        <f>IF(B410="SEPLAG",VLOOKUP(CONCATENATE("TOTAL DO ITEM DESON. - ",C410),BASE02,10,FALSE),VLOOKUP(C410,DESON!A:D,4,FALSE))</f>
        <v>44,11</v>
      </c>
      <c r="K410" s="715">
        <f t="shared" si="102"/>
        <v>56.614159406416704</v>
      </c>
      <c r="L410" s="715">
        <f t="shared" si="103"/>
        <v>1947.52</v>
      </c>
    </row>
    <row r="411" spans="1:12" ht="28.5">
      <c r="A411" s="77" t="s">
        <v>14070</v>
      </c>
      <c r="B411" s="75" t="s">
        <v>79</v>
      </c>
      <c r="C411" s="78">
        <v>98463</v>
      </c>
      <c r="D411" s="712" t="str">
        <f>IF(B411="SEPLAG",VLOOKUP(C411,COMPOSIÇÃO,2,FALSE),VLOOKUP(C411,'NAO DESO'!A:B,2,FALSE))</f>
        <v>SUPORTE ISOLADOR PARA CORDOALHA DE COBRE - FORNECIMENTO E INSTALAÇÃO. AF_12/2017</v>
      </c>
      <c r="E411" s="76" t="str">
        <f>IF(B411="SEPLAG",VLOOKUP(C411,UNIDADE,3,FALSE),VLOOKUP(C411,'NAO DESO'!A:C,3,FALSE))</f>
        <v>UN</v>
      </c>
      <c r="F411" s="713">
        <f t="shared" si="99"/>
        <v>161</v>
      </c>
      <c r="G411" s="714" t="str">
        <f>IF(B411="SEPLAG",VLOOKUP(CONCATENATE("TOTAL DO ITEM NÃO DESON. - ",C411),BASE01,8,FALSE),VLOOKUP(C411,'NAO DESO'!A:D,4,FALSE))</f>
        <v>20,67</v>
      </c>
      <c r="H411" s="715">
        <f t="shared" si="100"/>
        <v>25.26</v>
      </c>
      <c r="I411" s="715">
        <f t="shared" si="101"/>
        <v>4066.86</v>
      </c>
      <c r="J411" s="715" t="str">
        <f>IF(B411="SEPLAG",VLOOKUP(CONCATENATE("TOTAL DO ITEM DESON. - ",C411),BASE02,10,FALSE),VLOOKUP(C411,DESON!A:D,4,FALSE))</f>
        <v>19,41</v>
      </c>
      <c r="K411" s="715">
        <f t="shared" si="102"/>
        <v>24.912283701622037</v>
      </c>
      <c r="L411" s="715">
        <f t="shared" si="103"/>
        <v>4010.87</v>
      </c>
    </row>
    <row r="412" spans="1:12" ht="42.75">
      <c r="A412" s="77" t="s">
        <v>14071</v>
      </c>
      <c r="B412" s="75" t="s">
        <v>14504</v>
      </c>
      <c r="C412" s="78" t="s">
        <v>14163</v>
      </c>
      <c r="D412" s="712" t="str">
        <f>IF(B412="SEPLAG",VLOOKUP(C412,COMPOSIÇÃO,2,FALSE),VLOOKUP(C412,'NAO DESO'!A:B,2,FALSE))</f>
        <v>TERMINAL A COMPRESSAO EM COBRE ESTANHADO PARA CABO 35 MM2, 1 FURO E 1 COMPRESSAO, PARA PARAFUSO DE FIXACAO M8, FORNECIMENTO E INSTALAÇÃO</v>
      </c>
      <c r="E412" s="76" t="str">
        <f>IF(B412="SEPLAG",VLOOKUP(C412,UNIDADE,3,FALSE),VLOOKUP(C412,'NAO DESO'!A:C,3,FALSE))</f>
        <v>UND</v>
      </c>
      <c r="F412" s="713">
        <f t="shared" si="99"/>
        <v>18</v>
      </c>
      <c r="G412" s="714">
        <f>IF(B412="SEPLAG",VLOOKUP(CONCATENATE("TOTAL DO ITEM NÃO DESON. - ",C412),BASE01,8,FALSE),VLOOKUP(C412,'NAO DESO'!A:D,4,FALSE))</f>
        <v>6.2200000000000006</v>
      </c>
      <c r="H412" s="715">
        <f t="shared" si="100"/>
        <v>7.6</v>
      </c>
      <c r="I412" s="715">
        <f t="shared" si="101"/>
        <v>136.80000000000001</v>
      </c>
      <c r="J412" s="715">
        <f>IF(B412="SEPLAG",VLOOKUP(CONCATENATE("TOTAL DO ITEM DESON. - ",C412),BASE02,10,FALSE),VLOOKUP(C412,DESON!A:D,4,FALSE))</f>
        <v>5.82</v>
      </c>
      <c r="K412" s="715">
        <f t="shared" si="102"/>
        <v>7.4698346802390665</v>
      </c>
      <c r="L412" s="715">
        <f t="shared" si="103"/>
        <v>134.44999999999999</v>
      </c>
    </row>
    <row r="413" spans="1:12" ht="42.75">
      <c r="A413" s="77" t="s">
        <v>14072</v>
      </c>
      <c r="B413" s="75" t="s">
        <v>79</v>
      </c>
      <c r="C413" s="78">
        <v>91885</v>
      </c>
      <c r="D413" s="712" t="str">
        <f>IF(B413="SEPLAG",VLOOKUP(C413,COMPOSIÇÃO,2,FALSE),VLOOKUP(C413,'NAO DESO'!A:B,2,FALSE))</f>
        <v>LUVA PARA ELETRODUTO, PVC, ROSCÁVEL, DN 32 MM (1"), PARA CIRCUITOS TERMINAIS, INSTALADA EM PAREDE - FORNECIMENTO E INSTALAÇÃO. AF_12/2015</v>
      </c>
      <c r="E413" s="76" t="str">
        <f>IF(B413="SEPLAG",VLOOKUP(C413,UNIDADE,3,FALSE),VLOOKUP(C413,'NAO DESO'!A:C,3,FALSE))</f>
        <v>UN</v>
      </c>
      <c r="F413" s="713">
        <f t="shared" si="99"/>
        <v>18</v>
      </c>
      <c r="G413" s="714" t="str">
        <f>IF(B413="SEPLAG",VLOOKUP(CONCATENATE("TOTAL DO ITEM NÃO DESON. - ",C413),BASE01,8,FALSE),VLOOKUP(C413,'NAO DESO'!A:D,4,FALSE))</f>
        <v>8,60</v>
      </c>
      <c r="H413" s="715">
        <f t="shared" si="100"/>
        <v>10.51</v>
      </c>
      <c r="I413" s="715">
        <f t="shared" si="101"/>
        <v>189.18</v>
      </c>
      <c r="J413" s="715" t="str">
        <f>IF(B413="SEPLAG",VLOOKUP(CONCATENATE("TOTAL DO ITEM DESON. - ",C413),BASE02,10,FALSE),VLOOKUP(C413,DESON!A:D,4,FALSE))</f>
        <v>7,87</v>
      </c>
      <c r="K413" s="715">
        <f t="shared" si="102"/>
        <v>10.100962016062105</v>
      </c>
      <c r="L413" s="715">
        <f t="shared" si="103"/>
        <v>181.81</v>
      </c>
    </row>
    <row r="414" spans="1:12" ht="42.75">
      <c r="A414" s="77" t="s">
        <v>14073</v>
      </c>
      <c r="B414" s="75" t="s">
        <v>79</v>
      </c>
      <c r="C414" s="78">
        <v>91917</v>
      </c>
      <c r="D414" s="712" t="str">
        <f>IF(B414="SEPLAG",VLOOKUP(C414,COMPOSIÇÃO,2,FALSE),VLOOKUP(C414,'NAO DESO'!A:B,2,FALSE))</f>
        <v>CURVA 90 GRAUS PARA ELETRODUTO, PVC, ROSCÁVEL, DN 32 MM (1"), PARA CIRCUITOS TERMINAIS, INSTALADA EM PAREDE - FORNECIMENTO E INSTALAÇÃO. AF_12/2015</v>
      </c>
      <c r="E414" s="76" t="str">
        <f>IF(B414="SEPLAG",VLOOKUP(C414,UNIDADE,3,FALSE),VLOOKUP(C414,'NAO DESO'!A:C,3,FALSE))</f>
        <v>UN</v>
      </c>
      <c r="F414" s="713">
        <f t="shared" si="99"/>
        <v>9</v>
      </c>
      <c r="G414" s="714" t="str">
        <f>IF(B414="SEPLAG",VLOOKUP(CONCATENATE("TOTAL DO ITEM NÃO DESON. - ",C414),BASE01,8,FALSE),VLOOKUP(C414,'NAO DESO'!A:D,4,FALSE))</f>
        <v>14,47</v>
      </c>
      <c r="H414" s="715">
        <f t="shared" si="100"/>
        <v>17.68</v>
      </c>
      <c r="I414" s="715">
        <f t="shared" si="101"/>
        <v>159.12</v>
      </c>
      <c r="J414" s="715" t="str">
        <f>IF(B414="SEPLAG",VLOOKUP(CONCATENATE("TOTAL DO ITEM DESON. - ",C414),BASE02,10,FALSE),VLOOKUP(C414,DESON!A:D,4,FALSE))</f>
        <v>13,38</v>
      </c>
      <c r="K414" s="715">
        <f t="shared" si="102"/>
        <v>17.172918904054761</v>
      </c>
      <c r="L414" s="715">
        <f t="shared" si="103"/>
        <v>154.55000000000001</v>
      </c>
    </row>
    <row r="415" spans="1:12" ht="42.75">
      <c r="A415" s="77" t="s">
        <v>14074</v>
      </c>
      <c r="B415" s="75" t="s">
        <v>79</v>
      </c>
      <c r="C415" s="78">
        <v>91168</v>
      </c>
      <c r="D415" s="712" t="str">
        <f>IF(B415="SEPLAG",VLOOKUP(C415,COMPOSIÇÃO,2,FALSE),VLOOKUP(C415,'NAO DESO'!A:B,2,FALSE))</f>
        <v>FIXAÇÃO DE TUBOS HORIZONTAIS DE PPR DIÂMETROS MAIORES QUE 40 MM E MENORES OU IGUAIS A 75 MM COM ABRAÇADEIRA METÁLICA RÍGIDA TIPO D 1 1/2", FIXADA EM PERFILADO EM LAJE. AF_05/2015</v>
      </c>
      <c r="E415" s="76" t="str">
        <f>IF(B415="SEPLAG",VLOOKUP(C415,UNIDADE,3,FALSE),VLOOKUP(C415,'NAO DESO'!A:C,3,FALSE))</f>
        <v>M</v>
      </c>
      <c r="F415" s="713">
        <f t="shared" si="99"/>
        <v>15</v>
      </c>
      <c r="G415" s="714" t="str">
        <f>IF(B415="SEPLAG",VLOOKUP(CONCATENATE("TOTAL DO ITEM NÃO DESON. - ",C415),BASE01,8,FALSE),VLOOKUP(C415,'NAO DESO'!A:D,4,FALSE))</f>
        <v>8,86</v>
      </c>
      <c r="H415" s="715">
        <f t="shared" si="100"/>
        <v>10.82</v>
      </c>
      <c r="I415" s="715">
        <f t="shared" si="101"/>
        <v>162.30000000000001</v>
      </c>
      <c r="J415" s="715" t="str">
        <f>IF(B415="SEPLAG",VLOOKUP(CONCATENATE("TOTAL DO ITEM DESON. - ",C415),BASE02,10,FALSE),VLOOKUP(C415,DESON!A:D,4,FALSE))</f>
        <v>8,35</v>
      </c>
      <c r="K415" s="715">
        <f t="shared" si="102"/>
        <v>10.717030855669449</v>
      </c>
      <c r="L415" s="715">
        <f t="shared" si="103"/>
        <v>160.75</v>
      </c>
    </row>
    <row r="416" spans="1:12" ht="28.5">
      <c r="A416" s="77" t="s">
        <v>14075</v>
      </c>
      <c r="B416" s="75" t="s">
        <v>79</v>
      </c>
      <c r="C416" s="78">
        <v>95809</v>
      </c>
      <c r="D416" s="712" t="str">
        <f>IF(B416="SEPLAG",VLOOKUP(C416,COMPOSIÇÃO,2,FALSE),VLOOKUP(C416,'NAO DESO'!A:B,2,FALSE))</f>
        <v>CONDULETE DE PVC, TIPO LL, PARA ELETRODUTO DE PVC SOLDÁVEL DN 32 MM (1''), APARENTE - FORNECIMENTO E INSTALAÇÃO. AF_11/2016</v>
      </c>
      <c r="E416" s="76" t="str">
        <f>IF(B416="SEPLAG",VLOOKUP(C416,UNIDADE,3,FALSE),VLOOKUP(C416,'NAO DESO'!A:C,3,FALSE))</f>
        <v>UN</v>
      </c>
      <c r="F416" s="713">
        <f t="shared" si="99"/>
        <v>9</v>
      </c>
      <c r="G416" s="714" t="str">
        <f>IF(B416="SEPLAG",VLOOKUP(CONCATENATE("TOTAL DO ITEM NÃO DESON. - ",C416),BASE01,8,FALSE),VLOOKUP(C416,'NAO DESO'!A:D,4,FALSE))</f>
        <v>26,81</v>
      </c>
      <c r="H416" s="715">
        <f t="shared" si="100"/>
        <v>32.76</v>
      </c>
      <c r="I416" s="715">
        <f t="shared" si="101"/>
        <v>294.83999999999997</v>
      </c>
      <c r="J416" s="715" t="str">
        <f>IF(B416="SEPLAG",VLOOKUP(CONCATENATE("TOTAL DO ITEM DESON. - ",C416),BASE02,10,FALSE),VLOOKUP(C416,DESON!A:D,4,FALSE))</f>
        <v>25,32</v>
      </c>
      <c r="K416" s="715">
        <f t="shared" si="102"/>
        <v>32.497631289287483</v>
      </c>
      <c r="L416" s="715">
        <f t="shared" si="103"/>
        <v>292.47000000000003</v>
      </c>
    </row>
    <row r="417" spans="1:12" ht="28.5">
      <c r="A417" s="77" t="s">
        <v>14076</v>
      </c>
      <c r="B417" s="75" t="s">
        <v>79</v>
      </c>
      <c r="C417" s="78">
        <v>98561</v>
      </c>
      <c r="D417" s="712" t="str">
        <f>IF(B417="SEPLAG",VLOOKUP(C417,COMPOSIÇÃO,2,FALSE),VLOOKUP(C417,'NAO DESO'!A:B,2,FALSE))</f>
        <v>IMPERMEABILIZAÇÃO DE PAREDES COM ARGAMASSA DE CIMENTO E AREIA, COM ADITIVO IMPERMEABILIZANTE, E = 2CM. AF_06/2018</v>
      </c>
      <c r="E417" s="76" t="str">
        <f>IF(B417="SEPLAG",VLOOKUP(C417,UNIDADE,3,FALSE),VLOOKUP(C417,'NAO DESO'!A:C,3,FALSE))</f>
        <v>M2</v>
      </c>
      <c r="F417" s="713">
        <f t="shared" si="99"/>
        <v>19</v>
      </c>
      <c r="G417" s="714" t="str">
        <f>IF(B417="SEPLAG",VLOOKUP(CONCATENATE("TOTAL DO ITEM NÃO DESON. - ",C417),BASE01,8,FALSE),VLOOKUP(C417,'NAO DESO'!A:D,4,FALSE))</f>
        <v>35,10</v>
      </c>
      <c r="H417" s="715">
        <f t="shared" si="100"/>
        <v>42.9</v>
      </c>
      <c r="I417" s="715">
        <f t="shared" si="101"/>
        <v>815.1</v>
      </c>
      <c r="J417" s="715" t="str">
        <f>IF(B417="SEPLAG",VLOOKUP(CONCATENATE("TOTAL DO ITEM DESON. - ",C417),BASE02,10,FALSE),VLOOKUP(C417,DESON!A:D,4,FALSE))</f>
        <v>32,66</v>
      </c>
      <c r="K417" s="715">
        <f t="shared" si="102"/>
        <v>41.918350628283136</v>
      </c>
      <c r="L417" s="715">
        <f t="shared" si="103"/>
        <v>796.44</v>
      </c>
    </row>
    <row r="418" spans="1:12" ht="29.25">
      <c r="A418" s="77" t="s">
        <v>14077</v>
      </c>
      <c r="B418" s="75" t="s">
        <v>14504</v>
      </c>
      <c r="C418" s="78" t="s">
        <v>14167</v>
      </c>
      <c r="D418" s="712" t="str">
        <f>IF(B418="SEPLAG",VLOOKUP(C418,COMPOSIÇÃO,2,FALSE),VLOOKUP(C418,'NAO DESO'!A:B,2,FALSE))</f>
        <v>CABO DE COBRE NU 35 MM² - FORNECIMENTO E INSTALAÇÃO. AF_12/2017</v>
      </c>
      <c r="E418" s="76" t="str">
        <f>IF(B418="SEPLAG",VLOOKUP(C418,UNIDADE,3,FALSE),VLOOKUP(C418,'NAO DESO'!A:C,3,FALSE))</f>
        <v>M</v>
      </c>
      <c r="F418" s="713">
        <f t="shared" si="99"/>
        <v>236</v>
      </c>
      <c r="G418" s="714">
        <f>IF(B418="SEPLAG",VLOOKUP(CONCATENATE("TOTAL DO ITEM NÃO DESON. - ",C418),BASE01,8,FALSE),VLOOKUP(C418,'NAO DESO'!A:D,4,FALSE))</f>
        <v>42.31</v>
      </c>
      <c r="H418" s="715">
        <f t="shared" si="100"/>
        <v>51.71</v>
      </c>
      <c r="I418" s="715">
        <f t="shared" si="101"/>
        <v>12203.56</v>
      </c>
      <c r="J418" s="715">
        <f>IF(B418="SEPLAG",VLOOKUP(CONCATENATE("TOTAL DO ITEM DESON. - ",C418),BASE02,10,FALSE),VLOOKUP(C418,DESON!A:D,4,FALSE))</f>
        <v>41.010000000000005</v>
      </c>
      <c r="K418" s="715">
        <f t="shared" si="102"/>
        <v>52.6353814839526</v>
      </c>
      <c r="L418" s="715">
        <f t="shared" si="103"/>
        <v>12421.95</v>
      </c>
    </row>
    <row r="419" spans="1:12" s="109" customFormat="1">
      <c r="A419" s="1257" t="str">
        <f>CONCATENATE("TOTAL DO ITEM &gt;&gt;&gt;&gt;",A401)</f>
        <v>TOTAL DO ITEM &gt;&gt;&gt;&gt;10.0</v>
      </c>
      <c r="B419" s="1258"/>
      <c r="C419" s="1258"/>
      <c r="D419" s="1258"/>
      <c r="E419" s="1258"/>
      <c r="F419" s="1258"/>
      <c r="G419" s="1258"/>
      <c r="H419" s="1258"/>
      <c r="I419" s="1259">
        <f>SUM(I402:I418)</f>
        <v>38274.369999999995</v>
      </c>
      <c r="J419" s="1260"/>
      <c r="K419" s="1260"/>
      <c r="L419" s="1259">
        <f>SUM(L402:L418)</f>
        <v>38692.800000000003</v>
      </c>
    </row>
    <row r="420" spans="1:12" s="1247" customFormat="1" ht="14.25">
      <c r="A420" s="1246"/>
      <c r="B420" s="1120"/>
      <c r="C420" s="1120"/>
      <c r="D420" s="1120"/>
      <c r="E420" s="1120"/>
      <c r="F420" s="1120"/>
      <c r="G420" s="1120"/>
      <c r="H420" s="1120"/>
      <c r="I420" s="1120"/>
      <c r="J420" s="1261"/>
      <c r="K420" s="1261"/>
      <c r="L420" s="1262"/>
    </row>
    <row r="421" spans="1:12" s="109" customFormat="1">
      <c r="A421" s="1263" t="s">
        <v>14078</v>
      </c>
      <c r="B421" s="1264"/>
      <c r="C421" s="1265"/>
      <c r="D421" s="1266" t="s">
        <v>13823</v>
      </c>
      <c r="E421" s="1267"/>
      <c r="F421" s="1268"/>
      <c r="G421" s="1268"/>
      <c r="H421" s="1268"/>
      <c r="I421" s="1268"/>
      <c r="J421" s="1268"/>
      <c r="K421" s="1268"/>
      <c r="L421" s="1268"/>
    </row>
    <row r="422" spans="1:12">
      <c r="A422" s="138" t="s">
        <v>14079</v>
      </c>
      <c r="B422" s="737"/>
      <c r="C422" s="738"/>
      <c r="D422" s="788" t="s">
        <v>38</v>
      </c>
      <c r="E422" s="740"/>
      <c r="F422" s="142"/>
      <c r="G422" s="142"/>
      <c r="H422" s="741"/>
      <c r="I422" s="144"/>
      <c r="J422" s="741"/>
      <c r="K422" s="741"/>
      <c r="L422" s="741"/>
    </row>
    <row r="423" spans="1:12" ht="28.5">
      <c r="A423" s="77" t="s">
        <v>14080</v>
      </c>
      <c r="B423" s="75" t="s">
        <v>14504</v>
      </c>
      <c r="C423" s="74" t="s">
        <v>360</v>
      </c>
      <c r="D423" s="712" t="str">
        <f>IF(B423="SEPLAG",VLOOKUP(C423,COMPOSIÇÃO,2,FALSE),VLOOKUP(C423,'NAO DESO'!A:B,2,FALSE))</f>
        <v>DEMOLIÇÃO DE CONCRETO SIMPLES - COM EQUIPAMENTO ELÉTRICO, INCLUSIVE AFASTAMENTO.</v>
      </c>
      <c r="E423" s="76" t="str">
        <f>IF(B423="SEPLAG",VLOOKUP(C423,UNIDADE,3,FALSE),VLOOKUP(C423,'NAO DESO'!A:C,3,FALSE))</f>
        <v>m³</v>
      </c>
      <c r="F423" s="713">
        <f>VLOOKUP(A423,MEMÓRIA,6,FALSE)</f>
        <v>10.67</v>
      </c>
      <c r="G423" s="714">
        <f>IF(B423="SEPLAG",VLOOKUP(CONCATENATE("TOTAL DO ITEM NÃO DESON. - ",C423),BASE01,8,FALSE),VLOOKUP(C423,'NAO DESO'!A:D,4,FALSE))</f>
        <v>129.58000000000001</v>
      </c>
      <c r="H423" s="715">
        <f>TRUNC(G423+G423*$K$6,2)</f>
        <v>158.38</v>
      </c>
      <c r="I423" s="715">
        <f>TRUNC(F423*H423,2)</f>
        <v>1689.91</v>
      </c>
      <c r="J423" s="715">
        <f>IF(B423="SEPLAG",VLOOKUP(CONCATENATE("TOTAL DO ITEM DESON. - ",C423),BASE02,10,FALSE),VLOOKUP(C423,DESON!A:D,4,FALSE))</f>
        <v>119.1</v>
      </c>
      <c r="K423" s="715">
        <f>J423+J423*$L$6</f>
        <v>152.86208082757264</v>
      </c>
      <c r="L423" s="715">
        <f>TRUNC(F423*K423,2)</f>
        <v>1631.03</v>
      </c>
    </row>
    <row r="424" spans="1:12" ht="28.5">
      <c r="A424" s="77" t="s">
        <v>14081</v>
      </c>
      <c r="B424" s="75" t="s">
        <v>79</v>
      </c>
      <c r="C424" s="78">
        <v>100206</v>
      </c>
      <c r="D424" s="712" t="str">
        <f>IF(B424="SEPLAG",VLOOKUP(C424,COMPOSIÇÃO,2,FALSE),VLOOKUP(C424,'NAO DESO'!A:B,2,FALSE))</f>
        <v>TRANSPORTE HORIZONTAL COM JERICA DE 90 L, DE MASSA/ GRANEL (UNIDADE: M3XKM). AF_07/2019</v>
      </c>
      <c r="E424" s="76" t="str">
        <f>IF(B424="SEPLAG",VLOOKUP(C424,UNIDADE,3,FALSE),VLOOKUP(C424,'NAO DESO'!A:C,3,FALSE))</f>
        <v>M3XKM</v>
      </c>
      <c r="F424" s="713">
        <f>VLOOKUP(A424,MEMÓRIA,6,FALSE)</f>
        <v>3.2010000000000001</v>
      </c>
      <c r="G424" s="714" t="str">
        <f>IF(B424="SEPLAG",VLOOKUP(CONCATENATE("TOTAL DO ITEM NÃO DESON. - ",C424),BASE01,8,FALSE),VLOOKUP(C424,'NAO DESO'!A:D,4,FALSE))</f>
        <v>830,96</v>
      </c>
      <c r="H424" s="715">
        <f>TRUNC(G424+G424*$K$6,2)</f>
        <v>1015.65</v>
      </c>
      <c r="I424" s="715">
        <f>TRUNC(F424*H424,2)</f>
        <v>3251.09</v>
      </c>
      <c r="J424" s="715" t="str">
        <f>IF(B424="SEPLAG",VLOOKUP(CONCATENATE("TOTAL DO ITEM DESON. - ",C424),BASE02,10,FALSE),VLOOKUP(C424,DESON!A:D,4,FALSE))</f>
        <v>748,50</v>
      </c>
      <c r="K424" s="715">
        <f>J424+J424*$L$6</f>
        <v>960.68234676270458</v>
      </c>
      <c r="L424" s="715">
        <f>TRUNC(F424*K424,2)</f>
        <v>3075.14</v>
      </c>
    </row>
    <row r="425" spans="1:12" ht="28.5">
      <c r="A425" s="77" t="s">
        <v>14082</v>
      </c>
      <c r="B425" s="75" t="s">
        <v>79</v>
      </c>
      <c r="C425" s="74">
        <v>96526</v>
      </c>
      <c r="D425" s="712" t="str">
        <f>IF(B425="SEPLAG",VLOOKUP(C425,COMPOSIÇÃO,2,FALSE),VLOOKUP(C425,'NAO DESO'!A:B,2,FALSE))</f>
        <v>ESCAVAÇÃO MANUAL DE VALA PARA VIGA BALDRAME (SEM ESCAVAÇÃO PARA COLOCAÇÃO DE FÔRMAS). AF_06/2017</v>
      </c>
      <c r="E425" s="76" t="str">
        <f>IF(B425="SEPLAG",VLOOKUP(C425,UNIDADE,3,FALSE),VLOOKUP(C425,'NAO DESO'!A:C,3,FALSE))</f>
        <v>M3</v>
      </c>
      <c r="F425" s="713">
        <f>VLOOKUP(A425,MEMÓRIA,6,FALSE)</f>
        <v>3.38</v>
      </c>
      <c r="G425" s="714" t="str">
        <f>IF(B425="SEPLAG",VLOOKUP(CONCATENATE("TOTAL DO ITEM NÃO DESON. - ",C425),BASE01,8,FALSE),VLOOKUP(C425,'NAO DESO'!A:D,4,FALSE))</f>
        <v>241,37</v>
      </c>
      <c r="H425" s="715">
        <f>TRUNC(G425+G425*$K$6,2)</f>
        <v>295.01</v>
      </c>
      <c r="I425" s="715">
        <f>TRUNC(F425*H425,2)</f>
        <v>997.13</v>
      </c>
      <c r="J425" s="715" t="str">
        <f>IF(B425="SEPLAG",VLOOKUP(CONCATENATE("TOTAL DO ITEM DESON. - ",C425),BASE02,10,FALSE),VLOOKUP(C425,DESON!A:D,4,FALSE))</f>
        <v>216,67</v>
      </c>
      <c r="K425" s="715">
        <f>J425+J425*$L$6</f>
        <v>278.09090724525743</v>
      </c>
      <c r="L425" s="715">
        <f>TRUNC(F425*K425,2)</f>
        <v>939.94</v>
      </c>
    </row>
    <row r="426" spans="1:12" ht="28.5">
      <c r="A426" s="77" t="s">
        <v>14083</v>
      </c>
      <c r="B426" s="75" t="s">
        <v>79</v>
      </c>
      <c r="C426" s="78">
        <v>101616</v>
      </c>
      <c r="D426" s="712" t="str">
        <f>IF(B426="SEPLAG",VLOOKUP(C426,COMPOSIÇÃO,2,FALSE),VLOOKUP(C426,'NAO DESO'!A:B,2,FALSE))</f>
        <v>PREPARO DE FUNDO DE VALA COM LARGURA MENOR QUE 1,5 M (ACERTO DO SOLO NATURAL). AF_08/2020</v>
      </c>
      <c r="E426" s="76" t="str">
        <f>IF(B426="SEPLAG",VLOOKUP(C426,UNIDADE,3,FALSE),VLOOKUP(C426,'NAO DESO'!A:C,3,FALSE))</f>
        <v>M2</v>
      </c>
      <c r="F426" s="713">
        <f>VLOOKUP(A426,MEMÓRIA,6,FALSE)</f>
        <v>2.16</v>
      </c>
      <c r="G426" s="714" t="str">
        <f>IF(B426="SEPLAG",VLOOKUP(CONCATENATE("TOTAL DO ITEM NÃO DESON. - ",C426),BASE01,8,FALSE),VLOOKUP(C426,'NAO DESO'!A:D,4,FALSE))</f>
        <v>4,86</v>
      </c>
      <c r="H426" s="715">
        <f>TRUNC(G426+G426*$K$6,2)</f>
        <v>5.94</v>
      </c>
      <c r="I426" s="715">
        <f>TRUNC(F426*H426,2)</f>
        <v>12.83</v>
      </c>
      <c r="J426" s="715" t="str">
        <f>IF(B426="SEPLAG",VLOOKUP(CONCATENATE("TOTAL DO ITEM DESON. - ",C426),BASE02,10,FALSE),VLOOKUP(C426,DESON!A:D,4,FALSE))</f>
        <v>4,37</v>
      </c>
      <c r="K426" s="715">
        <f>J426+J426*$L$6</f>
        <v>5.6087933939252093</v>
      </c>
      <c r="L426" s="715">
        <f>TRUNC(F426*K426,2)</f>
        <v>12.11</v>
      </c>
    </row>
    <row r="427" spans="1:12">
      <c r="A427" s="734" t="str">
        <f>CONCATENATE("TOTAL DO ITEM &gt;&gt;&gt;&gt;",A422)</f>
        <v>TOTAL DO ITEM &gt;&gt;&gt;&gt;11.1</v>
      </c>
      <c r="B427" s="118"/>
      <c r="C427" s="118"/>
      <c r="D427" s="118"/>
      <c r="E427" s="118"/>
      <c r="F427" s="118"/>
      <c r="G427" s="118"/>
      <c r="H427" s="118"/>
      <c r="I427" s="743">
        <f>SUM(I423:I426)</f>
        <v>5950.96</v>
      </c>
      <c r="J427" s="88"/>
      <c r="K427" s="88"/>
      <c r="L427" s="743">
        <f>SUM(L423:L426)</f>
        <v>5658.22</v>
      </c>
    </row>
    <row r="428" spans="1:12" s="108" customFormat="1">
      <c r="A428" s="126"/>
      <c r="B428" s="127"/>
      <c r="C428" s="127"/>
      <c r="D428" s="127"/>
      <c r="E428" s="127"/>
      <c r="F428" s="127"/>
      <c r="G428" s="127"/>
      <c r="H428" s="127"/>
      <c r="I428" s="127"/>
      <c r="J428" s="127"/>
      <c r="K428" s="127"/>
      <c r="L428" s="128"/>
    </row>
    <row r="429" spans="1:12">
      <c r="A429" s="138" t="s">
        <v>14084</v>
      </c>
      <c r="B429" s="737"/>
      <c r="C429" s="738"/>
      <c r="D429" s="739" t="s">
        <v>418</v>
      </c>
      <c r="E429" s="740"/>
      <c r="F429" s="142"/>
      <c r="G429" s="142"/>
      <c r="H429" s="741"/>
      <c r="I429" s="144"/>
      <c r="J429" s="741"/>
      <c r="K429" s="741"/>
      <c r="L429" s="741"/>
    </row>
    <row r="430" spans="1:12" ht="42.75">
      <c r="A430" s="77" t="s">
        <v>14085</v>
      </c>
      <c r="B430" s="75" t="s">
        <v>79</v>
      </c>
      <c r="C430" s="74">
        <v>102473</v>
      </c>
      <c r="D430" s="712" t="str">
        <f>IF(B430="SEPLAG",VLOOKUP(C430,COMPOSIÇÃO,2,FALSE),VLOOKUP(C430,'NAO DESO'!A:B,2,FALSE))</f>
        <v>CONCRETO MAGRO PARA LASTRO, TRAÇO 1:4,5:4,5 (EM MASSA SECA DE CIMENTO/ AREIA MÉDIA/ SEIXO ROLADO) - PREPARO MECÂNICO COM BETONEIRA 400 L. AF_05/2021</v>
      </c>
      <c r="E430" s="76" t="str">
        <f>IF(B430="SEPLAG",VLOOKUP(C430,UNIDADE,3,FALSE),VLOOKUP(C430,'NAO DESO'!A:C,3,FALSE))</f>
        <v>M3</v>
      </c>
      <c r="F430" s="713">
        <f t="shared" ref="F430:F438" si="104">VLOOKUP(A430,MEMÓRIA,6,FALSE)</f>
        <v>1.25925</v>
      </c>
      <c r="G430" s="714" t="str">
        <f>IF(B430="SEPLAG",VLOOKUP(CONCATENATE("TOTAL DO ITEM NÃO DESON. - ",C430),BASE01,8,FALSE),VLOOKUP(C430,'NAO DESO'!A:D,4,FALSE))</f>
        <v>456,78</v>
      </c>
      <c r="H430" s="715">
        <f t="shared" ref="H430:H438" si="105">TRUNC(G430+G430*$K$6,2)</f>
        <v>558.29999999999995</v>
      </c>
      <c r="I430" s="715">
        <f t="shared" ref="I430:I438" si="106">TRUNC(F430*H430,2)</f>
        <v>703.03</v>
      </c>
      <c r="J430" s="715" t="str">
        <f>IF(B430="SEPLAG",VLOOKUP(CONCATENATE("TOTAL DO ITEM DESON. - ",C430),BASE02,10,FALSE),VLOOKUP(C430,DESON!A:D,4,FALSE))</f>
        <v>450,40</v>
      </c>
      <c r="K430" s="715">
        <f t="shared" ref="K430:K438" si="107">J430+J430*$L$6</f>
        <v>578.07792783155924</v>
      </c>
      <c r="L430" s="715">
        <f t="shared" ref="L430:L438" si="108">TRUNC(F430*K430,2)</f>
        <v>727.94</v>
      </c>
    </row>
    <row r="431" spans="1:12" ht="42.75">
      <c r="A431" s="77" t="s">
        <v>14086</v>
      </c>
      <c r="B431" s="75" t="s">
        <v>79</v>
      </c>
      <c r="C431" s="74">
        <v>96555</v>
      </c>
      <c r="D431" s="712" t="str">
        <f>IF(B431="SEPLAG",VLOOKUP(C431,COMPOSIÇÃO,2,FALSE),VLOOKUP(C431,'NAO DESO'!A:B,2,FALSE))</f>
        <v>CONCRETAGEM DE BLOCOS DE COROAMENTO E VIGAS BALDRAME, FCK 30 MPA, COM USO DE JERICA  LANÇAMENTO, ADENSAMENTO E ACABAMENTO. AF_06/2017</v>
      </c>
      <c r="E431" s="76" t="str">
        <f>IF(B431="SEPLAG",VLOOKUP(C431,UNIDADE,3,FALSE),VLOOKUP(C431,'NAO DESO'!A:C,3,FALSE))</f>
        <v>M3</v>
      </c>
      <c r="F431" s="713">
        <f t="shared" si="104"/>
        <v>8.92</v>
      </c>
      <c r="G431" s="714" t="str">
        <f>IF(B431="SEPLAG",VLOOKUP(CONCATENATE("TOTAL DO ITEM NÃO DESON. - ",C431),BASE01,8,FALSE),VLOOKUP(C431,'NAO DESO'!A:D,4,FALSE))</f>
        <v>606,83</v>
      </c>
      <c r="H431" s="715">
        <f t="shared" si="105"/>
        <v>741.7</v>
      </c>
      <c r="I431" s="715">
        <f t="shared" si="106"/>
        <v>6615.96</v>
      </c>
      <c r="J431" s="715" t="str">
        <f>IF(B431="SEPLAG",VLOOKUP(CONCATENATE("TOTAL DO ITEM DESON. - ",C431),BASE02,10,FALSE),VLOOKUP(C431,DESON!A:D,4,FALSE))</f>
        <v>591,38</v>
      </c>
      <c r="K431" s="715">
        <f t="shared" si="107"/>
        <v>759.02247993123342</v>
      </c>
      <c r="L431" s="715">
        <f t="shared" si="108"/>
        <v>6770.48</v>
      </c>
    </row>
    <row r="432" spans="1:12" s="654" customFormat="1" ht="28.5">
      <c r="A432" s="77" t="s">
        <v>14087</v>
      </c>
      <c r="B432" s="75" t="s">
        <v>79</v>
      </c>
      <c r="C432" s="74">
        <v>96543</v>
      </c>
      <c r="D432" s="712" t="str">
        <f>IF(B432="SEPLAG",VLOOKUP(C432,COMPOSIÇÃO,2,FALSE),VLOOKUP(C432,'NAO DESO'!A:B,2,FALSE))</f>
        <v>ARMAÇÃO DE BLOCO, VIGA BALDRAME E SAPATA UTILIZANDO AÇO CA-60 DE 5 MM - MONTAGEM. AF_06/2017</v>
      </c>
      <c r="E432" s="76" t="str">
        <f>IF(B432="SEPLAG",VLOOKUP(C432,UNIDADE,3,FALSE),VLOOKUP(C432,'NAO DESO'!A:C,3,FALSE))</f>
        <v>KG</v>
      </c>
      <c r="F432" s="713">
        <f t="shared" si="104"/>
        <v>87.5</v>
      </c>
      <c r="G432" s="714" t="str">
        <f>IF(B432="SEPLAG",VLOOKUP(CONCATENATE("TOTAL DO ITEM NÃO DESON. - ",C432),BASE01,8,FALSE),VLOOKUP(C432,'NAO DESO'!A:D,4,FALSE))</f>
        <v>18,45</v>
      </c>
      <c r="H432" s="715">
        <f t="shared" si="105"/>
        <v>22.55</v>
      </c>
      <c r="I432" s="715">
        <f t="shared" si="106"/>
        <v>1973.12</v>
      </c>
      <c r="J432" s="715" t="str">
        <f>IF(B432="SEPLAG",VLOOKUP(CONCATENATE("TOTAL DO ITEM DESON. - ",C432),BASE02,10,FALSE),VLOOKUP(C432,DESON!A:D,4,FALSE))</f>
        <v>17,73</v>
      </c>
      <c r="K432" s="715">
        <f t="shared" si="107"/>
        <v>22.75604276299633</v>
      </c>
      <c r="L432" s="715">
        <f t="shared" si="108"/>
        <v>1991.15</v>
      </c>
    </row>
    <row r="433" spans="1:12" ht="28.5">
      <c r="A433" s="77" t="s">
        <v>14088</v>
      </c>
      <c r="B433" s="75" t="s">
        <v>79</v>
      </c>
      <c r="C433" s="74">
        <v>96544</v>
      </c>
      <c r="D433" s="712" t="str">
        <f>IF(B433="SEPLAG",VLOOKUP(C433,COMPOSIÇÃO,2,FALSE),VLOOKUP(C433,'NAO DESO'!A:B,2,FALSE))</f>
        <v>ARMAÇÃO DE BLOCO, VIGA BALDRAME OU SAPATA UTILIZANDO AÇO CA-50 DE 6,3 MM - MONTAGEM. AF_06/2017</v>
      </c>
      <c r="E433" s="76" t="str">
        <f>IF(B433="SEPLAG",VLOOKUP(C433,UNIDADE,3,FALSE),VLOOKUP(C433,'NAO DESO'!A:C,3,FALSE))</f>
        <v>KG</v>
      </c>
      <c r="F433" s="713">
        <f t="shared" si="104"/>
        <v>51.8</v>
      </c>
      <c r="G433" s="714" t="str">
        <f>IF(B433="SEPLAG",VLOOKUP(CONCATENATE("TOTAL DO ITEM NÃO DESON. - ",C433),BASE01,8,FALSE),VLOOKUP(C433,'NAO DESO'!A:D,4,FALSE))</f>
        <v>17,53</v>
      </c>
      <c r="H433" s="715">
        <f t="shared" si="105"/>
        <v>21.42</v>
      </c>
      <c r="I433" s="715">
        <f t="shared" si="106"/>
        <v>1109.55</v>
      </c>
      <c r="J433" s="715" t="str">
        <f>IF(B433="SEPLAG",VLOOKUP(CONCATENATE("TOTAL DO ITEM DESON. - ",C433),BASE02,10,FALSE),VLOOKUP(C433,DESON!A:D,4,FALSE))</f>
        <v>17,01</v>
      </c>
      <c r="K433" s="715">
        <f t="shared" si="107"/>
        <v>21.831939503585314</v>
      </c>
      <c r="L433" s="715">
        <f t="shared" si="108"/>
        <v>1130.8900000000001</v>
      </c>
    </row>
    <row r="434" spans="1:12" ht="28.5">
      <c r="A434" s="77" t="s">
        <v>14089</v>
      </c>
      <c r="B434" s="75" t="s">
        <v>79</v>
      </c>
      <c r="C434" s="74">
        <v>96545</v>
      </c>
      <c r="D434" s="712" t="str">
        <f>IF(B434="SEPLAG",VLOOKUP(C434,COMPOSIÇÃO,2,FALSE),VLOOKUP(C434,'NAO DESO'!A:B,2,FALSE))</f>
        <v>ARMAÇÃO DE BLOCO, VIGA BALDRAME OU SAPATA UTILIZANDO AÇO CA-50 DE 8 MM - MONTAGEM. AF_06/2017</v>
      </c>
      <c r="E434" s="76" t="str">
        <f>IF(B434="SEPLAG",VLOOKUP(C434,UNIDADE,3,FALSE),VLOOKUP(C434,'NAO DESO'!A:C,3,FALSE))</f>
        <v>KG</v>
      </c>
      <c r="F434" s="713">
        <f t="shared" si="104"/>
        <v>36.799999999999997</v>
      </c>
      <c r="G434" s="714" t="str">
        <f>IF(B434="SEPLAG",VLOOKUP(CONCATENATE("TOTAL DO ITEM NÃO DESON. - ",C434),BASE01,8,FALSE),VLOOKUP(C434,'NAO DESO'!A:D,4,FALSE))</f>
        <v>16,54</v>
      </c>
      <c r="H434" s="715">
        <f t="shared" si="105"/>
        <v>20.21</v>
      </c>
      <c r="I434" s="715">
        <f t="shared" si="106"/>
        <v>743.72</v>
      </c>
      <c r="J434" s="715" t="str">
        <f>IF(B434="SEPLAG",VLOOKUP(CONCATENATE("TOTAL DO ITEM DESON. - ",C434),BASE02,10,FALSE),VLOOKUP(C434,DESON!A:D,4,FALSE))</f>
        <v>16,16</v>
      </c>
      <c r="K434" s="715">
        <f t="shared" si="107"/>
        <v>20.740984266780636</v>
      </c>
      <c r="L434" s="715">
        <f t="shared" si="108"/>
        <v>763.26</v>
      </c>
    </row>
    <row r="435" spans="1:12" ht="28.5">
      <c r="A435" s="77" t="s">
        <v>14090</v>
      </c>
      <c r="B435" s="75" t="s">
        <v>79</v>
      </c>
      <c r="C435" s="74">
        <v>96546</v>
      </c>
      <c r="D435" s="712" t="str">
        <f>IF(B435="SEPLAG",VLOOKUP(C435,COMPOSIÇÃO,2,FALSE),VLOOKUP(C435,'NAO DESO'!A:B,2,FALSE))</f>
        <v>ARMAÇÃO DE BLOCO, VIGA BALDRAME OU SAPATA UTILIZANDO AÇO CA-50 DE 10 MM - MONTAGEM. AF_06/2017</v>
      </c>
      <c r="E435" s="76" t="str">
        <f>IF(B435="SEPLAG",VLOOKUP(C435,UNIDADE,3,FALSE),VLOOKUP(C435,'NAO DESO'!A:C,3,FALSE))</f>
        <v>KG</v>
      </c>
      <c r="F435" s="713">
        <f t="shared" si="104"/>
        <v>324</v>
      </c>
      <c r="G435" s="714" t="str">
        <f>IF(B435="SEPLAG",VLOOKUP(CONCATENATE("TOTAL DO ITEM NÃO DESON. - ",C435),BASE01,8,FALSE),VLOOKUP(C435,'NAO DESO'!A:D,4,FALSE))</f>
        <v>14,85</v>
      </c>
      <c r="H435" s="715">
        <f t="shared" si="105"/>
        <v>18.149999999999999</v>
      </c>
      <c r="I435" s="715">
        <f t="shared" si="106"/>
        <v>5880.6</v>
      </c>
      <c r="J435" s="715" t="str">
        <f>IF(B435="SEPLAG",VLOOKUP(CONCATENATE("TOTAL DO ITEM DESON. - ",C435),BASE02,10,FALSE),VLOOKUP(C435,DESON!A:D,4,FALSE))</f>
        <v>14,57</v>
      </c>
      <c r="K435" s="715">
        <f t="shared" si="107"/>
        <v>18.700256235581303</v>
      </c>
      <c r="L435" s="715">
        <f t="shared" si="108"/>
        <v>6058.88</v>
      </c>
    </row>
    <row r="436" spans="1:12" ht="28.5">
      <c r="A436" s="77" t="s">
        <v>14091</v>
      </c>
      <c r="B436" s="75" t="s">
        <v>79</v>
      </c>
      <c r="C436" s="74">
        <v>92263</v>
      </c>
      <c r="D436" s="712" t="str">
        <f>IF(B436="SEPLAG",VLOOKUP(C436,COMPOSIÇÃO,2,FALSE),VLOOKUP(C436,'NAO DESO'!A:B,2,FALSE))</f>
        <v>FABRICAÇÃO DE FÔRMA PARA PILARES E ESTRUTURAS SIMILARES, EM CHAPA DE MADEIRA COMPENSADA RESINADA, E = 17 MM. AF_09/2020</v>
      </c>
      <c r="E436" s="76" t="str">
        <f>IF(B436="SEPLAG",VLOOKUP(C436,UNIDADE,3,FALSE),VLOOKUP(C436,'NAO DESO'!A:C,3,FALSE))</f>
        <v>M2</v>
      </c>
      <c r="F436" s="713">
        <f t="shared" si="104"/>
        <v>82</v>
      </c>
      <c r="G436" s="714" t="str">
        <f>IF(B436="SEPLAG",VLOOKUP(CONCATENATE("TOTAL DO ITEM NÃO DESON. - ",C436),BASE01,8,FALSE),VLOOKUP(C436,'NAO DESO'!A:D,4,FALSE))</f>
        <v>175,96</v>
      </c>
      <c r="H436" s="715">
        <f t="shared" si="105"/>
        <v>215.06</v>
      </c>
      <c r="I436" s="715">
        <f t="shared" si="106"/>
        <v>17634.919999999998</v>
      </c>
      <c r="J436" s="715" t="str">
        <f>IF(B436="SEPLAG",VLOOKUP(CONCATENATE("TOTAL DO ITEM DESON. - ",C436),BASE02,10,FALSE),VLOOKUP(C436,DESON!A:D,4,FALSE))</f>
        <v>172,32</v>
      </c>
      <c r="K436" s="715">
        <f t="shared" si="107"/>
        <v>221.16871341903709</v>
      </c>
      <c r="L436" s="715">
        <f t="shared" si="108"/>
        <v>18135.830000000002</v>
      </c>
    </row>
    <row r="437" spans="1:12" ht="28.5">
      <c r="A437" s="77" t="s">
        <v>14092</v>
      </c>
      <c r="B437" s="75" t="s">
        <v>79</v>
      </c>
      <c r="C437" s="75">
        <v>98557</v>
      </c>
      <c r="D437" s="712" t="str">
        <f>IF(B437="SEPLAG",VLOOKUP(C437,COMPOSIÇÃO,2,FALSE),VLOOKUP(C437,'NAO DESO'!A:B,2,FALSE))</f>
        <v>IMPERMEABILIZAÇÃO DE SUPERFÍCIE COM EMULSÃO ASFÁLTICA, 2 DEMÃOS AF_06/2018</v>
      </c>
      <c r="E437" s="76" t="str">
        <f>IF(B437="SEPLAG",VLOOKUP(C437,UNIDADE,3,FALSE),VLOOKUP(C437,'NAO DESO'!A:C,3,FALSE))</f>
        <v>M2</v>
      </c>
      <c r="F437" s="713">
        <f t="shared" si="104"/>
        <v>82</v>
      </c>
      <c r="G437" s="714" t="str">
        <f>IF(B437="SEPLAG",VLOOKUP(CONCATENATE("TOTAL DO ITEM NÃO DESON. - ",C437),BASE01,8,FALSE),VLOOKUP(C437,'NAO DESO'!A:D,4,FALSE))</f>
        <v>58,82</v>
      </c>
      <c r="H437" s="715">
        <f t="shared" si="105"/>
        <v>71.89</v>
      </c>
      <c r="I437" s="715">
        <f t="shared" si="106"/>
        <v>5894.98</v>
      </c>
      <c r="J437" s="715" t="str">
        <f>IF(B437="SEPLAG",VLOOKUP(CONCATENATE("TOTAL DO ITEM DESON. - ",C437),BASE02,10,FALSE),VLOOKUP(C437,DESON!A:D,4,FALSE))</f>
        <v>57,84</v>
      </c>
      <c r="K437" s="715">
        <f t="shared" si="107"/>
        <v>74.236295172685146</v>
      </c>
      <c r="L437" s="715">
        <f t="shared" si="108"/>
        <v>6087.37</v>
      </c>
    </row>
    <row r="438" spans="1:12">
      <c r="A438" s="77" t="s">
        <v>14093</v>
      </c>
      <c r="B438" s="75" t="s">
        <v>79</v>
      </c>
      <c r="C438" s="75">
        <v>96995</v>
      </c>
      <c r="D438" s="712" t="str">
        <f>IF(B438="SEPLAG",VLOOKUP(C438,COMPOSIÇÃO,2,FALSE),VLOOKUP(C438,'NAO DESO'!A:B,2,FALSE))</f>
        <v>REATERRO MANUAL APILOADO COM SOQUETE. AF_10/2017</v>
      </c>
      <c r="E438" s="76" t="str">
        <f>IF(B438="SEPLAG",VLOOKUP(C438,UNIDADE,3,FALSE),VLOOKUP(C438,'NAO DESO'!A:C,3,FALSE))</f>
        <v>M3</v>
      </c>
      <c r="F438" s="713">
        <f t="shared" si="104"/>
        <v>3.38</v>
      </c>
      <c r="G438" s="714" t="str">
        <f>IF(B438="SEPLAG",VLOOKUP(CONCATENATE("TOTAL DO ITEM NÃO DESON. - ",C438),BASE01,8,FALSE),VLOOKUP(C438,'NAO DESO'!A:D,4,FALSE))</f>
        <v>40,36</v>
      </c>
      <c r="H438" s="715">
        <f t="shared" si="105"/>
        <v>49.33</v>
      </c>
      <c r="I438" s="715">
        <f t="shared" si="106"/>
        <v>166.73</v>
      </c>
      <c r="J438" s="715" t="str">
        <f>IF(B438="SEPLAG",VLOOKUP(CONCATENATE("TOTAL DO ITEM DESON. - ",C438),BASE02,10,FALSE),VLOOKUP(C438,DESON!A:D,4,FALSE))</f>
        <v>36,36</v>
      </c>
      <c r="K438" s="715">
        <f t="shared" si="107"/>
        <v>46.667214600256429</v>
      </c>
      <c r="L438" s="715">
        <f t="shared" si="108"/>
        <v>157.72999999999999</v>
      </c>
    </row>
    <row r="439" spans="1:12">
      <c r="A439" s="734" t="str">
        <f>CONCATENATE("TOTAL DO ITEM &gt;&gt;&gt;&gt;",A429)</f>
        <v>TOTAL DO ITEM &gt;&gt;&gt;&gt;11.2</v>
      </c>
      <c r="B439" s="118"/>
      <c r="C439" s="118"/>
      <c r="D439" s="118"/>
      <c r="E439" s="118"/>
      <c r="F439" s="118"/>
      <c r="G439" s="118"/>
      <c r="H439" s="118"/>
      <c r="I439" s="743">
        <f>SUM(I430:I438)</f>
        <v>40722.609999999993</v>
      </c>
      <c r="J439" s="744"/>
      <c r="K439" s="744"/>
      <c r="L439" s="743">
        <f>SUM(L430:L438)</f>
        <v>41823.530000000006</v>
      </c>
    </row>
    <row r="440" spans="1:12" s="108" customFormat="1">
      <c r="A440" s="126"/>
      <c r="B440" s="127"/>
      <c r="C440" s="127"/>
      <c r="D440" s="127"/>
      <c r="E440" s="127"/>
      <c r="F440" s="127"/>
      <c r="G440" s="127"/>
      <c r="H440" s="127"/>
      <c r="I440" s="127"/>
      <c r="J440" s="127"/>
      <c r="K440" s="127"/>
      <c r="L440" s="128"/>
    </row>
    <row r="441" spans="1:12">
      <c r="A441" s="138" t="s">
        <v>14094</v>
      </c>
      <c r="B441" s="737"/>
      <c r="C441" s="738"/>
      <c r="D441" s="788" t="s">
        <v>13876</v>
      </c>
      <c r="E441" s="740"/>
      <c r="F441" s="142"/>
      <c r="G441" s="142"/>
      <c r="H441" s="741"/>
      <c r="I441" s="144"/>
      <c r="J441" s="741"/>
      <c r="K441" s="741"/>
      <c r="L441" s="741"/>
    </row>
    <row r="442" spans="1:12" ht="57">
      <c r="A442" s="77" t="s">
        <v>14095</v>
      </c>
      <c r="B442" s="75" t="s">
        <v>79</v>
      </c>
      <c r="C442" s="74">
        <v>87620</v>
      </c>
      <c r="D442" s="712" t="str">
        <f>IF(B442="SEPLAG",VLOOKUP(C442,COMPOSIÇÃO,2,FALSE),VLOOKUP(C442,'NAO DESO'!A:B,2,FALSE))</f>
        <v>CONTRAPISO EM ARGAMASSA TRAÇO 1:4 (CIMENTO E AREIA), PREPARO MECÂNICO COM BETONEIRA 400 L, APLICADO EM ÁREAS SECAS SOBRE LAJE, ADERIDO, ACABAMENTO NÃO REFORÇADO, ESPESSURA 2CM. AF_07/2021</v>
      </c>
      <c r="E442" s="74" t="str">
        <f>IF(B442="SEPLAG",VLOOKUP(C442,UNIDADE,3,FALSE),VLOOKUP(C442,'NAO DESO'!A:C,3,FALSE))</f>
        <v>M2</v>
      </c>
      <c r="F442" s="825">
        <f>VLOOKUP(A442,MEMÓRIA,6,FALSE)</f>
        <v>41.975000000000001</v>
      </c>
      <c r="G442" s="714" t="str">
        <f>IF(B442="SEPLAG",VLOOKUP(CONCATENATE("TOTAL DO ITEM NÃO DESON. - ",C442),BASE01,8,FALSE),VLOOKUP(C442,'NAO DESO'!A:D,4,FALSE))</f>
        <v>28,44</v>
      </c>
      <c r="H442" s="714">
        <f>TRUNC(G442+G442*$K$6,2)</f>
        <v>34.76</v>
      </c>
      <c r="I442" s="714">
        <f>TRUNC(F442*H442,2)</f>
        <v>1459.05</v>
      </c>
      <c r="J442" s="714" t="str">
        <f>IF(B442="SEPLAG",VLOOKUP(CONCATENATE("TOTAL DO ITEM DESON. - ",C442),BASE02,10,FALSE),VLOOKUP(C442,DESON!A:D,4,FALSE))</f>
        <v>27,54</v>
      </c>
      <c r="K442" s="714">
        <f>J442+J442*$L$6</f>
        <v>35.346949672471453</v>
      </c>
      <c r="L442" s="714">
        <f>TRUNC(F442*K442,2)</f>
        <v>1483.68</v>
      </c>
    </row>
    <row r="443" spans="1:12" ht="28.5">
      <c r="A443" s="77" t="s">
        <v>14096</v>
      </c>
      <c r="B443" s="75" t="s">
        <v>79</v>
      </c>
      <c r="C443" s="74">
        <v>101092</v>
      </c>
      <c r="D443" s="712" t="str">
        <f>IF(B443="SEPLAG",VLOOKUP(C443,COMPOSIÇÃO,2,FALSE),VLOOKUP(C443,'NAO DESO'!A:B,2,FALSE))</f>
        <v>PISO EM GRANITO APLICADO EM CALÇADAS OU PISOS EXTERNOS. AF_05/2020</v>
      </c>
      <c r="E443" s="74" t="str">
        <f>IF(B443="SEPLAG",VLOOKUP(C443,UNIDADE,3,FALSE),VLOOKUP(C443,'NAO DESO'!A:C,3,FALSE))</f>
        <v>M2</v>
      </c>
      <c r="F443" s="825">
        <f>VLOOKUP(A443,MEMÓRIA,6,FALSE)</f>
        <v>41.975000000000001</v>
      </c>
      <c r="G443" s="714" t="str">
        <f>IF(B443="SEPLAG",VLOOKUP(CONCATENATE("TOTAL DO ITEM NÃO DESON. - ",C443),BASE01,8,FALSE),VLOOKUP(C443,'NAO DESO'!A:D,4,FALSE))</f>
        <v>391,92</v>
      </c>
      <c r="H443" s="714">
        <f>TRUNC(G443+G443*$K$6,2)</f>
        <v>479.02</v>
      </c>
      <c r="I443" s="714">
        <f>TRUNC(F443*H443,2)</f>
        <v>20106.86</v>
      </c>
      <c r="J443" s="714" t="str">
        <f>IF(B443="SEPLAG",VLOOKUP(CONCATENATE("TOTAL DO ITEM DESON. - ",C443),BASE02,10,FALSE),VLOOKUP(C443,DESON!A:D,4,FALSE))</f>
        <v>387,39</v>
      </c>
      <c r="K443" s="714">
        <f>J443+J443*$L$6</f>
        <v>497.20605786560338</v>
      </c>
      <c r="L443" s="714">
        <f>TRUNC(F443*K443,2)</f>
        <v>20870.22</v>
      </c>
    </row>
    <row r="444" spans="1:12">
      <c r="A444" s="734" t="str">
        <f>CONCATENATE("TOTAL DO ITEM &gt;&gt;&gt;&gt;",A441)</f>
        <v>TOTAL DO ITEM &gt;&gt;&gt;&gt;11.3</v>
      </c>
      <c r="B444" s="118"/>
      <c r="C444" s="118"/>
      <c r="D444" s="118"/>
      <c r="E444" s="118"/>
      <c r="F444" s="118"/>
      <c r="G444" s="118"/>
      <c r="H444" s="118"/>
      <c r="I444" s="743">
        <f>SUM(I442:I443)</f>
        <v>21565.91</v>
      </c>
      <c r="J444" s="744"/>
      <c r="K444" s="744"/>
      <c r="L444" s="743">
        <f>SUM(L442:L443)</f>
        <v>22353.9</v>
      </c>
    </row>
    <row r="445" spans="1:12" s="108" customFormat="1">
      <c r="A445" s="126"/>
      <c r="B445" s="127"/>
      <c r="C445" s="127"/>
      <c r="D445" s="127"/>
      <c r="E445" s="127"/>
      <c r="F445" s="127"/>
      <c r="G445" s="127"/>
      <c r="H445" s="127"/>
      <c r="I445" s="127"/>
      <c r="J445" s="127"/>
      <c r="K445" s="127"/>
      <c r="L445" s="128"/>
    </row>
    <row r="446" spans="1:12">
      <c r="A446" s="138" t="s">
        <v>14097</v>
      </c>
      <c r="B446" s="737"/>
      <c r="C446" s="738"/>
      <c r="D446" s="788" t="s">
        <v>13877</v>
      </c>
      <c r="E446" s="740"/>
      <c r="F446" s="142"/>
      <c r="G446" s="142"/>
      <c r="H446" s="741"/>
      <c r="I446" s="144"/>
      <c r="J446" s="791"/>
      <c r="K446" s="791"/>
      <c r="L446" s="791"/>
    </row>
    <row r="447" spans="1:12" ht="28.5">
      <c r="A447" s="77" t="s">
        <v>14098</v>
      </c>
      <c r="B447" s="75" t="s">
        <v>14504</v>
      </c>
      <c r="C447" s="74" t="s">
        <v>7750</v>
      </c>
      <c r="D447" s="712" t="str">
        <f>IF(B447="SEPLAG",VLOOKUP(C447,COMPOSIÇÃO,2,FALSE),VLOOKUP(C447,'NAO DESO'!A:B,2,FALSE))</f>
        <v>GUARDA CORPO COM CORRIMÃO DUPLO  EM TUBO DE AÇO INOXIDAVEL 1 1/2", COM CHUMBADORES PARA FIXAÇÃO NO PISO</v>
      </c>
      <c r="E447" s="74" t="str">
        <f>IF(B447="SEPLAG",VLOOKUP(C447,UNIDADE,3,FALSE),VLOOKUP(C447,'NAO DESO'!A:C,3,FALSE))</f>
        <v>m</v>
      </c>
      <c r="F447" s="825">
        <f>VLOOKUP(A447,MEMÓRIA,6,FALSE)</f>
        <v>18.100000000000001</v>
      </c>
      <c r="G447" s="714">
        <f>IF(B447="SEPLAG",VLOOKUP(CONCATENATE("TOTAL DO ITEM NÃO DESON. - ",C447),BASE01,8,FALSE),VLOOKUP(C447,'NAO DESO'!A:D,4,FALSE))</f>
        <v>405.53000000000003</v>
      </c>
      <c r="H447" s="714">
        <f>TRUNC(G447+G447*$K$6,2)</f>
        <v>495.66</v>
      </c>
      <c r="I447" s="714">
        <f>TRUNC(F447*H447,2)</f>
        <v>8971.44</v>
      </c>
      <c r="J447" s="714">
        <f>IF(B447="SEPLAG",VLOOKUP(CONCATENATE("TOTAL DO ITEM DESON. - ",C447),BASE02,10,FALSE),VLOOKUP(C447,DESON!A:D,4,FALSE))</f>
        <v>397.77000000000004</v>
      </c>
      <c r="K447" s="714">
        <f>J447+J447*$L$6</f>
        <v>510.52854652211226</v>
      </c>
      <c r="L447" s="714">
        <f>TRUNC(F447*K447,2)</f>
        <v>9240.56</v>
      </c>
    </row>
    <row r="448" spans="1:12" ht="42.75">
      <c r="A448" s="77" t="s">
        <v>14174</v>
      </c>
      <c r="B448" s="75" t="s">
        <v>14504</v>
      </c>
      <c r="C448" s="74" t="s">
        <v>13851</v>
      </c>
      <c r="D448" s="712" t="str">
        <f>IF(B448="SEPLAG",VLOOKUP(C448,COMPOSIÇÃO,2,FALSE),VLOOKUP(C448,'NAO DESO'!A:B,2,FALSE))</f>
        <v>PORTA DE ALUMÍNIO DE ABRIR COM LAMBRI, 2 FOLHAS, 2,00x2,10 COM GUARNIÇÃO, FIXAÇÃO COM PARAFUSOS - FORNECIMENTO E INSTALAÇÃO. AF_12/2019</v>
      </c>
      <c r="E448" s="74" t="str">
        <f>IF(B448="SEPLAG",VLOOKUP(C448,UNIDADE,3,FALSE),VLOOKUP(C448,'NAO DESO'!A:C,3,FALSE))</f>
        <v>UND</v>
      </c>
      <c r="F448" s="825">
        <f>VLOOKUP(A448,MEMÓRIA,6,FALSE)</f>
        <v>7.7199999999999989</v>
      </c>
      <c r="G448" s="714">
        <f>IF(B448="SEPLAG",VLOOKUP(CONCATENATE("TOTAL DO ITEM NÃO DESON. - ",C448),BASE01,8,FALSE),VLOOKUP(C448,'NAO DESO'!A:D,4,FALSE))</f>
        <v>2664.5800000000004</v>
      </c>
      <c r="H448" s="714">
        <f>TRUNC(G448+G448*$K$6,2)</f>
        <v>3256.81</v>
      </c>
      <c r="I448" s="714">
        <f>TRUNC(F448*H448,2)</f>
        <v>25142.57</v>
      </c>
      <c r="J448" s="714">
        <f>IF(B448="SEPLAG",VLOOKUP(CONCATENATE("TOTAL DO ITEM DESON. - ",C448),BASE02,10,FALSE),VLOOKUP(C448,DESON!A:D,4,FALSE))</f>
        <v>2663.51</v>
      </c>
      <c r="K448" s="714">
        <f>J448+J448*$L$6</f>
        <v>3418.5531562136694</v>
      </c>
      <c r="L448" s="714">
        <f>TRUNC(F448*K448,2)</f>
        <v>26391.23</v>
      </c>
    </row>
    <row r="449" spans="1:12" s="642" customFormat="1">
      <c r="A449" s="734" t="str">
        <f>CONCATENATE("TOTAL DO ITEM &gt;&gt;&gt;&gt;",A446)</f>
        <v>TOTAL DO ITEM &gt;&gt;&gt;&gt;11.4</v>
      </c>
      <c r="B449" s="118"/>
      <c r="C449" s="118"/>
      <c r="D449" s="118"/>
      <c r="E449" s="118"/>
      <c r="F449" s="118"/>
      <c r="G449" s="118"/>
      <c r="H449" s="118"/>
      <c r="I449" s="743">
        <f>SUM(I447:I448)</f>
        <v>34114.01</v>
      </c>
      <c r="J449" s="744"/>
      <c r="K449" s="744"/>
      <c r="L449" s="743">
        <f>SUM(L447:L448)</f>
        <v>35631.79</v>
      </c>
    </row>
    <row r="450" spans="1:12" s="109" customFormat="1">
      <c r="A450" s="1122" t="str">
        <f>CONCATENATE("TOTAL DO ITEM &gt;&gt;&gt;&gt;",A421)</f>
        <v>TOTAL DO ITEM &gt;&gt;&gt;&gt;11.0</v>
      </c>
      <c r="B450" s="1242"/>
      <c r="C450" s="1242"/>
      <c r="D450" s="1242"/>
      <c r="E450" s="1242"/>
      <c r="F450" s="1242"/>
      <c r="G450" s="1242"/>
      <c r="H450" s="1242"/>
      <c r="I450" s="643">
        <f>SUM(I449,I444,I439,I427)</f>
        <v>102353.49</v>
      </c>
      <c r="J450" s="843"/>
      <c r="K450" s="843"/>
      <c r="L450" s="643">
        <f>SUM(L449,L444,L439,L427)</f>
        <v>105467.44</v>
      </c>
    </row>
    <row r="451" spans="1:12" s="1247" customFormat="1" ht="14.25">
      <c r="A451" s="1246"/>
      <c r="B451" s="1120"/>
      <c r="C451" s="1120"/>
      <c r="D451" s="1120"/>
      <c r="E451" s="1120"/>
      <c r="F451" s="1120"/>
      <c r="G451" s="1120"/>
      <c r="H451" s="1120"/>
      <c r="I451" s="1120"/>
      <c r="J451" s="1120"/>
      <c r="K451" s="1120"/>
      <c r="L451" s="1121"/>
    </row>
    <row r="452" spans="1:12" s="109" customFormat="1">
      <c r="A452" s="1248" t="s">
        <v>14099</v>
      </c>
      <c r="B452" s="650"/>
      <c r="C452" s="1249"/>
      <c r="D452" s="1256" t="s">
        <v>7522</v>
      </c>
      <c r="E452" s="1125"/>
      <c r="F452" s="843"/>
      <c r="G452" s="843"/>
      <c r="H452" s="843"/>
      <c r="I452" s="843"/>
      <c r="J452" s="843"/>
      <c r="K452" s="843"/>
      <c r="L452" s="843"/>
    </row>
    <row r="453" spans="1:12">
      <c r="A453" s="138" t="s">
        <v>14100</v>
      </c>
      <c r="B453" s="737"/>
      <c r="C453" s="738"/>
      <c r="D453" s="788" t="s">
        <v>12997</v>
      </c>
      <c r="E453" s="740"/>
      <c r="F453" s="142"/>
      <c r="G453" s="142"/>
      <c r="H453" s="741"/>
      <c r="I453" s="144"/>
      <c r="J453" s="741"/>
      <c r="K453" s="741"/>
      <c r="L453" s="741"/>
    </row>
    <row r="454" spans="1:12" ht="42.75">
      <c r="A454" s="77" t="s">
        <v>14101</v>
      </c>
      <c r="B454" s="75" t="s">
        <v>79</v>
      </c>
      <c r="C454" s="78">
        <v>97649</v>
      </c>
      <c r="D454" s="712" t="str">
        <f>IF(B454="SEPLAG",VLOOKUP(C454,COMPOSIÇÃO,2,FALSE),VLOOKUP(C454,'NAO DESO'!A:B,2,FALSE))</f>
        <v>REMOÇÃO DE TELHAS DE FIBROCIMENTO, METÁLICA E CERÂMICA, DE FORMA MECANIZADA, COM USO DE GUINDASTE, SEM REAPROVEITAMENTO. AF_12/2017</v>
      </c>
      <c r="E454" s="74" t="str">
        <f>IF(B454="SEPLAG",VLOOKUP(C454,UNIDADE,3,FALSE),VLOOKUP(C454,'NAO DESO'!A:C,3,FALSE))</f>
        <v>M2</v>
      </c>
      <c r="F454" s="825">
        <f>VLOOKUP(A454,MEMÓRIA,6,FALSE)</f>
        <v>307.20999999999998</v>
      </c>
      <c r="G454" s="714" t="str">
        <f>IF(B454="SEPLAG",VLOOKUP(CONCATENATE("TOTAL DO ITEM NÃO DESON. - ",C454),BASE01,8,FALSE),VLOOKUP(C454,'NAO DESO'!A:D,4,FALSE))</f>
        <v>3,38</v>
      </c>
      <c r="H454" s="714">
        <f>TRUNC(G454+G454*$K$6,2)</f>
        <v>4.13</v>
      </c>
      <c r="I454" s="714">
        <f>TRUNC(F454*H454,2)</f>
        <v>1268.77</v>
      </c>
      <c r="J454" s="714" t="str">
        <f>IF(B454="SEPLAG",VLOOKUP(CONCATENATE("TOTAL DO ITEM DESON. - ",C454),BASE02,10,FALSE),VLOOKUP(C454,DESON!A:D,4,FALSE))</f>
        <v>3,07</v>
      </c>
      <c r="K454" s="714">
        <f>J454+J454*$L$6</f>
        <v>3.9402736199886479</v>
      </c>
      <c r="L454" s="714">
        <f>TRUNC(F454*K454,2)</f>
        <v>1210.49</v>
      </c>
    </row>
    <row r="455" spans="1:12" ht="28.5">
      <c r="A455" s="77" t="s">
        <v>14102</v>
      </c>
      <c r="B455" s="75" t="s">
        <v>79</v>
      </c>
      <c r="C455" s="78">
        <v>97655</v>
      </c>
      <c r="D455" s="712" t="str">
        <f>IF(B455="SEPLAG",VLOOKUP(C455,COMPOSIÇÃO,2,FALSE),VLOOKUP(C455,'NAO DESO'!A:B,2,FALSE))</f>
        <v>REMOÇÃO DE TRAMA METÁLICA PARA COBERTURA, DE FORMA MANUAL, SEM REAPROVEITAMENTO. AF_12/2017</v>
      </c>
      <c r="E455" s="74" t="str">
        <f>IF(B455="SEPLAG",VLOOKUP(C455,UNIDADE,3,FALSE),VLOOKUP(C455,'NAO DESO'!A:C,3,FALSE))</f>
        <v>M2</v>
      </c>
      <c r="F455" s="825">
        <f>VLOOKUP(A455,MEMÓRIA,6,FALSE)</f>
        <v>307.20999999999998</v>
      </c>
      <c r="G455" s="714" t="str">
        <f>IF(B455="SEPLAG",VLOOKUP(CONCATENATE("TOTAL DO ITEM NÃO DESON. - ",C455),BASE01,8,FALSE),VLOOKUP(C455,'NAO DESO'!A:D,4,FALSE))</f>
        <v>18,68</v>
      </c>
      <c r="H455" s="714">
        <f>TRUNC(G455+G455*$K$6,2)</f>
        <v>22.83</v>
      </c>
      <c r="I455" s="714">
        <f>TRUNC(F455*H455,2)</f>
        <v>7013.6</v>
      </c>
      <c r="J455" s="714" t="str">
        <f>IF(B455="SEPLAG",VLOOKUP(CONCATENATE("TOTAL DO ITEM DESON. - ",C455),BASE02,10,FALSE),VLOOKUP(C455,DESON!A:D,4,FALSE))</f>
        <v>17,37</v>
      </c>
      <c r="K455" s="714">
        <f>J455+J455*$L$6</f>
        <v>22.29399113329082</v>
      </c>
      <c r="L455" s="714">
        <f>TRUNC(F455*K455,2)</f>
        <v>6848.93</v>
      </c>
    </row>
    <row r="456" spans="1:12" ht="28.5">
      <c r="A456" s="77" t="s">
        <v>14103</v>
      </c>
      <c r="B456" s="75" t="s">
        <v>79</v>
      </c>
      <c r="C456" s="78">
        <v>97657</v>
      </c>
      <c r="D456" s="712" t="str">
        <f>IF(B456="SEPLAG",VLOOKUP(C456,COMPOSIÇÃO,2,FALSE),VLOOKUP(C456,'NAO DESO'!A:B,2,FALSE))</f>
        <v>REMOÇÃO DE TESOURAS METÁLICAS, COM VÃO MAIOR OU IGUAL A 8M, DE FORMA MANUAL, SEM REAPROVEITAMENTO. AF_12/2017</v>
      </c>
      <c r="E456" s="74" t="str">
        <f>IF(B456="SEPLAG",VLOOKUP(C456,UNIDADE,3,FALSE),VLOOKUP(C456,'NAO DESO'!A:C,3,FALSE))</f>
        <v>UN</v>
      </c>
      <c r="F456" s="825">
        <f>VLOOKUP(A456,MEMÓRIA,6,FALSE)</f>
        <v>8</v>
      </c>
      <c r="G456" s="714" t="str">
        <f>IF(B456="SEPLAG",VLOOKUP(CONCATENATE("TOTAL DO ITEM NÃO DESON. - ",C456),BASE01,8,FALSE),VLOOKUP(C456,'NAO DESO'!A:D,4,FALSE))</f>
        <v>361,46</v>
      </c>
      <c r="H456" s="714">
        <f>TRUNC(G456+G456*$K$6,2)</f>
        <v>441.79</v>
      </c>
      <c r="I456" s="714">
        <f>TRUNC(F456*H456,2)</f>
        <v>3534.32</v>
      </c>
      <c r="J456" s="714" t="str">
        <f>IF(B456="SEPLAG",VLOOKUP(CONCATENATE("TOTAL DO ITEM DESON. - ",C456),BASE02,10,FALSE),VLOOKUP(C456,DESON!A:D,4,FALSE))</f>
        <v>333,87</v>
      </c>
      <c r="K456" s="714">
        <f>J456+J456*$L$6</f>
        <v>428.51438224938437</v>
      </c>
      <c r="L456" s="714">
        <f>TRUNC(F456*K456,2)</f>
        <v>3428.11</v>
      </c>
    </row>
    <row r="457" spans="1:12">
      <c r="A457" s="734" t="str">
        <f>CONCATENATE("TOTAL DO ITEM &gt;&gt;&gt;&gt;",A453)</f>
        <v>TOTAL DO ITEM &gt;&gt;&gt;&gt;12.1</v>
      </c>
      <c r="B457" s="118"/>
      <c r="C457" s="118"/>
      <c r="D457" s="118"/>
      <c r="E457" s="118"/>
      <c r="F457" s="118"/>
      <c r="G457" s="118"/>
      <c r="H457" s="118"/>
      <c r="I457" s="743">
        <f>SUM(I454:I456)</f>
        <v>11816.69</v>
      </c>
      <c r="J457" s="744"/>
      <c r="K457" s="744"/>
      <c r="L457" s="743">
        <f>SUM(L454:L456)</f>
        <v>11487.53</v>
      </c>
    </row>
    <row r="458" spans="1:12">
      <c r="A458" s="785"/>
      <c r="B458" s="786"/>
      <c r="C458" s="786"/>
      <c r="D458" s="786"/>
      <c r="E458" s="786"/>
      <c r="F458" s="786"/>
      <c r="G458" s="786"/>
      <c r="H458" s="786"/>
      <c r="I458" s="786"/>
      <c r="J458" s="786"/>
      <c r="K458" s="786"/>
      <c r="L458" s="787"/>
    </row>
    <row r="459" spans="1:12">
      <c r="A459" s="138" t="s">
        <v>14104</v>
      </c>
      <c r="B459" s="737"/>
      <c r="C459" s="738"/>
      <c r="D459" s="788" t="s">
        <v>7524</v>
      </c>
      <c r="E459" s="740"/>
      <c r="F459" s="142"/>
      <c r="G459" s="142"/>
      <c r="H459" s="741"/>
      <c r="I459" s="144"/>
      <c r="J459" s="741"/>
      <c r="K459" s="741"/>
      <c r="L459" s="741"/>
    </row>
    <row r="460" spans="1:12" ht="28.5">
      <c r="A460" s="77" t="s">
        <v>14105</v>
      </c>
      <c r="B460" s="75" t="s">
        <v>79</v>
      </c>
      <c r="C460" s="78">
        <v>98546</v>
      </c>
      <c r="D460" s="712" t="str">
        <f>IF(B460="SEPLAG",VLOOKUP(C460,COMPOSIÇÃO,2,FALSE),VLOOKUP(C460,'NAO DESO'!A:B,2,FALSE))</f>
        <v>IMPERMEABILIZAÇÃO DE SUPERFÍCIE COM MANTA ASFÁLTICA, UMA CAMADA, INCLUSIVE APLICAÇÃO DE PRIMER ASFÁLTICO, E=3MM. AF_06/2018</v>
      </c>
      <c r="E460" s="74" t="str">
        <f>IF(B460="SEPLAG",VLOOKUP(C460,UNIDADE,3,FALSE),VLOOKUP(C460,'NAO DESO'!A:C,3,FALSE))</f>
        <v>M2</v>
      </c>
      <c r="F460" s="825">
        <f t="shared" ref="F460:F470" si="109">VLOOKUP(A460,MEMÓRIA,6,FALSE)</f>
        <v>54.04</v>
      </c>
      <c r="G460" s="714" t="str">
        <f>IF(B460="SEPLAG",VLOOKUP(CONCATENATE("TOTAL DO ITEM NÃO DESON. - ",C460),BASE01,8,FALSE),VLOOKUP(C460,'NAO DESO'!A:D,4,FALSE))</f>
        <v>92,14</v>
      </c>
      <c r="H460" s="714">
        <f t="shared" ref="H460:H470" si="110">TRUNC(G460+G460*$K$6,2)</f>
        <v>112.61</v>
      </c>
      <c r="I460" s="714">
        <f t="shared" ref="I460:I470" si="111">TRUNC(F460*H460,2)</f>
        <v>6085.44</v>
      </c>
      <c r="J460" s="714" t="str">
        <f>IF(B460="SEPLAG",VLOOKUP(CONCATENATE("TOTAL DO ITEM DESON. - ",C460),BASE02,10,FALSE),VLOOKUP(C460,DESON!A:D,4,FALSE))</f>
        <v>89,91</v>
      </c>
      <c r="K460" s="714">
        <f t="shared" ref="K460:K470" si="112">J460+J460*$L$6</f>
        <v>115.39739451895093</v>
      </c>
      <c r="L460" s="714">
        <f t="shared" ref="L460:L470" si="113">TRUNC(F460*K460,2)</f>
        <v>6236.07</v>
      </c>
    </row>
    <row r="461" spans="1:12" ht="42.75">
      <c r="A461" s="77" t="s">
        <v>14106</v>
      </c>
      <c r="B461" s="75" t="s">
        <v>79</v>
      </c>
      <c r="C461" s="78">
        <v>92620</v>
      </c>
      <c r="D461" s="712" t="str">
        <f>IF(B461="SEPLAG",VLOOKUP(C461,COMPOSIÇÃO,2,FALSE),VLOOKUP(C461,'NAO DESO'!A:B,2,FALSE))</f>
        <v>FABRICAÇÃO E INSTALAÇÃO DE TESOURA INTEIRA EM AÇO, VÃO DE 12 M, PARA TELHA ONDULADA DE FIBROCIMENTO, METÁLICA, PLÁSTICA OU TERMOACÚSTICA, INCLUSO IÇAMENTO. AF_12/2015</v>
      </c>
      <c r="E461" s="74" t="str">
        <f>IF(B461="SEPLAG",VLOOKUP(C461,UNIDADE,3,FALSE),VLOOKUP(C461,'NAO DESO'!A:C,3,FALSE))</f>
        <v>UN</v>
      </c>
      <c r="F461" s="825">
        <f t="shared" si="109"/>
        <v>5</v>
      </c>
      <c r="G461" s="714" t="str">
        <f>IF(B461="SEPLAG",VLOOKUP(CONCATENATE("TOTAL DO ITEM NÃO DESON. - ",C461),BASE01,8,FALSE),VLOOKUP(C461,'NAO DESO'!A:D,4,FALSE))</f>
        <v>2.315,03</v>
      </c>
      <c r="H461" s="714">
        <f t="shared" si="110"/>
        <v>2829.57</v>
      </c>
      <c r="I461" s="714">
        <f t="shared" si="111"/>
        <v>14147.85</v>
      </c>
      <c r="J461" s="714" t="str">
        <f>IF(B461="SEPLAG",VLOOKUP(CONCATENATE("TOTAL DO ITEM DESON. - ",C461),BASE02,10,FALSE),VLOOKUP(C461,DESON!A:D,4,FALSE))</f>
        <v>2.292,16</v>
      </c>
      <c r="K461" s="714">
        <f t="shared" si="112"/>
        <v>2941.9340654049442</v>
      </c>
      <c r="L461" s="714">
        <f t="shared" si="113"/>
        <v>14709.67</v>
      </c>
    </row>
    <row r="462" spans="1:12" ht="42.75">
      <c r="A462" s="77" t="s">
        <v>14107</v>
      </c>
      <c r="B462" s="75" t="s">
        <v>79</v>
      </c>
      <c r="C462" s="78">
        <v>92604</v>
      </c>
      <c r="D462" s="712" t="str">
        <f>IF(B462="SEPLAG",VLOOKUP(C462,COMPOSIÇÃO,2,FALSE),VLOOKUP(C462,'NAO DESO'!A:B,2,FALSE))</f>
        <v>FABRICAÇÃO E INSTALAÇÃO DE TESOURA INTEIRA EM AÇO, VÃO DE 4 M, PARA TELHA ONDULADA DE FIBROCIMENTO, METÁLICA, PLÁSTICA OU TERMOACÚSTICA, INCLUSO IÇAMENTO. AF_12/2015</v>
      </c>
      <c r="E462" s="74" t="str">
        <f>IF(B462="SEPLAG",VLOOKUP(C462,UNIDADE,3,FALSE),VLOOKUP(C462,'NAO DESO'!A:C,3,FALSE))</f>
        <v>UN</v>
      </c>
      <c r="F462" s="825">
        <f t="shared" si="109"/>
        <v>4</v>
      </c>
      <c r="G462" s="714" t="str">
        <f>IF(B462="SEPLAG",VLOOKUP(CONCATENATE("TOTAL DO ITEM NÃO DESON. - ",C462),BASE01,8,FALSE),VLOOKUP(C462,'NAO DESO'!A:D,4,FALSE))</f>
        <v>870,26</v>
      </c>
      <c r="H462" s="714">
        <f t="shared" si="110"/>
        <v>1063.68</v>
      </c>
      <c r="I462" s="714">
        <f t="shared" si="111"/>
        <v>4254.72</v>
      </c>
      <c r="J462" s="714" t="str">
        <f>IF(B462="SEPLAG",VLOOKUP(CONCATENATE("TOTAL DO ITEM DESON. - ",C462),BASE02,10,FALSE),VLOOKUP(C462,DESON!A:D,4,FALSE))</f>
        <v>860,64</v>
      </c>
      <c r="K462" s="714">
        <f t="shared" si="112"/>
        <v>1104.6114294159706</v>
      </c>
      <c r="L462" s="714">
        <f t="shared" si="113"/>
        <v>4418.4399999999996</v>
      </c>
    </row>
    <row r="463" spans="1:12" ht="42.75">
      <c r="A463" s="77" t="s">
        <v>14108</v>
      </c>
      <c r="B463" s="75" t="s">
        <v>79</v>
      </c>
      <c r="C463" s="78">
        <v>92608</v>
      </c>
      <c r="D463" s="712" t="str">
        <f>IF(B463="SEPLAG",VLOOKUP(C463,COMPOSIÇÃO,2,FALSE),VLOOKUP(C463,'NAO DESO'!A:B,2,FALSE))</f>
        <v>FABRICAÇÃO E INSTALAÇÃO DE TESOURA INTEIRA EM AÇO, VÃO DE 6 M, PARA TELHA ONDULADA DE FIBROCIMENTO, METÁLICA, PLÁSTICA OU TERMOACÚSTICA, INCLUSO IÇAMENTO. AF_12/2015</v>
      </c>
      <c r="E463" s="74" t="str">
        <f>IF(B463="SEPLAG",VLOOKUP(C463,UNIDADE,3,FALSE),VLOOKUP(C463,'NAO DESO'!A:C,3,FALSE))</f>
        <v>UN</v>
      </c>
      <c r="F463" s="825">
        <f t="shared" si="109"/>
        <v>5</v>
      </c>
      <c r="G463" s="714" t="str">
        <f>IF(B463="SEPLAG",VLOOKUP(CONCATENATE("TOTAL DO ITEM NÃO DESON. - ",C463),BASE01,8,FALSE),VLOOKUP(C463,'NAO DESO'!A:D,4,FALSE))</f>
        <v>1.251,02</v>
      </c>
      <c r="H463" s="714">
        <f t="shared" si="110"/>
        <v>1529.07</v>
      </c>
      <c r="I463" s="714">
        <f t="shared" si="111"/>
        <v>7645.35</v>
      </c>
      <c r="J463" s="714" t="str">
        <f>IF(B463="SEPLAG",VLOOKUP(CONCATENATE("TOTAL DO ITEM DESON. - ",C463),BASE02,10,FALSE),VLOOKUP(C463,DESON!A:D,4,FALSE))</f>
        <v>1.237,08</v>
      </c>
      <c r="K463" s="714">
        <f t="shared" si="112"/>
        <v>1587.7634168780314</v>
      </c>
      <c r="L463" s="714">
        <f t="shared" si="113"/>
        <v>7938.81</v>
      </c>
    </row>
    <row r="464" spans="1:12" ht="42.75">
      <c r="A464" s="77" t="s">
        <v>14109</v>
      </c>
      <c r="B464" s="75" t="s">
        <v>79</v>
      </c>
      <c r="C464" s="78">
        <v>92580</v>
      </c>
      <c r="D464" s="712" t="str">
        <f>IF(B464="SEPLAG",VLOOKUP(C464,COMPOSIÇÃO,2,FALSE),VLOOKUP(C464,'NAO DESO'!A:B,2,FALSE))</f>
        <v>TRAMA DE AÇO COMPOSTA POR TERÇAS PARA TELHADOS DE ATÉ 2 ÁGUAS PARA TELHA ONDULADA DE FIBROCIMENTO, METÁLICA, PLÁSTICA OU TERMOACÚSTICA, INCLUSO TRANSPORTE VERTICAL. AF_07/2019</v>
      </c>
      <c r="E464" s="74" t="str">
        <f>IF(B464="SEPLAG",VLOOKUP(C464,UNIDADE,3,FALSE),VLOOKUP(C464,'NAO DESO'!A:C,3,FALSE))</f>
        <v>M2</v>
      </c>
      <c r="F464" s="825">
        <f>VLOOKUP(A464,MEMÓRIA,6,FALSE)</f>
        <v>342.14</v>
      </c>
      <c r="G464" s="714" t="str">
        <f>IF(B464="SEPLAG",VLOOKUP(CONCATENATE("TOTAL DO ITEM NÃO DESON. - ",C464),BASE01,8,FALSE),VLOOKUP(C464,'NAO DESO'!A:D,4,FALSE))</f>
        <v>54,80</v>
      </c>
      <c r="H464" s="714">
        <f>TRUNC(G464+G464*$K$6,2)</f>
        <v>66.97</v>
      </c>
      <c r="I464" s="714">
        <f>TRUNC(F464*H464,2)</f>
        <v>22913.11</v>
      </c>
      <c r="J464" s="714" t="str">
        <f>IF(B464="SEPLAG",VLOOKUP(CONCATENATE("TOTAL DO ITEM DESON. - ",C464),BASE02,10,FALSE),VLOOKUP(C464,DESON!A:D,4,FALSE))</f>
        <v>54,26</v>
      </c>
      <c r="K464" s="714">
        <f>J464+J464*$L$6</f>
        <v>69.641448410613691</v>
      </c>
      <c r="L464" s="714">
        <f>TRUNC(F464*K464,2)</f>
        <v>23827.119999999999</v>
      </c>
    </row>
    <row r="465" spans="1:12" ht="28.5">
      <c r="A465" s="77" t="s">
        <v>14110</v>
      </c>
      <c r="B465" s="75" t="s">
        <v>79</v>
      </c>
      <c r="C465" s="78">
        <v>94213</v>
      </c>
      <c r="D465" s="712" t="str">
        <f>IF(B465="SEPLAG",VLOOKUP(C465,COMPOSIÇÃO,2,FALSE),VLOOKUP(C465,'NAO DESO'!A:B,2,FALSE))</f>
        <v>TELHAMENTO COM TELHA DE AÇO/ALUMÍNIO E = 0,5 MM, COM ATÉ 2 ÁGUAS, INCLUSO IÇAMENTO. AF_07/2019</v>
      </c>
      <c r="E465" s="74" t="str">
        <f>IF(B465="SEPLAG",VLOOKUP(C465,UNIDADE,3,FALSE),VLOOKUP(C465,'NAO DESO'!A:C,3,FALSE))</f>
        <v>M2</v>
      </c>
      <c r="F465" s="825">
        <f t="shared" si="109"/>
        <v>342.14</v>
      </c>
      <c r="G465" s="714" t="str">
        <f>IF(B465="SEPLAG",VLOOKUP(CONCATENATE("TOTAL DO ITEM NÃO DESON. - ",C465),BASE01,8,FALSE),VLOOKUP(C465,'NAO DESO'!A:D,4,FALSE))</f>
        <v>74,12</v>
      </c>
      <c r="H465" s="714">
        <f t="shared" si="110"/>
        <v>90.59</v>
      </c>
      <c r="I465" s="714">
        <f t="shared" si="111"/>
        <v>30994.46</v>
      </c>
      <c r="J465" s="714" t="str">
        <f>IF(B465="SEPLAG",VLOOKUP(CONCATENATE("TOTAL DO ITEM DESON. - ",C465),BASE02,10,FALSE),VLOOKUP(C465,DESON!A:D,4,FALSE))</f>
        <v>73,74</v>
      </c>
      <c r="K465" s="714">
        <f t="shared" si="112"/>
        <v>94.643575484678465</v>
      </c>
      <c r="L465" s="714">
        <f t="shared" si="113"/>
        <v>32381.35</v>
      </c>
    </row>
    <row r="466" spans="1:12" s="642" customFormat="1" ht="28.5">
      <c r="A466" s="77" t="s">
        <v>14111</v>
      </c>
      <c r="B466" s="75" t="s">
        <v>79</v>
      </c>
      <c r="C466" s="78">
        <v>94229</v>
      </c>
      <c r="D466" s="712" t="str">
        <f>IF(B466="SEPLAG",VLOOKUP(C466,COMPOSIÇÃO,2,FALSE),VLOOKUP(C466,'NAO DESO'!A:B,2,FALSE))</f>
        <v>CALHA EM CHAPA DE AÇO GALVANIZADO NÚMERO 24, DESENVOLVIMENTO DE 100 CM, INCLUSO TRANSPORTE VERTICAL. AF_07/2019</v>
      </c>
      <c r="E466" s="74" t="str">
        <f>IF(B466="SEPLAG",VLOOKUP(C466,UNIDADE,3,FALSE),VLOOKUP(C466,'NAO DESO'!A:C,3,FALSE))</f>
        <v>M</v>
      </c>
      <c r="F466" s="825">
        <f t="shared" si="109"/>
        <v>68.94</v>
      </c>
      <c r="G466" s="714" t="str">
        <f>IF(B466="SEPLAG",VLOOKUP(CONCATENATE("TOTAL DO ITEM NÃO DESON. - ",C466),BASE01,8,FALSE),VLOOKUP(C466,'NAO DESO'!A:D,4,FALSE))</f>
        <v>173,54</v>
      </c>
      <c r="H466" s="714">
        <f t="shared" si="110"/>
        <v>212.11</v>
      </c>
      <c r="I466" s="714">
        <f t="shared" si="111"/>
        <v>14622.86</v>
      </c>
      <c r="J466" s="714" t="str">
        <f>IF(B466="SEPLAG",VLOOKUP(CONCATENATE("TOTAL DO ITEM DESON. - ",C466),BASE02,10,FALSE),VLOOKUP(C466,DESON!A:D,4,FALSE))</f>
        <v>171,24</v>
      </c>
      <c r="K466" s="714">
        <f t="shared" si="112"/>
        <v>219.78255852992058</v>
      </c>
      <c r="L466" s="714">
        <f t="shared" si="113"/>
        <v>15151.8</v>
      </c>
    </row>
    <row r="467" spans="1:12" ht="28.5">
      <c r="A467" s="77" t="s">
        <v>14505</v>
      </c>
      <c r="B467" s="75" t="s">
        <v>79</v>
      </c>
      <c r="C467" s="78">
        <v>94231</v>
      </c>
      <c r="D467" s="712" t="str">
        <f>IF(B467="SEPLAG",VLOOKUP(C467,COMPOSIÇÃO,2,FALSE),VLOOKUP(C467,'NAO DESO'!A:B,2,FALSE))</f>
        <v>RUFO EM CHAPA DE AÇO GALVANIZADO NÚMERO 24, CORTE DE 25 CM, INCLUSO TRANSPORTE VERTICAL. AF_07/2019</v>
      </c>
      <c r="E467" s="74" t="str">
        <f>IF(B467="SEPLAG",VLOOKUP(C467,UNIDADE,3,FALSE),VLOOKUP(C467,'NAO DESO'!A:C,3,FALSE))</f>
        <v>M</v>
      </c>
      <c r="F467" s="825">
        <f t="shared" si="109"/>
        <v>86.69</v>
      </c>
      <c r="G467" s="714" t="str">
        <f>IF(B467="SEPLAG",VLOOKUP(CONCATENATE("TOTAL DO ITEM NÃO DESON. - ",C467),BASE01,8,FALSE),VLOOKUP(C467,'NAO DESO'!A:D,4,FALSE))</f>
        <v>52,30</v>
      </c>
      <c r="H467" s="714">
        <f t="shared" si="110"/>
        <v>63.92</v>
      </c>
      <c r="I467" s="714">
        <f t="shared" si="111"/>
        <v>5541.22</v>
      </c>
      <c r="J467" s="714" t="str">
        <f>IF(B467="SEPLAG",VLOOKUP(CONCATENATE("TOTAL DO ITEM DESON. - ",C467),BASE02,10,FALSE),VLOOKUP(C467,DESON!A:D,4,FALSE))</f>
        <v>51,65</v>
      </c>
      <c r="K467" s="714">
        <f t="shared" si="112"/>
        <v>66.291574095248748</v>
      </c>
      <c r="L467" s="714">
        <f t="shared" si="113"/>
        <v>5746.81</v>
      </c>
    </row>
    <row r="468" spans="1:12" ht="29.25">
      <c r="A468" s="77" t="s">
        <v>14506</v>
      </c>
      <c r="B468" s="75" t="s">
        <v>14504</v>
      </c>
      <c r="C468" s="78" t="str">
        <f>COMPOSIÇÕES!C2529</f>
        <v>SEPLAG  ARQ 163</v>
      </c>
      <c r="D468" s="712" t="str">
        <f>IF(B468="SEPLAG",VLOOKUP(C468,COMPOSIÇÃO,2,FALSE),VLOOKUP(C468,'NAO DESO'!A:B,2,FALSE))</f>
        <v>COLOCAÇÃO DE CUMEEIRA GALVANIZADA TRAPEZOIDAL E = 0,50 MM, SIMPLES</v>
      </c>
      <c r="E468" s="74" t="str">
        <f>IF(B468="SEPLAG",VLOOKUP(C468,UNIDADE,3,FALSE),VLOOKUP(C468,'NAO DESO'!A:C,3,FALSE))</f>
        <v>und</v>
      </c>
      <c r="F468" s="825">
        <f>VLOOKUP(A468,MEMÓRIA,6,FALSE)</f>
        <v>17.28</v>
      </c>
      <c r="G468" s="714">
        <f>IF(B468="SEPLAG",VLOOKUP(CONCATENATE("TOTAL DO ITEM NÃO DESON. - ",C468),BASE01,8,FALSE),VLOOKUP(C468,'NAO DESO'!A:D,4,FALSE))</f>
        <v>77.149999999999991</v>
      </c>
      <c r="H468" s="714">
        <f>TRUNC(G468+G468*$K$6,2)</f>
        <v>94.29</v>
      </c>
      <c r="I468" s="714">
        <f>TRUNC(F468*H468,2)</f>
        <v>1629.33</v>
      </c>
      <c r="J468" s="714">
        <f>IF(B468="SEPLAG",VLOOKUP(CONCATENATE("TOTAL DO ITEM DESON. - ",C468),BASE02,10,FALSE),VLOOKUP(C468,DESON!A:D,4,FALSE))</f>
        <v>76.36999999999999</v>
      </c>
      <c r="K468" s="714">
        <f>J468+J468*$L$6</f>
        <v>98.019119335027042</v>
      </c>
      <c r="L468" s="714">
        <f>TRUNC(F468*K468,2)</f>
        <v>1693.77</v>
      </c>
    </row>
    <row r="469" spans="1:12" ht="29.25">
      <c r="A469" s="77" t="s">
        <v>14683</v>
      </c>
      <c r="B469" s="75" t="s">
        <v>14504</v>
      </c>
      <c r="C469" s="78" t="str">
        <f>COMPOSIÇÕES!C2538</f>
        <v>SEPLAG  ARQ 164</v>
      </c>
      <c r="D469" s="712" t="str">
        <f>IF(B469="SEPLAG",VLOOKUP(C469,COMPOSIÇÃO,2,FALSE),VLOOKUP(C469,'NAO DESO'!A:B,2,FALSE))</f>
        <v>CHAPIM METÁLICO, COM PINGADEIRA, CHAPA GALVANIZADA Nº 24, DESENVOLVIMENTO = 35 CM</v>
      </c>
      <c r="E469" s="74" t="str">
        <f>IF(B469="SEPLAG",VLOOKUP(C469,UNIDADE,3,FALSE),VLOOKUP(C469,'NAO DESO'!A:C,3,FALSE))</f>
        <v xml:space="preserve">m </v>
      </c>
      <c r="F469" s="825">
        <f>VLOOKUP(A469,MEMÓRIA,6,FALSE)</f>
        <v>136.22999999999999</v>
      </c>
      <c r="G469" s="714">
        <f>IF(B469="SEPLAG",VLOOKUP(CONCATENATE("TOTAL DO ITEM NÃO DESON. - ",C469),BASE01,8,FALSE),VLOOKUP(C469,'NAO DESO'!A:D,4,FALSE))</f>
        <v>101.72</v>
      </c>
      <c r="H469" s="714">
        <f>TRUNC(G469+G469*$K$6,2)</f>
        <v>124.32</v>
      </c>
      <c r="I469" s="714">
        <f>TRUNC(F469*H469,2)</f>
        <v>16936.11</v>
      </c>
      <c r="J469" s="714">
        <f>IF(B469="SEPLAG",VLOOKUP(CONCATENATE("TOTAL DO ITEM DESON. - ",C469),BASE02,10,FALSE),VLOOKUP(C469,DESON!A:D,4,FALSE))</f>
        <v>97.8</v>
      </c>
      <c r="K469" s="714">
        <f>J469+J469*$L$6</f>
        <v>125.52402606999667</v>
      </c>
      <c r="L469" s="714">
        <f>TRUNC(F469*K469,2)</f>
        <v>17100.13</v>
      </c>
    </row>
    <row r="470" spans="1:12" ht="29.25">
      <c r="A470" s="77" t="s">
        <v>14688</v>
      </c>
      <c r="B470" s="75" t="s">
        <v>14504</v>
      </c>
      <c r="C470" s="78" t="s">
        <v>13244</v>
      </c>
      <c r="D470" s="712" t="str">
        <f>IF(B470="SEPLAG",VLOOKUP(C470,COMPOSIÇÃO,2,FALSE),VLOOKUP(C470,'NAO DESO'!A:B,2,FALSE))</f>
        <v>PASSARELA METALICA TIPO 02, FORNECIMENTO E INSTALAÇÃO</v>
      </c>
      <c r="E470" s="74" t="str">
        <f>IF(B470="SEPLAG",VLOOKUP(C470,UNIDADE,3,FALSE),VLOOKUP(C470,'NAO DESO'!A:C,3,FALSE))</f>
        <v>m</v>
      </c>
      <c r="F470" s="825">
        <f t="shared" si="109"/>
        <v>52.49</v>
      </c>
      <c r="G470" s="714">
        <f>IF(B470="SEPLAG",VLOOKUP(CONCATENATE("TOTAL DO ITEM NÃO DESON. - ",C470),BASE01,8,FALSE),VLOOKUP(C470,'NAO DESO'!A:D,4,FALSE))</f>
        <v>183.55</v>
      </c>
      <c r="H470" s="714">
        <f t="shared" si="110"/>
        <v>224.34</v>
      </c>
      <c r="I470" s="714">
        <f t="shared" si="111"/>
        <v>11775.6</v>
      </c>
      <c r="J470" s="714">
        <f>IF(B470="SEPLAG",VLOOKUP(CONCATENATE("TOTAL DO ITEM DESON. - ",C470),BASE02,10,FALSE),VLOOKUP(C470,DESON!A:D,4,FALSE))</f>
        <v>179.85000000000002</v>
      </c>
      <c r="K470" s="714">
        <f t="shared" si="112"/>
        <v>230.83329334037734</v>
      </c>
      <c r="L470" s="714">
        <f t="shared" si="113"/>
        <v>12116.43</v>
      </c>
    </row>
    <row r="471" spans="1:12">
      <c r="A471" s="734" t="str">
        <f>CONCATENATE("TOTAL DO ITEM &gt;&gt;&gt;&gt;",A459)</f>
        <v>TOTAL DO ITEM &gt;&gt;&gt;&gt;12.2</v>
      </c>
      <c r="B471" s="118"/>
      <c r="C471" s="118"/>
      <c r="D471" s="118"/>
      <c r="E471" s="118"/>
      <c r="F471" s="118"/>
      <c r="G471" s="118"/>
      <c r="H471" s="118"/>
      <c r="I471" s="743">
        <f>SUM(I460:I470)</f>
        <v>136546.04999999999</v>
      </c>
      <c r="J471" s="744"/>
      <c r="K471" s="744"/>
      <c r="L471" s="743">
        <f>SUM(L460:L470)</f>
        <v>141320.4</v>
      </c>
    </row>
    <row r="472" spans="1:12" s="108" customFormat="1">
      <c r="A472" s="126"/>
      <c r="B472" s="127"/>
      <c r="C472" s="127"/>
      <c r="D472" s="127"/>
      <c r="E472" s="127"/>
      <c r="F472" s="127"/>
      <c r="G472" s="127"/>
      <c r="H472" s="127"/>
      <c r="I472" s="127"/>
      <c r="J472" s="127"/>
      <c r="K472" s="127"/>
      <c r="L472" s="128"/>
    </row>
    <row r="473" spans="1:12">
      <c r="A473" s="806" t="s">
        <v>14112</v>
      </c>
      <c r="B473" s="807"/>
      <c r="C473" s="807"/>
      <c r="D473" s="806" t="s">
        <v>7527</v>
      </c>
      <c r="E473" s="807"/>
      <c r="F473" s="826"/>
      <c r="G473" s="827"/>
      <c r="H473" s="827"/>
      <c r="I473" s="808"/>
      <c r="J473" s="741"/>
      <c r="K473" s="741"/>
      <c r="L473" s="808"/>
    </row>
    <row r="474" spans="1:12" ht="28.5">
      <c r="A474" s="89" t="s">
        <v>14113</v>
      </c>
      <c r="B474" s="76" t="s">
        <v>79</v>
      </c>
      <c r="C474" s="74">
        <v>92265</v>
      </c>
      <c r="D474" s="712" t="str">
        <f>IF(B474="SEPLAG",VLOOKUP(C474,COMPOSIÇÃO,2,FALSE),VLOOKUP(C474,'NAO DESO'!A:B,2,FALSE))</f>
        <v>FABRICAÇÃO DE FÔRMA PARA VIGAS, EM CHAPA DE MADEIRA COMPENSADA RESINADA, E = 17 MM. AF_09/2020</v>
      </c>
      <c r="E474" s="74" t="str">
        <f>IF(B474="SEPLAG",VLOOKUP(C474,UNIDADE,3,FALSE),VLOOKUP(C474,'NAO DESO'!A:C,3,FALSE))</f>
        <v>M2</v>
      </c>
      <c r="F474" s="825">
        <f>VLOOKUP(A474,MEMÓRIA,6,FALSE)</f>
        <v>123.17</v>
      </c>
      <c r="G474" s="714" t="str">
        <f>IF(B474="SEPLAG",VLOOKUP(CONCATENATE("TOTAL DO ITEM NÃO DESON. - ",C474),BASE01,8,FALSE),VLOOKUP(C474,'NAO DESO'!A:D,4,FALSE))</f>
        <v>129,49</v>
      </c>
      <c r="H474" s="714">
        <f>TRUNC(G474+G474*$K$6,2)</f>
        <v>158.27000000000001</v>
      </c>
      <c r="I474" s="714">
        <f>TRUNC(F474*H474,2)</f>
        <v>19494.11</v>
      </c>
      <c r="J474" s="714" t="str">
        <f>IF(B474="SEPLAG",VLOOKUP(CONCATENATE("TOTAL DO ITEM DESON. - ",C474),BASE02,10,FALSE),VLOOKUP(C474,DESON!A:D,4,FALSE))</f>
        <v>126,54</v>
      </c>
      <c r="K474" s="714">
        <f>J474+J474*$L$6</f>
        <v>162.4111478414865</v>
      </c>
      <c r="L474" s="714">
        <f>TRUNC(F474*K474,2)</f>
        <v>20004.18</v>
      </c>
    </row>
    <row r="475" spans="1:12" ht="42.75">
      <c r="A475" s="89" t="s">
        <v>14114</v>
      </c>
      <c r="B475" s="76" t="s">
        <v>79</v>
      </c>
      <c r="C475" s="74">
        <v>96555</v>
      </c>
      <c r="D475" s="712" t="str">
        <f>IF(B475="SEPLAG",VLOOKUP(C475,COMPOSIÇÃO,2,FALSE),VLOOKUP(C475,'NAO DESO'!A:B,2,FALSE))</f>
        <v>CONCRETAGEM DE BLOCOS DE COROAMENTO E VIGAS BALDRAME, FCK 30 MPA, COM USO DE JERICA  LANÇAMENTO, ADENSAMENTO E ACABAMENTO. AF_06/2017</v>
      </c>
      <c r="E475" s="74" t="str">
        <f>IF(B475="SEPLAG",VLOOKUP(C475,UNIDADE,3,FALSE),VLOOKUP(C475,'NAO DESO'!A:C,3,FALSE))</f>
        <v>M3</v>
      </c>
      <c r="F475" s="825">
        <f>VLOOKUP(A475,MEMÓRIA,6,FALSE)</f>
        <v>6.29</v>
      </c>
      <c r="G475" s="714" t="str">
        <f>IF(B475="SEPLAG",VLOOKUP(CONCATENATE("TOTAL DO ITEM NÃO DESON. - ",C475),BASE01,8,FALSE),VLOOKUP(C475,'NAO DESO'!A:D,4,FALSE))</f>
        <v>606,83</v>
      </c>
      <c r="H475" s="714">
        <f>TRUNC(G475+G475*$K$6,2)</f>
        <v>741.7</v>
      </c>
      <c r="I475" s="714">
        <f>TRUNC(F475*H475,2)</f>
        <v>4665.29</v>
      </c>
      <c r="J475" s="714" t="str">
        <f>IF(B475="SEPLAG",VLOOKUP(CONCATENATE("TOTAL DO ITEM DESON. - ",C475),BASE02,10,FALSE),VLOOKUP(C475,DESON!A:D,4,FALSE))</f>
        <v>591,38</v>
      </c>
      <c r="K475" s="714">
        <f>J475+J475*$L$6</f>
        <v>759.02247993123342</v>
      </c>
      <c r="L475" s="714">
        <f>TRUNC(F475*K475,2)</f>
        <v>4774.25</v>
      </c>
    </row>
    <row r="476" spans="1:12" ht="42.75">
      <c r="A476" s="89" t="s">
        <v>14115</v>
      </c>
      <c r="B476" s="76" t="s">
        <v>79</v>
      </c>
      <c r="C476" s="74">
        <v>92775</v>
      </c>
      <c r="D476" s="712" t="str">
        <f>IF(B476="SEPLAG",VLOOKUP(C476,COMPOSIÇÃO,2,FALSE),VLOOKUP(C476,'NAO DESO'!A:B,2,FALSE))</f>
        <v>ARMAÇÃO DE PILAR OU VIGA DE UMA ESTRUTURA CONVENCIONAL DE CONCRETO ARMADO EM UMA EDIFICAÇÃO TÉRREA OU SOBRADO UTILIZANDO AÇO CA-60 DE 5,0 MM - MONTAGEM. AF_12/2015</v>
      </c>
      <c r="E476" s="74" t="str">
        <f>IF(B476="SEPLAG",VLOOKUP(C476,UNIDADE,3,FALSE),VLOOKUP(C476,'NAO DESO'!A:C,3,FALSE))</f>
        <v>KG</v>
      </c>
      <c r="F476" s="825">
        <f>VLOOKUP(A476,MEMÓRIA,6,FALSE)</f>
        <v>196</v>
      </c>
      <c r="G476" s="714" t="str">
        <f>IF(B476="SEPLAG",VLOOKUP(CONCATENATE("TOTAL DO ITEM NÃO DESON. - ",C476),BASE01,8,FALSE),VLOOKUP(C476,'NAO DESO'!A:D,4,FALSE))</f>
        <v>18,46</v>
      </c>
      <c r="H476" s="714">
        <f>TRUNC(G476+G476*$K$6,2)</f>
        <v>22.56</v>
      </c>
      <c r="I476" s="714">
        <f>TRUNC(F476*H476,2)</f>
        <v>4421.76</v>
      </c>
      <c r="J476" s="714" t="str">
        <f>IF(B476="SEPLAG",VLOOKUP(CONCATENATE("TOTAL DO ITEM DESON. - ",C476),BASE02,10,FALSE),VLOOKUP(C476,DESON!A:D,4,FALSE))</f>
        <v>17,71</v>
      </c>
      <c r="K476" s="714">
        <f>J476+J476*$L$6</f>
        <v>22.730373228012692</v>
      </c>
      <c r="L476" s="714">
        <f>TRUNC(F476*K476,2)</f>
        <v>4455.1499999999996</v>
      </c>
    </row>
    <row r="477" spans="1:12" ht="42.75">
      <c r="A477" s="89" t="s">
        <v>14116</v>
      </c>
      <c r="B477" s="76" t="s">
        <v>79</v>
      </c>
      <c r="C477" s="74">
        <v>92777</v>
      </c>
      <c r="D477" s="712" t="str">
        <f>IF(B477="SEPLAG",VLOOKUP(C477,COMPOSIÇÃO,2,FALSE),VLOOKUP(C477,'NAO DESO'!A:B,2,FALSE))</f>
        <v>ARMAÇÃO DE PILAR OU VIGA DE UMA ESTRUTURA CONVENCIONAL DE CONCRETO ARMADO EM UMA EDIFICAÇÃO TÉRREA OU SOBRADO UTILIZANDO AÇO CA-50 DE 8,0 MM - MONTAGEM. AF_12/2015</v>
      </c>
      <c r="E477" s="74" t="str">
        <f>IF(B477="SEPLAG",VLOOKUP(C477,UNIDADE,3,FALSE),VLOOKUP(C477,'NAO DESO'!A:C,3,FALSE))</f>
        <v>KG</v>
      </c>
      <c r="F477" s="825">
        <f>VLOOKUP(A477,MEMÓRIA,6,FALSE)</f>
        <v>206.9</v>
      </c>
      <c r="G477" s="714" t="str">
        <f>IF(B477="SEPLAG",VLOOKUP(CONCATENATE("TOTAL DO ITEM NÃO DESON. - ",C477),BASE01,8,FALSE),VLOOKUP(C477,'NAO DESO'!A:D,4,FALSE))</f>
        <v>16,52</v>
      </c>
      <c r="H477" s="714">
        <f>TRUNC(G477+G477*$K$6,2)</f>
        <v>20.190000000000001</v>
      </c>
      <c r="I477" s="714">
        <f>TRUNC(F477*H477,2)</f>
        <v>4177.3100000000004</v>
      </c>
      <c r="J477" s="714" t="str">
        <f>IF(B477="SEPLAG",VLOOKUP(CONCATENATE("TOTAL DO ITEM DESON. - ",C477),BASE02,10,FALSE),VLOOKUP(C477,DESON!A:D,4,FALSE))</f>
        <v>16,15</v>
      </c>
      <c r="K477" s="714">
        <f>J477+J477*$L$6</f>
        <v>20.728149499288815</v>
      </c>
      <c r="L477" s="714">
        <f>TRUNC(F477*K477,2)</f>
        <v>4288.6499999999996</v>
      </c>
    </row>
    <row r="478" spans="1:12" ht="42.75">
      <c r="A478" s="89" t="s">
        <v>14117</v>
      </c>
      <c r="B478" s="76" t="s">
        <v>79</v>
      </c>
      <c r="C478" s="76">
        <v>92778</v>
      </c>
      <c r="D478" s="712" t="str">
        <f>IF(B478="SEPLAG",VLOOKUP(C478,COMPOSIÇÃO,2,FALSE),VLOOKUP(C478,'NAO DESO'!A:B,2,FALSE))</f>
        <v>ARMAÇÃO DE PILAR OU VIGA DE UMA ESTRUTURA CONVENCIONAL DE CONCRETO ARMADO EM UMA EDIFICAÇÃO TÉRREA OU SOBRADO UTILIZANDO AÇO CA-50 DE 10,0 MM - MONTAGEM. AF_12/2015</v>
      </c>
      <c r="E478" s="74" t="str">
        <f>IF(B478="SEPLAG",VLOOKUP(C478,UNIDADE,3,FALSE),VLOOKUP(C478,'NAO DESO'!A:C,3,FALSE))</f>
        <v>KG</v>
      </c>
      <c r="F478" s="825">
        <f>VLOOKUP(A478,MEMÓRIA,6,FALSE)</f>
        <v>196.8</v>
      </c>
      <c r="G478" s="714" t="str">
        <f>IF(B478="SEPLAG",VLOOKUP(CONCATENATE("TOTAL DO ITEM NÃO DESON. - ",C478),BASE01,8,FALSE),VLOOKUP(C478,'NAO DESO'!A:D,4,FALSE))</f>
        <v>14,78</v>
      </c>
      <c r="H478" s="714">
        <f>TRUNC(G478+G478*$K$6,2)</f>
        <v>18.059999999999999</v>
      </c>
      <c r="I478" s="714">
        <f>TRUNC(F478*H478,2)</f>
        <v>3554.2</v>
      </c>
      <c r="J478" s="714" t="str">
        <f>IF(B478="SEPLAG",VLOOKUP(CONCATENATE("TOTAL DO ITEM DESON. - ",C478),BASE02,10,FALSE),VLOOKUP(C478,DESON!A:D,4,FALSE))</f>
        <v>14,50</v>
      </c>
      <c r="K478" s="714">
        <f>J478+J478*$L$6</f>
        <v>18.610412863138567</v>
      </c>
      <c r="L478" s="714">
        <f>TRUNC(F478*K478,2)</f>
        <v>3662.52</v>
      </c>
    </row>
    <row r="479" spans="1:12">
      <c r="A479" s="734" t="str">
        <f>CONCATENATE("TOTAL DO ITEM &gt;&gt;&gt;&gt;",A473)</f>
        <v>TOTAL DO ITEM &gt;&gt;&gt;&gt;12.3</v>
      </c>
      <c r="B479" s="118"/>
      <c r="C479" s="118"/>
      <c r="D479" s="118"/>
      <c r="E479" s="118"/>
      <c r="F479" s="118"/>
      <c r="G479" s="118"/>
      <c r="H479" s="118"/>
      <c r="I479" s="743">
        <f>SUM(I474:I478)</f>
        <v>36312.670000000006</v>
      </c>
      <c r="J479" s="744"/>
      <c r="K479" s="744"/>
      <c r="L479" s="743">
        <f>SUM(L474:L478)</f>
        <v>37184.75</v>
      </c>
    </row>
    <row r="480" spans="1:12" s="108" customFormat="1">
      <c r="A480" s="126"/>
      <c r="B480" s="127"/>
      <c r="C480" s="127"/>
      <c r="D480" s="127"/>
      <c r="E480" s="127"/>
      <c r="F480" s="127"/>
      <c r="G480" s="127"/>
      <c r="H480" s="127"/>
      <c r="I480" s="127"/>
      <c r="J480" s="127"/>
      <c r="K480" s="127"/>
      <c r="L480" s="128"/>
    </row>
    <row r="481" spans="1:12">
      <c r="A481" s="806" t="s">
        <v>14118</v>
      </c>
      <c r="B481" s="807"/>
      <c r="C481" s="807"/>
      <c r="D481" s="806" t="s">
        <v>7605</v>
      </c>
      <c r="E481" s="807"/>
      <c r="F481" s="826"/>
      <c r="G481" s="827"/>
      <c r="H481" s="827"/>
      <c r="I481" s="808"/>
      <c r="J481" s="741"/>
      <c r="K481" s="741"/>
      <c r="L481" s="808"/>
    </row>
    <row r="482" spans="1:12" s="642" customFormat="1" ht="42.75">
      <c r="A482" s="89" t="s">
        <v>14119</v>
      </c>
      <c r="B482" s="76" t="s">
        <v>79</v>
      </c>
      <c r="C482" s="76">
        <v>103328</v>
      </c>
      <c r="D482" s="712" t="str">
        <f>IF(B482="SEPLAG",VLOOKUP(C482,COMPOSIÇÃO,2,FALSE),VLOOKUP(C482,'NAO DESO'!A:B,2,FALSE))</f>
        <v>ALVENARIA DE VEDAÇÃO DE BLOCOS CERÂMICOS FURADOS NA HORIZONTAL DE 9X19X19 CM (ESPESSURA 9 CM) E ARGAMASSA DE ASSENTAMENTO COM PREPARO EM BETONEIRA. AF_12/2021</v>
      </c>
      <c r="E482" s="74" t="str">
        <f>IF(B482="SEPLAG",VLOOKUP(C482,UNIDADE,3,FALSE),VLOOKUP(C482,'NAO DESO'!A:C,3,FALSE))</f>
        <v>M2</v>
      </c>
      <c r="F482" s="825">
        <f>VLOOKUP(A482,MEMÓRIA,6,FALSE)</f>
        <v>146.541</v>
      </c>
      <c r="G482" s="714" t="str">
        <f>IF(B482="SEPLAG",VLOOKUP(CONCATENATE("TOTAL DO ITEM NÃO DESON. - ",C482),BASE01,8,FALSE),VLOOKUP(C482,'NAO DESO'!A:D,4,FALSE))</f>
        <v>78,91</v>
      </c>
      <c r="H482" s="714">
        <f>TRUNC(G482+G482*$K$6,2)</f>
        <v>96.44</v>
      </c>
      <c r="I482" s="714">
        <f>TRUNC(F482*H482,2)</f>
        <v>14132.41</v>
      </c>
      <c r="J482" s="714" t="str">
        <f>IF(B482="SEPLAG",VLOOKUP(CONCATENATE("TOTAL DO ITEM DESON. - ",C482),BASE02,10,FALSE),VLOOKUP(C482,DESON!A:D,4,FALSE))</f>
        <v>73,90</v>
      </c>
      <c r="K482" s="714">
        <f>J482+J482*$L$6</f>
        <v>94.848931764547601</v>
      </c>
      <c r="L482" s="714">
        <f>TRUNC(F482*K482,2)</f>
        <v>13899.25</v>
      </c>
    </row>
    <row r="483" spans="1:12" s="642" customFormat="1" ht="42.75">
      <c r="A483" s="89" t="s">
        <v>14120</v>
      </c>
      <c r="B483" s="76" t="s">
        <v>79</v>
      </c>
      <c r="C483" s="74">
        <v>87893</v>
      </c>
      <c r="D483" s="712" t="str">
        <f>IF(B483="SEPLAG",VLOOKUP(C483,COMPOSIÇÃO,2,FALSE),VLOOKUP(C483,'NAO DESO'!A:B,2,FALSE))</f>
        <v>CHAPISCO APLICADO EM ALVENARIA (SEM PRESENÇA DE VÃOS) E ESTRUTURAS DE CONCRETO DE FACHADA, COM COLHER DE PEDREIRO.  ARGAMASSA TRAÇO 1:3 COM PREPARO MANUAL. AF_06/2014</v>
      </c>
      <c r="E483" s="74" t="str">
        <f>IF(B483="SEPLAG",VLOOKUP(C483,UNIDADE,3,FALSE),VLOOKUP(C483,'NAO DESO'!A:C,3,FALSE))</f>
        <v>M2</v>
      </c>
      <c r="F483" s="825">
        <f>VLOOKUP(A483,MEMÓRIA,6,FALSE)</f>
        <v>293.08199999999999</v>
      </c>
      <c r="G483" s="714" t="str">
        <f>IF(B483="SEPLAG",VLOOKUP(CONCATENATE("TOTAL DO ITEM NÃO DESON. - ",C483),BASE01,8,FALSE),VLOOKUP(C483,'NAO DESO'!A:D,4,FALSE))</f>
        <v>6,04</v>
      </c>
      <c r="H483" s="714">
        <f>TRUNC(G483+G483*$K$6,2)</f>
        <v>7.38</v>
      </c>
      <c r="I483" s="714">
        <f>TRUNC(F483*H483,2)</f>
        <v>2162.94</v>
      </c>
      <c r="J483" s="714" t="str">
        <f>IF(B483="SEPLAG",VLOOKUP(CONCATENATE("TOTAL DO ITEM DESON. - ",C483),BASE02,10,FALSE),VLOOKUP(C483,DESON!A:D,4,FALSE))</f>
        <v>5,57</v>
      </c>
      <c r="K483" s="714">
        <f>J483+J483*$L$6</f>
        <v>7.1489654929435735</v>
      </c>
      <c r="L483" s="714">
        <f>TRUNC(F483*K483,2)</f>
        <v>2095.23</v>
      </c>
    </row>
    <row r="484" spans="1:12" s="642" customFormat="1" ht="57">
      <c r="A484" s="89" t="s">
        <v>14121</v>
      </c>
      <c r="B484" s="76" t="s">
        <v>79</v>
      </c>
      <c r="C484" s="74">
        <v>87543</v>
      </c>
      <c r="D484" s="712" t="str">
        <f>IF(B484="SEPLAG",VLOOKUP(C484,COMPOSIÇÃO,2,FALSE),VLOOKUP(C484,'NAO DESO'!A:B,2,FALSE))</f>
        <v>MASSA ÚNICA, PARA RECEBIMENTO DE PINTURA OU CERÂMICA, ARGAMASSA INDUSTRIALIZADA, PREPARO MECÂNICO, APLICADO COM EQUIPAMENTO DE MISTURA E PROJEÇÃO DE 1,5 M3/H EM FACES INTERNAS DE PAREDES, ESPESSURA DE 5MM, SEM EXECUÇÃO DE TALISCAS. AF_06/2014</v>
      </c>
      <c r="E484" s="74" t="str">
        <f>IF(B484="SEPLAG",VLOOKUP(C484,UNIDADE,3,FALSE),VLOOKUP(C484,'NAO DESO'!A:C,3,FALSE))</f>
        <v>M2</v>
      </c>
      <c r="F484" s="825">
        <f>VLOOKUP(A484,MEMÓRIA,6,FALSE)</f>
        <v>293.08199999999999</v>
      </c>
      <c r="G484" s="714" t="str">
        <f>IF(B484="SEPLAG",VLOOKUP(CONCATENATE("TOTAL DO ITEM NÃO DESON. - ",C484),BASE01,8,FALSE),VLOOKUP(C484,'NAO DESO'!A:D,4,FALSE))</f>
        <v>24,40</v>
      </c>
      <c r="H484" s="714">
        <f>TRUNC(G484+G484*$K$6,2)</f>
        <v>29.82</v>
      </c>
      <c r="I484" s="714">
        <f>TRUNC(F484*H484,2)</f>
        <v>8739.7000000000007</v>
      </c>
      <c r="J484" s="714" t="str">
        <f>IF(B484="SEPLAG",VLOOKUP(CONCATENATE("TOTAL DO ITEM DESON. - ",C484),BASE02,10,FALSE),VLOOKUP(C484,DESON!A:D,4,FALSE))</f>
        <v>23,82</v>
      </c>
      <c r="K484" s="714">
        <f>J484+J484*$L$6</f>
        <v>30.572416165514529</v>
      </c>
      <c r="L484" s="714">
        <f>TRUNC(F484*K484,2)</f>
        <v>8960.2199999999993</v>
      </c>
    </row>
    <row r="485" spans="1:12">
      <c r="A485" s="734" t="str">
        <f>CONCATENATE("TOTAL DO ITEM &gt;&gt;&gt;&gt;",A481)</f>
        <v>TOTAL DO ITEM &gt;&gt;&gt;&gt;12.4</v>
      </c>
      <c r="B485" s="118"/>
      <c r="C485" s="118"/>
      <c r="D485" s="118"/>
      <c r="E485" s="118"/>
      <c r="F485" s="118"/>
      <c r="G485" s="118"/>
      <c r="H485" s="118"/>
      <c r="I485" s="743">
        <f>SUM(I482:I484)</f>
        <v>25035.050000000003</v>
      </c>
      <c r="J485" s="744"/>
      <c r="K485" s="744"/>
      <c r="L485" s="743">
        <f>SUM(L482:L484)</f>
        <v>24954.699999999997</v>
      </c>
    </row>
    <row r="486" spans="1:12" s="109" customFormat="1">
      <c r="A486" s="1122" t="str">
        <f>CONCATENATE("TOTAL DO ITEM &gt;&gt;&gt;&gt;",A452)</f>
        <v>TOTAL DO ITEM &gt;&gt;&gt;&gt;12.0</v>
      </c>
      <c r="B486" s="1242"/>
      <c r="C486" s="1242"/>
      <c r="D486" s="1242"/>
      <c r="E486" s="1242"/>
      <c r="F486" s="1242"/>
      <c r="G486" s="1242"/>
      <c r="H486" s="1242"/>
      <c r="I486" s="648">
        <f>SUM(I485,I479,I471,I457)</f>
        <v>209710.46</v>
      </c>
      <c r="J486" s="843"/>
      <c r="K486" s="843"/>
      <c r="L486" s="648">
        <f>SUM(L485,L479,L471,L457)</f>
        <v>214947.37999999998</v>
      </c>
    </row>
    <row r="487" spans="1:12" s="1247" customFormat="1" ht="14.25">
      <c r="A487" s="1246"/>
      <c r="B487" s="1120"/>
      <c r="C487" s="1120"/>
      <c r="D487" s="1120"/>
      <c r="E487" s="1120"/>
      <c r="F487" s="1120"/>
      <c r="G487" s="1120"/>
      <c r="H487" s="1120"/>
      <c r="I487" s="1120"/>
      <c r="J487" s="1120"/>
      <c r="K487" s="1120"/>
      <c r="L487" s="1121"/>
    </row>
    <row r="488" spans="1:12" s="109" customFormat="1">
      <c r="A488" s="1248" t="s">
        <v>14122</v>
      </c>
      <c r="B488" s="650"/>
      <c r="C488" s="1249"/>
      <c r="D488" s="1256" t="s">
        <v>7526</v>
      </c>
      <c r="E488" s="1125"/>
      <c r="F488" s="1309"/>
      <c r="G488" s="843"/>
      <c r="H488" s="843"/>
      <c r="I488" s="843"/>
      <c r="J488" s="843"/>
      <c r="K488" s="843"/>
      <c r="L488" s="843"/>
    </row>
    <row r="489" spans="1:12">
      <c r="A489" s="828"/>
      <c r="B489" s="829"/>
      <c r="C489" s="829"/>
      <c r="D489" s="829"/>
      <c r="E489" s="829"/>
      <c r="F489" s="829"/>
      <c r="G489" s="829"/>
      <c r="H489" s="829"/>
      <c r="I489" s="829"/>
      <c r="J489" s="829"/>
      <c r="K489" s="829"/>
      <c r="L489" s="830"/>
    </row>
    <row r="490" spans="1:12">
      <c r="A490" s="138" t="s">
        <v>14123</v>
      </c>
      <c r="B490" s="737"/>
      <c r="C490" s="738"/>
      <c r="D490" s="147" t="s">
        <v>14476</v>
      </c>
      <c r="E490" s="740"/>
      <c r="F490" s="142"/>
      <c r="G490" s="142"/>
      <c r="H490" s="741"/>
      <c r="I490" s="144"/>
      <c r="J490" s="741"/>
      <c r="K490" s="741"/>
      <c r="L490" s="741"/>
    </row>
    <row r="491" spans="1:12">
      <c r="A491" s="138" t="s">
        <v>14216</v>
      </c>
      <c r="B491" s="737"/>
      <c r="C491" s="738"/>
      <c r="D491" s="788" t="s">
        <v>38</v>
      </c>
      <c r="E491" s="740"/>
      <c r="F491" s="142"/>
      <c r="G491" s="142"/>
      <c r="H491" s="741"/>
      <c r="I491" s="144"/>
      <c r="J491" s="741"/>
      <c r="K491" s="741"/>
      <c r="L491" s="741"/>
    </row>
    <row r="492" spans="1:12" ht="28.5">
      <c r="A492" s="77" t="s">
        <v>14217</v>
      </c>
      <c r="B492" s="75" t="s">
        <v>79</v>
      </c>
      <c r="C492" s="74">
        <v>96526</v>
      </c>
      <c r="D492" s="712" t="str">
        <f>IF(B492="SEPLAG",VLOOKUP(C492,COMPOSIÇÃO,2,FALSE),VLOOKUP(C492,'NAO DESO'!A:B,2,FALSE))</f>
        <v>ESCAVAÇÃO MANUAL DE VALA PARA VIGA BALDRAME (SEM ESCAVAÇÃO PARA COLOCAÇÃO DE FÔRMAS). AF_06/2017</v>
      </c>
      <c r="E492" s="74" t="str">
        <f>IF(B492="SEPLAG",VLOOKUP(C492,UNIDADE,3,FALSE),VLOOKUP(C492,'NAO DESO'!A:C,3,FALSE))</f>
        <v>M3</v>
      </c>
      <c r="F492" s="825">
        <f>VLOOKUP(A492,MEMÓRIA,6,FALSE)</f>
        <v>4.13</v>
      </c>
      <c r="G492" s="714" t="str">
        <f>IF(B492="SEPLAG",VLOOKUP(CONCATENATE("TOTAL DO ITEM NÃO DESON. - ",C492),BASE01,8,FALSE),VLOOKUP(C492,'NAO DESO'!A:D,4,FALSE))</f>
        <v>241,37</v>
      </c>
      <c r="H492" s="714">
        <f>TRUNC(G492+G492*$K$6,2)</f>
        <v>295.01</v>
      </c>
      <c r="I492" s="714">
        <f>TRUNC(F492*H492,2)</f>
        <v>1218.3900000000001</v>
      </c>
      <c r="J492" s="714" t="str">
        <f>IF(B492="SEPLAG",VLOOKUP(CONCATENATE("TOTAL DO ITEM DESON. - ",C492),BASE02,10,FALSE),VLOOKUP(C492,DESON!A:D,4,FALSE))</f>
        <v>216,67</v>
      </c>
      <c r="K492" s="714">
        <f>J492+J492*$L$6</f>
        <v>278.09090724525743</v>
      </c>
      <c r="L492" s="714">
        <f>TRUNC(F492*K492,2)</f>
        <v>1148.51</v>
      </c>
    </row>
    <row r="493" spans="1:12" ht="28.5">
      <c r="A493" s="77" t="s">
        <v>14218</v>
      </c>
      <c r="B493" s="75" t="s">
        <v>79</v>
      </c>
      <c r="C493" s="78">
        <v>101616</v>
      </c>
      <c r="D493" s="712" t="str">
        <f>IF(B493="SEPLAG",VLOOKUP(C493,COMPOSIÇÃO,2,FALSE),VLOOKUP(C493,'NAO DESO'!A:B,2,FALSE))</f>
        <v>PREPARO DE FUNDO DE VALA COM LARGURA MENOR QUE 1,5 M (ACERTO DO SOLO NATURAL). AF_08/2020</v>
      </c>
      <c r="E493" s="74" t="str">
        <f>IF(B493="SEPLAG",VLOOKUP(C493,UNIDADE,3,FALSE),VLOOKUP(C493,'NAO DESO'!A:C,3,FALSE))</f>
        <v>M2</v>
      </c>
      <c r="F493" s="825">
        <f>VLOOKUP(A493,MEMÓRIA,6,FALSE)</f>
        <v>1.36</v>
      </c>
      <c r="G493" s="714" t="str">
        <f>IF(B493="SEPLAG",VLOOKUP(CONCATENATE("TOTAL DO ITEM NÃO DESON. - ",C493),BASE01,8,FALSE),VLOOKUP(C493,'NAO DESO'!A:D,4,FALSE))</f>
        <v>4,86</v>
      </c>
      <c r="H493" s="714">
        <f>TRUNC(G493+G493*$K$6,2)</f>
        <v>5.94</v>
      </c>
      <c r="I493" s="714">
        <f>TRUNC(F493*H493,2)</f>
        <v>8.07</v>
      </c>
      <c r="J493" s="714" t="str">
        <f>IF(B493="SEPLAG",VLOOKUP(CONCATENATE("TOTAL DO ITEM DESON. - ",C493),BASE02,10,FALSE),VLOOKUP(C493,DESON!A:D,4,FALSE))</f>
        <v>4,37</v>
      </c>
      <c r="K493" s="714">
        <f>J493+J493*$L$6</f>
        <v>5.6087933939252093</v>
      </c>
      <c r="L493" s="714">
        <f>TRUNC(F493*K493,2)</f>
        <v>7.62</v>
      </c>
    </row>
    <row r="494" spans="1:12">
      <c r="A494" s="734" t="str">
        <f>CONCATENATE("TOTAL DO ITEM &gt;&gt;&gt;&gt;",A491)</f>
        <v>TOTAL DO ITEM &gt;&gt;&gt;&gt;13.1.1</v>
      </c>
      <c r="B494" s="118"/>
      <c r="C494" s="118"/>
      <c r="D494" s="118"/>
      <c r="E494" s="118"/>
      <c r="F494" s="118"/>
      <c r="G494" s="118"/>
      <c r="H494" s="118"/>
      <c r="I494" s="743">
        <f>SUM(I492:I493)</f>
        <v>1226.46</v>
      </c>
      <c r="J494" s="88"/>
      <c r="K494" s="88"/>
      <c r="L494" s="743">
        <f>SUM(L492:L493)</f>
        <v>1156.1299999999999</v>
      </c>
    </row>
    <row r="495" spans="1:12" s="108" customFormat="1">
      <c r="A495" s="126"/>
      <c r="B495" s="127"/>
      <c r="C495" s="127"/>
      <c r="D495" s="127"/>
      <c r="E495" s="127"/>
      <c r="F495" s="127"/>
      <c r="G495" s="127"/>
      <c r="H495" s="127"/>
      <c r="I495" s="127"/>
      <c r="J495" s="127"/>
      <c r="K495" s="127"/>
      <c r="L495" s="128"/>
    </row>
    <row r="496" spans="1:12">
      <c r="A496" s="138" t="s">
        <v>14219</v>
      </c>
      <c r="B496" s="737"/>
      <c r="C496" s="738"/>
      <c r="D496" s="739" t="s">
        <v>14475</v>
      </c>
      <c r="E496" s="740"/>
      <c r="F496" s="142"/>
      <c r="G496" s="142"/>
      <c r="H496" s="741"/>
      <c r="I496" s="144"/>
      <c r="J496" s="741"/>
      <c r="K496" s="741"/>
      <c r="L496" s="741"/>
    </row>
    <row r="497" spans="1:12" ht="42.75">
      <c r="A497" s="77" t="s">
        <v>14220</v>
      </c>
      <c r="B497" s="75" t="s">
        <v>79</v>
      </c>
      <c r="C497" s="74">
        <v>102473</v>
      </c>
      <c r="D497" s="712" t="str">
        <f>IF(B497="SEPLAG",VLOOKUP(C497,COMPOSIÇÃO,2,FALSE),VLOOKUP(C497,'NAO DESO'!A:B,2,FALSE))</f>
        <v>CONCRETO MAGRO PARA LASTRO, TRAÇO 1:4,5:4,5 (EM MASSA SECA DE CIMENTO/ AREIA MÉDIA/ SEIXO ROLADO) - PREPARO MECÂNICO COM BETONEIRA 400 L. AF_05/2021</v>
      </c>
      <c r="E497" s="74" t="str">
        <f>IF(B497="SEPLAG",VLOOKUP(C497,UNIDADE,3,FALSE),VLOOKUP(C497,'NAO DESO'!A:C,3,FALSE))</f>
        <v>M3</v>
      </c>
      <c r="F497" s="825">
        <f t="shared" ref="F497:F504" si="114">VLOOKUP(A497,MEMÓRIA,6,FALSE)</f>
        <v>9.9599999999999994E-2</v>
      </c>
      <c r="G497" s="714" t="str">
        <f>IF(B497="SEPLAG",VLOOKUP(CONCATENATE("TOTAL DO ITEM NÃO DESON. - ",C497),BASE01,8,FALSE),VLOOKUP(C497,'NAO DESO'!A:D,4,FALSE))</f>
        <v>456,78</v>
      </c>
      <c r="H497" s="714">
        <f t="shared" ref="H497:H504" si="115">TRUNC(G497+G497*$K$6,2)</f>
        <v>558.29999999999995</v>
      </c>
      <c r="I497" s="714">
        <f t="shared" ref="I497:I504" si="116">TRUNC(F497*H497,2)</f>
        <v>55.6</v>
      </c>
      <c r="J497" s="714" t="str">
        <f>IF(B497="SEPLAG",VLOOKUP(CONCATENATE("TOTAL DO ITEM DESON. - ",C497),BASE02,10,FALSE),VLOOKUP(C497,DESON!A:D,4,FALSE))</f>
        <v>450,40</v>
      </c>
      <c r="K497" s="714">
        <f t="shared" ref="K497:K504" si="117">J497+J497*$L$6</f>
        <v>578.07792783155924</v>
      </c>
      <c r="L497" s="714">
        <f t="shared" ref="L497:L504" si="118">TRUNC(F497*K497,2)</f>
        <v>57.57</v>
      </c>
    </row>
    <row r="498" spans="1:12" ht="28.5">
      <c r="A498" s="77" t="s">
        <v>14221</v>
      </c>
      <c r="B498" s="75" t="s">
        <v>79</v>
      </c>
      <c r="C498" s="74">
        <v>96558</v>
      </c>
      <c r="D498" s="712" t="str">
        <f>IF(B498="SEPLAG",VLOOKUP(C498,COMPOSIÇÃO,2,FALSE),VLOOKUP(C498,'NAO DESO'!A:B,2,FALSE))</f>
        <v>CONCRETAGEM DE SAPATAS, FCK 30 MPA, COM USO DE BOMBA  LANÇAMENTO, ADENSAMENTO E ACABAMENTO. AF_11/2016</v>
      </c>
      <c r="E498" s="74" t="str">
        <f>IF(B498="SEPLAG",VLOOKUP(C498,UNIDADE,3,FALSE),VLOOKUP(C498,'NAO DESO'!A:C,3,FALSE))</f>
        <v>M3</v>
      </c>
      <c r="F498" s="825">
        <f t="shared" si="114"/>
        <v>5.48</v>
      </c>
      <c r="G498" s="714" t="str">
        <f>IF(B498="SEPLAG",VLOOKUP(CONCATENATE("TOTAL DO ITEM NÃO DESON. - ",C498),BASE01,8,FALSE),VLOOKUP(C498,'NAO DESO'!A:D,4,FALSE))</f>
        <v>709,62</v>
      </c>
      <c r="H498" s="714">
        <f t="shared" si="115"/>
        <v>867.34</v>
      </c>
      <c r="I498" s="714">
        <f t="shared" si="116"/>
        <v>4753.0200000000004</v>
      </c>
      <c r="J498" s="714" t="str">
        <f>IF(B498="SEPLAG",VLOOKUP(CONCATENATE("TOTAL DO ITEM DESON. - ",C498),BASE02,10,FALSE),VLOOKUP(C498,DESON!A:D,4,FALSE))</f>
        <v>707,27</v>
      </c>
      <c r="K498" s="714">
        <f t="shared" si="117"/>
        <v>907.76460039393191</v>
      </c>
      <c r="L498" s="714">
        <f t="shared" si="118"/>
        <v>4974.55</v>
      </c>
    </row>
    <row r="499" spans="1:12" s="654" customFormat="1" ht="28.5">
      <c r="A499" s="77" t="s">
        <v>14222</v>
      </c>
      <c r="B499" s="75" t="s">
        <v>79</v>
      </c>
      <c r="C499" s="74">
        <v>96543</v>
      </c>
      <c r="D499" s="712" t="str">
        <f>IF(B499="SEPLAG",VLOOKUP(C499,COMPOSIÇÃO,2,FALSE),VLOOKUP(C499,'NAO DESO'!A:B,2,FALSE))</f>
        <v>ARMAÇÃO DE BLOCO, VIGA BALDRAME E SAPATA UTILIZANDO AÇO CA-60 DE 5 MM - MONTAGEM. AF_06/2017</v>
      </c>
      <c r="E499" s="74" t="str">
        <f>IF(B499="SEPLAG",VLOOKUP(C499,UNIDADE,3,FALSE),VLOOKUP(C499,'NAO DESO'!A:C,3,FALSE))</f>
        <v>KG</v>
      </c>
      <c r="F499" s="825">
        <f t="shared" si="114"/>
        <v>123.8</v>
      </c>
      <c r="G499" s="714" t="str">
        <f>IF(B499="SEPLAG",VLOOKUP(CONCATENATE("TOTAL DO ITEM NÃO DESON. - ",C499),BASE01,8,FALSE),VLOOKUP(C499,'NAO DESO'!A:D,4,FALSE))</f>
        <v>18,45</v>
      </c>
      <c r="H499" s="714">
        <f t="shared" si="115"/>
        <v>22.55</v>
      </c>
      <c r="I499" s="714">
        <f t="shared" si="116"/>
        <v>2791.69</v>
      </c>
      <c r="J499" s="714" t="str">
        <f>IF(B499="SEPLAG",VLOOKUP(CONCATENATE("TOTAL DO ITEM DESON. - ",C499),BASE02,10,FALSE),VLOOKUP(C499,DESON!A:D,4,FALSE))</f>
        <v>17,73</v>
      </c>
      <c r="K499" s="714">
        <f t="shared" si="117"/>
        <v>22.75604276299633</v>
      </c>
      <c r="L499" s="714">
        <f t="shared" si="118"/>
        <v>2817.19</v>
      </c>
    </row>
    <row r="500" spans="1:12" ht="28.5">
      <c r="A500" s="77" t="s">
        <v>14481</v>
      </c>
      <c r="B500" s="75" t="s">
        <v>79</v>
      </c>
      <c r="C500" s="74">
        <v>96545</v>
      </c>
      <c r="D500" s="712" t="str">
        <f>IF(B500="SEPLAG",VLOOKUP(C500,COMPOSIÇÃO,2,FALSE),VLOOKUP(C500,'NAO DESO'!A:B,2,FALSE))</f>
        <v>ARMAÇÃO DE BLOCO, VIGA BALDRAME OU SAPATA UTILIZANDO AÇO CA-50 DE 8 MM - MONTAGEM. AF_06/2017</v>
      </c>
      <c r="E500" s="74" t="str">
        <f>IF(B500="SEPLAG",VLOOKUP(C500,UNIDADE,3,FALSE),VLOOKUP(C500,'NAO DESO'!A:C,3,FALSE))</f>
        <v>KG</v>
      </c>
      <c r="F500" s="825">
        <f t="shared" si="114"/>
        <v>42.400000000000006</v>
      </c>
      <c r="G500" s="714" t="str">
        <f>IF(B500="SEPLAG",VLOOKUP(CONCATENATE("TOTAL DO ITEM NÃO DESON. - ",C500),BASE01,8,FALSE),VLOOKUP(C500,'NAO DESO'!A:D,4,FALSE))</f>
        <v>16,54</v>
      </c>
      <c r="H500" s="714">
        <f t="shared" si="115"/>
        <v>20.21</v>
      </c>
      <c r="I500" s="714">
        <f t="shared" si="116"/>
        <v>856.9</v>
      </c>
      <c r="J500" s="714" t="str">
        <f>IF(B500="SEPLAG",VLOOKUP(CONCATENATE("TOTAL DO ITEM DESON. - ",C500),BASE02,10,FALSE),VLOOKUP(C500,DESON!A:D,4,FALSE))</f>
        <v>16,16</v>
      </c>
      <c r="K500" s="714">
        <f t="shared" si="117"/>
        <v>20.740984266780636</v>
      </c>
      <c r="L500" s="714">
        <f t="shared" si="118"/>
        <v>879.41</v>
      </c>
    </row>
    <row r="501" spans="1:12" ht="28.5">
      <c r="A501" s="77" t="s">
        <v>14223</v>
      </c>
      <c r="B501" s="75" t="s">
        <v>79</v>
      </c>
      <c r="C501" s="74">
        <v>96546</v>
      </c>
      <c r="D501" s="712" t="str">
        <f>IF(B501="SEPLAG",VLOOKUP(C501,COMPOSIÇÃO,2,FALSE),VLOOKUP(C501,'NAO DESO'!A:B,2,FALSE))</f>
        <v>ARMAÇÃO DE BLOCO, VIGA BALDRAME OU SAPATA UTILIZANDO AÇO CA-50 DE 10 MM - MONTAGEM. AF_06/2017</v>
      </c>
      <c r="E501" s="74" t="str">
        <f>IF(B501="SEPLAG",VLOOKUP(C501,UNIDADE,3,FALSE),VLOOKUP(C501,'NAO DESO'!A:C,3,FALSE))</f>
        <v>KG</v>
      </c>
      <c r="F501" s="825">
        <f t="shared" si="114"/>
        <v>137.80000000000001</v>
      </c>
      <c r="G501" s="714" t="str">
        <f>IF(B501="SEPLAG",VLOOKUP(CONCATENATE("TOTAL DO ITEM NÃO DESON. - ",C501),BASE01,8,FALSE),VLOOKUP(C501,'NAO DESO'!A:D,4,FALSE))</f>
        <v>14,85</v>
      </c>
      <c r="H501" s="714">
        <f t="shared" si="115"/>
        <v>18.149999999999999</v>
      </c>
      <c r="I501" s="714">
        <f t="shared" si="116"/>
        <v>2501.0700000000002</v>
      </c>
      <c r="J501" s="714" t="str">
        <f>IF(B501="SEPLAG",VLOOKUP(CONCATENATE("TOTAL DO ITEM DESON. - ",C501),BASE02,10,FALSE),VLOOKUP(C501,DESON!A:D,4,FALSE))</f>
        <v>14,57</v>
      </c>
      <c r="K501" s="714">
        <f t="shared" si="117"/>
        <v>18.700256235581303</v>
      </c>
      <c r="L501" s="714">
        <f t="shared" si="118"/>
        <v>2576.89</v>
      </c>
    </row>
    <row r="502" spans="1:12" ht="28.5">
      <c r="A502" s="77" t="s">
        <v>14224</v>
      </c>
      <c r="B502" s="75" t="s">
        <v>79</v>
      </c>
      <c r="C502" s="74">
        <v>92263</v>
      </c>
      <c r="D502" s="712" t="str">
        <f>IF(B502="SEPLAG",VLOOKUP(C502,COMPOSIÇÃO,2,FALSE),VLOOKUP(C502,'NAO DESO'!A:B,2,FALSE))</f>
        <v>FABRICAÇÃO DE FÔRMA PARA PILARES E ESTRUTURAS SIMILARES, EM CHAPA DE MADEIRA COMPENSADA RESINADA, E = 17 MM. AF_09/2020</v>
      </c>
      <c r="E502" s="74" t="str">
        <f>IF(B502="SEPLAG",VLOOKUP(C502,UNIDADE,3,FALSE),VLOOKUP(C502,'NAO DESO'!A:C,3,FALSE))</f>
        <v>M2</v>
      </c>
      <c r="F502" s="825">
        <f t="shared" si="114"/>
        <v>22.02</v>
      </c>
      <c r="G502" s="714" t="str">
        <f>IF(B502="SEPLAG",VLOOKUP(CONCATENATE("TOTAL DO ITEM NÃO DESON. - ",C502),BASE01,8,FALSE),VLOOKUP(C502,'NAO DESO'!A:D,4,FALSE))</f>
        <v>175,96</v>
      </c>
      <c r="H502" s="714">
        <f t="shared" si="115"/>
        <v>215.06</v>
      </c>
      <c r="I502" s="714">
        <f t="shared" si="116"/>
        <v>4735.62</v>
      </c>
      <c r="J502" s="714" t="str">
        <f>IF(B502="SEPLAG",VLOOKUP(CONCATENATE("TOTAL DO ITEM DESON. - ",C502),BASE02,10,FALSE),VLOOKUP(C502,DESON!A:D,4,FALSE))</f>
        <v>172,32</v>
      </c>
      <c r="K502" s="714">
        <f t="shared" si="117"/>
        <v>221.16871341903709</v>
      </c>
      <c r="L502" s="714">
        <f t="shared" si="118"/>
        <v>4870.13</v>
      </c>
    </row>
    <row r="503" spans="1:12" ht="28.5">
      <c r="A503" s="77" t="s">
        <v>14225</v>
      </c>
      <c r="B503" s="75" t="s">
        <v>79</v>
      </c>
      <c r="C503" s="75">
        <v>98557</v>
      </c>
      <c r="D503" s="712" t="str">
        <f>IF(B503="SEPLAG",VLOOKUP(C503,COMPOSIÇÃO,2,FALSE),VLOOKUP(C503,'NAO DESO'!A:B,2,FALSE))</f>
        <v>IMPERMEABILIZAÇÃO DE SUPERFÍCIE COM EMULSÃO ASFÁLTICA, 2 DEMÃOS AF_06/2018</v>
      </c>
      <c r="E503" s="74" t="str">
        <f>IF(B503="SEPLAG",VLOOKUP(C503,UNIDADE,3,FALSE),VLOOKUP(C503,'NAO DESO'!A:C,3,FALSE))</f>
        <v>M2</v>
      </c>
      <c r="F503" s="825">
        <f t="shared" si="114"/>
        <v>22.02</v>
      </c>
      <c r="G503" s="714" t="str">
        <f>IF(B503="SEPLAG",VLOOKUP(CONCATENATE("TOTAL DO ITEM NÃO DESON. - ",C503),BASE01,8,FALSE),VLOOKUP(C503,'NAO DESO'!A:D,4,FALSE))</f>
        <v>58,82</v>
      </c>
      <c r="H503" s="714">
        <f t="shared" si="115"/>
        <v>71.89</v>
      </c>
      <c r="I503" s="714">
        <f t="shared" si="116"/>
        <v>1583.01</v>
      </c>
      <c r="J503" s="714" t="str">
        <f>IF(B503="SEPLAG",VLOOKUP(CONCATENATE("TOTAL DO ITEM DESON. - ",C503),BASE02,10,FALSE),VLOOKUP(C503,DESON!A:D,4,FALSE))</f>
        <v>57,84</v>
      </c>
      <c r="K503" s="714">
        <f t="shared" si="117"/>
        <v>74.236295172685146</v>
      </c>
      <c r="L503" s="714">
        <f t="shared" si="118"/>
        <v>1634.68</v>
      </c>
    </row>
    <row r="504" spans="1:12" ht="42.75">
      <c r="A504" s="77" t="s">
        <v>14226</v>
      </c>
      <c r="B504" s="75" t="s">
        <v>79</v>
      </c>
      <c r="C504" s="75">
        <v>100651</v>
      </c>
      <c r="D504" s="712" t="str">
        <f>IF(B504="SEPLAG",VLOOKUP(C504,COMPOSIÇÃO,2,FALSE),VLOOKUP(C504,'NAO DESO'!A:B,2,FALSE))</f>
        <v>ESTACA HÉLICE CONTÍNUA, DIÂMETRO DE 30 CM, INCLUSO CONCRETO FCK=30MPA E ARMADURA MÍNIMA (EXCLUSIVE MOBILIZAÇÃO, DESMOBILIZAÇÃO E BOMBEAMENTO). AF_12/2019</v>
      </c>
      <c r="E504" s="74" t="str">
        <f>IF(B504="SEPLAG",VLOOKUP(C504,UNIDADE,3,FALSE),VLOOKUP(C504,'NAO DESO'!A:C,3,FALSE))</f>
        <v>M</v>
      </c>
      <c r="F504" s="825">
        <f t="shared" si="114"/>
        <v>37</v>
      </c>
      <c r="G504" s="714" t="str">
        <f>IF(B504="SEPLAG",VLOOKUP(CONCATENATE("TOTAL DO ITEM NÃO DESON. - ",C504),BASE01,8,FALSE),VLOOKUP(C504,'NAO DESO'!A:D,4,FALSE))</f>
        <v>139,63</v>
      </c>
      <c r="H504" s="714">
        <f t="shared" si="115"/>
        <v>170.66</v>
      </c>
      <c r="I504" s="714">
        <f t="shared" si="116"/>
        <v>6314.42</v>
      </c>
      <c r="J504" s="714" t="str">
        <f>IF(B504="SEPLAG",VLOOKUP(CONCATENATE("TOTAL DO ITEM DESON. - ",C504),BASE02,10,FALSE),VLOOKUP(C504,DESON!A:D,4,FALSE))</f>
        <v>138,42</v>
      </c>
      <c r="K504" s="714">
        <f t="shared" si="117"/>
        <v>177.65885162176829</v>
      </c>
      <c r="L504" s="714">
        <f t="shared" si="118"/>
        <v>6573.37</v>
      </c>
    </row>
    <row r="505" spans="1:12">
      <c r="A505" s="734" t="str">
        <f>CONCATENATE("TOTAL DO ITEM &gt;&gt;&gt;&gt;",A496)</f>
        <v>TOTAL DO ITEM &gt;&gt;&gt;&gt;13.1.2</v>
      </c>
      <c r="B505" s="118"/>
      <c r="C505" s="118"/>
      <c r="D505" s="118"/>
      <c r="E505" s="118"/>
      <c r="F505" s="118"/>
      <c r="G505" s="118"/>
      <c r="H505" s="118"/>
      <c r="I505" s="743">
        <f>SUM(I497:I504)</f>
        <v>23591.33</v>
      </c>
      <c r="J505" s="744"/>
      <c r="K505" s="744"/>
      <c r="L505" s="743">
        <f>SUM(L497:L504)</f>
        <v>24383.789999999997</v>
      </c>
    </row>
    <row r="506" spans="1:12">
      <c r="A506" s="828"/>
      <c r="B506" s="829"/>
      <c r="C506" s="829"/>
      <c r="D506" s="829"/>
      <c r="E506" s="829"/>
      <c r="F506" s="829"/>
      <c r="G506" s="829"/>
      <c r="H506" s="829"/>
      <c r="I506" s="829"/>
      <c r="J506" s="829"/>
      <c r="K506" s="829"/>
      <c r="L506" s="830"/>
    </row>
    <row r="507" spans="1:12">
      <c r="A507" s="806" t="s">
        <v>14227</v>
      </c>
      <c r="B507" s="807"/>
      <c r="C507" s="807"/>
      <c r="D507" s="806" t="s">
        <v>14211</v>
      </c>
      <c r="E507" s="807"/>
      <c r="F507" s="826"/>
      <c r="G507" s="827"/>
      <c r="H507" s="827"/>
      <c r="I507" s="808"/>
      <c r="J507" s="741"/>
      <c r="K507" s="741"/>
      <c r="L507" s="808"/>
    </row>
    <row r="508" spans="1:12" ht="28.5" customHeight="1">
      <c r="A508" s="77" t="s">
        <v>14228</v>
      </c>
      <c r="B508" s="75" t="s">
        <v>14504</v>
      </c>
      <c r="C508" s="794" t="s">
        <v>14262</v>
      </c>
      <c r="D508" s="712" t="str">
        <f>IF(B508="SEPLAG",VLOOKUP(C508,COMPOSIÇÃO,2,FALSE),VLOOKUP(C508,'NAO DESO'!A:B,2,FALSE))</f>
        <v>MARQUISE ENTRADA PRINCIPAL, FORNECIMENTO E INSTALAÇÃO.</v>
      </c>
      <c r="E508" s="74" t="str">
        <f>IF(B508="SEPLAG",VLOOKUP(C508,UNIDADE,3,FALSE),VLOOKUP(C508,'NAO DESO'!A:C,3,FALSE))</f>
        <v>UND</v>
      </c>
      <c r="F508" s="825">
        <f t="shared" ref="F508:F513" si="119">VLOOKUP(A508,MEMÓRIA,6,FALSE)</f>
        <v>1</v>
      </c>
      <c r="G508" s="714">
        <f>IF(B508="SEPLAG",VLOOKUP(CONCATENATE("TOTAL DO ITEM NÃO DESON. - ",C508),BASE01,8,FALSE),VLOOKUP(C508,'NAO DESO'!A:D,4,FALSE))</f>
        <v>29019.100000000002</v>
      </c>
      <c r="H508" s="714">
        <f t="shared" ref="H508:H513" si="120">TRUNC(G508+G508*$K$6,2)</f>
        <v>35468.93</v>
      </c>
      <c r="I508" s="714">
        <f t="shared" ref="I508:I513" si="121">TRUNC(F508*H508,2)</f>
        <v>35468.93</v>
      </c>
      <c r="J508" s="714">
        <f>IF(B508="SEPLAG",VLOOKUP(CONCATENATE("TOTAL DO ITEM DESON. - ",C508),BASE02,10,FALSE),VLOOKUP(C508,DESON!A:D,4,FALSE))</f>
        <v>28052.400000000001</v>
      </c>
      <c r="K508" s="714">
        <f t="shared" ref="K508:K513" si="122">J508+J508*$L$6</f>
        <v>36004.603158752303</v>
      </c>
      <c r="L508" s="714">
        <f t="shared" ref="L508:L513" si="123">TRUNC(F508*K508,2)</f>
        <v>36004.6</v>
      </c>
    </row>
    <row r="509" spans="1:12" ht="28.5" customHeight="1">
      <c r="A509" s="77" t="s">
        <v>14229</v>
      </c>
      <c r="B509" s="75" t="s">
        <v>14504</v>
      </c>
      <c r="C509" s="74" t="s">
        <v>13010</v>
      </c>
      <c r="D509" s="712" t="str">
        <f>IF(B509="SEPLAG",VLOOKUP(C509,COMPOSIÇÃO,2,FALSE),VLOOKUP(C509,'NAO DESO'!A:B,2,FALSE))</f>
        <v>REVESTIMENTO EM ACM (ALUMINIO COMPOSTO) FIXADO EM ESTRUTURA METALICA. FORNCECIMENTO E INSTALAÇÃO.</v>
      </c>
      <c r="E509" s="74" t="str">
        <f>IF(B509="SEPLAG",VLOOKUP(C509,UNIDADE,3,FALSE),VLOOKUP(C509,'NAO DESO'!A:C,3,FALSE))</f>
        <v>M²</v>
      </c>
      <c r="F509" s="825">
        <f t="shared" si="119"/>
        <v>62.769999999999996</v>
      </c>
      <c r="G509" s="714">
        <f>IF(B509="SEPLAG",VLOOKUP(CONCATENATE("TOTAL DO ITEM NÃO DESON. - ",C509),BASE01,8,FALSE),VLOOKUP(C509,'NAO DESO'!A:D,4,FALSE))</f>
        <v>112.95</v>
      </c>
      <c r="H509" s="714">
        <f t="shared" si="120"/>
        <v>138.05000000000001</v>
      </c>
      <c r="I509" s="714">
        <f t="shared" si="121"/>
        <v>8665.39</v>
      </c>
      <c r="J509" s="714">
        <f>IF(B509="SEPLAG",VLOOKUP(CONCATENATE("TOTAL DO ITEM DESON. - ",C509),BASE02,10,FALSE),VLOOKUP(C509,DESON!A:D,4,FALSE))</f>
        <v>112.31</v>
      </c>
      <c r="K509" s="714">
        <f t="shared" si="122"/>
        <v>144.14727370062707</v>
      </c>
      <c r="L509" s="714">
        <f t="shared" si="123"/>
        <v>9048.1200000000008</v>
      </c>
    </row>
    <row r="510" spans="1:12" ht="28.5">
      <c r="A510" s="77" t="s">
        <v>14477</v>
      </c>
      <c r="B510" s="75" t="s">
        <v>14504</v>
      </c>
      <c r="C510" s="74" t="s">
        <v>14523</v>
      </c>
      <c r="D510" s="712" t="str">
        <f>IF(B510="SEPLAG",VLOOKUP(C510,COMPOSIÇÃO,2,FALSE),VLOOKUP(C510,'NAO DESO'!A:B,2,FALSE))</f>
        <v>PILARES ENTRADA PRINCIPAL , H=12,23 M - TIPO 01, FORNECIMENTO E INSTALAÇÃO.</v>
      </c>
      <c r="E510" s="74" t="str">
        <f>IF(B510="SEPLAG",VLOOKUP(C510,UNIDADE,3,FALSE),VLOOKUP(C510,'NAO DESO'!A:C,3,FALSE))</f>
        <v>UND</v>
      </c>
      <c r="F510" s="825">
        <f t="shared" si="119"/>
        <v>4</v>
      </c>
      <c r="G510" s="714">
        <f>IF(B510="SEPLAG",VLOOKUP(CONCATENATE("TOTAL DO ITEM NÃO DESON. - ",C510),BASE01,8,FALSE),VLOOKUP(C510,'NAO DESO'!A:D,4,FALSE))</f>
        <v>2448.37</v>
      </c>
      <c r="H510" s="714">
        <f t="shared" si="120"/>
        <v>2992.54</v>
      </c>
      <c r="I510" s="714">
        <f t="shared" si="121"/>
        <v>11970.16</v>
      </c>
      <c r="J510" s="714">
        <f>IF(B510="SEPLAG",VLOOKUP(CONCATENATE("TOTAL DO ITEM DESON. - ",C510),BASE02,10,FALSE),VLOOKUP(C510,DESON!A:D,4,FALSE))</f>
        <v>2383.14</v>
      </c>
      <c r="K510" s="714">
        <f t="shared" si="122"/>
        <v>3058.7047800455202</v>
      </c>
      <c r="L510" s="714">
        <f t="shared" si="123"/>
        <v>12234.81</v>
      </c>
    </row>
    <row r="511" spans="1:12" ht="28.5">
      <c r="A511" s="77" t="s">
        <v>14478</v>
      </c>
      <c r="B511" s="75" t="s">
        <v>14504</v>
      </c>
      <c r="C511" s="74" t="s">
        <v>14549</v>
      </c>
      <c r="D511" s="712" t="str">
        <f>IF(B511="SEPLAG",VLOOKUP(C511,COMPOSIÇÃO,2,FALSE),VLOOKUP(C511,'NAO DESO'!A:B,2,FALSE))</f>
        <v>PILARES ENTRADA PRINCIPAL,  H=8,155 M  - TIPO 03, FORNECIMENTO E INSTALAÇÃO.</v>
      </c>
      <c r="E511" s="74" t="str">
        <f>IF(B511="SEPLAG",VLOOKUP(C511,UNIDADE,3,FALSE),VLOOKUP(C511,'NAO DESO'!A:C,3,FALSE))</f>
        <v>UND</v>
      </c>
      <c r="F511" s="825">
        <f t="shared" si="119"/>
        <v>1</v>
      </c>
      <c r="G511" s="714">
        <f>IF(B511="SEPLAG",VLOOKUP(CONCATENATE("TOTAL DO ITEM NÃO DESON. - ",C511),BASE01,8,FALSE),VLOOKUP(C511,'NAO DESO'!A:D,4,FALSE))</f>
        <v>1653.5200000000002</v>
      </c>
      <c r="H511" s="714">
        <f t="shared" si="120"/>
        <v>2021.03</v>
      </c>
      <c r="I511" s="714">
        <f t="shared" si="121"/>
        <v>2021.03</v>
      </c>
      <c r="J511" s="714">
        <f>IF(B511="SEPLAG",VLOOKUP(CONCATENATE("TOTAL DO ITEM DESON. - ",C511),BASE02,10,FALSE),VLOOKUP(C511,DESON!A:D,4,FALSE))</f>
        <v>1588.2900000000002</v>
      </c>
      <c r="K511" s="714">
        <f t="shared" si="122"/>
        <v>2038.5332859582315</v>
      </c>
      <c r="L511" s="714">
        <f t="shared" si="123"/>
        <v>2038.53</v>
      </c>
    </row>
    <row r="512" spans="1:12" ht="28.5">
      <c r="A512" s="77" t="s">
        <v>14479</v>
      </c>
      <c r="B512" s="75" t="s">
        <v>14504</v>
      </c>
      <c r="C512" s="74" t="s">
        <v>14548</v>
      </c>
      <c r="D512" s="712" t="str">
        <f>IF(B512="SEPLAG",VLOOKUP(C512,COMPOSIÇÃO,2,FALSE),VLOOKUP(C512,'NAO DESO'!A:B,2,FALSE))</f>
        <v>PILARES ENTRADA PRINCIPAL, H=7,348 M - TIPO 02, FORNECIMENTO E INSTALAÇÃO.</v>
      </c>
      <c r="E512" s="74" t="str">
        <f>IF(B512="SEPLAG",VLOOKUP(C512,UNIDADE,3,FALSE),VLOOKUP(C512,'NAO DESO'!A:C,3,FALSE))</f>
        <v>UND</v>
      </c>
      <c r="F512" s="825">
        <f t="shared" si="119"/>
        <v>1</v>
      </c>
      <c r="G512" s="714">
        <f>IF(B512="SEPLAG",VLOOKUP(CONCATENATE("TOTAL DO ITEM NÃO DESON. - ",C512),BASE01,8,FALSE),VLOOKUP(C512,'NAO DESO'!A:D,4,FALSE))</f>
        <v>1574.88</v>
      </c>
      <c r="H512" s="714">
        <f t="shared" si="120"/>
        <v>1924.91</v>
      </c>
      <c r="I512" s="714">
        <f t="shared" si="121"/>
        <v>1924.91</v>
      </c>
      <c r="J512" s="714">
        <f>IF(B512="SEPLAG",VLOOKUP(CONCATENATE("TOTAL DO ITEM DESON. - ",C512),BASE02,10,FALSE),VLOOKUP(C512,DESON!A:D,4,FALSE))</f>
        <v>1509.65</v>
      </c>
      <c r="K512" s="714">
        <f t="shared" si="122"/>
        <v>1937.6006744025613</v>
      </c>
      <c r="L512" s="714">
        <f t="shared" si="123"/>
        <v>1937.6</v>
      </c>
    </row>
    <row r="513" spans="1:12" ht="28.5">
      <c r="A513" s="77" t="s">
        <v>14480</v>
      </c>
      <c r="B513" s="75" t="s">
        <v>14504</v>
      </c>
      <c r="C513" s="74" t="s">
        <v>13010</v>
      </c>
      <c r="D513" s="712" t="str">
        <f>IF(B513="SEPLAG",VLOOKUP(C513,COMPOSIÇÃO,2,FALSE),VLOOKUP(C513,'NAO DESO'!A:B,2,FALSE))</f>
        <v>REVESTIMENTO EM ACM (ALUMINIO COMPOSTO) FIXADO EM ESTRUTURA METALICA. FORNCECIMENTO E INSTALAÇÃO.</v>
      </c>
      <c r="E513" s="74" t="str">
        <f>IF(B513="SEPLAG",VLOOKUP(C513,UNIDADE,3,FALSE),VLOOKUP(C513,'NAO DESO'!A:C,3,FALSE))</f>
        <v>M²</v>
      </c>
      <c r="F513" s="825">
        <f t="shared" si="119"/>
        <v>76.647899999999993</v>
      </c>
      <c r="G513" s="714">
        <f>IF(B513="SEPLAG",VLOOKUP(CONCATENATE("TOTAL DO ITEM NÃO DESON. - ",C513),BASE01,8,FALSE),VLOOKUP(C513,'NAO DESO'!A:D,4,FALSE))</f>
        <v>112.95</v>
      </c>
      <c r="H513" s="714">
        <f t="shared" si="120"/>
        <v>138.05000000000001</v>
      </c>
      <c r="I513" s="714">
        <f t="shared" si="121"/>
        <v>10581.24</v>
      </c>
      <c r="J513" s="714">
        <f>IF(B513="SEPLAG",VLOOKUP(CONCATENATE("TOTAL DO ITEM DESON. - ",C513),BASE02,10,FALSE),VLOOKUP(C513,DESON!A:D,4,FALSE))</f>
        <v>112.31</v>
      </c>
      <c r="K513" s="714">
        <f t="shared" si="122"/>
        <v>144.14727370062707</v>
      </c>
      <c r="L513" s="714">
        <f t="shared" si="123"/>
        <v>11048.58</v>
      </c>
    </row>
    <row r="514" spans="1:12" ht="28.5">
      <c r="A514" s="77" t="s">
        <v>14690</v>
      </c>
      <c r="B514" s="75" t="s">
        <v>14504</v>
      </c>
      <c r="C514" s="74" t="str">
        <f>COMPOSIÇÕES!C2319</f>
        <v>SEPLAG ARQ 151</v>
      </c>
      <c r="D514" s="712" t="str">
        <f>IF(B514="SEPLAG",VLOOKUP(C514,COMPOSIÇÃO,2,FALSE),VLOOKUP(C514,'NAO DESO'!A:B,2,FALSE))</f>
        <v>SUPORTE METALICO FACHADA MTI, FORNECIMENTO E INSTALAÇÃO.</v>
      </c>
      <c r="E514" s="74" t="str">
        <f>IF(B514="SEPLAG",VLOOKUP(C514,UNIDADE,3,FALSE),VLOOKUP(C514,'NAO DESO'!A:C,3,FALSE))</f>
        <v>UND</v>
      </c>
      <c r="F514" s="825">
        <f t="shared" ref="F514:F519" si="124">VLOOKUP(A514,MEMÓRIA,6,FALSE)</f>
        <v>1</v>
      </c>
      <c r="G514" s="714">
        <f>IF(B514="SEPLAG",VLOOKUP(CONCATENATE("TOTAL DO ITEM NÃO DESON. - ",C514),BASE01,8,FALSE),VLOOKUP(C514,'NAO DESO'!A:D,4,FALSE))</f>
        <v>28431.489999999998</v>
      </c>
      <c r="H514" s="714">
        <f t="shared" ref="H514:H519" si="125">TRUNC(G514+G514*$K$6,2)</f>
        <v>34750.71</v>
      </c>
      <c r="I514" s="714">
        <f t="shared" ref="I514:I519" si="126">TRUNC(F514*H514,2)</f>
        <v>34750.71</v>
      </c>
      <c r="J514" s="714">
        <f>IF(B514="SEPLAG",VLOOKUP(CONCATENATE("TOTAL DO ITEM DESON. - ",C514),BASE02,10,FALSE),VLOOKUP(C514,DESON!A:D,4,FALSE))</f>
        <v>27945.989999999998</v>
      </c>
      <c r="K514" s="714">
        <f t="shared" ref="K514:K519" si="127">J514+J514*$L$6</f>
        <v>35868.028397871843</v>
      </c>
      <c r="L514" s="714">
        <f t="shared" ref="L514:L519" si="128">TRUNC(F514*K514,2)</f>
        <v>35868.019999999997</v>
      </c>
    </row>
    <row r="515" spans="1:12" ht="28.5">
      <c r="A515" s="77" t="s">
        <v>14691</v>
      </c>
      <c r="B515" s="75" t="s">
        <v>14504</v>
      </c>
      <c r="C515" s="74" t="s">
        <v>13010</v>
      </c>
      <c r="D515" s="712" t="str">
        <f>IF(B515="SEPLAG",VLOOKUP(C515,COMPOSIÇÃO,2,FALSE),VLOOKUP(C515,'NAO DESO'!A:B,2,FALSE))</f>
        <v>REVESTIMENTO EM ACM (ALUMINIO COMPOSTO) FIXADO EM ESTRUTURA METALICA. FORNCECIMENTO E INSTALAÇÃO.</v>
      </c>
      <c r="E515" s="74" t="str">
        <f>IF(B515="SEPLAG",VLOOKUP(C515,UNIDADE,3,FALSE),VLOOKUP(C515,'NAO DESO'!A:C,3,FALSE))</f>
        <v>M²</v>
      </c>
      <c r="F515" s="825">
        <f t="shared" si="124"/>
        <v>119.31</v>
      </c>
      <c r="G515" s="714">
        <f>IF(B515="SEPLAG",VLOOKUP(CONCATENATE("TOTAL DO ITEM NÃO DESON. - ",C515),BASE01,8,FALSE),VLOOKUP(C515,'NAO DESO'!A:D,4,FALSE))</f>
        <v>112.95</v>
      </c>
      <c r="H515" s="714">
        <f t="shared" si="125"/>
        <v>138.05000000000001</v>
      </c>
      <c r="I515" s="714">
        <f t="shared" si="126"/>
        <v>16470.740000000002</v>
      </c>
      <c r="J515" s="714">
        <f>IF(B515="SEPLAG",VLOOKUP(CONCATENATE("TOTAL DO ITEM DESON. - ",C515),BASE02,10,FALSE),VLOOKUP(C515,DESON!A:D,4,FALSE))</f>
        <v>112.31</v>
      </c>
      <c r="K515" s="714">
        <f t="shared" si="127"/>
        <v>144.14727370062707</v>
      </c>
      <c r="L515" s="714">
        <f t="shared" si="128"/>
        <v>17198.21</v>
      </c>
    </row>
    <row r="516" spans="1:12" ht="28.5">
      <c r="A516" s="77" t="s">
        <v>14692</v>
      </c>
      <c r="B516" s="75" t="s">
        <v>14504</v>
      </c>
      <c r="C516" s="74" t="str">
        <f>COMPOSIÇÕES!C2330</f>
        <v>SEPLAG ARQ 152</v>
      </c>
      <c r="D516" s="712" t="str">
        <f>IF(B516="SEPLAG",VLOOKUP(C516,COMPOSIÇÃO,2,FALSE),VLOOKUP(C516,'NAO DESO'!A:B,2,FALSE))</f>
        <v>SUPORTE METALICO FACHADA (PRINCIPAL/LATERAL), FORNECIMENTO E INSTALAÇÃO.</v>
      </c>
      <c r="E516" s="74" t="str">
        <f>IF(B516="SEPLAG",VLOOKUP(C516,UNIDADE,3,FALSE),VLOOKUP(C516,'NAO DESO'!A:C,3,FALSE))</f>
        <v>UND</v>
      </c>
      <c r="F516" s="825">
        <f t="shared" si="124"/>
        <v>1</v>
      </c>
      <c r="G516" s="714">
        <f>IF(B516="SEPLAG",VLOOKUP(CONCATENATE("TOTAL DO ITEM NÃO DESON. - ",C516),BASE01,8,FALSE),VLOOKUP(C516,'NAO DESO'!A:D,4,FALSE))</f>
        <v>25374.070000000003</v>
      </c>
      <c r="H516" s="714">
        <f t="shared" si="125"/>
        <v>31013.75</v>
      </c>
      <c r="I516" s="714">
        <f t="shared" si="126"/>
        <v>31013.75</v>
      </c>
      <c r="J516" s="714">
        <f>IF(B516="SEPLAG",VLOOKUP(CONCATENATE("TOTAL DO ITEM DESON. - ",C516),BASE02,10,FALSE),VLOOKUP(C516,DESON!A:D,4,FALSE))</f>
        <v>24723.87</v>
      </c>
      <c r="K516" s="714">
        <f t="shared" si="127"/>
        <v>31732.512294797634</v>
      </c>
      <c r="L516" s="714">
        <f t="shared" si="128"/>
        <v>31732.51</v>
      </c>
    </row>
    <row r="517" spans="1:12" ht="28.5">
      <c r="A517" s="77" t="s">
        <v>14693</v>
      </c>
      <c r="B517" s="75" t="s">
        <v>14504</v>
      </c>
      <c r="C517" s="74" t="s">
        <v>13010</v>
      </c>
      <c r="D517" s="712" t="str">
        <f>IF(B517="SEPLAG",VLOOKUP(C517,COMPOSIÇÃO,2,FALSE),VLOOKUP(C517,'NAO DESO'!A:B,2,FALSE))</f>
        <v>REVESTIMENTO EM ACM (ALUMINIO COMPOSTO) FIXADO EM ESTRUTURA METALICA. FORNCECIMENTO E INSTALAÇÃO.</v>
      </c>
      <c r="E517" s="74" t="str">
        <f>IF(B517="SEPLAG",VLOOKUP(C517,UNIDADE,3,FALSE),VLOOKUP(C517,'NAO DESO'!A:C,3,FALSE))</f>
        <v>M²</v>
      </c>
      <c r="F517" s="825">
        <f t="shared" si="124"/>
        <v>97.289999999999992</v>
      </c>
      <c r="G517" s="714">
        <f>IF(B517="SEPLAG",VLOOKUP(CONCATENATE("TOTAL DO ITEM NÃO DESON. - ",C517),BASE01,8,FALSE),VLOOKUP(C517,'NAO DESO'!A:D,4,FALSE))</f>
        <v>112.95</v>
      </c>
      <c r="H517" s="714">
        <f t="shared" si="125"/>
        <v>138.05000000000001</v>
      </c>
      <c r="I517" s="714">
        <f t="shared" si="126"/>
        <v>13430.88</v>
      </c>
      <c r="J517" s="714">
        <f>IF(B517="SEPLAG",VLOOKUP(CONCATENATE("TOTAL DO ITEM DESON. - ",C517),BASE02,10,FALSE),VLOOKUP(C517,DESON!A:D,4,FALSE))</f>
        <v>112.31</v>
      </c>
      <c r="K517" s="714">
        <f t="shared" si="127"/>
        <v>144.14727370062707</v>
      </c>
      <c r="L517" s="714">
        <f t="shared" si="128"/>
        <v>14024.08</v>
      </c>
    </row>
    <row r="518" spans="1:12" ht="28.5">
      <c r="A518" s="77" t="s">
        <v>14696</v>
      </c>
      <c r="B518" s="75" t="s">
        <v>14504</v>
      </c>
      <c r="C518" s="74" t="str">
        <f>COMPOSIÇÕES!C496</f>
        <v>SEPLAG ARQ 47</v>
      </c>
      <c r="D518" s="712" t="str">
        <f>IF(B518="SEPLAG",VLOOKUP(C518,COMPOSIÇÃO,2,FALSE),VLOOKUP(C518,'NAO DESO'!A:B,2,FALSE))</f>
        <v>FACHADA DE VIDRO TEMPERADO DE 10mm FIXADO EM ESTRUTURA METALICA. FORNECIMENTO E INSTALAÇÃO.</v>
      </c>
      <c r="E518" s="74" t="str">
        <f>IF(B518="SEPLAG",VLOOKUP(C518,UNIDADE,3,FALSE),VLOOKUP(C518,'NAO DESO'!A:C,3,FALSE))</f>
        <v>M²</v>
      </c>
      <c r="F518" s="825">
        <f t="shared" si="124"/>
        <v>174.12</v>
      </c>
      <c r="G518" s="714">
        <f>IF(B518="SEPLAG",VLOOKUP(CONCATENATE("TOTAL DO ITEM NÃO DESON. - ",C518),BASE01,8,FALSE),VLOOKUP(C518,'NAO DESO'!A:D,4,FALSE))</f>
        <v>754.6</v>
      </c>
      <c r="H518" s="714">
        <f t="shared" si="125"/>
        <v>922.31</v>
      </c>
      <c r="I518" s="714">
        <f t="shared" si="126"/>
        <v>160592.60999999999</v>
      </c>
      <c r="J518" s="714">
        <f>IF(B518="SEPLAG",VLOOKUP(CONCATENATE("TOTAL DO ITEM DESON. - ",C518),BASE02,10,FALSE),VLOOKUP(C518,DESON!A:D,4,FALSE))</f>
        <v>737.23</v>
      </c>
      <c r="K518" s="714">
        <f t="shared" si="127"/>
        <v>946.21756379942383</v>
      </c>
      <c r="L518" s="714">
        <f t="shared" si="128"/>
        <v>164755.4</v>
      </c>
    </row>
    <row r="519" spans="1:12" ht="28.5">
      <c r="A519" s="77" t="s">
        <v>14697</v>
      </c>
      <c r="B519" s="75" t="s">
        <v>14504</v>
      </c>
      <c r="C519" s="74" t="str">
        <f>COMPOSIÇÕES!C2547</f>
        <v>SEPLAG  ARQ 165</v>
      </c>
      <c r="D519" s="712" t="str">
        <f>IF(B519="SEPLAG",VLOOKUP(C519,COMPOSIÇÃO,2,FALSE),VLOOKUP(C519,'NAO DESO'!A:B,2,FALSE))</f>
        <v>FACHADA PELE DE VIDRO (BASCULANTE). FORNECIMENTO E INSTALAÇÃO.</v>
      </c>
      <c r="E519" s="74" t="str">
        <f>IF(B519="SEPLAG",VLOOKUP(C519,UNIDADE,3,FALSE),VLOOKUP(C519,'NAO DESO'!A:C,3,FALSE))</f>
        <v>m²</v>
      </c>
      <c r="F519" s="825">
        <f t="shared" si="124"/>
        <v>87.06</v>
      </c>
      <c r="G519" s="714">
        <f>IF(B519="SEPLAG",VLOOKUP(CONCATENATE("TOTAL DO ITEM NÃO DESON. - ",C519),BASE01,8,FALSE),VLOOKUP(C519,'NAO DESO'!A:D,4,FALSE))</f>
        <v>883.21999999999991</v>
      </c>
      <c r="H519" s="714">
        <f t="shared" si="125"/>
        <v>1079.52</v>
      </c>
      <c r="I519" s="714">
        <f t="shared" si="126"/>
        <v>93983.01</v>
      </c>
      <c r="J519" s="714">
        <f>IF(B519="SEPLAG",VLOOKUP(CONCATENATE("TOTAL DO ITEM DESON. - ",C519),BASE02,10,FALSE),VLOOKUP(C519,DESON!A:D,4,FALSE))</f>
        <v>871.55</v>
      </c>
      <c r="K519" s="714">
        <f t="shared" si="127"/>
        <v>1118.614160749546</v>
      </c>
      <c r="L519" s="714">
        <f t="shared" si="128"/>
        <v>97386.54</v>
      </c>
    </row>
    <row r="520" spans="1:12">
      <c r="A520" s="734" t="str">
        <f>CONCATENATE("TOTAL DO ITEM &gt;&gt;&gt;&gt;",A507)</f>
        <v>TOTAL DO ITEM &gt;&gt;&gt;&gt;13.1.3</v>
      </c>
      <c r="B520" s="118"/>
      <c r="C520" s="118"/>
      <c r="D520" s="118"/>
      <c r="E520" s="118"/>
      <c r="F520" s="118"/>
      <c r="G520" s="118"/>
      <c r="H520" s="118"/>
      <c r="I520" s="743">
        <f>SUM(I508:I519)</f>
        <v>420873.36</v>
      </c>
      <c r="J520" s="744"/>
      <c r="K520" s="744"/>
      <c r="L520" s="743">
        <f>SUM(L508:L519)</f>
        <v>433276.99999999994</v>
      </c>
    </row>
    <row r="521" spans="1:12">
      <c r="A521" s="126"/>
      <c r="B521" s="127"/>
      <c r="C521" s="127"/>
      <c r="D521" s="127"/>
      <c r="E521" s="127"/>
      <c r="F521" s="127"/>
      <c r="G521" s="127"/>
      <c r="H521" s="127"/>
      <c r="I521" s="831"/>
      <c r="J521" s="824"/>
      <c r="K521" s="824"/>
      <c r="L521" s="832"/>
    </row>
    <row r="522" spans="1:12">
      <c r="A522" s="833" t="s">
        <v>14124</v>
      </c>
      <c r="B522" s="834"/>
      <c r="C522" s="834"/>
      <c r="D522" s="835" t="s">
        <v>14231</v>
      </c>
      <c r="E522" s="834"/>
      <c r="F522" s="834"/>
      <c r="G522" s="834"/>
      <c r="H522" s="834"/>
      <c r="I522" s="834"/>
      <c r="J522" s="834"/>
      <c r="K522" s="834"/>
      <c r="L522" s="836"/>
    </row>
    <row r="523" spans="1:12" s="108" customFormat="1">
      <c r="A523" s="126"/>
      <c r="B523" s="127"/>
      <c r="C523" s="127"/>
      <c r="D523" s="127"/>
      <c r="E523" s="127"/>
      <c r="F523" s="127"/>
      <c r="G523" s="127"/>
      <c r="H523" s="127"/>
      <c r="I523" s="127"/>
      <c r="J523" s="127"/>
      <c r="K523" s="127"/>
      <c r="L523" s="128"/>
    </row>
    <row r="524" spans="1:12" s="642" customFormat="1">
      <c r="A524" s="138" t="s">
        <v>14125</v>
      </c>
      <c r="B524" s="737"/>
      <c r="C524" s="738"/>
      <c r="D524" s="788" t="s">
        <v>7606</v>
      </c>
      <c r="E524" s="740"/>
      <c r="F524" s="142"/>
      <c r="G524" s="810"/>
      <c r="H524" s="144"/>
      <c r="I524" s="144"/>
      <c r="J524" s="144"/>
      <c r="K524" s="144"/>
      <c r="L524" s="144"/>
    </row>
    <row r="525" spans="1:12" ht="28.5">
      <c r="A525" s="837" t="s">
        <v>14511</v>
      </c>
      <c r="B525" s="75" t="s">
        <v>14504</v>
      </c>
      <c r="C525" s="74" t="s">
        <v>14213</v>
      </c>
      <c r="D525" s="712" t="str">
        <f>IF(B525="SEPLAG",VLOOKUP(C525,COMPOSIÇÃO,2,FALSE),VLOOKUP(C525,'NAO DESO'!A:B,2,FALSE))</f>
        <v>ESTRUTURA PARA SUPORTE DAS BRISES, FORNECIMENTO E INSTALAÇÃO.</v>
      </c>
      <c r="E525" s="74" t="str">
        <f>IF(B525="SEPLAG",VLOOKUP(C525,UNIDADE,3,FALSE),VLOOKUP(C525,'NAO DESO'!A:C,3,FALSE))</f>
        <v>UND</v>
      </c>
      <c r="F525" s="825">
        <f>VLOOKUP(A525,MEMÓRIA,6,FALSE)</f>
        <v>2</v>
      </c>
      <c r="G525" s="714">
        <f>IF(B525="SEPLAG",VLOOKUP(CONCATENATE("TOTAL DO ITEM NÃO DESON. - ",C525),BASE01,8,FALSE),VLOOKUP(C525,'NAO DESO'!A:D,4,FALSE))</f>
        <v>43383.73000000001</v>
      </c>
      <c r="H525" s="714">
        <f>TRUNC(G525+G525*$K$6,2)</f>
        <v>53026.26</v>
      </c>
      <c r="I525" s="714">
        <f>TRUNC(F525*H525,2)</f>
        <v>106052.52</v>
      </c>
      <c r="J525" s="714">
        <f>IF(B525="SEPLAG",VLOOKUP(CONCATENATE("TOTAL DO ITEM DESON. - ",C525),BASE02,10,FALSE),VLOOKUP(C525,DESON!A:D,4,FALSE))</f>
        <v>39981.589999999997</v>
      </c>
      <c r="K525" s="714">
        <f>J525+J525*$L$6</f>
        <v>51315.441160326358</v>
      </c>
      <c r="L525" s="714">
        <f>TRUNC(F525*K525,2)</f>
        <v>102630.88</v>
      </c>
    </row>
    <row r="526" spans="1:12" ht="28.5">
      <c r="A526" s="837" t="s">
        <v>14512</v>
      </c>
      <c r="B526" s="75" t="s">
        <v>14504</v>
      </c>
      <c r="C526" s="74" t="s">
        <v>14606</v>
      </c>
      <c r="D526" s="712" t="str">
        <f>IF(B526="SEPLAG",VLOOKUP(C526,COMPOSIÇÃO,2,FALSE),VLOOKUP(C526,'NAO DESO'!A:B,2,FALSE))</f>
        <v>REVESTIMENTO METALICO HUNTER DOUGLAS - BRISE SCREENPANELL J #805 OU SIMILAR, FORNECIMENTO E INSTALAÇÃO.</v>
      </c>
      <c r="E526" s="74" t="str">
        <f>IF(B526="SEPLAG",VLOOKUP(C526,UNIDADE,3,FALSE),VLOOKUP(C526,'NAO DESO'!A:C,3,FALSE))</f>
        <v>M²</v>
      </c>
      <c r="F526" s="825">
        <f>VLOOKUP(A526,MEMÓRIA,6,FALSE)</f>
        <v>45.82</v>
      </c>
      <c r="G526" s="714">
        <f>IF(B526="SEPLAG",VLOOKUP(CONCATENATE("TOTAL DO ITEM NÃO DESON. - ",C526),BASE01,8,FALSE),VLOOKUP(C526,'NAO DESO'!A:D,4,FALSE))</f>
        <v>1375.7700000000002</v>
      </c>
      <c r="H526" s="714">
        <f>TRUNC(G526+G526*$K$6,2)</f>
        <v>1681.55</v>
      </c>
      <c r="I526" s="714">
        <f>TRUNC(F526*H526,2)</f>
        <v>77048.62</v>
      </c>
      <c r="J526" s="714">
        <f>IF(B526="SEPLAG",VLOOKUP(CONCATENATE("TOTAL DO ITEM DESON. - ",C526),BASE02,10,FALSE),VLOOKUP(C526,DESON!A:D,4,FALSE))</f>
        <v>1364.63</v>
      </c>
      <c r="K526" s="714">
        <f>J526+J526*$L$6</f>
        <v>1751.470876236192</v>
      </c>
      <c r="L526" s="714">
        <f>TRUNC(F526*K526,2)</f>
        <v>80252.39</v>
      </c>
    </row>
    <row r="527" spans="1:12">
      <c r="A527" s="734" t="str">
        <f>CONCATENATE("TOTAL DO ITEM &gt;&gt;&gt;&gt;",A524)</f>
        <v>TOTAL DO ITEM &gt;&gt;&gt;&gt;13.2.1</v>
      </c>
      <c r="B527" s="118"/>
      <c r="C527" s="118"/>
      <c r="D527" s="118"/>
      <c r="E527" s="118"/>
      <c r="F527" s="118"/>
      <c r="G527" s="118"/>
      <c r="H527" s="118"/>
      <c r="I527" s="743">
        <f>SUM(I525:I526)</f>
        <v>183101.14</v>
      </c>
      <c r="J527" s="744"/>
      <c r="K527" s="744"/>
      <c r="L527" s="743">
        <f>SUM(L525:L526)</f>
        <v>182883.27000000002</v>
      </c>
    </row>
    <row r="528" spans="1:12">
      <c r="A528" s="838"/>
      <c r="B528" s="127"/>
      <c r="C528" s="127"/>
      <c r="D528" s="127"/>
      <c r="E528" s="127"/>
      <c r="F528" s="127"/>
      <c r="G528" s="127"/>
      <c r="H528" s="127"/>
      <c r="I528" s="127"/>
      <c r="J528" s="127"/>
      <c r="K528" s="127"/>
      <c r="L528" s="128"/>
    </row>
    <row r="529" spans="1:14">
      <c r="A529" s="138" t="s">
        <v>14126</v>
      </c>
      <c r="B529" s="737"/>
      <c r="C529" s="738"/>
      <c r="D529" s="788" t="s">
        <v>80</v>
      </c>
      <c r="E529" s="740"/>
      <c r="F529" s="142"/>
      <c r="G529" s="142"/>
      <c r="H529" s="741"/>
      <c r="I529" s="144"/>
      <c r="J529" s="741"/>
      <c r="K529" s="741"/>
      <c r="L529" s="741"/>
    </row>
    <row r="530" spans="1:14" ht="42.75">
      <c r="A530" s="839" t="s">
        <v>14127</v>
      </c>
      <c r="B530" s="76" t="s">
        <v>79</v>
      </c>
      <c r="C530" s="74">
        <v>88412</v>
      </c>
      <c r="D530" s="712" t="str">
        <f>IF(B530="SEPLAG",VLOOKUP(C530,COMPOSIÇÃO,2,FALSE),VLOOKUP(C530,'NAO DESO'!A:B,2,FALSE))</f>
        <v>APLICAÇÃO MANUAL DE FUNDO SELADOR ACRÍLICO EM PANOS CEGOS DE FACHADA (SEM PRESENÇA DE VÃOS) DE EDIFÍCIOS DE MÚLTIPLOS PAVIMENTOS. AF_06/2014</v>
      </c>
      <c r="E530" s="74" t="str">
        <f>IF(B530="SEPLAG",VLOOKUP(C530,UNIDADE,3,FALSE),VLOOKUP(C530,'NAO DESO'!A:C,3,FALSE))</f>
        <v>M2</v>
      </c>
      <c r="F530" s="825">
        <f>VLOOKUP(A530,MEMÓRIA,6,FALSE)</f>
        <v>1183.8800000000001</v>
      </c>
      <c r="G530" s="714" t="str">
        <f>IF(B530="SEPLAG",VLOOKUP(CONCATENATE("TOTAL DO ITEM NÃO DESON. - ",C530),BASE01,8,FALSE),VLOOKUP(C530,'NAO DESO'!A:D,4,FALSE))</f>
        <v>1,36</v>
      </c>
      <c r="H530" s="714">
        <f>TRUNC(G530+G530*$K$6,2)</f>
        <v>1.66</v>
      </c>
      <c r="I530" s="714">
        <f>TRUNC(F530*H530,2)</f>
        <v>1965.24</v>
      </c>
      <c r="J530" s="714" t="str">
        <f>IF(B530="SEPLAG",VLOOKUP(CONCATENATE("TOTAL DO ITEM DESON. - ",C530),BASE02,10,FALSE),VLOOKUP(C530,DESON!A:D,4,FALSE))</f>
        <v>1,29</v>
      </c>
      <c r="K530" s="714">
        <f>J530+J530*$L$6</f>
        <v>1.6556850064447415</v>
      </c>
      <c r="L530" s="714">
        <f>TRUNC(F530*K530,2)</f>
        <v>1960.13</v>
      </c>
    </row>
    <row r="531" spans="1:14" ht="42.75">
      <c r="A531" s="839" t="s">
        <v>14128</v>
      </c>
      <c r="B531" s="76" t="s">
        <v>79</v>
      </c>
      <c r="C531" s="74">
        <v>96131</v>
      </c>
      <c r="D531" s="712" t="str">
        <f>IF(B531="SEPLAG",VLOOKUP(C531,COMPOSIÇÃO,2,FALSE),VLOOKUP(C531,'NAO DESO'!A:B,2,FALSE))</f>
        <v>APLICAÇÃO MANUAL DE MASSA ACRÍLICA EM PANOS DE FACHADA COM PRESENÇA DE VÃOS, DE EDIFÍCIOS DE MÚLTIPLOS PAVIMENTOS, DUAS DEMÃOS. AF_05/2017</v>
      </c>
      <c r="E531" s="74" t="str">
        <f>IF(B531="SEPLAG",VLOOKUP(C531,UNIDADE,3,FALSE),VLOOKUP(C531,'NAO DESO'!A:C,3,FALSE))</f>
        <v>M2</v>
      </c>
      <c r="F531" s="825">
        <f>VLOOKUP(A531,MEMÓRIA,6,FALSE)</f>
        <v>1183.8800000000001</v>
      </c>
      <c r="G531" s="714" t="str">
        <f>IF(B531="SEPLAG",VLOOKUP(CONCATENATE("TOTAL DO ITEM NÃO DESON. - ",C531),BASE01,8,FALSE),VLOOKUP(C531,'NAO DESO'!A:D,4,FALSE))</f>
        <v>22,94</v>
      </c>
      <c r="H531" s="714">
        <f>TRUNC(G531+G531*$K$6,2)</f>
        <v>28.03</v>
      </c>
      <c r="I531" s="714">
        <f>TRUNC(F531*H531,2)</f>
        <v>33184.15</v>
      </c>
      <c r="J531" s="714" t="str">
        <f>IF(B531="SEPLAG",VLOOKUP(CONCATENATE("TOTAL DO ITEM DESON. - ",C531),BASE02,10,FALSE),VLOOKUP(C531,DESON!A:D,4,FALSE))</f>
        <v>21,58</v>
      </c>
      <c r="K531" s="714">
        <f>J531+J531*$L$6</f>
        <v>27.697428247346913</v>
      </c>
      <c r="L531" s="714">
        <f>TRUNC(F531*K531,2)</f>
        <v>32790.43</v>
      </c>
    </row>
    <row r="532" spans="1:14" ht="42.75">
      <c r="A532" s="839" t="s">
        <v>14129</v>
      </c>
      <c r="B532" s="76" t="s">
        <v>79</v>
      </c>
      <c r="C532" s="74">
        <v>95623</v>
      </c>
      <c r="D532" s="712" t="str">
        <f>IF(B532="SEPLAG",VLOOKUP(C532,COMPOSIÇÃO,2,FALSE),VLOOKUP(C532,'NAO DESO'!A:B,2,FALSE))</f>
        <v>APLICAÇÃO MANUAL DE TINTA LÁTEX ACRÍLICA EM PANOS SEM PRESENÇA DE VÃOS DE EDIFÍCIOS DE MÚLTIPLOS PAVIMENTOS, DUAS DEMÃOS. AF_11/2016</v>
      </c>
      <c r="E532" s="74" t="str">
        <f>IF(B532="SEPLAG",VLOOKUP(C532,UNIDADE,3,FALSE),VLOOKUP(C532,'NAO DESO'!A:C,3,FALSE))</f>
        <v>M2</v>
      </c>
      <c r="F532" s="825">
        <f>VLOOKUP(A532,MEMÓRIA,6,FALSE)</f>
        <v>1183.8800000000001</v>
      </c>
      <c r="G532" s="714" t="str">
        <f>IF(B532="SEPLAG",VLOOKUP(CONCATENATE("TOTAL DO ITEM NÃO DESON. - ",C532),BASE01,8,FALSE),VLOOKUP(C532,'NAO DESO'!A:D,4,FALSE))</f>
        <v>9,77</v>
      </c>
      <c r="H532" s="714">
        <f>TRUNC(G532+G532*$K$6,2)</f>
        <v>11.94</v>
      </c>
      <c r="I532" s="714">
        <f>TRUNC(F532*H532,2)</f>
        <v>14135.52</v>
      </c>
      <c r="J532" s="714" t="str">
        <f>IF(B532="SEPLAG",VLOOKUP(CONCATENATE("TOTAL DO ITEM DESON. - ",C532),BASE02,10,FALSE),VLOOKUP(C532,DESON!A:D,4,FALSE))</f>
        <v>9,23</v>
      </c>
      <c r="K532" s="714">
        <f>J532+J532*$L$6</f>
        <v>11.846490394949583</v>
      </c>
      <c r="L532" s="714">
        <f>TRUNC(F532*K532,2)</f>
        <v>14024.82</v>
      </c>
      <c r="N532" s="840"/>
    </row>
    <row r="533" spans="1:14">
      <c r="A533" s="734" t="str">
        <f>CONCATENATE("TOTAL DO ITEM &gt;&gt;&gt;&gt;",A529)</f>
        <v>TOTAL DO ITEM &gt;&gt;&gt;&gt;13.3</v>
      </c>
      <c r="B533" s="118"/>
      <c r="C533" s="118"/>
      <c r="D533" s="118"/>
      <c r="E533" s="118"/>
      <c r="F533" s="118"/>
      <c r="G533" s="118"/>
      <c r="H533" s="118"/>
      <c r="I533" s="743">
        <f>SUM(I530:I532)</f>
        <v>49284.91</v>
      </c>
      <c r="J533" s="744"/>
      <c r="K533" s="744"/>
      <c r="L533" s="743">
        <f>SUM(L530:L532)</f>
        <v>48775.38</v>
      </c>
      <c r="N533" s="841"/>
    </row>
    <row r="534" spans="1:14">
      <c r="A534" s="699"/>
      <c r="B534" s="127"/>
      <c r="C534" s="127"/>
      <c r="D534" s="127"/>
      <c r="E534" s="127"/>
      <c r="F534" s="127"/>
      <c r="G534" s="127"/>
      <c r="H534" s="127"/>
      <c r="I534" s="831"/>
      <c r="J534" s="824"/>
      <c r="K534" s="824"/>
      <c r="L534" s="832"/>
    </row>
    <row r="535" spans="1:14">
      <c r="A535" s="138" t="s">
        <v>27979</v>
      </c>
      <c r="B535" s="737"/>
      <c r="C535" s="738"/>
      <c r="D535" s="147" t="s">
        <v>14543</v>
      </c>
      <c r="E535" s="740"/>
      <c r="F535" s="142"/>
      <c r="G535" s="142"/>
      <c r="H535" s="741"/>
      <c r="I535" s="144"/>
      <c r="J535" s="741"/>
      <c r="K535" s="741"/>
      <c r="L535" s="741"/>
    </row>
    <row r="536" spans="1:14">
      <c r="A536" s="138" t="s">
        <v>27980</v>
      </c>
      <c r="B536" s="737"/>
      <c r="C536" s="738"/>
      <c r="D536" s="788" t="s">
        <v>38</v>
      </c>
      <c r="E536" s="740"/>
      <c r="F536" s="142"/>
      <c r="G536" s="142"/>
      <c r="H536" s="741"/>
      <c r="I536" s="144"/>
      <c r="J536" s="741"/>
      <c r="K536" s="741"/>
      <c r="L536" s="741"/>
    </row>
    <row r="537" spans="1:14" ht="28.5">
      <c r="A537" s="77" t="s">
        <v>27981</v>
      </c>
      <c r="B537" s="75" t="s">
        <v>79</v>
      </c>
      <c r="C537" s="74">
        <v>96526</v>
      </c>
      <c r="D537" s="712" t="str">
        <f>IF(B537="SEPLAG",VLOOKUP(C537,COMPOSIÇÃO,2,FALSE),VLOOKUP(C537,'NAO DESO'!A:B,2,FALSE))</f>
        <v>ESCAVAÇÃO MANUAL DE VALA PARA VIGA BALDRAME (SEM ESCAVAÇÃO PARA COLOCAÇÃO DE FÔRMAS). AF_06/2017</v>
      </c>
      <c r="E537" s="74" t="str">
        <f>IF(B537="SEPLAG",VLOOKUP(C537,UNIDADE,3,FALSE),VLOOKUP(C537,'NAO DESO'!A:C,3,FALSE))</f>
        <v>M3</v>
      </c>
      <c r="F537" s="825">
        <f>'MEM CAL'!F475</f>
        <v>0.55000000000000004</v>
      </c>
      <c r="G537" s="714" t="str">
        <f>IF(B537="SEPLAG",VLOOKUP(CONCATENATE("TOTAL DO ITEM NÃO DESON. - ",C537),BASE01,8,FALSE),VLOOKUP(C537,'NAO DESO'!A:D,4,FALSE))</f>
        <v>241,37</v>
      </c>
      <c r="H537" s="714">
        <f>TRUNC(G537+G537*$K$6,2)</f>
        <v>295.01</v>
      </c>
      <c r="I537" s="714">
        <f>TRUNC(F537*H537,2)</f>
        <v>162.25</v>
      </c>
      <c r="J537" s="714" t="str">
        <f>IF(B537="SEPLAG",VLOOKUP(CONCATENATE("TOTAL DO ITEM DESON. - ",C537),BASE02,10,FALSE),VLOOKUP(C537,DESON!A:D,4,FALSE))</f>
        <v>216,67</v>
      </c>
      <c r="K537" s="714">
        <f>J537+J537*$L$6</f>
        <v>278.09090724525743</v>
      </c>
      <c r="L537" s="714">
        <f>TRUNC(F537*K537,2)</f>
        <v>152.94</v>
      </c>
    </row>
    <row r="538" spans="1:14" ht="28.5">
      <c r="A538" s="77" t="s">
        <v>27982</v>
      </c>
      <c r="B538" s="75" t="s">
        <v>79</v>
      </c>
      <c r="C538" s="78">
        <v>101616</v>
      </c>
      <c r="D538" s="712" t="str">
        <f>IF(B538="SEPLAG",VLOOKUP(C538,COMPOSIÇÃO,2,FALSE),VLOOKUP(C538,'NAO DESO'!A:B,2,FALSE))</f>
        <v>PREPARO DE FUNDO DE VALA COM LARGURA MENOR QUE 1,5 M (ACERTO DO SOLO NATURAL). AF_08/2020</v>
      </c>
      <c r="E538" s="74" t="str">
        <f>IF(B538="SEPLAG",VLOOKUP(C538,UNIDADE,3,FALSE),VLOOKUP(C538,'NAO DESO'!A:C,3,FALSE))</f>
        <v>M2</v>
      </c>
      <c r="F538" s="825">
        <f>'MEM CAL'!F476</f>
        <v>1</v>
      </c>
      <c r="G538" s="714" t="str">
        <f>IF(B538="SEPLAG",VLOOKUP(CONCATENATE("TOTAL DO ITEM NÃO DESON. - ",C538),BASE01,8,FALSE),VLOOKUP(C538,'NAO DESO'!A:D,4,FALSE))</f>
        <v>4,86</v>
      </c>
      <c r="H538" s="714">
        <f>TRUNC(G538+G538*$K$6,2)</f>
        <v>5.94</v>
      </c>
      <c r="I538" s="714">
        <f>TRUNC(F538*H538,2)</f>
        <v>5.94</v>
      </c>
      <c r="J538" s="714" t="str">
        <f>IF(B538="SEPLAG",VLOOKUP(CONCATENATE("TOTAL DO ITEM DESON. - ",C538),BASE02,10,FALSE),VLOOKUP(C538,DESON!A:D,4,FALSE))</f>
        <v>4,37</v>
      </c>
      <c r="K538" s="714">
        <f>J538+J538*$L$6</f>
        <v>5.6087933939252093</v>
      </c>
      <c r="L538" s="714">
        <f>TRUNC(F538*K538,2)</f>
        <v>5.6</v>
      </c>
    </row>
    <row r="539" spans="1:14">
      <c r="A539" s="734" t="str">
        <f>CONCATENATE("TOTAL DO ITEM &gt;&gt;&gt;&gt;",A536)</f>
        <v>TOTAL DO ITEM &gt;&gt;&gt;&gt;13.4.1</v>
      </c>
      <c r="B539" s="118"/>
      <c r="C539" s="118"/>
      <c r="D539" s="118"/>
      <c r="E539" s="118"/>
      <c r="F539" s="118"/>
      <c r="G539" s="118"/>
      <c r="H539" s="118"/>
      <c r="I539" s="743">
        <f>SUM(I537:I538)</f>
        <v>168.19</v>
      </c>
      <c r="J539" s="88"/>
      <c r="K539" s="88"/>
      <c r="L539" s="743">
        <f>SUM(L537:L538)</f>
        <v>158.54</v>
      </c>
    </row>
    <row r="540" spans="1:14" s="108" customFormat="1">
      <c r="A540" s="126"/>
      <c r="B540" s="127"/>
      <c r="C540" s="127"/>
      <c r="D540" s="127"/>
      <c r="E540" s="127"/>
      <c r="F540" s="127"/>
      <c r="G540" s="127"/>
      <c r="H540" s="127"/>
      <c r="I540" s="127"/>
      <c r="J540" s="127"/>
      <c r="K540" s="127"/>
      <c r="L540" s="128"/>
    </row>
    <row r="541" spans="1:14">
      <c r="A541" s="138" t="s">
        <v>27983</v>
      </c>
      <c r="B541" s="737"/>
      <c r="C541" s="738"/>
      <c r="D541" s="739" t="s">
        <v>418</v>
      </c>
      <c r="E541" s="740"/>
      <c r="F541" s="142"/>
      <c r="G541" s="142"/>
      <c r="H541" s="741"/>
      <c r="I541" s="144"/>
      <c r="J541" s="741"/>
      <c r="K541" s="741"/>
      <c r="L541" s="741"/>
    </row>
    <row r="542" spans="1:14" ht="28.5">
      <c r="A542" s="77" t="s">
        <v>27984</v>
      </c>
      <c r="B542" s="75" t="s">
        <v>79</v>
      </c>
      <c r="C542" s="74">
        <v>96558</v>
      </c>
      <c r="D542" s="712" t="str">
        <f>IF(B542="SEPLAG",VLOOKUP(C542,COMPOSIÇÃO,2,FALSE),VLOOKUP(C542,'NAO DESO'!A:B,2,FALSE))</f>
        <v>CONCRETAGEM DE SAPATAS, FCK 30 MPA, COM USO DE BOMBA  LANÇAMENTO, ADENSAMENTO E ACABAMENTO. AF_11/2016</v>
      </c>
      <c r="E542" s="74" t="str">
        <f>IF(B542="SEPLAG",VLOOKUP(C542,UNIDADE,3,FALSE),VLOOKUP(C542,'NAO DESO'!A:C,3,FALSE))</f>
        <v>M3</v>
      </c>
      <c r="F542" s="825">
        <f>'MEM CAL'!F479</f>
        <v>3</v>
      </c>
      <c r="G542" s="714" t="str">
        <f>IF(B542="SEPLAG",VLOOKUP(CONCATENATE("TOTAL DO ITEM NÃO DESON. - ",C542),BASE01,8,FALSE),VLOOKUP(C542,'NAO DESO'!A:D,4,FALSE))</f>
        <v>709,62</v>
      </c>
      <c r="H542" s="714">
        <f t="shared" ref="H542:H547" si="129">TRUNC(G542+G542*$K$6,2)</f>
        <v>867.34</v>
      </c>
      <c r="I542" s="714">
        <f t="shared" ref="I542:I547" si="130">TRUNC(F542*H542,2)</f>
        <v>2602.02</v>
      </c>
      <c r="J542" s="714" t="str">
        <f>IF(B542="SEPLAG",VLOOKUP(CONCATENATE("TOTAL DO ITEM DESON. - ",C542),BASE02,10,FALSE),VLOOKUP(C542,DESON!A:D,4,FALSE))</f>
        <v>707,27</v>
      </c>
      <c r="K542" s="714">
        <f t="shared" ref="K542:K547" si="131">J542+J542*$L$6</f>
        <v>907.76460039393191</v>
      </c>
      <c r="L542" s="714">
        <f t="shared" ref="L542:L547" si="132">TRUNC(F542*K542,2)</f>
        <v>2723.29</v>
      </c>
    </row>
    <row r="543" spans="1:14" s="654" customFormat="1" ht="28.5">
      <c r="A543" s="77" t="s">
        <v>27985</v>
      </c>
      <c r="B543" s="75" t="s">
        <v>79</v>
      </c>
      <c r="C543" s="74">
        <v>96543</v>
      </c>
      <c r="D543" s="712" t="str">
        <f>IF(B543="SEPLAG",VLOOKUP(C543,COMPOSIÇÃO,2,FALSE),VLOOKUP(C543,'NAO DESO'!A:B,2,FALSE))</f>
        <v>ARMAÇÃO DE BLOCO, VIGA BALDRAME E SAPATA UTILIZANDO AÇO CA-60 DE 5 MM - MONTAGEM. AF_06/2017</v>
      </c>
      <c r="E543" s="74" t="str">
        <f>IF(B543="SEPLAG",VLOOKUP(C543,UNIDADE,3,FALSE),VLOOKUP(C543,'NAO DESO'!A:C,3,FALSE))</f>
        <v>KG</v>
      </c>
      <c r="F543" s="825">
        <f>'MEM CAL'!F480</f>
        <v>66.599999999999994</v>
      </c>
      <c r="G543" s="714" t="str">
        <f>IF(B543="SEPLAG",VLOOKUP(CONCATENATE("TOTAL DO ITEM NÃO DESON. - ",C543),BASE01,8,FALSE),VLOOKUP(C543,'NAO DESO'!A:D,4,FALSE))</f>
        <v>18,45</v>
      </c>
      <c r="H543" s="714">
        <f t="shared" si="129"/>
        <v>22.55</v>
      </c>
      <c r="I543" s="714">
        <f t="shared" si="130"/>
        <v>1501.83</v>
      </c>
      <c r="J543" s="714" t="str">
        <f>IF(B543="SEPLAG",VLOOKUP(CONCATENATE("TOTAL DO ITEM DESON. - ",C543),BASE02,10,FALSE),VLOOKUP(C543,DESON!A:D,4,FALSE))</f>
        <v>17,73</v>
      </c>
      <c r="K543" s="714">
        <f t="shared" si="131"/>
        <v>22.75604276299633</v>
      </c>
      <c r="L543" s="714">
        <f t="shared" si="132"/>
        <v>1515.55</v>
      </c>
    </row>
    <row r="544" spans="1:14" ht="28.5">
      <c r="A544" s="77" t="s">
        <v>27986</v>
      </c>
      <c r="B544" s="75" t="s">
        <v>79</v>
      </c>
      <c r="C544" s="74">
        <v>96546</v>
      </c>
      <c r="D544" s="712" t="str">
        <f>IF(B544="SEPLAG",VLOOKUP(C544,COMPOSIÇÃO,2,FALSE),VLOOKUP(C544,'NAO DESO'!A:B,2,FALSE))</f>
        <v>ARMAÇÃO DE BLOCO, VIGA BALDRAME OU SAPATA UTILIZANDO AÇO CA-50 DE 10 MM - MONTAGEM. AF_06/2017</v>
      </c>
      <c r="E544" s="74" t="str">
        <f>IF(B544="SEPLAG",VLOOKUP(C544,UNIDADE,3,FALSE),VLOOKUP(C544,'NAO DESO'!A:C,3,FALSE))</f>
        <v>KG</v>
      </c>
      <c r="F544" s="825">
        <f>'MEM CAL'!F481</f>
        <v>146.1</v>
      </c>
      <c r="G544" s="714" t="str">
        <f>IF(B544="SEPLAG",VLOOKUP(CONCATENATE("TOTAL DO ITEM NÃO DESON. - ",C544),BASE01,8,FALSE),VLOOKUP(C544,'NAO DESO'!A:D,4,FALSE))</f>
        <v>14,85</v>
      </c>
      <c r="H544" s="714">
        <f t="shared" si="129"/>
        <v>18.149999999999999</v>
      </c>
      <c r="I544" s="714">
        <f t="shared" si="130"/>
        <v>2651.71</v>
      </c>
      <c r="J544" s="714" t="str">
        <f>IF(B544="SEPLAG",VLOOKUP(CONCATENATE("TOTAL DO ITEM DESON. - ",C544),BASE02,10,FALSE),VLOOKUP(C544,DESON!A:D,4,FALSE))</f>
        <v>14,57</v>
      </c>
      <c r="K544" s="714">
        <f t="shared" si="131"/>
        <v>18.700256235581303</v>
      </c>
      <c r="L544" s="714">
        <f t="shared" si="132"/>
        <v>2732.1</v>
      </c>
    </row>
    <row r="545" spans="1:12" ht="28.5">
      <c r="A545" s="77" t="s">
        <v>27987</v>
      </c>
      <c r="B545" s="75" t="s">
        <v>79</v>
      </c>
      <c r="C545" s="74">
        <v>92263</v>
      </c>
      <c r="D545" s="712" t="str">
        <f>IF(B545="SEPLAG",VLOOKUP(C545,COMPOSIÇÃO,2,FALSE),VLOOKUP(C545,'NAO DESO'!A:B,2,FALSE))</f>
        <v>FABRICAÇÃO DE FÔRMA PARA PILARES E ESTRUTURAS SIMILARES, EM CHAPA DE MADEIRA COMPENSADA RESINADA, E = 17 MM. AF_09/2020</v>
      </c>
      <c r="E545" s="74" t="str">
        <f>IF(B545="SEPLAG",VLOOKUP(C545,UNIDADE,3,FALSE),VLOOKUP(C545,'NAO DESO'!A:C,3,FALSE))</f>
        <v>M2</v>
      </c>
      <c r="F545" s="825">
        <f>'MEM CAL'!F482</f>
        <v>38.340000000000003</v>
      </c>
      <c r="G545" s="714" t="str">
        <f>IF(B545="SEPLAG",VLOOKUP(CONCATENATE("TOTAL DO ITEM NÃO DESON. - ",C545),BASE01,8,FALSE),VLOOKUP(C545,'NAO DESO'!A:D,4,FALSE))</f>
        <v>175,96</v>
      </c>
      <c r="H545" s="714">
        <f t="shared" si="129"/>
        <v>215.06</v>
      </c>
      <c r="I545" s="714">
        <f t="shared" si="130"/>
        <v>8245.4</v>
      </c>
      <c r="J545" s="714" t="str">
        <f>IF(B545="SEPLAG",VLOOKUP(CONCATENATE("TOTAL DO ITEM DESON. - ",C545),BASE02,10,FALSE),VLOOKUP(C545,DESON!A:D,4,FALSE))</f>
        <v>172,32</v>
      </c>
      <c r="K545" s="714">
        <f t="shared" si="131"/>
        <v>221.16871341903709</v>
      </c>
      <c r="L545" s="714">
        <f t="shared" si="132"/>
        <v>8479.6</v>
      </c>
    </row>
    <row r="546" spans="1:12" ht="28.5">
      <c r="A546" s="77" t="s">
        <v>27988</v>
      </c>
      <c r="B546" s="75" t="s">
        <v>79</v>
      </c>
      <c r="C546" s="75">
        <v>98557</v>
      </c>
      <c r="D546" s="712" t="str">
        <f>IF(B546="SEPLAG",VLOOKUP(C546,COMPOSIÇÃO,2,FALSE),VLOOKUP(C546,'NAO DESO'!A:B,2,FALSE))</f>
        <v>IMPERMEABILIZAÇÃO DE SUPERFÍCIE COM EMULSÃO ASFÁLTICA, 2 DEMÃOS AF_06/2018</v>
      </c>
      <c r="E546" s="74" t="str">
        <f>IF(B546="SEPLAG",VLOOKUP(C546,UNIDADE,3,FALSE),VLOOKUP(C546,'NAO DESO'!A:C,3,FALSE))</f>
        <v>M2</v>
      </c>
      <c r="F546" s="825">
        <f>'MEM CAL'!F483</f>
        <v>38.340000000000003</v>
      </c>
      <c r="G546" s="714" t="str">
        <f>IF(B546="SEPLAG",VLOOKUP(CONCATENATE("TOTAL DO ITEM NÃO DESON. - ",C546),BASE01,8,FALSE),VLOOKUP(C546,'NAO DESO'!A:D,4,FALSE))</f>
        <v>58,82</v>
      </c>
      <c r="H546" s="714">
        <f t="shared" si="129"/>
        <v>71.89</v>
      </c>
      <c r="I546" s="714">
        <f t="shared" si="130"/>
        <v>2756.26</v>
      </c>
      <c r="J546" s="714" t="str">
        <f>IF(B546="SEPLAG",VLOOKUP(CONCATENATE("TOTAL DO ITEM DESON. - ",C546),BASE02,10,FALSE),VLOOKUP(C546,DESON!A:D,4,FALSE))</f>
        <v>57,84</v>
      </c>
      <c r="K546" s="714">
        <f t="shared" si="131"/>
        <v>74.236295172685146</v>
      </c>
      <c r="L546" s="714">
        <f t="shared" si="132"/>
        <v>2846.21</v>
      </c>
    </row>
    <row r="547" spans="1:12" ht="42.75">
      <c r="A547" s="77" t="s">
        <v>27989</v>
      </c>
      <c r="B547" s="75" t="s">
        <v>79</v>
      </c>
      <c r="C547" s="75">
        <v>100651</v>
      </c>
      <c r="D547" s="712" t="str">
        <f>IF(B547="SEPLAG",VLOOKUP(C547,COMPOSIÇÃO,2,FALSE),VLOOKUP(C547,'NAO DESO'!A:B,2,FALSE))</f>
        <v>ESTACA HÉLICE CONTÍNUA, DIÂMETRO DE 30 CM, INCLUSO CONCRETO FCK=30MPA E ARMADURA MÍNIMA (EXCLUSIVE MOBILIZAÇÃO, DESMOBILIZAÇÃO E BOMBEAMENTO). AF_12/2019</v>
      </c>
      <c r="E547" s="74" t="str">
        <f>IF(B547="SEPLAG",VLOOKUP(C547,UNIDADE,3,FALSE),VLOOKUP(C547,'NAO DESO'!A:C,3,FALSE))</f>
        <v>M</v>
      </c>
      <c r="F547" s="825">
        <f>'MEM CAL'!F484</f>
        <v>8</v>
      </c>
      <c r="G547" s="714" t="str">
        <f>IF(B547="SEPLAG",VLOOKUP(CONCATENATE("TOTAL DO ITEM NÃO DESON. - ",C547),BASE01,8,FALSE),VLOOKUP(C547,'NAO DESO'!A:D,4,FALSE))</f>
        <v>139,63</v>
      </c>
      <c r="H547" s="714">
        <f t="shared" si="129"/>
        <v>170.66</v>
      </c>
      <c r="I547" s="714">
        <f t="shared" si="130"/>
        <v>1365.28</v>
      </c>
      <c r="J547" s="714" t="str">
        <f>IF(B547="SEPLAG",VLOOKUP(CONCATENATE("TOTAL DO ITEM DESON. - ",C547),BASE02,10,FALSE),VLOOKUP(C547,DESON!A:D,4,FALSE))</f>
        <v>138,42</v>
      </c>
      <c r="K547" s="714">
        <f t="shared" si="131"/>
        <v>177.65885162176829</v>
      </c>
      <c r="L547" s="714">
        <f t="shared" si="132"/>
        <v>1421.27</v>
      </c>
    </row>
    <row r="548" spans="1:12">
      <c r="A548" s="734" t="str">
        <f>CONCATENATE("TOTAL DO ITEM &gt;&gt;&gt;&gt;",A541)</f>
        <v>TOTAL DO ITEM &gt;&gt;&gt;&gt;13.4.2</v>
      </c>
      <c r="B548" s="118"/>
      <c r="C548" s="118"/>
      <c r="D548" s="118"/>
      <c r="E548" s="118"/>
      <c r="F548" s="118"/>
      <c r="G548" s="118"/>
      <c r="H548" s="118"/>
      <c r="I548" s="743">
        <f>SUM(I542:I547)</f>
        <v>19122.5</v>
      </c>
      <c r="J548" s="744"/>
      <c r="K548" s="744"/>
      <c r="L548" s="743">
        <f>SUM(L542:L547)</f>
        <v>19718.02</v>
      </c>
    </row>
    <row r="549" spans="1:12">
      <c r="A549" s="699"/>
      <c r="B549" s="127"/>
      <c r="C549" s="127"/>
      <c r="D549" s="127"/>
      <c r="E549" s="127"/>
      <c r="F549" s="127"/>
      <c r="G549" s="127"/>
      <c r="H549" s="127"/>
      <c r="I549" s="831"/>
      <c r="J549" s="824"/>
      <c r="K549" s="824"/>
      <c r="L549" s="832"/>
    </row>
    <row r="550" spans="1:12" s="642" customFormat="1">
      <c r="A550" s="138" t="s">
        <v>27990</v>
      </c>
      <c r="B550" s="737"/>
      <c r="C550" s="738"/>
      <c r="D550" s="788" t="s">
        <v>7606</v>
      </c>
      <c r="E550" s="740"/>
      <c r="F550" s="142"/>
      <c r="G550" s="810"/>
      <c r="H550" s="144"/>
      <c r="I550" s="144"/>
      <c r="J550" s="144"/>
      <c r="K550" s="144"/>
      <c r="L550" s="144"/>
    </row>
    <row r="551" spans="1:12" ht="28.5">
      <c r="A551" s="837" t="s">
        <v>27991</v>
      </c>
      <c r="B551" s="75" t="s">
        <v>14504</v>
      </c>
      <c r="C551" s="74" t="s">
        <v>14608</v>
      </c>
      <c r="D551" s="712" t="str">
        <f>IF(B551="SEPLAG",VLOOKUP(C551,COMPOSIÇÃO,2,FALSE),VLOOKUP(C551,'NAO DESO'!A:B,2,FALSE))</f>
        <v>ESTRUTURA METALICA FACHADA POSTERIOR ESCOLA , FORNECIMENTO E INSTALAÇÃO</v>
      </c>
      <c r="E551" s="74" t="str">
        <f>IF(B551="SEPLAG",VLOOKUP(C551,UNIDADE,3,FALSE),VLOOKUP(C551,'NAO DESO'!A:C,3,FALSE))</f>
        <v>UND</v>
      </c>
      <c r="F551" s="825">
        <f>VLOOKUP(A551,MEMÓRIA,6,FALSE)</f>
        <v>1</v>
      </c>
      <c r="G551" s="714">
        <f>IF(B551="SEPLAG",VLOOKUP(CONCATENATE("TOTAL DO ITEM NÃO DESON. - ",C551),BASE01,8,FALSE),VLOOKUP(C551,'NAO DESO'!A:D,4,FALSE))</f>
        <v>39823.320000000007</v>
      </c>
      <c r="H551" s="714">
        <f>TRUNC(G551+G551*$K$6,2)</f>
        <v>48674.51</v>
      </c>
      <c r="I551" s="714">
        <f>TRUNC(F551*H551,2)</f>
        <v>48674.51</v>
      </c>
      <c r="J551" s="714">
        <f>IF(B551="SEPLAG",VLOOKUP(CONCATENATE("TOTAL DO ITEM DESON. - ",C551),BASE02,10,FALSE),VLOOKUP(C551,DESON!A:D,4,FALSE))</f>
        <v>38228.51</v>
      </c>
      <c r="K551" s="714">
        <f>J551+J551*$L$6</f>
        <v>49065.403740870439</v>
      </c>
      <c r="L551" s="714">
        <f>TRUNC(F551*K551,2)</f>
        <v>49065.4</v>
      </c>
    </row>
    <row r="552" spans="1:12" ht="28.5">
      <c r="A552" s="837" t="s">
        <v>27992</v>
      </c>
      <c r="B552" s="75" t="s">
        <v>14504</v>
      </c>
      <c r="C552" s="74" t="s">
        <v>13010</v>
      </c>
      <c r="D552" s="712" t="str">
        <f>IF(B552="SEPLAG",VLOOKUP(C552,COMPOSIÇÃO,2,FALSE),VLOOKUP(C552,'NAO DESO'!A:B,2,FALSE))</f>
        <v>REVESTIMENTO EM ACM (ALUMINIO COMPOSTO) FIXADO EM ESTRUTURA METALICA. FORNCECIMENTO E INSTALAÇÃO.</v>
      </c>
      <c r="E552" s="74" t="str">
        <f>IF(B552="SEPLAG",VLOOKUP(C552,UNIDADE,3,FALSE),VLOOKUP(C552,'NAO DESO'!A:C,3,FALSE))</f>
        <v>M²</v>
      </c>
      <c r="F552" s="825">
        <f>VLOOKUP(A552,MEMÓRIA,6,FALSE)</f>
        <v>58.01</v>
      </c>
      <c r="G552" s="714">
        <f>IF(B552="SEPLAG",VLOOKUP(CONCATENATE("TOTAL DO ITEM NÃO DESON. - ",C552),BASE01,8,FALSE),VLOOKUP(C552,'NAO DESO'!A:D,4,FALSE))</f>
        <v>112.95</v>
      </c>
      <c r="H552" s="714">
        <f>TRUNC(G552+G552*$K$6,2)</f>
        <v>138.05000000000001</v>
      </c>
      <c r="I552" s="714">
        <f>TRUNC(F552*H552,2)</f>
        <v>8008.28</v>
      </c>
      <c r="J552" s="714">
        <f>IF(B552="SEPLAG",VLOOKUP(CONCATENATE("TOTAL DO ITEM DESON. - ",C552),BASE02,10,FALSE),VLOOKUP(C552,DESON!A:D,4,FALSE))</f>
        <v>112.31</v>
      </c>
      <c r="K552" s="714">
        <f>J552+J552*$L$6</f>
        <v>144.14727370062707</v>
      </c>
      <c r="L552" s="714">
        <f>TRUNC(F552*K552,2)</f>
        <v>8361.98</v>
      </c>
    </row>
    <row r="553" spans="1:12" ht="28.5">
      <c r="A553" s="837" t="s">
        <v>27993</v>
      </c>
      <c r="B553" s="75" t="s">
        <v>14504</v>
      </c>
      <c r="C553" s="74" t="s">
        <v>400</v>
      </c>
      <c r="D553" s="712" t="str">
        <f>IF(B553="SEPLAG",VLOOKUP(C553,COMPOSIÇÃO,2,FALSE),VLOOKUP(C553,'NAO DESO'!A:B,2,FALSE))</f>
        <v>FACHADA DE VIDRO TEMPERADO DE 10mm FIXADO EM ESTRUTURA METALICA. FORNECIMENTO E INSTALAÇÃO.</v>
      </c>
      <c r="E553" s="74" t="str">
        <f>IF(B553="SEPLAG",VLOOKUP(C553,UNIDADE,3,FALSE),VLOOKUP(C553,'NAO DESO'!A:C,3,FALSE))</f>
        <v>M²</v>
      </c>
      <c r="F553" s="825">
        <f>VLOOKUP(A553,MEMÓRIA,6,FALSE)</f>
        <v>35.340000000000003</v>
      </c>
      <c r="G553" s="714">
        <f>IF(B553="SEPLAG",VLOOKUP(CONCATENATE("TOTAL DO ITEM NÃO DESON. - ",C553),BASE01,8,FALSE),VLOOKUP(C553,'NAO DESO'!A:D,4,FALSE))</f>
        <v>754.6</v>
      </c>
      <c r="H553" s="714">
        <f>TRUNC(G553+G553*$K$6,2)</f>
        <v>922.31</v>
      </c>
      <c r="I553" s="714">
        <f>TRUNC(F553*H553,2)</f>
        <v>32594.43</v>
      </c>
      <c r="J553" s="714">
        <f>IF(B553="SEPLAG",VLOOKUP(CONCATENATE("TOTAL DO ITEM DESON. - ",C553),BASE02,10,FALSE),VLOOKUP(C553,DESON!A:D,4,FALSE))</f>
        <v>737.23</v>
      </c>
      <c r="K553" s="714">
        <f>J553+J553*$L$6</f>
        <v>946.21756379942383</v>
      </c>
      <c r="L553" s="714">
        <f>TRUNC(F553*K553,2)</f>
        <v>33439.32</v>
      </c>
    </row>
    <row r="554" spans="1:12" ht="28.5">
      <c r="A554" s="837" t="s">
        <v>27994</v>
      </c>
      <c r="B554" s="75" t="s">
        <v>14504</v>
      </c>
      <c r="C554" s="74" t="s">
        <v>14698</v>
      </c>
      <c r="D554" s="712" t="str">
        <f>IF(B554="SEPLAG",VLOOKUP(C554,COMPOSIÇÃO,2,FALSE),VLOOKUP(C554,'NAO DESO'!A:B,2,FALSE))</f>
        <v>FACHADA PELE DE VIDRO (BASCULANTE). FORNECIMENTO E INSTALAÇÃO.</v>
      </c>
      <c r="E554" s="74" t="str">
        <f>IF(B554="SEPLAG",VLOOKUP(C554,UNIDADE,3,FALSE),VLOOKUP(C554,'NAO DESO'!A:C,3,FALSE))</f>
        <v>m²</v>
      </c>
      <c r="F554" s="825">
        <f>VLOOKUP(A554,MEMÓRIA,6,FALSE)</f>
        <v>25.25</v>
      </c>
      <c r="G554" s="714">
        <f>IF(B554="SEPLAG",VLOOKUP(CONCATENATE("TOTAL DO ITEM NÃO DESON. - ",C554),BASE01,8,FALSE),VLOOKUP(C554,'NAO DESO'!A:D,4,FALSE))</f>
        <v>883.21999999999991</v>
      </c>
      <c r="H554" s="714">
        <f>TRUNC(G554+G554*$K$6,2)</f>
        <v>1079.52</v>
      </c>
      <c r="I554" s="714">
        <f>TRUNC(F554*H554,2)</f>
        <v>27257.88</v>
      </c>
      <c r="J554" s="714">
        <f>IF(B554="SEPLAG",VLOOKUP(CONCATENATE("TOTAL DO ITEM DESON. - ",C554),BASE02,10,FALSE),VLOOKUP(C554,DESON!A:D,4,FALSE))</f>
        <v>871.55</v>
      </c>
      <c r="K554" s="714">
        <f>J554+J554*$L$6</f>
        <v>1118.614160749546</v>
      </c>
      <c r="L554" s="714">
        <f>TRUNC(F554*K554,2)</f>
        <v>28245</v>
      </c>
    </row>
    <row r="555" spans="1:12">
      <c r="A555" s="734" t="str">
        <f>CONCATENATE("TOTAL DO ITEM &gt;&gt;&gt;&gt;",A550)</f>
        <v>TOTAL DO ITEM &gt;&gt;&gt;&gt;13.4.3</v>
      </c>
      <c r="B555" s="118"/>
      <c r="C555" s="118"/>
      <c r="D555" s="118"/>
      <c r="E555" s="118"/>
      <c r="F555" s="118"/>
      <c r="G555" s="118"/>
      <c r="H555" s="118"/>
      <c r="I555" s="743">
        <f>SUM(I551:I554)</f>
        <v>116535.1</v>
      </c>
      <c r="J555" s="744"/>
      <c r="K555" s="744"/>
      <c r="L555" s="743">
        <f>SUM(L551:L554)</f>
        <v>119111.70000000001</v>
      </c>
    </row>
    <row r="556" spans="1:12">
      <c r="A556" s="699"/>
      <c r="B556" s="127"/>
      <c r="C556" s="127"/>
      <c r="D556" s="127"/>
      <c r="E556" s="127"/>
      <c r="F556" s="127"/>
      <c r="G556" s="127"/>
      <c r="H556" s="127"/>
      <c r="I556" s="831"/>
      <c r="J556" s="824"/>
      <c r="K556" s="824"/>
      <c r="L556" s="832"/>
    </row>
    <row r="557" spans="1:12" s="109" customFormat="1">
      <c r="A557" s="1122" t="str">
        <f>CONCATENATE("TOTAL DO ITEM &gt;&gt;&gt;&gt;",A488)</f>
        <v>TOTAL DO ITEM &gt;&gt;&gt;&gt;13.0</v>
      </c>
      <c r="B557" s="1242"/>
      <c r="C557" s="1242"/>
      <c r="D557" s="1242"/>
      <c r="E557" s="1242"/>
      <c r="F557" s="1242"/>
      <c r="G557" s="1242"/>
      <c r="H557" s="1242"/>
      <c r="I557" s="648">
        <f>SUM(I533,I527,I520,I505,I494,I539,I548,I555)</f>
        <v>813902.98999999987</v>
      </c>
      <c r="J557" s="843"/>
      <c r="K557" s="843"/>
      <c r="L557" s="648">
        <f>SUM(L533,L527,L520,L505,L494,L539,L548,L555)</f>
        <v>829463.83000000007</v>
      </c>
    </row>
    <row r="558" spans="1:12" s="654" customFormat="1" ht="14.25">
      <c r="A558" s="785"/>
      <c r="B558" s="786"/>
      <c r="C558" s="786"/>
      <c r="D558" s="786"/>
      <c r="E558" s="786"/>
      <c r="F558" s="786"/>
      <c r="G558" s="786"/>
      <c r="H558" s="786"/>
      <c r="I558" s="786"/>
      <c r="J558" s="786"/>
      <c r="K558" s="786"/>
      <c r="L558" s="787"/>
    </row>
    <row r="559" spans="1:12" s="109" customFormat="1">
      <c r="A559" s="1248" t="s">
        <v>14130</v>
      </c>
      <c r="B559" s="650"/>
      <c r="C559" s="1249"/>
      <c r="D559" s="647" t="s">
        <v>7542</v>
      </c>
      <c r="E559" s="1250"/>
      <c r="F559" s="1251"/>
      <c r="G559" s="1251"/>
      <c r="H559" s="843"/>
      <c r="I559" s="713"/>
      <c r="J559" s="843"/>
      <c r="K559" s="843"/>
      <c r="L559" s="843"/>
    </row>
    <row r="560" spans="1:12" s="642" customFormat="1" ht="28.5">
      <c r="A560" s="89" t="s">
        <v>14131</v>
      </c>
      <c r="B560" s="75" t="s">
        <v>14504</v>
      </c>
      <c r="C560" s="74" t="s">
        <v>7534</v>
      </c>
      <c r="D560" s="712" t="str">
        <f>IF(B560="SEPLAG",VLOOKUP(C560,COMPOSIÇÃO,2,FALSE),VLOOKUP(C560,'NAO DESO'!A:B,2,FALSE))</f>
        <v>MAPA TÁTIL C/ PEDESTAL EM AÇO(40X60). FORNECIMENTO E INSTALAÇÃO.</v>
      </c>
      <c r="E560" s="74" t="str">
        <f>IF(B560="SEPLAG",VLOOKUP(C560,UNIDADE,3,FALSE),VLOOKUP(C560,'NAO DESO'!A:C,3,FALSE))</f>
        <v>UND</v>
      </c>
      <c r="F560" s="825">
        <f t="shared" ref="F560:F565" si="133">VLOOKUP(A560,MEMÓRIA,6,FALSE)</f>
        <v>3</v>
      </c>
      <c r="G560" s="714">
        <f>IF(B560="SEPLAG",VLOOKUP(CONCATENATE("TOTAL DO ITEM NÃO DESON. - ",C560),BASE01,8,FALSE),VLOOKUP(C560,'NAO DESO'!A:D,4,FALSE))</f>
        <v>1477.9299999999998</v>
      </c>
      <c r="H560" s="714">
        <f t="shared" ref="H560:H565" si="134">TRUNC(G560+G560*$K$6,2)</f>
        <v>1806.41</v>
      </c>
      <c r="I560" s="714">
        <f t="shared" ref="I560:I565" si="135">TRUNC(F560*H560,2)</f>
        <v>5419.23</v>
      </c>
      <c r="J560" s="714">
        <f>IF(B560="SEPLAG",VLOOKUP(CONCATENATE("TOTAL DO ITEM DESON. - ",C560),BASE02,10,FALSE),VLOOKUP(C560,DESON!A:D,4,FALSE))</f>
        <v>1474.02</v>
      </c>
      <c r="K560" s="714">
        <f t="shared" ref="K560:K565" si="136">J560+J560*$L$6</f>
        <v>1891.8703978292074</v>
      </c>
      <c r="L560" s="714">
        <f t="shared" ref="L560:L565" si="137">TRUNC(F560*K560,2)</f>
        <v>5675.61</v>
      </c>
    </row>
    <row r="561" spans="1:12" ht="28.5">
      <c r="A561" s="89" t="s">
        <v>14132</v>
      </c>
      <c r="B561" s="75" t="s">
        <v>14504</v>
      </c>
      <c r="C561" s="74" t="s">
        <v>7535</v>
      </c>
      <c r="D561" s="712" t="str">
        <f>IF(B561="SEPLAG",VLOOKUP(C561,COMPOSIÇÃO,2,FALSE),VLOOKUP(C561,'NAO DESO'!A:B,2,FALSE))</f>
        <v>PLACA DE PORTA EM BRAILE 20X8CM (AMBIENTES EM GERAL). FORNECIMENTO E INSTALAÇÃO.</v>
      </c>
      <c r="E561" s="74" t="str">
        <f>IF(B561="SEPLAG",VLOOKUP(C561,UNIDADE,3,FALSE),VLOOKUP(C561,'NAO DESO'!A:C,3,FALSE))</f>
        <v>UND</v>
      </c>
      <c r="F561" s="825">
        <f t="shared" si="133"/>
        <v>24</v>
      </c>
      <c r="G561" s="714">
        <f>IF(B561="SEPLAG",VLOOKUP(CONCATENATE("TOTAL DO ITEM NÃO DESON. - ",C561),BASE01,8,FALSE),VLOOKUP(C561,'NAO DESO'!A:D,4,FALSE))</f>
        <v>64.7</v>
      </c>
      <c r="H561" s="714">
        <f t="shared" si="134"/>
        <v>79.08</v>
      </c>
      <c r="I561" s="714">
        <f t="shared" si="135"/>
        <v>1897.92</v>
      </c>
      <c r="J561" s="714">
        <f>IF(B561="SEPLAG",VLOOKUP(CONCATENATE("TOTAL DO ITEM DESON. - ",C561),BASE02,10,FALSE),VLOOKUP(C561,DESON!A:D,4,FALSE))</f>
        <v>64.569999999999993</v>
      </c>
      <c r="K561" s="714">
        <f t="shared" si="136"/>
        <v>82.8740936946798</v>
      </c>
      <c r="L561" s="714">
        <f t="shared" si="137"/>
        <v>1988.97</v>
      </c>
    </row>
    <row r="562" spans="1:12" ht="28.5">
      <c r="A562" s="89" t="s">
        <v>14133</v>
      </c>
      <c r="B562" s="75" t="s">
        <v>14504</v>
      </c>
      <c r="C562" s="74" t="s">
        <v>7536</v>
      </c>
      <c r="D562" s="712" t="str">
        <f>IF(B562="SEPLAG",VLOOKUP(C562,COMPOSIÇÃO,2,FALSE),VLOOKUP(C562,'NAO DESO'!A:B,2,FALSE))</f>
        <v>PLACA DE PORTA EM BRAILE (SANITARIOS)                               (5X15CM). FORNECIMENTO E INSTALAÇÃO.</v>
      </c>
      <c r="E562" s="74" t="str">
        <f>IF(B562="SEPLAG",VLOOKUP(C562,UNIDADE,3,FALSE),VLOOKUP(C562,'NAO DESO'!A:C,3,FALSE))</f>
        <v>UND</v>
      </c>
      <c r="F562" s="825">
        <f t="shared" si="133"/>
        <v>7</v>
      </c>
      <c r="G562" s="714">
        <f>IF(B562="SEPLAG",VLOOKUP(CONCATENATE("TOTAL DO ITEM NÃO DESON. - ",C562),BASE01,8,FALSE),VLOOKUP(C562,'NAO DESO'!A:D,4,FALSE))</f>
        <v>44.1</v>
      </c>
      <c r="H562" s="714">
        <f t="shared" si="134"/>
        <v>53.9</v>
      </c>
      <c r="I562" s="714">
        <f t="shared" si="135"/>
        <v>377.3</v>
      </c>
      <c r="J562" s="714">
        <f>IF(B562="SEPLAG",VLOOKUP(CONCATENATE("TOTAL DO ITEM DESON. - ",C562),BASE02,10,FALSE),VLOOKUP(C562,DESON!A:D,4,FALSE))</f>
        <v>43.93</v>
      </c>
      <c r="K562" s="714">
        <f t="shared" si="136"/>
        <v>56.383133591563947</v>
      </c>
      <c r="L562" s="714">
        <f t="shared" si="137"/>
        <v>394.68</v>
      </c>
    </row>
    <row r="563" spans="1:12" ht="29.25">
      <c r="A563" s="89" t="s">
        <v>14134</v>
      </c>
      <c r="B563" s="75" t="s">
        <v>14504</v>
      </c>
      <c r="C563" s="78" t="s">
        <v>7537</v>
      </c>
      <c r="D563" s="712" t="str">
        <f>IF(B563="SEPLAG",VLOOKUP(C563,COMPOSIÇÃO,2,FALSE),VLOOKUP(C563,'NAO DESO'!A:B,2,FALSE))</f>
        <v>SINALIZAÇÃO VISUAL P/ DEGRAU DE ESCADA - ESPELHO E PISO   (FOTOLUMINESCENTE). FORNECIMENTO E INSTALAÇÃO.</v>
      </c>
      <c r="E563" s="74" t="str">
        <f>IF(B563="SEPLAG",VLOOKUP(C563,UNIDADE,3,FALSE),VLOOKUP(C563,'NAO DESO'!A:C,3,FALSE))</f>
        <v>UND</v>
      </c>
      <c r="F563" s="825">
        <f t="shared" si="133"/>
        <v>352</v>
      </c>
      <c r="G563" s="714">
        <f>IF(B563="SEPLAG",VLOOKUP(CONCATENATE("TOTAL DO ITEM NÃO DESON. - ",C563),BASE01,8,FALSE),VLOOKUP(C563,'NAO DESO'!A:D,4,FALSE))</f>
        <v>7.63</v>
      </c>
      <c r="H563" s="714">
        <f t="shared" si="134"/>
        <v>9.32</v>
      </c>
      <c r="I563" s="714">
        <f t="shared" si="135"/>
        <v>3280.64</v>
      </c>
      <c r="J563" s="714">
        <f>IF(B563="SEPLAG",VLOOKUP(CONCATENATE("TOTAL DO ITEM DESON. - ",C563),BASE02,10,FALSE),VLOOKUP(C563,DESON!A:D,4,FALSE))</f>
        <v>7.5</v>
      </c>
      <c r="K563" s="714">
        <f t="shared" si="136"/>
        <v>9.6260756188647747</v>
      </c>
      <c r="L563" s="714">
        <f t="shared" si="137"/>
        <v>3388.37</v>
      </c>
    </row>
    <row r="564" spans="1:12" ht="28.5">
      <c r="A564" s="89" t="s">
        <v>14135</v>
      </c>
      <c r="B564" s="75" t="s">
        <v>14504</v>
      </c>
      <c r="C564" s="842" t="s">
        <v>7539</v>
      </c>
      <c r="D564" s="712" t="str">
        <f>IF(B564="SEPLAG",VLOOKUP(C564,COMPOSIÇÃO,2,FALSE),VLOOKUP(C564,'NAO DESO'!A:B,2,FALSE))</f>
        <v>SINALIZAÇÃO TATIL DE PAVIMENTO- PARA CORRIMÃO E RAMPA. FORNECIMENTO E INSTALAÇÃO.</v>
      </c>
      <c r="E564" s="74" t="str">
        <f>IF(B564="SEPLAG",VLOOKUP(C564,UNIDADE,3,FALSE),VLOOKUP(C564,'NAO DESO'!A:C,3,FALSE))</f>
        <v>UND</v>
      </c>
      <c r="F564" s="825">
        <f t="shared" si="133"/>
        <v>35</v>
      </c>
      <c r="G564" s="714">
        <f>IF(B564="SEPLAG",VLOOKUP(CONCATENATE("TOTAL DO ITEM NÃO DESON. - ",C564),BASE01,8,FALSE),VLOOKUP(C564,'NAO DESO'!A:D,4,FALSE))</f>
        <v>14.379999999999999</v>
      </c>
      <c r="H564" s="714">
        <f t="shared" si="134"/>
        <v>17.57</v>
      </c>
      <c r="I564" s="714">
        <f t="shared" si="135"/>
        <v>614.95000000000005</v>
      </c>
      <c r="J564" s="714">
        <f>IF(B564="SEPLAG",VLOOKUP(CONCATENATE("TOTAL DO ITEM DESON. - ",C564),BASE02,10,FALSE),VLOOKUP(C564,DESON!A:D,4,FALSE))</f>
        <v>14.25</v>
      </c>
      <c r="K564" s="714">
        <f t="shared" si="136"/>
        <v>18.289543675843074</v>
      </c>
      <c r="L564" s="714">
        <f t="shared" si="137"/>
        <v>640.13</v>
      </c>
    </row>
    <row r="565" spans="1:12" s="642" customFormat="1" ht="28.5">
      <c r="A565" s="89" t="s">
        <v>14136</v>
      </c>
      <c r="B565" s="75" t="s">
        <v>14504</v>
      </c>
      <c r="C565" s="842" t="s">
        <v>7541</v>
      </c>
      <c r="D565" s="712" t="str">
        <f>IF(B565="SEPLAG",VLOOKUP(C565,COMPOSIÇÃO,2,FALSE),VLOOKUP(C565,'NAO DESO'!A:B,2,FALSE))</f>
        <v>PISO TATIL ALERTA INTERNO CINZA (EM PORCELANATO) 25X25. FORNECIMENTO E INSTALAÇÃO.</v>
      </c>
      <c r="E565" s="74" t="str">
        <f>IF(B565="SEPLAG",VLOOKUP(C565,UNIDADE,3,FALSE),VLOOKUP(C565,'NAO DESO'!A:C,3,FALSE))</f>
        <v>UND</v>
      </c>
      <c r="F565" s="825">
        <f t="shared" si="133"/>
        <v>44</v>
      </c>
      <c r="G565" s="714">
        <f>IF(B565="SEPLAG",VLOOKUP(CONCATENATE("TOTAL DO ITEM NÃO DESON. - ",C565),BASE01,8,FALSE),VLOOKUP(C565,'NAO DESO'!A:D,4,FALSE))</f>
        <v>42.089999999999996</v>
      </c>
      <c r="H565" s="714">
        <f t="shared" si="134"/>
        <v>51.44</v>
      </c>
      <c r="I565" s="714">
        <f t="shared" si="135"/>
        <v>2263.36</v>
      </c>
      <c r="J565" s="714">
        <f>IF(B565="SEPLAG",VLOOKUP(CONCATENATE("TOTAL DO ITEM DESON. - ",C565),BASE02,10,FALSE),VLOOKUP(C565,DESON!A:D,4,FALSE))</f>
        <v>41.89</v>
      </c>
      <c r="K565" s="714">
        <f t="shared" si="136"/>
        <v>53.764841023232727</v>
      </c>
      <c r="L565" s="714">
        <f t="shared" si="137"/>
        <v>2365.65</v>
      </c>
    </row>
    <row r="566" spans="1:12" s="109" customFormat="1">
      <c r="A566" s="1122" t="str">
        <f>CONCATENATE("TOTAL DO ITEM &gt;&gt;&gt;&gt;",A559)</f>
        <v>TOTAL DO ITEM &gt;&gt;&gt;&gt;14.0</v>
      </c>
      <c r="B566" s="1242"/>
      <c r="C566" s="1242"/>
      <c r="D566" s="1242"/>
      <c r="E566" s="1242"/>
      <c r="F566" s="1242"/>
      <c r="G566" s="1242"/>
      <c r="H566" s="1242"/>
      <c r="I566" s="648">
        <f>SUM(I560:I565)</f>
        <v>13853.400000000001</v>
      </c>
      <c r="J566" s="843"/>
      <c r="K566" s="843"/>
      <c r="L566" s="648">
        <f>SUM(L560:L565)</f>
        <v>14453.41</v>
      </c>
    </row>
    <row r="567" spans="1:12" s="1255" customFormat="1" ht="14.25">
      <c r="A567" s="1252"/>
      <c r="B567" s="1253"/>
      <c r="C567" s="1253"/>
      <c r="D567" s="1253"/>
      <c r="E567" s="1253"/>
      <c r="F567" s="1253"/>
      <c r="G567" s="1253"/>
      <c r="H567" s="1253"/>
      <c r="I567" s="1253"/>
      <c r="J567" s="1253"/>
      <c r="K567" s="1253"/>
      <c r="L567" s="1254"/>
    </row>
    <row r="568" spans="1:12" s="109" customFormat="1">
      <c r="A568" s="1248" t="s">
        <v>13108</v>
      </c>
      <c r="B568" s="650"/>
      <c r="C568" s="1249"/>
      <c r="D568" s="1256" t="s">
        <v>13825</v>
      </c>
      <c r="E568" s="1125"/>
      <c r="F568" s="843"/>
      <c r="G568" s="843"/>
      <c r="H568" s="843"/>
      <c r="I568" s="843"/>
      <c r="J568" s="843"/>
      <c r="K568" s="843"/>
      <c r="L568" s="843"/>
    </row>
    <row r="569" spans="1:12">
      <c r="A569" s="138" t="s">
        <v>413</v>
      </c>
      <c r="B569" s="737"/>
      <c r="C569" s="738"/>
      <c r="D569" s="788" t="s">
        <v>38</v>
      </c>
      <c r="E569" s="740"/>
      <c r="F569" s="142"/>
      <c r="G569" s="142"/>
      <c r="H569" s="741"/>
      <c r="I569" s="144"/>
      <c r="J569" s="741"/>
      <c r="K569" s="741"/>
      <c r="L569" s="741"/>
    </row>
    <row r="570" spans="1:12" ht="28.5">
      <c r="A570" s="77" t="s">
        <v>7279</v>
      </c>
      <c r="B570" s="75" t="s">
        <v>14504</v>
      </c>
      <c r="C570" s="74" t="s">
        <v>360</v>
      </c>
      <c r="D570" s="712" t="str">
        <f>IF(B570="SEPLAG",VLOOKUP(C570,COMPOSIÇÃO,2,FALSE),VLOOKUP(C570,'NAO DESO'!A:B,2,FALSE))</f>
        <v>DEMOLIÇÃO DE CONCRETO SIMPLES - COM EQUIPAMENTO ELÉTRICO, INCLUSIVE AFASTAMENTO.</v>
      </c>
      <c r="E570" s="74" t="str">
        <f>IF(B570="SEPLAG",VLOOKUP(C570,UNIDADE,3,FALSE),VLOOKUP(C570,'NAO DESO'!A:C,3,FALSE))</f>
        <v>m³</v>
      </c>
      <c r="F570" s="825">
        <f>VLOOKUP(A570,MEMÓRIA,6,FALSE)</f>
        <v>6.3209999999999997</v>
      </c>
      <c r="G570" s="714">
        <f>IF(B570="SEPLAG",VLOOKUP(CONCATENATE("TOTAL DO ITEM NÃO DESON. - ",C570),BASE01,8,FALSE),VLOOKUP(C570,'NAO DESO'!A:D,4,FALSE))</f>
        <v>129.58000000000001</v>
      </c>
      <c r="H570" s="714">
        <f>TRUNC(G570+G570*$K$6,2)</f>
        <v>158.38</v>
      </c>
      <c r="I570" s="714">
        <f>TRUNC(F570*H570,2)</f>
        <v>1001.11</v>
      </c>
      <c r="J570" s="714">
        <f>IF(B570="SEPLAG",VLOOKUP(CONCATENATE("TOTAL DO ITEM DESON. - ",C570),BASE02,10,FALSE),VLOOKUP(C570,DESON!A:D,4,FALSE))</f>
        <v>119.1</v>
      </c>
      <c r="K570" s="714">
        <f>J570+J570*$L$6</f>
        <v>152.86208082757264</v>
      </c>
      <c r="L570" s="714">
        <f>TRUNC(F570*K570,2)</f>
        <v>966.24</v>
      </c>
    </row>
    <row r="571" spans="1:12" ht="28.5">
      <c r="A571" s="77" t="s">
        <v>7280</v>
      </c>
      <c r="B571" s="75" t="s">
        <v>79</v>
      </c>
      <c r="C571" s="78">
        <v>100206</v>
      </c>
      <c r="D571" s="712" t="str">
        <f>IF(B571="SEPLAG",VLOOKUP(C571,COMPOSIÇÃO,2,FALSE),VLOOKUP(C571,'NAO DESO'!A:B,2,FALSE))</f>
        <v>TRANSPORTE HORIZONTAL COM JERICA DE 90 L, DE MASSA/ GRANEL (UNIDADE: M3XKM). AF_07/2019</v>
      </c>
      <c r="E571" s="74" t="str">
        <f>IF(B571="SEPLAG",VLOOKUP(C571,UNIDADE,3,FALSE),VLOOKUP(C571,'NAO DESO'!A:C,3,FALSE))</f>
        <v>M3XKM</v>
      </c>
      <c r="F571" s="825">
        <f>VLOOKUP(A571,MEMÓRIA,6,FALSE)</f>
        <v>1.2642</v>
      </c>
      <c r="G571" s="714" t="str">
        <f>IF(B571="SEPLAG",VLOOKUP(CONCATENATE("TOTAL DO ITEM NÃO DESON. - ",C571),BASE01,8,FALSE),VLOOKUP(C571,'NAO DESO'!A:D,4,FALSE))</f>
        <v>830,96</v>
      </c>
      <c r="H571" s="714">
        <f>TRUNC(G571+G571*$K$6,2)</f>
        <v>1015.65</v>
      </c>
      <c r="I571" s="714">
        <f>TRUNC(F571*H571,2)</f>
        <v>1283.98</v>
      </c>
      <c r="J571" s="714" t="str">
        <f>IF(B571="SEPLAG",VLOOKUP(CONCATENATE("TOTAL DO ITEM DESON. - ",C571),BASE02,10,FALSE),VLOOKUP(C571,DESON!A:D,4,FALSE))</f>
        <v>748,50</v>
      </c>
      <c r="K571" s="714">
        <f>J571+J571*$L$6</f>
        <v>960.68234676270458</v>
      </c>
      <c r="L571" s="714">
        <f>TRUNC(F571*K571,2)</f>
        <v>1214.49</v>
      </c>
    </row>
    <row r="572" spans="1:12" ht="28.5">
      <c r="A572" s="77" t="s">
        <v>7281</v>
      </c>
      <c r="B572" s="75" t="s">
        <v>79</v>
      </c>
      <c r="C572" s="74">
        <v>96526</v>
      </c>
      <c r="D572" s="712" t="str">
        <f>IF(B572="SEPLAG",VLOOKUP(C572,COMPOSIÇÃO,2,FALSE),VLOOKUP(C572,'NAO DESO'!A:B,2,FALSE))</f>
        <v>ESCAVAÇÃO MANUAL DE VALA PARA VIGA BALDRAME (SEM ESCAVAÇÃO PARA COLOCAÇÃO DE FÔRMAS). AF_06/2017</v>
      </c>
      <c r="E572" s="74" t="str">
        <f>IF(B572="SEPLAG",VLOOKUP(C572,UNIDADE,3,FALSE),VLOOKUP(C572,'NAO DESO'!A:C,3,FALSE))</f>
        <v>M3</v>
      </c>
      <c r="F572" s="825">
        <f>VLOOKUP(A572,MEMÓRIA,6,FALSE)</f>
        <v>3.67</v>
      </c>
      <c r="G572" s="714" t="str">
        <f>IF(B572="SEPLAG",VLOOKUP(CONCATENATE("TOTAL DO ITEM NÃO DESON. - ",C572),BASE01,8,FALSE),VLOOKUP(C572,'NAO DESO'!A:D,4,FALSE))</f>
        <v>241,37</v>
      </c>
      <c r="H572" s="714">
        <f>TRUNC(G572+G572*$K$6,2)</f>
        <v>295.01</v>
      </c>
      <c r="I572" s="714">
        <f>TRUNC(F572*H572,2)</f>
        <v>1082.68</v>
      </c>
      <c r="J572" s="714" t="str">
        <f>IF(B572="SEPLAG",VLOOKUP(CONCATENATE("TOTAL DO ITEM DESON. - ",C572),BASE02,10,FALSE),VLOOKUP(C572,DESON!A:D,4,FALSE))</f>
        <v>216,67</v>
      </c>
      <c r="K572" s="714">
        <f>J572+J572*$L$6</f>
        <v>278.09090724525743</v>
      </c>
      <c r="L572" s="714">
        <f>TRUNC(F572*K572,2)</f>
        <v>1020.59</v>
      </c>
    </row>
    <row r="573" spans="1:12" ht="28.5">
      <c r="A573" s="77" t="s">
        <v>7282</v>
      </c>
      <c r="B573" s="75" t="s">
        <v>79</v>
      </c>
      <c r="C573" s="78">
        <v>101616</v>
      </c>
      <c r="D573" s="712" t="str">
        <f>IF(B573="SEPLAG",VLOOKUP(C573,COMPOSIÇÃO,2,FALSE),VLOOKUP(C573,'NAO DESO'!A:B,2,FALSE))</f>
        <v>PREPARO DE FUNDO DE VALA COM LARGURA MENOR QUE 1,5 M (ACERTO DO SOLO NATURAL). AF_08/2020</v>
      </c>
      <c r="E573" s="74" t="str">
        <f>IF(B573="SEPLAG",VLOOKUP(C573,UNIDADE,3,FALSE),VLOOKUP(C573,'NAO DESO'!A:C,3,FALSE))</f>
        <v>M2</v>
      </c>
      <c r="F573" s="825">
        <f>VLOOKUP(A573,MEMÓRIA,6,FALSE)</f>
        <v>55.37</v>
      </c>
      <c r="G573" s="714" t="str">
        <f>IF(B573="SEPLAG",VLOOKUP(CONCATENATE("TOTAL DO ITEM NÃO DESON. - ",C573),BASE01,8,FALSE),VLOOKUP(C573,'NAO DESO'!A:D,4,FALSE))</f>
        <v>4,86</v>
      </c>
      <c r="H573" s="714">
        <f>TRUNC(G573+G573*$K$6,2)</f>
        <v>5.94</v>
      </c>
      <c r="I573" s="714">
        <f>TRUNC(F573*H573,2)</f>
        <v>328.89</v>
      </c>
      <c r="J573" s="714" t="str">
        <f>IF(B573="SEPLAG",VLOOKUP(CONCATENATE("TOTAL DO ITEM DESON. - ",C573),BASE02,10,FALSE),VLOOKUP(C573,DESON!A:D,4,FALSE))</f>
        <v>4,37</v>
      </c>
      <c r="K573" s="714">
        <f>J573+J573*$L$6</f>
        <v>5.6087933939252093</v>
      </c>
      <c r="L573" s="714">
        <f>TRUNC(F573*K573,2)</f>
        <v>310.55</v>
      </c>
    </row>
    <row r="574" spans="1:12">
      <c r="A574" s="734" t="str">
        <f>CONCATENATE("TOTAL DO ITEM &gt;&gt;&gt;&gt;",A569)</f>
        <v>TOTAL DO ITEM &gt;&gt;&gt;&gt;15.1</v>
      </c>
      <c r="B574" s="118"/>
      <c r="C574" s="118"/>
      <c r="D574" s="118"/>
      <c r="E574" s="118"/>
      <c r="F574" s="118"/>
      <c r="G574" s="118"/>
      <c r="H574" s="118"/>
      <c r="I574" s="743">
        <f>SUM(I570:I573)</f>
        <v>3696.6600000000003</v>
      </c>
      <c r="J574" s="88"/>
      <c r="K574" s="88"/>
      <c r="L574" s="743">
        <f>SUM(L570:L573)</f>
        <v>3511.8700000000003</v>
      </c>
    </row>
    <row r="575" spans="1:12" s="108" customFormat="1">
      <c r="A575" s="126"/>
      <c r="B575" s="127"/>
      <c r="C575" s="127"/>
      <c r="D575" s="127"/>
      <c r="E575" s="127"/>
      <c r="F575" s="127"/>
      <c r="G575" s="127"/>
      <c r="H575" s="127"/>
      <c r="I575" s="127"/>
      <c r="J575" s="127"/>
      <c r="K575" s="127"/>
      <c r="L575" s="128"/>
    </row>
    <row r="576" spans="1:12">
      <c r="A576" s="138" t="s">
        <v>414</v>
      </c>
      <c r="B576" s="737"/>
      <c r="C576" s="738"/>
      <c r="D576" s="739" t="s">
        <v>418</v>
      </c>
      <c r="E576" s="740"/>
      <c r="F576" s="142"/>
      <c r="G576" s="142"/>
      <c r="H576" s="741"/>
      <c r="I576" s="144"/>
      <c r="J576" s="741"/>
      <c r="K576" s="741"/>
      <c r="L576" s="741"/>
    </row>
    <row r="577" spans="1:12" ht="42.75">
      <c r="A577" s="77" t="s">
        <v>7283</v>
      </c>
      <c r="B577" s="75" t="s">
        <v>79</v>
      </c>
      <c r="C577" s="74">
        <v>102473</v>
      </c>
      <c r="D577" s="712" t="str">
        <f>IF(B577="SEPLAG",VLOOKUP(C577,COMPOSIÇÃO,2,FALSE),VLOOKUP(C577,'NAO DESO'!A:B,2,FALSE))</f>
        <v>CONCRETO MAGRO PARA LASTRO, TRAÇO 1:4,5:4,5 (EM MASSA SECA DE CIMENTO/ AREIA MÉDIA/ SEIXO ROLADO) - PREPARO MECÂNICO COM BETONEIRA 400 L. AF_05/2021</v>
      </c>
      <c r="E577" s="74" t="str">
        <f>IF(B577="SEPLAG",VLOOKUP(C577,UNIDADE,3,FALSE),VLOOKUP(C577,'NAO DESO'!A:C,3,FALSE))</f>
        <v>M3</v>
      </c>
      <c r="F577" s="825">
        <f t="shared" ref="F577:F585" si="138">VLOOKUP(A577,MEMÓRIA,6,FALSE)</f>
        <v>2.1070000000000002</v>
      </c>
      <c r="G577" s="714" t="str">
        <f>IF(B577="SEPLAG",VLOOKUP(CONCATENATE("TOTAL DO ITEM NÃO DESON. - ",C577),BASE01,8,FALSE),VLOOKUP(C577,'NAO DESO'!A:D,4,FALSE))</f>
        <v>456,78</v>
      </c>
      <c r="H577" s="714">
        <f t="shared" ref="H577:H585" si="139">TRUNC(G577+G577*$K$6,2)</f>
        <v>558.29999999999995</v>
      </c>
      <c r="I577" s="714">
        <f t="shared" ref="I577:I585" si="140">TRUNC(F577*H577,2)</f>
        <v>1176.33</v>
      </c>
      <c r="J577" s="714" t="str">
        <f>IF(B577="SEPLAG",VLOOKUP(CONCATENATE("TOTAL DO ITEM DESON. - ",C577),BASE02,10,FALSE),VLOOKUP(C577,DESON!A:D,4,FALSE))</f>
        <v>450,40</v>
      </c>
      <c r="K577" s="714">
        <f t="shared" ref="K577:K585" si="141">J577+J577*$L$6</f>
        <v>578.07792783155924</v>
      </c>
      <c r="L577" s="714">
        <f t="shared" ref="L577:L585" si="142">TRUNC(F577*K577,2)</f>
        <v>1218.01</v>
      </c>
    </row>
    <row r="578" spans="1:12" ht="42.75">
      <c r="A578" s="77" t="s">
        <v>7284</v>
      </c>
      <c r="B578" s="75" t="s">
        <v>79</v>
      </c>
      <c r="C578" s="74">
        <v>96555</v>
      </c>
      <c r="D578" s="712" t="str">
        <f>IF(B578="SEPLAG",VLOOKUP(C578,COMPOSIÇÃO,2,FALSE),VLOOKUP(C578,'NAO DESO'!A:B,2,FALSE))</f>
        <v>CONCRETAGEM DE BLOCOS DE COROAMENTO E VIGAS BALDRAME, FCK 30 MPA, COM USO DE JERICA  LANÇAMENTO, ADENSAMENTO E ACABAMENTO. AF_06/2017</v>
      </c>
      <c r="E578" s="74" t="str">
        <f>IF(B578="SEPLAG",VLOOKUP(C578,UNIDADE,3,FALSE),VLOOKUP(C578,'NAO DESO'!A:C,3,FALSE))</f>
        <v>M3</v>
      </c>
      <c r="F578" s="825">
        <f t="shared" si="138"/>
        <v>6</v>
      </c>
      <c r="G578" s="714" t="str">
        <f>IF(B578="SEPLAG",VLOOKUP(CONCATENATE("TOTAL DO ITEM NÃO DESON. - ",C578),BASE01,8,FALSE),VLOOKUP(C578,'NAO DESO'!A:D,4,FALSE))</f>
        <v>606,83</v>
      </c>
      <c r="H578" s="714">
        <f t="shared" si="139"/>
        <v>741.7</v>
      </c>
      <c r="I578" s="714">
        <f t="shared" si="140"/>
        <v>4450.2</v>
      </c>
      <c r="J578" s="714" t="str">
        <f>IF(B578="SEPLAG",VLOOKUP(CONCATENATE("TOTAL DO ITEM DESON. - ",C578),BASE02,10,FALSE),VLOOKUP(C578,DESON!A:D,4,FALSE))</f>
        <v>591,38</v>
      </c>
      <c r="K578" s="714">
        <f t="shared" si="141"/>
        <v>759.02247993123342</v>
      </c>
      <c r="L578" s="714">
        <f t="shared" si="142"/>
        <v>4554.13</v>
      </c>
    </row>
    <row r="579" spans="1:12" s="654" customFormat="1" ht="28.5">
      <c r="A579" s="77" t="s">
        <v>7285</v>
      </c>
      <c r="B579" s="75" t="s">
        <v>79</v>
      </c>
      <c r="C579" s="74">
        <v>96543</v>
      </c>
      <c r="D579" s="712" t="str">
        <f>IF(B579="SEPLAG",VLOOKUP(C579,COMPOSIÇÃO,2,FALSE),VLOOKUP(C579,'NAO DESO'!A:B,2,FALSE))</f>
        <v>ARMAÇÃO DE BLOCO, VIGA BALDRAME E SAPATA UTILIZANDO AÇO CA-60 DE 5 MM - MONTAGEM. AF_06/2017</v>
      </c>
      <c r="E579" s="74" t="str">
        <f>IF(B579="SEPLAG",VLOOKUP(C579,UNIDADE,3,FALSE),VLOOKUP(C579,'NAO DESO'!A:C,3,FALSE))</f>
        <v>KG</v>
      </c>
      <c r="F579" s="825">
        <f t="shared" si="138"/>
        <v>132.69999999999999</v>
      </c>
      <c r="G579" s="714" t="str">
        <f>IF(B579="SEPLAG",VLOOKUP(CONCATENATE("TOTAL DO ITEM NÃO DESON. - ",C579),BASE01,8,FALSE),VLOOKUP(C579,'NAO DESO'!A:D,4,FALSE))</f>
        <v>18,45</v>
      </c>
      <c r="H579" s="714">
        <f t="shared" si="139"/>
        <v>22.55</v>
      </c>
      <c r="I579" s="714">
        <f t="shared" si="140"/>
        <v>2992.38</v>
      </c>
      <c r="J579" s="714" t="str">
        <f>IF(B579="SEPLAG",VLOOKUP(CONCATENATE("TOTAL DO ITEM DESON. - ",C579),BASE02,10,FALSE),VLOOKUP(C579,DESON!A:D,4,FALSE))</f>
        <v>17,73</v>
      </c>
      <c r="K579" s="714">
        <f t="shared" si="141"/>
        <v>22.75604276299633</v>
      </c>
      <c r="L579" s="714">
        <f t="shared" si="142"/>
        <v>3019.72</v>
      </c>
    </row>
    <row r="580" spans="1:12" ht="28.5">
      <c r="A580" s="77" t="s">
        <v>7286</v>
      </c>
      <c r="B580" s="75" t="s">
        <v>79</v>
      </c>
      <c r="C580" s="74">
        <v>96544</v>
      </c>
      <c r="D580" s="712" t="str">
        <f>IF(B580="SEPLAG",VLOOKUP(C580,COMPOSIÇÃO,2,FALSE),VLOOKUP(C580,'NAO DESO'!A:B,2,FALSE))</f>
        <v>ARMAÇÃO DE BLOCO, VIGA BALDRAME OU SAPATA UTILIZANDO AÇO CA-50 DE 6,3 MM - MONTAGEM. AF_06/2017</v>
      </c>
      <c r="E580" s="74" t="str">
        <f>IF(B580="SEPLAG",VLOOKUP(C580,UNIDADE,3,FALSE),VLOOKUP(C580,'NAO DESO'!A:C,3,FALSE))</f>
        <v>KG</v>
      </c>
      <c r="F580" s="825">
        <f t="shared" si="138"/>
        <v>200.9</v>
      </c>
      <c r="G580" s="714" t="str">
        <f>IF(B580="SEPLAG",VLOOKUP(CONCATENATE("TOTAL DO ITEM NÃO DESON. - ",C580),BASE01,8,FALSE),VLOOKUP(C580,'NAO DESO'!A:D,4,FALSE))</f>
        <v>17,53</v>
      </c>
      <c r="H580" s="714">
        <f t="shared" si="139"/>
        <v>21.42</v>
      </c>
      <c r="I580" s="714">
        <f t="shared" si="140"/>
        <v>4303.2700000000004</v>
      </c>
      <c r="J580" s="714" t="str">
        <f>IF(B580="SEPLAG",VLOOKUP(CONCATENATE("TOTAL DO ITEM DESON. - ",C580),BASE02,10,FALSE),VLOOKUP(C580,DESON!A:D,4,FALSE))</f>
        <v>17,01</v>
      </c>
      <c r="K580" s="714">
        <f t="shared" si="141"/>
        <v>21.831939503585314</v>
      </c>
      <c r="L580" s="714">
        <f t="shared" si="142"/>
        <v>4386.03</v>
      </c>
    </row>
    <row r="581" spans="1:12" ht="28.5">
      <c r="A581" s="77" t="s">
        <v>13109</v>
      </c>
      <c r="B581" s="75" t="s">
        <v>79</v>
      </c>
      <c r="C581" s="74">
        <v>96545</v>
      </c>
      <c r="D581" s="712" t="str">
        <f>IF(B581="SEPLAG",VLOOKUP(C581,COMPOSIÇÃO,2,FALSE),VLOOKUP(C581,'NAO DESO'!A:B,2,FALSE))</f>
        <v>ARMAÇÃO DE BLOCO, VIGA BALDRAME OU SAPATA UTILIZANDO AÇO CA-50 DE 8 MM - MONTAGEM. AF_06/2017</v>
      </c>
      <c r="E581" s="74" t="str">
        <f>IF(B581="SEPLAG",VLOOKUP(C581,UNIDADE,3,FALSE),VLOOKUP(C581,'NAO DESO'!A:C,3,FALSE))</f>
        <v>KG</v>
      </c>
      <c r="F581" s="825">
        <f t="shared" si="138"/>
        <v>112.9</v>
      </c>
      <c r="G581" s="714" t="str">
        <f>IF(B581="SEPLAG",VLOOKUP(CONCATENATE("TOTAL DO ITEM NÃO DESON. - ",C581),BASE01,8,FALSE),VLOOKUP(C581,'NAO DESO'!A:D,4,FALSE))</f>
        <v>16,54</v>
      </c>
      <c r="H581" s="714">
        <f t="shared" si="139"/>
        <v>20.21</v>
      </c>
      <c r="I581" s="714">
        <f t="shared" si="140"/>
        <v>2281.6999999999998</v>
      </c>
      <c r="J581" s="714" t="str">
        <f>IF(B581="SEPLAG",VLOOKUP(CONCATENATE("TOTAL DO ITEM DESON. - ",C581),BASE02,10,FALSE),VLOOKUP(C581,DESON!A:D,4,FALSE))</f>
        <v>16,16</v>
      </c>
      <c r="K581" s="714">
        <f t="shared" si="141"/>
        <v>20.740984266780636</v>
      </c>
      <c r="L581" s="714">
        <f t="shared" si="142"/>
        <v>2341.65</v>
      </c>
    </row>
    <row r="582" spans="1:12" ht="28.5">
      <c r="A582" s="77" t="s">
        <v>13110</v>
      </c>
      <c r="B582" s="75" t="s">
        <v>79</v>
      </c>
      <c r="C582" s="74">
        <v>96546</v>
      </c>
      <c r="D582" s="712" t="str">
        <f>IF(B582="SEPLAG",VLOOKUP(C582,COMPOSIÇÃO,2,FALSE),VLOOKUP(C582,'NAO DESO'!A:B,2,FALSE))</f>
        <v>ARMAÇÃO DE BLOCO, VIGA BALDRAME OU SAPATA UTILIZANDO AÇO CA-50 DE 10 MM - MONTAGEM. AF_06/2017</v>
      </c>
      <c r="E582" s="74" t="str">
        <f>IF(B582="SEPLAG",VLOOKUP(C582,UNIDADE,3,FALSE),VLOOKUP(C582,'NAO DESO'!A:C,3,FALSE))</f>
        <v>KG</v>
      </c>
      <c r="F582" s="825">
        <f t="shared" si="138"/>
        <v>149.69999999999999</v>
      </c>
      <c r="G582" s="714" t="str">
        <f>IF(B582="SEPLAG",VLOOKUP(CONCATENATE("TOTAL DO ITEM NÃO DESON. - ",C582),BASE01,8,FALSE),VLOOKUP(C582,'NAO DESO'!A:D,4,FALSE))</f>
        <v>14,85</v>
      </c>
      <c r="H582" s="714">
        <f t="shared" si="139"/>
        <v>18.149999999999999</v>
      </c>
      <c r="I582" s="714">
        <f t="shared" si="140"/>
        <v>2717.05</v>
      </c>
      <c r="J582" s="714" t="str">
        <f>IF(B582="SEPLAG",VLOOKUP(CONCATENATE("TOTAL DO ITEM DESON. - ",C582),BASE02,10,FALSE),VLOOKUP(C582,DESON!A:D,4,FALSE))</f>
        <v>14,57</v>
      </c>
      <c r="K582" s="714">
        <f t="shared" si="141"/>
        <v>18.700256235581303</v>
      </c>
      <c r="L582" s="714">
        <f t="shared" si="142"/>
        <v>2799.42</v>
      </c>
    </row>
    <row r="583" spans="1:12" ht="28.5">
      <c r="A583" s="77" t="s">
        <v>13111</v>
      </c>
      <c r="B583" s="75" t="s">
        <v>79</v>
      </c>
      <c r="C583" s="74">
        <v>92263</v>
      </c>
      <c r="D583" s="712" t="str">
        <f>IF(B583="SEPLAG",VLOOKUP(C583,COMPOSIÇÃO,2,FALSE),VLOOKUP(C583,'NAO DESO'!A:B,2,FALSE))</f>
        <v>FABRICAÇÃO DE FÔRMA PARA PILARES E ESTRUTURAS SIMILARES, EM CHAPA DE MADEIRA COMPENSADA RESINADA, E = 17 MM. AF_09/2020</v>
      </c>
      <c r="E583" s="74" t="str">
        <f>IF(B583="SEPLAG",VLOOKUP(C583,UNIDADE,3,FALSE),VLOOKUP(C583,'NAO DESO'!A:C,3,FALSE))</f>
        <v>M2</v>
      </c>
      <c r="F583" s="825">
        <f t="shared" si="138"/>
        <v>74.2</v>
      </c>
      <c r="G583" s="714" t="str">
        <f>IF(B583="SEPLAG",VLOOKUP(CONCATENATE("TOTAL DO ITEM NÃO DESON. - ",C583),BASE01,8,FALSE),VLOOKUP(C583,'NAO DESO'!A:D,4,FALSE))</f>
        <v>175,96</v>
      </c>
      <c r="H583" s="714">
        <f t="shared" si="139"/>
        <v>215.06</v>
      </c>
      <c r="I583" s="714">
        <f t="shared" si="140"/>
        <v>15957.45</v>
      </c>
      <c r="J583" s="714" t="str">
        <f>IF(B583="SEPLAG",VLOOKUP(CONCATENATE("TOTAL DO ITEM DESON. - ",C583),BASE02,10,FALSE),VLOOKUP(C583,DESON!A:D,4,FALSE))</f>
        <v>172,32</v>
      </c>
      <c r="K583" s="714">
        <f t="shared" si="141"/>
        <v>221.16871341903709</v>
      </c>
      <c r="L583" s="714">
        <f t="shared" si="142"/>
        <v>16410.71</v>
      </c>
    </row>
    <row r="584" spans="1:12" ht="28.5">
      <c r="A584" s="77" t="s">
        <v>13112</v>
      </c>
      <c r="B584" s="75" t="s">
        <v>79</v>
      </c>
      <c r="C584" s="75">
        <v>98557</v>
      </c>
      <c r="D584" s="712" t="str">
        <f>IF(B584="SEPLAG",VLOOKUP(C584,COMPOSIÇÃO,2,FALSE),VLOOKUP(C584,'NAO DESO'!A:B,2,FALSE))</f>
        <v>IMPERMEABILIZAÇÃO DE SUPERFÍCIE COM EMULSÃO ASFÁLTICA, 2 DEMÃOS AF_06/2018</v>
      </c>
      <c r="E584" s="74" t="str">
        <f>IF(B584="SEPLAG",VLOOKUP(C584,UNIDADE,3,FALSE),VLOOKUP(C584,'NAO DESO'!A:C,3,FALSE))</f>
        <v>M2</v>
      </c>
      <c r="F584" s="825">
        <f t="shared" si="138"/>
        <v>74.2</v>
      </c>
      <c r="G584" s="714" t="str">
        <f>IF(B584="SEPLAG",VLOOKUP(CONCATENATE("TOTAL DO ITEM NÃO DESON. - ",C584),BASE01,8,FALSE),VLOOKUP(C584,'NAO DESO'!A:D,4,FALSE))</f>
        <v>58,82</v>
      </c>
      <c r="H584" s="714">
        <f t="shared" si="139"/>
        <v>71.89</v>
      </c>
      <c r="I584" s="714">
        <f t="shared" si="140"/>
        <v>5334.23</v>
      </c>
      <c r="J584" s="714" t="str">
        <f>IF(B584="SEPLAG",VLOOKUP(CONCATENATE("TOTAL DO ITEM DESON. - ",C584),BASE02,10,FALSE),VLOOKUP(C584,DESON!A:D,4,FALSE))</f>
        <v>57,84</v>
      </c>
      <c r="K584" s="714">
        <f t="shared" si="141"/>
        <v>74.236295172685146</v>
      </c>
      <c r="L584" s="714">
        <f t="shared" si="142"/>
        <v>5508.33</v>
      </c>
    </row>
    <row r="585" spans="1:12" ht="42.75">
      <c r="A585" s="77" t="s">
        <v>13113</v>
      </c>
      <c r="B585" s="75" t="s">
        <v>79</v>
      </c>
      <c r="C585" s="75">
        <v>100651</v>
      </c>
      <c r="D585" s="712" t="str">
        <f>IF(B585="SEPLAG",VLOOKUP(C585,COMPOSIÇÃO,2,FALSE),VLOOKUP(C585,'NAO DESO'!A:B,2,FALSE))</f>
        <v>ESTACA HÉLICE CONTÍNUA, DIÂMETRO DE 30 CM, INCLUSO CONCRETO FCK=30MPA E ARMADURA MÍNIMA (EXCLUSIVE MOBILIZAÇÃO, DESMOBILIZAÇÃO E BOMBEAMENTO). AF_12/2019</v>
      </c>
      <c r="E585" s="74" t="str">
        <f>IF(B585="SEPLAG",VLOOKUP(C585,UNIDADE,3,FALSE),VLOOKUP(C585,'NAO DESO'!A:C,3,FALSE))</f>
        <v>M</v>
      </c>
      <c r="F585" s="825">
        <f t="shared" si="138"/>
        <v>32</v>
      </c>
      <c r="G585" s="714" t="str">
        <f>IF(B585="SEPLAG",VLOOKUP(CONCATENATE("TOTAL DO ITEM NÃO DESON. - ",C585),BASE01,8,FALSE),VLOOKUP(C585,'NAO DESO'!A:D,4,FALSE))</f>
        <v>139,63</v>
      </c>
      <c r="H585" s="714">
        <f t="shared" si="139"/>
        <v>170.66</v>
      </c>
      <c r="I585" s="714">
        <f t="shared" si="140"/>
        <v>5461.12</v>
      </c>
      <c r="J585" s="714" t="str">
        <f>IF(B585="SEPLAG",VLOOKUP(CONCATENATE("TOTAL DO ITEM DESON. - ",C585),BASE02,10,FALSE),VLOOKUP(C585,DESON!A:D,4,FALSE))</f>
        <v>138,42</v>
      </c>
      <c r="K585" s="714">
        <f t="shared" si="141"/>
        <v>177.65885162176829</v>
      </c>
      <c r="L585" s="714">
        <f t="shared" si="142"/>
        <v>5685.08</v>
      </c>
    </row>
    <row r="586" spans="1:12">
      <c r="A586" s="734" t="str">
        <f>CONCATENATE("TOTAL DO ITEM &gt;&gt;&gt;&gt;",A576)</f>
        <v>TOTAL DO ITEM &gt;&gt;&gt;&gt;15.2</v>
      </c>
      <c r="B586" s="118"/>
      <c r="C586" s="118"/>
      <c r="D586" s="118"/>
      <c r="E586" s="118"/>
      <c r="F586" s="118"/>
      <c r="G586" s="118"/>
      <c r="H586" s="118"/>
      <c r="I586" s="743">
        <f>SUM(I577:I585)</f>
        <v>44673.73</v>
      </c>
      <c r="J586" s="744"/>
      <c r="K586" s="744"/>
      <c r="L586" s="743">
        <f>SUM(L577:L585)</f>
        <v>45923.08</v>
      </c>
    </row>
    <row r="587" spans="1:12" s="654" customFormat="1" ht="14.25">
      <c r="A587" s="785"/>
      <c r="B587" s="786"/>
      <c r="C587" s="786"/>
      <c r="D587" s="786"/>
      <c r="E587" s="786"/>
      <c r="F587" s="786"/>
      <c r="G587" s="786"/>
      <c r="H587" s="786"/>
      <c r="I587" s="786"/>
      <c r="J587" s="786"/>
      <c r="K587" s="786"/>
      <c r="L587" s="787"/>
    </row>
    <row r="588" spans="1:12">
      <c r="A588" s="806" t="s">
        <v>13114</v>
      </c>
      <c r="B588" s="807"/>
      <c r="C588" s="807"/>
      <c r="D588" s="806" t="s">
        <v>13877</v>
      </c>
      <c r="E588" s="807"/>
      <c r="F588" s="826"/>
      <c r="G588" s="827"/>
      <c r="H588" s="827"/>
      <c r="I588" s="808"/>
      <c r="J588" s="741"/>
      <c r="K588" s="741"/>
      <c r="L588" s="808"/>
    </row>
    <row r="589" spans="1:12" ht="28.5">
      <c r="A589" s="77" t="s">
        <v>13115</v>
      </c>
      <c r="B589" s="75" t="s">
        <v>14504</v>
      </c>
      <c r="C589" s="74" t="s">
        <v>7750</v>
      </c>
      <c r="D589" s="712" t="str">
        <f>IF(B589="SEPLAG",VLOOKUP(C589,COMPOSIÇÃO,2,FALSE),VLOOKUP(C589,'NAO DESO'!A:B,2,FALSE))</f>
        <v>GUARDA CORPO COM CORRIMÃO DUPLO  EM TUBO DE AÇO INOXIDAVEL 1 1/2", COM CHUMBADORES PARA FIXAÇÃO NO PISO</v>
      </c>
      <c r="E589" s="74" t="str">
        <f>IF(B589="SEPLAG",VLOOKUP(C589,UNIDADE,3,FALSE),VLOOKUP(C589,'NAO DESO'!A:C,3,FALSE))</f>
        <v>m</v>
      </c>
      <c r="F589" s="825">
        <f>VLOOKUP(A589,MEMÓRIA,6,FALSE)</f>
        <v>44.65</v>
      </c>
      <c r="G589" s="714">
        <f>IF(B589="SEPLAG",VLOOKUP(CONCATENATE("TOTAL DO ITEM NÃO DESON. - ",C589),BASE01,8,FALSE),VLOOKUP(C589,'NAO DESO'!A:D,4,FALSE))</f>
        <v>405.53000000000003</v>
      </c>
      <c r="H589" s="714">
        <f>TRUNC(G589+G589*$K$6,2)</f>
        <v>495.66</v>
      </c>
      <c r="I589" s="714">
        <f>TRUNC(F589*H589,2)</f>
        <v>22131.21</v>
      </c>
      <c r="J589" s="714">
        <f>IF(B589="SEPLAG",VLOOKUP(CONCATENATE("TOTAL DO ITEM DESON. - ",C589),BASE02,10,FALSE),VLOOKUP(C589,DESON!A:D,4,FALSE))</f>
        <v>397.77000000000004</v>
      </c>
      <c r="K589" s="714">
        <f>J589+J589*$L$6</f>
        <v>510.52854652211226</v>
      </c>
      <c r="L589" s="714">
        <f>TRUNC(F589*K589,2)</f>
        <v>22795.09</v>
      </c>
    </row>
    <row r="590" spans="1:12">
      <c r="A590" s="734" t="str">
        <f>CONCATENATE("TOTAL DO ITEM &gt;&gt;&gt;&gt;",A588)</f>
        <v>TOTAL DO ITEM &gt;&gt;&gt;&gt;15.3</v>
      </c>
      <c r="B590" s="118"/>
      <c r="C590" s="118"/>
      <c r="D590" s="118"/>
      <c r="E590" s="118"/>
      <c r="F590" s="118"/>
      <c r="G590" s="118"/>
      <c r="H590" s="118"/>
      <c r="I590" s="743">
        <f>SUM(I589:I589)</f>
        <v>22131.21</v>
      </c>
      <c r="J590" s="744"/>
      <c r="K590" s="744"/>
      <c r="L590" s="743">
        <f>SUM(L589:L589)</f>
        <v>22795.09</v>
      </c>
    </row>
    <row r="591" spans="1:12" s="109" customFormat="1">
      <c r="A591" s="1122" t="str">
        <f>CONCATENATE("TOTAL DO ITEM &gt;&gt;&gt;&gt;",A568)</f>
        <v>TOTAL DO ITEM &gt;&gt;&gt;&gt;15.0</v>
      </c>
      <c r="B591" s="1242"/>
      <c r="C591" s="1242"/>
      <c r="D591" s="1242"/>
      <c r="E591" s="1242"/>
      <c r="F591" s="1242"/>
      <c r="G591" s="1242"/>
      <c r="H591" s="1242"/>
      <c r="I591" s="648">
        <f>SUM(I590,I586,I574)</f>
        <v>70501.600000000006</v>
      </c>
      <c r="J591" s="843"/>
      <c r="K591" s="843"/>
      <c r="L591" s="648">
        <f>SUM(L590,L586,L574)</f>
        <v>72230.039999999994</v>
      </c>
    </row>
    <row r="592" spans="1:12" s="1247" customFormat="1" ht="14.25">
      <c r="A592" s="1246"/>
      <c r="B592" s="1120"/>
      <c r="C592" s="1120"/>
      <c r="D592" s="1120"/>
      <c r="E592" s="1120"/>
      <c r="F592" s="1120"/>
      <c r="G592" s="1120"/>
      <c r="H592" s="1120"/>
      <c r="I592" s="1120"/>
      <c r="J592" s="1120"/>
      <c r="K592" s="1120"/>
      <c r="L592" s="1121"/>
    </row>
    <row r="593" spans="1:12" s="109" customFormat="1">
      <c r="A593" s="1248" t="s">
        <v>7287</v>
      </c>
      <c r="B593" s="650"/>
      <c r="C593" s="1249"/>
      <c r="D593" s="647" t="s">
        <v>13116</v>
      </c>
      <c r="E593" s="1250"/>
      <c r="F593" s="1251"/>
      <c r="G593" s="1251"/>
      <c r="H593" s="843"/>
      <c r="I593" s="713"/>
      <c r="J593" s="843"/>
      <c r="K593" s="843"/>
      <c r="L593" s="843"/>
    </row>
    <row r="594" spans="1:12" s="716" customFormat="1">
      <c r="A594" s="719" t="s">
        <v>7230</v>
      </c>
      <c r="B594" s="740"/>
      <c r="C594" s="740"/>
      <c r="D594" s="140" t="s">
        <v>295</v>
      </c>
      <c r="E594" s="740"/>
      <c r="F594" s="724"/>
      <c r="G594" s="724"/>
      <c r="H594" s="724"/>
      <c r="I594" s="724"/>
      <c r="J594" s="144"/>
      <c r="K594" s="724"/>
      <c r="L594" s="144"/>
    </row>
    <row r="595" spans="1:12" s="716" customFormat="1" ht="28.5">
      <c r="A595" s="89" t="s">
        <v>7231</v>
      </c>
      <c r="B595" s="76" t="s">
        <v>79</v>
      </c>
      <c r="C595" s="76">
        <v>96523</v>
      </c>
      <c r="D595" s="712" t="str">
        <f>IF(B595="SEPLAG",VLOOKUP(C595,COMPOSIÇÃO,2,FALSE),VLOOKUP(C595,'NAO DESO'!A:B,2,FALSE))</f>
        <v>ESCAVAÇÃO MANUAL PARA BLOCO DE COROAMENTO OU SAPATA (INCLUINDO ESCAVAÇÃO PARA COLOCAÇÃO DE FÔRMAS). AF_06/2017</v>
      </c>
      <c r="E595" s="74" t="str">
        <f>IF(B595="SEPLAG",VLOOKUP(C595,UNIDADE,3,FALSE),VLOOKUP(C595,'NAO DESO'!A:C,3,FALSE))</f>
        <v>M3</v>
      </c>
      <c r="F595" s="825">
        <f>VLOOKUP(A595,MEMÓRIA,6,FALSE)</f>
        <v>10.8</v>
      </c>
      <c r="G595" s="714" t="str">
        <f>IF(B595="SEPLAG",VLOOKUP(CONCATENATE("TOTAL DO ITEM NÃO DESON. - ",C595),BASE01,8,FALSE),VLOOKUP(C595,'NAO DESO'!A:D,4,FALSE))</f>
        <v>76,46</v>
      </c>
      <c r="H595" s="714">
        <f>TRUNC(G595+G595*$K$6,2)</f>
        <v>93.45</v>
      </c>
      <c r="I595" s="714">
        <f>TRUNC(F595*H595,2)</f>
        <v>1009.26</v>
      </c>
      <c r="J595" s="714" t="str">
        <f>IF(B595="SEPLAG",VLOOKUP(CONCATENATE("TOTAL DO ITEM DESON. - ",C595),BASE02,10,FALSE),VLOOKUP(C595,DESON!A:D,4,FALSE))</f>
        <v>68,70</v>
      </c>
      <c r="K595" s="714">
        <f>J595+J595*$L$6</f>
        <v>88.17485266880135</v>
      </c>
      <c r="L595" s="714">
        <f>TRUNC(F595*K595,2)</f>
        <v>952.28</v>
      </c>
    </row>
    <row r="596" spans="1:12" s="716" customFormat="1" ht="28.5">
      <c r="A596" s="89" t="s">
        <v>7232</v>
      </c>
      <c r="B596" s="76" t="s">
        <v>79</v>
      </c>
      <c r="C596" s="76">
        <v>101616</v>
      </c>
      <c r="D596" s="712" t="str">
        <f>IF(B596="SEPLAG",VLOOKUP(C596,COMPOSIÇÃO,2,FALSE),VLOOKUP(C596,'NAO DESO'!A:B,2,FALSE))</f>
        <v>PREPARO DE FUNDO DE VALA COM LARGURA MENOR QUE 1,5 M (ACERTO DO SOLO NATURAL). AF_08/2020</v>
      </c>
      <c r="E596" s="74" t="str">
        <f>IF(B596="SEPLAG",VLOOKUP(C596,UNIDADE,3,FALSE),VLOOKUP(C596,'NAO DESO'!A:C,3,FALSE))</f>
        <v>M2</v>
      </c>
      <c r="F596" s="825">
        <f>VLOOKUP(A596,MEMÓRIA,6,FALSE)</f>
        <v>11.4</v>
      </c>
      <c r="G596" s="714" t="str">
        <f>IF(B596="SEPLAG",VLOOKUP(CONCATENATE("TOTAL DO ITEM NÃO DESON. - ",C596),BASE01,8,FALSE),VLOOKUP(C596,'NAO DESO'!A:D,4,FALSE))</f>
        <v>4,86</v>
      </c>
      <c r="H596" s="714">
        <f>TRUNC(G596+G596*$K$6,2)</f>
        <v>5.94</v>
      </c>
      <c r="I596" s="714">
        <f>TRUNC(F596*H596,2)</f>
        <v>67.709999999999994</v>
      </c>
      <c r="J596" s="714" t="str">
        <f>IF(B596="SEPLAG",VLOOKUP(CONCATENATE("TOTAL DO ITEM DESON. - ",C596),BASE02,10,FALSE),VLOOKUP(C596,DESON!A:D,4,FALSE))</f>
        <v>4,37</v>
      </c>
      <c r="K596" s="714">
        <f>J596+J596*$L$6</f>
        <v>5.6087933939252093</v>
      </c>
      <c r="L596" s="714">
        <f>TRUNC(F596*K596,2)</f>
        <v>63.94</v>
      </c>
    </row>
    <row r="597" spans="1:12" s="716" customFormat="1" ht="28.5">
      <c r="A597" s="89" t="s">
        <v>7288</v>
      </c>
      <c r="B597" s="76" t="s">
        <v>79</v>
      </c>
      <c r="C597" s="76">
        <v>96616</v>
      </c>
      <c r="D597" s="712" t="str">
        <f>IF(B597="SEPLAG",VLOOKUP(C597,COMPOSIÇÃO,2,FALSE),VLOOKUP(C597,'NAO DESO'!A:B,2,FALSE))</f>
        <v>LASTRO DE CONCRETO MAGRO, APLICADO EM BLOCOS DE COROAMENTO OU SAPATAS. AF_08/2017</v>
      </c>
      <c r="E597" s="74" t="str">
        <f>IF(B597="SEPLAG",VLOOKUP(C597,UNIDADE,3,FALSE),VLOOKUP(C597,'NAO DESO'!A:C,3,FALSE))</f>
        <v>M3</v>
      </c>
      <c r="F597" s="825">
        <f>VLOOKUP(A597,MEMÓRIA,6,FALSE)</f>
        <v>0.34199999999999997</v>
      </c>
      <c r="G597" s="714" t="str">
        <f>IF(B597="SEPLAG",VLOOKUP(CONCATENATE("TOTAL DO ITEM NÃO DESON. - ",C597),BASE01,8,FALSE),VLOOKUP(C597,'NAO DESO'!A:D,4,FALSE))</f>
        <v>535,54</v>
      </c>
      <c r="H597" s="714">
        <f>TRUNC(G597+G597*$K$6,2)</f>
        <v>654.55999999999995</v>
      </c>
      <c r="I597" s="714">
        <f>TRUNC(F597*H597,2)</f>
        <v>223.85</v>
      </c>
      <c r="J597" s="714" t="str">
        <f>IF(B597="SEPLAG",VLOOKUP(CONCATENATE("TOTAL DO ITEM DESON. - ",C597),BASE02,10,FALSE),VLOOKUP(C597,DESON!A:D,4,FALSE))</f>
        <v>512,44</v>
      </c>
      <c r="K597" s="714">
        <f>J597+J597*$L$6</f>
        <v>657.70482535080885</v>
      </c>
      <c r="L597" s="714">
        <f>TRUNC(F597*K597,2)</f>
        <v>224.93</v>
      </c>
    </row>
    <row r="598" spans="1:12" s="716" customFormat="1" ht="28.5">
      <c r="A598" s="89" t="s">
        <v>7289</v>
      </c>
      <c r="B598" s="76" t="s">
        <v>79</v>
      </c>
      <c r="C598" s="76">
        <v>93382</v>
      </c>
      <c r="D598" s="712" t="str">
        <f>IF(B598="SEPLAG",VLOOKUP(C598,COMPOSIÇÃO,2,FALSE),VLOOKUP(C598,'NAO DESO'!A:B,2,FALSE))</f>
        <v>REATERRO MANUAL DE VALAS COM COMPACTAÇÃO MECANIZADA. AF_04/2016</v>
      </c>
      <c r="E598" s="74" t="str">
        <f>IF(B598="SEPLAG",VLOOKUP(C598,UNIDADE,3,FALSE),VLOOKUP(C598,'NAO DESO'!A:C,3,FALSE))</f>
        <v>M3</v>
      </c>
      <c r="F598" s="825">
        <f>VLOOKUP(A598,MEMÓRIA,6,FALSE)</f>
        <v>6.26</v>
      </c>
      <c r="G598" s="714" t="str">
        <f>IF(B598="SEPLAG",VLOOKUP(CONCATENATE("TOTAL DO ITEM NÃO DESON. - ",C598),BASE01,8,FALSE),VLOOKUP(C598,'NAO DESO'!A:D,4,FALSE))</f>
        <v>23,85</v>
      </c>
      <c r="H598" s="714">
        <f>TRUNC(G598+G598*$K$6,2)</f>
        <v>29.15</v>
      </c>
      <c r="I598" s="714">
        <f>TRUNC(F598*H598,2)</f>
        <v>182.47</v>
      </c>
      <c r="J598" s="714" t="str">
        <f>IF(B598="SEPLAG",VLOOKUP(CONCATENATE("TOTAL DO ITEM DESON. - ",C598),BASE02,10,FALSE),VLOOKUP(C598,DESON!A:D,4,FALSE))</f>
        <v>21,84</v>
      </c>
      <c r="K598" s="714">
        <f>J598+J598*$L$6</f>
        <v>28.031132202134227</v>
      </c>
      <c r="L598" s="714">
        <f>TRUNC(F598*K598,2)</f>
        <v>175.47</v>
      </c>
    </row>
    <row r="599" spans="1:12" s="716" customFormat="1">
      <c r="A599" s="734" t="str">
        <f>CONCATENATE("TOTAL DO ITEM &gt;&gt;&gt;&gt;",A594)</f>
        <v>TOTAL DO ITEM &gt;&gt;&gt;&gt;16.1</v>
      </c>
      <c r="B599" s="735"/>
      <c r="C599" s="735"/>
      <c r="D599" s="735"/>
      <c r="E599" s="735"/>
      <c r="F599" s="735"/>
      <c r="G599" s="735"/>
      <c r="H599" s="735"/>
      <c r="I599" s="736">
        <f>SUM(I595:I598)</f>
        <v>1483.29</v>
      </c>
      <c r="J599" s="715"/>
      <c r="K599" s="715"/>
      <c r="L599" s="736">
        <f>SUM(L595:L598)</f>
        <v>1416.6200000000001</v>
      </c>
    </row>
    <row r="600" spans="1:12" s="108" customFormat="1">
      <c r="A600" s="126"/>
      <c r="B600" s="127"/>
      <c r="C600" s="127"/>
      <c r="D600" s="127"/>
      <c r="E600" s="127"/>
      <c r="F600" s="127"/>
      <c r="G600" s="127"/>
      <c r="H600" s="127"/>
      <c r="I600" s="127"/>
      <c r="J600" s="127"/>
      <c r="K600" s="127"/>
      <c r="L600" s="128"/>
    </row>
    <row r="601" spans="1:12" s="716" customFormat="1">
      <c r="A601" s="719" t="s">
        <v>14137</v>
      </c>
      <c r="B601" s="740"/>
      <c r="C601" s="740"/>
      <c r="D601" s="140" t="s">
        <v>294</v>
      </c>
      <c r="E601" s="740"/>
      <c r="F601" s="724"/>
      <c r="G601" s="724"/>
      <c r="H601" s="724"/>
      <c r="I601" s="724"/>
      <c r="J601" s="144"/>
      <c r="K601" s="724"/>
      <c r="L601" s="144"/>
    </row>
    <row r="602" spans="1:12" s="716" customFormat="1" ht="28.5">
      <c r="A602" s="89" t="s">
        <v>14138</v>
      </c>
      <c r="B602" s="76" t="s">
        <v>79</v>
      </c>
      <c r="C602" s="76">
        <v>96543</v>
      </c>
      <c r="D602" s="712" t="str">
        <f>IF(B602="SEPLAG",VLOOKUP(C602,COMPOSIÇÃO,2,FALSE),VLOOKUP(C602,'NAO DESO'!A:B,2,FALSE))</f>
        <v>ARMAÇÃO DE BLOCO, VIGA BALDRAME E SAPATA UTILIZANDO AÇO CA-60 DE 5 MM - MONTAGEM. AF_06/2017</v>
      </c>
      <c r="E602" s="74" t="str">
        <f>IF(B602="SEPLAG",VLOOKUP(C602,UNIDADE,3,FALSE),VLOOKUP(C602,'NAO DESO'!A:C,3,FALSE))</f>
        <v>KG</v>
      </c>
      <c r="F602" s="825">
        <f t="shared" ref="F602:F608" si="143">VLOOKUP(A602,MEMÓRIA,6,FALSE)</f>
        <v>14.8</v>
      </c>
      <c r="G602" s="714" t="str">
        <f>IF(B602="SEPLAG",VLOOKUP(CONCATENATE("TOTAL DO ITEM NÃO DESON. - ",C602),BASE01,8,FALSE),VLOOKUP(C602,'NAO DESO'!A:D,4,FALSE))</f>
        <v>18,45</v>
      </c>
      <c r="H602" s="714">
        <f t="shared" ref="H602:H608" si="144">TRUNC(G602+G602*$K$6,2)</f>
        <v>22.55</v>
      </c>
      <c r="I602" s="714">
        <f t="shared" ref="I602:I608" si="145">TRUNC(F602*H602,2)</f>
        <v>333.74</v>
      </c>
      <c r="J602" s="714" t="str">
        <f>IF(B602="SEPLAG",VLOOKUP(CONCATENATE("TOTAL DO ITEM DESON. - ",C602),BASE02,10,FALSE),VLOOKUP(C602,DESON!A:D,4,FALSE))</f>
        <v>17,73</v>
      </c>
      <c r="K602" s="714">
        <f t="shared" ref="K602:K608" si="146">J602+J602*$L$6</f>
        <v>22.75604276299633</v>
      </c>
      <c r="L602" s="714">
        <f t="shared" ref="L602:L608" si="147">TRUNC(F602*K602,2)</f>
        <v>336.78</v>
      </c>
    </row>
    <row r="603" spans="1:12" s="716" customFormat="1" ht="28.5">
      <c r="A603" s="89" t="s">
        <v>14139</v>
      </c>
      <c r="B603" s="76" t="s">
        <v>79</v>
      </c>
      <c r="C603" s="76">
        <v>96545</v>
      </c>
      <c r="D603" s="712" t="str">
        <f>IF(B603="SEPLAG",VLOOKUP(C603,COMPOSIÇÃO,2,FALSE),VLOOKUP(C603,'NAO DESO'!A:B,2,FALSE))</f>
        <v>ARMAÇÃO DE BLOCO, VIGA BALDRAME OU SAPATA UTILIZANDO AÇO CA-50 DE 8 MM - MONTAGEM. AF_06/2017</v>
      </c>
      <c r="E603" s="74" t="str">
        <f>IF(B603="SEPLAG",VLOOKUP(C603,UNIDADE,3,FALSE),VLOOKUP(C603,'NAO DESO'!A:C,3,FALSE))</f>
        <v>KG</v>
      </c>
      <c r="F603" s="825">
        <f t="shared" si="143"/>
        <v>321.10000000000002</v>
      </c>
      <c r="G603" s="714" t="str">
        <f>IF(B603="SEPLAG",VLOOKUP(CONCATENATE("TOTAL DO ITEM NÃO DESON. - ",C603),BASE01,8,FALSE),VLOOKUP(C603,'NAO DESO'!A:D,4,FALSE))</f>
        <v>16,54</v>
      </c>
      <c r="H603" s="714">
        <f t="shared" si="144"/>
        <v>20.21</v>
      </c>
      <c r="I603" s="714">
        <f t="shared" si="145"/>
        <v>6489.43</v>
      </c>
      <c r="J603" s="714" t="str">
        <f>IF(B603="SEPLAG",VLOOKUP(CONCATENATE("TOTAL DO ITEM DESON. - ",C603),BASE02,10,FALSE),VLOOKUP(C603,DESON!A:D,4,FALSE))</f>
        <v>16,16</v>
      </c>
      <c r="K603" s="714">
        <f t="shared" si="146"/>
        <v>20.740984266780636</v>
      </c>
      <c r="L603" s="714">
        <f t="shared" si="147"/>
        <v>6659.93</v>
      </c>
    </row>
    <row r="604" spans="1:12" s="716" customFormat="1" ht="28.5">
      <c r="A604" s="89" t="s">
        <v>14140</v>
      </c>
      <c r="B604" s="76" t="s">
        <v>79</v>
      </c>
      <c r="C604" s="76">
        <v>96546</v>
      </c>
      <c r="D604" s="712" t="str">
        <f>IF(B604="SEPLAG",VLOOKUP(C604,COMPOSIÇÃO,2,FALSE),VLOOKUP(C604,'NAO DESO'!A:B,2,FALSE))</f>
        <v>ARMAÇÃO DE BLOCO, VIGA BALDRAME OU SAPATA UTILIZANDO AÇO CA-50 DE 10 MM - MONTAGEM. AF_06/2017</v>
      </c>
      <c r="E604" s="74" t="str">
        <f>IF(B604="SEPLAG",VLOOKUP(C604,UNIDADE,3,FALSE),VLOOKUP(C604,'NAO DESO'!A:C,3,FALSE))</f>
        <v>KG</v>
      </c>
      <c r="F604" s="825">
        <f t="shared" si="143"/>
        <v>20.8</v>
      </c>
      <c r="G604" s="714" t="str">
        <f>IF(B604="SEPLAG",VLOOKUP(CONCATENATE("TOTAL DO ITEM NÃO DESON. - ",C604),BASE01,8,FALSE),VLOOKUP(C604,'NAO DESO'!A:D,4,FALSE))</f>
        <v>14,85</v>
      </c>
      <c r="H604" s="714">
        <f t="shared" si="144"/>
        <v>18.149999999999999</v>
      </c>
      <c r="I604" s="714">
        <f t="shared" si="145"/>
        <v>377.52</v>
      </c>
      <c r="J604" s="714" t="str">
        <f>IF(B604="SEPLAG",VLOOKUP(CONCATENATE("TOTAL DO ITEM DESON. - ",C604),BASE02,10,FALSE),VLOOKUP(C604,DESON!A:D,4,FALSE))</f>
        <v>14,57</v>
      </c>
      <c r="K604" s="714">
        <f t="shared" si="146"/>
        <v>18.700256235581303</v>
      </c>
      <c r="L604" s="714">
        <f t="shared" si="147"/>
        <v>388.96</v>
      </c>
    </row>
    <row r="605" spans="1:12" s="716" customFormat="1" ht="28.5">
      <c r="A605" s="89" t="s">
        <v>14141</v>
      </c>
      <c r="B605" s="76" t="s">
        <v>79</v>
      </c>
      <c r="C605" s="76">
        <v>96536</v>
      </c>
      <c r="D605" s="712" t="str">
        <f>IF(B605="SEPLAG",VLOOKUP(C605,COMPOSIÇÃO,2,FALSE),VLOOKUP(C605,'NAO DESO'!A:B,2,FALSE))</f>
        <v>FABRICAÇÃO, MONTAGEM E DESMONTAGEM DE FÔRMA PARA VIGA BALDRAME, EM MADEIRA SERRADA, E=25 MM, 4 UTILIZAÇÕES. AF_06/2017</v>
      </c>
      <c r="E605" s="74" t="str">
        <f>IF(B605="SEPLAG",VLOOKUP(C605,UNIDADE,3,FALSE),VLOOKUP(C605,'NAO DESO'!A:C,3,FALSE))</f>
        <v>M2</v>
      </c>
      <c r="F605" s="825">
        <f t="shared" si="143"/>
        <v>6.3</v>
      </c>
      <c r="G605" s="714" t="str">
        <f>IF(B605="SEPLAG",VLOOKUP(CONCATENATE("TOTAL DO ITEM NÃO DESON. - ",C605),BASE01,8,FALSE),VLOOKUP(C605,'NAO DESO'!A:D,4,FALSE))</f>
        <v>63,26</v>
      </c>
      <c r="H605" s="714">
        <f t="shared" si="144"/>
        <v>77.319999999999993</v>
      </c>
      <c r="I605" s="714">
        <f t="shared" si="145"/>
        <v>487.11</v>
      </c>
      <c r="J605" s="714" t="str">
        <f>IF(B605="SEPLAG",VLOOKUP(CONCATENATE("TOTAL DO ITEM DESON. - ",C605),BASE02,10,FALSE),VLOOKUP(C605,DESON!A:D,4,FALSE))</f>
        <v>59,82</v>
      </c>
      <c r="K605" s="714">
        <f t="shared" si="146"/>
        <v>76.777579136065455</v>
      </c>
      <c r="L605" s="714">
        <f t="shared" si="147"/>
        <v>483.69</v>
      </c>
    </row>
    <row r="606" spans="1:12" s="716" customFormat="1" ht="42.75">
      <c r="A606" s="89" t="s">
        <v>14142</v>
      </c>
      <c r="B606" s="76" t="s">
        <v>79</v>
      </c>
      <c r="C606" s="76">
        <v>102481</v>
      </c>
      <c r="D606" s="712" t="str">
        <f>IF(B606="SEPLAG",VLOOKUP(C606,COMPOSIÇÃO,2,FALSE),VLOOKUP(C606,'NAO DESO'!A:B,2,FALSE))</f>
        <v>CONCRETO FCK = 20MPA, TRAÇO 1:2,6:2,9 (EM MASSA SECA DE CIMENTO/ AREIA MÉDIA/ SEIXO ROLADO) - PREPARO MECÂNICO COM BETONEIRA 600 L. AF_05/2021</v>
      </c>
      <c r="E606" s="74" t="str">
        <f>IF(B606="SEPLAG",VLOOKUP(C606,UNIDADE,3,FALSE),VLOOKUP(C606,'NAO DESO'!A:C,3,FALSE))</f>
        <v>M3</v>
      </c>
      <c r="F606" s="825">
        <f t="shared" si="143"/>
        <v>4.54</v>
      </c>
      <c r="G606" s="714" t="str">
        <f>IF(B606="SEPLAG",VLOOKUP(CONCATENATE("TOTAL DO ITEM NÃO DESON. - ",C606),BASE01,8,FALSE),VLOOKUP(C606,'NAO DESO'!A:D,4,FALSE))</f>
        <v>530,76</v>
      </c>
      <c r="H606" s="714">
        <f t="shared" si="144"/>
        <v>648.72</v>
      </c>
      <c r="I606" s="714">
        <f t="shared" si="145"/>
        <v>2945.18</v>
      </c>
      <c r="J606" s="714" t="str">
        <f>IF(B606="SEPLAG",VLOOKUP(CONCATENATE("TOTAL DO ITEM DESON. - ",C606),BASE02,10,FALSE),VLOOKUP(C606,DESON!A:D,4,FALSE))</f>
        <v>525,19</v>
      </c>
      <c r="K606" s="714">
        <f t="shared" si="146"/>
        <v>674.06915390287895</v>
      </c>
      <c r="L606" s="714">
        <f t="shared" si="147"/>
        <v>3060.27</v>
      </c>
    </row>
    <row r="607" spans="1:12" s="716" customFormat="1" ht="28.5">
      <c r="A607" s="89" t="s">
        <v>14143</v>
      </c>
      <c r="B607" s="76" t="s">
        <v>79</v>
      </c>
      <c r="C607" s="76">
        <v>103670</v>
      </c>
      <c r="D607" s="712" t="str">
        <f>IF(B607="SEPLAG",VLOOKUP(C607,COMPOSIÇÃO,2,FALSE),VLOOKUP(C607,'NAO DESO'!A:B,2,FALSE))</f>
        <v>LANÇAMENTO COM USO DE BALDES, ADENSAMENTO E ACABAMENTO DE CONCRETO EM ESTRUTURAS. AF_02/2022</v>
      </c>
      <c r="E607" s="74" t="str">
        <f>IF(B607="SEPLAG",VLOOKUP(C607,UNIDADE,3,FALSE),VLOOKUP(C607,'NAO DESO'!A:C,3,FALSE))</f>
        <v>M3</v>
      </c>
      <c r="F607" s="825">
        <f t="shared" si="143"/>
        <v>4.54</v>
      </c>
      <c r="G607" s="714" t="str">
        <f>IF(B607="SEPLAG",VLOOKUP(CONCATENATE("TOTAL DO ITEM NÃO DESON. - ",C607),BASE01,8,FALSE),VLOOKUP(C607,'NAO DESO'!A:D,4,FALSE))</f>
        <v>229,19</v>
      </c>
      <c r="H607" s="714">
        <f t="shared" si="144"/>
        <v>280.13</v>
      </c>
      <c r="I607" s="714">
        <f t="shared" si="145"/>
        <v>1271.79</v>
      </c>
      <c r="J607" s="714" t="str">
        <f>IF(B607="SEPLAG",VLOOKUP(CONCATENATE("TOTAL DO ITEM DESON. - ",C607),BASE02,10,FALSE),VLOOKUP(C607,DESON!A:D,4,FALSE))</f>
        <v>205,90</v>
      </c>
      <c r="K607" s="714">
        <f t="shared" si="146"/>
        <v>264.26786265656767</v>
      </c>
      <c r="L607" s="714">
        <f t="shared" si="147"/>
        <v>1199.77</v>
      </c>
    </row>
    <row r="608" spans="1:12" s="716" customFormat="1" ht="28.5">
      <c r="A608" s="89" t="s">
        <v>14144</v>
      </c>
      <c r="B608" s="76" t="s">
        <v>79</v>
      </c>
      <c r="C608" s="76">
        <v>98557</v>
      </c>
      <c r="D608" s="712" t="str">
        <f>IF(B608="SEPLAG",VLOOKUP(C608,COMPOSIÇÃO,2,FALSE),VLOOKUP(C608,'NAO DESO'!A:B,2,FALSE))</f>
        <v>IMPERMEABILIZAÇÃO DE SUPERFÍCIE COM EMULSÃO ASFÁLTICA, 2 DEMÃOS AF_06/2018</v>
      </c>
      <c r="E608" s="74" t="str">
        <f>IF(B608="SEPLAG",VLOOKUP(C608,UNIDADE,3,FALSE),VLOOKUP(C608,'NAO DESO'!A:C,3,FALSE))</f>
        <v>M2</v>
      </c>
      <c r="F608" s="825">
        <f t="shared" si="143"/>
        <v>6.3</v>
      </c>
      <c r="G608" s="714" t="str">
        <f>IF(B608="SEPLAG",VLOOKUP(CONCATENATE("TOTAL DO ITEM NÃO DESON. - ",C608),BASE01,8,FALSE),VLOOKUP(C608,'NAO DESO'!A:D,4,FALSE))</f>
        <v>58,82</v>
      </c>
      <c r="H608" s="714">
        <f t="shared" si="144"/>
        <v>71.89</v>
      </c>
      <c r="I608" s="714">
        <f t="shared" si="145"/>
        <v>452.9</v>
      </c>
      <c r="J608" s="714" t="str">
        <f>IF(B608="SEPLAG",VLOOKUP(CONCATENATE("TOTAL DO ITEM DESON. - ",C608),BASE02,10,FALSE),VLOOKUP(C608,DESON!A:D,4,FALSE))</f>
        <v>57,84</v>
      </c>
      <c r="K608" s="714">
        <f t="shared" si="146"/>
        <v>74.236295172685146</v>
      </c>
      <c r="L608" s="714">
        <f t="shared" si="147"/>
        <v>467.68</v>
      </c>
    </row>
    <row r="609" spans="1:12" s="716" customFormat="1">
      <c r="A609" s="734" t="str">
        <f>CONCATENATE("TOTAL DO ITEM &gt;&gt;&gt;&gt;",A601)</f>
        <v>TOTAL DO ITEM &gt;&gt;&gt;&gt;16.2</v>
      </c>
      <c r="B609" s="735"/>
      <c r="C609" s="735"/>
      <c r="D609" s="735"/>
      <c r="E609" s="735"/>
      <c r="F609" s="735"/>
      <c r="G609" s="735"/>
      <c r="H609" s="735"/>
      <c r="I609" s="759">
        <f>SUM(I602:I608)</f>
        <v>12357.67</v>
      </c>
      <c r="J609" s="715"/>
      <c r="K609" s="715"/>
      <c r="L609" s="759">
        <f>SUM(L602:L608)</f>
        <v>12597.08</v>
      </c>
    </row>
    <row r="610" spans="1:12" s="108" customFormat="1">
      <c r="A610" s="126"/>
      <c r="B610" s="127"/>
      <c r="C610" s="127"/>
      <c r="D610" s="127"/>
      <c r="E610" s="127"/>
      <c r="F610" s="127"/>
      <c r="G610" s="127"/>
      <c r="H610" s="127"/>
      <c r="I610" s="127"/>
      <c r="J610" s="127"/>
      <c r="K610" s="127"/>
      <c r="L610" s="128"/>
    </row>
    <row r="611" spans="1:12" s="716" customFormat="1">
      <c r="A611" s="719" t="s">
        <v>14145</v>
      </c>
      <c r="B611" s="740"/>
      <c r="C611" s="740"/>
      <c r="D611" s="140" t="s">
        <v>27200</v>
      </c>
      <c r="E611" s="740"/>
      <c r="F611" s="724"/>
      <c r="G611" s="724"/>
      <c r="H611" s="724"/>
      <c r="I611" s="724"/>
      <c r="J611" s="144"/>
      <c r="K611" s="724"/>
      <c r="L611" s="144"/>
    </row>
    <row r="612" spans="1:12" s="716" customFormat="1" ht="42.75">
      <c r="A612" s="89" t="s">
        <v>14146</v>
      </c>
      <c r="B612" s="76" t="s">
        <v>79</v>
      </c>
      <c r="C612" s="76">
        <v>92759</v>
      </c>
      <c r="D612" s="712" t="str">
        <f>IF(B612="SEPLAG",VLOOKUP(C612,COMPOSIÇÃO,2,FALSE),VLOOKUP(C612,'NAO DESO'!A:B,2,FALSE))</f>
        <v>ARMAÇÃO DE PILAR OU VIGA DE UMA ESTRUTURA CONVENCIONAL DE CONCRETO ARMADO EM UM EDIFÍCIO DE MÚLTIPLOS PAVIMENTOS UTILIZANDO AÇO CA-60 DE 5,0 MM - MONTAGEM. AF_12/2015</v>
      </c>
      <c r="E612" s="74" t="str">
        <f>IF(B612="SEPLAG",VLOOKUP(C612,UNIDADE,3,FALSE),VLOOKUP(C612,'NAO DESO'!A:C,3,FALSE))</f>
        <v>KG</v>
      </c>
      <c r="F612" s="825">
        <f t="shared" ref="F612:F620" si="148">VLOOKUP(A612,MEMÓRIA,6,FALSE)</f>
        <v>305.89999999999998</v>
      </c>
      <c r="G612" s="714" t="str">
        <f>IF(B612="SEPLAG",VLOOKUP(CONCATENATE("TOTAL DO ITEM NÃO DESON. - ",C612),BASE01,8,FALSE),VLOOKUP(C612,'NAO DESO'!A:D,4,FALSE))</f>
        <v>16,09</v>
      </c>
      <c r="H612" s="714">
        <f t="shared" ref="H612:H620" si="149">TRUNC(G612+G612*$K$6,2)</f>
        <v>19.66</v>
      </c>
      <c r="I612" s="714">
        <f t="shared" ref="I612:I620" si="150">TRUNC(F612*H612,2)</f>
        <v>6013.99</v>
      </c>
      <c r="J612" s="714" t="str">
        <f>IF(B612="SEPLAG",VLOOKUP(CONCATENATE("TOTAL DO ITEM DESON. - ",C612),BASE02,10,FALSE),VLOOKUP(C612,DESON!A:D,4,FALSE))</f>
        <v>15,58</v>
      </c>
      <c r="K612" s="714">
        <f t="shared" ref="K612:K620" si="151">J612+J612*$L$6</f>
        <v>19.996567752255093</v>
      </c>
      <c r="L612" s="714">
        <f t="shared" ref="L612:L620" si="152">TRUNC(F612*K612,2)</f>
        <v>6116.95</v>
      </c>
    </row>
    <row r="613" spans="1:12" s="716" customFormat="1" ht="42.75">
      <c r="A613" s="89" t="s">
        <v>14147</v>
      </c>
      <c r="B613" s="76" t="s">
        <v>79</v>
      </c>
      <c r="C613" s="76">
        <v>92760</v>
      </c>
      <c r="D613" s="712" t="str">
        <f>IF(B613="SEPLAG",VLOOKUP(C613,COMPOSIÇÃO,2,FALSE),VLOOKUP(C613,'NAO DESO'!A:B,2,FALSE))</f>
        <v>ARMAÇÃO DE PILAR OU VIGA DE UMA ESTRUTURA CONVENCIONAL DE CONCRETO ARMADO EM UM EDIFÍCIO DE MÚLTIPLOS PAVIMENTOS UTILIZANDO AÇO CA-50 DE 6,3 MM - MONTAGEM. AF_12/2015</v>
      </c>
      <c r="E613" s="74" t="str">
        <f>IF(B613="SEPLAG",VLOOKUP(C613,UNIDADE,3,FALSE),VLOOKUP(C613,'NAO DESO'!A:C,3,FALSE))</f>
        <v>KG</v>
      </c>
      <c r="F613" s="825">
        <f t="shared" si="148"/>
        <v>2.4</v>
      </c>
      <c r="G613" s="714" t="str">
        <f>IF(B613="SEPLAG",VLOOKUP(CONCATENATE("TOTAL DO ITEM NÃO DESON. - ",C613),BASE01,8,FALSE),VLOOKUP(C613,'NAO DESO'!A:D,4,FALSE))</f>
        <v>15,74</v>
      </c>
      <c r="H613" s="714">
        <f t="shared" si="149"/>
        <v>19.23</v>
      </c>
      <c r="I613" s="714">
        <f t="shared" si="150"/>
        <v>46.15</v>
      </c>
      <c r="J613" s="714" t="str">
        <f>IF(B613="SEPLAG",VLOOKUP(CONCATENATE("TOTAL DO ITEM DESON. - ",C613),BASE02,10,FALSE),VLOOKUP(C613,DESON!A:D,4,FALSE))</f>
        <v>15,39</v>
      </c>
      <c r="K613" s="714">
        <f t="shared" si="151"/>
        <v>19.752707169910522</v>
      </c>
      <c r="L613" s="714">
        <f t="shared" si="152"/>
        <v>47.4</v>
      </c>
    </row>
    <row r="614" spans="1:12" s="716" customFormat="1" ht="42.75">
      <c r="A614" s="89" t="s">
        <v>14148</v>
      </c>
      <c r="B614" s="76" t="s">
        <v>79</v>
      </c>
      <c r="C614" s="76">
        <v>92761</v>
      </c>
      <c r="D614" s="712" t="str">
        <f>IF(B614="SEPLAG",VLOOKUP(C614,COMPOSIÇÃO,2,FALSE),VLOOKUP(C614,'NAO DESO'!A:B,2,FALSE))</f>
        <v>ARMAÇÃO DE PILAR OU VIGA DE UMA ESTRUTURA CONVENCIONAL DE CONCRETO ARMADO EM UM EDIFÍCIO DE MÚLTIPLOS PAVIMENTOS UTILIZANDO AÇO CA-50 DE 8,0 MM - MONTAGEM. AF_12/2015</v>
      </c>
      <c r="E614" s="74" t="str">
        <f>IF(B614="SEPLAG",VLOOKUP(C614,UNIDADE,3,FALSE),VLOOKUP(C614,'NAO DESO'!A:C,3,FALSE))</f>
        <v>KG</v>
      </c>
      <c r="F614" s="825">
        <f t="shared" si="148"/>
        <v>188.9</v>
      </c>
      <c r="G614" s="714" t="str">
        <f>IF(B614="SEPLAG",VLOOKUP(CONCATENATE("TOTAL DO ITEM NÃO DESON. - ",C614),BASE01,8,FALSE),VLOOKUP(C614,'NAO DESO'!A:D,4,FALSE))</f>
        <v>15,17</v>
      </c>
      <c r="H614" s="714">
        <f t="shared" si="149"/>
        <v>18.54</v>
      </c>
      <c r="I614" s="714">
        <f t="shared" si="150"/>
        <v>3502.2</v>
      </c>
      <c r="J614" s="714" t="str">
        <f>IF(B614="SEPLAG",VLOOKUP(CONCATENATE("TOTAL DO ITEM DESON. - ",C614),BASE02,10,FALSE),VLOOKUP(C614,DESON!A:D,4,FALSE))</f>
        <v>14,94</v>
      </c>
      <c r="K614" s="714">
        <f t="shared" si="151"/>
        <v>19.175142632778631</v>
      </c>
      <c r="L614" s="714">
        <f t="shared" si="152"/>
        <v>3622.18</v>
      </c>
    </row>
    <row r="615" spans="1:12" s="716" customFormat="1" ht="42.75">
      <c r="A615" s="89" t="s">
        <v>14149</v>
      </c>
      <c r="B615" s="76" t="s">
        <v>79</v>
      </c>
      <c r="C615" s="76">
        <v>92762</v>
      </c>
      <c r="D615" s="712" t="str">
        <f>IF(B615="SEPLAG",VLOOKUP(C615,COMPOSIÇÃO,2,FALSE),VLOOKUP(C615,'NAO DESO'!A:B,2,FALSE))</f>
        <v>ARMAÇÃO DE PILAR OU VIGA DE UMA ESTRUTURA CONVENCIONAL DE CONCRETO ARMADO EM UM EDIFÍCIO DE MÚLTIPLOS PAVIMENTOS UTILIZANDO AÇO CA-50 DE 10,0 MM - MONTAGEM. AF_12/2015</v>
      </c>
      <c r="E615" s="74" t="str">
        <f>IF(B615="SEPLAG",VLOOKUP(C615,UNIDADE,3,FALSE),VLOOKUP(C615,'NAO DESO'!A:C,3,FALSE))</f>
        <v>KG</v>
      </c>
      <c r="F615" s="825">
        <f t="shared" si="148"/>
        <v>438.7</v>
      </c>
      <c r="G615" s="714" t="str">
        <f>IF(B615="SEPLAG",VLOOKUP(CONCATENATE("TOTAL DO ITEM NÃO DESON. - ",C615),BASE01,8,FALSE),VLOOKUP(C615,'NAO DESO'!A:D,4,FALSE))</f>
        <v>13,76</v>
      </c>
      <c r="H615" s="714">
        <f t="shared" si="149"/>
        <v>16.809999999999999</v>
      </c>
      <c r="I615" s="714">
        <f t="shared" si="150"/>
        <v>7374.54</v>
      </c>
      <c r="J615" s="714" t="str">
        <f>IF(B615="SEPLAG",VLOOKUP(CONCATENATE("TOTAL DO ITEM DESON. - ",C615),BASE02,10,FALSE),VLOOKUP(C615,DESON!A:D,4,FALSE))</f>
        <v>13,60</v>
      </c>
      <c r="K615" s="714">
        <f t="shared" si="151"/>
        <v>17.455283788874794</v>
      </c>
      <c r="L615" s="714">
        <f t="shared" si="152"/>
        <v>7657.63</v>
      </c>
    </row>
    <row r="616" spans="1:12" s="716" customFormat="1" ht="28.5">
      <c r="A616" s="89" t="s">
        <v>14150</v>
      </c>
      <c r="B616" s="76" t="s">
        <v>79</v>
      </c>
      <c r="C616" s="76">
        <v>92265</v>
      </c>
      <c r="D616" s="712" t="str">
        <f>IF(B616="SEPLAG",VLOOKUP(C616,COMPOSIÇÃO,2,FALSE),VLOOKUP(C616,'NAO DESO'!A:B,2,FALSE))</f>
        <v>FABRICAÇÃO DE FÔRMA PARA VIGAS, EM CHAPA DE MADEIRA COMPENSADA RESINADA, E = 17 MM. AF_09/2020</v>
      </c>
      <c r="E616" s="74" t="str">
        <f>IF(B616="SEPLAG",VLOOKUP(C616,UNIDADE,3,FALSE),VLOOKUP(C616,'NAO DESO'!A:C,3,FALSE))</f>
        <v>M2</v>
      </c>
      <c r="F616" s="825">
        <f t="shared" si="148"/>
        <v>147</v>
      </c>
      <c r="G616" s="714" t="str">
        <f>IF(B616="SEPLAG",VLOOKUP(CONCATENATE("TOTAL DO ITEM NÃO DESON. - ",C616),BASE01,8,FALSE),VLOOKUP(C616,'NAO DESO'!A:D,4,FALSE))</f>
        <v>129,49</v>
      </c>
      <c r="H616" s="714">
        <f t="shared" si="149"/>
        <v>158.27000000000001</v>
      </c>
      <c r="I616" s="714">
        <f t="shared" si="150"/>
        <v>23265.69</v>
      </c>
      <c r="J616" s="714" t="str">
        <f>IF(B616="SEPLAG",VLOOKUP(CONCATENATE("TOTAL DO ITEM DESON. - ",C616),BASE02,10,FALSE),VLOOKUP(C616,DESON!A:D,4,FALSE))</f>
        <v>126,54</v>
      </c>
      <c r="K616" s="714">
        <f t="shared" si="151"/>
        <v>162.4111478414865</v>
      </c>
      <c r="L616" s="714">
        <f t="shared" si="152"/>
        <v>23874.43</v>
      </c>
    </row>
    <row r="617" spans="1:12" s="716" customFormat="1" ht="57">
      <c r="A617" s="89" t="s">
        <v>14151</v>
      </c>
      <c r="B617" s="76" t="s">
        <v>79</v>
      </c>
      <c r="C617" s="76">
        <v>99431</v>
      </c>
      <c r="D617" s="712" t="str">
        <f>IF(B617="SEPLAG",VLOOKUP(C617,COMPOSIÇÃO,2,FALSE),VLOOKUP(C617,'NAO DESO'!A:B,2,FALSE))</f>
        <v>CONCRETAGEM DE LAJES EM EDIFICAÇÕES UNIFAMILIARES FEITAS COM SISTEMA DE FÔRMAS MANUSEÁVEIS, COM CONCRETO USINADO BOMBEÁVEL FCK 25 MPA - LANÇAMENTO, ADENSAMENTO E ACABAMENTO (EXCLUSIVE BOMBA LANÇA). AF_10/2021</v>
      </c>
      <c r="E617" s="74" t="str">
        <f>IF(B617="SEPLAG",VLOOKUP(C617,UNIDADE,3,FALSE),VLOOKUP(C617,'NAO DESO'!A:C,3,FALSE))</f>
        <v>M3</v>
      </c>
      <c r="F617" s="825">
        <f t="shared" si="148"/>
        <v>15.4</v>
      </c>
      <c r="G617" s="714" t="str">
        <f>IF(B617="SEPLAG",VLOOKUP(CONCATENATE("TOTAL DO ITEM NÃO DESON. - ",C617),BASE01,8,FALSE),VLOOKUP(C617,'NAO DESO'!A:D,4,FALSE))</f>
        <v>704,17</v>
      </c>
      <c r="H617" s="714">
        <f t="shared" si="149"/>
        <v>860.67</v>
      </c>
      <c r="I617" s="714">
        <f t="shared" si="150"/>
        <v>13254.31</v>
      </c>
      <c r="J617" s="714" t="str">
        <f>IF(B617="SEPLAG",VLOOKUP(CONCATENATE("TOTAL DO ITEM DESON. - ",C617),BASE02,10,FALSE),VLOOKUP(C617,DESON!A:D,4,FALSE))</f>
        <v>701,90</v>
      </c>
      <c r="K617" s="714">
        <f t="shared" si="151"/>
        <v>900.8723302508248</v>
      </c>
      <c r="L617" s="714">
        <f t="shared" si="152"/>
        <v>13873.43</v>
      </c>
    </row>
    <row r="618" spans="1:12" s="716" customFormat="1" ht="42.75">
      <c r="A618" s="89" t="s">
        <v>14152</v>
      </c>
      <c r="B618" s="76" t="s">
        <v>79</v>
      </c>
      <c r="C618" s="76">
        <v>101963</v>
      </c>
      <c r="D618" s="712" t="str">
        <f>IF(B618="SEPLAG",VLOOKUP(C618,COMPOSIÇÃO,2,FALSE),VLOOKUP(C618,'NAO DESO'!A:B,2,FALSE))</f>
        <v>LAJE PRÉ-MOLDADA UNIDIRECIONAL, BIAPOIADA, PARA PISO, ENCHIMENTO EM CERÂMICA, VIGOTA CONVENCIONAL, ALTURA TOTAL DA LAJE (ENCHIMENTO+CAPA) = (8+4). AF_11/2020</v>
      </c>
      <c r="E618" s="74" t="str">
        <f>IF(B618="SEPLAG",VLOOKUP(C618,UNIDADE,3,FALSE),VLOOKUP(C618,'NAO DESO'!A:C,3,FALSE))</f>
        <v>M2</v>
      </c>
      <c r="F618" s="825">
        <f t="shared" si="148"/>
        <v>25.16</v>
      </c>
      <c r="G618" s="714" t="str">
        <f>IF(B618="SEPLAG",VLOOKUP(CONCATENATE("TOTAL DO ITEM NÃO DESON. - ",C618),BASE01,8,FALSE),VLOOKUP(C618,'NAO DESO'!A:D,4,FALSE))</f>
        <v>191,09</v>
      </c>
      <c r="H618" s="714">
        <f t="shared" si="149"/>
        <v>233.56</v>
      </c>
      <c r="I618" s="714">
        <f t="shared" si="150"/>
        <v>5876.36</v>
      </c>
      <c r="J618" s="714" t="str">
        <f>IF(B618="SEPLAG",VLOOKUP(CONCATENATE("TOTAL DO ITEM DESON. - ",C618),BASE02,10,FALSE),VLOOKUP(C618,DESON!A:D,4,FALSE))</f>
        <v>187,96</v>
      </c>
      <c r="K618" s="714">
        <f t="shared" si="151"/>
        <v>241.2422897762431</v>
      </c>
      <c r="L618" s="714">
        <f t="shared" si="152"/>
        <v>6069.65</v>
      </c>
    </row>
    <row r="619" spans="1:12" ht="28.5">
      <c r="A619" s="89" t="s">
        <v>27201</v>
      </c>
      <c r="B619" s="75" t="s">
        <v>14504</v>
      </c>
      <c r="C619" s="74" t="str">
        <f>COMPOSIÇÕES!C2574</f>
        <v>SEPLAG ARQ 167</v>
      </c>
      <c r="D619" s="712" t="str">
        <f>IF(B619="SEPLAG",VLOOKUP(C619,COMPOSIÇÃO,2,FALSE),VLOOKUP(C619,'NAO DESO'!A:B,2,FALSE))</f>
        <v xml:space="preserve"> VIGA SUPORTE METALICO PARA LAJE, FORNECIMENTO E INSTALAÇÃO.</v>
      </c>
      <c r="E619" s="74" t="str">
        <f>IF(B619="SEPLAG",VLOOKUP(C619,UNIDADE,3,FALSE),VLOOKUP(C619,'NAO DESO'!A:C,3,FALSE))</f>
        <v>UND</v>
      </c>
      <c r="F619" s="825">
        <f t="shared" si="148"/>
        <v>1</v>
      </c>
      <c r="G619" s="714">
        <f>IF(B619="SEPLAG",VLOOKUP(CONCATENATE("TOTAL DO ITEM NÃO DESON. - ",C619),BASE01,8,FALSE),VLOOKUP(C619,'NAO DESO'!A:D,4,FALSE))</f>
        <v>2669.9900000000002</v>
      </c>
      <c r="H619" s="714">
        <f t="shared" si="149"/>
        <v>3263.42</v>
      </c>
      <c r="I619" s="714">
        <f t="shared" si="150"/>
        <v>3263.42</v>
      </c>
      <c r="J619" s="714">
        <f>IF(B619="SEPLAG",VLOOKUP(CONCATENATE("TOTAL DO ITEM DESON. - ",C619),BASE02,10,FALSE),VLOOKUP(C619,DESON!A:D,4,FALSE))</f>
        <v>2601.5300000000002</v>
      </c>
      <c r="K619" s="714">
        <f t="shared" si="151"/>
        <v>3339.0032672993711</v>
      </c>
      <c r="L619" s="714">
        <f t="shared" si="152"/>
        <v>3339</v>
      </c>
    </row>
    <row r="620" spans="1:12" ht="28.5">
      <c r="A620" s="89" t="s">
        <v>27202</v>
      </c>
      <c r="B620" s="75" t="s">
        <v>14504</v>
      </c>
      <c r="C620" s="74" t="str">
        <f>COMPOSIÇÕES!C2586</f>
        <v>SEPLAG ARQ 168</v>
      </c>
      <c r="D620" s="712" t="str">
        <f>IF(B620="SEPLAG",VLOOKUP(C620,COMPOSIÇÃO,2,FALSE),VLOOKUP(C620,'NAO DESO'!A:B,2,FALSE))</f>
        <v xml:space="preserve"> VIGA SUPORTE METALICO PARA ELEVADOR, FORNECIMENTO E INSTALAÇÃO.</v>
      </c>
      <c r="E620" s="74" t="str">
        <f>IF(B620="SEPLAG",VLOOKUP(C620,UNIDADE,3,FALSE),VLOOKUP(C620,'NAO DESO'!A:C,3,FALSE))</f>
        <v>UND</v>
      </c>
      <c r="F620" s="825">
        <f t="shared" si="148"/>
        <v>1</v>
      </c>
      <c r="G620" s="714">
        <f>IF(B620="SEPLAG",VLOOKUP(CONCATENATE("TOTAL DO ITEM NÃO DESON. - ",C620),BASE01,8,FALSE),VLOOKUP(C620,'NAO DESO'!A:D,4,FALSE))</f>
        <v>2335.8000000000002</v>
      </c>
      <c r="H620" s="714">
        <f t="shared" si="149"/>
        <v>2854.95</v>
      </c>
      <c r="I620" s="714">
        <f t="shared" si="150"/>
        <v>2854.95</v>
      </c>
      <c r="J620" s="714">
        <f>IF(B620="SEPLAG",VLOOKUP(CONCATENATE("TOTAL DO ITEM DESON. - ",C620),BASE02,10,FALSE),VLOOKUP(C620,DESON!A:D,4,FALSE))</f>
        <v>2267.34</v>
      </c>
      <c r="K620" s="714">
        <f t="shared" si="151"/>
        <v>2910.0781724902481</v>
      </c>
      <c r="L620" s="714">
        <f t="shared" si="152"/>
        <v>2910.07</v>
      </c>
    </row>
    <row r="621" spans="1:12" s="716" customFormat="1">
      <c r="A621" s="734" t="str">
        <f>CONCATENATE("TOTAL DO ITEM &gt;&gt;&gt;&gt;",A611)</f>
        <v>TOTAL DO ITEM &gt;&gt;&gt;&gt;16.3</v>
      </c>
      <c r="B621" s="735"/>
      <c r="C621" s="735"/>
      <c r="D621" s="735"/>
      <c r="E621" s="735"/>
      <c r="F621" s="735"/>
      <c r="G621" s="735"/>
      <c r="H621" s="735"/>
      <c r="I621" s="736">
        <f>SUM(I612:I620)</f>
        <v>65451.609999999993</v>
      </c>
      <c r="J621" s="715"/>
      <c r="K621" s="715"/>
      <c r="L621" s="736">
        <f>SUM(L612:L620)</f>
        <v>67510.740000000005</v>
      </c>
    </row>
    <row r="622" spans="1:12" s="108" customFormat="1">
      <c r="A622" s="126"/>
      <c r="B622" s="127"/>
      <c r="C622" s="127"/>
      <c r="D622" s="127"/>
      <c r="E622" s="127"/>
      <c r="F622" s="127"/>
      <c r="G622" s="127"/>
      <c r="H622" s="127"/>
      <c r="I622" s="127"/>
      <c r="J622" s="127"/>
      <c r="K622" s="127"/>
      <c r="L622" s="128"/>
    </row>
    <row r="623" spans="1:12" s="716" customFormat="1">
      <c r="A623" s="719" t="s">
        <v>14153</v>
      </c>
      <c r="B623" s="722"/>
      <c r="C623" s="722"/>
      <c r="D623" s="719" t="s">
        <v>60</v>
      </c>
      <c r="E623" s="722"/>
      <c r="F623" s="745"/>
      <c r="G623" s="745"/>
      <c r="H623" s="745"/>
      <c r="I623" s="820"/>
      <c r="J623" s="144"/>
      <c r="K623" s="724"/>
      <c r="L623" s="820"/>
    </row>
    <row r="624" spans="1:12" s="716" customFormat="1" ht="42.75">
      <c r="A624" s="89" t="s">
        <v>14154</v>
      </c>
      <c r="B624" s="793" t="s">
        <v>79</v>
      </c>
      <c r="C624" s="74">
        <v>103328</v>
      </c>
      <c r="D624" s="712" t="str">
        <f>IF(B624="SEPLAG",VLOOKUP(C624,COMPOSIÇÃO,2,FALSE),VLOOKUP(C624,'NAO DESO'!A:B,2,FALSE))</f>
        <v>ALVENARIA DE VEDAÇÃO DE BLOCOS CERÂMICOS FURADOS NA HORIZONTAL DE 9X19X19 CM (ESPESSURA 9 CM) E ARGAMASSA DE ASSENTAMENTO COM PREPARO EM BETONEIRA. AF_12/2021</v>
      </c>
      <c r="E624" s="74" t="str">
        <f>IF(B624="SEPLAG",VLOOKUP(C624,UNIDADE,3,FALSE),VLOOKUP(C624,'NAO DESO'!A:C,3,FALSE))</f>
        <v>M2</v>
      </c>
      <c r="F624" s="825">
        <f>VLOOKUP(A624,MEMÓRIA,6,FALSE)</f>
        <v>22.95</v>
      </c>
      <c r="G624" s="714" t="str">
        <f>IF(B624="SEPLAG",VLOOKUP(CONCATENATE("TOTAL DO ITEM NÃO DESON. - ",C624),BASE01,8,FALSE),VLOOKUP(C624,'NAO DESO'!A:D,4,FALSE))</f>
        <v>78,91</v>
      </c>
      <c r="H624" s="714">
        <f>TRUNC(G624+G624*$K$6,2)</f>
        <v>96.44</v>
      </c>
      <c r="I624" s="714">
        <f>TRUNC(F624*H624,2)</f>
        <v>2213.29</v>
      </c>
      <c r="J624" s="714" t="str">
        <f>IF(B624="SEPLAG",VLOOKUP(CONCATENATE("TOTAL DO ITEM DESON. - ",C624),BASE02,10,FALSE),VLOOKUP(C624,DESON!A:D,4,FALSE))</f>
        <v>73,90</v>
      </c>
      <c r="K624" s="714">
        <f>J624+J624*$L$6</f>
        <v>94.848931764547601</v>
      </c>
      <c r="L624" s="714">
        <f>TRUNC(F624*K624,2)</f>
        <v>2176.7800000000002</v>
      </c>
    </row>
    <row r="625" spans="1:12" s="716" customFormat="1" ht="42.75">
      <c r="A625" s="89" t="s">
        <v>14155</v>
      </c>
      <c r="B625" s="717" t="s">
        <v>79</v>
      </c>
      <c r="C625" s="74">
        <v>87893</v>
      </c>
      <c r="D625" s="712" t="str">
        <f>IF(B625="SEPLAG",VLOOKUP(C625,COMPOSIÇÃO,2,FALSE),VLOOKUP(C625,'NAO DESO'!A:B,2,FALSE))</f>
        <v>CHAPISCO APLICADO EM ALVENARIA (SEM PRESENÇA DE VÃOS) E ESTRUTURAS DE CONCRETO DE FACHADA, COM COLHER DE PEDREIRO.  ARGAMASSA TRAÇO 1:3 COM PREPARO MANUAL. AF_06/2014</v>
      </c>
      <c r="E625" s="74" t="str">
        <f>IF(B625="SEPLAG",VLOOKUP(C625,UNIDADE,3,FALSE),VLOOKUP(C625,'NAO DESO'!A:C,3,FALSE))</f>
        <v>M2</v>
      </c>
      <c r="F625" s="825">
        <f>VLOOKUP(A625,MEMÓRIA,6,FALSE)</f>
        <v>144</v>
      </c>
      <c r="G625" s="714" t="str">
        <f>IF(B625="SEPLAG",VLOOKUP(CONCATENATE("TOTAL DO ITEM NÃO DESON. - ",C625),BASE01,8,FALSE),VLOOKUP(C625,'NAO DESO'!A:D,4,FALSE))</f>
        <v>6,04</v>
      </c>
      <c r="H625" s="714">
        <f>TRUNC(G625+G625*$K$6,2)</f>
        <v>7.38</v>
      </c>
      <c r="I625" s="714">
        <f>TRUNC(F625*H625,2)</f>
        <v>1062.72</v>
      </c>
      <c r="J625" s="714" t="str">
        <f>IF(B625="SEPLAG",VLOOKUP(CONCATENATE("TOTAL DO ITEM DESON. - ",C625),BASE02,10,FALSE),VLOOKUP(C625,DESON!A:D,4,FALSE))</f>
        <v>5,57</v>
      </c>
      <c r="K625" s="714">
        <f>J625+J625*$L$6</f>
        <v>7.1489654929435735</v>
      </c>
      <c r="L625" s="714">
        <f>TRUNC(F625*K625,2)</f>
        <v>1029.45</v>
      </c>
    </row>
    <row r="626" spans="1:12" s="716" customFormat="1" ht="57">
      <c r="A626" s="89" t="s">
        <v>14156</v>
      </c>
      <c r="B626" s="717" t="s">
        <v>79</v>
      </c>
      <c r="C626" s="74">
        <v>87543</v>
      </c>
      <c r="D626" s="712" t="str">
        <f>IF(B626="SEPLAG",VLOOKUP(C626,COMPOSIÇÃO,2,FALSE),VLOOKUP(C626,'NAO DESO'!A:B,2,FALSE))</f>
        <v>MASSA ÚNICA, PARA RECEBIMENTO DE PINTURA OU CERÂMICA, ARGAMASSA INDUSTRIALIZADA, PREPARO MECÂNICO, APLICADO COM EQUIPAMENTO DE MISTURA E PROJEÇÃO DE 1,5 M3/H EM FACES INTERNAS DE PAREDES, ESPESSURA DE 5MM, SEM EXECUÇÃO DE TALISCAS. AF_06/2014</v>
      </c>
      <c r="E626" s="74" t="str">
        <f>IF(B626="SEPLAG",VLOOKUP(C626,UNIDADE,3,FALSE),VLOOKUP(C626,'NAO DESO'!A:C,3,FALSE))</f>
        <v>M2</v>
      </c>
      <c r="F626" s="825">
        <f>VLOOKUP(A626,MEMÓRIA,6,FALSE)</f>
        <v>144</v>
      </c>
      <c r="G626" s="714" t="str">
        <f>IF(B626="SEPLAG",VLOOKUP(CONCATENATE("TOTAL DO ITEM NÃO DESON. - ",C626),BASE01,8,FALSE),VLOOKUP(C626,'NAO DESO'!A:D,4,FALSE))</f>
        <v>24,40</v>
      </c>
      <c r="H626" s="714">
        <f>TRUNC(G626+G626*$K$6,2)</f>
        <v>29.82</v>
      </c>
      <c r="I626" s="714">
        <f>TRUNC(F626*H626,2)</f>
        <v>4294.08</v>
      </c>
      <c r="J626" s="714" t="str">
        <f>IF(B626="SEPLAG",VLOOKUP(CONCATENATE("TOTAL DO ITEM DESON. - ",C626),BASE02,10,FALSE),VLOOKUP(C626,DESON!A:D,4,FALSE))</f>
        <v>23,82</v>
      </c>
      <c r="K626" s="714">
        <f>J626+J626*$L$6</f>
        <v>30.572416165514529</v>
      </c>
      <c r="L626" s="714">
        <f>TRUNC(F626*K626,2)</f>
        <v>4402.42</v>
      </c>
    </row>
    <row r="627" spans="1:12" s="716" customFormat="1">
      <c r="A627" s="734" t="str">
        <f>CONCATENATE("TOTAL DO ITEM &gt;&gt;&gt;&gt;",A623)</f>
        <v>TOTAL DO ITEM &gt;&gt;&gt;&gt;16.4</v>
      </c>
      <c r="B627" s="735"/>
      <c r="C627" s="735"/>
      <c r="D627" s="735"/>
      <c r="E627" s="735"/>
      <c r="F627" s="735"/>
      <c r="G627" s="735"/>
      <c r="H627" s="735"/>
      <c r="I627" s="736">
        <f>SUM(I624:I626)</f>
        <v>7570.09</v>
      </c>
      <c r="J627" s="715"/>
      <c r="K627" s="746"/>
      <c r="L627" s="736">
        <f>SUM(L624:L626)</f>
        <v>7608.6500000000005</v>
      </c>
    </row>
    <row r="628" spans="1:12" s="1245" customFormat="1">
      <c r="A628" s="1122" t="str">
        <f>CONCATENATE("TOTAL DO ITEM &gt;&gt;&gt;&gt;",A593)</f>
        <v>TOTAL DO ITEM &gt;&gt;&gt;&gt;16.0</v>
      </c>
      <c r="B628" s="1123"/>
      <c r="C628" s="1123"/>
      <c r="D628" s="1123"/>
      <c r="E628" s="1123"/>
      <c r="F628" s="1123"/>
      <c r="G628" s="1123"/>
      <c r="H628" s="1123"/>
      <c r="I628" s="1243">
        <f>SUM(I627,I621,I609,I599)</f>
        <v>86862.659999999989</v>
      </c>
      <c r="J628" s="713"/>
      <c r="K628" s="1244"/>
      <c r="L628" s="1243">
        <f>SUM(L627,L621,L609,L599)</f>
        <v>89133.09</v>
      </c>
    </row>
    <row r="629" spans="1:12">
      <c r="A629" s="77"/>
      <c r="B629" s="799"/>
      <c r="C629" s="78"/>
      <c r="D629" s="492"/>
      <c r="E629" s="75"/>
      <c r="F629" s="843"/>
      <c r="G629" s="744"/>
      <c r="H629" s="744"/>
      <c r="I629" s="744"/>
      <c r="J629" s="744"/>
      <c r="K629" s="744"/>
      <c r="L629" s="744"/>
    </row>
    <row r="630" spans="1:12" s="642" customFormat="1">
      <c r="A630" s="670" t="s">
        <v>14598</v>
      </c>
      <c r="B630" s="844"/>
      <c r="C630" s="845"/>
      <c r="D630" s="846"/>
      <c r="E630" s="847"/>
      <c r="F630" s="644"/>
      <c r="G630" s="88"/>
      <c r="H630" s="88"/>
      <c r="I630" s="743">
        <f>I628+I591+I566+I557+I486+I450+I419+I399+I387+I365+I253+I172+I136+I94+I25+I21</f>
        <v>2824037.77</v>
      </c>
      <c r="J630" s="88"/>
      <c r="K630" s="88"/>
      <c r="L630" s="743">
        <f>L628+L591+L566+L557+L486+L450+L419+L399+L387+L365+L253+L172+L136+L94+L25+L21</f>
        <v>2872646.6500000004</v>
      </c>
    </row>
    <row r="631" spans="1:12">
      <c r="A631" s="848"/>
      <c r="B631" s="849"/>
      <c r="C631" s="850"/>
      <c r="D631" s="851"/>
      <c r="E631" s="852"/>
      <c r="F631" s="853"/>
      <c r="G631" s="853"/>
      <c r="H631" s="853"/>
      <c r="I631" s="853"/>
      <c r="J631" s="853"/>
      <c r="K631" s="853"/>
      <c r="L631" s="853"/>
    </row>
    <row r="1094" spans="1:12" s="109" customFormat="1">
      <c r="A1094" s="639"/>
      <c r="B1094" s="679"/>
      <c r="C1094" s="854"/>
      <c r="D1094" s="855"/>
      <c r="E1094" s="674"/>
      <c r="F1094" s="676"/>
      <c r="G1094" s="676"/>
      <c r="H1094" s="676"/>
      <c r="I1094" s="676"/>
      <c r="J1094" s="676"/>
      <c r="K1094" s="676"/>
      <c r="L1094" s="676"/>
    </row>
    <row r="1636" spans="1:12" s="109" customFormat="1">
      <c r="A1636" s="639"/>
      <c r="B1636" s="679"/>
      <c r="C1636" s="854"/>
      <c r="D1636" s="855"/>
      <c r="E1636" s="674"/>
      <c r="F1636" s="676"/>
      <c r="G1636" s="676"/>
      <c r="H1636" s="676"/>
      <c r="I1636" s="676"/>
      <c r="J1636" s="676"/>
      <c r="K1636" s="676"/>
      <c r="L1636" s="676"/>
    </row>
    <row r="1637" spans="1:12" s="109" customFormat="1">
      <c r="A1637" s="639"/>
      <c r="B1637" s="679"/>
      <c r="C1637" s="854"/>
      <c r="D1637" s="855"/>
      <c r="E1637" s="674"/>
      <c r="F1637" s="676"/>
      <c r="G1637" s="676"/>
      <c r="H1637" s="676"/>
      <c r="I1637" s="676"/>
      <c r="J1637" s="676"/>
      <c r="K1637" s="676"/>
      <c r="L1637" s="676"/>
    </row>
  </sheetData>
  <sheetProtection password="CA35" sheet="1" formatCells="0" formatColumns="0" formatRows="0" insertColumns="0" insertRows="0" insertHyperlinks="0" deleteColumns="0" deleteRows="0" sort="0" autoFilter="0" pivotTables="0"/>
  <mergeCells count="3">
    <mergeCell ref="A1:L1"/>
    <mergeCell ref="A2:L2"/>
    <mergeCell ref="A9:L9"/>
  </mergeCells>
  <printOptions horizontalCentered="1"/>
  <pageMargins left="0.23622047244094491" right="0.43307086614173229" top="1.0236220472440944" bottom="1.5748031496062993" header="0.31496062992125984" footer="0.31496062992125984"/>
  <pageSetup paperSize="9" scale="48"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2" manualBreakCount="2">
    <brk id="196" max="11" man="1"/>
    <brk id="246" max="11" man="1"/>
  </rowBreaks>
  <colBreaks count="1" manualBreakCount="1">
    <brk id="9" max="630"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36"/>
  <sheetViews>
    <sheetView showGridLines="0" view="pageBreakPreview" zoomScale="90" zoomScaleNormal="55" zoomScaleSheetLayoutView="90" zoomScalePageLayoutView="55" workbookViewId="0">
      <selection activeCell="K214" sqref="K214"/>
    </sheetView>
  </sheetViews>
  <sheetFormatPr defaultRowHeight="15" outlineLevelCol="1"/>
  <cols>
    <col min="1" max="1" width="9.140625" style="674"/>
    <col min="2" max="2" width="97" style="679" customWidth="1"/>
    <col min="3" max="3" width="21" style="675" customWidth="1"/>
    <col min="4" max="4" width="17.42578125" style="676" customWidth="1"/>
    <col min="5" max="5" width="22.140625" style="676" hidden="1" customWidth="1" outlineLevel="1"/>
    <col min="6" max="6" width="12.5703125" style="677" hidden="1" customWidth="1" outlineLevel="1"/>
    <col min="7" max="7" width="9.140625" style="637" collapsed="1"/>
    <col min="8" max="16384" width="9.140625" style="637"/>
  </cols>
  <sheetData>
    <row r="1" spans="1:6" ht="15.75">
      <c r="A1" s="1342" t="str">
        <f>'MEM CAL'!A1</f>
        <v>GOVERNO DO ESTADO DE MATO GROSSO</v>
      </c>
      <c r="B1" s="1343"/>
      <c r="C1" s="1343"/>
      <c r="D1" s="1343"/>
      <c r="E1" s="1343"/>
      <c r="F1" s="1344"/>
    </row>
    <row r="2" spans="1:6" ht="16.5" thickBot="1">
      <c r="A2" s="1345" t="str">
        <f>'MEM CAL'!A2</f>
        <v>SEPLAG - SECRETARIA DE ESTADO DE PLANEJAMENTO E GESTÃO/MT</v>
      </c>
      <c r="B2" s="1346"/>
      <c r="C2" s="1346"/>
      <c r="D2" s="1346"/>
      <c r="E2" s="1346"/>
      <c r="F2" s="1347"/>
    </row>
    <row r="3" spans="1:6">
      <c r="A3" s="1348"/>
      <c r="B3" s="1349"/>
      <c r="C3" s="1349"/>
      <c r="D3" s="1349"/>
      <c r="E3" s="1349"/>
      <c r="F3" s="1350"/>
    </row>
    <row r="4" spans="1:6">
      <c r="A4" s="638" t="str">
        <f>'MEM CAL'!A4</f>
        <v>OBRA:</v>
      </c>
      <c r="B4" s="639" t="str">
        <f>'MEM CAL'!B4:D4</f>
        <v>REFORMA DO PREDIO ESCOLA DO GOVERNO</v>
      </c>
      <c r="C4" s="1354" t="str">
        <f>PLANILHA!I4</f>
        <v>FONTE:</v>
      </c>
      <c r="D4" s="1354"/>
      <c r="E4" s="640" t="str">
        <f>PLANILHA!K4</f>
        <v>BDI NÃO DESON</v>
      </c>
      <c r="F4" s="641" t="str">
        <f>PLANILHA!L4</f>
        <v>BDI DESON</v>
      </c>
    </row>
    <row r="5" spans="1:6" ht="15" customHeight="1">
      <c r="A5" s="638" t="str">
        <f>'MEM CAL'!A5</f>
        <v>LOCAL:</v>
      </c>
      <c r="B5" s="639" t="str">
        <f>'MEM CAL'!B5:D5</f>
        <v>CENTRO POLITICO ADMINISTRATIVO</v>
      </c>
      <c r="C5" s="1359" t="str">
        <f>PLANILHA!I5</f>
        <v>TABELA SINAPI 02/2022, SETOP 04/2021</v>
      </c>
      <c r="D5" s="1359"/>
      <c r="E5" s="1360">
        <f>PLANILHA!K6</f>
        <v>0.22226164190779008</v>
      </c>
      <c r="F5" s="1361">
        <f>PLANILHA!L6</f>
        <v>0.28347674918197008</v>
      </c>
    </row>
    <row r="6" spans="1:6">
      <c r="A6" s="638" t="str">
        <f>'MEM CAL'!A6</f>
        <v>PROP:</v>
      </c>
      <c r="B6" s="639" t="str">
        <f>'MEM CAL'!B6:D6</f>
        <v>GOVERNO DO ESTADO DE MATO GROSSO</v>
      </c>
      <c r="C6" s="1359"/>
      <c r="D6" s="1359"/>
      <c r="E6" s="1360"/>
      <c r="F6" s="1361"/>
    </row>
    <row r="7" spans="1:6">
      <c r="A7" s="638" t="str">
        <f>'MEM CAL'!A7</f>
        <v>END:</v>
      </c>
      <c r="B7" s="639" t="str">
        <f>'MEM CAL'!B7:D7</f>
        <v>RUA C, CENTRO POLÍTICO ADMINISTRATIVO, CUIABÁ – MT</v>
      </c>
      <c r="C7" s="1359"/>
      <c r="D7" s="1359"/>
      <c r="E7" s="1360"/>
      <c r="F7" s="1361"/>
    </row>
    <row r="8" spans="1:6" ht="15.75" thickBot="1">
      <c r="A8" s="1356"/>
      <c r="B8" s="1357"/>
      <c r="C8" s="1357"/>
      <c r="D8" s="1357"/>
      <c r="E8" s="1357"/>
      <c r="F8" s="1358"/>
    </row>
    <row r="9" spans="1:6" s="642" customFormat="1">
      <c r="A9" s="1355" t="s">
        <v>70</v>
      </c>
      <c r="B9" s="1355"/>
      <c r="C9" s="1355"/>
      <c r="D9" s="1355"/>
      <c r="E9" s="1355"/>
      <c r="F9" s="1355"/>
    </row>
    <row r="10" spans="1:6" s="642" customFormat="1">
      <c r="A10" s="1352" t="s">
        <v>6</v>
      </c>
      <c r="B10" s="1351" t="s">
        <v>21</v>
      </c>
      <c r="C10" s="1353" t="str">
        <f>PLANILHA!G11</f>
        <v xml:space="preserve">NÃO DESONERADO P.UNIT (S/BDI) </v>
      </c>
      <c r="D10" s="1353"/>
      <c r="E10" s="1353" t="str">
        <f>PLANILHA!J11</f>
        <v>DESONERADO P.UNIT (S/BDI)</v>
      </c>
      <c r="F10" s="1353"/>
    </row>
    <row r="11" spans="1:6" s="642" customFormat="1">
      <c r="A11" s="1352"/>
      <c r="B11" s="1351"/>
      <c r="C11" s="643" t="s">
        <v>71</v>
      </c>
      <c r="D11" s="644" t="s">
        <v>72</v>
      </c>
      <c r="E11" s="643" t="s">
        <v>71</v>
      </c>
      <c r="F11" s="645" t="s">
        <v>72</v>
      </c>
    </row>
    <row r="12" spans="1:6">
      <c r="A12" s="1339"/>
      <c r="B12" s="1340"/>
      <c r="C12" s="1340"/>
      <c r="D12" s="1340"/>
      <c r="E12" s="1340"/>
      <c r="F12" s="1341"/>
    </row>
    <row r="13" spans="1:6" s="642" customFormat="1">
      <c r="A13" s="646" t="str">
        <f>PLANILHA!A13</f>
        <v>1.0</v>
      </c>
      <c r="B13" s="647" t="str">
        <f>VLOOKUP(A13,PLANILHA,4,FALSE)</f>
        <v>SERVIÇOS PRELIMINARES</v>
      </c>
      <c r="C13" s="643">
        <f>VLOOKUP(CONCATENATE("TOTAL DO ITEM &gt;&gt;&gt;&gt;",A13),PLANILHA,9,FALSE)</f>
        <v>251507.66</v>
      </c>
      <c r="D13" s="645">
        <f>C13/$C$94</f>
        <v>8.905959497843402E-2</v>
      </c>
      <c r="E13" s="648">
        <f>VLOOKUP(CONCATENATE("TOTAL DO ITEM &gt;&gt;&gt;&gt;",A13),PLANILHA,12,FALSE)</f>
        <v>258180.81999999998</v>
      </c>
      <c r="F13" s="645">
        <f>E13/$E$94</f>
        <v>8.9875592600294207E-2</v>
      </c>
    </row>
    <row r="14" spans="1:6" s="642" customFormat="1">
      <c r="A14" s="1337"/>
      <c r="B14" s="1337"/>
      <c r="C14" s="1337"/>
      <c r="D14" s="1337"/>
      <c r="E14" s="1337"/>
      <c r="F14" s="1337"/>
    </row>
    <row r="15" spans="1:6" s="642" customFormat="1">
      <c r="A15" s="646" t="str">
        <f>PLANILHA!A23</f>
        <v>2.0</v>
      </c>
      <c r="B15" s="647" t="str">
        <f>VLOOKUP(A15,PLANILHA,4,FALSE)</f>
        <v>ADMINISTRAÇÃO LOCAL DE OBRA</v>
      </c>
      <c r="C15" s="643">
        <f>VLOOKUP(CONCATENATE("TOTAL DO ITEM &gt;&gt;&gt;&gt;",A15),PLANILHA,9,FALSE)</f>
        <v>201260.04</v>
      </c>
      <c r="D15" s="645">
        <f>C15/$C$94</f>
        <v>7.1266766378977997E-2</v>
      </c>
      <c r="E15" s="648">
        <f>VLOOKUP(CONCATENATE("TOTAL DO ITEM &gt;&gt;&gt;&gt;",A15),PLANILHA,12,FALSE)</f>
        <v>183080.87</v>
      </c>
      <c r="F15" s="645">
        <f>E15/$E$94</f>
        <v>6.3732471238674607E-2</v>
      </c>
    </row>
    <row r="16" spans="1:6" s="642" customFormat="1">
      <c r="A16" s="1337"/>
      <c r="B16" s="1337"/>
      <c r="C16" s="1337"/>
      <c r="D16" s="1337"/>
      <c r="E16" s="1337"/>
      <c r="F16" s="1337"/>
    </row>
    <row r="17" spans="1:6" s="642" customFormat="1">
      <c r="A17" s="646" t="str">
        <f>PLANILHA!A27</f>
        <v>3.0</v>
      </c>
      <c r="B17" s="647" t="str">
        <f t="shared" ref="B17:B26" si="0">VLOOKUP(A17,PLANILHA,4,FALSE)</f>
        <v>SUBSOLO</v>
      </c>
      <c r="C17" s="643">
        <f t="shared" ref="C17:C26" si="1">VLOOKUP(CONCATENATE("TOTAL DO ITEM &gt;&gt;&gt;&gt;",A17),PLANILHA,9,FALSE)</f>
        <v>144198.14000000001</v>
      </c>
      <c r="D17" s="645">
        <f t="shared" ref="D17:D26" si="2">C17/$C$94</f>
        <v>5.1060981383404092E-2</v>
      </c>
      <c r="E17" s="648">
        <f t="shared" ref="E17:E26" si="3">VLOOKUP(CONCATENATE("TOTAL DO ITEM &gt;&gt;&gt;&gt;",A17),PLANILHA,12,FALSE)</f>
        <v>147954.93</v>
      </c>
      <c r="F17" s="645">
        <f t="shared" ref="F17:F26" si="4">E17/$E$94</f>
        <v>5.1504743891839247E-2</v>
      </c>
    </row>
    <row r="18" spans="1:6">
      <c r="A18" s="649" t="str">
        <f>PLANILHA!A28</f>
        <v>3.1</v>
      </c>
      <c r="B18" s="650" t="str">
        <f t="shared" si="0"/>
        <v xml:space="preserve">DEMOLIÇÃO </v>
      </c>
      <c r="C18" s="651">
        <f t="shared" si="1"/>
        <v>3488.8399999999997</v>
      </c>
      <c r="D18" s="652">
        <f t="shared" si="2"/>
        <v>1.2354084060285072E-3</v>
      </c>
      <c r="E18" s="653">
        <f t="shared" si="3"/>
        <v>3323.65</v>
      </c>
      <c r="F18" s="652">
        <f t="shared" si="4"/>
        <v>1.1569992431892031E-3</v>
      </c>
    </row>
    <row r="19" spans="1:6">
      <c r="A19" s="649" t="str">
        <f>PLANILHA!A38</f>
        <v>3.2</v>
      </c>
      <c r="B19" s="650" t="str">
        <f t="shared" si="0"/>
        <v>MOVIMENTO DE SOLO</v>
      </c>
      <c r="C19" s="651">
        <f t="shared" si="1"/>
        <v>392.23</v>
      </c>
      <c r="D19" s="652">
        <f t="shared" si="2"/>
        <v>1.3888978545779153E-4</v>
      </c>
      <c r="E19" s="653">
        <f t="shared" si="3"/>
        <v>374.49</v>
      </c>
      <c r="F19" s="652">
        <f t="shared" si="4"/>
        <v>1.3036410168998681E-4</v>
      </c>
    </row>
    <row r="20" spans="1:6">
      <c r="A20" s="649" t="str">
        <f>PLANILHA!A45</f>
        <v>3.3</v>
      </c>
      <c r="B20" s="650" t="str">
        <f t="shared" si="0"/>
        <v>FUNDAÇÃO/ESTRUTURA</v>
      </c>
      <c r="C20" s="651">
        <f t="shared" si="1"/>
        <v>22588.780000000002</v>
      </c>
      <c r="D20" s="652">
        <f t="shared" si="2"/>
        <v>7.9987527928849205E-3</v>
      </c>
      <c r="E20" s="653">
        <f t="shared" si="3"/>
        <v>23202.22</v>
      </c>
      <c r="F20" s="652">
        <f t="shared" si="4"/>
        <v>8.0769488304452616E-3</v>
      </c>
    </row>
    <row r="21" spans="1:6">
      <c r="A21" s="649" t="str">
        <f>PLANILHA!A54</f>
        <v>3.4</v>
      </c>
      <c r="B21" s="650" t="str">
        <f t="shared" si="0"/>
        <v>ALVENARIA E FECHAMENTO</v>
      </c>
      <c r="C21" s="651">
        <f t="shared" si="1"/>
        <v>26209.600000000002</v>
      </c>
      <c r="D21" s="652">
        <f t="shared" si="2"/>
        <v>9.2808957013347602E-3</v>
      </c>
      <c r="E21" s="653">
        <f t="shared" si="3"/>
        <v>26165.16</v>
      </c>
      <c r="F21" s="652">
        <f t="shared" si="4"/>
        <v>9.1083809420138724E-3</v>
      </c>
    </row>
    <row r="22" spans="1:6">
      <c r="A22" s="649" t="str">
        <f>PLANILHA!A61</f>
        <v>3.5</v>
      </c>
      <c r="B22" s="650" t="str">
        <f t="shared" si="0"/>
        <v>PISOS</v>
      </c>
      <c r="C22" s="651">
        <f t="shared" si="1"/>
        <v>27977.48</v>
      </c>
      <c r="D22" s="652">
        <f t="shared" si="2"/>
        <v>9.9069071586815206E-3</v>
      </c>
      <c r="E22" s="653">
        <f t="shared" si="3"/>
        <v>29304.14</v>
      </c>
      <c r="F22" s="652">
        <f t="shared" si="4"/>
        <v>1.0201094520274533E-2</v>
      </c>
    </row>
    <row r="23" spans="1:6">
      <c r="A23" s="649" t="str">
        <f>PLANILHA!A65</f>
        <v>3.6</v>
      </c>
      <c r="B23" s="650" t="str">
        <f t="shared" si="0"/>
        <v>PINTURA</v>
      </c>
      <c r="C23" s="651">
        <f t="shared" si="1"/>
        <v>23337.129999999997</v>
      </c>
      <c r="D23" s="652">
        <f t="shared" si="2"/>
        <v>8.2637457076220333E-3</v>
      </c>
      <c r="E23" s="653">
        <f t="shared" si="3"/>
        <v>23629.489999999998</v>
      </c>
      <c r="F23" s="652">
        <f t="shared" si="4"/>
        <v>8.2256862325897247E-3</v>
      </c>
    </row>
    <row r="24" spans="1:6">
      <c r="A24" s="649" t="str">
        <f>PLANILHA!A72</f>
        <v>3.7</v>
      </c>
      <c r="B24" s="650" t="str">
        <f t="shared" si="0"/>
        <v>PORTAS</v>
      </c>
      <c r="C24" s="651">
        <f t="shared" si="1"/>
        <v>18680.91</v>
      </c>
      <c r="D24" s="652">
        <f t="shared" si="2"/>
        <v>6.6149646433376133E-3</v>
      </c>
      <c r="E24" s="653">
        <f t="shared" si="3"/>
        <v>19608.09</v>
      </c>
      <c r="F24" s="652">
        <f t="shared" si="4"/>
        <v>6.8257925143699796E-3</v>
      </c>
    </row>
    <row r="25" spans="1:6">
      <c r="A25" s="649" t="str">
        <f>PLANILHA!A78</f>
        <v>3.8</v>
      </c>
      <c r="B25" s="650" t="str">
        <f t="shared" si="0"/>
        <v>JANELAS E VIDROS FIXOS</v>
      </c>
      <c r="C25" s="651">
        <f t="shared" si="1"/>
        <v>19809.819999999996</v>
      </c>
      <c r="D25" s="652">
        <f t="shared" si="2"/>
        <v>7.0147149625410269E-3</v>
      </c>
      <c r="E25" s="653">
        <f t="shared" si="3"/>
        <v>20584.419999999998</v>
      </c>
      <c r="F25" s="652">
        <f t="shared" si="4"/>
        <v>7.1656637616742723E-3</v>
      </c>
    </row>
    <row r="26" spans="1:6">
      <c r="A26" s="649" t="str">
        <f>PLANILHA!A89</f>
        <v>3.9</v>
      </c>
      <c r="B26" s="650" t="str">
        <f t="shared" si="0"/>
        <v>LOUÇAS E METAIS</v>
      </c>
      <c r="C26" s="651">
        <f t="shared" si="1"/>
        <v>1713.35</v>
      </c>
      <c r="D26" s="652">
        <f t="shared" si="2"/>
        <v>6.0670222551591441E-4</v>
      </c>
      <c r="E26" s="653">
        <f t="shared" si="3"/>
        <v>1763.27</v>
      </c>
      <c r="F26" s="652">
        <f t="shared" si="4"/>
        <v>6.1381374559241382E-4</v>
      </c>
    </row>
    <row r="27" spans="1:6" s="654" customFormat="1" ht="15" customHeight="1">
      <c r="A27" s="1336"/>
      <c r="B27" s="1336"/>
      <c r="C27" s="1336"/>
      <c r="D27" s="1336"/>
      <c r="E27" s="1336"/>
      <c r="F27" s="1336"/>
    </row>
    <row r="28" spans="1:6">
      <c r="A28" s="646" t="str">
        <f>PLANILHA!A96</f>
        <v>4.0</v>
      </c>
      <c r="B28" s="647" t="str">
        <f t="shared" ref="B28:B33" si="5">VLOOKUP(A28,PLANILHA,4,FALSE)</f>
        <v>TERREO</v>
      </c>
      <c r="C28" s="643">
        <f t="shared" ref="C28:C33" si="6">VLOOKUP(CONCATENATE("TOTAL DO ITEM &gt;&gt;&gt;&gt;",A28),PLANILHA,9,FALSE)</f>
        <v>190364.86</v>
      </c>
      <c r="D28" s="652">
        <f t="shared" ref="D28:D33" si="7">C28/$C$94</f>
        <v>6.7408751406324144E-2</v>
      </c>
      <c r="E28" s="648">
        <f t="shared" ref="E28:E33" si="8">VLOOKUP(CONCATENATE("TOTAL DO ITEM &gt;&gt;&gt;&gt;",A28),PLANILHA,12,FALSE)</f>
        <v>196324.12</v>
      </c>
      <c r="F28" s="652">
        <f t="shared" ref="F28:F33" si="9">E28/$E$94</f>
        <v>6.8342592709757732E-2</v>
      </c>
    </row>
    <row r="29" spans="1:6">
      <c r="A29" s="649" t="str">
        <f>PLANILHA!A97</f>
        <v>4.1</v>
      </c>
      <c r="B29" s="650" t="str">
        <f t="shared" si="5"/>
        <v>DEMOLIÇÃO</v>
      </c>
      <c r="C29" s="651">
        <f t="shared" si="6"/>
        <v>4425.0900000000011</v>
      </c>
      <c r="D29" s="652">
        <f t="shared" si="7"/>
        <v>1.5669372580664886E-3</v>
      </c>
      <c r="E29" s="653">
        <f t="shared" si="8"/>
        <v>4261.34</v>
      </c>
      <c r="F29" s="652">
        <f t="shared" si="9"/>
        <v>1.4834194800811995E-3</v>
      </c>
    </row>
    <row r="30" spans="1:6">
      <c r="A30" s="649" t="str">
        <f>PLANILHA!A104</f>
        <v>4.2</v>
      </c>
      <c r="B30" s="650" t="str">
        <f t="shared" si="5"/>
        <v>PISOS</v>
      </c>
      <c r="C30" s="651">
        <f t="shared" si="6"/>
        <v>75435.73</v>
      </c>
      <c r="D30" s="652">
        <f t="shared" si="7"/>
        <v>2.6712011716472191E-2</v>
      </c>
      <c r="E30" s="653">
        <f t="shared" si="8"/>
        <v>78495.509999999995</v>
      </c>
      <c r="F30" s="652">
        <f t="shared" si="9"/>
        <v>2.7325153269372682E-2</v>
      </c>
    </row>
    <row r="31" spans="1:6">
      <c r="A31" s="649" t="str">
        <f>PLANILHA!A109</f>
        <v>4.3</v>
      </c>
      <c r="B31" s="650" t="str">
        <f t="shared" si="5"/>
        <v>PORTAS</v>
      </c>
      <c r="C31" s="651">
        <f t="shared" si="6"/>
        <v>33390.75</v>
      </c>
      <c r="D31" s="652">
        <f t="shared" si="7"/>
        <v>1.1823761833043756E-2</v>
      </c>
      <c r="E31" s="653">
        <f t="shared" si="8"/>
        <v>34996.870000000003</v>
      </c>
      <c r="F31" s="652">
        <f t="shared" si="9"/>
        <v>1.2182796655481453E-2</v>
      </c>
    </row>
    <row r="32" spans="1:6">
      <c r="A32" s="649" t="str">
        <f>PLANILHA!A121</f>
        <v>4.4</v>
      </c>
      <c r="B32" s="650" t="str">
        <f t="shared" si="5"/>
        <v>JANELAS E VIDROS FIXOS</v>
      </c>
      <c r="C32" s="651">
        <f t="shared" si="6"/>
        <v>45288.27</v>
      </c>
      <c r="D32" s="652">
        <f t="shared" si="7"/>
        <v>1.6036708319237529E-2</v>
      </c>
      <c r="E32" s="653">
        <f t="shared" si="8"/>
        <v>46950.639999999992</v>
      </c>
      <c r="F32" s="652">
        <f t="shared" si="9"/>
        <v>1.6344035908488774E-2</v>
      </c>
    </row>
    <row r="33" spans="1:6">
      <c r="A33" s="649" t="str">
        <f>PLANILHA!A130</f>
        <v>4.5</v>
      </c>
      <c r="B33" s="650" t="str">
        <f t="shared" si="5"/>
        <v>PINTURA</v>
      </c>
      <c r="C33" s="651">
        <f t="shared" si="6"/>
        <v>31825.02</v>
      </c>
      <c r="D33" s="652">
        <f t="shared" si="7"/>
        <v>1.126933227950418E-2</v>
      </c>
      <c r="E33" s="653">
        <f t="shared" si="8"/>
        <v>31619.759999999998</v>
      </c>
      <c r="F33" s="652">
        <f t="shared" si="9"/>
        <v>1.100718739633362E-2</v>
      </c>
    </row>
    <row r="34" spans="1:6" s="654" customFormat="1" ht="15" customHeight="1">
      <c r="A34" s="1336"/>
      <c r="B34" s="1336"/>
      <c r="C34" s="1336"/>
      <c r="D34" s="1336"/>
      <c r="E34" s="1336"/>
      <c r="F34" s="1336"/>
    </row>
    <row r="35" spans="1:6">
      <c r="A35" s="646" t="str">
        <f>PLANILHA!A138</f>
        <v>5.0</v>
      </c>
      <c r="B35" s="647" t="str">
        <f t="shared" ref="B35:B40" si="10">VLOOKUP(A35,PLANILHA,4,FALSE)</f>
        <v>1º PAVIMENTO</v>
      </c>
      <c r="C35" s="643">
        <f>VLOOKUP(CONCATENATE("TOTAL DO ITEM &gt;&gt;&gt;&gt;",A35),PLANILHA,9,FALSE)</f>
        <v>188689.19999999998</v>
      </c>
      <c r="D35" s="645">
        <f t="shared" ref="D35:D40" si="11">C35/$C$94</f>
        <v>6.68153953195888E-2</v>
      </c>
      <c r="E35" s="648">
        <f>VLOOKUP(CONCATENATE("TOTAL DO ITEM &gt;&gt;&gt;&gt;",A35),PLANILHA,12,FALSE)</f>
        <v>194572.29</v>
      </c>
      <c r="F35" s="645">
        <f t="shared" ref="F35:F40" si="12">E35/$E$94</f>
        <v>6.7732761354411614E-2</v>
      </c>
    </row>
    <row r="36" spans="1:6">
      <c r="A36" s="649" t="str">
        <f>PLANILHA!A139</f>
        <v>5.1</v>
      </c>
      <c r="B36" s="650" t="str">
        <f t="shared" si="10"/>
        <v>DEMOLIÇÃO</v>
      </c>
      <c r="C36" s="651">
        <f>VLOOKUP(CONCATENATE("TOTAL DO ITEM &gt;&gt;&gt;&gt;",A36),PLANILHA,9,FALSE)</f>
        <v>3923.72</v>
      </c>
      <c r="D36" s="652">
        <f t="shared" si="11"/>
        <v>1.3894006807139835E-3</v>
      </c>
      <c r="E36" s="653">
        <f>VLOOKUP(CONCATENATE("TOTAL DO ITEM &gt;&gt;&gt;&gt;",A36),PLANILHA,12,FALSE)</f>
        <v>3784.76</v>
      </c>
      <c r="F36" s="652">
        <f t="shared" si="12"/>
        <v>1.3175167227754934E-3</v>
      </c>
    </row>
    <row r="37" spans="1:6">
      <c r="A37" s="649" t="str">
        <f>PLANILHA!A145</f>
        <v>5.2</v>
      </c>
      <c r="B37" s="650" t="str">
        <f t="shared" si="10"/>
        <v>PISO</v>
      </c>
      <c r="C37" s="651">
        <f>VLOOKUP(CONCATENATE("TOTAL DO ITEM &gt;&gt;&gt;&gt;",A37),PLANILHA,9,FALSE)</f>
        <v>69110.23000000001</v>
      </c>
      <c r="D37" s="652">
        <f t="shared" si="11"/>
        <v>2.4472133742035614E-2</v>
      </c>
      <c r="E37" s="653">
        <f>VLOOKUP(CONCATENATE("TOTAL DO ITEM &gt;&gt;&gt;&gt;",A37),PLANILHA,12,FALSE)</f>
        <v>71910.53</v>
      </c>
      <c r="F37" s="652">
        <f t="shared" si="12"/>
        <v>2.5032849062727569E-2</v>
      </c>
    </row>
    <row r="38" spans="1:6">
      <c r="A38" s="649" t="str">
        <f>PLANILHA!A150</f>
        <v>5.3</v>
      </c>
      <c r="B38" s="650" t="str">
        <f t="shared" si="10"/>
        <v>PINTURA</v>
      </c>
      <c r="C38" s="651">
        <f>VLOOKUP(CONCATENATE("TOTAL DO ITEM &gt;&gt;&gt;&gt;",A38),PLANILHA,9,FALSE)</f>
        <v>33020.33</v>
      </c>
      <c r="D38" s="652">
        <f t="shared" si="11"/>
        <v>1.1692595032112478E-2</v>
      </c>
      <c r="E38" s="653">
        <f>VLOOKUP(CONCATENATE("TOTAL DO ITEM &gt;&gt;&gt;&gt;",A38),PLANILHA,12,FALSE)</f>
        <v>32807.35</v>
      </c>
      <c r="F38" s="652">
        <f t="shared" si="12"/>
        <v>1.1420600581000797E-2</v>
      </c>
    </row>
    <row r="39" spans="1:6">
      <c r="A39" s="649" t="str">
        <f>PLANILHA!A156</f>
        <v>5.4</v>
      </c>
      <c r="B39" s="650" t="str">
        <f t="shared" si="10"/>
        <v>PORTAS</v>
      </c>
      <c r="C39" s="651">
        <f>VLOOKUP(CONCATENATE("TOTAL DO ITEM &gt;&gt;&gt;&gt;",A39),PLANILHA,9,FALSE)</f>
        <v>31079.62</v>
      </c>
      <c r="D39" s="652">
        <f t="shared" si="11"/>
        <v>1.1005383968359601E-2</v>
      </c>
      <c r="E39" s="653">
        <f>VLOOKUP(CONCATENATE("TOTAL DO ITEM &gt;&gt;&gt;&gt;",A39),PLANILHA,12,FALSE)</f>
        <v>32593.45</v>
      </c>
      <c r="F39" s="652">
        <f t="shared" si="12"/>
        <v>1.1346139630504154E-2</v>
      </c>
    </row>
    <row r="40" spans="1:6">
      <c r="A40" s="649" t="str">
        <f>PLANILHA!A164</f>
        <v>5.5</v>
      </c>
      <c r="B40" s="650" t="str">
        <f t="shared" si="10"/>
        <v>JANELAS E VIDROS FIXOS</v>
      </c>
      <c r="C40" s="651">
        <f>PLANILHA!I171</f>
        <v>51555.299999999988</v>
      </c>
      <c r="D40" s="652">
        <f t="shared" si="11"/>
        <v>1.8255881896367124E-2</v>
      </c>
      <c r="E40" s="653">
        <f>PLANILHA!L171</f>
        <v>53476.200000000004</v>
      </c>
      <c r="F40" s="652">
        <f t="shared" si="12"/>
        <v>1.8615655357403598E-2</v>
      </c>
    </row>
    <row r="41" spans="1:6">
      <c r="A41" s="1338"/>
      <c r="B41" s="1338"/>
      <c r="C41" s="1338"/>
      <c r="D41" s="1338"/>
      <c r="E41" s="1338"/>
      <c r="F41" s="1338"/>
    </row>
    <row r="42" spans="1:6" s="642" customFormat="1">
      <c r="A42" s="646" t="str">
        <f>PLANILHA!A174</f>
        <v>6.0</v>
      </c>
      <c r="B42" s="647" t="str">
        <f t="shared" ref="B42:B47" si="13">VLOOKUP(A42,PLANILHA,4,FALSE)</f>
        <v>PREVENÇÃO E COMBATE A INCÊNDIO</v>
      </c>
      <c r="C42" s="643">
        <f t="shared" ref="C42:C47" si="14">VLOOKUP(CONCATENATE("TOTAL DO ITEM &gt;&gt;&gt;&gt;",A42),PLANILHA,9,FALSE)</f>
        <v>146139.32</v>
      </c>
      <c r="D42" s="645">
        <f t="shared" ref="D42:D47" si="15">C42/$C$94</f>
        <v>5.1748358875525945E-2</v>
      </c>
      <c r="E42" s="648">
        <f t="shared" ref="E42:E47" si="16">VLOOKUP(CONCATENATE("TOTAL DO ITEM &gt;&gt;&gt;&gt;",A42),PLANILHA,12,FALSE)</f>
        <v>149651.50999999998</v>
      </c>
      <c r="F42" s="645">
        <f t="shared" ref="F42:F47" si="17">E42/$E$94</f>
        <v>5.2095342112473166E-2</v>
      </c>
    </row>
    <row r="43" spans="1:6">
      <c r="A43" s="649" t="str">
        <f>PLANILHA!A175</f>
        <v>6.1</v>
      </c>
      <c r="B43" s="650" t="str">
        <f t="shared" si="13"/>
        <v>ELETROBOMBA E ACESSÓRIOS</v>
      </c>
      <c r="C43" s="651">
        <f t="shared" si="14"/>
        <v>11648.130000000003</v>
      </c>
      <c r="D43" s="652">
        <f t="shared" si="15"/>
        <v>4.1246367607895001E-3</v>
      </c>
      <c r="E43" s="653">
        <f t="shared" si="16"/>
        <v>12127.23</v>
      </c>
      <c r="F43" s="652">
        <f t="shared" si="17"/>
        <v>4.221622593227746E-3</v>
      </c>
    </row>
    <row r="44" spans="1:6">
      <c r="A44" s="649" t="str">
        <f>PLANILHA!A184</f>
        <v>6.2</v>
      </c>
      <c r="B44" s="650" t="str">
        <f t="shared" si="13"/>
        <v>ABRIGO, HIDRANTE, MANGUEIRA E EXTINTOR</v>
      </c>
      <c r="C44" s="651">
        <f t="shared" si="14"/>
        <v>14242.86</v>
      </c>
      <c r="D44" s="652">
        <f t="shared" si="15"/>
        <v>5.0434382115222207E-3</v>
      </c>
      <c r="E44" s="653">
        <f t="shared" si="16"/>
        <v>14803.939999999999</v>
      </c>
      <c r="F44" s="652">
        <f t="shared" si="17"/>
        <v>5.153414883100919E-3</v>
      </c>
    </row>
    <row r="45" spans="1:6">
      <c r="A45" s="649" t="str">
        <f>PLANILHA!A198</f>
        <v>6.3</v>
      </c>
      <c r="B45" s="650" t="str">
        <f t="shared" si="13"/>
        <v>TUBOS</v>
      </c>
      <c r="C45" s="651">
        <f t="shared" si="14"/>
        <v>21529.809999999998</v>
      </c>
      <c r="D45" s="652">
        <f t="shared" si="15"/>
        <v>7.6237684313974303E-3</v>
      </c>
      <c r="E45" s="653">
        <f t="shared" si="16"/>
        <v>22301.949999999997</v>
      </c>
      <c r="F45" s="652">
        <f t="shared" si="17"/>
        <v>7.7635549085022324E-3</v>
      </c>
    </row>
    <row r="46" spans="1:6">
      <c r="A46" s="649" t="str">
        <f>PLANILHA!A215</f>
        <v>6.4</v>
      </c>
      <c r="B46" s="650" t="str">
        <f t="shared" si="13"/>
        <v>ILUMINAÇÃO SINALIZAÇÃO</v>
      </c>
      <c r="C46" s="651">
        <f t="shared" si="14"/>
        <v>3745.82</v>
      </c>
      <c r="D46" s="652">
        <f t="shared" si="15"/>
        <v>1.3264057725403582E-3</v>
      </c>
      <c r="E46" s="653">
        <f t="shared" si="16"/>
        <v>3697.9300000000003</v>
      </c>
      <c r="F46" s="652">
        <f t="shared" si="17"/>
        <v>1.287290241561732E-3</v>
      </c>
    </row>
    <row r="47" spans="1:6">
      <c r="A47" s="649" t="s">
        <v>14178</v>
      </c>
      <c r="B47" s="650" t="str">
        <f t="shared" si="13"/>
        <v>CISTERNA</v>
      </c>
      <c r="C47" s="651">
        <f t="shared" si="14"/>
        <v>94972.7</v>
      </c>
      <c r="D47" s="652">
        <f t="shared" si="15"/>
        <v>3.3630109699276434E-2</v>
      </c>
      <c r="E47" s="653">
        <f t="shared" si="16"/>
        <v>96720.459999999992</v>
      </c>
      <c r="F47" s="652">
        <f t="shared" si="17"/>
        <v>3.3669459486080536E-2</v>
      </c>
    </row>
    <row r="48" spans="1:6" s="654" customFormat="1" ht="15" customHeight="1">
      <c r="A48" s="1336"/>
      <c r="B48" s="1336"/>
      <c r="C48" s="1336"/>
      <c r="D48" s="1336"/>
      <c r="E48" s="1336"/>
      <c r="F48" s="1336"/>
    </row>
    <row r="49" spans="1:6" s="642" customFormat="1">
      <c r="A49" s="646" t="str">
        <f>PLANILHA!A255</f>
        <v>7.0</v>
      </c>
      <c r="B49" s="647" t="str">
        <f>VLOOKUP(A49,PLANILHA,4,FALSE)</f>
        <v xml:space="preserve">ELÉTRICA </v>
      </c>
      <c r="C49" s="643">
        <f>VLOOKUP(CONCATENATE("TOTAL DO ITEM &gt;&gt;&gt;&gt;",A49),PLANILHA,9,FALSE)</f>
        <v>350544.81999999995</v>
      </c>
      <c r="D49" s="645">
        <f>C49/$C$94</f>
        <v>0.12412894180236121</v>
      </c>
      <c r="E49" s="648">
        <f>VLOOKUP(CONCATENATE("TOTAL DO ITEM &gt;&gt;&gt;&gt;",A49),PLANILHA,12,FALSE)</f>
        <v>362257.73000000004</v>
      </c>
      <c r="F49" s="645">
        <f>E49/$E$94</f>
        <v>0.1261059135135886</v>
      </c>
    </row>
    <row r="50" spans="1:6" ht="18.75" customHeight="1">
      <c r="A50" s="649" t="str">
        <f>PLANILHA!A256</f>
        <v>7.1</v>
      </c>
      <c r="B50" s="650" t="str">
        <f>VLOOKUP(A50,PLANILHA,4,FALSE)</f>
        <v>ELÉTRICA INCÊNDIO</v>
      </c>
      <c r="C50" s="651">
        <f>VLOOKUP(CONCATENATE("TOTAL DO ITEM &gt;&gt;&gt;&gt;",A50),PLANILHA,9,FALSE)</f>
        <v>8169.0400000000009</v>
      </c>
      <c r="D50" s="652">
        <f>C50/$C$94</f>
        <v>2.8926808581600525E-3</v>
      </c>
      <c r="E50" s="653">
        <f>VLOOKUP(CONCATENATE("TOTAL DO ITEM &gt;&gt;&gt;&gt;",A50),PLANILHA,12,FALSE)</f>
        <v>8367.86</v>
      </c>
      <c r="F50" s="652">
        <f>E50/$E$94</f>
        <v>2.9129444096439774E-3</v>
      </c>
    </row>
    <row r="51" spans="1:6">
      <c r="A51" s="649" t="str">
        <f>PLANILHA!A271</f>
        <v>7.2</v>
      </c>
      <c r="B51" s="650" t="str">
        <f>VLOOKUP(A51,PLANILHA,4,FALSE)</f>
        <v xml:space="preserve">CABOS PARA ALIMENTAÇÃO DE QUADROS - ALIMENTAÇÃO GERAL </v>
      </c>
      <c r="C51" s="651">
        <f>VLOOKUP(CONCATENATE("TOTAL DO ITEM &gt;&gt;&gt;&gt;",A51),PLANILHA,9,FALSE)</f>
        <v>257661.93999999994</v>
      </c>
      <c r="D51" s="652">
        <f>C51/$C$94</f>
        <v>9.1238843452153953E-2</v>
      </c>
      <c r="E51" s="653">
        <f>VLOOKUP(CONCATENATE("TOTAL DO ITEM &gt;&gt;&gt;&gt;",A51),PLANILHA,12,FALSE)</f>
        <v>267234.70000000007</v>
      </c>
      <c r="F51" s="652">
        <f>E51/$E$94</f>
        <v>9.302734814252217E-2</v>
      </c>
    </row>
    <row r="52" spans="1:6">
      <c r="A52" s="649" t="str">
        <f>PLANILHA!A337</f>
        <v>7.3</v>
      </c>
      <c r="B52" s="650" t="str">
        <f>PLANILHA!D337</f>
        <v>SERVIÇOS COMPLEMENTARES</v>
      </c>
      <c r="C52" s="651">
        <f>PLANILHA!I363</f>
        <v>84713.840000000011</v>
      </c>
      <c r="D52" s="652">
        <f>C52/$C$94</f>
        <v>2.9997417492047214E-2</v>
      </c>
      <c r="E52" s="653">
        <f>PLANILHA!L363</f>
        <v>86655.17</v>
      </c>
      <c r="F52" s="652">
        <f>E52/$E$94</f>
        <v>3.0165620961422453E-2</v>
      </c>
    </row>
    <row r="53" spans="1:6" s="654" customFormat="1" ht="15" customHeight="1">
      <c r="A53" s="1336"/>
      <c r="B53" s="1336"/>
      <c r="C53" s="1336"/>
      <c r="D53" s="1336"/>
      <c r="E53" s="1336"/>
      <c r="F53" s="1336"/>
    </row>
    <row r="54" spans="1:6" s="642" customFormat="1">
      <c r="A54" s="646" t="str">
        <f>PLANILHA!A367</f>
        <v>8.0</v>
      </c>
      <c r="B54" s="647" t="str">
        <f>VLOOKUP(A54,PLANILHA,4,FALSE)</f>
        <v>INSTALAÇÕES HIDRÁULICAS</v>
      </c>
      <c r="C54" s="643">
        <f>VLOOKUP(CONCATENATE("TOTAL DO ITEM &gt;&gt;&gt;&gt;",A54),PLANILHA,9,FALSE)</f>
        <v>5377.16</v>
      </c>
      <c r="D54" s="645">
        <f>C54/$C$94</f>
        <v>1.9040680181837653E-3</v>
      </c>
      <c r="E54" s="648">
        <f>VLOOKUP(CONCATENATE("TOTAL DO ITEM &gt;&gt;&gt;&gt;",A54),PLANILHA,12,FALSE)</f>
        <v>5498.0599999999995</v>
      </c>
      <c r="F54" s="645">
        <f>E54/$E$94</f>
        <v>1.9139353599232258E-3</v>
      </c>
    </row>
    <row r="55" spans="1:6">
      <c r="A55" s="649" t="str">
        <f>PLANILHA!A368</f>
        <v>8.1</v>
      </c>
      <c r="B55" s="650" t="str">
        <f>VLOOKUP(A55,PLANILHA,4,FALSE)</f>
        <v>TUBULAÇÃO DE ALIMENTAÇÃO DO RESERVATÓRIO DE INCÊNDIO</v>
      </c>
      <c r="C55" s="651">
        <f>VLOOKUP(CONCATENATE("TOTAL DO ITEM &gt;&gt;&gt;&gt;",A55),PLANILHA,9,FALSE)</f>
        <v>5377.16</v>
      </c>
      <c r="D55" s="652">
        <f>C55/$C$94</f>
        <v>1.9040680181837653E-3</v>
      </c>
      <c r="E55" s="653">
        <f>VLOOKUP(CONCATENATE("TOTAL DO ITEM &gt;&gt;&gt;&gt;",A55),PLANILHA,12,FALSE)</f>
        <v>5498.0599999999995</v>
      </c>
      <c r="F55" s="652">
        <f>E55/$E$94</f>
        <v>1.9139353599232258E-3</v>
      </c>
    </row>
    <row r="56" spans="1:6" s="654" customFormat="1" ht="15" customHeight="1">
      <c r="A56" s="1336"/>
      <c r="B56" s="1336"/>
      <c r="C56" s="1336"/>
      <c r="D56" s="1336"/>
      <c r="E56" s="1336"/>
      <c r="F56" s="1336"/>
    </row>
    <row r="57" spans="1:6">
      <c r="A57" s="646" t="str">
        <f>PLANILHA!A389</f>
        <v>9.0</v>
      </c>
      <c r="B57" s="647" t="str">
        <f>VLOOKUP(A57,PLANILHA,4,FALSE)</f>
        <v>DRENAGEM DE AGUAS PLUVIAIS</v>
      </c>
      <c r="C57" s="643">
        <f>VLOOKUP(CONCATENATE("TOTAL DO ITEM &gt;&gt;&gt;&gt;",A57),PLANILHA,9,FALSE)</f>
        <v>10497.600000000002</v>
      </c>
      <c r="D57" s="645">
        <f>C57/$C$94</f>
        <v>3.7172307366129887E-3</v>
      </c>
      <c r="E57" s="648">
        <f>VLOOKUP(CONCATENATE("TOTAL DO ITEM &gt;&gt;&gt;&gt;",A57),PLANILHA,12,FALSE)</f>
        <v>10738.33</v>
      </c>
      <c r="F57" s="645">
        <f>E57/$E$94</f>
        <v>3.7381311760010575E-3</v>
      </c>
    </row>
    <row r="58" spans="1:6">
      <c r="A58" s="649" t="str">
        <f>PLANILHA!A390</f>
        <v>9.1</v>
      </c>
      <c r="B58" s="650" t="str">
        <f>VLOOKUP(A58,PLANILHA,4,FALSE)</f>
        <v>DESCIDAS DE CALHA</v>
      </c>
      <c r="C58" s="651">
        <f>VLOOKUP(CONCATENATE("TOTAL DO ITEM &gt;&gt;&gt;&gt;",A58),PLANILHA,9,FALSE)</f>
        <v>10497.600000000002</v>
      </c>
      <c r="D58" s="652">
        <f>C58/$C$94</f>
        <v>3.7172307366129887E-3</v>
      </c>
      <c r="E58" s="653">
        <f>VLOOKUP(CONCATENATE("TOTAL DO ITEM &gt;&gt;&gt;&gt;",A58),PLANILHA,12,FALSE)</f>
        <v>10738.33</v>
      </c>
      <c r="F58" s="652">
        <f>E58/$E$94</f>
        <v>3.7381311760010575E-3</v>
      </c>
    </row>
    <row r="59" spans="1:6" s="654" customFormat="1" ht="15" customHeight="1">
      <c r="A59" s="1336"/>
      <c r="B59" s="1336"/>
      <c r="C59" s="1336"/>
      <c r="D59" s="1336"/>
      <c r="E59" s="1336"/>
      <c r="F59" s="1336"/>
    </row>
    <row r="60" spans="1:6">
      <c r="A60" s="646" t="str">
        <f>PLANILHA!A401</f>
        <v>10.0</v>
      </c>
      <c r="B60" s="647" t="str">
        <f>VLOOKUP(A60,PLANILHA,4,FALSE)</f>
        <v>SPDA - SISTEMA DE PROTEÇÃO CONTRA DESARGA ATMOSFERICA</v>
      </c>
      <c r="C60" s="643">
        <f>VLOOKUP(CONCATENATE("TOTAL DO ITEM &gt;&gt;&gt;&gt;",A60),PLANILHA,9,FALSE)</f>
        <v>38274.369999999995</v>
      </c>
      <c r="D60" s="645">
        <f>C60/$C$94</f>
        <v>1.3553065899681645E-2</v>
      </c>
      <c r="E60" s="648">
        <f>VLOOKUP(CONCATENATE("TOTAL DO ITEM &gt;&gt;&gt;&gt;",A60),PLANILHA,12,FALSE)</f>
        <v>38692.800000000003</v>
      </c>
      <c r="F60" s="645">
        <f>E60/$E$94</f>
        <v>1.3469390674972154E-2</v>
      </c>
    </row>
    <row r="61" spans="1:6" s="655" customFormat="1">
      <c r="A61" s="1362"/>
      <c r="B61" s="1362"/>
      <c r="C61" s="1362"/>
      <c r="D61" s="1362"/>
      <c r="E61" s="1362"/>
      <c r="F61" s="1362"/>
    </row>
    <row r="62" spans="1:6" s="642" customFormat="1">
      <c r="A62" s="646" t="str">
        <f>PLANILHA!A421</f>
        <v>11.0</v>
      </c>
      <c r="B62" s="647" t="str">
        <f>VLOOKUP(A62,PLANILHA,4,FALSE)</f>
        <v xml:space="preserve">ESCADA ACESSO </v>
      </c>
      <c r="C62" s="643">
        <f>VLOOKUP(CONCATENATE("TOTAL DO ITEM &gt;&gt;&gt;&gt;",A62),PLANILHA,9,FALSE)</f>
        <v>102353.49</v>
      </c>
      <c r="D62" s="645">
        <f>C62/$C$94</f>
        <v>3.6243668936481684E-2</v>
      </c>
      <c r="E62" s="648">
        <f>VLOOKUP(CONCATENATE("TOTAL DO ITEM &gt;&gt;&gt;&gt;",A62),PLANILHA,12,FALSE)</f>
        <v>105467.44</v>
      </c>
      <c r="F62" s="645">
        <f>E62/$E$94</f>
        <v>3.6714379751508937E-2</v>
      </c>
    </row>
    <row r="63" spans="1:6" s="642" customFormat="1">
      <c r="A63" s="649" t="str">
        <f>PLANILHA!A422</f>
        <v>11.1</v>
      </c>
      <c r="B63" s="650" t="str">
        <f>VLOOKUP(A63,PLANILHA,4,FALSE)</f>
        <v>SERVIÇOS PRELIMINARES</v>
      </c>
      <c r="C63" s="651">
        <f>VLOOKUP(CONCATENATE("TOTAL DO ITEM &gt;&gt;&gt;&gt;",A63),PLANILHA,9,FALSE)</f>
        <v>5950.96</v>
      </c>
      <c r="D63" s="652">
        <f>C63/$C$94</f>
        <v>2.1072522695048798E-3</v>
      </c>
      <c r="E63" s="653">
        <f>VLOOKUP(CONCATENATE("TOTAL DO ITEM &gt;&gt;&gt;&gt;",A63),PLANILHA,12,FALSE)</f>
        <v>5658.22</v>
      </c>
      <c r="F63" s="652">
        <f>E63/$E$94</f>
        <v>1.9696888233712976E-3</v>
      </c>
    </row>
    <row r="64" spans="1:6">
      <c r="A64" s="649" t="str">
        <f>PLANILHA!A429</f>
        <v>11.2</v>
      </c>
      <c r="B64" s="650" t="str">
        <f>VLOOKUP(A64,PLANILHA,4,FALSE)</f>
        <v>FUNDAÇÃO</v>
      </c>
      <c r="C64" s="651">
        <f>VLOOKUP(CONCATENATE("TOTAL DO ITEM &gt;&gt;&gt;&gt;",A64),PLANILHA,9,FALSE)</f>
        <v>40722.609999999993</v>
      </c>
      <c r="D64" s="652">
        <f>C64/$C$94</f>
        <v>1.4419994814729406E-2</v>
      </c>
      <c r="E64" s="653">
        <f>VLOOKUP(CONCATENATE("TOTAL DO ITEM &gt;&gt;&gt;&gt;",A64),PLANILHA,12,FALSE)</f>
        <v>41823.530000000006</v>
      </c>
      <c r="F64" s="652">
        <f>E64/$E$94</f>
        <v>1.4559232337189818E-2</v>
      </c>
    </row>
    <row r="65" spans="1:6">
      <c r="A65" s="649" t="str">
        <f>PLANILHA!A441</f>
        <v>11.3</v>
      </c>
      <c r="B65" s="650" t="str">
        <f>VLOOKUP(A65,PLANILHA,4,FALSE)</f>
        <v>PISO E REVESTIMENTO</v>
      </c>
      <c r="C65" s="651">
        <f>VLOOKUP(CONCATENATE("TOTAL DO ITEM &gt;&gt;&gt;&gt;",A65),PLANILHA,9,FALSE)</f>
        <v>21565.91</v>
      </c>
      <c r="D65" s="652">
        <f>C65/$C$94</f>
        <v>7.6365515465467732E-3</v>
      </c>
      <c r="E65" s="653">
        <f>VLOOKUP(CONCATENATE("TOTAL DO ITEM &gt;&gt;&gt;&gt;",A65),PLANILHA,12,FALSE)</f>
        <v>22353.9</v>
      </c>
      <c r="F65" s="652">
        <f>E65/$E$94</f>
        <v>7.7816392767972344E-3</v>
      </c>
    </row>
    <row r="66" spans="1:6">
      <c r="A66" s="649" t="str">
        <f>PLANILHA!A446</f>
        <v>11.4</v>
      </c>
      <c r="B66" s="650" t="str">
        <f>VLOOKUP(A66,PLANILHA,4,FALSE)</f>
        <v>SERVIÇOS COMPLEMENTARES</v>
      </c>
      <c r="C66" s="651">
        <f>VLOOKUP(CONCATENATE("TOTAL DO ITEM &gt;&gt;&gt;&gt;",A66),PLANILHA,9,FALSE)</f>
        <v>34114.01</v>
      </c>
      <c r="D66" s="652">
        <f>C66/$C$94</f>
        <v>1.2079870305700622E-2</v>
      </c>
      <c r="E66" s="653">
        <f>VLOOKUP(CONCATENATE("TOTAL DO ITEM &gt;&gt;&gt;&gt;",A66),PLANILHA,12,FALSE)</f>
        <v>35631.79</v>
      </c>
      <c r="F66" s="652">
        <f>E66/$E$94</f>
        <v>1.2403819314150593E-2</v>
      </c>
    </row>
    <row r="67" spans="1:6" s="654" customFormat="1" ht="15" customHeight="1">
      <c r="A67" s="1336"/>
      <c r="B67" s="1336"/>
      <c r="C67" s="1336"/>
      <c r="D67" s="1336"/>
      <c r="E67" s="1336"/>
      <c r="F67" s="1336"/>
    </row>
    <row r="68" spans="1:6" s="642" customFormat="1">
      <c r="A68" s="646" t="str">
        <f>PLANILHA!A452</f>
        <v>12.0</v>
      </c>
      <c r="B68" s="647" t="str">
        <f>VLOOKUP(A68,PLANILHA,4,FALSE)</f>
        <v>COBERTURA</v>
      </c>
      <c r="C68" s="643">
        <f>VLOOKUP(CONCATENATE("TOTAL DO ITEM &gt;&gt;&gt;&gt;",A68),PLANILHA,9,FALSE)</f>
        <v>209710.46</v>
      </c>
      <c r="D68" s="645">
        <f>C68/$C$94</f>
        <v>7.4259084714720369E-2</v>
      </c>
      <c r="E68" s="648">
        <f>VLOOKUP(CONCATENATE("TOTAL DO ITEM &gt;&gt;&gt;&gt;",A68),PLANILHA,12,FALSE)</f>
        <v>214947.37999999998</v>
      </c>
      <c r="F68" s="645">
        <f>E68/$E$94</f>
        <v>7.4825555033021532E-2</v>
      </c>
    </row>
    <row r="69" spans="1:6">
      <c r="A69" s="649" t="str">
        <f>PLANILHA!A453</f>
        <v>12.1</v>
      </c>
      <c r="B69" s="650" t="str">
        <f>VLOOKUP(A69,PLANILHA,4,FALSE)</f>
        <v>DEMOLIÇÃO</v>
      </c>
      <c r="C69" s="651">
        <f>VLOOKUP(CONCATENATE("TOTAL DO ITEM &gt;&gt;&gt;&gt;",A69),PLANILHA,9,FALSE)</f>
        <v>11816.69</v>
      </c>
      <c r="D69" s="652">
        <f>C69/$C$94</f>
        <v>4.1843243477582811E-3</v>
      </c>
      <c r="E69" s="653">
        <f>VLOOKUP(CONCATENATE("TOTAL DO ITEM &gt;&gt;&gt;&gt;",A69),PLANILHA,12,FALSE)</f>
        <v>11487.53</v>
      </c>
      <c r="F69" s="652">
        <f>E69/$E$94</f>
        <v>3.9989359638088447E-3</v>
      </c>
    </row>
    <row r="70" spans="1:6">
      <c r="A70" s="649" t="s">
        <v>14104</v>
      </c>
      <c r="B70" s="650" t="str">
        <f>VLOOKUP(A70,PLANILHA,4,FALSE)</f>
        <v>COBERTURA METALICA</v>
      </c>
      <c r="C70" s="651">
        <f>VLOOKUP(CONCATENATE("TOTAL DO ITEM &gt;&gt;&gt;&gt;",A70),PLANILHA,9,FALSE)</f>
        <v>136546.04999999999</v>
      </c>
      <c r="D70" s="652">
        <f>C70/$C$94</f>
        <v>4.8351354025976782E-2</v>
      </c>
      <c r="E70" s="653">
        <f>VLOOKUP(CONCATENATE("TOTAL DO ITEM &gt;&gt;&gt;&gt;",A70),PLANILHA,12,FALSE)</f>
        <v>141320.4</v>
      </c>
      <c r="F70" s="652">
        <f>E70/$E$94</f>
        <v>4.9195190783384364E-2</v>
      </c>
    </row>
    <row r="71" spans="1:6">
      <c r="A71" s="649" t="str">
        <f>PLANILHA!A473</f>
        <v>12.3</v>
      </c>
      <c r="B71" s="650" t="str">
        <f>VLOOKUP(A71,PLANILHA,4,FALSE)</f>
        <v>ESTRUTURA DE CONCRETO</v>
      </c>
      <c r="C71" s="651">
        <f>VLOOKUP(CONCATENATE("TOTAL DO ITEM &gt;&gt;&gt;&gt;",A71),PLANILHA,9,FALSE)</f>
        <v>36312.670000000006</v>
      </c>
      <c r="D71" s="652">
        <f>C71/$C$94</f>
        <v>1.2858422215790692E-2</v>
      </c>
      <c r="E71" s="653">
        <f>VLOOKUP(CONCATENATE("TOTAL DO ITEM &gt;&gt;&gt;&gt;",A71),PLANILHA,12,FALSE)</f>
        <v>37184.75</v>
      </c>
      <c r="F71" s="652">
        <f>E71/$E$94</f>
        <v>1.294442182786386E-2</v>
      </c>
    </row>
    <row r="72" spans="1:6">
      <c r="A72" s="649" t="str">
        <f>PLANILHA!A481</f>
        <v>12.4</v>
      </c>
      <c r="B72" s="650" t="str">
        <f>VLOOKUP(A72,PLANILHA,4,FALSE)</f>
        <v>ALVENARIA E REVESTIMENTO</v>
      </c>
      <c r="C72" s="651">
        <f>VLOOKUP(CONCATENATE("TOTAL DO ITEM &gt;&gt;&gt;&gt;",A72),PLANILHA,9,FALSE)</f>
        <v>25035.050000000003</v>
      </c>
      <c r="D72" s="652">
        <f>C72/$C$94</f>
        <v>8.8649841251946162E-3</v>
      </c>
      <c r="E72" s="653">
        <f>VLOOKUP(CONCATENATE("TOTAL DO ITEM &gt;&gt;&gt;&gt;",A72),PLANILHA,12,FALSE)</f>
        <v>24954.699999999997</v>
      </c>
      <c r="F72" s="652">
        <f>E72/$E$94</f>
        <v>8.6870064579644673E-3</v>
      </c>
    </row>
    <row r="73" spans="1:6" s="654" customFormat="1" ht="15" customHeight="1">
      <c r="A73" s="1336"/>
      <c r="B73" s="1336"/>
      <c r="C73" s="1336"/>
      <c r="D73" s="1336"/>
      <c r="E73" s="1336"/>
      <c r="F73" s="1336"/>
    </row>
    <row r="74" spans="1:6" s="642" customFormat="1">
      <c r="A74" s="646" t="str">
        <f>PLANILHA!A488</f>
        <v>13.0</v>
      </c>
      <c r="B74" s="647" t="str">
        <f>VLOOKUP(A74,PLANILHA,4,FALSE)</f>
        <v>FACHADA</v>
      </c>
      <c r="C74" s="643">
        <f>VLOOKUP(CONCATENATE("TOTAL DO ITEM &gt;&gt;&gt;&gt;",A74),PLANILHA,9,FALSE)</f>
        <v>813902.98999999987</v>
      </c>
      <c r="D74" s="645">
        <f>C74/$C$94</f>
        <v>0.28820541943389089</v>
      </c>
      <c r="E74" s="648">
        <f>VLOOKUP(CONCATENATE("TOTAL DO ITEM &gt;&gt;&gt;&gt;",A74),PLANILHA,12,FALSE)</f>
        <v>829463.83000000007</v>
      </c>
      <c r="F74" s="645">
        <f>E74/$E$94</f>
        <v>0.28874551278348137</v>
      </c>
    </row>
    <row r="75" spans="1:6" s="642" customFormat="1">
      <c r="A75" s="649" t="str">
        <f>PLANILHA!A490</f>
        <v>13.1</v>
      </c>
      <c r="B75" s="650" t="str">
        <f>VLOOKUP(A75,PLANILHA,4,FALSE)</f>
        <v>MARQUISE E PILARES ENTRADA PRINCIPAL</v>
      </c>
      <c r="C75" s="651">
        <f>PLANILHA!I520+PLANILHA!I505+PLANILHA!I494</f>
        <v>445691.15</v>
      </c>
      <c r="D75" s="652">
        <f>C75/$C$94</f>
        <v>0.15782053439037397</v>
      </c>
      <c r="E75" s="653">
        <f>PLANILHA!L520+PLANILHA!L505+PLANILHA!L494</f>
        <v>458816.91999999993</v>
      </c>
      <c r="F75" s="652">
        <f>E75/$E$94</f>
        <v>0.15971923313297159</v>
      </c>
    </row>
    <row r="76" spans="1:6">
      <c r="A76" s="649" t="str">
        <f>PLANILHA!A522</f>
        <v>13.2</v>
      </c>
      <c r="B76" s="650" t="str">
        <f>VLOOKUP(A76,PLANILHA,4,FALSE)</f>
        <v>BRISE FACHADA</v>
      </c>
      <c r="C76" s="651">
        <f>PLANILHA!I527</f>
        <v>183101.14</v>
      </c>
      <c r="D76" s="652">
        <f>C76/$C$94</f>
        <v>6.4836646997111516E-2</v>
      </c>
      <c r="E76" s="653">
        <f>PLANILHA!L527</f>
        <v>182883.27000000002</v>
      </c>
      <c r="F76" s="652">
        <f>E76/$E$94</f>
        <v>6.3663684498056872E-2</v>
      </c>
    </row>
    <row r="77" spans="1:6">
      <c r="A77" s="649" t="str">
        <f>PLANILHA!A529</f>
        <v>13.3</v>
      </c>
      <c r="B77" s="650" t="str">
        <f>VLOOKUP(A77,PLANILHA,4,FALSE)</f>
        <v>PINTURA</v>
      </c>
      <c r="C77" s="651">
        <f>PLANILHA!I533</f>
        <v>49284.91</v>
      </c>
      <c r="D77" s="652">
        <f>C77/$C$94</f>
        <v>1.7451930184347358E-2</v>
      </c>
      <c r="E77" s="653">
        <f>PLANILHA!L533</f>
        <v>48775.38</v>
      </c>
      <c r="F77" s="652">
        <f>E77/$E$94</f>
        <v>1.6979248039434295E-2</v>
      </c>
    </row>
    <row r="78" spans="1:6">
      <c r="A78" s="649" t="str">
        <f>PLANILHA!A535</f>
        <v>13.4</v>
      </c>
      <c r="B78" s="650" t="str">
        <f>PLANILHA!D535</f>
        <v>FACHADA POSTERIOR - ENVOLTÓRIA DA ESCADA</v>
      </c>
      <c r="C78" s="651">
        <f>PLANILHA!I555+PLANILHA!I548+PLANILHA!I539</f>
        <v>135825.79</v>
      </c>
      <c r="D78" s="652">
        <f>C78/$C$94</f>
        <v>4.8096307862058096E-2</v>
      </c>
      <c r="E78" s="653">
        <f>PLANILHA!L555+PLANILHA!L548+PLANILHA!L539</f>
        <v>138988.26</v>
      </c>
      <c r="F78" s="652">
        <f>E78/$E$94</f>
        <v>4.8383347113018581E-2</v>
      </c>
    </row>
    <row r="79" spans="1:6" s="654" customFormat="1" ht="15" customHeight="1">
      <c r="A79" s="1336"/>
      <c r="B79" s="1336"/>
      <c r="C79" s="1336"/>
      <c r="D79" s="1336"/>
      <c r="E79" s="1336"/>
      <c r="F79" s="1336"/>
    </row>
    <row r="80" spans="1:6" s="642" customFormat="1">
      <c r="A80" s="646" t="str">
        <f>PLANILHA!A559</f>
        <v>14.0</v>
      </c>
      <c r="B80" s="647" t="str">
        <f>VLOOKUP(A80,PLANILHA,4,FALSE)</f>
        <v>ACESSIBILIDADE</v>
      </c>
      <c r="C80" s="643">
        <f>VLOOKUP(CONCATENATE("TOTAL DO ITEM &gt;&gt;&gt;&gt;",A80),PLANILHA,9,FALSE)</f>
        <v>13853.400000000001</v>
      </c>
      <c r="D80" s="645">
        <f>C80/$C$94</f>
        <v>4.9055292911326757E-3</v>
      </c>
      <c r="E80" s="648">
        <f>VLOOKUP(CONCATENATE("TOTAL DO ITEM &gt;&gt;&gt;&gt;",A80),PLANILHA,12,FALSE)</f>
        <v>14453.41</v>
      </c>
      <c r="F80" s="645">
        <f>E80/$E$94</f>
        <v>5.0313915218218701E-3</v>
      </c>
    </row>
    <row r="81" spans="1:6" s="654" customFormat="1" ht="15" customHeight="1">
      <c r="A81" s="1336"/>
      <c r="B81" s="1336"/>
      <c r="C81" s="1336"/>
      <c r="D81" s="1336"/>
      <c r="E81" s="1336"/>
      <c r="F81" s="1336"/>
    </row>
    <row r="82" spans="1:6" s="642" customFormat="1">
      <c r="A82" s="646" t="str">
        <f>PLANILHA!A568</f>
        <v>15.0</v>
      </c>
      <c r="B82" s="647" t="str">
        <f>VLOOKUP(A82,PLANILHA,4,FALSE)</f>
        <v>RAMPA DE ACESSO</v>
      </c>
      <c r="C82" s="643">
        <f>VLOOKUP(CONCATENATE("TOTAL DO ITEM &gt;&gt;&gt;&gt;",A82),PLANILHA,9,FALSE)</f>
        <v>70501.600000000006</v>
      </c>
      <c r="D82" s="645">
        <f>C82/$C$94</f>
        <v>2.4964821911712606E-2</v>
      </c>
      <c r="E82" s="648">
        <f>VLOOKUP(CONCATENATE("TOTAL DO ITEM &gt;&gt;&gt;&gt;",A82),PLANILHA,12,FALSE)</f>
        <v>72230.039999999994</v>
      </c>
      <c r="F82" s="645">
        <f>E82/$E$94</f>
        <v>2.5144074019684944E-2</v>
      </c>
    </row>
    <row r="83" spans="1:6">
      <c r="A83" s="649" t="str">
        <f>PLANILHA!A569</f>
        <v>15.1</v>
      </c>
      <c r="B83" s="650" t="str">
        <f>VLOOKUP(A83,PLANILHA,4,FALSE)</f>
        <v>SERVIÇOS PRELIMINARES</v>
      </c>
      <c r="C83" s="651">
        <f>VLOOKUP(CONCATENATE("TOTAL DO ITEM &gt;&gt;&gt;&gt;",A83),PLANILHA,9,FALSE)</f>
        <v>3696.6600000000003</v>
      </c>
      <c r="D83" s="652">
        <f>C83/$C$94</f>
        <v>1.3089980733508391E-3</v>
      </c>
      <c r="E83" s="653">
        <f>VLOOKUP(CONCATENATE("TOTAL DO ITEM &gt;&gt;&gt;&gt;",A83),PLANILHA,12,FALSE)</f>
        <v>3511.8700000000003</v>
      </c>
      <c r="F83" s="652">
        <f>E83/$E$94</f>
        <v>1.2225207022938237E-3</v>
      </c>
    </row>
    <row r="84" spans="1:6">
      <c r="A84" s="649" t="str">
        <f>PLANILHA!A576</f>
        <v>15.2</v>
      </c>
      <c r="B84" s="650" t="str">
        <f>VLOOKUP(A84,PLANILHA,4,FALSE)</f>
        <v>FUNDAÇÃO</v>
      </c>
      <c r="C84" s="651">
        <f>VLOOKUP(CONCATENATE("TOTAL DO ITEM &gt;&gt;&gt;&gt;",A84),PLANILHA,9,FALSE)</f>
        <v>44673.73</v>
      </c>
      <c r="D84" s="652">
        <f>C84/$C$94</f>
        <v>1.5819097915252035E-2</v>
      </c>
      <c r="E84" s="653">
        <f>VLOOKUP(CONCATENATE("TOTAL DO ITEM &gt;&gt;&gt;&gt;",A84),PLANILHA,12,FALSE)</f>
        <v>45923.08</v>
      </c>
      <c r="F84" s="652">
        <f>E84/$E$94</f>
        <v>1.5986330932835056E-2</v>
      </c>
    </row>
    <row r="85" spans="1:6">
      <c r="A85" s="649" t="str">
        <f>PLANILHA!A588</f>
        <v>15.3</v>
      </c>
      <c r="B85" s="650" t="str">
        <f>VLOOKUP(A85,PLANILHA,4,FALSE)</f>
        <v>SERVIÇOS COMPLEMENTARES</v>
      </c>
      <c r="C85" s="651">
        <f>VLOOKUP(CONCATENATE("TOTAL DO ITEM &gt;&gt;&gt;&gt;",A85),PLANILHA,9,FALSE)</f>
        <v>22131.21</v>
      </c>
      <c r="D85" s="652">
        <f>C85/$C$94</f>
        <v>7.836725923109732E-3</v>
      </c>
      <c r="E85" s="653">
        <f>VLOOKUP(CONCATENATE("TOTAL DO ITEM &gt;&gt;&gt;&gt;",A85),PLANILHA,12,FALSE)</f>
        <v>22795.09</v>
      </c>
      <c r="F85" s="652">
        <f>E85/$E$94</f>
        <v>7.9352223845560663E-3</v>
      </c>
    </row>
    <row r="86" spans="1:6" s="654" customFormat="1" ht="15" customHeight="1">
      <c r="A86" s="1336"/>
      <c r="B86" s="1336"/>
      <c r="C86" s="1336"/>
      <c r="D86" s="1336"/>
      <c r="E86" s="1336"/>
      <c r="F86" s="1336"/>
    </row>
    <row r="87" spans="1:6">
      <c r="A87" s="646" t="str">
        <f>PLANILHA!A593</f>
        <v>16.0</v>
      </c>
      <c r="B87" s="647" t="str">
        <f>VLOOKUP(A87,PLANILHA,4,FALSE)</f>
        <v>ELEVADOR</v>
      </c>
      <c r="C87" s="643">
        <f>VLOOKUP(CONCATENATE("TOTAL DO ITEM &gt;&gt;&gt;&gt;",A87),PLANILHA,9,FALSE)</f>
        <v>86862.659999999989</v>
      </c>
      <c r="D87" s="645">
        <f>C87/$C$94</f>
        <v>3.0758320912967107E-2</v>
      </c>
      <c r="E87" s="648">
        <f>VLOOKUP(CONCATENATE("TOTAL DO ITEM &gt;&gt;&gt;&gt;",A87),PLANILHA,12,FALSE)</f>
        <v>89133.09</v>
      </c>
      <c r="F87" s="645">
        <f>E87/$E$94</f>
        <v>3.1028212258545611E-2</v>
      </c>
    </row>
    <row r="88" spans="1:6">
      <c r="A88" s="649" t="str">
        <f>PLANILHA!A594</f>
        <v>16.1</v>
      </c>
      <c r="B88" s="650" t="str">
        <f>VLOOKUP(A88,PLANILHA,4,FALSE)</f>
        <v>MOVIMENTO DE SOLO</v>
      </c>
      <c r="C88" s="651">
        <f>VLOOKUP(CONCATENATE("TOTAL DO ITEM &gt;&gt;&gt;&gt;",A88),PLANILHA,9,FALSE)</f>
        <v>1483.29</v>
      </c>
      <c r="D88" s="652">
        <f>C88/$C$94</f>
        <v>5.2523730941459747E-4</v>
      </c>
      <c r="E88" s="653">
        <f>VLOOKUP(CONCATENATE("TOTAL DO ITEM &gt;&gt;&gt;&gt;",A88),PLANILHA,12,FALSE)</f>
        <v>1416.6200000000001</v>
      </c>
      <c r="F88" s="652">
        <f>E88/$E$94</f>
        <v>4.9314105513116276E-4</v>
      </c>
    </row>
    <row r="89" spans="1:6">
      <c r="A89" s="649" t="str">
        <f>PLANILHA!A601</f>
        <v>16.2</v>
      </c>
      <c r="B89" s="650" t="str">
        <f>VLOOKUP(A89,PLANILHA,4,FALSE)</f>
        <v>ESTRUTURA DE CONCRETO - INFRAESTRUTURA</v>
      </c>
      <c r="C89" s="651">
        <f>VLOOKUP(CONCATENATE("TOTAL DO ITEM &gt;&gt;&gt;&gt;",A89),PLANILHA,9,FALSE)</f>
        <v>12357.67</v>
      </c>
      <c r="D89" s="652">
        <f>C89/$C$94</f>
        <v>4.3758869414837892E-3</v>
      </c>
      <c r="E89" s="653">
        <f>VLOOKUP(CONCATENATE("TOTAL DO ITEM &gt;&gt;&gt;&gt;",A89),PLANILHA,12,FALSE)</f>
        <v>12597.08</v>
      </c>
      <c r="F89" s="652">
        <f>E89/$E$94</f>
        <v>4.3851825632644373E-3</v>
      </c>
    </row>
    <row r="90" spans="1:6">
      <c r="A90" s="649" t="str">
        <f>PLANILHA!A611</f>
        <v>16.3</v>
      </c>
      <c r="B90" s="650" t="str">
        <f>VLOOKUP(A90,PLANILHA,4,FALSE)</f>
        <v>ESTRUTURA - SUPERESTRUTURA</v>
      </c>
      <c r="C90" s="651">
        <f>VLOOKUP(CONCATENATE("TOTAL DO ITEM &gt;&gt;&gt;&gt;",A90),PLANILHA,9,FALSE)</f>
        <v>65451.609999999993</v>
      </c>
      <c r="D90" s="652">
        <f>C90/$C$94</f>
        <v>2.3176605743484794E-2</v>
      </c>
      <c r="E90" s="653">
        <f>VLOOKUP(CONCATENATE("TOTAL DO ITEM &gt;&gt;&gt;&gt;",A90),PLANILHA,12,FALSE)</f>
        <v>67510.740000000005</v>
      </c>
      <c r="F90" s="652">
        <f>E90/$E$94</f>
        <v>2.3501233609779328E-2</v>
      </c>
    </row>
    <row r="91" spans="1:6">
      <c r="A91" s="656" t="str">
        <f>PLANILHA!A623</f>
        <v>16.4</v>
      </c>
      <c r="B91" s="657" t="str">
        <f>VLOOKUP(A91,PLANILHA,4,FALSE)</f>
        <v>ALVENARIA E FECHAMENTO</v>
      </c>
      <c r="C91" s="651">
        <f>VLOOKUP(CONCATENATE("TOTAL DO ITEM &gt;&gt;&gt;&gt;",A91),PLANILHA,9,FALSE)</f>
        <v>7570.09</v>
      </c>
      <c r="D91" s="652">
        <f>C91/$C$94</f>
        <v>2.6805909185839256E-3</v>
      </c>
      <c r="E91" s="653">
        <f>VLOOKUP(CONCATENATE("TOTAL DO ITEM &gt;&gt;&gt;&gt;",A91),PLANILHA,12,FALSE)</f>
        <v>7608.6500000000005</v>
      </c>
      <c r="F91" s="652">
        <f>E91/$E$94</f>
        <v>2.6486550303706862E-3</v>
      </c>
    </row>
    <row r="92" spans="1:6">
      <c r="A92" s="658"/>
      <c r="B92" s="659"/>
      <c r="C92" s="660"/>
      <c r="D92" s="661"/>
      <c r="E92" s="662"/>
      <c r="F92" s="663"/>
    </row>
    <row r="93" spans="1:6">
      <c r="A93" s="664"/>
      <c r="B93" s="665"/>
      <c r="C93" s="666"/>
      <c r="D93" s="667"/>
      <c r="E93" s="668"/>
      <c r="F93" s="669"/>
    </row>
    <row r="94" spans="1:6" ht="15.75" thickBot="1">
      <c r="A94" s="670" t="s">
        <v>14598</v>
      </c>
      <c r="B94" s="671"/>
      <c r="C94" s="672">
        <f>VLOOKUP(A94,PLANILHA,9,0)</f>
        <v>2824037.77</v>
      </c>
      <c r="D94" s="673">
        <f>SUM(D82,D80,D74,D68,D62,D60,D57,D54,D49,D42,D35,D28,D17,D15,D13,D87)</f>
        <v>1</v>
      </c>
      <c r="E94" s="672">
        <f>VLOOKUP(A94,PLANILHA,12,0)</f>
        <v>2872646.6500000004</v>
      </c>
      <c r="F94" s="673">
        <f>SUM(F82,F80,F74,F68,F62,F60,F57,F54,F49,F42,F35,F28,F17,F15,F13,F87)</f>
        <v>0.99999999999999989</v>
      </c>
    </row>
    <row r="99" spans="2:5">
      <c r="B99" s="674"/>
      <c r="E99" s="675"/>
    </row>
    <row r="100" spans="2:5">
      <c r="B100" s="678"/>
    </row>
    <row r="1093" spans="1:6" s="109" customFormat="1">
      <c r="A1093" s="674"/>
      <c r="B1093" s="679"/>
      <c r="C1093" s="675"/>
      <c r="D1093" s="676"/>
      <c r="E1093" s="676"/>
      <c r="F1093" s="677"/>
    </row>
    <row r="1635" spans="1:6" s="109" customFormat="1">
      <c r="A1635" s="674"/>
      <c r="B1635" s="679"/>
      <c r="C1635" s="675"/>
      <c r="D1635" s="676"/>
      <c r="E1635" s="676"/>
      <c r="F1635" s="677"/>
    </row>
    <row r="1636" spans="1:6" s="109" customFormat="1">
      <c r="A1636" s="674"/>
      <c r="B1636" s="679"/>
      <c r="C1636" s="675"/>
      <c r="D1636" s="676"/>
      <c r="E1636" s="676"/>
      <c r="F1636" s="677"/>
    </row>
  </sheetData>
  <sheetProtection password="CA35" sheet="1" formatCells="0" formatColumns="0" formatRows="0" insertColumns="0" insertRows="0" insertHyperlinks="0" deleteColumns="0" deleteRows="0" sort="0" autoFilter="0" pivotTables="0"/>
  <mergeCells count="29">
    <mergeCell ref="A79:F79"/>
    <mergeCell ref="A81:F81"/>
    <mergeCell ref="A86:F86"/>
    <mergeCell ref="A56:F56"/>
    <mergeCell ref="A59:F59"/>
    <mergeCell ref="A61:F61"/>
    <mergeCell ref="A67:F67"/>
    <mergeCell ref="A73:F73"/>
    <mergeCell ref="A12:F12"/>
    <mergeCell ref="A27:F27"/>
    <mergeCell ref="A34:F34"/>
    <mergeCell ref="A1:F1"/>
    <mergeCell ref="A2:F2"/>
    <mergeCell ref="A3:F3"/>
    <mergeCell ref="B10:B11"/>
    <mergeCell ref="A10:A11"/>
    <mergeCell ref="E10:F10"/>
    <mergeCell ref="C4:D4"/>
    <mergeCell ref="C10:D10"/>
    <mergeCell ref="A9:F9"/>
    <mergeCell ref="A8:F8"/>
    <mergeCell ref="C5:D7"/>
    <mergeCell ref="E5:E7"/>
    <mergeCell ref="F5:F7"/>
    <mergeCell ref="A48:F48"/>
    <mergeCell ref="A53:F53"/>
    <mergeCell ref="A14:F14"/>
    <mergeCell ref="A16:F16"/>
    <mergeCell ref="A41:F41"/>
  </mergeCells>
  <printOptions horizontalCentered="1"/>
  <pageMargins left="0.23622047244094491" right="0.43307086614173229" top="1.0236220472440944" bottom="1.5748031496062993" header="0.31496062992125984" footer="0.31496062992125984"/>
  <pageSetup paperSize="9" scale="66" fitToHeight="0" orientation="portrait" r:id="rId1"/>
  <headerFooter>
    <oddHeader xml:space="preserve">&amp;L&amp;G&amp;RSecretaria de Estado de Planejamento e Gestão - SEPLAG
(65) 3613-3619
GERENCIA DE INFRAESTRUTURA
(65) 3611-3753
</oddHeader>
    <oddFooter>&amp;L&amp;G&amp;C&amp;P
&amp;R&amp;A
&amp;D&amp;T</oddFooter>
  </headerFooter>
  <ignoredErrors>
    <ignoredError sqref="E94" formula="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5:I1636"/>
  <sheetViews>
    <sheetView showGridLines="0" view="pageBreakPreview" zoomScale="40" zoomScaleNormal="100" zoomScaleSheetLayoutView="40" zoomScalePageLayoutView="55" workbookViewId="0">
      <selection activeCell="K214" sqref="K214"/>
    </sheetView>
  </sheetViews>
  <sheetFormatPr defaultRowHeight="15"/>
  <cols>
    <col min="1" max="1" width="26" style="547" customWidth="1"/>
    <col min="2" max="2" width="46.7109375" style="547" customWidth="1"/>
    <col min="3" max="4" width="48.28515625" style="547" customWidth="1"/>
    <col min="5" max="5" width="9.5703125" style="547" bestFit="1" customWidth="1"/>
    <col min="6" max="7" width="9.140625" style="547" customWidth="1"/>
    <col min="8" max="9" width="11.28515625" style="547" bestFit="1" customWidth="1"/>
    <col min="10" max="10" width="9.140625" style="547" customWidth="1"/>
    <col min="11" max="16384" width="9.140625" style="547"/>
  </cols>
  <sheetData>
    <row r="65" spans="1:9">
      <c r="A65" s="1311" t="s">
        <v>14579</v>
      </c>
      <c r="B65" s="1241" t="s">
        <v>14599</v>
      </c>
    </row>
    <row r="67" spans="1:9">
      <c r="A67" s="1311" t="s">
        <v>14580</v>
      </c>
      <c r="B67" s="1241" t="s">
        <v>27995</v>
      </c>
      <c r="C67" s="1241" t="s">
        <v>27996</v>
      </c>
      <c r="D67" s="1241" t="s">
        <v>27997</v>
      </c>
      <c r="E67" s="547" t="s">
        <v>14589</v>
      </c>
      <c r="H67" s="547" t="s">
        <v>14629</v>
      </c>
      <c r="I67" s="547" t="s">
        <v>14630</v>
      </c>
    </row>
    <row r="68" spans="1:9">
      <c r="A68" s="1241" t="s">
        <v>14614</v>
      </c>
      <c r="B68" s="1312">
        <v>0.28820541943389094</v>
      </c>
      <c r="C68" s="1312">
        <v>0.28820541943389094</v>
      </c>
      <c r="D68" s="1313">
        <v>813902.98999999987</v>
      </c>
      <c r="E68" s="547" t="str">
        <f>IF(C68&lt;$I$69,$H$69,IF(C68&lt;$I$70,$H$70,$H$71))</f>
        <v>A</v>
      </c>
      <c r="H68" s="547" t="s">
        <v>14585</v>
      </c>
    </row>
    <row r="69" spans="1:9">
      <c r="A69" s="1241" t="s">
        <v>14617</v>
      </c>
      <c r="B69" s="1312">
        <v>0.12412894180236124</v>
      </c>
      <c r="C69" s="1312">
        <v>0.41233436123625217</v>
      </c>
      <c r="D69" s="1313">
        <v>350544.81999999995</v>
      </c>
      <c r="E69" s="547" t="str">
        <f t="shared" ref="E69:E83" si="0">IF(C69&lt;$I$69,$H$69,IF(C69&lt;$I$70,$H$70,$H$71))</f>
        <v>A</v>
      </c>
      <c r="H69" s="547" t="s">
        <v>14586</v>
      </c>
      <c r="I69" s="636">
        <v>0.8</v>
      </c>
    </row>
    <row r="70" spans="1:9">
      <c r="A70" s="1241" t="s">
        <v>14613</v>
      </c>
      <c r="B70" s="1312">
        <v>8.9059594978434034E-2</v>
      </c>
      <c r="C70" s="1312">
        <v>0.50139395621468619</v>
      </c>
      <c r="D70" s="1313">
        <v>251507.66</v>
      </c>
      <c r="E70" s="547" t="str">
        <f t="shared" si="0"/>
        <v>A</v>
      </c>
      <c r="H70" s="547" t="s">
        <v>14587</v>
      </c>
      <c r="I70" s="636">
        <v>0.95</v>
      </c>
    </row>
    <row r="71" spans="1:9">
      <c r="A71" s="1241" t="s">
        <v>14620</v>
      </c>
      <c r="B71" s="1312">
        <v>7.4259084714720383E-2</v>
      </c>
      <c r="C71" s="1312">
        <v>0.5756530409294065</v>
      </c>
      <c r="D71" s="1313">
        <v>209710.46</v>
      </c>
      <c r="E71" s="547" t="str">
        <f t="shared" si="0"/>
        <v>A</v>
      </c>
      <c r="H71" s="547" t="s">
        <v>14588</v>
      </c>
      <c r="I71" s="636">
        <v>1</v>
      </c>
    </row>
    <row r="72" spans="1:9">
      <c r="A72" s="1241" t="s">
        <v>14615</v>
      </c>
      <c r="B72" s="1312">
        <v>7.1266766378978011E-2</v>
      </c>
      <c r="C72" s="1312">
        <v>0.64691980730838461</v>
      </c>
      <c r="D72" s="1313">
        <v>201260.04</v>
      </c>
      <c r="E72" s="547" t="str">
        <f t="shared" si="0"/>
        <v>A</v>
      </c>
    </row>
    <row r="73" spans="1:9">
      <c r="A73" s="1241" t="s">
        <v>14618</v>
      </c>
      <c r="B73" s="1312">
        <v>6.7408751406324144E-2</v>
      </c>
      <c r="C73" s="1312">
        <v>0.71432855871470868</v>
      </c>
      <c r="D73" s="1313">
        <v>190364.86</v>
      </c>
      <c r="E73" s="547" t="str">
        <f t="shared" si="0"/>
        <v>A</v>
      </c>
    </row>
    <row r="74" spans="1:9">
      <c r="A74" s="1241" t="s">
        <v>14616</v>
      </c>
      <c r="B74" s="1312">
        <v>6.6815395319588813E-2</v>
      </c>
      <c r="C74" s="1312">
        <v>0.78114395403429759</v>
      </c>
      <c r="D74" s="1313">
        <v>188689.19999999998</v>
      </c>
      <c r="E74" s="547" t="str">
        <f t="shared" si="0"/>
        <v>A</v>
      </c>
    </row>
    <row r="75" spans="1:9">
      <c r="A75" s="1241" t="s">
        <v>14621</v>
      </c>
      <c r="B75" s="1312">
        <v>5.1748358875525959E-2</v>
      </c>
      <c r="C75" s="1312">
        <v>0.83289231290982346</v>
      </c>
      <c r="D75" s="1313">
        <v>146139.32</v>
      </c>
      <c r="E75" s="547" t="str">
        <f t="shared" si="0"/>
        <v>B</v>
      </c>
    </row>
    <row r="76" spans="1:9">
      <c r="A76" s="1241" t="s">
        <v>14619</v>
      </c>
      <c r="B76" s="1312">
        <v>5.1060981383404105E-2</v>
      </c>
      <c r="C76" s="1312">
        <v>0.88395329429322755</v>
      </c>
      <c r="D76" s="1313">
        <v>144198.14000000001</v>
      </c>
      <c r="E76" s="547" t="str">
        <f t="shared" si="0"/>
        <v>B</v>
      </c>
    </row>
    <row r="77" spans="1:9">
      <c r="A77" s="1241" t="s">
        <v>14622</v>
      </c>
      <c r="B77" s="1312">
        <v>3.6243668936481691E-2</v>
      </c>
      <c r="C77" s="1312">
        <v>0.92019696322970934</v>
      </c>
      <c r="D77" s="1313">
        <v>102353.49</v>
      </c>
      <c r="E77" s="547" t="str">
        <f t="shared" si="0"/>
        <v>B</v>
      </c>
    </row>
    <row r="78" spans="1:9">
      <c r="A78" s="1241" t="s">
        <v>14623</v>
      </c>
      <c r="B78" s="1312">
        <v>3.075832091296711E-2</v>
      </c>
      <c r="C78" s="1312">
        <v>0.95095528414267649</v>
      </c>
      <c r="D78" s="1313">
        <v>86862.659999999989</v>
      </c>
      <c r="E78" s="547" t="str">
        <f t="shared" si="0"/>
        <v>C</v>
      </c>
    </row>
    <row r="79" spans="1:9">
      <c r="A79" s="1241" t="s">
        <v>14624</v>
      </c>
      <c r="B79" s="1312">
        <v>2.496482191171261E-2</v>
      </c>
      <c r="C79" s="1312">
        <v>0.97592010605438917</v>
      </c>
      <c r="D79" s="1313">
        <v>70501.600000000006</v>
      </c>
      <c r="E79" s="547" t="str">
        <f t="shared" si="0"/>
        <v>C</v>
      </c>
    </row>
    <row r="80" spans="1:9">
      <c r="A80" s="1241" t="s">
        <v>14625</v>
      </c>
      <c r="B80" s="1312">
        <v>1.3553065899681646E-2</v>
      </c>
      <c r="C80" s="1312">
        <v>0.98947317195407081</v>
      </c>
      <c r="D80" s="1313">
        <v>38274.369999999995</v>
      </c>
      <c r="E80" s="547" t="str">
        <f t="shared" si="0"/>
        <v>C</v>
      </c>
    </row>
    <row r="81" spans="1:5">
      <c r="A81" s="1241" t="s">
        <v>14626</v>
      </c>
      <c r="B81" s="1312">
        <v>4.9055292911326766E-3</v>
      </c>
      <c r="C81" s="1312">
        <v>0.99437870124520344</v>
      </c>
      <c r="D81" s="1313">
        <v>13853.400000000001</v>
      </c>
      <c r="E81" s="547" t="str">
        <f t="shared" si="0"/>
        <v>C</v>
      </c>
    </row>
    <row r="82" spans="1:5">
      <c r="A82" s="1241" t="s">
        <v>14627</v>
      </c>
      <c r="B82" s="1312">
        <v>3.7172307366129895E-3</v>
      </c>
      <c r="C82" s="1312">
        <v>0.99809593198181656</v>
      </c>
      <c r="D82" s="1313">
        <v>10497.600000000002</v>
      </c>
      <c r="E82" s="547" t="str">
        <f t="shared" si="0"/>
        <v>C</v>
      </c>
    </row>
    <row r="83" spans="1:5">
      <c r="A83" s="1241" t="s">
        <v>14628</v>
      </c>
      <c r="B83" s="1312">
        <v>1.9040680181837656E-3</v>
      </c>
      <c r="C83" s="1312">
        <v>1.0000000000000002</v>
      </c>
      <c r="D83" s="1313">
        <v>5377.16</v>
      </c>
      <c r="E83" s="547" t="str">
        <f t="shared" si="0"/>
        <v>C</v>
      </c>
    </row>
    <row r="84" spans="1:5">
      <c r="A84" s="1241" t="s">
        <v>14582</v>
      </c>
      <c r="B84" s="1312">
        <v>1</v>
      </c>
      <c r="C84" s="1312"/>
      <c r="D84" s="1313">
        <v>2824037.7699999996</v>
      </c>
    </row>
    <row r="1093" s="635" customFormat="1"/>
    <row r="1635" s="635" customFormat="1"/>
    <row r="1636" s="635" customFormat="1"/>
  </sheetData>
  <printOptions horizontalCentered="1"/>
  <pageMargins left="0.23622047244094491" right="0.43307086614173229" top="1.0236220472440944" bottom="1.5748031496062993" header="0.31496062992125984" footer="0.31496062992125984"/>
  <pageSetup paperSize="9" scale="33" fitToHeight="0" orientation="portrait" r:id="rId2"/>
  <headerFooter>
    <oddHeader xml:space="preserve">&amp;L&amp;G&amp;RSecretaria de Estado de Planejamento e Gestão - SEPLAG
(65) 3613-3619
GERENCIA DE INFRAESTRUTURA
(65) 3611-3753
</oddHeader>
    <oddFooter>&amp;L&amp;G&amp;C&amp;P
&amp;R&amp;A
&amp;D&amp;T</oddFooter>
  </headerFooter>
  <rowBreaks count="1" manualBreakCount="1">
    <brk id="42" max="16383" man="1"/>
  </rowBreaks>
  <drawing r:id="rId3"/>
  <legacyDrawingHF r:id="rId4"/>
  <tableParts count="2">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7"/>
  <sheetViews>
    <sheetView view="pageBreakPreview" topLeftCell="A127" zoomScaleNormal="100" zoomScaleSheetLayoutView="100" workbookViewId="0">
      <selection activeCell="C99" sqref="C99"/>
    </sheetView>
  </sheetViews>
  <sheetFormatPr defaultRowHeight="15"/>
  <cols>
    <col min="1" max="1" width="9.140625" style="35"/>
    <col min="2" max="2" width="96.85546875" style="4" bestFit="1" customWidth="1"/>
    <col min="3" max="3" width="14.5703125" style="5" bestFit="1" customWidth="1"/>
    <col min="4" max="4" width="14.5703125" style="4" bestFit="1" customWidth="1"/>
    <col min="5" max="5" width="20.85546875" style="4" customWidth="1"/>
    <col min="7" max="8" width="13.28515625" bestFit="1" customWidth="1"/>
  </cols>
  <sheetData>
    <row r="1" spans="1:8" ht="15.75">
      <c r="A1" s="1363" t="str">
        <f>'MEM CAL'!A1</f>
        <v>GOVERNO DO ESTADO DE MATO GROSSO</v>
      </c>
      <c r="B1" s="1364"/>
      <c r="C1" s="1364"/>
      <c r="D1" s="1364"/>
      <c r="E1" s="1364"/>
    </row>
    <row r="2" spans="1:8" ht="15.75">
      <c r="A2" s="1365" t="str">
        <f>'MEM CAL'!A2</f>
        <v>SEPLAG - SECRETARIA DE ESTADO DE PLANEJAMENTO E GESTÃO/MT</v>
      </c>
      <c r="B2" s="1366"/>
      <c r="C2" s="1366"/>
      <c r="D2" s="1366"/>
      <c r="E2" s="1366"/>
    </row>
    <row r="3" spans="1:8">
      <c r="A3" s="1367"/>
      <c r="B3" s="1368"/>
      <c r="C3" s="1368"/>
      <c r="D3" s="1368"/>
      <c r="E3" s="1368"/>
    </row>
    <row r="4" spans="1:8">
      <c r="A4" s="10" t="str">
        <f>'MEM CAL'!A4</f>
        <v>OBRA:</v>
      </c>
      <c r="B4" s="36" t="str">
        <f>'MEM CAL'!B4:D4</f>
        <v>REFORMA DO PREDIO ESCOLA DO GOVERNO</v>
      </c>
      <c r="C4" s="1369" t="str">
        <f>PLANILHA!I4</f>
        <v>FONTE:</v>
      </c>
      <c r="D4" s="1370"/>
      <c r="E4" s="3" t="str">
        <f>PLANILHA!K4</f>
        <v>BDI NÃO DESON</v>
      </c>
    </row>
    <row r="5" spans="1:8" ht="15" customHeight="1">
      <c r="A5" s="10" t="str">
        <f>'MEM CAL'!A5</f>
        <v>LOCAL:</v>
      </c>
      <c r="B5" s="36" t="str">
        <f>'MEM CAL'!B5:D5</f>
        <v>CENTRO POLITICO ADMINISTRATIVO</v>
      </c>
      <c r="C5" s="1371" t="str">
        <f>PLANILHA!I5</f>
        <v>TABELA SINAPI 02/2022, SETOP 04/2021</v>
      </c>
      <c r="D5" s="1372"/>
      <c r="E5" s="1377">
        <f>PLANILHA!K6</f>
        <v>0.22226164190779008</v>
      </c>
    </row>
    <row r="6" spans="1:8">
      <c r="A6" s="10" t="str">
        <f>'MEM CAL'!A6</f>
        <v>PROP:</v>
      </c>
      <c r="B6" s="36" t="str">
        <f>'MEM CAL'!B6:D6</f>
        <v>GOVERNO DO ESTADO DE MATO GROSSO</v>
      </c>
      <c r="C6" s="1373"/>
      <c r="D6" s="1374"/>
      <c r="E6" s="1378"/>
    </row>
    <row r="7" spans="1:8" ht="15.75" thickBot="1">
      <c r="A7" s="33" t="str">
        <f>'MEM CAL'!A7</f>
        <v>END:</v>
      </c>
      <c r="B7" s="16" t="str">
        <f>'MEM CAL'!B7:D7</f>
        <v>RUA C, CENTRO POLÍTICO ADMINISTRATIVO, CUIABÁ – MT</v>
      </c>
      <c r="C7" s="1375"/>
      <c r="D7" s="1376"/>
      <c r="E7" s="1379"/>
    </row>
    <row r="8" spans="1:8" ht="15.75" thickBot="1">
      <c r="A8" s="1382"/>
      <c r="B8" s="1383"/>
      <c r="C8" s="1383"/>
      <c r="D8" s="1383"/>
      <c r="E8" s="1383"/>
    </row>
    <row r="9" spans="1:8" s="2" customFormat="1" ht="15.75" thickBot="1">
      <c r="A9" s="1384" t="s">
        <v>7295</v>
      </c>
      <c r="B9" s="1385"/>
      <c r="C9" s="1385"/>
      <c r="D9" s="1385"/>
      <c r="E9" s="1385"/>
    </row>
    <row r="10" spans="1:8">
      <c r="A10" s="1386" t="s">
        <v>6</v>
      </c>
      <c r="B10" s="1388" t="s">
        <v>21</v>
      </c>
      <c r="C10" s="41"/>
      <c r="D10" s="42"/>
      <c r="E10" s="39"/>
      <c r="H10" s="43" t="s">
        <v>7294</v>
      </c>
    </row>
    <row r="11" spans="1:8" ht="15.75" thickBot="1">
      <c r="A11" s="1387"/>
      <c r="B11" s="1389"/>
      <c r="C11" s="47" t="s">
        <v>71</v>
      </c>
      <c r="D11" s="48" t="s">
        <v>7292</v>
      </c>
      <c r="E11" s="49" t="s">
        <v>7293</v>
      </c>
      <c r="F11" s="46"/>
      <c r="H11" s="43">
        <v>0</v>
      </c>
    </row>
    <row r="12" spans="1:8">
      <c r="A12" s="40"/>
      <c r="B12" s="18"/>
      <c r="C12" s="26"/>
      <c r="D12" s="17"/>
      <c r="E12" s="22"/>
    </row>
    <row r="13" spans="1:8" s="2" customFormat="1">
      <c r="A13" s="66" t="str">
        <f>RESUMO!A13</f>
        <v>1.0</v>
      </c>
      <c r="B13" s="19" t="str">
        <f>RESUMO!B13</f>
        <v>SERVIÇOS PRELIMINARES</v>
      </c>
      <c r="C13" s="29">
        <f>RESUMO!C13</f>
        <v>251507.66</v>
      </c>
      <c r="D13" s="64">
        <f>C13-E13</f>
        <v>251507.66</v>
      </c>
      <c r="E13" s="30">
        <f>C13*$H$11</f>
        <v>0</v>
      </c>
      <c r="G13" s="44">
        <f>D13+E13</f>
        <v>251507.66</v>
      </c>
      <c r="H13" s="44">
        <f>C13-G13</f>
        <v>0</v>
      </c>
    </row>
    <row r="14" spans="1:8" s="2" customFormat="1">
      <c r="A14" s="66" t="str">
        <f>RESUMO!A15</f>
        <v>2.0</v>
      </c>
      <c r="B14" s="19" t="str">
        <f>RESUMO!B15</f>
        <v>ADMINISTRAÇÃO LOCAL DE OBRA</v>
      </c>
      <c r="C14" s="29">
        <f>RESUMO!C15</f>
        <v>201260.04</v>
      </c>
      <c r="D14" s="64">
        <f t="shared" ref="D14:D77" si="0">C14-E14</f>
        <v>201260.04</v>
      </c>
      <c r="E14" s="30">
        <f t="shared" ref="E14:E77" si="1">C14*$H$11</f>
        <v>0</v>
      </c>
      <c r="G14" s="44">
        <f t="shared" ref="G14:G77" si="2">D14+E14</f>
        <v>201260.04</v>
      </c>
      <c r="H14" s="44">
        <f t="shared" ref="H14:H77" si="3">C14-G14</f>
        <v>0</v>
      </c>
    </row>
    <row r="15" spans="1:8" s="2" customFormat="1">
      <c r="A15" s="66" t="str">
        <f>RESUMO!A17</f>
        <v>3.0</v>
      </c>
      <c r="B15" s="19" t="str">
        <f>RESUMO!B17</f>
        <v>SUBSOLO</v>
      </c>
      <c r="C15" s="29">
        <f>RESUMO!C17</f>
        <v>144198.14000000001</v>
      </c>
      <c r="D15" s="64">
        <f t="shared" si="0"/>
        <v>144198.14000000001</v>
      </c>
      <c r="E15" s="30">
        <f t="shared" si="1"/>
        <v>0</v>
      </c>
      <c r="G15" s="44">
        <f t="shared" si="2"/>
        <v>144198.14000000001</v>
      </c>
      <c r="H15" s="44">
        <f t="shared" si="3"/>
        <v>0</v>
      </c>
    </row>
    <row r="16" spans="1:8">
      <c r="A16" s="65" t="str">
        <f>RESUMO!A18</f>
        <v>3.1</v>
      </c>
      <c r="B16" s="20" t="str">
        <f>RESUMO!B18</f>
        <v xml:space="preserve">DEMOLIÇÃO </v>
      </c>
      <c r="C16" s="27">
        <f>RESUMO!C18</f>
        <v>3488.8399999999997</v>
      </c>
      <c r="D16" s="12">
        <f t="shared" si="0"/>
        <v>3488.8399999999997</v>
      </c>
      <c r="E16" s="23">
        <f t="shared" si="1"/>
        <v>0</v>
      </c>
      <c r="G16" s="44">
        <f t="shared" si="2"/>
        <v>3488.8399999999997</v>
      </c>
      <c r="H16" s="44">
        <f t="shared" si="3"/>
        <v>0</v>
      </c>
    </row>
    <row r="17" spans="1:8">
      <c r="A17" s="65" t="e">
        <f>RESUMO!#REF!</f>
        <v>#REF!</v>
      </c>
      <c r="B17" s="20" t="e">
        <f>RESUMO!#REF!</f>
        <v>#REF!</v>
      </c>
      <c r="C17" s="27" t="e">
        <f>RESUMO!#REF!</f>
        <v>#REF!</v>
      </c>
      <c r="D17" s="12" t="e">
        <f t="shared" si="0"/>
        <v>#REF!</v>
      </c>
      <c r="E17" s="23" t="e">
        <f t="shared" si="1"/>
        <v>#REF!</v>
      </c>
      <c r="G17" s="44" t="e">
        <f t="shared" si="2"/>
        <v>#REF!</v>
      </c>
      <c r="H17" s="44" t="e">
        <f t="shared" si="3"/>
        <v>#REF!</v>
      </c>
    </row>
    <row r="18" spans="1:8">
      <c r="A18" s="65" t="e">
        <f>RESUMO!#REF!</f>
        <v>#REF!</v>
      </c>
      <c r="B18" s="20" t="e">
        <f>RESUMO!#REF!</f>
        <v>#REF!</v>
      </c>
      <c r="C18" s="27" t="e">
        <f>RESUMO!#REF!</f>
        <v>#REF!</v>
      </c>
      <c r="D18" s="12" t="e">
        <f t="shared" si="0"/>
        <v>#REF!</v>
      </c>
      <c r="E18" s="23" t="e">
        <f t="shared" si="1"/>
        <v>#REF!</v>
      </c>
      <c r="G18" s="44" t="e">
        <f t="shared" si="2"/>
        <v>#REF!</v>
      </c>
      <c r="H18" s="44" t="e">
        <f t="shared" si="3"/>
        <v>#REF!</v>
      </c>
    </row>
    <row r="19" spans="1:8">
      <c r="A19" s="65" t="e">
        <f>RESUMO!#REF!</f>
        <v>#REF!</v>
      </c>
      <c r="B19" s="20" t="e">
        <f>RESUMO!#REF!</f>
        <v>#REF!</v>
      </c>
      <c r="C19" s="27" t="e">
        <f>RESUMO!#REF!</f>
        <v>#REF!</v>
      </c>
      <c r="D19" s="12" t="e">
        <f t="shared" si="0"/>
        <v>#REF!</v>
      </c>
      <c r="E19" s="23" t="e">
        <f t="shared" si="1"/>
        <v>#REF!</v>
      </c>
      <c r="G19" s="44" t="e">
        <f t="shared" si="2"/>
        <v>#REF!</v>
      </c>
      <c r="H19" s="44" t="e">
        <f t="shared" si="3"/>
        <v>#REF!</v>
      </c>
    </row>
    <row r="20" spans="1:8">
      <c r="A20" s="65" t="str">
        <f>RESUMO!A21</f>
        <v>3.4</v>
      </c>
      <c r="B20" s="20" t="str">
        <f>RESUMO!B21</f>
        <v>ALVENARIA E FECHAMENTO</v>
      </c>
      <c r="C20" s="27">
        <f>RESUMO!C21</f>
        <v>26209.600000000002</v>
      </c>
      <c r="D20" s="12">
        <f t="shared" si="0"/>
        <v>26209.600000000002</v>
      </c>
      <c r="E20" s="23">
        <f t="shared" si="1"/>
        <v>0</v>
      </c>
      <c r="G20" s="44">
        <f t="shared" si="2"/>
        <v>26209.600000000002</v>
      </c>
      <c r="H20" s="44">
        <f t="shared" si="3"/>
        <v>0</v>
      </c>
    </row>
    <row r="21" spans="1:8">
      <c r="A21" s="65" t="str">
        <f>RESUMO!A22</f>
        <v>3.5</v>
      </c>
      <c r="B21" s="20" t="str">
        <f>RESUMO!B22</f>
        <v>PISOS</v>
      </c>
      <c r="C21" s="27">
        <f>RESUMO!C22</f>
        <v>27977.48</v>
      </c>
      <c r="D21" s="12">
        <f t="shared" si="0"/>
        <v>27977.48</v>
      </c>
      <c r="E21" s="23">
        <f t="shared" si="1"/>
        <v>0</v>
      </c>
      <c r="G21" s="44">
        <f t="shared" si="2"/>
        <v>27977.48</v>
      </c>
      <c r="H21" s="44">
        <f t="shared" si="3"/>
        <v>0</v>
      </c>
    </row>
    <row r="22" spans="1:8">
      <c r="A22" s="65" t="str">
        <f>RESUMO!A23</f>
        <v>3.6</v>
      </c>
      <c r="B22" s="20" t="str">
        <f>RESUMO!B23</f>
        <v>PINTURA</v>
      </c>
      <c r="C22" s="27">
        <f>RESUMO!C23</f>
        <v>23337.129999999997</v>
      </c>
      <c r="D22" s="12">
        <f t="shared" si="0"/>
        <v>23337.129999999997</v>
      </c>
      <c r="E22" s="23">
        <f t="shared" si="1"/>
        <v>0</v>
      </c>
      <c r="G22" s="44">
        <f t="shared" si="2"/>
        <v>23337.129999999997</v>
      </c>
      <c r="H22" s="44">
        <f t="shared" si="3"/>
        <v>0</v>
      </c>
    </row>
    <row r="23" spans="1:8">
      <c r="A23" s="65" t="str">
        <f>RESUMO!A24</f>
        <v>3.7</v>
      </c>
      <c r="B23" s="20" t="str">
        <f>RESUMO!B24</f>
        <v>PORTAS</v>
      </c>
      <c r="C23" s="27">
        <f>RESUMO!C24</f>
        <v>18680.91</v>
      </c>
      <c r="D23" s="12">
        <f t="shared" si="0"/>
        <v>18680.91</v>
      </c>
      <c r="E23" s="23">
        <f t="shared" si="1"/>
        <v>0</v>
      </c>
      <c r="G23" s="44">
        <f t="shared" si="2"/>
        <v>18680.91</v>
      </c>
      <c r="H23" s="44">
        <f t="shared" si="3"/>
        <v>0</v>
      </c>
    </row>
    <row r="24" spans="1:8">
      <c r="A24" s="65" t="str">
        <f>RESUMO!A25</f>
        <v>3.8</v>
      </c>
      <c r="B24" s="20" t="str">
        <f>RESUMO!B25</f>
        <v>JANELAS E VIDROS FIXOS</v>
      </c>
      <c r="C24" s="27">
        <f>RESUMO!C25</f>
        <v>19809.819999999996</v>
      </c>
      <c r="D24" s="12">
        <f t="shared" si="0"/>
        <v>19809.819999999996</v>
      </c>
      <c r="E24" s="23">
        <f t="shared" si="1"/>
        <v>0</v>
      </c>
      <c r="G24" s="44">
        <f t="shared" si="2"/>
        <v>19809.819999999996</v>
      </c>
      <c r="H24" s="44">
        <f t="shared" si="3"/>
        <v>0</v>
      </c>
    </row>
    <row r="25" spans="1:8" s="2" customFormat="1">
      <c r="A25" s="66" t="str">
        <f>RESUMO!A28</f>
        <v>4.0</v>
      </c>
      <c r="B25" s="19" t="str">
        <f>RESUMO!B28</f>
        <v>TERREO</v>
      </c>
      <c r="C25" s="29">
        <f>RESUMO!C28</f>
        <v>190364.86</v>
      </c>
      <c r="D25" s="64">
        <f t="shared" si="0"/>
        <v>190364.86</v>
      </c>
      <c r="E25" s="30">
        <f t="shared" si="1"/>
        <v>0</v>
      </c>
      <c r="G25" s="44">
        <f t="shared" si="2"/>
        <v>190364.86</v>
      </c>
      <c r="H25" s="44">
        <f t="shared" si="3"/>
        <v>0</v>
      </c>
    </row>
    <row r="26" spans="1:8">
      <c r="A26" s="65" t="e">
        <f>RESUMO!#REF!</f>
        <v>#REF!</v>
      </c>
      <c r="B26" s="20" t="e">
        <f>RESUMO!#REF!</f>
        <v>#REF!</v>
      </c>
      <c r="C26" s="27" t="e">
        <f>RESUMO!#REF!</f>
        <v>#REF!</v>
      </c>
      <c r="D26" s="12" t="e">
        <f t="shared" si="0"/>
        <v>#REF!</v>
      </c>
      <c r="E26" s="23" t="e">
        <f t="shared" si="1"/>
        <v>#REF!</v>
      </c>
      <c r="G26" s="44" t="e">
        <f t="shared" si="2"/>
        <v>#REF!</v>
      </c>
      <c r="H26" s="44" t="e">
        <f t="shared" si="3"/>
        <v>#REF!</v>
      </c>
    </row>
    <row r="27" spans="1:8">
      <c r="A27" s="65" t="e">
        <f>RESUMO!#REF!</f>
        <v>#REF!</v>
      </c>
      <c r="B27" s="20" t="e">
        <f>RESUMO!#REF!</f>
        <v>#REF!</v>
      </c>
      <c r="C27" s="27" t="e">
        <f>RESUMO!#REF!</f>
        <v>#REF!</v>
      </c>
      <c r="D27" s="12" t="e">
        <f t="shared" si="0"/>
        <v>#REF!</v>
      </c>
      <c r="E27" s="23" t="e">
        <f t="shared" si="1"/>
        <v>#REF!</v>
      </c>
      <c r="G27" s="44" t="e">
        <f t="shared" si="2"/>
        <v>#REF!</v>
      </c>
      <c r="H27" s="44" t="e">
        <f t="shared" si="3"/>
        <v>#REF!</v>
      </c>
    </row>
    <row r="28" spans="1:8">
      <c r="A28" s="65" t="e">
        <f>RESUMO!#REF!</f>
        <v>#REF!</v>
      </c>
      <c r="B28" s="20" t="e">
        <f>RESUMO!#REF!</f>
        <v>#REF!</v>
      </c>
      <c r="C28" s="27" t="e">
        <f>RESUMO!#REF!</f>
        <v>#REF!</v>
      </c>
      <c r="D28" s="12" t="e">
        <f t="shared" si="0"/>
        <v>#REF!</v>
      </c>
      <c r="E28" s="23" t="e">
        <f t="shared" si="1"/>
        <v>#REF!</v>
      </c>
      <c r="G28" s="44" t="e">
        <f t="shared" si="2"/>
        <v>#REF!</v>
      </c>
      <c r="H28" s="44" t="e">
        <f t="shared" si="3"/>
        <v>#REF!</v>
      </c>
    </row>
    <row r="29" spans="1:8">
      <c r="A29" s="65" t="e">
        <f>RESUMO!#REF!</f>
        <v>#REF!</v>
      </c>
      <c r="B29" s="20" t="e">
        <f>RESUMO!#REF!</f>
        <v>#REF!</v>
      </c>
      <c r="C29" s="27" t="e">
        <f>RESUMO!#REF!</f>
        <v>#REF!</v>
      </c>
      <c r="D29" s="12" t="e">
        <f t="shared" si="0"/>
        <v>#REF!</v>
      </c>
      <c r="E29" s="23" t="e">
        <f t="shared" si="1"/>
        <v>#REF!</v>
      </c>
      <c r="G29" s="44" t="e">
        <f t="shared" si="2"/>
        <v>#REF!</v>
      </c>
      <c r="H29" s="44" t="e">
        <f t="shared" si="3"/>
        <v>#REF!</v>
      </c>
    </row>
    <row r="30" spans="1:8" s="2" customFormat="1">
      <c r="A30" s="66" t="e">
        <f>RESUMO!#REF!</f>
        <v>#REF!</v>
      </c>
      <c r="B30" s="19" t="e">
        <f>RESUMO!#REF!</f>
        <v>#REF!</v>
      </c>
      <c r="C30" s="29" t="e">
        <f>RESUMO!#REF!</f>
        <v>#REF!</v>
      </c>
      <c r="D30" s="64" t="e">
        <f t="shared" si="0"/>
        <v>#REF!</v>
      </c>
      <c r="E30" s="30" t="e">
        <f t="shared" si="1"/>
        <v>#REF!</v>
      </c>
      <c r="G30" s="44" t="e">
        <f t="shared" si="2"/>
        <v>#REF!</v>
      </c>
      <c r="H30" s="44" t="e">
        <f t="shared" si="3"/>
        <v>#REF!</v>
      </c>
    </row>
    <row r="31" spans="1:8">
      <c r="A31" s="65" t="e">
        <f>RESUMO!#REF!</f>
        <v>#REF!</v>
      </c>
      <c r="B31" s="20" t="e">
        <f>RESUMO!#REF!</f>
        <v>#REF!</v>
      </c>
      <c r="C31" s="27" t="e">
        <f>RESUMO!#REF!</f>
        <v>#REF!</v>
      </c>
      <c r="D31" s="12" t="e">
        <f t="shared" si="0"/>
        <v>#REF!</v>
      </c>
      <c r="E31" s="23" t="e">
        <f t="shared" si="1"/>
        <v>#REF!</v>
      </c>
      <c r="G31" s="44" t="e">
        <f t="shared" si="2"/>
        <v>#REF!</v>
      </c>
      <c r="H31" s="44" t="e">
        <f t="shared" si="3"/>
        <v>#REF!</v>
      </c>
    </row>
    <row r="32" spans="1:8">
      <c r="A32" s="65" t="e">
        <f>RESUMO!#REF!</f>
        <v>#REF!</v>
      </c>
      <c r="B32" s="20" t="e">
        <f>RESUMO!#REF!</f>
        <v>#REF!</v>
      </c>
      <c r="C32" s="27" t="e">
        <f>RESUMO!#REF!</f>
        <v>#REF!</v>
      </c>
      <c r="D32" s="12" t="e">
        <f t="shared" si="0"/>
        <v>#REF!</v>
      </c>
      <c r="E32" s="23" t="e">
        <f t="shared" si="1"/>
        <v>#REF!</v>
      </c>
      <c r="G32" s="44" t="e">
        <f t="shared" si="2"/>
        <v>#REF!</v>
      </c>
      <c r="H32" s="44" t="e">
        <f t="shared" si="3"/>
        <v>#REF!</v>
      </c>
    </row>
    <row r="33" spans="1:8">
      <c r="A33" s="65" t="e">
        <f>RESUMO!#REF!</f>
        <v>#REF!</v>
      </c>
      <c r="B33" s="20" t="e">
        <f>RESUMO!#REF!</f>
        <v>#REF!</v>
      </c>
      <c r="C33" s="27" t="e">
        <f>RESUMO!#REF!</f>
        <v>#REF!</v>
      </c>
      <c r="D33" s="12" t="e">
        <f t="shared" si="0"/>
        <v>#REF!</v>
      </c>
      <c r="E33" s="23" t="e">
        <f t="shared" si="1"/>
        <v>#REF!</v>
      </c>
      <c r="G33" s="44" t="e">
        <f t="shared" si="2"/>
        <v>#REF!</v>
      </c>
      <c r="H33" s="44" t="e">
        <f t="shared" si="3"/>
        <v>#REF!</v>
      </c>
    </row>
    <row r="34" spans="1:8">
      <c r="A34" s="65" t="e">
        <f>RESUMO!#REF!</f>
        <v>#REF!</v>
      </c>
      <c r="B34" s="20" t="e">
        <f>RESUMO!#REF!</f>
        <v>#REF!</v>
      </c>
      <c r="C34" s="27" t="e">
        <f>RESUMO!#REF!</f>
        <v>#REF!</v>
      </c>
      <c r="D34" s="12" t="e">
        <f t="shared" si="0"/>
        <v>#REF!</v>
      </c>
      <c r="E34" s="23" t="e">
        <f t="shared" si="1"/>
        <v>#REF!</v>
      </c>
      <c r="G34" s="44" t="e">
        <f t="shared" si="2"/>
        <v>#REF!</v>
      </c>
      <c r="H34" s="44" t="e">
        <f t="shared" si="3"/>
        <v>#REF!</v>
      </c>
    </row>
    <row r="35" spans="1:8">
      <c r="A35" s="65" t="e">
        <f>RESUMO!#REF!</f>
        <v>#REF!</v>
      </c>
      <c r="B35" s="20" t="e">
        <f>RESUMO!#REF!</f>
        <v>#REF!</v>
      </c>
      <c r="C35" s="27" t="e">
        <f>RESUMO!#REF!</f>
        <v>#REF!</v>
      </c>
      <c r="D35" s="12" t="e">
        <f t="shared" si="0"/>
        <v>#REF!</v>
      </c>
      <c r="E35" s="23" t="e">
        <f t="shared" si="1"/>
        <v>#REF!</v>
      </c>
      <c r="G35" s="44" t="e">
        <f t="shared" si="2"/>
        <v>#REF!</v>
      </c>
      <c r="H35" s="44" t="e">
        <f t="shared" si="3"/>
        <v>#REF!</v>
      </c>
    </row>
    <row r="36" spans="1:8">
      <c r="A36" s="65" t="e">
        <f>RESUMO!#REF!</f>
        <v>#REF!</v>
      </c>
      <c r="B36" s="20" t="e">
        <f>RESUMO!#REF!</f>
        <v>#REF!</v>
      </c>
      <c r="C36" s="27" t="e">
        <f>RESUMO!#REF!</f>
        <v>#REF!</v>
      </c>
      <c r="D36" s="12" t="e">
        <f t="shared" si="0"/>
        <v>#REF!</v>
      </c>
      <c r="E36" s="23" t="e">
        <f t="shared" si="1"/>
        <v>#REF!</v>
      </c>
      <c r="G36" s="44" t="e">
        <f t="shared" si="2"/>
        <v>#REF!</v>
      </c>
      <c r="H36" s="44" t="e">
        <f t="shared" si="3"/>
        <v>#REF!</v>
      </c>
    </row>
    <row r="37" spans="1:8">
      <c r="A37" s="65" t="e">
        <f>RESUMO!#REF!</f>
        <v>#REF!</v>
      </c>
      <c r="B37" s="20" t="e">
        <f>RESUMO!#REF!</f>
        <v>#REF!</v>
      </c>
      <c r="C37" s="27" t="e">
        <f>RESUMO!#REF!</f>
        <v>#REF!</v>
      </c>
      <c r="D37" s="12" t="e">
        <f t="shared" si="0"/>
        <v>#REF!</v>
      </c>
      <c r="E37" s="23" t="e">
        <f t="shared" si="1"/>
        <v>#REF!</v>
      </c>
      <c r="G37" s="44" t="e">
        <f t="shared" si="2"/>
        <v>#REF!</v>
      </c>
      <c r="H37" s="44" t="e">
        <f t="shared" si="3"/>
        <v>#REF!</v>
      </c>
    </row>
    <row r="38" spans="1:8">
      <c r="A38" s="65" t="e">
        <f>RESUMO!#REF!</f>
        <v>#REF!</v>
      </c>
      <c r="B38" s="20" t="e">
        <f>RESUMO!#REF!</f>
        <v>#REF!</v>
      </c>
      <c r="C38" s="27" t="e">
        <f>RESUMO!#REF!</f>
        <v>#REF!</v>
      </c>
      <c r="D38" s="12" t="e">
        <f t="shared" si="0"/>
        <v>#REF!</v>
      </c>
      <c r="E38" s="23" t="e">
        <f t="shared" si="1"/>
        <v>#REF!</v>
      </c>
      <c r="G38" s="44" t="e">
        <f t="shared" si="2"/>
        <v>#REF!</v>
      </c>
      <c r="H38" s="44" t="e">
        <f t="shared" si="3"/>
        <v>#REF!</v>
      </c>
    </row>
    <row r="39" spans="1:8" s="2" customFormat="1">
      <c r="A39" s="66" t="e">
        <f>RESUMO!#REF!</f>
        <v>#REF!</v>
      </c>
      <c r="B39" s="19" t="e">
        <f>RESUMO!#REF!</f>
        <v>#REF!</v>
      </c>
      <c r="C39" s="29" t="e">
        <f>RESUMO!#REF!</f>
        <v>#REF!</v>
      </c>
      <c r="D39" s="64" t="e">
        <f t="shared" si="0"/>
        <v>#REF!</v>
      </c>
      <c r="E39" s="30" t="e">
        <f t="shared" si="1"/>
        <v>#REF!</v>
      </c>
      <c r="G39" s="44" t="e">
        <f t="shared" si="2"/>
        <v>#REF!</v>
      </c>
      <c r="H39" s="44" t="e">
        <f t="shared" si="3"/>
        <v>#REF!</v>
      </c>
    </row>
    <row r="40" spans="1:8">
      <c r="A40" s="65" t="e">
        <f>RESUMO!#REF!</f>
        <v>#REF!</v>
      </c>
      <c r="B40" s="20" t="e">
        <f>RESUMO!#REF!</f>
        <v>#REF!</v>
      </c>
      <c r="C40" s="27" t="e">
        <f>RESUMO!#REF!</f>
        <v>#REF!</v>
      </c>
      <c r="D40" s="12" t="e">
        <f t="shared" si="0"/>
        <v>#REF!</v>
      </c>
      <c r="E40" s="23" t="e">
        <f t="shared" si="1"/>
        <v>#REF!</v>
      </c>
      <c r="G40" s="44" t="e">
        <f t="shared" si="2"/>
        <v>#REF!</v>
      </c>
      <c r="H40" s="44" t="e">
        <f t="shared" si="3"/>
        <v>#REF!</v>
      </c>
    </row>
    <row r="41" spans="1:8">
      <c r="A41" s="65" t="e">
        <f>RESUMO!#REF!</f>
        <v>#REF!</v>
      </c>
      <c r="B41" s="20" t="e">
        <f>RESUMO!#REF!</f>
        <v>#REF!</v>
      </c>
      <c r="C41" s="27" t="e">
        <f>RESUMO!#REF!</f>
        <v>#REF!</v>
      </c>
      <c r="D41" s="12" t="e">
        <f t="shared" si="0"/>
        <v>#REF!</v>
      </c>
      <c r="E41" s="23" t="e">
        <f t="shared" si="1"/>
        <v>#REF!</v>
      </c>
      <c r="G41" s="44" t="e">
        <f t="shared" si="2"/>
        <v>#REF!</v>
      </c>
      <c r="H41" s="44" t="e">
        <f t="shared" si="3"/>
        <v>#REF!</v>
      </c>
    </row>
    <row r="42" spans="1:8">
      <c r="A42" s="65" t="e">
        <f>RESUMO!#REF!</f>
        <v>#REF!</v>
      </c>
      <c r="B42" s="20" t="e">
        <f>RESUMO!#REF!</f>
        <v>#REF!</v>
      </c>
      <c r="C42" s="27" t="e">
        <f>RESUMO!#REF!</f>
        <v>#REF!</v>
      </c>
      <c r="D42" s="12" t="e">
        <f t="shared" si="0"/>
        <v>#REF!</v>
      </c>
      <c r="E42" s="23" t="e">
        <f t="shared" si="1"/>
        <v>#REF!</v>
      </c>
      <c r="G42" s="44" t="e">
        <f t="shared" si="2"/>
        <v>#REF!</v>
      </c>
      <c r="H42" s="44" t="e">
        <f t="shared" si="3"/>
        <v>#REF!</v>
      </c>
    </row>
    <row r="43" spans="1:8">
      <c r="A43" s="65" t="e">
        <f>RESUMO!#REF!</f>
        <v>#REF!</v>
      </c>
      <c r="B43" s="20" t="e">
        <f>RESUMO!#REF!</f>
        <v>#REF!</v>
      </c>
      <c r="C43" s="27" t="e">
        <f>RESUMO!#REF!</f>
        <v>#REF!</v>
      </c>
      <c r="D43" s="12" t="e">
        <f t="shared" si="0"/>
        <v>#REF!</v>
      </c>
      <c r="E43" s="23" t="e">
        <f t="shared" si="1"/>
        <v>#REF!</v>
      </c>
      <c r="G43" s="44" t="e">
        <f t="shared" si="2"/>
        <v>#REF!</v>
      </c>
      <c r="H43" s="44" t="e">
        <f t="shared" si="3"/>
        <v>#REF!</v>
      </c>
    </row>
    <row r="44" spans="1:8">
      <c r="A44" s="65" t="e">
        <f>RESUMO!#REF!</f>
        <v>#REF!</v>
      </c>
      <c r="B44" s="20" t="e">
        <f>RESUMO!#REF!</f>
        <v>#REF!</v>
      </c>
      <c r="C44" s="27" t="e">
        <f>RESUMO!#REF!</f>
        <v>#REF!</v>
      </c>
      <c r="D44" s="12" t="e">
        <f t="shared" si="0"/>
        <v>#REF!</v>
      </c>
      <c r="E44" s="23" t="e">
        <f t="shared" si="1"/>
        <v>#REF!</v>
      </c>
      <c r="G44" s="44" t="e">
        <f t="shared" si="2"/>
        <v>#REF!</v>
      </c>
      <c r="H44" s="44" t="e">
        <f t="shared" si="3"/>
        <v>#REF!</v>
      </c>
    </row>
    <row r="45" spans="1:8">
      <c r="A45" s="65" t="e">
        <f>RESUMO!#REF!</f>
        <v>#REF!</v>
      </c>
      <c r="B45" s="20" t="e">
        <f>RESUMO!#REF!</f>
        <v>#REF!</v>
      </c>
      <c r="C45" s="27" t="e">
        <f>RESUMO!#REF!</f>
        <v>#REF!</v>
      </c>
      <c r="D45" s="12" t="e">
        <f t="shared" si="0"/>
        <v>#REF!</v>
      </c>
      <c r="E45" s="23" t="e">
        <f t="shared" si="1"/>
        <v>#REF!</v>
      </c>
      <c r="G45" s="44" t="e">
        <f t="shared" si="2"/>
        <v>#REF!</v>
      </c>
      <c r="H45" s="44" t="e">
        <f t="shared" si="3"/>
        <v>#REF!</v>
      </c>
    </row>
    <row r="46" spans="1:8">
      <c r="A46" s="65" t="e">
        <f>RESUMO!#REF!</f>
        <v>#REF!</v>
      </c>
      <c r="B46" s="20" t="e">
        <f>RESUMO!#REF!</f>
        <v>#REF!</v>
      </c>
      <c r="C46" s="27" t="e">
        <f>RESUMO!#REF!</f>
        <v>#REF!</v>
      </c>
      <c r="D46" s="12" t="e">
        <f t="shared" si="0"/>
        <v>#REF!</v>
      </c>
      <c r="E46" s="23" t="e">
        <f t="shared" si="1"/>
        <v>#REF!</v>
      </c>
      <c r="G46" s="44" t="e">
        <f t="shared" si="2"/>
        <v>#REF!</v>
      </c>
      <c r="H46" s="44" t="e">
        <f t="shared" si="3"/>
        <v>#REF!</v>
      </c>
    </row>
    <row r="47" spans="1:8">
      <c r="A47" s="65" t="e">
        <f>RESUMO!#REF!</f>
        <v>#REF!</v>
      </c>
      <c r="B47" s="20" t="e">
        <f>RESUMO!#REF!</f>
        <v>#REF!</v>
      </c>
      <c r="C47" s="27" t="e">
        <f>RESUMO!#REF!</f>
        <v>#REF!</v>
      </c>
      <c r="D47" s="64" t="e">
        <f t="shared" si="0"/>
        <v>#REF!</v>
      </c>
      <c r="E47" s="30" t="e">
        <f t="shared" si="1"/>
        <v>#REF!</v>
      </c>
      <c r="G47" s="44" t="e">
        <f t="shared" si="2"/>
        <v>#REF!</v>
      </c>
      <c r="H47" s="44" t="e">
        <f t="shared" si="3"/>
        <v>#REF!</v>
      </c>
    </row>
    <row r="48" spans="1:8">
      <c r="A48" s="65" t="e">
        <f>RESUMO!#REF!</f>
        <v>#REF!</v>
      </c>
      <c r="B48" s="20" t="e">
        <f>RESUMO!#REF!</f>
        <v>#REF!</v>
      </c>
      <c r="C48" s="27" t="e">
        <f>RESUMO!#REF!</f>
        <v>#REF!</v>
      </c>
      <c r="D48" s="12" t="e">
        <f t="shared" si="0"/>
        <v>#REF!</v>
      </c>
      <c r="E48" s="23" t="e">
        <f t="shared" si="1"/>
        <v>#REF!</v>
      </c>
      <c r="G48" s="44" t="e">
        <f t="shared" si="2"/>
        <v>#REF!</v>
      </c>
      <c r="H48" s="44" t="e">
        <f t="shared" si="3"/>
        <v>#REF!</v>
      </c>
    </row>
    <row r="49" spans="1:8">
      <c r="A49" s="65" t="e">
        <f>RESUMO!#REF!</f>
        <v>#REF!</v>
      </c>
      <c r="B49" s="20" t="e">
        <f>RESUMO!#REF!</f>
        <v>#REF!</v>
      </c>
      <c r="C49" s="27" t="e">
        <f>RESUMO!#REF!</f>
        <v>#REF!</v>
      </c>
      <c r="D49" s="12" t="e">
        <f t="shared" si="0"/>
        <v>#REF!</v>
      </c>
      <c r="E49" s="23" t="e">
        <f t="shared" si="1"/>
        <v>#REF!</v>
      </c>
      <c r="G49" s="44" t="e">
        <f t="shared" si="2"/>
        <v>#REF!</v>
      </c>
      <c r="H49" s="44" t="e">
        <f t="shared" si="3"/>
        <v>#REF!</v>
      </c>
    </row>
    <row r="50" spans="1:8">
      <c r="A50" s="65" t="e">
        <f>RESUMO!#REF!</f>
        <v>#REF!</v>
      </c>
      <c r="B50" s="20" t="e">
        <f>RESUMO!#REF!</f>
        <v>#REF!</v>
      </c>
      <c r="C50" s="27" t="e">
        <f>RESUMO!#REF!</f>
        <v>#REF!</v>
      </c>
      <c r="D50" s="12" t="e">
        <f t="shared" si="0"/>
        <v>#REF!</v>
      </c>
      <c r="E50" s="23" t="e">
        <f t="shared" si="1"/>
        <v>#REF!</v>
      </c>
      <c r="G50" s="44" t="e">
        <f t="shared" si="2"/>
        <v>#REF!</v>
      </c>
      <c r="H50" s="44" t="e">
        <f t="shared" si="3"/>
        <v>#REF!</v>
      </c>
    </row>
    <row r="51" spans="1:8">
      <c r="A51" s="65" t="e">
        <f>RESUMO!#REF!</f>
        <v>#REF!</v>
      </c>
      <c r="B51" s="20" t="e">
        <f>RESUMO!#REF!</f>
        <v>#REF!</v>
      </c>
      <c r="C51" s="27" t="e">
        <f>RESUMO!#REF!</f>
        <v>#REF!</v>
      </c>
      <c r="D51" s="12" t="e">
        <f t="shared" si="0"/>
        <v>#REF!</v>
      </c>
      <c r="E51" s="23" t="e">
        <f t="shared" si="1"/>
        <v>#REF!</v>
      </c>
      <c r="G51" s="44" t="e">
        <f t="shared" si="2"/>
        <v>#REF!</v>
      </c>
      <c r="H51" s="44" t="e">
        <f t="shared" si="3"/>
        <v>#REF!</v>
      </c>
    </row>
    <row r="52" spans="1:8" s="2" customFormat="1">
      <c r="A52" s="66" t="e">
        <f>RESUMO!#REF!</f>
        <v>#REF!</v>
      </c>
      <c r="B52" s="19" t="e">
        <f>RESUMO!#REF!</f>
        <v>#REF!</v>
      </c>
      <c r="C52" s="29" t="e">
        <f>RESUMO!#REF!</f>
        <v>#REF!</v>
      </c>
      <c r="D52" s="64" t="e">
        <f t="shared" si="0"/>
        <v>#REF!</v>
      </c>
      <c r="E52" s="30" t="e">
        <f t="shared" si="1"/>
        <v>#REF!</v>
      </c>
      <c r="G52" s="44" t="e">
        <f t="shared" si="2"/>
        <v>#REF!</v>
      </c>
      <c r="H52" s="44" t="e">
        <f t="shared" si="3"/>
        <v>#REF!</v>
      </c>
    </row>
    <row r="53" spans="1:8">
      <c r="A53" s="65" t="e">
        <f>RESUMO!#REF!</f>
        <v>#REF!</v>
      </c>
      <c r="B53" s="20" t="e">
        <f>RESUMO!#REF!</f>
        <v>#REF!</v>
      </c>
      <c r="C53" s="27" t="e">
        <f>RESUMO!#REF!</f>
        <v>#REF!</v>
      </c>
      <c r="D53" s="12" t="e">
        <f t="shared" si="0"/>
        <v>#REF!</v>
      </c>
      <c r="E53" s="23" t="e">
        <f t="shared" si="1"/>
        <v>#REF!</v>
      </c>
      <c r="G53" s="44" t="e">
        <f t="shared" si="2"/>
        <v>#REF!</v>
      </c>
      <c r="H53" s="44" t="e">
        <f t="shared" si="3"/>
        <v>#REF!</v>
      </c>
    </row>
    <row r="54" spans="1:8">
      <c r="A54" s="65" t="e">
        <f>RESUMO!#REF!</f>
        <v>#REF!</v>
      </c>
      <c r="B54" s="20" t="e">
        <f>RESUMO!#REF!</f>
        <v>#REF!</v>
      </c>
      <c r="C54" s="27" t="e">
        <f>RESUMO!#REF!</f>
        <v>#REF!</v>
      </c>
      <c r="D54" s="12" t="e">
        <f t="shared" si="0"/>
        <v>#REF!</v>
      </c>
      <c r="E54" s="23" t="e">
        <f t="shared" si="1"/>
        <v>#REF!</v>
      </c>
      <c r="G54" s="44" t="e">
        <f t="shared" si="2"/>
        <v>#REF!</v>
      </c>
      <c r="H54" s="44" t="e">
        <f t="shared" si="3"/>
        <v>#REF!</v>
      </c>
    </row>
    <row r="55" spans="1:8">
      <c r="A55" s="65" t="e">
        <f>RESUMO!#REF!</f>
        <v>#REF!</v>
      </c>
      <c r="B55" s="20" t="e">
        <f>RESUMO!#REF!</f>
        <v>#REF!</v>
      </c>
      <c r="C55" s="27" t="e">
        <f>RESUMO!#REF!</f>
        <v>#REF!</v>
      </c>
      <c r="D55" s="12" t="e">
        <f t="shared" si="0"/>
        <v>#REF!</v>
      </c>
      <c r="E55" s="23" t="e">
        <f t="shared" si="1"/>
        <v>#REF!</v>
      </c>
      <c r="G55" s="44" t="e">
        <f t="shared" si="2"/>
        <v>#REF!</v>
      </c>
      <c r="H55" s="44" t="e">
        <f t="shared" si="3"/>
        <v>#REF!</v>
      </c>
    </row>
    <row r="56" spans="1:8">
      <c r="A56" s="65" t="e">
        <f>RESUMO!#REF!</f>
        <v>#REF!</v>
      </c>
      <c r="B56" s="20" t="e">
        <f>RESUMO!#REF!</f>
        <v>#REF!</v>
      </c>
      <c r="C56" s="27" t="e">
        <f>RESUMO!#REF!</f>
        <v>#REF!</v>
      </c>
      <c r="D56" s="12" t="e">
        <f t="shared" si="0"/>
        <v>#REF!</v>
      </c>
      <c r="E56" s="23" t="e">
        <f t="shared" si="1"/>
        <v>#REF!</v>
      </c>
      <c r="G56" s="44" t="e">
        <f t="shared" si="2"/>
        <v>#REF!</v>
      </c>
      <c r="H56" s="44" t="e">
        <f t="shared" si="3"/>
        <v>#REF!</v>
      </c>
    </row>
    <row r="57" spans="1:8">
      <c r="A57" s="65" t="e">
        <f>RESUMO!#REF!</f>
        <v>#REF!</v>
      </c>
      <c r="B57" s="20" t="e">
        <f>RESUMO!#REF!</f>
        <v>#REF!</v>
      </c>
      <c r="C57" s="27" t="e">
        <f>RESUMO!#REF!</f>
        <v>#REF!</v>
      </c>
      <c r="D57" s="12" t="e">
        <f t="shared" si="0"/>
        <v>#REF!</v>
      </c>
      <c r="E57" s="23" t="e">
        <f t="shared" si="1"/>
        <v>#REF!</v>
      </c>
      <c r="G57" s="44" t="e">
        <f t="shared" si="2"/>
        <v>#REF!</v>
      </c>
      <c r="H57" s="44" t="e">
        <f t="shared" si="3"/>
        <v>#REF!</v>
      </c>
    </row>
    <row r="58" spans="1:8">
      <c r="A58" s="65" t="e">
        <f>RESUMO!#REF!</f>
        <v>#REF!</v>
      </c>
      <c r="B58" s="20" t="e">
        <f>RESUMO!#REF!</f>
        <v>#REF!</v>
      </c>
      <c r="C58" s="27" t="e">
        <f>RESUMO!#REF!</f>
        <v>#REF!</v>
      </c>
      <c r="D58" s="12" t="e">
        <f t="shared" si="0"/>
        <v>#REF!</v>
      </c>
      <c r="E58" s="23" t="e">
        <f t="shared" si="1"/>
        <v>#REF!</v>
      </c>
      <c r="G58" s="44" t="e">
        <f t="shared" si="2"/>
        <v>#REF!</v>
      </c>
      <c r="H58" s="44" t="e">
        <f t="shared" si="3"/>
        <v>#REF!</v>
      </c>
    </row>
    <row r="59" spans="1:8" s="2" customFormat="1">
      <c r="A59" s="66" t="e">
        <f>RESUMO!#REF!</f>
        <v>#REF!</v>
      </c>
      <c r="B59" s="19" t="e">
        <f>RESUMO!#REF!</f>
        <v>#REF!</v>
      </c>
      <c r="C59" s="29" t="e">
        <f>RESUMO!#REF!</f>
        <v>#REF!</v>
      </c>
      <c r="D59" s="64" t="e">
        <f t="shared" si="0"/>
        <v>#REF!</v>
      </c>
      <c r="E59" s="30" t="e">
        <f t="shared" si="1"/>
        <v>#REF!</v>
      </c>
      <c r="G59" s="44" t="e">
        <f t="shared" si="2"/>
        <v>#REF!</v>
      </c>
      <c r="H59" s="44" t="e">
        <f t="shared" si="3"/>
        <v>#REF!</v>
      </c>
    </row>
    <row r="60" spans="1:8">
      <c r="A60" s="65" t="e">
        <f>RESUMO!#REF!</f>
        <v>#REF!</v>
      </c>
      <c r="B60" s="20" t="e">
        <f>RESUMO!#REF!</f>
        <v>#REF!</v>
      </c>
      <c r="C60" s="27" t="e">
        <f>RESUMO!#REF!</f>
        <v>#REF!</v>
      </c>
      <c r="D60" s="12" t="e">
        <f t="shared" si="0"/>
        <v>#REF!</v>
      </c>
      <c r="E60" s="23" t="e">
        <f t="shared" si="1"/>
        <v>#REF!</v>
      </c>
      <c r="G60" s="44" t="e">
        <f t="shared" si="2"/>
        <v>#REF!</v>
      </c>
      <c r="H60" s="44" t="e">
        <f t="shared" si="3"/>
        <v>#REF!</v>
      </c>
    </row>
    <row r="61" spans="1:8">
      <c r="A61" s="65" t="e">
        <f>RESUMO!#REF!</f>
        <v>#REF!</v>
      </c>
      <c r="B61" s="20" t="e">
        <f>RESUMO!#REF!</f>
        <v>#REF!</v>
      </c>
      <c r="C61" s="27" t="e">
        <f>RESUMO!#REF!</f>
        <v>#REF!</v>
      </c>
      <c r="D61" s="12" t="e">
        <f t="shared" si="0"/>
        <v>#REF!</v>
      </c>
      <c r="E61" s="23" t="e">
        <f t="shared" si="1"/>
        <v>#REF!</v>
      </c>
      <c r="G61" s="44" t="e">
        <f t="shared" si="2"/>
        <v>#REF!</v>
      </c>
      <c r="H61" s="44" t="e">
        <f t="shared" si="3"/>
        <v>#REF!</v>
      </c>
    </row>
    <row r="62" spans="1:8">
      <c r="A62" s="65" t="e">
        <f>RESUMO!#REF!</f>
        <v>#REF!</v>
      </c>
      <c r="B62" s="20" t="e">
        <f>RESUMO!#REF!</f>
        <v>#REF!</v>
      </c>
      <c r="C62" s="27" t="e">
        <f>RESUMO!#REF!</f>
        <v>#REF!</v>
      </c>
      <c r="D62" s="12" t="e">
        <f t="shared" si="0"/>
        <v>#REF!</v>
      </c>
      <c r="E62" s="23" t="e">
        <f t="shared" si="1"/>
        <v>#REF!</v>
      </c>
      <c r="G62" s="44" t="e">
        <f t="shared" si="2"/>
        <v>#REF!</v>
      </c>
      <c r="H62" s="44" t="e">
        <f t="shared" si="3"/>
        <v>#REF!</v>
      </c>
    </row>
    <row r="63" spans="1:8">
      <c r="A63" s="65" t="e">
        <f>RESUMO!#REF!</f>
        <v>#REF!</v>
      </c>
      <c r="B63" s="20" t="e">
        <f>RESUMO!#REF!</f>
        <v>#REF!</v>
      </c>
      <c r="C63" s="27" t="e">
        <f>RESUMO!#REF!</f>
        <v>#REF!</v>
      </c>
      <c r="D63" s="12" t="e">
        <f t="shared" si="0"/>
        <v>#REF!</v>
      </c>
      <c r="E63" s="23" t="e">
        <f t="shared" si="1"/>
        <v>#REF!</v>
      </c>
      <c r="G63" s="44" t="e">
        <f t="shared" si="2"/>
        <v>#REF!</v>
      </c>
      <c r="H63" s="44" t="e">
        <f t="shared" si="3"/>
        <v>#REF!</v>
      </c>
    </row>
    <row r="64" spans="1:8">
      <c r="A64" s="65" t="e">
        <f>RESUMO!#REF!</f>
        <v>#REF!</v>
      </c>
      <c r="B64" s="20" t="e">
        <f>RESUMO!#REF!</f>
        <v>#REF!</v>
      </c>
      <c r="C64" s="27" t="e">
        <f>RESUMO!#REF!</f>
        <v>#REF!</v>
      </c>
      <c r="D64" s="12" t="e">
        <f t="shared" si="0"/>
        <v>#REF!</v>
      </c>
      <c r="E64" s="23" t="e">
        <f t="shared" si="1"/>
        <v>#REF!</v>
      </c>
      <c r="G64" s="44" t="e">
        <f t="shared" si="2"/>
        <v>#REF!</v>
      </c>
      <c r="H64" s="44" t="e">
        <f t="shared" si="3"/>
        <v>#REF!</v>
      </c>
    </row>
    <row r="65" spans="1:8">
      <c r="A65" s="65" t="e">
        <f>RESUMO!#REF!</f>
        <v>#REF!</v>
      </c>
      <c r="B65" s="20" t="e">
        <f>RESUMO!#REF!</f>
        <v>#REF!</v>
      </c>
      <c r="C65" s="27" t="e">
        <f>RESUMO!#REF!</f>
        <v>#REF!</v>
      </c>
      <c r="D65" s="12" t="e">
        <f t="shared" si="0"/>
        <v>#REF!</v>
      </c>
      <c r="E65" s="23" t="e">
        <f t="shared" si="1"/>
        <v>#REF!</v>
      </c>
      <c r="G65" s="44" t="e">
        <f t="shared" si="2"/>
        <v>#REF!</v>
      </c>
      <c r="H65" s="44" t="e">
        <f t="shared" si="3"/>
        <v>#REF!</v>
      </c>
    </row>
    <row r="66" spans="1:8" s="2" customFormat="1">
      <c r="A66" s="66" t="e">
        <f>RESUMO!#REF!</f>
        <v>#REF!</v>
      </c>
      <c r="B66" s="19" t="e">
        <f>RESUMO!#REF!</f>
        <v>#REF!</v>
      </c>
      <c r="C66" s="29" t="e">
        <f>RESUMO!#REF!</f>
        <v>#REF!</v>
      </c>
      <c r="D66" s="64" t="e">
        <f t="shared" si="0"/>
        <v>#REF!</v>
      </c>
      <c r="E66" s="30" t="e">
        <f t="shared" si="1"/>
        <v>#REF!</v>
      </c>
      <c r="G66" s="44" t="e">
        <f t="shared" si="2"/>
        <v>#REF!</v>
      </c>
      <c r="H66" s="44" t="e">
        <f t="shared" si="3"/>
        <v>#REF!</v>
      </c>
    </row>
    <row r="67" spans="1:8">
      <c r="A67" s="65" t="e">
        <f>RESUMO!#REF!</f>
        <v>#REF!</v>
      </c>
      <c r="B67" s="20" t="e">
        <f>RESUMO!#REF!</f>
        <v>#REF!</v>
      </c>
      <c r="C67" s="27" t="e">
        <f>RESUMO!#REF!</f>
        <v>#REF!</v>
      </c>
      <c r="D67" s="12" t="e">
        <f t="shared" si="0"/>
        <v>#REF!</v>
      </c>
      <c r="E67" s="23" t="e">
        <f t="shared" si="1"/>
        <v>#REF!</v>
      </c>
      <c r="G67" s="44" t="e">
        <f t="shared" si="2"/>
        <v>#REF!</v>
      </c>
      <c r="H67" s="44" t="e">
        <f t="shared" si="3"/>
        <v>#REF!</v>
      </c>
    </row>
    <row r="68" spans="1:8">
      <c r="A68" s="65" t="e">
        <f>RESUMO!#REF!</f>
        <v>#REF!</v>
      </c>
      <c r="B68" s="20" t="e">
        <f>RESUMO!#REF!</f>
        <v>#REF!</v>
      </c>
      <c r="C68" s="27" t="e">
        <f>RESUMO!#REF!</f>
        <v>#REF!</v>
      </c>
      <c r="D68" s="12" t="e">
        <f t="shared" si="0"/>
        <v>#REF!</v>
      </c>
      <c r="E68" s="23" t="e">
        <f t="shared" si="1"/>
        <v>#REF!</v>
      </c>
      <c r="G68" s="44" t="e">
        <f t="shared" si="2"/>
        <v>#REF!</v>
      </c>
      <c r="H68" s="44" t="e">
        <f t="shared" si="3"/>
        <v>#REF!</v>
      </c>
    </row>
    <row r="69" spans="1:8">
      <c r="A69" s="65" t="e">
        <f>RESUMO!#REF!</f>
        <v>#REF!</v>
      </c>
      <c r="B69" s="20" t="e">
        <f>RESUMO!#REF!</f>
        <v>#REF!</v>
      </c>
      <c r="C69" s="27" t="e">
        <f>RESUMO!#REF!</f>
        <v>#REF!</v>
      </c>
      <c r="D69" s="12" t="e">
        <f t="shared" si="0"/>
        <v>#REF!</v>
      </c>
      <c r="E69" s="23" t="e">
        <f t="shared" si="1"/>
        <v>#REF!</v>
      </c>
      <c r="G69" s="44" t="e">
        <f t="shared" si="2"/>
        <v>#REF!</v>
      </c>
      <c r="H69" s="44" t="e">
        <f t="shared" si="3"/>
        <v>#REF!</v>
      </c>
    </row>
    <row r="70" spans="1:8">
      <c r="A70" s="65" t="e">
        <f>RESUMO!#REF!</f>
        <v>#REF!</v>
      </c>
      <c r="B70" s="20" t="e">
        <f>RESUMO!#REF!</f>
        <v>#REF!</v>
      </c>
      <c r="C70" s="27" t="e">
        <f>RESUMO!#REF!</f>
        <v>#REF!</v>
      </c>
      <c r="D70" s="12" t="e">
        <f t="shared" si="0"/>
        <v>#REF!</v>
      </c>
      <c r="E70" s="23" t="e">
        <f t="shared" si="1"/>
        <v>#REF!</v>
      </c>
      <c r="G70" s="44" t="e">
        <f t="shared" si="2"/>
        <v>#REF!</v>
      </c>
      <c r="H70" s="44" t="e">
        <f t="shared" si="3"/>
        <v>#REF!</v>
      </c>
    </row>
    <row r="71" spans="1:8">
      <c r="A71" s="65" t="e">
        <f>RESUMO!#REF!</f>
        <v>#REF!</v>
      </c>
      <c r="B71" s="20" t="e">
        <f>RESUMO!#REF!</f>
        <v>#REF!</v>
      </c>
      <c r="C71" s="27" t="e">
        <f>RESUMO!#REF!</f>
        <v>#REF!</v>
      </c>
      <c r="D71" s="12" t="e">
        <f t="shared" si="0"/>
        <v>#REF!</v>
      </c>
      <c r="E71" s="23" t="e">
        <f t="shared" si="1"/>
        <v>#REF!</v>
      </c>
      <c r="G71" s="44" t="e">
        <f t="shared" si="2"/>
        <v>#REF!</v>
      </c>
      <c r="H71" s="44" t="e">
        <f t="shared" si="3"/>
        <v>#REF!</v>
      </c>
    </row>
    <row r="72" spans="1:8">
      <c r="A72" s="65" t="e">
        <f>RESUMO!#REF!</f>
        <v>#REF!</v>
      </c>
      <c r="B72" s="20" t="e">
        <f>RESUMO!#REF!</f>
        <v>#REF!</v>
      </c>
      <c r="C72" s="27" t="e">
        <f>RESUMO!#REF!</f>
        <v>#REF!</v>
      </c>
      <c r="D72" s="12" t="e">
        <f t="shared" si="0"/>
        <v>#REF!</v>
      </c>
      <c r="E72" s="23" t="e">
        <f t="shared" si="1"/>
        <v>#REF!</v>
      </c>
      <c r="G72" s="44" t="e">
        <f t="shared" si="2"/>
        <v>#REF!</v>
      </c>
      <c r="H72" s="44" t="e">
        <f t="shared" si="3"/>
        <v>#REF!</v>
      </c>
    </row>
    <row r="73" spans="1:8" s="2" customFormat="1">
      <c r="A73" s="66" t="e">
        <f>RESUMO!#REF!</f>
        <v>#REF!</v>
      </c>
      <c r="B73" s="19" t="e">
        <f>RESUMO!#REF!</f>
        <v>#REF!</v>
      </c>
      <c r="C73" s="29" t="e">
        <f>RESUMO!#REF!</f>
        <v>#REF!</v>
      </c>
      <c r="D73" s="64" t="e">
        <f t="shared" si="0"/>
        <v>#REF!</v>
      </c>
      <c r="E73" s="30" t="e">
        <f t="shared" si="1"/>
        <v>#REF!</v>
      </c>
      <c r="G73" s="44" t="e">
        <f t="shared" si="2"/>
        <v>#REF!</v>
      </c>
      <c r="H73" s="44" t="e">
        <f t="shared" si="3"/>
        <v>#REF!</v>
      </c>
    </row>
    <row r="74" spans="1:8">
      <c r="A74" s="65" t="e">
        <f>RESUMO!#REF!</f>
        <v>#REF!</v>
      </c>
      <c r="B74" s="20" t="e">
        <f>RESUMO!#REF!</f>
        <v>#REF!</v>
      </c>
      <c r="C74" s="27" t="e">
        <f>RESUMO!#REF!</f>
        <v>#REF!</v>
      </c>
      <c r="D74" s="12" t="e">
        <f t="shared" si="0"/>
        <v>#REF!</v>
      </c>
      <c r="E74" s="23" t="e">
        <f t="shared" si="1"/>
        <v>#REF!</v>
      </c>
      <c r="G74" s="44" t="e">
        <f t="shared" si="2"/>
        <v>#REF!</v>
      </c>
      <c r="H74" s="44" t="e">
        <f t="shared" si="3"/>
        <v>#REF!</v>
      </c>
    </row>
    <row r="75" spans="1:8">
      <c r="A75" s="65" t="e">
        <f>RESUMO!#REF!</f>
        <v>#REF!</v>
      </c>
      <c r="B75" s="20" t="e">
        <f>RESUMO!#REF!</f>
        <v>#REF!</v>
      </c>
      <c r="C75" s="27" t="e">
        <f>RESUMO!#REF!</f>
        <v>#REF!</v>
      </c>
      <c r="D75" s="12" t="e">
        <f t="shared" si="0"/>
        <v>#REF!</v>
      </c>
      <c r="E75" s="23" t="e">
        <f t="shared" si="1"/>
        <v>#REF!</v>
      </c>
      <c r="G75" s="44" t="e">
        <f t="shared" si="2"/>
        <v>#REF!</v>
      </c>
      <c r="H75" s="44" t="e">
        <f t="shared" si="3"/>
        <v>#REF!</v>
      </c>
    </row>
    <row r="76" spans="1:8">
      <c r="A76" s="65" t="e">
        <f>RESUMO!#REF!</f>
        <v>#REF!</v>
      </c>
      <c r="B76" s="20" t="e">
        <f>RESUMO!#REF!</f>
        <v>#REF!</v>
      </c>
      <c r="C76" s="27" t="e">
        <f>RESUMO!#REF!</f>
        <v>#REF!</v>
      </c>
      <c r="D76" s="12" t="e">
        <f t="shared" si="0"/>
        <v>#REF!</v>
      </c>
      <c r="E76" s="23" t="e">
        <f t="shared" si="1"/>
        <v>#REF!</v>
      </c>
      <c r="G76" s="44" t="e">
        <f t="shared" si="2"/>
        <v>#REF!</v>
      </c>
      <c r="H76" s="44" t="e">
        <f t="shared" si="3"/>
        <v>#REF!</v>
      </c>
    </row>
    <row r="77" spans="1:8">
      <c r="A77" s="65" t="e">
        <f>RESUMO!#REF!</f>
        <v>#REF!</v>
      </c>
      <c r="B77" s="20" t="e">
        <f>RESUMO!#REF!</f>
        <v>#REF!</v>
      </c>
      <c r="C77" s="27" t="e">
        <f>RESUMO!#REF!</f>
        <v>#REF!</v>
      </c>
      <c r="D77" s="12" t="e">
        <f t="shared" si="0"/>
        <v>#REF!</v>
      </c>
      <c r="E77" s="23" t="e">
        <f t="shared" si="1"/>
        <v>#REF!</v>
      </c>
      <c r="G77" s="44" t="e">
        <f t="shared" si="2"/>
        <v>#REF!</v>
      </c>
      <c r="H77" s="44" t="e">
        <f t="shared" si="3"/>
        <v>#REF!</v>
      </c>
    </row>
    <row r="78" spans="1:8">
      <c r="A78" s="65" t="e">
        <f>RESUMO!#REF!</f>
        <v>#REF!</v>
      </c>
      <c r="B78" s="20" t="e">
        <f>RESUMO!#REF!</f>
        <v>#REF!</v>
      </c>
      <c r="C78" s="27" t="e">
        <f>RESUMO!#REF!</f>
        <v>#REF!</v>
      </c>
      <c r="D78" s="12" t="e">
        <f t="shared" ref="D78:D124" si="4">C78-E78</f>
        <v>#REF!</v>
      </c>
      <c r="E78" s="23" t="e">
        <f t="shared" ref="E78:E133" si="5">C78*$H$11</f>
        <v>#REF!</v>
      </c>
      <c r="G78" s="44" t="e">
        <f t="shared" ref="G78:G152" si="6">D78+E78</f>
        <v>#REF!</v>
      </c>
      <c r="H78" s="44" t="e">
        <f t="shared" ref="H78:H153" si="7">C78-G78</f>
        <v>#REF!</v>
      </c>
    </row>
    <row r="79" spans="1:8">
      <c r="A79" s="65" t="e">
        <f>RESUMO!#REF!</f>
        <v>#REF!</v>
      </c>
      <c r="B79" s="20" t="e">
        <f>RESUMO!#REF!</f>
        <v>#REF!</v>
      </c>
      <c r="C79" s="27" t="e">
        <f>RESUMO!#REF!</f>
        <v>#REF!</v>
      </c>
      <c r="D79" s="12" t="e">
        <f t="shared" si="4"/>
        <v>#REF!</v>
      </c>
      <c r="E79" s="23" t="e">
        <f t="shared" si="5"/>
        <v>#REF!</v>
      </c>
      <c r="G79" s="44" t="e">
        <f t="shared" si="6"/>
        <v>#REF!</v>
      </c>
      <c r="H79" s="44" t="e">
        <f t="shared" si="7"/>
        <v>#REF!</v>
      </c>
    </row>
    <row r="80" spans="1:8" s="2" customFormat="1">
      <c r="A80" s="66" t="e">
        <f>RESUMO!#REF!</f>
        <v>#REF!</v>
      </c>
      <c r="B80" s="19" t="e">
        <f>RESUMO!#REF!</f>
        <v>#REF!</v>
      </c>
      <c r="C80" s="29" t="e">
        <f>RESUMO!#REF!</f>
        <v>#REF!</v>
      </c>
      <c r="D80" s="64" t="e">
        <f t="shared" si="4"/>
        <v>#REF!</v>
      </c>
      <c r="E80" s="30" t="e">
        <f t="shared" si="5"/>
        <v>#REF!</v>
      </c>
      <c r="G80" s="44" t="e">
        <f t="shared" si="6"/>
        <v>#REF!</v>
      </c>
      <c r="H80" s="44" t="e">
        <f t="shared" si="7"/>
        <v>#REF!</v>
      </c>
    </row>
    <row r="81" spans="1:8">
      <c r="A81" s="65" t="e">
        <f>RESUMO!#REF!</f>
        <v>#REF!</v>
      </c>
      <c r="B81" s="20" t="e">
        <f>RESUMO!#REF!</f>
        <v>#REF!</v>
      </c>
      <c r="C81" s="27" t="e">
        <f>RESUMO!#REF!</f>
        <v>#REF!</v>
      </c>
      <c r="D81" s="12" t="e">
        <f t="shared" si="4"/>
        <v>#REF!</v>
      </c>
      <c r="E81" s="23" t="e">
        <f t="shared" si="5"/>
        <v>#REF!</v>
      </c>
      <c r="G81" s="44" t="e">
        <f t="shared" si="6"/>
        <v>#REF!</v>
      </c>
      <c r="H81" s="44" t="e">
        <f t="shared" si="7"/>
        <v>#REF!</v>
      </c>
    </row>
    <row r="82" spans="1:8">
      <c r="A82" s="65" t="e">
        <f>RESUMO!#REF!</f>
        <v>#REF!</v>
      </c>
      <c r="B82" s="20" t="e">
        <f>RESUMO!#REF!</f>
        <v>#REF!</v>
      </c>
      <c r="C82" s="27" t="e">
        <f>RESUMO!#REF!</f>
        <v>#REF!</v>
      </c>
      <c r="D82" s="12" t="e">
        <f t="shared" si="4"/>
        <v>#REF!</v>
      </c>
      <c r="E82" s="23" t="e">
        <f t="shared" si="5"/>
        <v>#REF!</v>
      </c>
      <c r="G82" s="44" t="e">
        <f t="shared" si="6"/>
        <v>#REF!</v>
      </c>
      <c r="H82" s="44" t="e">
        <f t="shared" si="7"/>
        <v>#REF!</v>
      </c>
    </row>
    <row r="83" spans="1:8">
      <c r="A83" s="65" t="e">
        <f>RESUMO!#REF!</f>
        <v>#REF!</v>
      </c>
      <c r="B83" s="20" t="e">
        <f>RESUMO!#REF!</f>
        <v>#REF!</v>
      </c>
      <c r="C83" s="27" t="e">
        <f>RESUMO!#REF!</f>
        <v>#REF!</v>
      </c>
      <c r="D83" s="12" t="e">
        <f t="shared" si="4"/>
        <v>#REF!</v>
      </c>
      <c r="E83" s="23" t="e">
        <f t="shared" si="5"/>
        <v>#REF!</v>
      </c>
      <c r="G83" s="44" t="e">
        <f t="shared" si="6"/>
        <v>#REF!</v>
      </c>
      <c r="H83" s="44" t="e">
        <f t="shared" si="7"/>
        <v>#REF!</v>
      </c>
    </row>
    <row r="84" spans="1:8">
      <c r="A84" s="65" t="e">
        <f>RESUMO!#REF!</f>
        <v>#REF!</v>
      </c>
      <c r="B84" s="20" t="e">
        <f>RESUMO!#REF!</f>
        <v>#REF!</v>
      </c>
      <c r="C84" s="27" t="e">
        <f>RESUMO!#REF!</f>
        <v>#REF!</v>
      </c>
      <c r="D84" s="12" t="e">
        <f t="shared" si="4"/>
        <v>#REF!</v>
      </c>
      <c r="E84" s="23" t="e">
        <f t="shared" si="5"/>
        <v>#REF!</v>
      </c>
      <c r="G84" s="44" t="e">
        <f t="shared" si="6"/>
        <v>#REF!</v>
      </c>
      <c r="H84" s="44" t="e">
        <f t="shared" si="7"/>
        <v>#REF!</v>
      </c>
    </row>
    <row r="85" spans="1:8">
      <c r="A85" s="65" t="e">
        <f>RESUMO!#REF!</f>
        <v>#REF!</v>
      </c>
      <c r="B85" s="20" t="e">
        <f>RESUMO!#REF!</f>
        <v>#REF!</v>
      </c>
      <c r="C85" s="27" t="e">
        <f>RESUMO!#REF!</f>
        <v>#REF!</v>
      </c>
      <c r="D85" s="12" t="e">
        <f t="shared" si="4"/>
        <v>#REF!</v>
      </c>
      <c r="E85" s="23" t="e">
        <f t="shared" si="5"/>
        <v>#REF!</v>
      </c>
      <c r="G85" s="44" t="e">
        <f t="shared" si="6"/>
        <v>#REF!</v>
      </c>
      <c r="H85" s="44" t="e">
        <f t="shared" si="7"/>
        <v>#REF!</v>
      </c>
    </row>
    <row r="86" spans="1:8">
      <c r="A86" s="65" t="e">
        <f>RESUMO!#REF!</f>
        <v>#REF!</v>
      </c>
      <c r="B86" s="20" t="e">
        <f>RESUMO!#REF!</f>
        <v>#REF!</v>
      </c>
      <c r="C86" s="27" t="e">
        <f>RESUMO!#REF!</f>
        <v>#REF!</v>
      </c>
      <c r="D86" s="12" t="e">
        <f t="shared" si="4"/>
        <v>#REF!</v>
      </c>
      <c r="E86" s="23" t="e">
        <f t="shared" si="5"/>
        <v>#REF!</v>
      </c>
      <c r="G86" s="44" t="e">
        <f t="shared" si="6"/>
        <v>#REF!</v>
      </c>
      <c r="H86" s="44" t="e">
        <f t="shared" si="7"/>
        <v>#REF!</v>
      </c>
    </row>
    <row r="87" spans="1:8" s="2" customFormat="1">
      <c r="A87" s="66" t="e">
        <f>RESUMO!#REF!</f>
        <v>#REF!</v>
      </c>
      <c r="B87" s="19" t="e">
        <f>RESUMO!#REF!</f>
        <v>#REF!</v>
      </c>
      <c r="C87" s="29" t="e">
        <f>RESUMO!#REF!</f>
        <v>#REF!</v>
      </c>
      <c r="D87" s="64" t="e">
        <f t="shared" si="4"/>
        <v>#REF!</v>
      </c>
      <c r="E87" s="30" t="e">
        <f t="shared" si="5"/>
        <v>#REF!</v>
      </c>
      <c r="G87" s="44" t="e">
        <f t="shared" si="6"/>
        <v>#REF!</v>
      </c>
      <c r="H87" s="44" t="e">
        <f t="shared" si="7"/>
        <v>#REF!</v>
      </c>
    </row>
    <row r="88" spans="1:8">
      <c r="A88" s="65" t="e">
        <f>RESUMO!#REF!</f>
        <v>#REF!</v>
      </c>
      <c r="B88" s="20" t="e">
        <f>RESUMO!#REF!</f>
        <v>#REF!</v>
      </c>
      <c r="C88" s="27" t="e">
        <f>RESUMO!#REF!</f>
        <v>#REF!</v>
      </c>
      <c r="D88" s="12" t="e">
        <f t="shared" si="4"/>
        <v>#REF!</v>
      </c>
      <c r="E88" s="23" t="e">
        <f t="shared" si="5"/>
        <v>#REF!</v>
      </c>
      <c r="G88" s="44" t="e">
        <f t="shared" si="6"/>
        <v>#REF!</v>
      </c>
      <c r="H88" s="44" t="e">
        <f t="shared" si="7"/>
        <v>#REF!</v>
      </c>
    </row>
    <row r="89" spans="1:8">
      <c r="A89" s="65" t="e">
        <f>RESUMO!#REF!</f>
        <v>#REF!</v>
      </c>
      <c r="B89" s="20" t="e">
        <f>RESUMO!#REF!</f>
        <v>#REF!</v>
      </c>
      <c r="C89" s="27" t="e">
        <f>RESUMO!#REF!</f>
        <v>#REF!</v>
      </c>
      <c r="D89" s="12" t="e">
        <f t="shared" si="4"/>
        <v>#REF!</v>
      </c>
      <c r="E89" s="23" t="e">
        <f t="shared" si="5"/>
        <v>#REF!</v>
      </c>
      <c r="G89" s="44" t="e">
        <f t="shared" si="6"/>
        <v>#REF!</v>
      </c>
      <c r="H89" s="44" t="e">
        <f t="shared" si="7"/>
        <v>#REF!</v>
      </c>
    </row>
    <row r="90" spans="1:8">
      <c r="A90" s="65" t="e">
        <f>RESUMO!#REF!</f>
        <v>#REF!</v>
      </c>
      <c r="B90" s="20" t="e">
        <f>RESUMO!#REF!</f>
        <v>#REF!</v>
      </c>
      <c r="C90" s="27" t="e">
        <f>RESUMO!#REF!</f>
        <v>#REF!</v>
      </c>
      <c r="D90" s="12" t="e">
        <f t="shared" si="4"/>
        <v>#REF!</v>
      </c>
      <c r="E90" s="23" t="e">
        <f t="shared" si="5"/>
        <v>#REF!</v>
      </c>
      <c r="G90" s="44" t="e">
        <f t="shared" si="6"/>
        <v>#REF!</v>
      </c>
      <c r="H90" s="44" t="e">
        <f t="shared" si="7"/>
        <v>#REF!</v>
      </c>
    </row>
    <row r="91" spans="1:8">
      <c r="A91" s="65" t="e">
        <f>RESUMO!#REF!</f>
        <v>#REF!</v>
      </c>
      <c r="B91" s="20" t="e">
        <f>RESUMO!#REF!</f>
        <v>#REF!</v>
      </c>
      <c r="C91" s="27" t="e">
        <f>RESUMO!#REF!</f>
        <v>#REF!</v>
      </c>
      <c r="D91" s="12" t="e">
        <f t="shared" si="4"/>
        <v>#REF!</v>
      </c>
      <c r="E91" s="23" t="e">
        <f t="shared" si="5"/>
        <v>#REF!</v>
      </c>
      <c r="G91" s="44" t="e">
        <f t="shared" si="6"/>
        <v>#REF!</v>
      </c>
      <c r="H91" s="44" t="e">
        <f t="shared" si="7"/>
        <v>#REF!</v>
      </c>
    </row>
    <row r="92" spans="1:8">
      <c r="A92" s="65" t="e">
        <f>RESUMO!#REF!</f>
        <v>#REF!</v>
      </c>
      <c r="B92" s="20" t="e">
        <f>RESUMO!#REF!</f>
        <v>#REF!</v>
      </c>
      <c r="C92" s="27" t="e">
        <f>RESUMO!#REF!</f>
        <v>#REF!</v>
      </c>
      <c r="D92" s="12" t="e">
        <f t="shared" si="4"/>
        <v>#REF!</v>
      </c>
      <c r="E92" s="23" t="e">
        <f t="shared" si="5"/>
        <v>#REF!</v>
      </c>
      <c r="G92" s="44" t="e">
        <f t="shared" si="6"/>
        <v>#REF!</v>
      </c>
      <c r="H92" s="44" t="e">
        <f t="shared" si="7"/>
        <v>#REF!</v>
      </c>
    </row>
    <row r="93" spans="1:8">
      <c r="A93" s="65" t="e">
        <f>RESUMO!#REF!</f>
        <v>#REF!</v>
      </c>
      <c r="B93" s="20" t="e">
        <f>RESUMO!#REF!</f>
        <v>#REF!</v>
      </c>
      <c r="C93" s="27" t="e">
        <f>RESUMO!#REF!</f>
        <v>#REF!</v>
      </c>
      <c r="D93" s="12" t="e">
        <f t="shared" si="4"/>
        <v>#REF!</v>
      </c>
      <c r="E93" s="23" t="e">
        <f t="shared" si="5"/>
        <v>#REF!</v>
      </c>
      <c r="G93" s="44" t="e">
        <f t="shared" si="6"/>
        <v>#REF!</v>
      </c>
      <c r="H93" s="44" t="e">
        <f t="shared" si="7"/>
        <v>#REF!</v>
      </c>
    </row>
    <row r="94" spans="1:8" s="2" customFormat="1">
      <c r="A94" s="66" t="str">
        <f>RESUMO!A42</f>
        <v>6.0</v>
      </c>
      <c r="B94" s="19" t="str">
        <f>RESUMO!B42</f>
        <v>PREVENÇÃO E COMBATE A INCÊNDIO</v>
      </c>
      <c r="C94" s="29">
        <f>RESUMO!C42</f>
        <v>146139.32</v>
      </c>
      <c r="D94" s="64">
        <f t="shared" si="4"/>
        <v>146139.32</v>
      </c>
      <c r="E94" s="30">
        <f t="shared" si="5"/>
        <v>0</v>
      </c>
      <c r="G94" s="44">
        <f t="shared" si="6"/>
        <v>146139.32</v>
      </c>
      <c r="H94" s="44">
        <f t="shared" si="7"/>
        <v>0</v>
      </c>
    </row>
    <row r="95" spans="1:8">
      <c r="A95" s="65" t="str">
        <f>RESUMO!A43</f>
        <v>6.1</v>
      </c>
      <c r="B95" s="20" t="str">
        <f>RESUMO!B43</f>
        <v>ELETROBOMBA E ACESSÓRIOS</v>
      </c>
      <c r="C95" s="27">
        <f>RESUMO!C43</f>
        <v>11648.130000000003</v>
      </c>
      <c r="D95" s="12">
        <f t="shared" si="4"/>
        <v>11648.130000000003</v>
      </c>
      <c r="E95" s="23">
        <f t="shared" si="5"/>
        <v>0</v>
      </c>
      <c r="G95" s="44">
        <f t="shared" si="6"/>
        <v>11648.130000000003</v>
      </c>
      <c r="H95" s="44">
        <f t="shared" si="7"/>
        <v>0</v>
      </c>
    </row>
    <row r="96" spans="1:8">
      <c r="A96" s="65" t="str">
        <f>RESUMO!A44</f>
        <v>6.2</v>
      </c>
      <c r="B96" s="20" t="str">
        <f>RESUMO!B44</f>
        <v>ABRIGO, HIDRANTE, MANGUEIRA E EXTINTOR</v>
      </c>
      <c r="C96" s="27">
        <f>RESUMO!C44</f>
        <v>14242.86</v>
      </c>
      <c r="D96" s="12">
        <f t="shared" si="4"/>
        <v>14242.86</v>
      </c>
      <c r="E96" s="23">
        <f t="shared" si="5"/>
        <v>0</v>
      </c>
      <c r="G96" s="44">
        <f t="shared" si="6"/>
        <v>14242.86</v>
      </c>
      <c r="H96" s="44">
        <f t="shared" si="7"/>
        <v>0</v>
      </c>
    </row>
    <row r="97" spans="1:8">
      <c r="A97" s="65" t="str">
        <f>RESUMO!A45</f>
        <v>6.3</v>
      </c>
      <c r="B97" s="20" t="str">
        <f>RESUMO!B45</f>
        <v>TUBOS</v>
      </c>
      <c r="C97" s="27">
        <f>RESUMO!C45</f>
        <v>21529.809999999998</v>
      </c>
      <c r="D97" s="12">
        <f t="shared" si="4"/>
        <v>21529.809999999998</v>
      </c>
      <c r="E97" s="23">
        <f t="shared" si="5"/>
        <v>0</v>
      </c>
      <c r="G97" s="44">
        <f t="shared" si="6"/>
        <v>21529.809999999998</v>
      </c>
      <c r="H97" s="44">
        <f t="shared" si="7"/>
        <v>0</v>
      </c>
    </row>
    <row r="98" spans="1:8">
      <c r="A98" s="65" t="str">
        <f>RESUMO!A46</f>
        <v>6.4</v>
      </c>
      <c r="B98" s="20" t="str">
        <f>RESUMO!B46</f>
        <v>ILUMINAÇÃO SINALIZAÇÃO</v>
      </c>
      <c r="C98" s="27">
        <f>RESUMO!C46</f>
        <v>3745.82</v>
      </c>
      <c r="D98" s="12">
        <f t="shared" si="4"/>
        <v>3745.82</v>
      </c>
      <c r="E98" s="23">
        <f t="shared" si="5"/>
        <v>0</v>
      </c>
      <c r="G98" s="44">
        <f t="shared" si="6"/>
        <v>3745.82</v>
      </c>
      <c r="H98" s="44">
        <f t="shared" si="7"/>
        <v>0</v>
      </c>
    </row>
    <row r="99" spans="1:8" s="2" customFormat="1">
      <c r="A99" s="66" t="str">
        <f>RESUMO!A49</f>
        <v>7.0</v>
      </c>
      <c r="B99" s="19" t="str">
        <f>RESUMO!B49</f>
        <v xml:space="preserve">ELÉTRICA </v>
      </c>
      <c r="C99" s="29" t="e">
        <f>SUM(C100:C105)</f>
        <v>#REF!</v>
      </c>
      <c r="D99" s="64" t="e">
        <f t="shared" si="4"/>
        <v>#REF!</v>
      </c>
      <c r="E99" s="30" t="e">
        <f t="shared" si="5"/>
        <v>#REF!</v>
      </c>
      <c r="G99" s="44" t="e">
        <f t="shared" si="6"/>
        <v>#REF!</v>
      </c>
      <c r="H99" s="44" t="e">
        <f t="shared" si="7"/>
        <v>#REF!</v>
      </c>
    </row>
    <row r="100" spans="1:8">
      <c r="A100" s="96" t="str">
        <f>RESUMO!A50</f>
        <v>7.1</v>
      </c>
      <c r="B100" s="20" t="str">
        <f>RESUMO!B50</f>
        <v>ELÉTRICA INCÊNDIO</v>
      </c>
      <c r="C100" s="27">
        <f>RESUMO!C50</f>
        <v>8169.0400000000009</v>
      </c>
      <c r="D100" s="12">
        <f t="shared" ref="D100:D105" si="8">C100-E100</f>
        <v>8169.0400000000009</v>
      </c>
      <c r="E100" s="23">
        <f>C100*$H$11</f>
        <v>0</v>
      </c>
      <c r="G100" s="44"/>
      <c r="H100" s="44"/>
    </row>
    <row r="101" spans="1:8">
      <c r="A101" s="96" t="e">
        <f>RESUMO!#REF!</f>
        <v>#REF!</v>
      </c>
      <c r="B101" s="20" t="e">
        <f>RESUMO!#REF!</f>
        <v>#REF!</v>
      </c>
      <c r="C101" s="27" t="e">
        <f>RESUMO!#REF!</f>
        <v>#REF!</v>
      </c>
      <c r="D101" s="12" t="e">
        <f t="shared" si="8"/>
        <v>#REF!</v>
      </c>
      <c r="E101" s="23" t="e">
        <f>C101*$H$11</f>
        <v>#REF!</v>
      </c>
      <c r="G101" s="44"/>
      <c r="H101" s="44"/>
    </row>
    <row r="102" spans="1:8">
      <c r="A102" s="96" t="e">
        <f>RESUMO!#REF!</f>
        <v>#REF!</v>
      </c>
      <c r="B102" s="20" t="e">
        <f>RESUMO!#REF!</f>
        <v>#REF!</v>
      </c>
      <c r="C102" s="27" t="e">
        <f>RESUMO!#REF!</f>
        <v>#REF!</v>
      </c>
      <c r="D102" s="12" t="e">
        <f t="shared" si="8"/>
        <v>#REF!</v>
      </c>
      <c r="E102" s="23" t="e">
        <f>C102*$H$11</f>
        <v>#REF!</v>
      </c>
      <c r="G102" s="44"/>
      <c r="H102" s="44"/>
    </row>
    <row r="103" spans="1:8">
      <c r="A103" s="96" t="e">
        <f>RESUMO!#REF!</f>
        <v>#REF!</v>
      </c>
      <c r="B103" s="20" t="e">
        <f>RESUMO!#REF!</f>
        <v>#REF!</v>
      </c>
      <c r="C103" s="27" t="e">
        <f>RESUMO!#REF!</f>
        <v>#REF!</v>
      </c>
      <c r="D103" s="12" t="e">
        <f t="shared" si="8"/>
        <v>#REF!</v>
      </c>
      <c r="E103" s="23" t="e">
        <f>C103*$H$11</f>
        <v>#REF!</v>
      </c>
      <c r="G103" s="44"/>
      <c r="H103" s="44"/>
    </row>
    <row r="104" spans="1:8">
      <c r="A104" s="96" t="e">
        <f>RESUMO!#REF!</f>
        <v>#REF!</v>
      </c>
      <c r="B104" s="20" t="e">
        <f>RESUMO!#REF!</f>
        <v>#REF!</v>
      </c>
      <c r="C104" s="27" t="e">
        <f>RESUMO!#REF!</f>
        <v>#REF!</v>
      </c>
      <c r="D104" s="12" t="e">
        <f t="shared" si="8"/>
        <v>#REF!</v>
      </c>
      <c r="E104" s="23"/>
      <c r="G104" s="44"/>
      <c r="H104" s="44"/>
    </row>
    <row r="105" spans="1:8">
      <c r="A105" s="96" t="str">
        <f>RESUMO!A51</f>
        <v>7.2</v>
      </c>
      <c r="B105" s="20" t="str">
        <f>RESUMO!B51</f>
        <v xml:space="preserve">CABOS PARA ALIMENTAÇÃO DE QUADROS - ALIMENTAÇÃO GERAL </v>
      </c>
      <c r="C105" s="27">
        <f>RESUMO!C51</f>
        <v>257661.93999999994</v>
      </c>
      <c r="D105" s="12">
        <f t="shared" si="8"/>
        <v>257661.93999999994</v>
      </c>
      <c r="E105" s="23"/>
      <c r="G105" s="44"/>
      <c r="H105" s="44"/>
    </row>
    <row r="106" spans="1:8" s="2" customFormat="1">
      <c r="A106" s="66" t="str">
        <f>RESUMO!A54</f>
        <v>8.0</v>
      </c>
      <c r="B106" s="19" t="str">
        <f>RESUMO!B54</f>
        <v>INSTALAÇÕES HIDRÁULICAS</v>
      </c>
      <c r="C106" s="29">
        <f>RESUMO!C54</f>
        <v>5377.16</v>
      </c>
      <c r="D106" s="64">
        <f t="shared" si="4"/>
        <v>5377.16</v>
      </c>
      <c r="E106" s="30">
        <f t="shared" si="5"/>
        <v>0</v>
      </c>
      <c r="G106" s="44">
        <f t="shared" si="6"/>
        <v>5377.16</v>
      </c>
      <c r="H106" s="44">
        <f t="shared" si="7"/>
        <v>0</v>
      </c>
    </row>
    <row r="107" spans="1:8" s="8" customFormat="1">
      <c r="A107" s="65" t="e">
        <f>RESUMO!#REF!</f>
        <v>#REF!</v>
      </c>
      <c r="B107" s="20" t="e">
        <f>RESUMO!#REF!</f>
        <v>#REF!</v>
      </c>
      <c r="C107" s="27" t="e">
        <f>RESUMO!#REF!</f>
        <v>#REF!</v>
      </c>
      <c r="D107" s="12" t="e">
        <f t="shared" si="4"/>
        <v>#REF!</v>
      </c>
      <c r="E107" s="23" t="e">
        <f t="shared" si="5"/>
        <v>#REF!</v>
      </c>
      <c r="G107" s="44" t="e">
        <f t="shared" si="6"/>
        <v>#REF!</v>
      </c>
      <c r="H107" s="44" t="e">
        <f t="shared" si="7"/>
        <v>#REF!</v>
      </c>
    </row>
    <row r="108" spans="1:8" s="8" customFormat="1">
      <c r="A108" s="65" t="e">
        <f>RESUMO!#REF!</f>
        <v>#REF!</v>
      </c>
      <c r="B108" s="20" t="e">
        <f>RESUMO!#REF!</f>
        <v>#REF!</v>
      </c>
      <c r="C108" s="27" t="e">
        <f>RESUMO!#REF!</f>
        <v>#REF!</v>
      </c>
      <c r="D108" s="12" t="e">
        <f t="shared" si="4"/>
        <v>#REF!</v>
      </c>
      <c r="E108" s="23" t="e">
        <f t="shared" si="5"/>
        <v>#REF!</v>
      </c>
      <c r="G108" s="44" t="e">
        <f t="shared" si="6"/>
        <v>#REF!</v>
      </c>
      <c r="H108" s="44" t="e">
        <f t="shared" si="7"/>
        <v>#REF!</v>
      </c>
    </row>
    <row r="109" spans="1:8" s="8" customFormat="1">
      <c r="A109" s="65" t="e">
        <f>RESUMO!#REF!</f>
        <v>#REF!</v>
      </c>
      <c r="B109" s="20" t="e">
        <f>RESUMO!#REF!</f>
        <v>#REF!</v>
      </c>
      <c r="C109" s="27" t="e">
        <f>RESUMO!#REF!</f>
        <v>#REF!</v>
      </c>
      <c r="D109" s="12" t="e">
        <f t="shared" si="4"/>
        <v>#REF!</v>
      </c>
      <c r="E109" s="23" t="e">
        <f t="shared" si="5"/>
        <v>#REF!</v>
      </c>
      <c r="G109" s="44" t="e">
        <f t="shared" si="6"/>
        <v>#REF!</v>
      </c>
      <c r="H109" s="44" t="e">
        <f t="shared" si="7"/>
        <v>#REF!</v>
      </c>
    </row>
    <row r="110" spans="1:8" s="8" customFormat="1">
      <c r="A110" s="65" t="str">
        <f>RESUMO!A55</f>
        <v>8.1</v>
      </c>
      <c r="B110" s="20" t="str">
        <f>RESUMO!B55</f>
        <v>TUBULAÇÃO DE ALIMENTAÇÃO DO RESERVATÓRIO DE INCÊNDIO</v>
      </c>
      <c r="C110" s="27">
        <f>RESUMO!C55</f>
        <v>5377.16</v>
      </c>
      <c r="D110" s="12">
        <f t="shared" si="4"/>
        <v>5377.16</v>
      </c>
      <c r="E110" s="23">
        <f t="shared" si="5"/>
        <v>0</v>
      </c>
      <c r="G110" s="44">
        <f t="shared" si="6"/>
        <v>5377.16</v>
      </c>
      <c r="H110" s="44">
        <f t="shared" si="7"/>
        <v>0</v>
      </c>
    </row>
    <row r="111" spans="1:8" s="2" customFormat="1">
      <c r="A111" s="66" t="e">
        <f>RESUMO!#REF!</f>
        <v>#REF!</v>
      </c>
      <c r="B111" s="19" t="e">
        <f>RESUMO!#REF!</f>
        <v>#REF!</v>
      </c>
      <c r="C111" s="29" t="e">
        <f>RESUMO!#REF!</f>
        <v>#REF!</v>
      </c>
      <c r="D111" s="64" t="e">
        <f t="shared" si="4"/>
        <v>#REF!</v>
      </c>
      <c r="E111" s="30" t="e">
        <f t="shared" si="5"/>
        <v>#REF!</v>
      </c>
      <c r="G111" s="44" t="e">
        <f t="shared" si="6"/>
        <v>#REF!</v>
      </c>
      <c r="H111" s="44" t="e">
        <f t="shared" si="7"/>
        <v>#REF!</v>
      </c>
    </row>
    <row r="112" spans="1:8" s="8" customFormat="1">
      <c r="A112" s="65" t="e">
        <f>RESUMO!#REF!</f>
        <v>#REF!</v>
      </c>
      <c r="B112" s="20" t="e">
        <f>RESUMO!#REF!</f>
        <v>#REF!</v>
      </c>
      <c r="C112" s="27" t="e">
        <f>RESUMO!#REF!</f>
        <v>#REF!</v>
      </c>
      <c r="D112" s="12" t="e">
        <f t="shared" si="4"/>
        <v>#REF!</v>
      </c>
      <c r="E112" s="23" t="e">
        <f t="shared" si="5"/>
        <v>#REF!</v>
      </c>
      <c r="G112" s="44" t="e">
        <f t="shared" si="6"/>
        <v>#REF!</v>
      </c>
      <c r="H112" s="44" t="e">
        <f t="shared" si="7"/>
        <v>#REF!</v>
      </c>
    </row>
    <row r="113" spans="1:8" s="8" customFormat="1">
      <c r="A113" s="65" t="e">
        <f>RESUMO!#REF!</f>
        <v>#REF!</v>
      </c>
      <c r="B113" s="20" t="e">
        <f>RESUMO!#REF!</f>
        <v>#REF!</v>
      </c>
      <c r="C113" s="27" t="e">
        <f>RESUMO!#REF!</f>
        <v>#REF!</v>
      </c>
      <c r="D113" s="12" t="e">
        <f t="shared" si="4"/>
        <v>#REF!</v>
      </c>
      <c r="E113" s="23" t="e">
        <f t="shared" si="5"/>
        <v>#REF!</v>
      </c>
      <c r="G113" s="44" t="e">
        <f t="shared" si="6"/>
        <v>#REF!</v>
      </c>
      <c r="H113" s="44" t="e">
        <f t="shared" si="7"/>
        <v>#REF!</v>
      </c>
    </row>
    <row r="114" spans="1:8" s="8" customFormat="1">
      <c r="A114" s="65" t="e">
        <f>RESUMO!#REF!</f>
        <v>#REF!</v>
      </c>
      <c r="B114" s="20" t="e">
        <f>RESUMO!#REF!</f>
        <v>#REF!</v>
      </c>
      <c r="C114" s="27" t="e">
        <f>RESUMO!#REF!</f>
        <v>#REF!</v>
      </c>
      <c r="D114" s="12" t="e">
        <f t="shared" si="4"/>
        <v>#REF!</v>
      </c>
      <c r="E114" s="23" t="e">
        <f t="shared" si="5"/>
        <v>#REF!</v>
      </c>
      <c r="G114" s="44" t="e">
        <f t="shared" si="6"/>
        <v>#REF!</v>
      </c>
      <c r="H114" s="44" t="e">
        <f t="shared" si="7"/>
        <v>#REF!</v>
      </c>
    </row>
    <row r="115" spans="1:8" s="8" customFormat="1">
      <c r="A115" s="65" t="e">
        <f>RESUMO!#REF!</f>
        <v>#REF!</v>
      </c>
      <c r="B115" s="20" t="e">
        <f>RESUMO!#REF!</f>
        <v>#REF!</v>
      </c>
      <c r="C115" s="27" t="e">
        <f>RESUMO!#REF!</f>
        <v>#REF!</v>
      </c>
      <c r="D115" s="12" t="e">
        <f t="shared" si="4"/>
        <v>#REF!</v>
      </c>
      <c r="E115" s="23" t="e">
        <f t="shared" si="5"/>
        <v>#REF!</v>
      </c>
      <c r="G115" s="44" t="e">
        <f t="shared" si="6"/>
        <v>#REF!</v>
      </c>
      <c r="H115" s="44" t="e">
        <f t="shared" si="7"/>
        <v>#REF!</v>
      </c>
    </row>
    <row r="116" spans="1:8" s="2" customFormat="1">
      <c r="A116" s="66" t="str">
        <f>RESUMO!A60</f>
        <v>10.0</v>
      </c>
      <c r="B116" s="19" t="str">
        <f>RESUMO!B60</f>
        <v>SPDA - SISTEMA DE PROTEÇÃO CONTRA DESARGA ATMOSFERICA</v>
      </c>
      <c r="C116" s="29">
        <f>RESUMO!C60</f>
        <v>38274.369999999995</v>
      </c>
      <c r="D116" s="64">
        <f t="shared" si="4"/>
        <v>38274.369999999995</v>
      </c>
      <c r="E116" s="30">
        <f t="shared" si="5"/>
        <v>0</v>
      </c>
      <c r="G116" s="44">
        <f t="shared" si="6"/>
        <v>38274.369999999995</v>
      </c>
      <c r="H116" s="44">
        <f t="shared" si="7"/>
        <v>0</v>
      </c>
    </row>
    <row r="117" spans="1:8" s="2" customFormat="1">
      <c r="A117" s="66" t="str">
        <f>RESUMO!A62</f>
        <v>11.0</v>
      </c>
      <c r="B117" s="19" t="str">
        <f>RESUMO!B62</f>
        <v xml:space="preserve">ESCADA ACESSO </v>
      </c>
      <c r="C117" s="29">
        <f>RESUMO!C62</f>
        <v>102353.49</v>
      </c>
      <c r="D117" s="64">
        <f t="shared" si="4"/>
        <v>102353.49</v>
      </c>
      <c r="E117" s="30">
        <f t="shared" si="5"/>
        <v>0</v>
      </c>
      <c r="G117" s="44">
        <f t="shared" si="6"/>
        <v>102353.49</v>
      </c>
      <c r="H117" s="44">
        <f t="shared" si="7"/>
        <v>0</v>
      </c>
    </row>
    <row r="118" spans="1:8" s="2" customFormat="1">
      <c r="A118" s="65" t="str">
        <f>RESUMO!A63</f>
        <v>11.1</v>
      </c>
      <c r="B118" s="20" t="str">
        <f>RESUMO!B63</f>
        <v>SERVIÇOS PRELIMINARES</v>
      </c>
      <c r="C118" s="27">
        <f>RESUMO!C63</f>
        <v>5950.96</v>
      </c>
      <c r="D118" s="12">
        <f t="shared" si="4"/>
        <v>5950.96</v>
      </c>
      <c r="E118" s="23">
        <f t="shared" si="5"/>
        <v>0</v>
      </c>
      <c r="G118" s="44">
        <f t="shared" si="6"/>
        <v>5950.96</v>
      </c>
      <c r="H118" s="44">
        <f t="shared" si="7"/>
        <v>0</v>
      </c>
    </row>
    <row r="119" spans="1:8">
      <c r="A119" s="65" t="str">
        <f>RESUMO!A64</f>
        <v>11.2</v>
      </c>
      <c r="B119" s="20" t="str">
        <f>RESUMO!B64</f>
        <v>FUNDAÇÃO</v>
      </c>
      <c r="C119" s="27">
        <f>RESUMO!C64</f>
        <v>40722.609999999993</v>
      </c>
      <c r="D119" s="12">
        <f t="shared" si="4"/>
        <v>40722.609999999993</v>
      </c>
      <c r="E119" s="23">
        <f t="shared" si="5"/>
        <v>0</v>
      </c>
      <c r="G119" s="44">
        <f t="shared" si="6"/>
        <v>40722.609999999993</v>
      </c>
      <c r="H119" s="44">
        <f t="shared" si="7"/>
        <v>0</v>
      </c>
    </row>
    <row r="120" spans="1:8">
      <c r="A120" s="65" t="e">
        <f>RESUMO!#REF!</f>
        <v>#REF!</v>
      </c>
      <c r="B120" s="20" t="e">
        <f>RESUMO!#REF!</f>
        <v>#REF!</v>
      </c>
      <c r="C120" s="27" t="e">
        <f>RESUMO!#REF!</f>
        <v>#REF!</v>
      </c>
      <c r="D120" s="12" t="e">
        <f t="shared" si="4"/>
        <v>#REF!</v>
      </c>
      <c r="E120" s="23" t="e">
        <f t="shared" si="5"/>
        <v>#REF!</v>
      </c>
      <c r="G120" s="44" t="e">
        <f t="shared" si="6"/>
        <v>#REF!</v>
      </c>
      <c r="H120" s="44" t="e">
        <f t="shared" si="7"/>
        <v>#REF!</v>
      </c>
    </row>
    <row r="121" spans="1:8">
      <c r="A121" s="65" t="str">
        <f>RESUMO!A65</f>
        <v>11.3</v>
      </c>
      <c r="B121" s="20" t="str">
        <f>RESUMO!B65</f>
        <v>PISO E REVESTIMENTO</v>
      </c>
      <c r="C121" s="27">
        <f>RESUMO!C65</f>
        <v>21565.91</v>
      </c>
      <c r="D121" s="12">
        <f t="shared" si="4"/>
        <v>21565.91</v>
      </c>
      <c r="E121" s="23">
        <f t="shared" si="5"/>
        <v>0</v>
      </c>
      <c r="G121" s="44">
        <f t="shared" si="6"/>
        <v>21565.91</v>
      </c>
      <c r="H121" s="44">
        <f t="shared" si="7"/>
        <v>0</v>
      </c>
    </row>
    <row r="122" spans="1:8">
      <c r="A122" s="65" t="str">
        <f>RESUMO!A66</f>
        <v>11.4</v>
      </c>
      <c r="B122" s="20" t="str">
        <f>RESUMO!B66</f>
        <v>SERVIÇOS COMPLEMENTARES</v>
      </c>
      <c r="C122" s="27">
        <f>RESUMO!C66</f>
        <v>34114.01</v>
      </c>
      <c r="D122" s="12">
        <f t="shared" si="4"/>
        <v>34114.01</v>
      </c>
      <c r="E122" s="23">
        <f t="shared" si="5"/>
        <v>0</v>
      </c>
      <c r="G122" s="44">
        <f t="shared" si="6"/>
        <v>34114.01</v>
      </c>
      <c r="H122" s="44">
        <f t="shared" si="7"/>
        <v>0</v>
      </c>
    </row>
    <row r="123" spans="1:8">
      <c r="A123" s="65" t="e">
        <f>RESUMO!#REF!</f>
        <v>#REF!</v>
      </c>
      <c r="B123" s="20" t="e">
        <f>RESUMO!#REF!</f>
        <v>#REF!</v>
      </c>
      <c r="C123" s="27" t="e">
        <f>RESUMO!#REF!</f>
        <v>#REF!</v>
      </c>
      <c r="D123" s="12" t="e">
        <f t="shared" si="4"/>
        <v>#REF!</v>
      </c>
      <c r="E123" s="23" t="e">
        <f t="shared" si="5"/>
        <v>#REF!</v>
      </c>
      <c r="G123" s="44" t="e">
        <f t="shared" si="6"/>
        <v>#REF!</v>
      </c>
      <c r="H123" s="44" t="e">
        <f t="shared" si="7"/>
        <v>#REF!</v>
      </c>
    </row>
    <row r="124" spans="1:8">
      <c r="A124" s="65" t="e">
        <f>RESUMO!#REF!</f>
        <v>#REF!</v>
      </c>
      <c r="B124" s="20" t="e">
        <f>RESUMO!#REF!</f>
        <v>#REF!</v>
      </c>
      <c r="C124" s="27" t="e">
        <f>RESUMO!#REF!</f>
        <v>#REF!</v>
      </c>
      <c r="D124" s="12" t="e">
        <f t="shared" si="4"/>
        <v>#REF!</v>
      </c>
      <c r="E124" s="23" t="e">
        <f t="shared" si="5"/>
        <v>#REF!</v>
      </c>
      <c r="G124" s="44" t="e">
        <f t="shared" si="6"/>
        <v>#REF!</v>
      </c>
      <c r="H124" s="44" t="e">
        <f t="shared" si="7"/>
        <v>#REF!</v>
      </c>
    </row>
    <row r="125" spans="1:8" s="2" customFormat="1">
      <c r="A125" s="66" t="e">
        <f>RESUMO!#REF!</f>
        <v>#REF!</v>
      </c>
      <c r="B125" s="19" t="e">
        <f>RESUMO!#REF!</f>
        <v>#REF!</v>
      </c>
      <c r="C125" s="29" t="e">
        <f>RESUMO!#REF!</f>
        <v>#REF!</v>
      </c>
      <c r="D125" s="64" t="e">
        <f>C125-E125</f>
        <v>#REF!</v>
      </c>
      <c r="E125" s="30" t="e">
        <f t="shared" si="5"/>
        <v>#REF!</v>
      </c>
      <c r="G125" s="44" t="e">
        <f t="shared" si="6"/>
        <v>#REF!</v>
      </c>
      <c r="H125" s="44" t="e">
        <f t="shared" si="7"/>
        <v>#REF!</v>
      </c>
    </row>
    <row r="126" spans="1:8" s="8" customFormat="1">
      <c r="A126" s="90" t="e">
        <f>RESUMO!#REF!</f>
        <v>#REF!</v>
      </c>
      <c r="B126" s="20" t="e">
        <f>RESUMO!#REF!</f>
        <v>#REF!</v>
      </c>
      <c r="C126" s="27" t="e">
        <f>RESUMO!#REF!</f>
        <v>#REF!</v>
      </c>
      <c r="D126" s="12" t="e">
        <f t="shared" ref="D126:D152" si="9">C126-E126</f>
        <v>#REF!</v>
      </c>
      <c r="E126" s="23" t="e">
        <f t="shared" si="5"/>
        <v>#REF!</v>
      </c>
      <c r="G126" s="92" t="e">
        <f t="shared" si="6"/>
        <v>#REF!</v>
      </c>
      <c r="H126" s="92" t="e">
        <f t="shared" si="7"/>
        <v>#REF!</v>
      </c>
    </row>
    <row r="127" spans="1:8" s="8" customFormat="1">
      <c r="A127" s="90" t="e">
        <f>RESUMO!#REF!</f>
        <v>#REF!</v>
      </c>
      <c r="B127" s="20" t="e">
        <f>RESUMO!#REF!</f>
        <v>#REF!</v>
      </c>
      <c r="C127" s="27" t="e">
        <f>RESUMO!#REF!</f>
        <v>#REF!</v>
      </c>
      <c r="D127" s="12" t="e">
        <f t="shared" si="9"/>
        <v>#REF!</v>
      </c>
      <c r="E127" s="23" t="e">
        <f t="shared" si="5"/>
        <v>#REF!</v>
      </c>
      <c r="G127" s="92" t="e">
        <f t="shared" si="6"/>
        <v>#REF!</v>
      </c>
      <c r="H127" s="92" t="e">
        <f t="shared" si="7"/>
        <v>#REF!</v>
      </c>
    </row>
    <row r="128" spans="1:8">
      <c r="A128" s="91" t="e">
        <f>RESUMO!#REF!</f>
        <v>#REF!</v>
      </c>
      <c r="B128" s="19" t="e">
        <f>RESUMO!#REF!</f>
        <v>#REF!</v>
      </c>
      <c r="C128" s="29" t="e">
        <f>RESUMO!#REF!</f>
        <v>#REF!</v>
      </c>
      <c r="D128" s="64" t="e">
        <f t="shared" si="9"/>
        <v>#REF!</v>
      </c>
      <c r="E128" s="23" t="e">
        <f t="shared" si="5"/>
        <v>#REF!</v>
      </c>
      <c r="G128" s="44" t="e">
        <f t="shared" si="6"/>
        <v>#REF!</v>
      </c>
      <c r="H128" s="44" t="e">
        <f t="shared" si="7"/>
        <v>#REF!</v>
      </c>
    </row>
    <row r="129" spans="1:8" s="8" customFormat="1">
      <c r="A129" s="90" t="e">
        <f>RESUMO!#REF!</f>
        <v>#REF!</v>
      </c>
      <c r="B129" s="20" t="e">
        <f>RESUMO!#REF!</f>
        <v>#REF!</v>
      </c>
      <c r="C129" s="27" t="e">
        <f>RESUMO!#REF!</f>
        <v>#REF!</v>
      </c>
      <c r="D129" s="12" t="e">
        <f t="shared" si="9"/>
        <v>#REF!</v>
      </c>
      <c r="E129" s="23" t="e">
        <f t="shared" si="5"/>
        <v>#REF!</v>
      </c>
      <c r="G129" s="92" t="e">
        <f t="shared" si="6"/>
        <v>#REF!</v>
      </c>
      <c r="H129" s="92" t="e">
        <f t="shared" si="7"/>
        <v>#REF!</v>
      </c>
    </row>
    <row r="130" spans="1:8" s="8" customFormat="1">
      <c r="A130" s="90" t="e">
        <f>RESUMO!#REF!</f>
        <v>#REF!</v>
      </c>
      <c r="B130" s="20" t="e">
        <f>RESUMO!#REF!</f>
        <v>#REF!</v>
      </c>
      <c r="C130" s="27" t="e">
        <f>RESUMO!#REF!</f>
        <v>#REF!</v>
      </c>
      <c r="D130" s="12" t="e">
        <f t="shared" si="9"/>
        <v>#REF!</v>
      </c>
      <c r="E130" s="23" t="e">
        <f t="shared" si="5"/>
        <v>#REF!</v>
      </c>
      <c r="G130" s="92" t="e">
        <f t="shared" si="6"/>
        <v>#REF!</v>
      </c>
      <c r="H130" s="92" t="e">
        <f t="shared" si="7"/>
        <v>#REF!</v>
      </c>
    </row>
    <row r="131" spans="1:8">
      <c r="A131" s="91" t="str">
        <f>RESUMO!A68</f>
        <v>12.0</v>
      </c>
      <c r="B131" s="19" t="str">
        <f>RESUMO!B68</f>
        <v>COBERTURA</v>
      </c>
      <c r="C131" s="29">
        <f>RESUMO!C68</f>
        <v>209710.46</v>
      </c>
      <c r="D131" s="64">
        <f t="shared" si="9"/>
        <v>209710.46</v>
      </c>
      <c r="E131" s="23">
        <f t="shared" si="5"/>
        <v>0</v>
      </c>
      <c r="G131" s="44">
        <f t="shared" si="6"/>
        <v>209710.46</v>
      </c>
      <c r="H131" s="44">
        <f t="shared" si="7"/>
        <v>0</v>
      </c>
    </row>
    <row r="132" spans="1:8" s="8" customFormat="1">
      <c r="A132" s="90" t="str">
        <f>RESUMO!A69</f>
        <v>12.1</v>
      </c>
      <c r="B132" s="20" t="str">
        <f>RESUMO!B69</f>
        <v>DEMOLIÇÃO</v>
      </c>
      <c r="C132" s="27">
        <f>RESUMO!C69</f>
        <v>11816.69</v>
      </c>
      <c r="D132" s="12">
        <f t="shared" si="9"/>
        <v>11816.69</v>
      </c>
      <c r="E132" s="23">
        <f t="shared" si="5"/>
        <v>0</v>
      </c>
      <c r="G132" s="92">
        <f t="shared" si="6"/>
        <v>11816.69</v>
      </c>
      <c r="H132" s="92">
        <f t="shared" si="7"/>
        <v>0</v>
      </c>
    </row>
    <row r="133" spans="1:8">
      <c r="A133" s="91" t="str">
        <f>RESUMO!A74</f>
        <v>13.0</v>
      </c>
      <c r="B133" s="19" t="str">
        <f>RESUMO!B74</f>
        <v>FACHADA</v>
      </c>
      <c r="C133" s="29">
        <f>RESUMO!C74</f>
        <v>813902.98999999987</v>
      </c>
      <c r="D133" s="64">
        <f t="shared" si="9"/>
        <v>813902.98999999987</v>
      </c>
      <c r="E133" s="23">
        <f t="shared" si="5"/>
        <v>0</v>
      </c>
      <c r="G133" s="44">
        <f t="shared" si="6"/>
        <v>813902.98999999987</v>
      </c>
      <c r="H133" s="44">
        <f t="shared" si="7"/>
        <v>0</v>
      </c>
    </row>
    <row r="134" spans="1:8" s="8" customFormat="1">
      <c r="A134" s="90" t="e">
        <f>RESUMO!#REF!</f>
        <v>#REF!</v>
      </c>
      <c r="B134" s="20" t="e">
        <f>RESUMO!#REF!</f>
        <v>#REF!</v>
      </c>
      <c r="C134" s="27" t="e">
        <f>RESUMO!#REF!</f>
        <v>#REF!</v>
      </c>
      <c r="D134" s="12" t="e">
        <f t="shared" si="9"/>
        <v>#REF!</v>
      </c>
      <c r="E134" s="23" t="e">
        <f t="shared" ref="E134:E142" si="10">C134*$H$11</f>
        <v>#REF!</v>
      </c>
      <c r="G134" s="92" t="e">
        <f t="shared" si="6"/>
        <v>#REF!</v>
      </c>
      <c r="H134" s="92" t="e">
        <f t="shared" si="7"/>
        <v>#REF!</v>
      </c>
    </row>
    <row r="135" spans="1:8" s="8" customFormat="1">
      <c r="A135" s="90" t="str">
        <f>RESUMO!A76</f>
        <v>13.2</v>
      </c>
      <c r="B135" s="20" t="str">
        <f>RESUMO!B76</f>
        <v>BRISE FACHADA</v>
      </c>
      <c r="C135" s="27">
        <f>RESUMO!C76</f>
        <v>183101.14</v>
      </c>
      <c r="D135" s="12">
        <f t="shared" si="9"/>
        <v>183101.14</v>
      </c>
      <c r="E135" s="23">
        <f t="shared" si="10"/>
        <v>0</v>
      </c>
      <c r="G135" s="92">
        <f t="shared" si="6"/>
        <v>183101.14</v>
      </c>
      <c r="H135" s="92">
        <f t="shared" si="7"/>
        <v>0</v>
      </c>
    </row>
    <row r="136" spans="1:8" s="8" customFormat="1">
      <c r="A136" s="90" t="str">
        <f>RESUMO!A77</f>
        <v>13.3</v>
      </c>
      <c r="B136" s="20" t="str">
        <f>RESUMO!B77</f>
        <v>PINTURA</v>
      </c>
      <c r="C136" s="27">
        <f>RESUMO!C77</f>
        <v>49284.91</v>
      </c>
      <c r="D136" s="12">
        <f t="shared" si="9"/>
        <v>49284.91</v>
      </c>
      <c r="E136" s="23">
        <f t="shared" si="10"/>
        <v>0</v>
      </c>
      <c r="G136" s="92"/>
      <c r="H136" s="92"/>
    </row>
    <row r="137" spans="1:8" s="8" customFormat="1">
      <c r="A137" s="90" t="e">
        <f>RESUMO!#REF!</f>
        <v>#REF!</v>
      </c>
      <c r="B137" s="20" t="e">
        <f>RESUMO!#REF!</f>
        <v>#REF!</v>
      </c>
      <c r="C137" s="27" t="e">
        <f>RESUMO!#REF!</f>
        <v>#REF!</v>
      </c>
      <c r="D137" s="12" t="e">
        <f t="shared" si="9"/>
        <v>#REF!</v>
      </c>
      <c r="E137" s="23" t="e">
        <f t="shared" si="10"/>
        <v>#REF!</v>
      </c>
      <c r="G137" s="92"/>
      <c r="H137" s="92"/>
    </row>
    <row r="138" spans="1:8">
      <c r="A138" s="91" t="str">
        <f>RESUMO!A80</f>
        <v>14.0</v>
      </c>
      <c r="B138" s="19" t="str">
        <f>RESUMO!B80</f>
        <v>ACESSIBILIDADE</v>
      </c>
      <c r="C138" s="29">
        <f>RESUMO!C80</f>
        <v>13853.400000000001</v>
      </c>
      <c r="D138" s="64">
        <f t="shared" si="9"/>
        <v>13853.400000000001</v>
      </c>
      <c r="E138" s="23">
        <f t="shared" si="10"/>
        <v>0</v>
      </c>
      <c r="G138" s="44"/>
      <c r="H138" s="44"/>
    </row>
    <row r="139" spans="1:8">
      <c r="A139" s="91" t="str">
        <f>RESUMO!A82</f>
        <v>15.0</v>
      </c>
      <c r="B139" s="19" t="str">
        <f>RESUMO!B82</f>
        <v>RAMPA DE ACESSO</v>
      </c>
      <c r="C139" s="29">
        <f>RESUMO!C82</f>
        <v>70501.600000000006</v>
      </c>
      <c r="D139" s="64">
        <f t="shared" si="9"/>
        <v>70501.600000000006</v>
      </c>
      <c r="E139" s="23">
        <f t="shared" si="10"/>
        <v>0</v>
      </c>
      <c r="G139" s="44"/>
      <c r="H139" s="44"/>
    </row>
    <row r="140" spans="1:8" s="8" customFormat="1">
      <c r="A140" s="90" t="str">
        <f>RESUMO!A83</f>
        <v>15.1</v>
      </c>
      <c r="B140" s="20" t="str">
        <f>RESUMO!B83</f>
        <v>SERVIÇOS PRELIMINARES</v>
      </c>
      <c r="C140" s="27">
        <f>RESUMO!C83</f>
        <v>3696.6600000000003</v>
      </c>
      <c r="D140" s="12">
        <f t="shared" si="9"/>
        <v>3696.6600000000003</v>
      </c>
      <c r="E140" s="23">
        <f t="shared" si="10"/>
        <v>0</v>
      </c>
      <c r="G140" s="92"/>
      <c r="H140" s="92"/>
    </row>
    <row r="141" spans="1:8" s="8" customFormat="1">
      <c r="A141" s="90" t="str">
        <f>RESUMO!A84</f>
        <v>15.2</v>
      </c>
      <c r="B141" s="20" t="str">
        <f>RESUMO!B84</f>
        <v>FUNDAÇÃO</v>
      </c>
      <c r="C141" s="27">
        <f>RESUMO!C84</f>
        <v>44673.73</v>
      </c>
      <c r="D141" s="12">
        <f t="shared" si="9"/>
        <v>44673.73</v>
      </c>
      <c r="E141" s="23">
        <f t="shared" si="10"/>
        <v>0</v>
      </c>
      <c r="G141" s="92"/>
      <c r="H141" s="92"/>
    </row>
    <row r="142" spans="1:8" s="8" customFormat="1">
      <c r="A142" s="90" t="str">
        <f>RESUMO!A85</f>
        <v>15.3</v>
      </c>
      <c r="B142" s="20" t="str">
        <f>RESUMO!B85</f>
        <v>SERVIÇOS COMPLEMENTARES</v>
      </c>
      <c r="C142" s="27">
        <f>RESUMO!C85</f>
        <v>22131.21</v>
      </c>
      <c r="D142" s="12">
        <f t="shared" si="9"/>
        <v>22131.21</v>
      </c>
      <c r="E142" s="23">
        <f t="shared" si="10"/>
        <v>0</v>
      </c>
      <c r="G142" s="92"/>
      <c r="H142" s="92"/>
    </row>
    <row r="143" spans="1:8">
      <c r="A143" s="91" t="e">
        <f>RESUMO!#REF!</f>
        <v>#REF!</v>
      </c>
      <c r="B143" s="19" t="e">
        <f>RESUMO!#REF!</f>
        <v>#REF!</v>
      </c>
      <c r="C143" s="29" t="e">
        <f>RESUMO!#REF!</f>
        <v>#REF!</v>
      </c>
      <c r="D143" s="64" t="e">
        <f t="shared" si="9"/>
        <v>#REF!</v>
      </c>
      <c r="E143" s="23" t="e">
        <f t="shared" ref="E143:E150" si="11">C143*$H$11</f>
        <v>#REF!</v>
      </c>
      <c r="G143" s="44"/>
      <c r="H143" s="44"/>
    </row>
    <row r="144" spans="1:8" s="8" customFormat="1">
      <c r="A144" s="90" t="e">
        <f>RESUMO!#REF!</f>
        <v>#REF!</v>
      </c>
      <c r="B144" s="20" t="e">
        <f>RESUMO!#REF!</f>
        <v>#REF!</v>
      </c>
      <c r="C144" s="27" t="e">
        <f>RESUMO!#REF!</f>
        <v>#REF!</v>
      </c>
      <c r="D144" s="12" t="e">
        <f t="shared" si="9"/>
        <v>#REF!</v>
      </c>
      <c r="E144" s="23" t="e">
        <f t="shared" si="11"/>
        <v>#REF!</v>
      </c>
      <c r="G144" s="92"/>
      <c r="H144" s="92"/>
    </row>
    <row r="145" spans="1:8" s="8" customFormat="1">
      <c r="A145" s="90" t="e">
        <f>RESUMO!#REF!</f>
        <v>#REF!</v>
      </c>
      <c r="B145" s="20" t="e">
        <f>RESUMO!#REF!</f>
        <v>#REF!</v>
      </c>
      <c r="C145" s="27" t="e">
        <f>RESUMO!#REF!</f>
        <v>#REF!</v>
      </c>
      <c r="D145" s="12" t="e">
        <f t="shared" si="9"/>
        <v>#REF!</v>
      </c>
      <c r="E145" s="23" t="e">
        <f t="shared" si="11"/>
        <v>#REF!</v>
      </c>
      <c r="G145" s="92"/>
      <c r="H145" s="92"/>
    </row>
    <row r="146" spans="1:8" s="8" customFormat="1">
      <c r="A146" s="90" t="e">
        <f>RESUMO!#REF!</f>
        <v>#REF!</v>
      </c>
      <c r="B146" s="20" t="e">
        <f>RESUMO!#REF!</f>
        <v>#REF!</v>
      </c>
      <c r="C146" s="27" t="e">
        <f>RESUMO!#REF!</f>
        <v>#REF!</v>
      </c>
      <c r="D146" s="12" t="e">
        <f t="shared" si="9"/>
        <v>#REF!</v>
      </c>
      <c r="E146" s="23" t="e">
        <f t="shared" si="11"/>
        <v>#REF!</v>
      </c>
      <c r="G146" s="92"/>
      <c r="H146" s="92"/>
    </row>
    <row r="147" spans="1:8">
      <c r="A147" s="91" t="e">
        <f>RESUMO!#REF!</f>
        <v>#REF!</v>
      </c>
      <c r="B147" s="19" t="e">
        <f>RESUMO!#REF!</f>
        <v>#REF!</v>
      </c>
      <c r="C147" s="29" t="e">
        <f>RESUMO!#REF!</f>
        <v>#REF!</v>
      </c>
      <c r="D147" s="64" t="e">
        <f t="shared" si="9"/>
        <v>#REF!</v>
      </c>
      <c r="E147" s="23" t="e">
        <f t="shared" si="11"/>
        <v>#REF!</v>
      </c>
      <c r="G147" s="44"/>
      <c r="H147" s="44"/>
    </row>
    <row r="148" spans="1:8" s="8" customFormat="1">
      <c r="A148" s="90" t="e">
        <f>RESUMO!#REF!</f>
        <v>#REF!</v>
      </c>
      <c r="B148" s="20" t="e">
        <f>RESUMO!#REF!</f>
        <v>#REF!</v>
      </c>
      <c r="C148" s="27" t="e">
        <f>RESUMO!#REF!</f>
        <v>#REF!</v>
      </c>
      <c r="D148" s="12" t="e">
        <f t="shared" si="9"/>
        <v>#REF!</v>
      </c>
      <c r="E148" s="23" t="e">
        <f t="shared" si="11"/>
        <v>#REF!</v>
      </c>
      <c r="G148" s="92"/>
      <c r="H148" s="92"/>
    </row>
    <row r="149" spans="1:8" s="8" customFormat="1">
      <c r="A149" s="90" t="e">
        <f>RESUMO!#REF!</f>
        <v>#REF!</v>
      </c>
      <c r="B149" s="20" t="e">
        <f>RESUMO!#REF!</f>
        <v>#REF!</v>
      </c>
      <c r="C149" s="27" t="e">
        <f>RESUMO!#REF!</f>
        <v>#REF!</v>
      </c>
      <c r="D149" s="12" t="e">
        <f t="shared" si="9"/>
        <v>#REF!</v>
      </c>
      <c r="E149" s="23" t="e">
        <f t="shared" si="11"/>
        <v>#REF!</v>
      </c>
      <c r="G149" s="92"/>
      <c r="H149" s="92"/>
    </row>
    <row r="150" spans="1:8" s="8" customFormat="1">
      <c r="A150" s="90" t="e">
        <f>RESUMO!#REF!</f>
        <v>#REF!</v>
      </c>
      <c r="B150" s="20" t="e">
        <f>RESUMO!#REF!</f>
        <v>#REF!</v>
      </c>
      <c r="C150" s="27" t="e">
        <f>RESUMO!#REF!</f>
        <v>#REF!</v>
      </c>
      <c r="D150" s="12" t="e">
        <f t="shared" si="9"/>
        <v>#REF!</v>
      </c>
      <c r="E150" s="23" t="e">
        <f t="shared" si="11"/>
        <v>#REF!</v>
      </c>
      <c r="G150" s="92"/>
      <c r="H150" s="92"/>
    </row>
    <row r="151" spans="1:8">
      <c r="A151" s="91" t="e">
        <f>RESUMO!#REF!</f>
        <v>#REF!</v>
      </c>
      <c r="B151" s="19" t="e">
        <f>RESUMO!#REF!</f>
        <v>#REF!</v>
      </c>
      <c r="C151" s="29" t="e">
        <f>RESUMO!#REF!</f>
        <v>#REF!</v>
      </c>
      <c r="D151" s="64" t="e">
        <f t="shared" si="9"/>
        <v>#REF!</v>
      </c>
      <c r="E151" s="23" t="e">
        <f>C151*$H$11</f>
        <v>#REF!</v>
      </c>
      <c r="G151" s="44" t="e">
        <f t="shared" si="6"/>
        <v>#REF!</v>
      </c>
      <c r="H151" s="44" t="e">
        <f t="shared" si="7"/>
        <v>#REF!</v>
      </c>
    </row>
    <row r="152" spans="1:8">
      <c r="A152" s="91" t="e">
        <f>RESUMO!#REF!</f>
        <v>#REF!</v>
      </c>
      <c r="B152" s="19" t="e">
        <f>RESUMO!#REF!</f>
        <v>#REF!</v>
      </c>
      <c r="C152" s="29" t="e">
        <f>RESUMO!#REF!</f>
        <v>#REF!</v>
      </c>
      <c r="D152" s="64" t="e">
        <f t="shared" si="9"/>
        <v>#REF!</v>
      </c>
      <c r="E152" s="23" t="e">
        <f>C152*$H$11</f>
        <v>#REF!</v>
      </c>
      <c r="G152" s="44" t="e">
        <f t="shared" si="6"/>
        <v>#REF!</v>
      </c>
      <c r="H152" s="44" t="e">
        <f t="shared" si="7"/>
        <v>#REF!</v>
      </c>
    </row>
    <row r="153" spans="1:8" s="2" customFormat="1">
      <c r="A153" s="1380" t="s">
        <v>95</v>
      </c>
      <c r="B153" s="1381"/>
      <c r="C153" s="29" t="e">
        <f>C117+C116+C111+C106+C99+C94+C87+C80+C73+C66+C59+C52+C47+C39+C30+C25+C15+C14+C13</f>
        <v>#REF!</v>
      </c>
      <c r="D153" s="29" t="e">
        <f>D117+D116+D111+D106+D99+D94+D87+D80+D73+D66+D59+D52+D47+D39+D30+D25+D15+D14+D13</f>
        <v>#REF!</v>
      </c>
      <c r="E153" s="29" t="e">
        <f>E117+E116+E111+E106+E99+E94+E87+E80+E73+E66+E59+E52+E47+E39+E30+E25+E15+E14+E13</f>
        <v>#REF!</v>
      </c>
      <c r="G153" s="44" t="e">
        <f>D153+E153</f>
        <v>#REF!</v>
      </c>
      <c r="H153" s="44" t="e">
        <f t="shared" si="7"/>
        <v>#REF!</v>
      </c>
    </row>
    <row r="154" spans="1:8">
      <c r="A154" s="37"/>
      <c r="B154" s="20"/>
      <c r="C154" s="27"/>
      <c r="D154" s="12"/>
      <c r="E154" s="24"/>
    </row>
    <row r="155" spans="1:8" ht="15.75" thickBot="1">
      <c r="A155" s="38"/>
      <c r="B155" s="21"/>
      <c r="C155" s="28"/>
      <c r="D155" s="14"/>
      <c r="E155" s="25"/>
    </row>
    <row r="158" spans="1:8">
      <c r="B158" s="11" t="e">
        <f>'MEM CAL'!#REF!</f>
        <v>#REF!</v>
      </c>
    </row>
    <row r="159" spans="1:8">
      <c r="B159" s="94" t="e">
        <f>'MEM CAL'!#REF!</f>
        <v>#REF!</v>
      </c>
    </row>
    <row r="160" spans="1:8">
      <c r="B160" s="95" t="e">
        <f>'MEM CAL'!#REF!</f>
        <v>#REF!</v>
      </c>
    </row>
    <row r="161" spans="2:2">
      <c r="B161" s="95" t="e">
        <f>'MEM CAL'!#REF!</f>
        <v>#REF!</v>
      </c>
    </row>
    <row r="162" spans="2:2">
      <c r="B162" s="94"/>
    </row>
    <row r="163" spans="2:2">
      <c r="B163" s="11" t="e">
        <f>'MEM CAL'!#REF!</f>
        <v>#REF!</v>
      </c>
    </row>
    <row r="164" spans="2:2">
      <c r="B164" s="94"/>
    </row>
    <row r="165" spans="2:2">
      <c r="B165" s="94" t="e">
        <f>'MEM CAL'!#REF!</f>
        <v>#REF!</v>
      </c>
    </row>
    <row r="166" spans="2:2">
      <c r="B166" s="95" t="e">
        <f>'MEM CAL'!#REF!</f>
        <v>#REF!</v>
      </c>
    </row>
    <row r="167" spans="2:2">
      <c r="B167" s="95" t="e">
        <f>'MEM CAL'!#REF!</f>
        <v>#REF!</v>
      </c>
    </row>
    <row r="168" spans="2:2">
      <c r="B168" s="94"/>
    </row>
    <row r="169" spans="2:2">
      <c r="B169" s="94"/>
    </row>
    <row r="170" spans="2:2">
      <c r="B170" s="94" t="e">
        <f>'MEM CAL'!#REF!</f>
        <v>#REF!</v>
      </c>
    </row>
    <row r="171" spans="2:2">
      <c r="B171" s="95" t="e">
        <f>'MEM CAL'!#REF!</f>
        <v>#REF!</v>
      </c>
    </row>
    <row r="172" spans="2:2">
      <c r="B172" s="95" t="e">
        <f>'MEM CAL'!#REF!</f>
        <v>#REF!</v>
      </c>
    </row>
    <row r="173" spans="2:2">
      <c r="B173" s="94"/>
    </row>
    <row r="174" spans="2:2">
      <c r="B174" s="94"/>
    </row>
    <row r="175" spans="2:2">
      <c r="B175" s="94" t="e">
        <f>'MEM CAL'!#REF!</f>
        <v>#REF!</v>
      </c>
    </row>
    <row r="176" spans="2:2">
      <c r="B176" s="95" t="e">
        <f>'MEM CAL'!#REF!</f>
        <v>#REF!</v>
      </c>
    </row>
    <row r="177" spans="2:2">
      <c r="B177" s="95" t="e">
        <f>'MEM CAL'!#REF!</f>
        <v>#REF!</v>
      </c>
    </row>
  </sheetData>
  <mergeCells count="11">
    <mergeCell ref="A153:B153"/>
    <mergeCell ref="A8:E8"/>
    <mergeCell ref="A9:E9"/>
    <mergeCell ref="A10:A11"/>
    <mergeCell ref="B10:B11"/>
    <mergeCell ref="A1:E1"/>
    <mergeCell ref="A2:E2"/>
    <mergeCell ref="A3:E3"/>
    <mergeCell ref="C4:D4"/>
    <mergeCell ref="C5:D7"/>
    <mergeCell ref="E5:E7"/>
  </mergeCells>
  <pageMargins left="0.511811024" right="0.511811024" top="0.78740157499999996" bottom="0.78740157499999996" header="0.31496062000000002" footer="0.31496062000000002"/>
  <pageSetup scale="56" orientation="portrait" r:id="rId1"/>
  <rowBreaks count="1" manualBreakCount="1">
    <brk id="157"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661"/>
  <sheetViews>
    <sheetView showGridLines="0" view="pageBreakPreview" zoomScale="55" zoomScaleNormal="70" zoomScaleSheetLayoutView="55" zoomScalePageLayoutView="10" workbookViewId="0">
      <selection activeCell="K214" sqref="K214"/>
    </sheetView>
  </sheetViews>
  <sheetFormatPr defaultRowHeight="15"/>
  <cols>
    <col min="1" max="1" width="10.28515625" style="547" customWidth="1"/>
    <col min="2" max="2" width="64" style="480" customWidth="1"/>
    <col min="3" max="3" width="6.28515625" style="548" bestFit="1" customWidth="1"/>
    <col min="4" max="4" width="10.28515625" style="549" bestFit="1" customWidth="1"/>
    <col min="5" max="5" width="12.5703125" style="549" bestFit="1" customWidth="1"/>
    <col min="6" max="6" width="23.7109375" style="549" bestFit="1" customWidth="1"/>
    <col min="7" max="7" width="9.28515625" style="171" bestFit="1" customWidth="1"/>
    <col min="8" max="8" width="17" style="171" bestFit="1" customWidth="1"/>
    <col min="9" max="9" width="8.85546875" style="171" bestFit="1" customWidth="1"/>
    <col min="10" max="10" width="17" style="171" bestFit="1" customWidth="1"/>
    <col min="11" max="11" width="9.28515625" style="171" bestFit="1" customWidth="1"/>
    <col min="12" max="12" width="16.7109375" style="171" bestFit="1" customWidth="1"/>
    <col min="13" max="13" width="10.28515625" style="171" bestFit="1" customWidth="1"/>
    <col min="14" max="14" width="17.28515625" style="171" bestFit="1" customWidth="1"/>
    <col min="15" max="15" width="8.85546875" style="171" bestFit="1" customWidth="1"/>
    <col min="16" max="16" width="17.28515625" style="171" bestFit="1" customWidth="1"/>
    <col min="17" max="17" width="8.85546875" style="171" bestFit="1" customWidth="1"/>
    <col min="18" max="18" width="15.7109375" style="171" bestFit="1" customWidth="1"/>
    <col min="19" max="19" width="9.7109375" style="171" customWidth="1"/>
    <col min="20" max="20" width="15.7109375" style="171" bestFit="1" customWidth="1"/>
    <col min="21" max="21" width="8.5703125" style="171" bestFit="1" customWidth="1"/>
    <col min="22" max="22" width="17.28515625" style="171" bestFit="1" customWidth="1"/>
    <col min="23" max="23" width="8.5703125" style="171" bestFit="1" customWidth="1"/>
    <col min="24" max="24" width="17" style="171" bestFit="1" customWidth="1"/>
    <col min="25" max="25" width="8.140625" style="171" bestFit="1" customWidth="1"/>
    <col min="26" max="26" width="18" style="171" bestFit="1" customWidth="1"/>
    <col min="27" max="27" width="8.5703125" style="171" bestFit="1" customWidth="1"/>
    <col min="28" max="28" width="17.28515625" style="171" bestFit="1" customWidth="1"/>
    <col min="29" max="29" width="9.42578125" style="171" bestFit="1" customWidth="1"/>
    <col min="30" max="30" width="16" style="171" bestFit="1" customWidth="1"/>
    <col min="31" max="31" width="11.5703125" style="171" bestFit="1" customWidth="1"/>
    <col min="32" max="32" width="19.5703125" style="171" bestFit="1" customWidth="1"/>
    <col min="33" max="33" width="7.7109375" style="171" bestFit="1" customWidth="1"/>
    <col min="34" max="34" width="13.28515625" style="171" bestFit="1" customWidth="1"/>
    <col min="35" max="35" width="12" style="546" bestFit="1" customWidth="1"/>
    <col min="36" max="36" width="13.85546875" style="547" bestFit="1" customWidth="1"/>
    <col min="37" max="16384" width="9.140625" style="547"/>
  </cols>
  <sheetData>
    <row r="1" spans="1:37">
      <c r="A1" s="1397" t="s">
        <v>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row>
    <row r="2" spans="1:37">
      <c r="A2" s="1397" t="s">
        <v>82</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row>
    <row r="4" spans="1:37">
      <c r="A4" s="547" t="s">
        <v>1</v>
      </c>
      <c r="B4" s="480" t="str">
        <f>PLANILHA!B4</f>
        <v>REFORMA DO PREDIO ESCOLA DE GOVERNO</v>
      </c>
    </row>
    <row r="5" spans="1:37">
      <c r="A5" s="547" t="s">
        <v>2</v>
      </c>
      <c r="B5" s="480" t="str">
        <f>PLANILHA!B5</f>
        <v>CENTRO POLITICO ADMINISTRATIVO</v>
      </c>
      <c r="F5" s="549" t="s">
        <v>27946</v>
      </c>
    </row>
    <row r="6" spans="1:37">
      <c r="A6" s="547" t="s">
        <v>3</v>
      </c>
      <c r="B6" s="480" t="str">
        <f>PLANILHA!B6</f>
        <v>GOVERNO DO ESTADO DE MATO GROSSO</v>
      </c>
      <c r="F6" s="550" t="s">
        <v>7011</v>
      </c>
      <c r="G6" s="1314" t="str">
        <f>IF(F6="NÃO DESONERADO", "9","12")</f>
        <v>9</v>
      </c>
    </row>
    <row r="7" spans="1:37">
      <c r="A7" s="547" t="s">
        <v>4</v>
      </c>
      <c r="B7" s="480" t="str">
        <f>PLANILHA!B7</f>
        <v>RUA C, CENTRO POLÍTICO ADMINISTRATIVO, CUIABÁ – MT</v>
      </c>
      <c r="G7" s="1314" t="str">
        <f>IF(F6="NÃO DESONERADO", "8","11")</f>
        <v>8</v>
      </c>
    </row>
    <row r="8" spans="1:37" ht="15.75" thickBot="1"/>
    <row r="9" spans="1:37">
      <c r="A9" s="1391" t="s">
        <v>13284</v>
      </c>
      <c r="B9" s="1392"/>
      <c r="C9" s="1392"/>
      <c r="D9" s="1392"/>
      <c r="E9" s="1392"/>
      <c r="F9" s="1393"/>
      <c r="G9" s="1402" t="s">
        <v>13304</v>
      </c>
      <c r="H9" s="1403"/>
      <c r="I9" s="1403"/>
      <c r="J9" s="1403"/>
      <c r="K9" s="1403"/>
      <c r="L9" s="1403"/>
      <c r="M9" s="1403"/>
      <c r="N9" s="1403"/>
      <c r="O9" s="1403"/>
      <c r="P9" s="1403"/>
      <c r="Q9" s="1403"/>
      <c r="R9" s="1404"/>
      <c r="S9" s="1407" t="s">
        <v>13305</v>
      </c>
      <c r="T9" s="1408"/>
      <c r="U9" s="1408"/>
      <c r="V9" s="1408"/>
      <c r="W9" s="1408"/>
      <c r="X9" s="1408"/>
      <c r="Y9" s="1408"/>
      <c r="Z9" s="1408"/>
      <c r="AA9" s="1408"/>
      <c r="AB9" s="1408"/>
      <c r="AC9" s="1408"/>
      <c r="AD9" s="1409"/>
      <c r="AE9" s="1405" t="s">
        <v>93</v>
      </c>
      <c r="AF9" s="1398"/>
      <c r="AG9" s="1398" t="s">
        <v>13306</v>
      </c>
      <c r="AH9" s="1399"/>
    </row>
    <row r="10" spans="1:37">
      <c r="A10" s="1396">
        <v>0</v>
      </c>
      <c r="B10" s="1414" t="str">
        <f>PLANILHA!D11</f>
        <v>SERVIÇOS</v>
      </c>
      <c r="C10" s="1394" t="str">
        <f>PLANILHA!J11</f>
        <v>DESONERADO P.UNIT (S/BDI)</v>
      </c>
      <c r="D10" s="1394"/>
      <c r="E10" s="1394"/>
      <c r="F10" s="1395"/>
      <c r="G10" s="1412" t="s">
        <v>89</v>
      </c>
      <c r="H10" s="1390"/>
      <c r="I10" s="1390" t="s">
        <v>90</v>
      </c>
      <c r="J10" s="1390"/>
      <c r="K10" s="1390" t="s">
        <v>91</v>
      </c>
      <c r="L10" s="1390"/>
      <c r="M10" s="1390" t="s">
        <v>92</v>
      </c>
      <c r="N10" s="1390"/>
      <c r="O10" s="1390" t="s">
        <v>97</v>
      </c>
      <c r="P10" s="1390"/>
      <c r="Q10" s="1390" t="s">
        <v>98</v>
      </c>
      <c r="R10" s="1410"/>
      <c r="S10" s="1411" t="s">
        <v>99</v>
      </c>
      <c r="T10" s="1390"/>
      <c r="U10" s="1390" t="s">
        <v>100</v>
      </c>
      <c r="V10" s="1390"/>
      <c r="W10" s="1390" t="s">
        <v>101</v>
      </c>
      <c r="X10" s="1390"/>
      <c r="Y10" s="1390" t="s">
        <v>102</v>
      </c>
      <c r="Z10" s="1390"/>
      <c r="AA10" s="1390" t="s">
        <v>103</v>
      </c>
      <c r="AB10" s="1390"/>
      <c r="AC10" s="1390" t="s">
        <v>104</v>
      </c>
      <c r="AD10" s="1413"/>
      <c r="AE10" s="1406"/>
      <c r="AF10" s="1400"/>
      <c r="AG10" s="1400"/>
      <c r="AH10" s="1401"/>
    </row>
    <row r="11" spans="1:37">
      <c r="A11" s="1396"/>
      <c r="B11" s="1414"/>
      <c r="C11" s="551" t="str">
        <f>PLANILHA!E11</f>
        <v>UND</v>
      </c>
      <c r="D11" s="552" t="str">
        <f>PLANILHA!F11</f>
        <v>QTD</v>
      </c>
      <c r="E11" s="552">
        <f>PLANILHA!K12</f>
        <v>0</v>
      </c>
      <c r="F11" s="553" t="str">
        <f>F6</f>
        <v>NÃO DESONERADO</v>
      </c>
      <c r="G11" s="554" t="s">
        <v>25</v>
      </c>
      <c r="H11" s="552" t="s">
        <v>26</v>
      </c>
      <c r="I11" s="552" t="s">
        <v>25</v>
      </c>
      <c r="J11" s="552" t="s">
        <v>26</v>
      </c>
      <c r="K11" s="552" t="s">
        <v>25</v>
      </c>
      <c r="L11" s="552" t="s">
        <v>26</v>
      </c>
      <c r="M11" s="555" t="s">
        <v>25</v>
      </c>
      <c r="N11" s="552" t="s">
        <v>26</v>
      </c>
      <c r="O11" s="552" t="s">
        <v>25</v>
      </c>
      <c r="P11" s="552" t="s">
        <v>26</v>
      </c>
      <c r="Q11" s="552" t="s">
        <v>25</v>
      </c>
      <c r="R11" s="556" t="s">
        <v>26</v>
      </c>
      <c r="S11" s="557" t="s">
        <v>25</v>
      </c>
      <c r="T11" s="552" t="s">
        <v>26</v>
      </c>
      <c r="U11" s="552" t="s">
        <v>25</v>
      </c>
      <c r="V11" s="552" t="s">
        <v>26</v>
      </c>
      <c r="W11" s="552" t="s">
        <v>25</v>
      </c>
      <c r="X11" s="552" t="s">
        <v>26</v>
      </c>
      <c r="Y11" s="552" t="s">
        <v>25</v>
      </c>
      <c r="Z11" s="552" t="s">
        <v>26</v>
      </c>
      <c r="AA11" s="552" t="s">
        <v>25</v>
      </c>
      <c r="AB11" s="552" t="s">
        <v>26</v>
      </c>
      <c r="AC11" s="552" t="s">
        <v>25</v>
      </c>
      <c r="AD11" s="553" t="s">
        <v>26</v>
      </c>
      <c r="AE11" s="554" t="s">
        <v>25</v>
      </c>
      <c r="AF11" s="552" t="s">
        <v>26</v>
      </c>
      <c r="AG11" s="552" t="s">
        <v>25</v>
      </c>
      <c r="AH11" s="553" t="s">
        <v>26</v>
      </c>
    </row>
    <row r="12" spans="1:37" s="569" customFormat="1">
      <c r="A12" s="558" t="s">
        <v>7</v>
      </c>
      <c r="B12" s="559" t="str">
        <f>PLANILHA!D13</f>
        <v>SERVIÇOS PRELIMINARES</v>
      </c>
      <c r="C12" s="560"/>
      <c r="D12" s="561"/>
      <c r="E12" s="561"/>
      <c r="F12" s="562"/>
      <c r="G12" s="563"/>
      <c r="H12" s="564"/>
      <c r="I12" s="564"/>
      <c r="J12" s="564"/>
      <c r="K12" s="564"/>
      <c r="L12" s="564"/>
      <c r="M12" s="564"/>
      <c r="N12" s="564"/>
      <c r="O12" s="564"/>
      <c r="P12" s="564"/>
      <c r="Q12" s="564"/>
      <c r="R12" s="565"/>
      <c r="S12" s="566"/>
      <c r="T12" s="564"/>
      <c r="U12" s="564"/>
      <c r="V12" s="564"/>
      <c r="W12" s="564"/>
      <c r="X12" s="564"/>
      <c r="Y12" s="564"/>
      <c r="Z12" s="564"/>
      <c r="AA12" s="564"/>
      <c r="AB12" s="564"/>
      <c r="AC12" s="564"/>
      <c r="AD12" s="567"/>
      <c r="AE12" s="563"/>
      <c r="AF12" s="564"/>
      <c r="AG12" s="564"/>
      <c r="AH12" s="567"/>
      <c r="AI12" s="568"/>
    </row>
    <row r="13" spans="1:37" ht="30">
      <c r="A13" s="570" t="s">
        <v>44</v>
      </c>
      <c r="B13" s="571" t="str">
        <f>PLANILHA!D14</f>
        <v>PLACA DE OBRA EM CHAPA DE ACO GALVANIZADO. FORNECIMENTO E INSTALAÇÃO.</v>
      </c>
      <c r="C13" s="572" t="str">
        <f>PLANILHA!E14</f>
        <v>M2</v>
      </c>
      <c r="D13" s="573">
        <f>PLANILHA!F14</f>
        <v>12.5</v>
      </c>
      <c r="E13" s="573">
        <f t="shared" ref="E13:E19" si="0">VLOOKUP(A13,PLANILHA,$G$7,0)</f>
        <v>399.72</v>
      </c>
      <c r="F13" s="574">
        <f t="shared" ref="F13:F20" si="1">VLOOKUP(A13,PLANILHA,$G$6,0)</f>
        <v>4996.5</v>
      </c>
      <c r="G13" s="575">
        <v>12.5</v>
      </c>
      <c r="H13" s="576">
        <f>TRUNC(G13*$E13,2)</f>
        <v>4996.5</v>
      </c>
      <c r="I13" s="576"/>
      <c r="J13" s="576">
        <f>I13*$E13</f>
        <v>0</v>
      </c>
      <c r="K13" s="576"/>
      <c r="L13" s="576">
        <f>K13*$E13</f>
        <v>0</v>
      </c>
      <c r="M13" s="576"/>
      <c r="N13" s="576">
        <f>M13*$E13</f>
        <v>0</v>
      </c>
      <c r="O13" s="576"/>
      <c r="P13" s="576">
        <f>O13*$E13</f>
        <v>0</v>
      </c>
      <c r="Q13" s="576"/>
      <c r="R13" s="577">
        <f>Q13*$E13</f>
        <v>0</v>
      </c>
      <c r="S13" s="578"/>
      <c r="T13" s="576">
        <f>S13*$E13</f>
        <v>0</v>
      </c>
      <c r="U13" s="576"/>
      <c r="V13" s="576">
        <f>U13*$E13</f>
        <v>0</v>
      </c>
      <c r="W13" s="576"/>
      <c r="X13" s="576">
        <f>W13*$E13</f>
        <v>0</v>
      </c>
      <c r="Y13" s="576"/>
      <c r="Z13" s="576">
        <f>Y13*$E13</f>
        <v>0</v>
      </c>
      <c r="AA13" s="576"/>
      <c r="AB13" s="576">
        <f>AA13*$E13</f>
        <v>0</v>
      </c>
      <c r="AC13" s="576"/>
      <c r="AD13" s="579">
        <f>AC13*$E13</f>
        <v>0</v>
      </c>
      <c r="AE13" s="580">
        <f>AC13+AA13+Y13+W13+U13+S13+Q13+O13+M13+K13+I13+G13</f>
        <v>12.5</v>
      </c>
      <c r="AF13" s="576">
        <f>TRUNC(AE13*E13,2)</f>
        <v>4996.5</v>
      </c>
      <c r="AG13" s="576">
        <f t="shared" ref="AG13:AG19" si="2">D13-AE13</f>
        <v>0</v>
      </c>
      <c r="AH13" s="579">
        <f t="shared" ref="AH13:AH19" si="3">AG13*E13</f>
        <v>0</v>
      </c>
      <c r="AK13" s="617">
        <f>F13-AF13</f>
        <v>0</v>
      </c>
    </row>
    <row r="14" spans="1:37" ht="45">
      <c r="A14" s="570" t="s">
        <v>84</v>
      </c>
      <c r="B14" s="571" t="str">
        <f>PLANILHA!D15</f>
        <v>EXECUÇÃO DE ESCRITÓRIO EM CANTEIRO DE OBRA EM CHAPA DE MADEIRA COMPENSADA, NÃO INCLUSO MOBILIÁRIO E EQUIPAMENTOS. AF_02/2016</v>
      </c>
      <c r="C14" s="572" t="str">
        <f>PLANILHA!E15</f>
        <v>M2</v>
      </c>
      <c r="D14" s="573">
        <f>PLANILHA!F15</f>
        <v>32</v>
      </c>
      <c r="E14" s="573">
        <f t="shared" si="0"/>
        <v>1317.36</v>
      </c>
      <c r="F14" s="574">
        <f t="shared" si="1"/>
        <v>42155.519999999997</v>
      </c>
      <c r="G14" s="575">
        <v>32</v>
      </c>
      <c r="H14" s="576">
        <f t="shared" ref="H14:H19" si="4">TRUNC(G14*$E14,2)</f>
        <v>42155.519999999997</v>
      </c>
      <c r="I14" s="576"/>
      <c r="J14" s="576">
        <f t="shared" ref="J14:J19" si="5">I14*$E14</f>
        <v>0</v>
      </c>
      <c r="K14" s="576"/>
      <c r="L14" s="576">
        <f t="shared" ref="L14:L19" si="6">K14*$E14</f>
        <v>0</v>
      </c>
      <c r="M14" s="576"/>
      <c r="N14" s="576">
        <f t="shared" ref="N14:N19" si="7">M14*$E14</f>
        <v>0</v>
      </c>
      <c r="O14" s="576"/>
      <c r="P14" s="576">
        <f t="shared" ref="P14:P19" si="8">O14*$E14</f>
        <v>0</v>
      </c>
      <c r="Q14" s="576"/>
      <c r="R14" s="577">
        <f t="shared" ref="R14:R19" si="9">Q14*$E14</f>
        <v>0</v>
      </c>
      <c r="S14" s="578"/>
      <c r="T14" s="576">
        <f t="shared" ref="T14:T19" si="10">S14*$E14</f>
        <v>0</v>
      </c>
      <c r="U14" s="576"/>
      <c r="V14" s="576">
        <f t="shared" ref="V14:V19" si="11">U14*$E14</f>
        <v>0</v>
      </c>
      <c r="W14" s="576"/>
      <c r="X14" s="576">
        <f t="shared" ref="X14:X19" si="12">W14*$E14</f>
        <v>0</v>
      </c>
      <c r="Y14" s="576"/>
      <c r="Z14" s="576">
        <f t="shared" ref="Z14:Z19" si="13">Y14*$E14</f>
        <v>0</v>
      </c>
      <c r="AA14" s="576"/>
      <c r="AB14" s="576">
        <f t="shared" ref="AB14:AB19" si="14">AA14*$E14</f>
        <v>0</v>
      </c>
      <c r="AC14" s="576"/>
      <c r="AD14" s="579">
        <f t="shared" ref="AD14:AD19" si="15">AC14*$E14</f>
        <v>0</v>
      </c>
      <c r="AE14" s="580">
        <f t="shared" ref="AE14:AE19" si="16">AC14+AA14+Y14+W14+U14+S14+Q14+O14+M14+K14+I14+G14</f>
        <v>32</v>
      </c>
      <c r="AF14" s="576">
        <f t="shared" ref="AF14:AF19" si="17">TRUNC(AE14*E14,2)</f>
        <v>42155.519999999997</v>
      </c>
      <c r="AG14" s="576">
        <f t="shared" si="2"/>
        <v>0</v>
      </c>
      <c r="AH14" s="579">
        <f t="shared" si="3"/>
        <v>0</v>
      </c>
      <c r="AK14" s="617">
        <f t="shared" ref="AK14:AK77" si="18">F14-AF14</f>
        <v>0</v>
      </c>
    </row>
    <row r="15" spans="1:37" ht="30">
      <c r="A15" s="570" t="s">
        <v>12999</v>
      </c>
      <c r="B15" s="571" t="str">
        <f>PLANILHA!D16</f>
        <v>EXECUÇÃO DE ALMOXARIFADO EM CANTEIRO DE OBRA EM CHAPA DE MADEIRA COMPENSADA, INCLUSO PRATELEIRAS. AF_02/2016</v>
      </c>
      <c r="C15" s="572" t="str">
        <f>PLANILHA!E16</f>
        <v>M2</v>
      </c>
      <c r="D15" s="573">
        <f>PLANILHA!F16</f>
        <v>28</v>
      </c>
      <c r="E15" s="573">
        <f t="shared" si="0"/>
        <v>1050.69</v>
      </c>
      <c r="F15" s="574">
        <f t="shared" si="1"/>
        <v>29419.32</v>
      </c>
      <c r="G15" s="575">
        <v>28</v>
      </c>
      <c r="H15" s="576">
        <f t="shared" si="4"/>
        <v>29419.32</v>
      </c>
      <c r="I15" s="576"/>
      <c r="J15" s="576">
        <f t="shared" si="5"/>
        <v>0</v>
      </c>
      <c r="K15" s="576"/>
      <c r="L15" s="576">
        <f t="shared" si="6"/>
        <v>0</v>
      </c>
      <c r="M15" s="576"/>
      <c r="N15" s="576">
        <f t="shared" si="7"/>
        <v>0</v>
      </c>
      <c r="O15" s="576"/>
      <c r="P15" s="576">
        <f t="shared" si="8"/>
        <v>0</v>
      </c>
      <c r="Q15" s="576"/>
      <c r="R15" s="577">
        <f t="shared" si="9"/>
        <v>0</v>
      </c>
      <c r="S15" s="578"/>
      <c r="T15" s="576">
        <f t="shared" si="10"/>
        <v>0</v>
      </c>
      <c r="U15" s="576"/>
      <c r="V15" s="576">
        <f t="shared" si="11"/>
        <v>0</v>
      </c>
      <c r="W15" s="576"/>
      <c r="X15" s="576">
        <f t="shared" si="12"/>
        <v>0</v>
      </c>
      <c r="Y15" s="576"/>
      <c r="Z15" s="576">
        <f t="shared" si="13"/>
        <v>0</v>
      </c>
      <c r="AA15" s="576"/>
      <c r="AB15" s="576">
        <f t="shared" si="14"/>
        <v>0</v>
      </c>
      <c r="AC15" s="576"/>
      <c r="AD15" s="579">
        <f t="shared" si="15"/>
        <v>0</v>
      </c>
      <c r="AE15" s="580">
        <f t="shared" si="16"/>
        <v>28</v>
      </c>
      <c r="AF15" s="576">
        <f t="shared" si="17"/>
        <v>29419.32</v>
      </c>
      <c r="AG15" s="576">
        <f t="shared" si="2"/>
        <v>0</v>
      </c>
      <c r="AH15" s="579">
        <f t="shared" si="3"/>
        <v>0</v>
      </c>
      <c r="AK15" s="617">
        <f t="shared" si="18"/>
        <v>0</v>
      </c>
    </row>
    <row r="16" spans="1:37" ht="45">
      <c r="A16" s="570" t="s">
        <v>13000</v>
      </c>
      <c r="B16" s="571" t="str">
        <f>PLANILHA!D17</f>
        <v>EXECUÇÃO DE REFEITÓRIO EM CANTEIRO DE OBRA EM CHAPA DE MADEIRA COMPENSADA, NÃO INCLUSO MOBILIÁRIO E EQUIPAMENTOS. AF_02/2016</v>
      </c>
      <c r="C16" s="572" t="str">
        <f>PLANILHA!E17</f>
        <v>M2</v>
      </c>
      <c r="D16" s="573">
        <f>PLANILHA!F17</f>
        <v>166</v>
      </c>
      <c r="E16" s="573">
        <f t="shared" si="0"/>
        <v>703.39</v>
      </c>
      <c r="F16" s="574">
        <f t="shared" si="1"/>
        <v>116762.74</v>
      </c>
      <c r="G16" s="575">
        <v>166</v>
      </c>
      <c r="H16" s="576">
        <f t="shared" si="4"/>
        <v>116762.74</v>
      </c>
      <c r="I16" s="576"/>
      <c r="J16" s="576">
        <f t="shared" si="5"/>
        <v>0</v>
      </c>
      <c r="K16" s="576"/>
      <c r="L16" s="576">
        <f t="shared" si="6"/>
        <v>0</v>
      </c>
      <c r="M16" s="576"/>
      <c r="N16" s="576">
        <f t="shared" si="7"/>
        <v>0</v>
      </c>
      <c r="O16" s="576"/>
      <c r="P16" s="576">
        <f t="shared" si="8"/>
        <v>0</v>
      </c>
      <c r="Q16" s="576"/>
      <c r="R16" s="577">
        <f t="shared" si="9"/>
        <v>0</v>
      </c>
      <c r="S16" s="578"/>
      <c r="T16" s="576">
        <f t="shared" si="10"/>
        <v>0</v>
      </c>
      <c r="U16" s="576"/>
      <c r="V16" s="576">
        <f t="shared" si="11"/>
        <v>0</v>
      </c>
      <c r="W16" s="576"/>
      <c r="X16" s="576">
        <f t="shared" si="12"/>
        <v>0</v>
      </c>
      <c r="Y16" s="576"/>
      <c r="Z16" s="576">
        <f t="shared" si="13"/>
        <v>0</v>
      </c>
      <c r="AA16" s="576"/>
      <c r="AB16" s="576">
        <f t="shared" si="14"/>
        <v>0</v>
      </c>
      <c r="AC16" s="576"/>
      <c r="AD16" s="579">
        <f t="shared" si="15"/>
        <v>0</v>
      </c>
      <c r="AE16" s="580">
        <f t="shared" si="16"/>
        <v>166</v>
      </c>
      <c r="AF16" s="576">
        <f t="shared" si="17"/>
        <v>116762.74</v>
      </c>
      <c r="AG16" s="576">
        <f t="shared" si="2"/>
        <v>0</v>
      </c>
      <c r="AH16" s="579">
        <f t="shared" si="3"/>
        <v>0</v>
      </c>
      <c r="AK16" s="617">
        <f t="shared" si="18"/>
        <v>0</v>
      </c>
    </row>
    <row r="17" spans="1:37" ht="45">
      <c r="A17" s="570" t="s">
        <v>13001</v>
      </c>
      <c r="B17" s="571" t="str">
        <f>PLANILHA!D18</f>
        <v>EXECUÇÃO DE SANITÁRIO E VESTIÁRIO EM CANTEIRO DE OBRA EM CHAPA DE MADEIRA COMPENSADA, NÃO INCLUSO MOBILIÁRIO. AF_02/2016</v>
      </c>
      <c r="C17" s="572" t="str">
        <f>PLANILHA!E18</f>
        <v>M2</v>
      </c>
      <c r="D17" s="573">
        <f>PLANILHA!F18</f>
        <v>40</v>
      </c>
      <c r="E17" s="573">
        <f t="shared" si="0"/>
        <v>1164.97</v>
      </c>
      <c r="F17" s="574">
        <f t="shared" si="1"/>
        <v>46598.8</v>
      </c>
      <c r="G17" s="575">
        <v>40</v>
      </c>
      <c r="H17" s="576">
        <f t="shared" si="4"/>
        <v>46598.8</v>
      </c>
      <c r="I17" s="576"/>
      <c r="J17" s="576">
        <f t="shared" si="5"/>
        <v>0</v>
      </c>
      <c r="K17" s="576"/>
      <c r="L17" s="576">
        <f t="shared" si="6"/>
        <v>0</v>
      </c>
      <c r="M17" s="576"/>
      <c r="N17" s="576">
        <f t="shared" si="7"/>
        <v>0</v>
      </c>
      <c r="O17" s="576"/>
      <c r="P17" s="576">
        <f t="shared" si="8"/>
        <v>0</v>
      </c>
      <c r="Q17" s="576"/>
      <c r="R17" s="577">
        <f t="shared" si="9"/>
        <v>0</v>
      </c>
      <c r="S17" s="578"/>
      <c r="T17" s="576">
        <f t="shared" si="10"/>
        <v>0</v>
      </c>
      <c r="U17" s="576"/>
      <c r="V17" s="576">
        <f t="shared" si="11"/>
        <v>0</v>
      </c>
      <c r="W17" s="576"/>
      <c r="X17" s="576">
        <f t="shared" si="12"/>
        <v>0</v>
      </c>
      <c r="Y17" s="576"/>
      <c r="Z17" s="576">
        <f t="shared" si="13"/>
        <v>0</v>
      </c>
      <c r="AA17" s="576"/>
      <c r="AB17" s="576">
        <f t="shared" si="14"/>
        <v>0</v>
      </c>
      <c r="AC17" s="576"/>
      <c r="AD17" s="579">
        <f t="shared" si="15"/>
        <v>0</v>
      </c>
      <c r="AE17" s="580">
        <f t="shared" si="16"/>
        <v>40</v>
      </c>
      <c r="AF17" s="576">
        <f t="shared" si="17"/>
        <v>46598.8</v>
      </c>
      <c r="AG17" s="576">
        <f t="shared" si="2"/>
        <v>0</v>
      </c>
      <c r="AH17" s="579">
        <f t="shared" si="3"/>
        <v>0</v>
      </c>
      <c r="AK17" s="617">
        <f t="shared" si="18"/>
        <v>0</v>
      </c>
    </row>
    <row r="18" spans="1:37" ht="45">
      <c r="A18" s="570" t="s">
        <v>13002</v>
      </c>
      <c r="B18" s="571" t="str">
        <f>PLANILHA!D19</f>
        <v>EXECUÇÃO DE RESERVATÓRIO ELEVADO DE ÁGUA (2000 LITROS) EM CANTEIRO DE OBRA, APOIADO EM ESTRUTURA DE MADEIRA. AF_02/2016</v>
      </c>
      <c r="C18" s="572" t="str">
        <f>PLANILHA!E19</f>
        <v>UN</v>
      </c>
      <c r="D18" s="573">
        <f>PLANILHA!F19</f>
        <v>1</v>
      </c>
      <c r="E18" s="573">
        <f t="shared" si="0"/>
        <v>10230.299999999999</v>
      </c>
      <c r="F18" s="574">
        <f t="shared" si="1"/>
        <v>10230.299999999999</v>
      </c>
      <c r="G18" s="575">
        <v>1</v>
      </c>
      <c r="H18" s="576">
        <f t="shared" si="4"/>
        <v>10230.299999999999</v>
      </c>
      <c r="I18" s="576"/>
      <c r="J18" s="576">
        <f t="shared" si="5"/>
        <v>0</v>
      </c>
      <c r="K18" s="576"/>
      <c r="L18" s="576">
        <f t="shared" si="6"/>
        <v>0</v>
      </c>
      <c r="M18" s="576"/>
      <c r="N18" s="576">
        <f t="shared" si="7"/>
        <v>0</v>
      </c>
      <c r="O18" s="576"/>
      <c r="P18" s="576">
        <f t="shared" si="8"/>
        <v>0</v>
      </c>
      <c r="Q18" s="576"/>
      <c r="R18" s="577">
        <f t="shared" si="9"/>
        <v>0</v>
      </c>
      <c r="S18" s="578"/>
      <c r="T18" s="576">
        <f t="shared" si="10"/>
        <v>0</v>
      </c>
      <c r="U18" s="576"/>
      <c r="V18" s="576">
        <f t="shared" si="11"/>
        <v>0</v>
      </c>
      <c r="W18" s="576"/>
      <c r="X18" s="576">
        <f t="shared" si="12"/>
        <v>0</v>
      </c>
      <c r="Y18" s="576"/>
      <c r="Z18" s="576">
        <f t="shared" si="13"/>
        <v>0</v>
      </c>
      <c r="AA18" s="576"/>
      <c r="AB18" s="576">
        <f t="shared" si="14"/>
        <v>0</v>
      </c>
      <c r="AC18" s="576"/>
      <c r="AD18" s="579">
        <f t="shared" si="15"/>
        <v>0</v>
      </c>
      <c r="AE18" s="580">
        <f t="shared" si="16"/>
        <v>1</v>
      </c>
      <c r="AF18" s="576">
        <f t="shared" si="17"/>
        <v>10230.299999999999</v>
      </c>
      <c r="AG18" s="576">
        <f t="shared" si="2"/>
        <v>0</v>
      </c>
      <c r="AH18" s="579">
        <f t="shared" si="3"/>
        <v>0</v>
      </c>
      <c r="AK18" s="617">
        <f t="shared" si="18"/>
        <v>0</v>
      </c>
    </row>
    <row r="19" spans="1:37">
      <c r="A19" s="570" t="s">
        <v>13085</v>
      </c>
      <c r="B19" s="571" t="str">
        <f>PLANILHA!D20</f>
        <v>BANHEIRO QUÍMICO, FORNECIMENTO E INSTALAÇÃO.</v>
      </c>
      <c r="C19" s="572" t="str">
        <f>PLANILHA!E20</f>
        <v>UND</v>
      </c>
      <c r="D19" s="573">
        <f>PLANILHA!F20</f>
        <v>2</v>
      </c>
      <c r="E19" s="573">
        <f t="shared" si="0"/>
        <v>672.24</v>
      </c>
      <c r="F19" s="574">
        <f t="shared" si="1"/>
        <v>1344.48</v>
      </c>
      <c r="G19" s="575">
        <v>2</v>
      </c>
      <c r="H19" s="576">
        <f t="shared" si="4"/>
        <v>1344.48</v>
      </c>
      <c r="I19" s="576"/>
      <c r="J19" s="576">
        <f t="shared" si="5"/>
        <v>0</v>
      </c>
      <c r="K19" s="576"/>
      <c r="L19" s="576">
        <f t="shared" si="6"/>
        <v>0</v>
      </c>
      <c r="M19" s="576"/>
      <c r="N19" s="576">
        <f t="shared" si="7"/>
        <v>0</v>
      </c>
      <c r="O19" s="576"/>
      <c r="P19" s="576">
        <f t="shared" si="8"/>
        <v>0</v>
      </c>
      <c r="Q19" s="576"/>
      <c r="R19" s="577">
        <f t="shared" si="9"/>
        <v>0</v>
      </c>
      <c r="S19" s="578"/>
      <c r="T19" s="576">
        <f t="shared" si="10"/>
        <v>0</v>
      </c>
      <c r="U19" s="576"/>
      <c r="V19" s="576">
        <f t="shared" si="11"/>
        <v>0</v>
      </c>
      <c r="W19" s="576"/>
      <c r="X19" s="576">
        <f t="shared" si="12"/>
        <v>0</v>
      </c>
      <c r="Y19" s="576"/>
      <c r="Z19" s="576">
        <f t="shared" si="13"/>
        <v>0</v>
      </c>
      <c r="AA19" s="576"/>
      <c r="AB19" s="576">
        <f t="shared" si="14"/>
        <v>0</v>
      </c>
      <c r="AC19" s="576"/>
      <c r="AD19" s="579">
        <f t="shared" si="15"/>
        <v>0</v>
      </c>
      <c r="AE19" s="580">
        <f t="shared" si="16"/>
        <v>2</v>
      </c>
      <c r="AF19" s="576">
        <f t="shared" si="17"/>
        <v>1344.48</v>
      </c>
      <c r="AG19" s="576">
        <f t="shared" si="2"/>
        <v>0</v>
      </c>
      <c r="AH19" s="579">
        <f t="shared" si="3"/>
        <v>0</v>
      </c>
      <c r="AK19" s="617">
        <f t="shared" si="18"/>
        <v>0</v>
      </c>
    </row>
    <row r="20" spans="1:37" s="569" customFormat="1">
      <c r="A20" s="581" t="s">
        <v>14613</v>
      </c>
      <c r="B20" s="582"/>
      <c r="C20" s="583"/>
      <c r="D20" s="584"/>
      <c r="E20" s="584"/>
      <c r="F20" s="585">
        <f t="shared" si="1"/>
        <v>251507.66</v>
      </c>
      <c r="G20" s="586"/>
      <c r="H20" s="584">
        <f t="shared" ref="H20:AH20" si="19">SUM(H13:H19)</f>
        <v>251507.66</v>
      </c>
      <c r="I20" s="584"/>
      <c r="J20" s="584">
        <f t="shared" si="19"/>
        <v>0</v>
      </c>
      <c r="K20" s="584"/>
      <c r="L20" s="584">
        <f t="shared" si="19"/>
        <v>0</v>
      </c>
      <c r="M20" s="584"/>
      <c r="N20" s="584">
        <f t="shared" si="19"/>
        <v>0</v>
      </c>
      <c r="O20" s="584"/>
      <c r="P20" s="584">
        <f t="shared" si="19"/>
        <v>0</v>
      </c>
      <c r="Q20" s="584"/>
      <c r="R20" s="587">
        <f t="shared" si="19"/>
        <v>0</v>
      </c>
      <c r="S20" s="588"/>
      <c r="T20" s="584">
        <f t="shared" si="19"/>
        <v>0</v>
      </c>
      <c r="U20" s="584"/>
      <c r="V20" s="584">
        <f t="shared" si="19"/>
        <v>0</v>
      </c>
      <c r="W20" s="584"/>
      <c r="X20" s="584">
        <f t="shared" si="19"/>
        <v>0</v>
      </c>
      <c r="Y20" s="584"/>
      <c r="Z20" s="584">
        <f t="shared" si="19"/>
        <v>0</v>
      </c>
      <c r="AA20" s="584"/>
      <c r="AB20" s="584">
        <f t="shared" si="19"/>
        <v>0</v>
      </c>
      <c r="AC20" s="584"/>
      <c r="AD20" s="585">
        <f t="shared" si="19"/>
        <v>0</v>
      </c>
      <c r="AE20" s="586">
        <f t="shared" si="19"/>
        <v>281.5</v>
      </c>
      <c r="AF20" s="584">
        <f t="shared" si="19"/>
        <v>251507.66</v>
      </c>
      <c r="AG20" s="584"/>
      <c r="AH20" s="585">
        <f t="shared" si="19"/>
        <v>0</v>
      </c>
      <c r="AI20" s="568"/>
      <c r="AK20" s="617">
        <f t="shared" si="18"/>
        <v>0</v>
      </c>
    </row>
    <row r="21" spans="1:37">
      <c r="A21" s="570"/>
      <c r="B21" s="571"/>
      <c r="C21" s="572"/>
      <c r="D21" s="573"/>
      <c r="E21" s="573"/>
      <c r="F21" s="574"/>
      <c r="G21" s="580"/>
      <c r="H21" s="589"/>
      <c r="I21" s="576"/>
      <c r="J21" s="576"/>
      <c r="K21" s="576"/>
      <c r="L21" s="576"/>
      <c r="M21" s="576"/>
      <c r="N21" s="576"/>
      <c r="O21" s="576"/>
      <c r="P21" s="576"/>
      <c r="Q21" s="576"/>
      <c r="R21" s="577"/>
      <c r="S21" s="578"/>
      <c r="T21" s="576"/>
      <c r="U21" s="576"/>
      <c r="V21" s="576"/>
      <c r="W21" s="576"/>
      <c r="X21" s="576"/>
      <c r="Y21" s="576"/>
      <c r="Z21" s="576"/>
      <c r="AA21" s="576"/>
      <c r="AB21" s="576"/>
      <c r="AC21" s="576"/>
      <c r="AD21" s="579"/>
      <c r="AE21" s="580"/>
      <c r="AF21" s="576"/>
      <c r="AG21" s="576"/>
      <c r="AH21" s="579"/>
      <c r="AK21" s="617">
        <f t="shared" si="18"/>
        <v>0</v>
      </c>
    </row>
    <row r="22" spans="1:37" s="569" customFormat="1">
      <c r="A22" s="558" t="s">
        <v>50</v>
      </c>
      <c r="B22" s="559" t="str">
        <f>PLANILHA!D23</f>
        <v>ADMINISTRAÇÃO LOCAL DE OBRA</v>
      </c>
      <c r="C22" s="560"/>
      <c r="D22" s="561"/>
      <c r="E22" s="561"/>
      <c r="F22" s="562">
        <f>VLOOKUP(A22,PLANILHA,$G$6,0)</f>
        <v>0</v>
      </c>
      <c r="G22" s="563"/>
      <c r="H22" s="564"/>
      <c r="I22" s="564"/>
      <c r="J22" s="564"/>
      <c r="K22" s="564"/>
      <c r="L22" s="564"/>
      <c r="M22" s="564"/>
      <c r="N22" s="564"/>
      <c r="O22" s="564"/>
      <c r="P22" s="564"/>
      <c r="Q22" s="564"/>
      <c r="R22" s="565"/>
      <c r="S22" s="566"/>
      <c r="T22" s="564"/>
      <c r="U22" s="564"/>
      <c r="V22" s="564"/>
      <c r="W22" s="564"/>
      <c r="X22" s="564"/>
      <c r="Y22" s="564"/>
      <c r="Z22" s="564"/>
      <c r="AA22" s="564"/>
      <c r="AB22" s="564"/>
      <c r="AC22" s="564"/>
      <c r="AD22" s="567"/>
      <c r="AE22" s="563"/>
      <c r="AF22" s="564"/>
      <c r="AG22" s="564"/>
      <c r="AH22" s="567"/>
      <c r="AI22" s="568"/>
      <c r="AK22" s="617">
        <f t="shared" si="18"/>
        <v>0</v>
      </c>
    </row>
    <row r="23" spans="1:37">
      <c r="A23" s="570" t="s">
        <v>51</v>
      </c>
      <c r="B23" s="571" t="str">
        <f>PLANILHA!D24</f>
        <v>ADMINISTRAÇÃO LOCAL DE OBRA.</v>
      </c>
      <c r="C23" s="572" t="str">
        <f>PLANILHA!E24</f>
        <v>und</v>
      </c>
      <c r="D23" s="573">
        <f>PLANILHA!F24</f>
        <v>12</v>
      </c>
      <c r="E23" s="573">
        <f>VLOOKUP(A23,PLANILHA,$G$7,0)</f>
        <v>16771.669999999998</v>
      </c>
      <c r="F23" s="574">
        <f>VLOOKUP(A23,PLANILHA,$G$6,0)</f>
        <v>201260.04</v>
      </c>
      <c r="G23" s="580">
        <v>1</v>
      </c>
      <c r="H23" s="576">
        <f>G23*$E23</f>
        <v>16771.669999999998</v>
      </c>
      <c r="I23" s="576">
        <v>1</v>
      </c>
      <c r="J23" s="576">
        <f>I23*$E23</f>
        <v>16771.669999999998</v>
      </c>
      <c r="K23" s="576">
        <v>1</v>
      </c>
      <c r="L23" s="576">
        <f>K23*$E23</f>
        <v>16771.669999999998</v>
      </c>
      <c r="M23" s="576">
        <v>1</v>
      </c>
      <c r="N23" s="576">
        <f>M23*$E23</f>
        <v>16771.669999999998</v>
      </c>
      <c r="O23" s="576">
        <v>1</v>
      </c>
      <c r="P23" s="576">
        <f>O23*$E23</f>
        <v>16771.669999999998</v>
      </c>
      <c r="Q23" s="576">
        <v>1</v>
      </c>
      <c r="R23" s="577">
        <f>Q23*$E23</f>
        <v>16771.669999999998</v>
      </c>
      <c r="S23" s="578">
        <v>1</v>
      </c>
      <c r="T23" s="576">
        <f>S23*$E23</f>
        <v>16771.669999999998</v>
      </c>
      <c r="U23" s="576">
        <v>1</v>
      </c>
      <c r="V23" s="576">
        <f>U23*$E23</f>
        <v>16771.669999999998</v>
      </c>
      <c r="W23" s="576">
        <v>1</v>
      </c>
      <c r="X23" s="576">
        <f>W23*$E23</f>
        <v>16771.669999999998</v>
      </c>
      <c r="Y23" s="576">
        <v>1</v>
      </c>
      <c r="Z23" s="576">
        <f>Y23*$E23</f>
        <v>16771.669999999998</v>
      </c>
      <c r="AA23" s="576">
        <v>1</v>
      </c>
      <c r="AB23" s="576">
        <f>AA23*$E23</f>
        <v>16771.669999999998</v>
      </c>
      <c r="AC23" s="576">
        <v>1</v>
      </c>
      <c r="AD23" s="579">
        <f>AC23*$E23</f>
        <v>16771.669999999998</v>
      </c>
      <c r="AE23" s="580">
        <f>AC23+AA23+Y23+W23+U23+S23+Q23+O23+M23+K23+I23+G23</f>
        <v>12</v>
      </c>
      <c r="AF23" s="576">
        <f>TRUNC(AE23*E23,2)</f>
        <v>201260.04</v>
      </c>
      <c r="AG23" s="576">
        <f>D23-AE23</f>
        <v>0</v>
      </c>
      <c r="AH23" s="579">
        <f>AG23*E23</f>
        <v>0</v>
      </c>
      <c r="AK23" s="617">
        <f t="shared" si="18"/>
        <v>0</v>
      </c>
    </row>
    <row r="24" spans="1:37" s="569" customFormat="1">
      <c r="A24" s="581" t="s">
        <v>14615</v>
      </c>
      <c r="B24" s="582"/>
      <c r="C24" s="583"/>
      <c r="D24" s="584"/>
      <c r="E24" s="584"/>
      <c r="F24" s="585">
        <f>VLOOKUP(A24,PLANILHA,$G$6,0)</f>
        <v>201260.04</v>
      </c>
      <c r="G24" s="586"/>
      <c r="H24" s="584">
        <f t="shared" ref="H24:AH24" si="20">SUM(H23)</f>
        <v>16771.669999999998</v>
      </c>
      <c r="I24" s="584"/>
      <c r="J24" s="584">
        <f t="shared" si="20"/>
        <v>16771.669999999998</v>
      </c>
      <c r="K24" s="584"/>
      <c r="L24" s="584">
        <f t="shared" si="20"/>
        <v>16771.669999999998</v>
      </c>
      <c r="M24" s="584"/>
      <c r="N24" s="584">
        <f t="shared" si="20"/>
        <v>16771.669999999998</v>
      </c>
      <c r="O24" s="584"/>
      <c r="P24" s="584">
        <f t="shared" si="20"/>
        <v>16771.669999999998</v>
      </c>
      <c r="Q24" s="584"/>
      <c r="R24" s="587">
        <f t="shared" si="20"/>
        <v>16771.669999999998</v>
      </c>
      <c r="S24" s="588"/>
      <c r="T24" s="584">
        <f t="shared" si="20"/>
        <v>16771.669999999998</v>
      </c>
      <c r="U24" s="584"/>
      <c r="V24" s="584">
        <f t="shared" si="20"/>
        <v>16771.669999999998</v>
      </c>
      <c r="W24" s="584"/>
      <c r="X24" s="584">
        <f t="shared" si="20"/>
        <v>16771.669999999998</v>
      </c>
      <c r="Y24" s="584"/>
      <c r="Z24" s="584">
        <f t="shared" si="20"/>
        <v>16771.669999999998</v>
      </c>
      <c r="AA24" s="584"/>
      <c r="AB24" s="584">
        <f t="shared" si="20"/>
        <v>16771.669999999998</v>
      </c>
      <c r="AC24" s="584"/>
      <c r="AD24" s="585">
        <f t="shared" si="20"/>
        <v>16771.669999999998</v>
      </c>
      <c r="AE24" s="586">
        <f t="shared" si="20"/>
        <v>12</v>
      </c>
      <c r="AF24" s="584">
        <f t="shared" si="20"/>
        <v>201260.04</v>
      </c>
      <c r="AG24" s="584"/>
      <c r="AH24" s="585">
        <f t="shared" si="20"/>
        <v>0</v>
      </c>
      <c r="AI24" s="568"/>
      <c r="AK24" s="617">
        <f t="shared" si="18"/>
        <v>0</v>
      </c>
    </row>
    <row r="25" spans="1:37">
      <c r="A25" s="570"/>
      <c r="B25" s="571"/>
      <c r="C25" s="572"/>
      <c r="D25" s="573"/>
      <c r="E25" s="573"/>
      <c r="F25" s="574"/>
      <c r="G25" s="580"/>
      <c r="H25" s="576"/>
      <c r="I25" s="576"/>
      <c r="J25" s="576"/>
      <c r="K25" s="576"/>
      <c r="L25" s="576"/>
      <c r="M25" s="576"/>
      <c r="N25" s="576"/>
      <c r="O25" s="576"/>
      <c r="P25" s="576"/>
      <c r="Q25" s="576"/>
      <c r="R25" s="577"/>
      <c r="S25" s="578"/>
      <c r="T25" s="576"/>
      <c r="U25" s="576"/>
      <c r="V25" s="576"/>
      <c r="W25" s="576"/>
      <c r="X25" s="576"/>
      <c r="Y25" s="576"/>
      <c r="Z25" s="576"/>
      <c r="AA25" s="576"/>
      <c r="AB25" s="576"/>
      <c r="AC25" s="576"/>
      <c r="AD25" s="579"/>
      <c r="AE25" s="580"/>
      <c r="AF25" s="576"/>
      <c r="AG25" s="576"/>
      <c r="AH25" s="579"/>
      <c r="AK25" s="617">
        <f t="shared" si="18"/>
        <v>0</v>
      </c>
    </row>
    <row r="26" spans="1:37" s="569" customFormat="1">
      <c r="A26" s="558" t="s">
        <v>52</v>
      </c>
      <c r="B26" s="559" t="str">
        <f>PLANILHA!D27</f>
        <v>SUBSOLO</v>
      </c>
      <c r="C26" s="560"/>
      <c r="D26" s="561"/>
      <c r="E26" s="561"/>
      <c r="F26" s="562">
        <f t="shared" ref="F26:F35" si="21">VLOOKUP(A26,PLANILHA,$G$6,0)</f>
        <v>0</v>
      </c>
      <c r="G26" s="563"/>
      <c r="H26" s="564"/>
      <c r="I26" s="564"/>
      <c r="J26" s="564"/>
      <c r="K26" s="564"/>
      <c r="L26" s="564"/>
      <c r="M26" s="564"/>
      <c r="N26" s="564"/>
      <c r="O26" s="564"/>
      <c r="P26" s="564"/>
      <c r="Q26" s="564"/>
      <c r="R26" s="565"/>
      <c r="S26" s="566"/>
      <c r="T26" s="564"/>
      <c r="U26" s="564"/>
      <c r="V26" s="564"/>
      <c r="W26" s="564"/>
      <c r="X26" s="564"/>
      <c r="Y26" s="564"/>
      <c r="Z26" s="564"/>
      <c r="AA26" s="564"/>
      <c r="AB26" s="564"/>
      <c r="AC26" s="564"/>
      <c r="AD26" s="567"/>
      <c r="AE26" s="563"/>
      <c r="AF26" s="564"/>
      <c r="AG26" s="564"/>
      <c r="AH26" s="567"/>
      <c r="AI26" s="568"/>
      <c r="AK26" s="617">
        <f t="shared" si="18"/>
        <v>0</v>
      </c>
    </row>
    <row r="27" spans="1:37">
      <c r="A27" s="570" t="s">
        <v>53</v>
      </c>
      <c r="B27" s="571" t="str">
        <f>PLANILHA!D28</f>
        <v xml:space="preserve">DEMOLIÇÃO </v>
      </c>
      <c r="C27" s="572"/>
      <c r="D27" s="573"/>
      <c r="E27" s="573"/>
      <c r="F27" s="574">
        <f t="shared" si="21"/>
        <v>0</v>
      </c>
      <c r="G27" s="580"/>
      <c r="H27" s="576"/>
      <c r="I27" s="576"/>
      <c r="J27" s="576"/>
      <c r="K27" s="576"/>
      <c r="L27" s="576"/>
      <c r="M27" s="576"/>
      <c r="N27" s="576"/>
      <c r="O27" s="576"/>
      <c r="P27" s="576"/>
      <c r="Q27" s="576"/>
      <c r="R27" s="577"/>
      <c r="S27" s="578"/>
      <c r="T27" s="576"/>
      <c r="U27" s="576"/>
      <c r="V27" s="576"/>
      <c r="W27" s="576"/>
      <c r="X27" s="576"/>
      <c r="Y27" s="576"/>
      <c r="Z27" s="576"/>
      <c r="AA27" s="576"/>
      <c r="AB27" s="576"/>
      <c r="AC27" s="576"/>
      <c r="AD27" s="579"/>
      <c r="AE27" s="580"/>
      <c r="AF27" s="576"/>
      <c r="AG27" s="576"/>
      <c r="AH27" s="579"/>
      <c r="AK27" s="617">
        <f t="shared" si="18"/>
        <v>0</v>
      </c>
    </row>
    <row r="28" spans="1:37" ht="30">
      <c r="A28" s="570" t="s">
        <v>7078</v>
      </c>
      <c r="B28" s="571" t="str">
        <f>PLANILHA!D29</f>
        <v>REMOÇÃO DE FORROS DE DRYWALL, PVC E FIBROMINERAL, DE FORMA MANUAL, SEM REAPROVEITAMENTO. AF_12/2017</v>
      </c>
      <c r="C28" s="572" t="str">
        <f>PLANILHA!E29</f>
        <v>M2</v>
      </c>
      <c r="D28" s="573">
        <f>PLANILHA!F29</f>
        <v>246.75</v>
      </c>
      <c r="E28" s="573">
        <f t="shared" ref="E28:E34" si="22">VLOOKUP(A28,PLANILHA,$G$7,0)</f>
        <v>1.51</v>
      </c>
      <c r="F28" s="574">
        <f t="shared" si="21"/>
        <v>372.59</v>
      </c>
      <c r="G28" s="580"/>
      <c r="H28" s="576">
        <f t="shared" ref="H28:H34" si="23">G28*$E28</f>
        <v>0</v>
      </c>
      <c r="I28" s="576"/>
      <c r="J28" s="576">
        <f t="shared" ref="J28:J34" si="24">I28*$E28</f>
        <v>0</v>
      </c>
      <c r="K28" s="576"/>
      <c r="L28" s="576">
        <f t="shared" ref="L28:L34" si="25">K28*$E28</f>
        <v>0</v>
      </c>
      <c r="M28" s="576"/>
      <c r="N28" s="576">
        <f t="shared" ref="N28:N34" si="26">M28*$E28</f>
        <v>0</v>
      </c>
      <c r="O28" s="576"/>
      <c r="P28" s="576">
        <f t="shared" ref="P28:P34" si="27">O28*$E28</f>
        <v>0</v>
      </c>
      <c r="Q28" s="576"/>
      <c r="R28" s="577">
        <f t="shared" ref="R28:R34" si="28">Q28*$E28</f>
        <v>0</v>
      </c>
      <c r="S28" s="578">
        <f>D28</f>
        <v>246.75</v>
      </c>
      <c r="T28" s="576">
        <f>TRUNC(S28*$E28,2)</f>
        <v>372.59</v>
      </c>
      <c r="U28" s="576"/>
      <c r="V28" s="576">
        <f t="shared" ref="V28:V34" si="29">U28*$E28</f>
        <v>0</v>
      </c>
      <c r="W28" s="576"/>
      <c r="X28" s="576">
        <f t="shared" ref="X28:X34" si="30">W28*$E28</f>
        <v>0</v>
      </c>
      <c r="Y28" s="576"/>
      <c r="Z28" s="576">
        <f t="shared" ref="Z28:Z34" si="31">Y28*$E28</f>
        <v>0</v>
      </c>
      <c r="AA28" s="576"/>
      <c r="AB28" s="576">
        <f t="shared" ref="AB28:AB34" si="32">AA28*$E28</f>
        <v>0</v>
      </c>
      <c r="AC28" s="576"/>
      <c r="AD28" s="579">
        <f t="shared" ref="AD28:AD34" si="33">AC28*$E28</f>
        <v>0</v>
      </c>
      <c r="AE28" s="580">
        <f t="shared" ref="AE28:AE34" si="34">AC28+AA28+Y28+W28+U28+S28+Q28+O28+M28+K28+I28+G28</f>
        <v>246.75</v>
      </c>
      <c r="AF28" s="576">
        <f t="shared" ref="AF28:AF34" si="35">TRUNC(AE28*E28,2)</f>
        <v>372.59</v>
      </c>
      <c r="AG28" s="576">
        <f t="shared" ref="AG28:AG34" si="36">D28-AE28</f>
        <v>0</v>
      </c>
      <c r="AH28" s="579">
        <f t="shared" ref="AH28:AH34" si="37">AG28*E28</f>
        <v>0</v>
      </c>
      <c r="AK28" s="617">
        <f t="shared" si="18"/>
        <v>0</v>
      </c>
    </row>
    <row r="29" spans="1:37" ht="30">
      <c r="A29" s="570" t="s">
        <v>7079</v>
      </c>
      <c r="B29" s="571" t="str">
        <f>PLANILHA!D30</f>
        <v>REMOÇÃO DE PORTAS, DE FORMA MANUAL, SEM REAPROVEITAMENTO. AF_12/2017</v>
      </c>
      <c r="C29" s="572" t="str">
        <f>PLANILHA!E30</f>
        <v>M2</v>
      </c>
      <c r="D29" s="573">
        <f>PLANILHA!F30</f>
        <v>13.98</v>
      </c>
      <c r="E29" s="573">
        <f t="shared" si="22"/>
        <v>8.69</v>
      </c>
      <c r="F29" s="574">
        <f t="shared" si="21"/>
        <v>121.48</v>
      </c>
      <c r="G29" s="580"/>
      <c r="H29" s="576">
        <f t="shared" si="23"/>
        <v>0</v>
      </c>
      <c r="I29" s="576"/>
      <c r="J29" s="576">
        <f t="shared" si="24"/>
        <v>0</v>
      </c>
      <c r="K29" s="576"/>
      <c r="L29" s="576">
        <f t="shared" si="25"/>
        <v>0</v>
      </c>
      <c r="M29" s="576"/>
      <c r="N29" s="576">
        <f t="shared" si="26"/>
        <v>0</v>
      </c>
      <c r="O29" s="576"/>
      <c r="P29" s="576">
        <f t="shared" si="27"/>
        <v>0</v>
      </c>
      <c r="Q29" s="576"/>
      <c r="R29" s="577">
        <f t="shared" si="28"/>
        <v>0</v>
      </c>
      <c r="S29" s="578">
        <f t="shared" ref="S29:S34" si="38">D29</f>
        <v>13.98</v>
      </c>
      <c r="T29" s="576">
        <f t="shared" ref="T29:T34" si="39">TRUNC(S29*$E29,2)</f>
        <v>121.48</v>
      </c>
      <c r="U29" s="576"/>
      <c r="V29" s="576">
        <f t="shared" si="29"/>
        <v>0</v>
      </c>
      <c r="W29" s="576"/>
      <c r="X29" s="576">
        <f t="shared" si="30"/>
        <v>0</v>
      </c>
      <c r="Y29" s="576"/>
      <c r="Z29" s="576">
        <f t="shared" si="31"/>
        <v>0</v>
      </c>
      <c r="AA29" s="576"/>
      <c r="AB29" s="576">
        <f t="shared" si="32"/>
        <v>0</v>
      </c>
      <c r="AC29" s="576"/>
      <c r="AD29" s="579">
        <f t="shared" si="33"/>
        <v>0</v>
      </c>
      <c r="AE29" s="580">
        <f t="shared" si="34"/>
        <v>13.98</v>
      </c>
      <c r="AF29" s="576">
        <f t="shared" si="35"/>
        <v>121.48</v>
      </c>
      <c r="AG29" s="576">
        <f t="shared" si="36"/>
        <v>0</v>
      </c>
      <c r="AH29" s="579">
        <f t="shared" si="37"/>
        <v>0</v>
      </c>
      <c r="AK29" s="617">
        <f t="shared" si="18"/>
        <v>0</v>
      </c>
    </row>
    <row r="30" spans="1:37" ht="30">
      <c r="A30" s="570" t="s">
        <v>7080</v>
      </c>
      <c r="B30" s="571" t="str">
        <f>PLANILHA!D31</f>
        <v>REMOÇÃO DE JANELAS, DE FORMA MANUAL, SEM REAPROVEITAMENTO. AF_12/2017</v>
      </c>
      <c r="C30" s="572" t="str">
        <f>PLANILHA!E31</f>
        <v>M2</v>
      </c>
      <c r="D30" s="573">
        <f>PLANILHA!F31</f>
        <v>39.200000000000003</v>
      </c>
      <c r="E30" s="573">
        <f t="shared" si="22"/>
        <v>31.7</v>
      </c>
      <c r="F30" s="574">
        <f t="shared" si="21"/>
        <v>1242.6400000000001</v>
      </c>
      <c r="G30" s="580"/>
      <c r="H30" s="576">
        <f t="shared" si="23"/>
        <v>0</v>
      </c>
      <c r="I30" s="576"/>
      <c r="J30" s="576">
        <f t="shared" si="24"/>
        <v>0</v>
      </c>
      <c r="K30" s="576"/>
      <c r="L30" s="576">
        <f t="shared" si="25"/>
        <v>0</v>
      </c>
      <c r="M30" s="576"/>
      <c r="N30" s="576">
        <f t="shared" si="26"/>
        <v>0</v>
      </c>
      <c r="O30" s="576"/>
      <c r="P30" s="576">
        <f t="shared" si="27"/>
        <v>0</v>
      </c>
      <c r="Q30" s="576"/>
      <c r="R30" s="577">
        <f t="shared" si="28"/>
        <v>0</v>
      </c>
      <c r="S30" s="578">
        <f t="shared" si="38"/>
        <v>39.200000000000003</v>
      </c>
      <c r="T30" s="576">
        <f t="shared" si="39"/>
        <v>1242.6400000000001</v>
      </c>
      <c r="U30" s="576"/>
      <c r="V30" s="576">
        <f t="shared" si="29"/>
        <v>0</v>
      </c>
      <c r="W30" s="576"/>
      <c r="X30" s="576">
        <f t="shared" si="30"/>
        <v>0</v>
      </c>
      <c r="Y30" s="576"/>
      <c r="Z30" s="576">
        <f t="shared" si="31"/>
        <v>0</v>
      </c>
      <c r="AA30" s="576"/>
      <c r="AB30" s="576">
        <f t="shared" si="32"/>
        <v>0</v>
      </c>
      <c r="AC30" s="576"/>
      <c r="AD30" s="579">
        <f t="shared" si="33"/>
        <v>0</v>
      </c>
      <c r="AE30" s="580">
        <f t="shared" si="34"/>
        <v>39.200000000000003</v>
      </c>
      <c r="AF30" s="576">
        <f t="shared" si="35"/>
        <v>1242.6400000000001</v>
      </c>
      <c r="AG30" s="576">
        <f t="shared" si="36"/>
        <v>0</v>
      </c>
      <c r="AH30" s="579">
        <f t="shared" si="37"/>
        <v>0</v>
      </c>
      <c r="AK30" s="617">
        <f t="shared" si="18"/>
        <v>0</v>
      </c>
    </row>
    <row r="31" spans="1:37">
      <c r="A31" s="570" t="s">
        <v>7081</v>
      </c>
      <c r="B31" s="571" t="str">
        <f>PLANILHA!D32</f>
        <v>DEMOLIÇÃO DE DIVISÓRIA NAVAL, INCLUSIVE AFASTAMENTO.</v>
      </c>
      <c r="C31" s="572" t="str">
        <f>PLANILHA!E32</f>
        <v>m²</v>
      </c>
      <c r="D31" s="573">
        <f>PLANILHA!F32</f>
        <v>20.826000000000001</v>
      </c>
      <c r="E31" s="573">
        <f t="shared" si="22"/>
        <v>7.56</v>
      </c>
      <c r="F31" s="574">
        <f t="shared" si="21"/>
        <v>157.44</v>
      </c>
      <c r="G31" s="580"/>
      <c r="H31" s="576">
        <f t="shared" si="23"/>
        <v>0</v>
      </c>
      <c r="I31" s="576"/>
      <c r="J31" s="576">
        <f t="shared" si="24"/>
        <v>0</v>
      </c>
      <c r="K31" s="576"/>
      <c r="L31" s="576">
        <f t="shared" si="25"/>
        <v>0</v>
      </c>
      <c r="M31" s="576"/>
      <c r="N31" s="576">
        <f t="shared" si="26"/>
        <v>0</v>
      </c>
      <c r="O31" s="576"/>
      <c r="P31" s="576">
        <f t="shared" si="27"/>
        <v>0</v>
      </c>
      <c r="Q31" s="576"/>
      <c r="R31" s="577">
        <f t="shared" si="28"/>
        <v>0</v>
      </c>
      <c r="S31" s="578">
        <f t="shared" si="38"/>
        <v>20.826000000000001</v>
      </c>
      <c r="T31" s="576">
        <f t="shared" si="39"/>
        <v>157.44</v>
      </c>
      <c r="U31" s="576"/>
      <c r="V31" s="576">
        <f t="shared" si="29"/>
        <v>0</v>
      </c>
      <c r="W31" s="576"/>
      <c r="X31" s="576">
        <f t="shared" si="30"/>
        <v>0</v>
      </c>
      <c r="Y31" s="576"/>
      <c r="Z31" s="576">
        <f t="shared" si="31"/>
        <v>0</v>
      </c>
      <c r="AA31" s="576"/>
      <c r="AB31" s="576">
        <f t="shared" si="32"/>
        <v>0</v>
      </c>
      <c r="AC31" s="576"/>
      <c r="AD31" s="579">
        <f t="shared" si="33"/>
        <v>0</v>
      </c>
      <c r="AE31" s="580">
        <f t="shared" si="34"/>
        <v>20.826000000000001</v>
      </c>
      <c r="AF31" s="576">
        <f t="shared" si="35"/>
        <v>157.44</v>
      </c>
      <c r="AG31" s="576">
        <f t="shared" si="36"/>
        <v>0</v>
      </c>
      <c r="AH31" s="579">
        <f t="shared" si="37"/>
        <v>0</v>
      </c>
      <c r="AK31" s="617">
        <f t="shared" si="18"/>
        <v>0</v>
      </c>
    </row>
    <row r="32" spans="1:37" ht="30">
      <c r="A32" s="570" t="s">
        <v>7082</v>
      </c>
      <c r="B32" s="571" t="str">
        <f>PLANILHA!D33</f>
        <v>DEMOLIÇÃO DE REVESTIMENTO CERÂMICO, DE FORMA MANUAL, SEM REAPROVEITAMENTO. AF_12/2017</v>
      </c>
      <c r="C32" s="572" t="str">
        <f>PLANILHA!E33</f>
        <v>M2</v>
      </c>
      <c r="D32" s="573">
        <f>PLANILHA!F33</f>
        <v>72.8</v>
      </c>
      <c r="E32" s="573">
        <f t="shared" si="22"/>
        <v>21.34</v>
      </c>
      <c r="F32" s="574">
        <f t="shared" si="21"/>
        <v>1553.55</v>
      </c>
      <c r="G32" s="580"/>
      <c r="H32" s="576">
        <f t="shared" si="23"/>
        <v>0</v>
      </c>
      <c r="I32" s="576"/>
      <c r="J32" s="576">
        <f t="shared" si="24"/>
        <v>0</v>
      </c>
      <c r="K32" s="576"/>
      <c r="L32" s="576">
        <f t="shared" si="25"/>
        <v>0</v>
      </c>
      <c r="M32" s="576"/>
      <c r="N32" s="576">
        <f t="shared" si="26"/>
        <v>0</v>
      </c>
      <c r="O32" s="576"/>
      <c r="P32" s="576">
        <f t="shared" si="27"/>
        <v>0</v>
      </c>
      <c r="Q32" s="576"/>
      <c r="R32" s="577">
        <f t="shared" si="28"/>
        <v>0</v>
      </c>
      <c r="S32" s="578">
        <f t="shared" si="38"/>
        <v>72.8</v>
      </c>
      <c r="T32" s="576">
        <f t="shared" si="39"/>
        <v>1553.55</v>
      </c>
      <c r="U32" s="576"/>
      <c r="V32" s="576">
        <f t="shared" si="29"/>
        <v>0</v>
      </c>
      <c r="W32" s="576"/>
      <c r="X32" s="576">
        <f t="shared" si="30"/>
        <v>0</v>
      </c>
      <c r="Y32" s="576"/>
      <c r="Z32" s="576">
        <f t="shared" si="31"/>
        <v>0</v>
      </c>
      <c r="AA32" s="576"/>
      <c r="AB32" s="576">
        <f t="shared" si="32"/>
        <v>0</v>
      </c>
      <c r="AC32" s="576"/>
      <c r="AD32" s="579">
        <f t="shared" si="33"/>
        <v>0</v>
      </c>
      <c r="AE32" s="580">
        <f t="shared" si="34"/>
        <v>72.8</v>
      </c>
      <c r="AF32" s="576">
        <f t="shared" si="35"/>
        <v>1553.55</v>
      </c>
      <c r="AG32" s="576">
        <f t="shared" si="36"/>
        <v>0</v>
      </c>
      <c r="AH32" s="579">
        <f t="shared" si="37"/>
        <v>0</v>
      </c>
      <c r="AK32" s="617">
        <f t="shared" si="18"/>
        <v>0</v>
      </c>
    </row>
    <row r="33" spans="1:37" ht="30">
      <c r="A33" s="570" t="s">
        <v>7083</v>
      </c>
      <c r="B33" s="571" t="str">
        <f>PLANILHA!D34</f>
        <v>REMOÇÃO DE LOUÇAS, DE FORMA MANUAL, SEM REAPROVEITAMENTO. AF_12/2017</v>
      </c>
      <c r="C33" s="572" t="str">
        <f>PLANILHA!E34</f>
        <v>UN</v>
      </c>
      <c r="D33" s="573">
        <f>PLANILHA!F34</f>
        <v>2</v>
      </c>
      <c r="E33" s="573">
        <f t="shared" si="22"/>
        <v>11.59</v>
      </c>
      <c r="F33" s="574">
        <f t="shared" si="21"/>
        <v>23.18</v>
      </c>
      <c r="G33" s="580"/>
      <c r="H33" s="576">
        <f t="shared" si="23"/>
        <v>0</v>
      </c>
      <c r="I33" s="576"/>
      <c r="J33" s="576">
        <f t="shared" si="24"/>
        <v>0</v>
      </c>
      <c r="K33" s="576"/>
      <c r="L33" s="576">
        <f t="shared" si="25"/>
        <v>0</v>
      </c>
      <c r="M33" s="576"/>
      <c r="N33" s="576">
        <f t="shared" si="26"/>
        <v>0</v>
      </c>
      <c r="O33" s="576"/>
      <c r="P33" s="576">
        <f t="shared" si="27"/>
        <v>0</v>
      </c>
      <c r="Q33" s="576"/>
      <c r="R33" s="577">
        <f t="shared" si="28"/>
        <v>0</v>
      </c>
      <c r="S33" s="578">
        <f t="shared" si="38"/>
        <v>2</v>
      </c>
      <c r="T33" s="576">
        <f t="shared" si="39"/>
        <v>23.18</v>
      </c>
      <c r="U33" s="576"/>
      <c r="V33" s="576">
        <f t="shared" si="29"/>
        <v>0</v>
      </c>
      <c r="W33" s="576"/>
      <c r="X33" s="576">
        <f t="shared" si="30"/>
        <v>0</v>
      </c>
      <c r="Y33" s="576"/>
      <c r="Z33" s="576">
        <f t="shared" si="31"/>
        <v>0</v>
      </c>
      <c r="AA33" s="576"/>
      <c r="AB33" s="576">
        <f t="shared" si="32"/>
        <v>0</v>
      </c>
      <c r="AC33" s="576"/>
      <c r="AD33" s="579">
        <f t="shared" si="33"/>
        <v>0</v>
      </c>
      <c r="AE33" s="580">
        <f t="shared" si="34"/>
        <v>2</v>
      </c>
      <c r="AF33" s="576">
        <f t="shared" si="35"/>
        <v>23.18</v>
      </c>
      <c r="AG33" s="576">
        <f t="shared" si="36"/>
        <v>0</v>
      </c>
      <c r="AH33" s="579">
        <f t="shared" si="37"/>
        <v>0</v>
      </c>
      <c r="AK33" s="617">
        <f t="shared" si="18"/>
        <v>0</v>
      </c>
    </row>
    <row r="34" spans="1:37" ht="30">
      <c r="A34" s="570" t="s">
        <v>14261</v>
      </c>
      <c r="B34" s="571" t="str">
        <f>PLANILHA!D35</f>
        <v>DEMOLIÇÃO DE CONCRETO SIMPLES - COM EQUIPAMENTO ELÉTRICO, INCLUSIVE AFASTAMENTO.</v>
      </c>
      <c r="C34" s="572" t="str">
        <f>PLANILHA!E35</f>
        <v>m³</v>
      </c>
      <c r="D34" s="573">
        <f>PLANILHA!F35</f>
        <v>0.1134</v>
      </c>
      <c r="E34" s="573">
        <f t="shared" si="22"/>
        <v>158.38</v>
      </c>
      <c r="F34" s="574">
        <f t="shared" si="21"/>
        <v>17.96</v>
      </c>
      <c r="G34" s="580"/>
      <c r="H34" s="576">
        <f t="shared" si="23"/>
        <v>0</v>
      </c>
      <c r="I34" s="576"/>
      <c r="J34" s="576">
        <f t="shared" si="24"/>
        <v>0</v>
      </c>
      <c r="K34" s="576"/>
      <c r="L34" s="576">
        <f t="shared" si="25"/>
        <v>0</v>
      </c>
      <c r="M34" s="576"/>
      <c r="N34" s="576">
        <f t="shared" si="26"/>
        <v>0</v>
      </c>
      <c r="O34" s="576"/>
      <c r="P34" s="576">
        <f t="shared" si="27"/>
        <v>0</v>
      </c>
      <c r="Q34" s="576"/>
      <c r="R34" s="577">
        <f t="shared" si="28"/>
        <v>0</v>
      </c>
      <c r="S34" s="578">
        <f t="shared" si="38"/>
        <v>0.1134</v>
      </c>
      <c r="T34" s="576">
        <f t="shared" si="39"/>
        <v>17.96</v>
      </c>
      <c r="U34" s="576"/>
      <c r="V34" s="576">
        <f t="shared" si="29"/>
        <v>0</v>
      </c>
      <c r="W34" s="576"/>
      <c r="X34" s="576">
        <f t="shared" si="30"/>
        <v>0</v>
      </c>
      <c r="Y34" s="576"/>
      <c r="Z34" s="576">
        <f t="shared" si="31"/>
        <v>0</v>
      </c>
      <c r="AA34" s="576"/>
      <c r="AB34" s="576">
        <f t="shared" si="32"/>
        <v>0</v>
      </c>
      <c r="AC34" s="576"/>
      <c r="AD34" s="579">
        <f t="shared" si="33"/>
        <v>0</v>
      </c>
      <c r="AE34" s="580">
        <f t="shared" si="34"/>
        <v>0.1134</v>
      </c>
      <c r="AF34" s="576">
        <f t="shared" si="35"/>
        <v>17.96</v>
      </c>
      <c r="AG34" s="576">
        <f t="shared" si="36"/>
        <v>0</v>
      </c>
      <c r="AH34" s="579">
        <f t="shared" si="37"/>
        <v>0</v>
      </c>
      <c r="AK34" s="617">
        <f t="shared" si="18"/>
        <v>0</v>
      </c>
    </row>
    <row r="35" spans="1:37" s="569" customFormat="1">
      <c r="A35" s="581" t="s">
        <v>27208</v>
      </c>
      <c r="B35" s="582"/>
      <c r="C35" s="583"/>
      <c r="D35" s="584"/>
      <c r="E35" s="584"/>
      <c r="F35" s="585">
        <f t="shared" si="21"/>
        <v>3488.8399999999997</v>
      </c>
      <c r="G35" s="586"/>
      <c r="H35" s="584">
        <f>SUM(H28:H34)</f>
        <v>0</v>
      </c>
      <c r="I35" s="584"/>
      <c r="J35" s="584">
        <f>SUM(J28:J34)</f>
        <v>0</v>
      </c>
      <c r="K35" s="584"/>
      <c r="L35" s="584">
        <f>SUM(L28:L34)</f>
        <v>0</v>
      </c>
      <c r="M35" s="584"/>
      <c r="N35" s="584">
        <f>SUM(N28:N34)</f>
        <v>0</v>
      </c>
      <c r="O35" s="584"/>
      <c r="P35" s="584">
        <f>SUM(P28:P34)</f>
        <v>0</v>
      </c>
      <c r="Q35" s="584"/>
      <c r="R35" s="587">
        <f>SUM(R28:R34)</f>
        <v>0</v>
      </c>
      <c r="S35" s="588"/>
      <c r="T35" s="584">
        <f>SUM(T28:T34)</f>
        <v>3488.8399999999997</v>
      </c>
      <c r="U35" s="584"/>
      <c r="V35" s="584">
        <f>SUM(V28:V34)</f>
        <v>0</v>
      </c>
      <c r="W35" s="584"/>
      <c r="X35" s="584">
        <f>SUM(X28:X34)</f>
        <v>0</v>
      </c>
      <c r="Y35" s="584"/>
      <c r="Z35" s="584">
        <f>SUM(Z28:Z34)</f>
        <v>0</v>
      </c>
      <c r="AA35" s="584"/>
      <c r="AB35" s="584">
        <f>SUM(AB28:AB34)</f>
        <v>0</v>
      </c>
      <c r="AC35" s="584"/>
      <c r="AD35" s="585">
        <f>SUM(AD28:AD34)</f>
        <v>0</v>
      </c>
      <c r="AE35" s="590"/>
      <c r="AF35" s="584">
        <f>SUM(AF28:AF34)-0.01</f>
        <v>3488.8299999999995</v>
      </c>
      <c r="AG35" s="591"/>
      <c r="AH35" s="585">
        <f>SUM(AH28:AH34)</f>
        <v>0</v>
      </c>
      <c r="AI35" s="568"/>
      <c r="AK35" s="617">
        <f t="shared" si="18"/>
        <v>1.0000000000218279E-2</v>
      </c>
    </row>
    <row r="36" spans="1:37">
      <c r="A36" s="570"/>
      <c r="B36" s="571"/>
      <c r="C36" s="572"/>
      <c r="D36" s="573"/>
      <c r="E36" s="573"/>
      <c r="F36" s="574"/>
      <c r="G36" s="580"/>
      <c r="H36" s="576"/>
      <c r="I36" s="576"/>
      <c r="J36" s="576"/>
      <c r="K36" s="576"/>
      <c r="L36" s="576"/>
      <c r="M36" s="576"/>
      <c r="N36" s="576"/>
      <c r="O36" s="576"/>
      <c r="P36" s="576"/>
      <c r="Q36" s="576"/>
      <c r="R36" s="577"/>
      <c r="S36" s="578"/>
      <c r="T36" s="576"/>
      <c r="U36" s="576"/>
      <c r="V36" s="576"/>
      <c r="W36" s="576"/>
      <c r="X36" s="576"/>
      <c r="Y36" s="576"/>
      <c r="Z36" s="576"/>
      <c r="AA36" s="576"/>
      <c r="AB36" s="576"/>
      <c r="AC36" s="576"/>
      <c r="AD36" s="579"/>
      <c r="AE36" s="580"/>
      <c r="AF36" s="576"/>
      <c r="AG36" s="576"/>
      <c r="AH36" s="579"/>
      <c r="AK36" s="617">
        <f t="shared" si="18"/>
        <v>0</v>
      </c>
    </row>
    <row r="37" spans="1:37">
      <c r="A37" s="570" t="s">
        <v>54</v>
      </c>
      <c r="B37" s="571" t="str">
        <f>PLANILHA!D38</f>
        <v>MOVIMENTO DE SOLO</v>
      </c>
      <c r="C37" s="572"/>
      <c r="D37" s="573"/>
      <c r="E37" s="573"/>
      <c r="F37" s="574">
        <f t="shared" ref="F37:F42" si="40">VLOOKUP(A37,PLANILHA,$G$6,0)</f>
        <v>0</v>
      </c>
      <c r="G37" s="580"/>
      <c r="H37" s="576"/>
      <c r="I37" s="576"/>
      <c r="J37" s="576"/>
      <c r="K37" s="576"/>
      <c r="L37" s="576"/>
      <c r="M37" s="576"/>
      <c r="N37" s="576"/>
      <c r="O37" s="576"/>
      <c r="P37" s="576"/>
      <c r="Q37" s="576"/>
      <c r="R37" s="577"/>
      <c r="S37" s="578"/>
      <c r="T37" s="576"/>
      <c r="U37" s="576"/>
      <c r="V37" s="576"/>
      <c r="W37" s="576"/>
      <c r="X37" s="576"/>
      <c r="Y37" s="576"/>
      <c r="Z37" s="576"/>
      <c r="AA37" s="576"/>
      <c r="AB37" s="576"/>
      <c r="AC37" s="576"/>
      <c r="AD37" s="579"/>
      <c r="AE37" s="580"/>
      <c r="AF37" s="576"/>
      <c r="AG37" s="576"/>
      <c r="AH37" s="579"/>
      <c r="AK37" s="617">
        <f t="shared" si="18"/>
        <v>0</v>
      </c>
    </row>
    <row r="38" spans="1:37" ht="45">
      <c r="A38" s="570" t="s">
        <v>7084</v>
      </c>
      <c r="B38" s="571" t="str">
        <f>PLANILHA!D39</f>
        <v>ESCAVAÇÃO MANUAL PARA BLOCO DE COROAMENTO OU SAPATA (INCLUINDO ESCAVAÇÃO PARA COLOCAÇÃO DE FÔRMAS). AF_06/2017</v>
      </c>
      <c r="C38" s="572" t="str">
        <f>PLANILHA!E39</f>
        <v>M3</v>
      </c>
      <c r="D38" s="573">
        <f>PLANILHA!F39</f>
        <v>2.835</v>
      </c>
      <c r="E38" s="573">
        <f>VLOOKUP(A38,PLANILHA,$G$7,0)</f>
        <v>93.45</v>
      </c>
      <c r="F38" s="574">
        <f t="shared" si="40"/>
        <v>264.93</v>
      </c>
      <c r="G38" s="580"/>
      <c r="H38" s="576">
        <f t="shared" ref="H38:H46" si="41">G38*$E38</f>
        <v>0</v>
      </c>
      <c r="I38" s="576"/>
      <c r="J38" s="576">
        <f t="shared" ref="J38:J46" si="42">I38*$E38</f>
        <v>0</v>
      </c>
      <c r="K38" s="576"/>
      <c r="L38" s="576">
        <f t="shared" ref="L38:L46" si="43">K38*$E38</f>
        <v>0</v>
      </c>
      <c r="M38" s="576"/>
      <c r="N38" s="576">
        <f t="shared" ref="N38:N46" si="44">M38*$E38</f>
        <v>0</v>
      </c>
      <c r="O38" s="576"/>
      <c r="P38" s="576">
        <f t="shared" ref="P38:P46" si="45">O38*$E38</f>
        <v>0</v>
      </c>
      <c r="Q38" s="576"/>
      <c r="R38" s="577">
        <f t="shared" ref="R38:R46" si="46">Q38*$E38</f>
        <v>0</v>
      </c>
      <c r="S38" s="578">
        <f>D38</f>
        <v>2.835</v>
      </c>
      <c r="T38" s="576">
        <f t="shared" ref="T38:T41" si="47">TRUNC(S38*$E38,2)</f>
        <v>264.93</v>
      </c>
      <c r="U38" s="576"/>
      <c r="V38" s="576">
        <f t="shared" ref="V38:V46" si="48">U38*$E38</f>
        <v>0</v>
      </c>
      <c r="W38" s="576"/>
      <c r="X38" s="576">
        <f t="shared" ref="X38:X46" si="49">W38*$E38</f>
        <v>0</v>
      </c>
      <c r="Y38" s="576"/>
      <c r="Z38" s="576">
        <f t="shared" ref="Z38:Z46" si="50">Y38*$E38</f>
        <v>0</v>
      </c>
      <c r="AA38" s="576"/>
      <c r="AB38" s="576">
        <f t="shared" ref="AB38:AB46" si="51">AA38*$E38</f>
        <v>0</v>
      </c>
      <c r="AC38" s="576"/>
      <c r="AD38" s="579">
        <f t="shared" ref="AD38:AD46" si="52">AC38*$E38</f>
        <v>0</v>
      </c>
      <c r="AE38" s="580">
        <f t="shared" ref="AE38:AE46" si="53">AC38+AA38+Y38+W38+U38+S38+Q38+O38+M38+K38+I38+G38</f>
        <v>2.835</v>
      </c>
      <c r="AF38" s="576">
        <f t="shared" ref="AF38:AF41" si="54">TRUNC(AE38*E38,2)</f>
        <v>264.93</v>
      </c>
      <c r="AG38" s="576">
        <f t="shared" ref="AG38:AG46" si="55">D38-AE38</f>
        <v>0</v>
      </c>
      <c r="AH38" s="579">
        <f t="shared" ref="AH38:AH46" si="56">AG38*E38</f>
        <v>0</v>
      </c>
      <c r="AK38" s="617">
        <f t="shared" si="18"/>
        <v>0</v>
      </c>
    </row>
    <row r="39" spans="1:37" ht="30">
      <c r="A39" s="570" t="s">
        <v>7085</v>
      </c>
      <c r="B39" s="571" t="str">
        <f>PLANILHA!D40</f>
        <v>PREPARO DE FUNDO DE VALA COM LARGURA MENOR QUE 1,5 M (ACERTO DO SOLO NATURAL). AF_08/2020</v>
      </c>
      <c r="C39" s="572" t="str">
        <f>PLANILHA!E40</f>
        <v>M2</v>
      </c>
      <c r="D39" s="573">
        <f>PLANILHA!F40</f>
        <v>2.835</v>
      </c>
      <c r="E39" s="573">
        <f>VLOOKUP(A39,PLANILHA,$G$7,0)</f>
        <v>5.94</v>
      </c>
      <c r="F39" s="574">
        <f t="shared" si="40"/>
        <v>16.829999999999998</v>
      </c>
      <c r="G39" s="580"/>
      <c r="H39" s="576">
        <f t="shared" si="41"/>
        <v>0</v>
      </c>
      <c r="I39" s="576"/>
      <c r="J39" s="576">
        <f t="shared" si="42"/>
        <v>0</v>
      </c>
      <c r="K39" s="576"/>
      <c r="L39" s="576">
        <f t="shared" si="43"/>
        <v>0</v>
      </c>
      <c r="M39" s="576"/>
      <c r="N39" s="576">
        <f t="shared" si="44"/>
        <v>0</v>
      </c>
      <c r="O39" s="576"/>
      <c r="P39" s="576">
        <f t="shared" si="45"/>
        <v>0</v>
      </c>
      <c r="Q39" s="576"/>
      <c r="R39" s="577">
        <f t="shared" si="46"/>
        <v>0</v>
      </c>
      <c r="S39" s="578">
        <f>D39</f>
        <v>2.835</v>
      </c>
      <c r="T39" s="576">
        <f t="shared" si="47"/>
        <v>16.829999999999998</v>
      </c>
      <c r="U39" s="576"/>
      <c r="V39" s="576">
        <f t="shared" si="48"/>
        <v>0</v>
      </c>
      <c r="W39" s="576"/>
      <c r="X39" s="576">
        <f t="shared" si="49"/>
        <v>0</v>
      </c>
      <c r="Y39" s="576"/>
      <c r="Z39" s="576">
        <f t="shared" si="50"/>
        <v>0</v>
      </c>
      <c r="AA39" s="576"/>
      <c r="AB39" s="576">
        <f t="shared" si="51"/>
        <v>0</v>
      </c>
      <c r="AC39" s="576"/>
      <c r="AD39" s="579">
        <f t="shared" si="52"/>
        <v>0</v>
      </c>
      <c r="AE39" s="580">
        <f t="shared" si="53"/>
        <v>2.835</v>
      </c>
      <c r="AF39" s="576">
        <f t="shared" si="54"/>
        <v>16.829999999999998</v>
      </c>
      <c r="AG39" s="576">
        <f t="shared" si="55"/>
        <v>0</v>
      </c>
      <c r="AH39" s="579">
        <f t="shared" si="56"/>
        <v>0</v>
      </c>
      <c r="AK39" s="617">
        <f t="shared" si="18"/>
        <v>0</v>
      </c>
    </row>
    <row r="40" spans="1:37" ht="30">
      <c r="A40" s="570" t="s">
        <v>7086</v>
      </c>
      <c r="B40" s="571" t="str">
        <f>PLANILHA!D41</f>
        <v>LASTRO DE CONCRETO MAGRO, APLICADO EM BLOCOS DE COROAMENTO OU SAPATAS. AF_08/2017</v>
      </c>
      <c r="C40" s="572" t="str">
        <f>PLANILHA!E41</f>
        <v>M3</v>
      </c>
      <c r="D40" s="573">
        <f>PLANILHA!F41</f>
        <v>8.5049999999999987E-2</v>
      </c>
      <c r="E40" s="573">
        <f>VLOOKUP(A40,PLANILHA,$G$7,0)</f>
        <v>654.55999999999995</v>
      </c>
      <c r="F40" s="574">
        <f t="shared" si="40"/>
        <v>55.67</v>
      </c>
      <c r="G40" s="580"/>
      <c r="H40" s="576">
        <f t="shared" si="41"/>
        <v>0</v>
      </c>
      <c r="I40" s="576"/>
      <c r="J40" s="576">
        <f t="shared" si="42"/>
        <v>0</v>
      </c>
      <c r="K40" s="576"/>
      <c r="L40" s="576">
        <f t="shared" si="43"/>
        <v>0</v>
      </c>
      <c r="M40" s="576"/>
      <c r="N40" s="576">
        <f t="shared" si="44"/>
        <v>0</v>
      </c>
      <c r="O40" s="576"/>
      <c r="P40" s="576">
        <f t="shared" si="45"/>
        <v>0</v>
      </c>
      <c r="Q40" s="576"/>
      <c r="R40" s="577">
        <f t="shared" si="46"/>
        <v>0</v>
      </c>
      <c r="S40" s="578">
        <f>D40</f>
        <v>8.5049999999999987E-2</v>
      </c>
      <c r="T40" s="576">
        <f t="shared" si="47"/>
        <v>55.67</v>
      </c>
      <c r="U40" s="576"/>
      <c r="V40" s="576">
        <f t="shared" si="48"/>
        <v>0</v>
      </c>
      <c r="W40" s="576"/>
      <c r="X40" s="576">
        <f t="shared" si="49"/>
        <v>0</v>
      </c>
      <c r="Y40" s="576"/>
      <c r="Z40" s="576">
        <f t="shared" si="50"/>
        <v>0</v>
      </c>
      <c r="AA40" s="576"/>
      <c r="AB40" s="576">
        <f t="shared" si="51"/>
        <v>0</v>
      </c>
      <c r="AC40" s="576"/>
      <c r="AD40" s="579">
        <f t="shared" si="52"/>
        <v>0</v>
      </c>
      <c r="AE40" s="580">
        <f t="shared" si="53"/>
        <v>8.5049999999999987E-2</v>
      </c>
      <c r="AF40" s="576">
        <f t="shared" si="54"/>
        <v>55.67</v>
      </c>
      <c r="AG40" s="576">
        <f t="shared" si="55"/>
        <v>0</v>
      </c>
      <c r="AH40" s="579">
        <f t="shared" si="56"/>
        <v>0</v>
      </c>
      <c r="AK40" s="617">
        <f t="shared" si="18"/>
        <v>0</v>
      </c>
    </row>
    <row r="41" spans="1:37" ht="30">
      <c r="A41" s="570" t="s">
        <v>13088</v>
      </c>
      <c r="B41" s="571" t="str">
        <f>PLANILHA!D42</f>
        <v>REATERRO MANUAL DE VALAS COM COMPACTAÇÃO MECANIZADA. AF_04/2016</v>
      </c>
      <c r="C41" s="572" t="str">
        <f>PLANILHA!E42</f>
        <v>M3</v>
      </c>
      <c r="D41" s="573">
        <f>PLANILHA!F42</f>
        <v>1.8800000000000001</v>
      </c>
      <c r="E41" s="573">
        <f>VLOOKUP(A41,PLANILHA,$G$7,0)</f>
        <v>29.15</v>
      </c>
      <c r="F41" s="574">
        <f t="shared" si="40"/>
        <v>54.8</v>
      </c>
      <c r="G41" s="580"/>
      <c r="H41" s="576">
        <f t="shared" si="41"/>
        <v>0</v>
      </c>
      <c r="I41" s="576"/>
      <c r="J41" s="576">
        <f t="shared" si="42"/>
        <v>0</v>
      </c>
      <c r="K41" s="576"/>
      <c r="L41" s="576">
        <f t="shared" si="43"/>
        <v>0</v>
      </c>
      <c r="M41" s="576"/>
      <c r="N41" s="576">
        <f t="shared" si="44"/>
        <v>0</v>
      </c>
      <c r="O41" s="576"/>
      <c r="P41" s="576">
        <f t="shared" si="45"/>
        <v>0</v>
      </c>
      <c r="Q41" s="576"/>
      <c r="R41" s="577">
        <f t="shared" si="46"/>
        <v>0</v>
      </c>
      <c r="S41" s="578">
        <f>D41</f>
        <v>1.8800000000000001</v>
      </c>
      <c r="T41" s="576">
        <f t="shared" si="47"/>
        <v>54.8</v>
      </c>
      <c r="U41" s="576"/>
      <c r="V41" s="576">
        <f t="shared" si="48"/>
        <v>0</v>
      </c>
      <c r="W41" s="576"/>
      <c r="X41" s="576">
        <f t="shared" si="49"/>
        <v>0</v>
      </c>
      <c r="Y41" s="576"/>
      <c r="Z41" s="576">
        <f t="shared" si="50"/>
        <v>0</v>
      </c>
      <c r="AA41" s="576"/>
      <c r="AB41" s="576">
        <f t="shared" si="51"/>
        <v>0</v>
      </c>
      <c r="AC41" s="576"/>
      <c r="AD41" s="579">
        <f t="shared" si="52"/>
        <v>0</v>
      </c>
      <c r="AE41" s="580">
        <f t="shared" si="53"/>
        <v>1.8800000000000001</v>
      </c>
      <c r="AF41" s="576">
        <f t="shared" si="54"/>
        <v>54.8</v>
      </c>
      <c r="AG41" s="576">
        <f t="shared" si="55"/>
        <v>0</v>
      </c>
      <c r="AH41" s="579">
        <f t="shared" si="56"/>
        <v>0</v>
      </c>
      <c r="AK41" s="617">
        <f t="shared" si="18"/>
        <v>0</v>
      </c>
    </row>
    <row r="42" spans="1:37" s="569" customFormat="1">
      <c r="A42" s="581" t="s">
        <v>27209</v>
      </c>
      <c r="B42" s="582"/>
      <c r="C42" s="583"/>
      <c r="D42" s="584"/>
      <c r="E42" s="584"/>
      <c r="F42" s="585">
        <f t="shared" si="40"/>
        <v>392.23</v>
      </c>
      <c r="G42" s="586"/>
      <c r="H42" s="584">
        <f>SUM(H38:H41)</f>
        <v>0</v>
      </c>
      <c r="I42" s="584"/>
      <c r="J42" s="584">
        <f>SUM(J38:J41)</f>
        <v>0</v>
      </c>
      <c r="K42" s="584"/>
      <c r="L42" s="584">
        <f>SUM(L38:L41)</f>
        <v>0</v>
      </c>
      <c r="M42" s="584"/>
      <c r="N42" s="584">
        <f>SUM(N38:N41)</f>
        <v>0</v>
      </c>
      <c r="O42" s="584"/>
      <c r="P42" s="584">
        <f>SUM(P38:P41)</f>
        <v>0</v>
      </c>
      <c r="Q42" s="584"/>
      <c r="R42" s="587">
        <f>SUM(R38:R41)</f>
        <v>0</v>
      </c>
      <c r="S42" s="588"/>
      <c r="T42" s="584">
        <f>SUM(T38:T41)</f>
        <v>392.23</v>
      </c>
      <c r="U42" s="584"/>
      <c r="V42" s="584">
        <f>SUM(V38:V41)</f>
        <v>0</v>
      </c>
      <c r="W42" s="584"/>
      <c r="X42" s="584">
        <f>SUM(X38:X41)</f>
        <v>0</v>
      </c>
      <c r="Y42" s="584"/>
      <c r="Z42" s="584">
        <f>SUM(Z38:Z41)</f>
        <v>0</v>
      </c>
      <c r="AA42" s="584"/>
      <c r="AB42" s="584">
        <f>SUM(AB38:AB41)</f>
        <v>0</v>
      </c>
      <c r="AC42" s="584"/>
      <c r="AD42" s="585">
        <f>SUM(AD38:AD41)</f>
        <v>0</v>
      </c>
      <c r="AE42" s="590"/>
      <c r="AF42" s="584">
        <f>SUM(AF38:AF41)</f>
        <v>392.23</v>
      </c>
      <c r="AG42" s="591"/>
      <c r="AH42" s="585">
        <f>SUM(AH38:AH41)</f>
        <v>0</v>
      </c>
      <c r="AI42" s="568"/>
      <c r="AK42" s="617">
        <f t="shared" si="18"/>
        <v>0</v>
      </c>
    </row>
    <row r="43" spans="1:37">
      <c r="A43" s="570"/>
      <c r="B43" s="571"/>
      <c r="C43" s="572"/>
      <c r="D43" s="573"/>
      <c r="E43" s="573"/>
      <c r="F43" s="574"/>
      <c r="G43" s="580"/>
      <c r="H43" s="576"/>
      <c r="I43" s="576"/>
      <c r="J43" s="576"/>
      <c r="K43" s="576"/>
      <c r="L43" s="576"/>
      <c r="M43" s="576"/>
      <c r="N43" s="576"/>
      <c r="O43" s="576"/>
      <c r="P43" s="576"/>
      <c r="Q43" s="576"/>
      <c r="R43" s="577"/>
      <c r="S43" s="578"/>
      <c r="T43" s="576"/>
      <c r="U43" s="576"/>
      <c r="V43" s="576"/>
      <c r="W43" s="576"/>
      <c r="X43" s="576"/>
      <c r="Y43" s="576"/>
      <c r="Z43" s="576"/>
      <c r="AA43" s="576"/>
      <c r="AB43" s="576"/>
      <c r="AC43" s="576"/>
      <c r="AD43" s="579"/>
      <c r="AE43" s="580"/>
      <c r="AF43" s="576"/>
      <c r="AG43" s="576"/>
      <c r="AH43" s="579"/>
      <c r="AK43" s="617">
        <f t="shared" si="18"/>
        <v>0</v>
      </c>
    </row>
    <row r="44" spans="1:37">
      <c r="A44" s="570" t="s">
        <v>55</v>
      </c>
      <c r="B44" s="571" t="str">
        <f>PLANILHA!D45</f>
        <v>FUNDAÇÃO/ESTRUTURA</v>
      </c>
      <c r="C44" s="572"/>
      <c r="D44" s="573"/>
      <c r="E44" s="573"/>
      <c r="F44" s="574">
        <f t="shared" ref="F44:F51" si="57">VLOOKUP(A44,PLANILHA,$G$6,0)</f>
        <v>0</v>
      </c>
      <c r="G44" s="580"/>
      <c r="H44" s="576"/>
      <c r="I44" s="576"/>
      <c r="J44" s="576"/>
      <c r="K44" s="576"/>
      <c r="L44" s="576"/>
      <c r="M44" s="576"/>
      <c r="N44" s="576"/>
      <c r="O44" s="576"/>
      <c r="P44" s="576"/>
      <c r="Q44" s="576"/>
      <c r="R44" s="577"/>
      <c r="S44" s="578"/>
      <c r="T44" s="576"/>
      <c r="U44" s="576"/>
      <c r="V44" s="576"/>
      <c r="W44" s="576"/>
      <c r="X44" s="576"/>
      <c r="Y44" s="576"/>
      <c r="Z44" s="576"/>
      <c r="AA44" s="576"/>
      <c r="AB44" s="576"/>
      <c r="AC44" s="576"/>
      <c r="AD44" s="579"/>
      <c r="AE44" s="580"/>
      <c r="AF44" s="576"/>
      <c r="AG44" s="576"/>
      <c r="AH44" s="579"/>
      <c r="AK44" s="617">
        <f t="shared" si="18"/>
        <v>0</v>
      </c>
    </row>
    <row r="45" spans="1:37" ht="45">
      <c r="A45" s="570" t="s">
        <v>7087</v>
      </c>
      <c r="B45" s="571" t="str">
        <f>PLANILHA!D46</f>
        <v>CONCRETAGEM DE BLOCOS DE COROAMENTO E VIGAS BALDRAME, FCK 30 MPA, COM USO DE JERICA  LANÇAMENTO, ADENSAMENTO E ACABAMENTO. AF_06/2017</v>
      </c>
      <c r="C45" s="572" t="str">
        <f>PLANILHA!E46</f>
        <v>M3</v>
      </c>
      <c r="D45" s="573">
        <f>PLANILHA!F46</f>
        <v>3.65</v>
      </c>
      <c r="E45" s="573">
        <f t="shared" ref="E45:E50" si="58">VLOOKUP(A45,PLANILHA,$G$7,0)</f>
        <v>741.7</v>
      </c>
      <c r="F45" s="574">
        <f t="shared" si="57"/>
        <v>2707.2</v>
      </c>
      <c r="G45" s="580"/>
      <c r="H45" s="576">
        <f t="shared" si="41"/>
        <v>0</v>
      </c>
      <c r="I45" s="576"/>
      <c r="J45" s="576">
        <f t="shared" si="42"/>
        <v>0</v>
      </c>
      <c r="K45" s="576"/>
      <c r="L45" s="576">
        <f t="shared" si="43"/>
        <v>0</v>
      </c>
      <c r="M45" s="576"/>
      <c r="N45" s="576">
        <f t="shared" si="44"/>
        <v>0</v>
      </c>
      <c r="O45" s="576"/>
      <c r="P45" s="576">
        <f t="shared" si="45"/>
        <v>0</v>
      </c>
      <c r="Q45" s="576"/>
      <c r="R45" s="577">
        <f t="shared" si="46"/>
        <v>0</v>
      </c>
      <c r="S45" s="578">
        <f t="shared" ref="S45:S50" si="59">D45</f>
        <v>3.65</v>
      </c>
      <c r="T45" s="576">
        <f t="shared" ref="T45:T50" si="60">TRUNC(S45*$E45,2)</f>
        <v>2707.2</v>
      </c>
      <c r="U45" s="576"/>
      <c r="V45" s="576">
        <f t="shared" si="48"/>
        <v>0</v>
      </c>
      <c r="W45" s="576"/>
      <c r="X45" s="576">
        <f t="shared" si="49"/>
        <v>0</v>
      </c>
      <c r="Y45" s="576"/>
      <c r="Z45" s="576">
        <f t="shared" si="50"/>
        <v>0</v>
      </c>
      <c r="AA45" s="576"/>
      <c r="AB45" s="576">
        <f t="shared" si="51"/>
        <v>0</v>
      </c>
      <c r="AC45" s="576"/>
      <c r="AD45" s="579">
        <f t="shared" si="52"/>
        <v>0</v>
      </c>
      <c r="AE45" s="580">
        <f t="shared" si="53"/>
        <v>3.65</v>
      </c>
      <c r="AF45" s="576">
        <f t="shared" ref="AF45:AF50" si="61">TRUNC(AE45*E45,2)</f>
        <v>2707.2</v>
      </c>
      <c r="AG45" s="576">
        <f t="shared" si="55"/>
        <v>0</v>
      </c>
      <c r="AH45" s="579">
        <f t="shared" si="56"/>
        <v>0</v>
      </c>
      <c r="AK45" s="617">
        <f t="shared" si="18"/>
        <v>0</v>
      </c>
    </row>
    <row r="46" spans="1:37" ht="30">
      <c r="A46" s="570" t="s">
        <v>7088</v>
      </c>
      <c r="B46" s="571" t="str">
        <f>PLANILHA!D47</f>
        <v>ARMAÇÃO DE BLOCO, VIGA BALDRAME E SAPATA UTILIZANDO AÇO CA-60 DE 5 MM - MONTAGEM. AF_06/2017</v>
      </c>
      <c r="C46" s="572" t="str">
        <f>PLANILHA!E47</f>
        <v>KG</v>
      </c>
      <c r="D46" s="573">
        <f>PLANILHA!F47</f>
        <v>66</v>
      </c>
      <c r="E46" s="573">
        <f t="shared" si="58"/>
        <v>22.55</v>
      </c>
      <c r="F46" s="574">
        <f t="shared" si="57"/>
        <v>1488.3</v>
      </c>
      <c r="G46" s="580"/>
      <c r="H46" s="576">
        <f t="shared" si="41"/>
        <v>0</v>
      </c>
      <c r="I46" s="576"/>
      <c r="J46" s="576">
        <f t="shared" si="42"/>
        <v>0</v>
      </c>
      <c r="K46" s="576"/>
      <c r="L46" s="576">
        <f t="shared" si="43"/>
        <v>0</v>
      </c>
      <c r="M46" s="576"/>
      <c r="N46" s="576">
        <f t="shared" si="44"/>
        <v>0</v>
      </c>
      <c r="O46" s="576"/>
      <c r="P46" s="576">
        <f t="shared" si="45"/>
        <v>0</v>
      </c>
      <c r="Q46" s="576"/>
      <c r="R46" s="577">
        <f t="shared" si="46"/>
        <v>0</v>
      </c>
      <c r="S46" s="578">
        <f t="shared" si="59"/>
        <v>66</v>
      </c>
      <c r="T46" s="576">
        <f t="shared" si="60"/>
        <v>1488.3</v>
      </c>
      <c r="U46" s="576"/>
      <c r="V46" s="576">
        <f t="shared" si="48"/>
        <v>0</v>
      </c>
      <c r="W46" s="576"/>
      <c r="X46" s="576">
        <f t="shared" si="49"/>
        <v>0</v>
      </c>
      <c r="Y46" s="576"/>
      <c r="Z46" s="576">
        <f t="shared" si="50"/>
        <v>0</v>
      </c>
      <c r="AA46" s="576"/>
      <c r="AB46" s="576">
        <f t="shared" si="51"/>
        <v>0</v>
      </c>
      <c r="AC46" s="576"/>
      <c r="AD46" s="579">
        <f t="shared" si="52"/>
        <v>0</v>
      </c>
      <c r="AE46" s="580">
        <f t="shared" si="53"/>
        <v>66</v>
      </c>
      <c r="AF46" s="576">
        <f t="shared" si="61"/>
        <v>1488.3</v>
      </c>
      <c r="AG46" s="576">
        <f t="shared" si="55"/>
        <v>0</v>
      </c>
      <c r="AH46" s="579">
        <f t="shared" si="56"/>
        <v>0</v>
      </c>
      <c r="AK46" s="617">
        <f t="shared" si="18"/>
        <v>0</v>
      </c>
    </row>
    <row r="47" spans="1:37" ht="30">
      <c r="A47" s="570" t="s">
        <v>14246</v>
      </c>
      <c r="B47" s="571" t="str">
        <f>PLANILHA!D48</f>
        <v>ARMAÇÃO DE BLOCO, VIGA BALDRAME OU SAPATA UTILIZANDO AÇO CA-50 DE 8 MM - MONTAGEM. AF_06/2017</v>
      </c>
      <c r="C47" s="572" t="str">
        <f>PLANILHA!E48</f>
        <v>KG</v>
      </c>
      <c r="D47" s="573">
        <f>PLANILHA!F48</f>
        <v>105.3</v>
      </c>
      <c r="E47" s="573">
        <f t="shared" si="58"/>
        <v>20.21</v>
      </c>
      <c r="F47" s="574">
        <f t="shared" si="57"/>
        <v>2128.11</v>
      </c>
      <c r="G47" s="580"/>
      <c r="H47" s="576">
        <f>G47*$E47</f>
        <v>0</v>
      </c>
      <c r="I47" s="576"/>
      <c r="J47" s="576">
        <f>I47*$E47</f>
        <v>0</v>
      </c>
      <c r="K47" s="576"/>
      <c r="L47" s="576">
        <f>K47*$E47</f>
        <v>0</v>
      </c>
      <c r="M47" s="576"/>
      <c r="N47" s="576">
        <f>M47*$E47</f>
        <v>0</v>
      </c>
      <c r="O47" s="576"/>
      <c r="P47" s="576">
        <f>O47*$E47</f>
        <v>0</v>
      </c>
      <c r="Q47" s="576"/>
      <c r="R47" s="577">
        <f>Q47*$E47</f>
        <v>0</v>
      </c>
      <c r="S47" s="578">
        <f t="shared" si="59"/>
        <v>105.3</v>
      </c>
      <c r="T47" s="576">
        <f t="shared" si="60"/>
        <v>2128.11</v>
      </c>
      <c r="U47" s="576"/>
      <c r="V47" s="576">
        <f>U47*$E47</f>
        <v>0</v>
      </c>
      <c r="W47" s="576"/>
      <c r="X47" s="576">
        <f>W47*$E47</f>
        <v>0</v>
      </c>
      <c r="Y47" s="576"/>
      <c r="Z47" s="576">
        <f>Y47*$E47</f>
        <v>0</v>
      </c>
      <c r="AA47" s="576"/>
      <c r="AB47" s="576">
        <f>AA47*$E47</f>
        <v>0</v>
      </c>
      <c r="AC47" s="576"/>
      <c r="AD47" s="579">
        <f>AC47*$E47</f>
        <v>0</v>
      </c>
      <c r="AE47" s="580">
        <f>AC47+AA47+Y47+W47+U47+S47+Q47+O47+M47+K47+I47+G47</f>
        <v>105.3</v>
      </c>
      <c r="AF47" s="576">
        <f t="shared" si="61"/>
        <v>2128.11</v>
      </c>
      <c r="AG47" s="576">
        <f>D47-AE47</f>
        <v>0</v>
      </c>
      <c r="AH47" s="579">
        <f>AG47*E47</f>
        <v>0</v>
      </c>
      <c r="AK47" s="617">
        <f t="shared" si="18"/>
        <v>0</v>
      </c>
    </row>
    <row r="48" spans="1:37" ht="30">
      <c r="A48" s="570" t="s">
        <v>14247</v>
      </c>
      <c r="B48" s="571" t="str">
        <f>PLANILHA!D49</f>
        <v>ARMAÇÃO DE BLOCO, VIGA BALDRAME OU SAPATA UTILIZANDO AÇO CA-50 DE 10 MM - MONTAGEM. AF_06/2017</v>
      </c>
      <c r="C48" s="572" t="str">
        <f>PLANILHA!E49</f>
        <v>KG</v>
      </c>
      <c r="D48" s="573">
        <f>PLANILHA!F49</f>
        <v>93.8</v>
      </c>
      <c r="E48" s="573">
        <f t="shared" si="58"/>
        <v>18.149999999999999</v>
      </c>
      <c r="F48" s="574">
        <f t="shared" si="57"/>
        <v>1702.47</v>
      </c>
      <c r="G48" s="580"/>
      <c r="H48" s="576">
        <f>G48*$E48</f>
        <v>0</v>
      </c>
      <c r="I48" s="576"/>
      <c r="J48" s="576">
        <f>I48*$E48</f>
        <v>0</v>
      </c>
      <c r="K48" s="576"/>
      <c r="L48" s="576">
        <f>K48*$E48</f>
        <v>0</v>
      </c>
      <c r="M48" s="576"/>
      <c r="N48" s="576">
        <f>M48*$E48</f>
        <v>0</v>
      </c>
      <c r="O48" s="576"/>
      <c r="P48" s="576">
        <f>O48*$E48</f>
        <v>0</v>
      </c>
      <c r="Q48" s="576"/>
      <c r="R48" s="577">
        <f>Q48*$E48</f>
        <v>0</v>
      </c>
      <c r="S48" s="578">
        <f t="shared" si="59"/>
        <v>93.8</v>
      </c>
      <c r="T48" s="576">
        <f t="shared" si="60"/>
        <v>1702.47</v>
      </c>
      <c r="U48" s="576"/>
      <c r="V48" s="576">
        <f>U48*$E48</f>
        <v>0</v>
      </c>
      <c r="W48" s="576"/>
      <c r="X48" s="576">
        <f>W48*$E48</f>
        <v>0</v>
      </c>
      <c r="Y48" s="576"/>
      <c r="Z48" s="576">
        <f>Y48*$E48</f>
        <v>0</v>
      </c>
      <c r="AA48" s="576"/>
      <c r="AB48" s="576">
        <f>AA48*$E48</f>
        <v>0</v>
      </c>
      <c r="AC48" s="576"/>
      <c r="AD48" s="579">
        <f>AC48*$E48</f>
        <v>0</v>
      </c>
      <c r="AE48" s="580">
        <f>AC48+AA48+Y48+W48+U48+S48+Q48+O48+M48+K48+I48+G48</f>
        <v>93.8</v>
      </c>
      <c r="AF48" s="576">
        <f t="shared" si="61"/>
        <v>1702.47</v>
      </c>
      <c r="AG48" s="576">
        <f>D48-AE48</f>
        <v>0</v>
      </c>
      <c r="AH48" s="579">
        <f>AG48*E48</f>
        <v>0</v>
      </c>
      <c r="AK48" s="617">
        <f t="shared" si="18"/>
        <v>0</v>
      </c>
    </row>
    <row r="49" spans="1:37" ht="30">
      <c r="A49" s="570" t="s">
        <v>14248</v>
      </c>
      <c r="B49" s="571" t="str">
        <f>PLANILHA!D50</f>
        <v>FABRICAÇÃO DE FÔRMA PARA PILARES E ESTRUTURAS SIMILARES, EM CHAPA DE MADEIRA COMPENSADA RESINADA, E = 17 MM. AF_09/2020</v>
      </c>
      <c r="C49" s="572" t="str">
        <f>PLANILHA!E50</f>
        <v>M2</v>
      </c>
      <c r="D49" s="573">
        <f>PLANILHA!F50</f>
        <v>50.75</v>
      </c>
      <c r="E49" s="573">
        <f t="shared" si="58"/>
        <v>215.06</v>
      </c>
      <c r="F49" s="574">
        <f t="shared" si="57"/>
        <v>10914.29</v>
      </c>
      <c r="G49" s="580"/>
      <c r="H49" s="576">
        <f>G49*$E49</f>
        <v>0</v>
      </c>
      <c r="I49" s="576"/>
      <c r="J49" s="576">
        <f>I49*$E49</f>
        <v>0</v>
      </c>
      <c r="K49" s="576"/>
      <c r="L49" s="576">
        <f>K49*$E49</f>
        <v>0</v>
      </c>
      <c r="M49" s="576"/>
      <c r="N49" s="576">
        <f>M49*$E49</f>
        <v>0</v>
      </c>
      <c r="O49" s="576"/>
      <c r="P49" s="576">
        <f>O49*$E49</f>
        <v>0</v>
      </c>
      <c r="Q49" s="576"/>
      <c r="R49" s="577">
        <f>Q49*$E49</f>
        <v>0</v>
      </c>
      <c r="S49" s="578">
        <f t="shared" si="59"/>
        <v>50.75</v>
      </c>
      <c r="T49" s="576">
        <f t="shared" si="60"/>
        <v>10914.29</v>
      </c>
      <c r="U49" s="576"/>
      <c r="V49" s="576">
        <f>U49*$E49</f>
        <v>0</v>
      </c>
      <c r="W49" s="576"/>
      <c r="X49" s="576">
        <f>W49*$E49</f>
        <v>0</v>
      </c>
      <c r="Y49" s="576"/>
      <c r="Z49" s="576">
        <f>Y49*$E49</f>
        <v>0</v>
      </c>
      <c r="AA49" s="576"/>
      <c r="AB49" s="576">
        <f>AA49*$E49</f>
        <v>0</v>
      </c>
      <c r="AC49" s="576"/>
      <c r="AD49" s="579">
        <f>AC49*$E49</f>
        <v>0</v>
      </c>
      <c r="AE49" s="580">
        <f>AC49+AA49+Y49+W49+U49+S49+Q49+O49+M49+K49+I49+G49</f>
        <v>50.75</v>
      </c>
      <c r="AF49" s="576">
        <f t="shared" si="61"/>
        <v>10914.29</v>
      </c>
      <c r="AG49" s="576">
        <f>D49-AE49</f>
        <v>0</v>
      </c>
      <c r="AH49" s="579">
        <f>AG49*E49</f>
        <v>0</v>
      </c>
      <c r="AK49" s="617">
        <f t="shared" si="18"/>
        <v>0</v>
      </c>
    </row>
    <row r="50" spans="1:37" ht="30">
      <c r="A50" s="570" t="s">
        <v>14249</v>
      </c>
      <c r="B50" s="571" t="str">
        <f>PLANILHA!D51</f>
        <v>IMPERMEABILIZAÇÃO DE SUPERFÍCIE COM EMULSÃO ASFÁLTICA, 2 DEMÃOS AF_06/2018</v>
      </c>
      <c r="C50" s="572" t="str">
        <f>PLANILHA!E51</f>
        <v>M2</v>
      </c>
      <c r="D50" s="573">
        <f>PLANILHA!F51</f>
        <v>50.75</v>
      </c>
      <c r="E50" s="573">
        <f t="shared" si="58"/>
        <v>71.89</v>
      </c>
      <c r="F50" s="574">
        <f t="shared" si="57"/>
        <v>3648.41</v>
      </c>
      <c r="G50" s="580"/>
      <c r="H50" s="576">
        <f>G50*$E50</f>
        <v>0</v>
      </c>
      <c r="I50" s="576"/>
      <c r="J50" s="576">
        <f>I50*$E50</f>
        <v>0</v>
      </c>
      <c r="K50" s="576"/>
      <c r="L50" s="576">
        <f>K50*$E50</f>
        <v>0</v>
      </c>
      <c r="M50" s="576"/>
      <c r="N50" s="576">
        <f>M50*$E50</f>
        <v>0</v>
      </c>
      <c r="O50" s="576"/>
      <c r="P50" s="576">
        <f>O50*$E50</f>
        <v>0</v>
      </c>
      <c r="Q50" s="576"/>
      <c r="R50" s="577">
        <f>Q50*$E50</f>
        <v>0</v>
      </c>
      <c r="S50" s="578">
        <f t="shared" si="59"/>
        <v>50.75</v>
      </c>
      <c r="T50" s="576">
        <f t="shared" si="60"/>
        <v>3648.41</v>
      </c>
      <c r="U50" s="576"/>
      <c r="V50" s="576">
        <f>U50*$E50</f>
        <v>0</v>
      </c>
      <c r="W50" s="576"/>
      <c r="X50" s="576">
        <f>W50*$E50</f>
        <v>0</v>
      </c>
      <c r="Y50" s="576"/>
      <c r="Z50" s="576">
        <f>Y50*$E50</f>
        <v>0</v>
      </c>
      <c r="AA50" s="576"/>
      <c r="AB50" s="576">
        <f>AA50*$E50</f>
        <v>0</v>
      </c>
      <c r="AC50" s="576"/>
      <c r="AD50" s="579">
        <f>AC50*$E50</f>
        <v>0</v>
      </c>
      <c r="AE50" s="580">
        <f>AC50+AA50+Y50+W50+U50+S50+Q50+O50+M50+K50+I50+G50</f>
        <v>50.75</v>
      </c>
      <c r="AF50" s="576">
        <f t="shared" si="61"/>
        <v>3648.41</v>
      </c>
      <c r="AG50" s="576">
        <f>D50-AE50</f>
        <v>0</v>
      </c>
      <c r="AH50" s="579">
        <f>AG50*E50</f>
        <v>0</v>
      </c>
      <c r="AK50" s="617">
        <f t="shared" si="18"/>
        <v>0</v>
      </c>
    </row>
    <row r="51" spans="1:37" s="569" customFormat="1">
      <c r="A51" s="581" t="s">
        <v>27210</v>
      </c>
      <c r="B51" s="582"/>
      <c r="C51" s="583"/>
      <c r="D51" s="584"/>
      <c r="E51" s="584"/>
      <c r="F51" s="585">
        <f t="shared" si="57"/>
        <v>22588.780000000002</v>
      </c>
      <c r="G51" s="586"/>
      <c r="H51" s="584">
        <f>SUM(H45:H50)</f>
        <v>0</v>
      </c>
      <c r="I51" s="584"/>
      <c r="J51" s="584">
        <f>SUM(J45:J50)</f>
        <v>0</v>
      </c>
      <c r="K51" s="584"/>
      <c r="L51" s="584">
        <f>SUM(L45:L50)</f>
        <v>0</v>
      </c>
      <c r="M51" s="584"/>
      <c r="N51" s="584">
        <f>SUM(N45:N50)</f>
        <v>0</v>
      </c>
      <c r="O51" s="584"/>
      <c r="P51" s="584">
        <f>SUM(P45:P50)</f>
        <v>0</v>
      </c>
      <c r="Q51" s="584"/>
      <c r="R51" s="587">
        <f>SUM(R45:R50)</f>
        <v>0</v>
      </c>
      <c r="S51" s="588"/>
      <c r="T51" s="584">
        <f>SUM(T45:T50)</f>
        <v>22588.780000000002</v>
      </c>
      <c r="U51" s="584"/>
      <c r="V51" s="584">
        <f>SUM(V45:V50)</f>
        <v>0</v>
      </c>
      <c r="W51" s="584"/>
      <c r="X51" s="584">
        <f>SUM(X45:X50)</f>
        <v>0</v>
      </c>
      <c r="Y51" s="584"/>
      <c r="Z51" s="584">
        <f>SUM(Z45:Z50)</f>
        <v>0</v>
      </c>
      <c r="AA51" s="584"/>
      <c r="AB51" s="584">
        <f>SUM(AB45:AB50)</f>
        <v>0</v>
      </c>
      <c r="AC51" s="584"/>
      <c r="AD51" s="585">
        <f>SUM(AD45:AD50)</f>
        <v>0</v>
      </c>
      <c r="AE51" s="590"/>
      <c r="AF51" s="584">
        <f>SUM(AF45:AF50)</f>
        <v>22588.780000000002</v>
      </c>
      <c r="AG51" s="591"/>
      <c r="AH51" s="585">
        <f>SUM(AH45:AH50)</f>
        <v>0</v>
      </c>
      <c r="AI51" s="568"/>
      <c r="AK51" s="617">
        <f t="shared" si="18"/>
        <v>0</v>
      </c>
    </row>
    <row r="52" spans="1:37">
      <c r="A52" s="570"/>
      <c r="B52" s="571"/>
      <c r="C52" s="572"/>
      <c r="D52" s="573"/>
      <c r="E52" s="573"/>
      <c r="F52" s="574"/>
      <c r="G52" s="580"/>
      <c r="H52" s="576"/>
      <c r="I52" s="576"/>
      <c r="J52" s="576"/>
      <c r="K52" s="576"/>
      <c r="L52" s="576"/>
      <c r="M52" s="576"/>
      <c r="N52" s="576"/>
      <c r="O52" s="576"/>
      <c r="P52" s="576"/>
      <c r="Q52" s="576"/>
      <c r="R52" s="577"/>
      <c r="S52" s="578"/>
      <c r="T52" s="576"/>
      <c r="U52" s="576"/>
      <c r="V52" s="576"/>
      <c r="W52" s="576"/>
      <c r="X52" s="576"/>
      <c r="Y52" s="576"/>
      <c r="Z52" s="576"/>
      <c r="AA52" s="576"/>
      <c r="AB52" s="576"/>
      <c r="AC52" s="576"/>
      <c r="AD52" s="579"/>
      <c r="AE52" s="580"/>
      <c r="AF52" s="576"/>
      <c r="AG52" s="576"/>
      <c r="AH52" s="579"/>
      <c r="AK52" s="617">
        <f t="shared" si="18"/>
        <v>0</v>
      </c>
    </row>
    <row r="53" spans="1:37">
      <c r="A53" s="570" t="s">
        <v>56</v>
      </c>
      <c r="B53" s="571" t="str">
        <f>PLANILHA!D54</f>
        <v>ALVENARIA E FECHAMENTO</v>
      </c>
      <c r="C53" s="572"/>
      <c r="D53" s="573"/>
      <c r="E53" s="573"/>
      <c r="F53" s="574">
        <f t="shared" ref="F53:F58" si="62">VLOOKUP(A53,PLANILHA,$G$6,0)</f>
        <v>0</v>
      </c>
      <c r="G53" s="580"/>
      <c r="H53" s="576"/>
      <c r="I53" s="576"/>
      <c r="J53" s="576"/>
      <c r="K53" s="576"/>
      <c r="L53" s="576"/>
      <c r="M53" s="576"/>
      <c r="N53" s="576"/>
      <c r="O53" s="576"/>
      <c r="P53" s="576"/>
      <c r="Q53" s="576"/>
      <c r="R53" s="577"/>
      <c r="S53" s="578"/>
      <c r="T53" s="576"/>
      <c r="U53" s="576"/>
      <c r="V53" s="576"/>
      <c r="W53" s="576"/>
      <c r="X53" s="576"/>
      <c r="Y53" s="576"/>
      <c r="Z53" s="576"/>
      <c r="AA53" s="576"/>
      <c r="AB53" s="576"/>
      <c r="AC53" s="576"/>
      <c r="AD53" s="579"/>
      <c r="AE53" s="580"/>
      <c r="AF53" s="576"/>
      <c r="AG53" s="576"/>
      <c r="AH53" s="579"/>
      <c r="AK53" s="617">
        <f t="shared" si="18"/>
        <v>0</v>
      </c>
    </row>
    <row r="54" spans="1:37" ht="30">
      <c r="A54" s="570" t="s">
        <v>7089</v>
      </c>
      <c r="B54" s="571" t="str">
        <f>PLANILHA!D55</f>
        <v>FORRO EM PLACAS DE GESSO, PARA AMBIENTES COMERCIAIS. AF_05/2017_P</v>
      </c>
      <c r="C54" s="572" t="str">
        <f>PLANILHA!E55</f>
        <v>M2</v>
      </c>
      <c r="D54" s="573">
        <f>PLANILHA!F55</f>
        <v>246.75</v>
      </c>
      <c r="E54" s="573">
        <f>VLOOKUP(A54,PLANILHA,$G$7,0)</f>
        <v>40.97</v>
      </c>
      <c r="F54" s="574">
        <f t="shared" si="62"/>
        <v>10109.34</v>
      </c>
      <c r="G54" s="580"/>
      <c r="H54" s="576">
        <f>G54*$E54</f>
        <v>0</v>
      </c>
      <c r="I54" s="576"/>
      <c r="J54" s="576">
        <f>I54*$E54</f>
        <v>0</v>
      </c>
      <c r="K54" s="576"/>
      <c r="L54" s="576">
        <f>K54*$E54</f>
        <v>0</v>
      </c>
      <c r="M54" s="576"/>
      <c r="N54" s="576">
        <f>M54*$E54</f>
        <v>0</v>
      </c>
      <c r="O54" s="576"/>
      <c r="P54" s="576">
        <f>O54*$E54</f>
        <v>0</v>
      </c>
      <c r="Q54" s="576"/>
      <c r="R54" s="577">
        <f>Q54*$E54</f>
        <v>0</v>
      </c>
      <c r="S54" s="578">
        <f>D54</f>
        <v>246.75</v>
      </c>
      <c r="T54" s="576">
        <f t="shared" ref="T54:T57" si="63">TRUNC(S54*$E54,2)</f>
        <v>10109.34</v>
      </c>
      <c r="U54" s="576"/>
      <c r="V54" s="576">
        <f>U54*$E54</f>
        <v>0</v>
      </c>
      <c r="W54" s="576"/>
      <c r="X54" s="576">
        <f>W54*$E54</f>
        <v>0</v>
      </c>
      <c r="Y54" s="576"/>
      <c r="Z54" s="576">
        <f>Y54*$E54</f>
        <v>0</v>
      </c>
      <c r="AA54" s="576"/>
      <c r="AB54" s="576">
        <f>AA54*$E54</f>
        <v>0</v>
      </c>
      <c r="AC54" s="576"/>
      <c r="AD54" s="579">
        <f>AC54*$E54</f>
        <v>0</v>
      </c>
      <c r="AE54" s="580">
        <f>AC54+AA54+Y54+W54+U54+S54+Q54+O54+M54+K54+I54+G54</f>
        <v>246.75</v>
      </c>
      <c r="AF54" s="576">
        <f t="shared" ref="AF54:AF57" si="64">TRUNC(AE54*E54,2)</f>
        <v>10109.34</v>
      </c>
      <c r="AG54" s="576">
        <f>D54-AE54</f>
        <v>0</v>
      </c>
      <c r="AH54" s="579">
        <f>AG54*E54</f>
        <v>0</v>
      </c>
      <c r="AK54" s="617">
        <f t="shared" si="18"/>
        <v>0</v>
      </c>
    </row>
    <row r="55" spans="1:37" ht="45">
      <c r="A55" s="570" t="s">
        <v>7090</v>
      </c>
      <c r="B55" s="571" t="str">
        <f>PLANILHA!D56</f>
        <v>ALVENARIA DE VEDAÇÃO DE BLOCOS CERÂMICOS FURADOS NA HORIZONTAL DE 9X19X19 CM (ESPESSURA 9 CM) E ARGAMASSA DE ASSENTAMENTO COM PREPARO EM BETONEIRA. AF_12/2021</v>
      </c>
      <c r="C55" s="572" t="str">
        <f>PLANILHA!E56</f>
        <v>M2</v>
      </c>
      <c r="D55" s="573">
        <f>PLANILHA!F56</f>
        <v>62.607999999999997</v>
      </c>
      <c r="E55" s="573">
        <f>VLOOKUP(A55,PLANILHA,$G$7,0)</f>
        <v>96.44</v>
      </c>
      <c r="F55" s="574">
        <f t="shared" si="62"/>
        <v>6037.91</v>
      </c>
      <c r="G55" s="580"/>
      <c r="H55" s="576">
        <f>G55*$E55</f>
        <v>0</v>
      </c>
      <c r="I55" s="576"/>
      <c r="J55" s="576">
        <f>I55*$E55</f>
        <v>0</v>
      </c>
      <c r="K55" s="576"/>
      <c r="L55" s="576">
        <f>K55*$E55</f>
        <v>0</v>
      </c>
      <c r="M55" s="576"/>
      <c r="N55" s="576">
        <f>M55*$E55</f>
        <v>0</v>
      </c>
      <c r="O55" s="576"/>
      <c r="P55" s="576">
        <f>O55*$E55</f>
        <v>0</v>
      </c>
      <c r="Q55" s="576"/>
      <c r="R55" s="577">
        <f>Q55*$E55</f>
        <v>0</v>
      </c>
      <c r="S55" s="578">
        <f>D55</f>
        <v>62.607999999999997</v>
      </c>
      <c r="T55" s="576">
        <f t="shared" si="63"/>
        <v>6037.91</v>
      </c>
      <c r="U55" s="576"/>
      <c r="V55" s="576">
        <f>U55*$E55</f>
        <v>0</v>
      </c>
      <c r="W55" s="576"/>
      <c r="X55" s="576">
        <f>W55*$E55</f>
        <v>0</v>
      </c>
      <c r="Y55" s="576"/>
      <c r="Z55" s="576">
        <f>Y55*$E55</f>
        <v>0</v>
      </c>
      <c r="AA55" s="576"/>
      <c r="AB55" s="576">
        <f>AA55*$E55</f>
        <v>0</v>
      </c>
      <c r="AC55" s="576"/>
      <c r="AD55" s="579">
        <f>AC55*$E55</f>
        <v>0</v>
      </c>
      <c r="AE55" s="580">
        <f>AC55+AA55+Y55+W55+U55+S55+Q55+O55+M55+K55+I55+G55</f>
        <v>62.607999999999997</v>
      </c>
      <c r="AF55" s="576">
        <f t="shared" si="64"/>
        <v>6037.91</v>
      </c>
      <c r="AG55" s="576">
        <f>D55-AE55</f>
        <v>0</v>
      </c>
      <c r="AH55" s="579">
        <f>AG55*E55</f>
        <v>0</v>
      </c>
      <c r="AK55" s="617">
        <f t="shared" si="18"/>
        <v>0</v>
      </c>
    </row>
    <row r="56" spans="1:37" ht="45">
      <c r="A56" s="570" t="s">
        <v>7091</v>
      </c>
      <c r="B56" s="571" t="str">
        <f>PLANILHA!D57</f>
        <v>CHAPISCO APLICADO EM ALVENARIA (SEM PRESENÇA DE VÃOS) E ESTRUTURAS DE CONCRETO DE FACHADA, COM COLHER DE PEDREIRO.  ARGAMASSA TRAÇO 1:3 COM PREPARO MANUAL. AF_06/2014</v>
      </c>
      <c r="C56" s="572" t="str">
        <f>PLANILHA!E57</f>
        <v>M2</v>
      </c>
      <c r="D56" s="573">
        <f>PLANILHA!F57</f>
        <v>270.49360000000001</v>
      </c>
      <c r="E56" s="573">
        <f>VLOOKUP(A56,PLANILHA,$G$7,0)</f>
        <v>7.38</v>
      </c>
      <c r="F56" s="574">
        <f t="shared" si="62"/>
        <v>1996.24</v>
      </c>
      <c r="G56" s="580"/>
      <c r="H56" s="576">
        <f>G56*$E56</f>
        <v>0</v>
      </c>
      <c r="I56" s="576"/>
      <c r="J56" s="576">
        <f>I56*$E56</f>
        <v>0</v>
      </c>
      <c r="K56" s="576"/>
      <c r="L56" s="576">
        <f>K56*$E56</f>
        <v>0</v>
      </c>
      <c r="M56" s="576"/>
      <c r="N56" s="576">
        <f>M56*$E56</f>
        <v>0</v>
      </c>
      <c r="O56" s="576"/>
      <c r="P56" s="576">
        <f>O56*$E56</f>
        <v>0</v>
      </c>
      <c r="Q56" s="576"/>
      <c r="R56" s="577">
        <f>Q56*$E56</f>
        <v>0</v>
      </c>
      <c r="S56" s="578">
        <f>D56</f>
        <v>270.49360000000001</v>
      </c>
      <c r="T56" s="576">
        <f t="shared" si="63"/>
        <v>1996.24</v>
      </c>
      <c r="U56" s="576"/>
      <c r="V56" s="576">
        <f>U56*$E56</f>
        <v>0</v>
      </c>
      <c r="W56" s="576"/>
      <c r="X56" s="576">
        <f>W56*$E56</f>
        <v>0</v>
      </c>
      <c r="Y56" s="576"/>
      <c r="Z56" s="576">
        <f>Y56*$E56</f>
        <v>0</v>
      </c>
      <c r="AA56" s="576"/>
      <c r="AB56" s="576">
        <f>AA56*$E56</f>
        <v>0</v>
      </c>
      <c r="AC56" s="576"/>
      <c r="AD56" s="579">
        <f>AC56*$E56</f>
        <v>0</v>
      </c>
      <c r="AE56" s="580">
        <f>AC56+AA56+Y56+W56+U56+S56+Q56+O56+M56+K56+I56+G56</f>
        <v>270.49360000000001</v>
      </c>
      <c r="AF56" s="576">
        <f t="shared" si="64"/>
        <v>1996.24</v>
      </c>
      <c r="AG56" s="576">
        <f>D56-AE56</f>
        <v>0</v>
      </c>
      <c r="AH56" s="579">
        <f>AG56*E56</f>
        <v>0</v>
      </c>
      <c r="AK56" s="617">
        <f t="shared" si="18"/>
        <v>0</v>
      </c>
    </row>
    <row r="57" spans="1:37" ht="75">
      <c r="A57" s="570" t="s">
        <v>7092</v>
      </c>
      <c r="B57" s="571" t="str">
        <f>PLANILHA!D58</f>
        <v>MASSA ÚNICA, PARA RECEBIMENTO DE PINTURA OU CERÂMICA, ARGAMASSA INDUSTRIALIZADA, PREPARO MECÂNICO, APLICADO COM EQUIPAMENTO DE MISTURA E PROJEÇÃO DE 1,5 M3/H EM FACES INTERNAS DE PAREDES, ESPESSURA DE 5MM, SEM EXECUÇÃO DE TALISCAS. AF_06/2014</v>
      </c>
      <c r="C57" s="572" t="str">
        <f>PLANILHA!E58</f>
        <v>M2</v>
      </c>
      <c r="D57" s="573">
        <f>PLANILHA!F58</f>
        <v>270.49360000000001</v>
      </c>
      <c r="E57" s="573">
        <f>VLOOKUP(A57,PLANILHA,$G$7,0)</f>
        <v>29.82</v>
      </c>
      <c r="F57" s="574">
        <f t="shared" si="62"/>
        <v>8066.11</v>
      </c>
      <c r="G57" s="580"/>
      <c r="H57" s="576">
        <f>G57*$E57</f>
        <v>0</v>
      </c>
      <c r="I57" s="576"/>
      <c r="J57" s="576">
        <f>I57*$E57</f>
        <v>0</v>
      </c>
      <c r="K57" s="576"/>
      <c r="L57" s="576">
        <f>K57*$E57</f>
        <v>0</v>
      </c>
      <c r="M57" s="576"/>
      <c r="N57" s="576">
        <f>M57*$E57</f>
        <v>0</v>
      </c>
      <c r="O57" s="576"/>
      <c r="P57" s="576">
        <f>O57*$E57</f>
        <v>0</v>
      </c>
      <c r="Q57" s="576"/>
      <c r="R57" s="577">
        <f>Q57*$E57</f>
        <v>0</v>
      </c>
      <c r="S57" s="578">
        <f>D57</f>
        <v>270.49360000000001</v>
      </c>
      <c r="T57" s="576">
        <f t="shared" si="63"/>
        <v>8066.11</v>
      </c>
      <c r="U57" s="576"/>
      <c r="V57" s="576">
        <f>U57*$E57</f>
        <v>0</v>
      </c>
      <c r="W57" s="576"/>
      <c r="X57" s="576">
        <f>W57*$E57</f>
        <v>0</v>
      </c>
      <c r="Y57" s="576"/>
      <c r="Z57" s="576">
        <f>Y57*$E57</f>
        <v>0</v>
      </c>
      <c r="AA57" s="576"/>
      <c r="AB57" s="576">
        <f>AA57*$E57</f>
        <v>0</v>
      </c>
      <c r="AC57" s="576"/>
      <c r="AD57" s="579">
        <f>AC57*$E57</f>
        <v>0</v>
      </c>
      <c r="AE57" s="580">
        <f>AC57+AA57+Y57+W57+U57+S57+Q57+O57+M57+K57+I57+G57</f>
        <v>270.49360000000001</v>
      </c>
      <c r="AF57" s="576">
        <f t="shared" si="64"/>
        <v>8066.11</v>
      </c>
      <c r="AG57" s="576">
        <f>D57-AE57</f>
        <v>0</v>
      </c>
      <c r="AH57" s="579">
        <f>AG57*E57</f>
        <v>0</v>
      </c>
      <c r="AK57" s="617">
        <f t="shared" si="18"/>
        <v>0</v>
      </c>
    </row>
    <row r="58" spans="1:37" s="569" customFormat="1">
      <c r="A58" s="581" t="s">
        <v>27211</v>
      </c>
      <c r="B58" s="582"/>
      <c r="C58" s="583"/>
      <c r="D58" s="584"/>
      <c r="E58" s="584"/>
      <c r="F58" s="585">
        <f t="shared" si="62"/>
        <v>26209.600000000002</v>
      </c>
      <c r="G58" s="586"/>
      <c r="H58" s="584">
        <f>SUM(H54:H57)</f>
        <v>0</v>
      </c>
      <c r="I58" s="584"/>
      <c r="J58" s="584">
        <f>SUM(J54:J57)</f>
        <v>0</v>
      </c>
      <c r="K58" s="584"/>
      <c r="L58" s="584">
        <f>SUM(L54:L57)</f>
        <v>0</v>
      </c>
      <c r="M58" s="584"/>
      <c r="N58" s="584">
        <f>SUM(N54:N57)</f>
        <v>0</v>
      </c>
      <c r="O58" s="584"/>
      <c r="P58" s="584">
        <f>SUM(P54:P57)</f>
        <v>0</v>
      </c>
      <c r="Q58" s="584"/>
      <c r="R58" s="587">
        <f>SUM(R54:R57)</f>
        <v>0</v>
      </c>
      <c r="S58" s="588"/>
      <c r="T58" s="584">
        <f>SUM(T54:T57)</f>
        <v>26209.600000000002</v>
      </c>
      <c r="U58" s="584"/>
      <c r="V58" s="584">
        <f>SUM(V54:V57)</f>
        <v>0</v>
      </c>
      <c r="W58" s="584"/>
      <c r="X58" s="584">
        <f>SUM(X54:X57)</f>
        <v>0</v>
      </c>
      <c r="Y58" s="584"/>
      <c r="Z58" s="584">
        <f>SUM(Z54:Z57)</f>
        <v>0</v>
      </c>
      <c r="AA58" s="584"/>
      <c r="AB58" s="584">
        <f>SUM(AB54:AB57)</f>
        <v>0</v>
      </c>
      <c r="AC58" s="584"/>
      <c r="AD58" s="585">
        <f>SUM(AD54:AD57)</f>
        <v>0</v>
      </c>
      <c r="AE58" s="590"/>
      <c r="AF58" s="584">
        <f>SUM(AF54:AF57)</f>
        <v>26209.600000000002</v>
      </c>
      <c r="AG58" s="591"/>
      <c r="AH58" s="585">
        <f>SUM(AH54:AH57)</f>
        <v>0</v>
      </c>
      <c r="AI58" s="568"/>
      <c r="AK58" s="617">
        <f t="shared" si="18"/>
        <v>0</v>
      </c>
    </row>
    <row r="59" spans="1:37">
      <c r="A59" s="570"/>
      <c r="B59" s="571"/>
      <c r="C59" s="572"/>
      <c r="D59" s="573"/>
      <c r="E59" s="573"/>
      <c r="F59" s="574"/>
      <c r="G59" s="580"/>
      <c r="H59" s="576"/>
      <c r="I59" s="576"/>
      <c r="J59" s="576"/>
      <c r="K59" s="576"/>
      <c r="L59" s="576"/>
      <c r="M59" s="576"/>
      <c r="N59" s="576"/>
      <c r="O59" s="576"/>
      <c r="P59" s="576"/>
      <c r="Q59" s="576"/>
      <c r="R59" s="577"/>
      <c r="S59" s="578"/>
      <c r="T59" s="576"/>
      <c r="U59" s="576"/>
      <c r="V59" s="576"/>
      <c r="W59" s="576"/>
      <c r="X59" s="576"/>
      <c r="Y59" s="576"/>
      <c r="Z59" s="576"/>
      <c r="AA59" s="576"/>
      <c r="AB59" s="576"/>
      <c r="AC59" s="576"/>
      <c r="AD59" s="579"/>
      <c r="AE59" s="580"/>
      <c r="AF59" s="576"/>
      <c r="AG59" s="576"/>
      <c r="AH59" s="579"/>
      <c r="AK59" s="617">
        <f t="shared" si="18"/>
        <v>0</v>
      </c>
    </row>
    <row r="60" spans="1:37" s="569" customFormat="1">
      <c r="A60" s="592" t="s">
        <v>57</v>
      </c>
      <c r="B60" s="593" t="str">
        <f>PLANILHA!D61</f>
        <v>PISOS</v>
      </c>
      <c r="C60" s="594"/>
      <c r="D60" s="589"/>
      <c r="E60" s="589"/>
      <c r="F60" s="595">
        <f>VLOOKUP(A60,PLANILHA,$G$6,0)</f>
        <v>0</v>
      </c>
      <c r="G60" s="596"/>
      <c r="H60" s="597"/>
      <c r="I60" s="597"/>
      <c r="J60" s="597"/>
      <c r="K60" s="597"/>
      <c r="L60" s="597"/>
      <c r="M60" s="597"/>
      <c r="N60" s="597"/>
      <c r="O60" s="597"/>
      <c r="P60" s="597"/>
      <c r="Q60" s="597"/>
      <c r="R60" s="598"/>
      <c r="S60" s="599"/>
      <c r="T60" s="597"/>
      <c r="U60" s="597"/>
      <c r="V60" s="597"/>
      <c r="W60" s="597"/>
      <c r="X60" s="597"/>
      <c r="Y60" s="597"/>
      <c r="Z60" s="597"/>
      <c r="AA60" s="597"/>
      <c r="AB60" s="597"/>
      <c r="AC60" s="597"/>
      <c r="AD60" s="600"/>
      <c r="AE60" s="596"/>
      <c r="AF60" s="597"/>
      <c r="AG60" s="576"/>
      <c r="AH60" s="579"/>
      <c r="AI60" s="568"/>
      <c r="AK60" s="617">
        <f t="shared" si="18"/>
        <v>0</v>
      </c>
    </row>
    <row r="61" spans="1:37" ht="30">
      <c r="A61" s="570" t="s">
        <v>7093</v>
      </c>
      <c r="B61" s="571" t="str">
        <f>PLANILHA!D62</f>
        <v>PISO ELEVADO COM ESTRUTURA EM AÇO, COMPOSTO POR PEDESTAIS E LONGARINAS. AF_09/2020</v>
      </c>
      <c r="C61" s="572" t="str">
        <f>PLANILHA!E62</f>
        <v>M2</v>
      </c>
      <c r="D61" s="573">
        <f>PLANILHA!F62</f>
        <v>46.55</v>
      </c>
      <c r="E61" s="573">
        <f>VLOOKUP(A61,PLANILHA,$G$7,0)</f>
        <v>601.02</v>
      </c>
      <c r="F61" s="574">
        <f>VLOOKUP(A61,PLANILHA,$G$6,0)</f>
        <v>27977.48</v>
      </c>
      <c r="G61" s="580"/>
      <c r="H61" s="576">
        <f>G61*$E61</f>
        <v>0</v>
      </c>
      <c r="I61" s="576"/>
      <c r="J61" s="576">
        <f>I61*$E61</f>
        <v>0</v>
      </c>
      <c r="K61" s="576"/>
      <c r="L61" s="576">
        <f>K61*$E61</f>
        <v>0</v>
      </c>
      <c r="M61" s="576"/>
      <c r="N61" s="576">
        <f>M61*$E61</f>
        <v>0</v>
      </c>
      <c r="O61" s="576"/>
      <c r="P61" s="576">
        <f>O61*$E61</f>
        <v>0</v>
      </c>
      <c r="Q61" s="576"/>
      <c r="R61" s="577">
        <f>Q61*$E61</f>
        <v>0</v>
      </c>
      <c r="S61" s="578">
        <f>D61</f>
        <v>46.55</v>
      </c>
      <c r="T61" s="576">
        <f>TRUNC(S61*$E61,2)</f>
        <v>27977.48</v>
      </c>
      <c r="U61" s="576"/>
      <c r="V61" s="576">
        <f>U61*$E61</f>
        <v>0</v>
      </c>
      <c r="W61" s="576"/>
      <c r="X61" s="576">
        <f>W61*$E61</f>
        <v>0</v>
      </c>
      <c r="Y61" s="576"/>
      <c r="Z61" s="576">
        <f>Y61*$E61</f>
        <v>0</v>
      </c>
      <c r="AA61" s="576"/>
      <c r="AB61" s="576">
        <f>AA61*$E61</f>
        <v>0</v>
      </c>
      <c r="AC61" s="576"/>
      <c r="AD61" s="579">
        <f>AC61*$E61</f>
        <v>0</v>
      </c>
      <c r="AE61" s="580">
        <f>AC61+AA61+Y61+W61+U61+S61+Q61+O61+M61+K61+I61+G61</f>
        <v>46.55</v>
      </c>
      <c r="AF61" s="576">
        <f>TRUNC(AE61*E61,2)</f>
        <v>27977.48</v>
      </c>
      <c r="AG61" s="576">
        <f>D61-AE61</f>
        <v>0</v>
      </c>
      <c r="AH61" s="579">
        <f>AG61*E61</f>
        <v>0</v>
      </c>
      <c r="AK61" s="617">
        <f t="shared" si="18"/>
        <v>0</v>
      </c>
    </row>
    <row r="62" spans="1:37" s="569" customFormat="1">
      <c r="A62" s="581" t="s">
        <v>27212</v>
      </c>
      <c r="B62" s="582"/>
      <c r="C62" s="583"/>
      <c r="D62" s="584"/>
      <c r="E62" s="584"/>
      <c r="F62" s="585">
        <f>VLOOKUP(A62,PLANILHA,$G$6,0)</f>
        <v>27977.48</v>
      </c>
      <c r="G62" s="586"/>
      <c r="H62" s="584">
        <f>SUM(H61:H61)</f>
        <v>0</v>
      </c>
      <c r="I62" s="584"/>
      <c r="J62" s="584">
        <f>SUM(J61:J61)</f>
        <v>0</v>
      </c>
      <c r="K62" s="584"/>
      <c r="L62" s="584">
        <f>SUM(L61:L61)</f>
        <v>0</v>
      </c>
      <c r="M62" s="584"/>
      <c r="N62" s="584">
        <f>SUM(N61:N61)</f>
        <v>0</v>
      </c>
      <c r="O62" s="584"/>
      <c r="P62" s="584">
        <f>SUM(P61:P61)</f>
        <v>0</v>
      </c>
      <c r="Q62" s="584"/>
      <c r="R62" s="587">
        <f>SUM(R61:R61)</f>
        <v>0</v>
      </c>
      <c r="S62" s="588"/>
      <c r="T62" s="584">
        <f>SUM(T61:T61)</f>
        <v>27977.48</v>
      </c>
      <c r="U62" s="584"/>
      <c r="V62" s="584">
        <f>SUM(V61:V61)</f>
        <v>0</v>
      </c>
      <c r="W62" s="584"/>
      <c r="X62" s="584">
        <f>SUM(X61:X61)</f>
        <v>0</v>
      </c>
      <c r="Y62" s="584"/>
      <c r="Z62" s="584">
        <f>SUM(Z61:Z61)</f>
        <v>0</v>
      </c>
      <c r="AA62" s="584"/>
      <c r="AB62" s="584">
        <f>SUM(AB61:AB61)</f>
        <v>0</v>
      </c>
      <c r="AC62" s="584"/>
      <c r="AD62" s="585">
        <f>SUM(AD61:AD61)</f>
        <v>0</v>
      </c>
      <c r="AE62" s="590"/>
      <c r="AF62" s="584">
        <f>SUM(AF61:AF61)</f>
        <v>27977.48</v>
      </c>
      <c r="AG62" s="591"/>
      <c r="AH62" s="585">
        <f>SUM(AH61:AH61)</f>
        <v>0</v>
      </c>
      <c r="AI62" s="568"/>
      <c r="AK62" s="617">
        <f t="shared" si="18"/>
        <v>0</v>
      </c>
    </row>
    <row r="63" spans="1:37">
      <c r="A63" s="570"/>
      <c r="B63" s="571"/>
      <c r="C63" s="572"/>
      <c r="D63" s="573"/>
      <c r="E63" s="573"/>
      <c r="F63" s="574"/>
      <c r="G63" s="580"/>
      <c r="H63" s="576"/>
      <c r="I63" s="576"/>
      <c r="J63" s="576"/>
      <c r="K63" s="576"/>
      <c r="L63" s="576"/>
      <c r="M63" s="576"/>
      <c r="N63" s="576"/>
      <c r="O63" s="576"/>
      <c r="P63" s="576"/>
      <c r="Q63" s="576"/>
      <c r="R63" s="577"/>
      <c r="S63" s="578"/>
      <c r="T63" s="576"/>
      <c r="U63" s="576"/>
      <c r="V63" s="576"/>
      <c r="W63" s="576"/>
      <c r="X63" s="576"/>
      <c r="Y63" s="576"/>
      <c r="Z63" s="576"/>
      <c r="AA63" s="576"/>
      <c r="AB63" s="576"/>
      <c r="AC63" s="576"/>
      <c r="AD63" s="579"/>
      <c r="AE63" s="580"/>
      <c r="AF63" s="576"/>
      <c r="AG63" s="576"/>
      <c r="AH63" s="579"/>
      <c r="AK63" s="617">
        <f t="shared" si="18"/>
        <v>0</v>
      </c>
    </row>
    <row r="64" spans="1:37" s="569" customFormat="1">
      <c r="A64" s="592" t="s">
        <v>58</v>
      </c>
      <c r="B64" s="593" t="str">
        <f>PLANILHA!D65</f>
        <v>PINTURA</v>
      </c>
      <c r="C64" s="594"/>
      <c r="D64" s="589"/>
      <c r="E64" s="589"/>
      <c r="F64" s="595">
        <f t="shared" ref="F64:F69" si="65">VLOOKUP(A64,PLANILHA,$G$6,0)</f>
        <v>0</v>
      </c>
      <c r="G64" s="596"/>
      <c r="H64" s="597"/>
      <c r="I64" s="597"/>
      <c r="J64" s="597"/>
      <c r="K64" s="597"/>
      <c r="L64" s="597"/>
      <c r="M64" s="597"/>
      <c r="N64" s="597"/>
      <c r="O64" s="597"/>
      <c r="P64" s="597"/>
      <c r="Q64" s="597"/>
      <c r="R64" s="598"/>
      <c r="S64" s="599"/>
      <c r="T64" s="597"/>
      <c r="U64" s="597"/>
      <c r="V64" s="597"/>
      <c r="W64" s="597"/>
      <c r="X64" s="597"/>
      <c r="Y64" s="597"/>
      <c r="Z64" s="597"/>
      <c r="AA64" s="597"/>
      <c r="AB64" s="597"/>
      <c r="AC64" s="597"/>
      <c r="AD64" s="600"/>
      <c r="AE64" s="596"/>
      <c r="AF64" s="597"/>
      <c r="AG64" s="576"/>
      <c r="AH64" s="579"/>
      <c r="AI64" s="568"/>
      <c r="AK64" s="617">
        <f t="shared" si="18"/>
        <v>0</v>
      </c>
    </row>
    <row r="65" spans="1:37" ht="30">
      <c r="A65" s="570" t="s">
        <v>7094</v>
      </c>
      <c r="B65" s="571" t="str">
        <f>PLANILHA!D66</f>
        <v>APLICAÇÃO DE FUNDO SELADOR ACRÍLICO EM PAREDES, UMA DEMÃO. AF_06/2014</v>
      </c>
      <c r="C65" s="572" t="str">
        <f>PLANILHA!E66</f>
        <v>M2</v>
      </c>
      <c r="D65" s="573">
        <f>PLANILHA!F66</f>
        <v>372.1576</v>
      </c>
      <c r="E65" s="573">
        <f>VLOOKUP(A65,PLANILHA,$G$7,0)</f>
        <v>2.2000000000000002</v>
      </c>
      <c r="F65" s="574">
        <f t="shared" si="65"/>
        <v>818.74</v>
      </c>
      <c r="G65" s="580"/>
      <c r="H65" s="576">
        <f>G65*$E65</f>
        <v>0</v>
      </c>
      <c r="I65" s="576"/>
      <c r="J65" s="576">
        <f>I65*$E65</f>
        <v>0</v>
      </c>
      <c r="K65" s="576"/>
      <c r="L65" s="576">
        <f>K65*$E65</f>
        <v>0</v>
      </c>
      <c r="M65" s="576"/>
      <c r="N65" s="576">
        <f>M65*$E65</f>
        <v>0</v>
      </c>
      <c r="O65" s="576"/>
      <c r="P65" s="576">
        <f>O65*$E65</f>
        <v>0</v>
      </c>
      <c r="Q65" s="576"/>
      <c r="R65" s="577">
        <f>Q65*$E65</f>
        <v>0</v>
      </c>
      <c r="S65" s="578"/>
      <c r="T65" s="576">
        <f>S65*$E65</f>
        <v>0</v>
      </c>
      <c r="U65" s="576">
        <f>D65</f>
        <v>372.1576</v>
      </c>
      <c r="V65" s="576">
        <f>TRUNC(U65*$E65,2)</f>
        <v>818.74</v>
      </c>
      <c r="W65" s="576"/>
      <c r="X65" s="576">
        <f>W65*$E65</f>
        <v>0</v>
      </c>
      <c r="Y65" s="576"/>
      <c r="Z65" s="576">
        <f>Y65*$E65</f>
        <v>0</v>
      </c>
      <c r="AA65" s="576"/>
      <c r="AB65" s="576">
        <f>AA65*$E65</f>
        <v>0</v>
      </c>
      <c r="AC65" s="576"/>
      <c r="AD65" s="579">
        <f>AC65*$E65</f>
        <v>0</v>
      </c>
      <c r="AE65" s="580">
        <f>AC65+AA65+Y65+W65+U65+S65+Q65+O65+M65+K65+I65+G65</f>
        <v>372.1576</v>
      </c>
      <c r="AF65" s="576">
        <f t="shared" ref="AF65:AF68" si="66">TRUNC(AE65*E65,2)</f>
        <v>818.74</v>
      </c>
      <c r="AG65" s="576">
        <f>D65-AE65</f>
        <v>0</v>
      </c>
      <c r="AH65" s="579">
        <f>AG65*E65</f>
        <v>0</v>
      </c>
      <c r="AK65" s="617">
        <f t="shared" si="18"/>
        <v>0</v>
      </c>
    </row>
    <row r="66" spans="1:37" ht="30">
      <c r="A66" s="570" t="s">
        <v>7095</v>
      </c>
      <c r="B66" s="571" t="str">
        <f>PLANILHA!D67</f>
        <v>APLICAÇÃO E LIXAMENTO DE MASSA LÁTEX EM PAREDES, DUAS DEMÃOS. AF_06/2014</v>
      </c>
      <c r="C66" s="572" t="str">
        <f>PLANILHA!E67</f>
        <v>M2</v>
      </c>
      <c r="D66" s="573">
        <f>PLANILHA!F67</f>
        <v>372.1576</v>
      </c>
      <c r="E66" s="573">
        <f>VLOOKUP(A66,PLANILHA,$G$7,0)</f>
        <v>17.23</v>
      </c>
      <c r="F66" s="574">
        <f t="shared" si="65"/>
        <v>6412.27</v>
      </c>
      <c r="G66" s="580"/>
      <c r="H66" s="576">
        <f>G66*$E66</f>
        <v>0</v>
      </c>
      <c r="I66" s="576"/>
      <c r="J66" s="576">
        <f>I66*$E66</f>
        <v>0</v>
      </c>
      <c r="K66" s="576"/>
      <c r="L66" s="576">
        <f>K66*$E66</f>
        <v>0</v>
      </c>
      <c r="M66" s="576"/>
      <c r="N66" s="576">
        <f>M66*$E66</f>
        <v>0</v>
      </c>
      <c r="O66" s="576"/>
      <c r="P66" s="576">
        <f>O66*$E66</f>
        <v>0</v>
      </c>
      <c r="Q66" s="576"/>
      <c r="R66" s="577">
        <f>Q66*$E66</f>
        <v>0</v>
      </c>
      <c r="S66" s="578"/>
      <c r="T66" s="576">
        <f>S66*$E66</f>
        <v>0</v>
      </c>
      <c r="U66" s="576">
        <f>D66</f>
        <v>372.1576</v>
      </c>
      <c r="V66" s="576">
        <f t="shared" ref="V66:V68" si="67">TRUNC(U66*$E66,2)</f>
        <v>6412.27</v>
      </c>
      <c r="W66" s="576"/>
      <c r="X66" s="576">
        <f>W66*$E66</f>
        <v>0</v>
      </c>
      <c r="Y66" s="576"/>
      <c r="Z66" s="576">
        <f>Y66*$E66</f>
        <v>0</v>
      </c>
      <c r="AA66" s="576"/>
      <c r="AB66" s="576">
        <f>AA66*$E66</f>
        <v>0</v>
      </c>
      <c r="AC66" s="576"/>
      <c r="AD66" s="579">
        <f>AC66*$E66</f>
        <v>0</v>
      </c>
      <c r="AE66" s="580">
        <f>AC66+AA66+Y66+W66+U66+S66+Q66+O66+M66+K66+I66+G66</f>
        <v>372.1576</v>
      </c>
      <c r="AF66" s="576">
        <f t="shared" si="66"/>
        <v>6412.27</v>
      </c>
      <c r="AG66" s="576">
        <f>D66-AE66</f>
        <v>0</v>
      </c>
      <c r="AH66" s="579">
        <f>AG66*E66</f>
        <v>0</v>
      </c>
      <c r="AK66" s="617">
        <f t="shared" si="18"/>
        <v>0</v>
      </c>
    </row>
    <row r="67" spans="1:37" ht="30">
      <c r="A67" s="570" t="s">
        <v>7096</v>
      </c>
      <c r="B67" s="571" t="str">
        <f>PLANILHA!D68</f>
        <v>APLICAÇÃO MANUAL DE PINTURA COM TINTA LÁTEX ACRÍLICA EM PAREDES, DUAS DEMÃOS. AF_06/2014</v>
      </c>
      <c r="C67" s="572" t="str">
        <f>PLANILHA!E68</f>
        <v>M2</v>
      </c>
      <c r="D67" s="573">
        <f>PLANILHA!F68</f>
        <v>372.1576</v>
      </c>
      <c r="E67" s="573">
        <f>VLOOKUP(A67,PLANILHA,$G$7,0)</f>
        <v>15.51</v>
      </c>
      <c r="F67" s="574">
        <f t="shared" si="65"/>
        <v>5772.16</v>
      </c>
      <c r="G67" s="580"/>
      <c r="H67" s="576">
        <f>G67*$E67</f>
        <v>0</v>
      </c>
      <c r="I67" s="576"/>
      <c r="J67" s="576">
        <f>I67*$E67</f>
        <v>0</v>
      </c>
      <c r="K67" s="576"/>
      <c r="L67" s="576">
        <f>K67*$E67</f>
        <v>0</v>
      </c>
      <c r="M67" s="576"/>
      <c r="N67" s="576">
        <f>M67*$E67</f>
        <v>0</v>
      </c>
      <c r="O67" s="576"/>
      <c r="P67" s="576">
        <f>O67*$E67</f>
        <v>0</v>
      </c>
      <c r="Q67" s="576"/>
      <c r="R67" s="577">
        <f>Q67*$E67</f>
        <v>0</v>
      </c>
      <c r="S67" s="578"/>
      <c r="T67" s="576">
        <f>S67*$E67</f>
        <v>0</v>
      </c>
      <c r="U67" s="576">
        <f>D67</f>
        <v>372.1576</v>
      </c>
      <c r="V67" s="576">
        <f t="shared" si="67"/>
        <v>5772.16</v>
      </c>
      <c r="W67" s="576"/>
      <c r="X67" s="576">
        <f>W67*$E67</f>
        <v>0</v>
      </c>
      <c r="Y67" s="576"/>
      <c r="Z67" s="576">
        <f>Y67*$E67</f>
        <v>0</v>
      </c>
      <c r="AA67" s="576"/>
      <c r="AB67" s="576">
        <f>AA67*$E67</f>
        <v>0</v>
      </c>
      <c r="AC67" s="576"/>
      <c r="AD67" s="579">
        <f>AC67*$E67</f>
        <v>0</v>
      </c>
      <c r="AE67" s="580">
        <f>AC67+AA67+Y67+W67+U67+S67+Q67+O67+M67+K67+I67+G67</f>
        <v>372.1576</v>
      </c>
      <c r="AF67" s="576">
        <f t="shared" si="66"/>
        <v>5772.16</v>
      </c>
      <c r="AG67" s="576">
        <f>D67-AE67</f>
        <v>0</v>
      </c>
      <c r="AH67" s="579">
        <f>AG67*E67</f>
        <v>0</v>
      </c>
      <c r="AK67" s="617">
        <f t="shared" si="18"/>
        <v>0</v>
      </c>
    </row>
    <row r="68" spans="1:37" ht="75">
      <c r="A68" s="570" t="s">
        <v>14264</v>
      </c>
      <c r="B68" s="571" t="str">
        <f>PLANILHA!D69</f>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
      <c r="C68" s="572" t="str">
        <f>PLANILHA!E69</f>
        <v>M²</v>
      </c>
      <c r="D68" s="573">
        <f>PLANILHA!F69</f>
        <v>72.8</v>
      </c>
      <c r="E68" s="573">
        <f>VLOOKUP(A68,PLANILHA,$G$7,0)</f>
        <v>141.94999999999999</v>
      </c>
      <c r="F68" s="574">
        <f t="shared" si="65"/>
        <v>10333.959999999999</v>
      </c>
      <c r="G68" s="580"/>
      <c r="H68" s="576">
        <f>G68*$E68</f>
        <v>0</v>
      </c>
      <c r="I68" s="576"/>
      <c r="J68" s="576">
        <f>I68*$E68</f>
        <v>0</v>
      </c>
      <c r="K68" s="576"/>
      <c r="L68" s="576">
        <f>K68*$E68</f>
        <v>0</v>
      </c>
      <c r="M68" s="576"/>
      <c r="N68" s="576">
        <f>M68*$E68</f>
        <v>0</v>
      </c>
      <c r="O68" s="576"/>
      <c r="P68" s="576">
        <f>O68*$E68</f>
        <v>0</v>
      </c>
      <c r="Q68" s="576"/>
      <c r="R68" s="577">
        <f>Q68*$E68</f>
        <v>0</v>
      </c>
      <c r="S68" s="578"/>
      <c r="T68" s="576">
        <f>S68*$E68</f>
        <v>0</v>
      </c>
      <c r="U68" s="576">
        <f>D68</f>
        <v>72.8</v>
      </c>
      <c r="V68" s="576">
        <f t="shared" si="67"/>
        <v>10333.959999999999</v>
      </c>
      <c r="W68" s="576"/>
      <c r="X68" s="576">
        <f>W68*$E68</f>
        <v>0</v>
      </c>
      <c r="Y68" s="576"/>
      <c r="Z68" s="576">
        <f>Y68*$E68</f>
        <v>0</v>
      </c>
      <c r="AA68" s="576"/>
      <c r="AB68" s="576">
        <f>AA68*$E68</f>
        <v>0</v>
      </c>
      <c r="AC68" s="576"/>
      <c r="AD68" s="579">
        <f>AC68*$E68</f>
        <v>0</v>
      </c>
      <c r="AE68" s="580">
        <f>AC68+AA68+Y68+W68+U68+S68+Q68+O68+M68+K68+I68+G68</f>
        <v>72.8</v>
      </c>
      <c r="AF68" s="576">
        <f t="shared" si="66"/>
        <v>10333.959999999999</v>
      </c>
      <c r="AG68" s="576">
        <f>D68-AE68</f>
        <v>0</v>
      </c>
      <c r="AH68" s="579">
        <f>AG68*E68</f>
        <v>0</v>
      </c>
      <c r="AK68" s="617">
        <f t="shared" si="18"/>
        <v>0</v>
      </c>
    </row>
    <row r="69" spans="1:37" s="569" customFormat="1">
      <c r="A69" s="581" t="s">
        <v>27213</v>
      </c>
      <c r="B69" s="582"/>
      <c r="C69" s="583"/>
      <c r="D69" s="584"/>
      <c r="E69" s="584"/>
      <c r="F69" s="585">
        <f t="shared" si="65"/>
        <v>23337.129999999997</v>
      </c>
      <c r="G69" s="586"/>
      <c r="H69" s="584">
        <f>SUM(H65:H68)</f>
        <v>0</v>
      </c>
      <c r="I69" s="584"/>
      <c r="J69" s="584">
        <f>SUM(J65:J68)</f>
        <v>0</v>
      </c>
      <c r="K69" s="584"/>
      <c r="L69" s="584">
        <f>SUM(L65:L68)</f>
        <v>0</v>
      </c>
      <c r="M69" s="584"/>
      <c r="N69" s="584">
        <f>SUM(N65:N68)</f>
        <v>0</v>
      </c>
      <c r="O69" s="584"/>
      <c r="P69" s="584">
        <f>SUM(P65:P68)</f>
        <v>0</v>
      </c>
      <c r="Q69" s="584"/>
      <c r="R69" s="587">
        <f>SUM(R65:R68)</f>
        <v>0</v>
      </c>
      <c r="S69" s="588"/>
      <c r="T69" s="584">
        <f>SUM(T65:T68)</f>
        <v>0</v>
      </c>
      <c r="U69" s="584"/>
      <c r="V69" s="584">
        <f>SUM(V65:V68)</f>
        <v>23337.129999999997</v>
      </c>
      <c r="W69" s="584"/>
      <c r="X69" s="584">
        <f>SUM(X65:X68)</f>
        <v>0</v>
      </c>
      <c r="Y69" s="584"/>
      <c r="Z69" s="584">
        <f>SUM(Z65:Z68)</f>
        <v>0</v>
      </c>
      <c r="AA69" s="584"/>
      <c r="AB69" s="584">
        <f>SUM(AB65:AB68)</f>
        <v>0</v>
      </c>
      <c r="AC69" s="584"/>
      <c r="AD69" s="585">
        <f>SUM(AD65:AD68)</f>
        <v>0</v>
      </c>
      <c r="AE69" s="590"/>
      <c r="AF69" s="584">
        <f>SUM(AF65:AF68)</f>
        <v>23337.129999999997</v>
      </c>
      <c r="AG69" s="591"/>
      <c r="AH69" s="585">
        <f>SUM(AH65:AH68)</f>
        <v>0</v>
      </c>
      <c r="AI69" s="568"/>
      <c r="AK69" s="617">
        <f t="shared" si="18"/>
        <v>0</v>
      </c>
    </row>
    <row r="70" spans="1:37">
      <c r="A70" s="570"/>
      <c r="B70" s="571"/>
      <c r="C70" s="572"/>
      <c r="D70" s="573"/>
      <c r="E70" s="573"/>
      <c r="F70" s="574"/>
      <c r="G70" s="580"/>
      <c r="H70" s="576"/>
      <c r="I70" s="576"/>
      <c r="J70" s="576"/>
      <c r="K70" s="576"/>
      <c r="L70" s="576"/>
      <c r="M70" s="576"/>
      <c r="N70" s="576"/>
      <c r="O70" s="576"/>
      <c r="P70" s="576"/>
      <c r="Q70" s="576"/>
      <c r="R70" s="577"/>
      <c r="S70" s="578"/>
      <c r="T70" s="576"/>
      <c r="U70" s="576"/>
      <c r="V70" s="576"/>
      <c r="W70" s="576"/>
      <c r="X70" s="576"/>
      <c r="Y70" s="576"/>
      <c r="Z70" s="576"/>
      <c r="AA70" s="576"/>
      <c r="AB70" s="576"/>
      <c r="AC70" s="576"/>
      <c r="AD70" s="579"/>
      <c r="AE70" s="580"/>
      <c r="AF70" s="576"/>
      <c r="AG70" s="576"/>
      <c r="AH70" s="579"/>
      <c r="AK70" s="617">
        <f t="shared" si="18"/>
        <v>0</v>
      </c>
    </row>
    <row r="71" spans="1:37" s="569" customFormat="1">
      <c r="A71" s="592" t="s">
        <v>13834</v>
      </c>
      <c r="B71" s="593" t="str">
        <f>PLANILHA!D72</f>
        <v>PORTAS</v>
      </c>
      <c r="C71" s="594"/>
      <c r="D71" s="589"/>
      <c r="E71" s="589"/>
      <c r="F71" s="595">
        <f>VLOOKUP(A71,PLANILHA,$G$6,0)</f>
        <v>0</v>
      </c>
      <c r="G71" s="596"/>
      <c r="H71" s="597"/>
      <c r="I71" s="597"/>
      <c r="J71" s="597"/>
      <c r="K71" s="597"/>
      <c r="L71" s="597"/>
      <c r="M71" s="597"/>
      <c r="N71" s="597"/>
      <c r="O71" s="597"/>
      <c r="P71" s="597"/>
      <c r="Q71" s="597"/>
      <c r="R71" s="598"/>
      <c r="S71" s="599"/>
      <c r="T71" s="597"/>
      <c r="U71" s="597"/>
      <c r="V71" s="597"/>
      <c r="W71" s="597"/>
      <c r="X71" s="597"/>
      <c r="Y71" s="597"/>
      <c r="Z71" s="597"/>
      <c r="AA71" s="597"/>
      <c r="AB71" s="597"/>
      <c r="AC71" s="597"/>
      <c r="AD71" s="600"/>
      <c r="AE71" s="596"/>
      <c r="AF71" s="597"/>
      <c r="AG71" s="576"/>
      <c r="AH71" s="579"/>
      <c r="AI71" s="568"/>
      <c r="AK71" s="617">
        <f t="shared" si="18"/>
        <v>0</v>
      </c>
    </row>
    <row r="72" spans="1:37" ht="60">
      <c r="A72" s="570" t="s">
        <v>13835</v>
      </c>
      <c r="B72" s="571" t="str">
        <f>PLANILHA!D73</f>
        <v>KIT PORTA PRONTA PRETA LISA SÓLIDA PORMADE O,80X2,10,ACABAMENTO DE COR UNIFORME, MARCOS E ALIZARES EM PVC WOOD, RESISTENTES A ESTUFAMENTOS. FORNECIMENTO E INSTALAÇÃO.</v>
      </c>
      <c r="C72" s="572" t="str">
        <f>PLANILHA!E73</f>
        <v>UND</v>
      </c>
      <c r="D72" s="573">
        <f>PLANILHA!F73</f>
        <v>4</v>
      </c>
      <c r="E72" s="573">
        <f>VLOOKUP(A72,PLANILHA,$G$7,0)</f>
        <v>3111.29</v>
      </c>
      <c r="F72" s="574">
        <f>VLOOKUP(A72,PLANILHA,$G$6,0)</f>
        <v>12445.16</v>
      </c>
      <c r="G72" s="580"/>
      <c r="H72" s="576">
        <f>G72*$E72</f>
        <v>0</v>
      </c>
      <c r="I72" s="576"/>
      <c r="J72" s="576">
        <f>I72*$E72</f>
        <v>0</v>
      </c>
      <c r="K72" s="576"/>
      <c r="L72" s="576">
        <f>K72*$E72</f>
        <v>0</v>
      </c>
      <c r="M72" s="576"/>
      <c r="N72" s="576">
        <f>M72*$E72</f>
        <v>0</v>
      </c>
      <c r="O72" s="576"/>
      <c r="P72" s="576">
        <f>O72*$E72</f>
        <v>0</v>
      </c>
      <c r="Q72" s="576"/>
      <c r="R72" s="577">
        <f>Q72*$E72</f>
        <v>0</v>
      </c>
      <c r="S72" s="578">
        <f>D72</f>
        <v>4</v>
      </c>
      <c r="T72" s="576">
        <f t="shared" ref="T72:T74" si="68">TRUNC(S72*$E72,2)</f>
        <v>12445.16</v>
      </c>
      <c r="U72" s="576"/>
      <c r="V72" s="576">
        <f>U72*$E72</f>
        <v>0</v>
      </c>
      <c r="W72" s="576"/>
      <c r="X72" s="576">
        <f>W72*$E72</f>
        <v>0</v>
      </c>
      <c r="Y72" s="576"/>
      <c r="Z72" s="576">
        <f>Y72*$E72</f>
        <v>0</v>
      </c>
      <c r="AA72" s="576"/>
      <c r="AB72" s="576">
        <f>AA72*$E72</f>
        <v>0</v>
      </c>
      <c r="AC72" s="576"/>
      <c r="AD72" s="579">
        <f>AC72*$E72</f>
        <v>0</v>
      </c>
      <c r="AE72" s="580">
        <f>AC72+AA72+Y72+W72+U72+S72+Q72+O72+M72+K72+I72+G72</f>
        <v>4</v>
      </c>
      <c r="AF72" s="576">
        <f t="shared" ref="AF72:AF74" si="69">TRUNC(AE72*E72,2)</f>
        <v>12445.16</v>
      </c>
      <c r="AG72" s="576">
        <f>D72-AE72</f>
        <v>0</v>
      </c>
      <c r="AH72" s="579">
        <f>AG72*E72</f>
        <v>0</v>
      </c>
      <c r="AK72" s="617">
        <f t="shared" si="18"/>
        <v>0</v>
      </c>
    </row>
    <row r="73" spans="1:37" ht="45">
      <c r="A73" s="570" t="s">
        <v>13836</v>
      </c>
      <c r="B73" s="571" t="str">
        <f>PLANILHA!D74</f>
        <v>PORTA DE ALUMÍNIO DE ABRIR COM LAMBRI, 2 FOLHAS, 2,00x2,10 COM GUARNIÇÃO, FIXAÇÃO COM PARAFUSOS - FORNECIMENTO E INSTALAÇÃO. AF_12/2019</v>
      </c>
      <c r="C73" s="572" t="str">
        <f>PLANILHA!E74</f>
        <v>UND</v>
      </c>
      <c r="D73" s="573">
        <f>PLANILHA!F74</f>
        <v>1</v>
      </c>
      <c r="E73" s="573">
        <f>VLOOKUP(A73,PLANILHA,$G$7,0)</f>
        <v>3256.81</v>
      </c>
      <c r="F73" s="574">
        <f>VLOOKUP(A73,PLANILHA,$G$6,0)</f>
        <v>3256.81</v>
      </c>
      <c r="G73" s="580"/>
      <c r="H73" s="576">
        <f>G73*$E73</f>
        <v>0</v>
      </c>
      <c r="I73" s="576"/>
      <c r="J73" s="576">
        <f>I73*$E73</f>
        <v>0</v>
      </c>
      <c r="K73" s="576"/>
      <c r="L73" s="576">
        <f>K73*$E73</f>
        <v>0</v>
      </c>
      <c r="M73" s="576"/>
      <c r="N73" s="576">
        <f>M73*$E73</f>
        <v>0</v>
      </c>
      <c r="O73" s="576"/>
      <c r="P73" s="576">
        <f>O73*$E73</f>
        <v>0</v>
      </c>
      <c r="Q73" s="576"/>
      <c r="R73" s="577">
        <f>Q73*$E73</f>
        <v>0</v>
      </c>
      <c r="S73" s="578">
        <f>D73</f>
        <v>1</v>
      </c>
      <c r="T73" s="576">
        <f t="shared" si="68"/>
        <v>3256.81</v>
      </c>
      <c r="U73" s="576"/>
      <c r="V73" s="576">
        <f>U73*$E73</f>
        <v>0</v>
      </c>
      <c r="W73" s="576"/>
      <c r="X73" s="576">
        <f>W73*$E73</f>
        <v>0</v>
      </c>
      <c r="Y73" s="576"/>
      <c r="Z73" s="576">
        <f>Y73*$E73</f>
        <v>0</v>
      </c>
      <c r="AA73" s="576"/>
      <c r="AB73" s="576">
        <f>AA73*$E73</f>
        <v>0</v>
      </c>
      <c r="AC73" s="576"/>
      <c r="AD73" s="579">
        <f>AC73*$E73</f>
        <v>0</v>
      </c>
      <c r="AE73" s="580">
        <f>AC73+AA73+Y73+W73+U73+S73+Q73+O73+M73+K73+I73+G73</f>
        <v>1</v>
      </c>
      <c r="AF73" s="576">
        <f t="shared" si="69"/>
        <v>3256.81</v>
      </c>
      <c r="AG73" s="576">
        <f>D73-AE73</f>
        <v>0</v>
      </c>
      <c r="AH73" s="579">
        <f>AG73*E73</f>
        <v>0</v>
      </c>
      <c r="AK73" s="617">
        <f t="shared" si="18"/>
        <v>0</v>
      </c>
    </row>
    <row r="74" spans="1:37" ht="30">
      <c r="A74" s="570" t="s">
        <v>13837</v>
      </c>
      <c r="B74" s="571" t="str">
        <f>PLANILHA!D75</f>
        <v>PORTA DE ALUMÍNIO DE CORRER, 4 FOLHAS, 2,00x2,10 COM GUARNIÇÃO,  FECHADURA E PUXADOR, SEM ALIZAR. AF_12/2019</v>
      </c>
      <c r="C74" s="572" t="str">
        <f>PLANILHA!E75</f>
        <v>UND</v>
      </c>
      <c r="D74" s="573">
        <f>PLANILHA!F75</f>
        <v>1</v>
      </c>
      <c r="E74" s="573">
        <f>VLOOKUP(A74,PLANILHA,$G$7,0)</f>
        <v>2978.94</v>
      </c>
      <c r="F74" s="574">
        <f>VLOOKUP(A74,PLANILHA,$G$6,0)</f>
        <v>2978.94</v>
      </c>
      <c r="G74" s="580"/>
      <c r="H74" s="576">
        <f>G74*$E74</f>
        <v>0</v>
      </c>
      <c r="I74" s="576"/>
      <c r="J74" s="576">
        <f>I74*$E74</f>
        <v>0</v>
      </c>
      <c r="K74" s="576"/>
      <c r="L74" s="576">
        <f>K74*$E74</f>
        <v>0</v>
      </c>
      <c r="M74" s="576"/>
      <c r="N74" s="576">
        <f>M74*$E74</f>
        <v>0</v>
      </c>
      <c r="O74" s="576"/>
      <c r="P74" s="576">
        <f>O74*$E74</f>
        <v>0</v>
      </c>
      <c r="Q74" s="576"/>
      <c r="R74" s="577">
        <f>Q74*$E74</f>
        <v>0</v>
      </c>
      <c r="S74" s="578">
        <f>D74</f>
        <v>1</v>
      </c>
      <c r="T74" s="576">
        <f t="shared" si="68"/>
        <v>2978.94</v>
      </c>
      <c r="U74" s="576"/>
      <c r="V74" s="576">
        <f>U74*$E74</f>
        <v>0</v>
      </c>
      <c r="W74" s="576"/>
      <c r="X74" s="576">
        <f>W74*$E74</f>
        <v>0</v>
      </c>
      <c r="Y74" s="576"/>
      <c r="Z74" s="576">
        <f>Y74*$E74</f>
        <v>0</v>
      </c>
      <c r="AA74" s="576"/>
      <c r="AB74" s="576">
        <f>AA74*$E74</f>
        <v>0</v>
      </c>
      <c r="AC74" s="576"/>
      <c r="AD74" s="579">
        <f>AC74*$E74</f>
        <v>0</v>
      </c>
      <c r="AE74" s="580">
        <f>AC74+AA74+Y74+W74+U74+S74+Q74+O74+M74+K74+I74+G74</f>
        <v>1</v>
      </c>
      <c r="AF74" s="576">
        <f t="shared" si="69"/>
        <v>2978.94</v>
      </c>
      <c r="AG74" s="576">
        <f>D74-AE74</f>
        <v>0</v>
      </c>
      <c r="AH74" s="579">
        <f>AG74*E74</f>
        <v>0</v>
      </c>
      <c r="AK74" s="617">
        <f t="shared" si="18"/>
        <v>0</v>
      </c>
    </row>
    <row r="75" spans="1:37" s="569" customFormat="1">
      <c r="A75" s="581" t="s">
        <v>27214</v>
      </c>
      <c r="B75" s="582"/>
      <c r="C75" s="583"/>
      <c r="D75" s="584"/>
      <c r="E75" s="584"/>
      <c r="F75" s="585">
        <f>VLOOKUP(A75,PLANILHA,$G$6,0)</f>
        <v>18680.91</v>
      </c>
      <c r="G75" s="586"/>
      <c r="H75" s="584">
        <f>SUM(H72:H74)</f>
        <v>0</v>
      </c>
      <c r="I75" s="584"/>
      <c r="J75" s="584">
        <f>SUM(J72:J74)</f>
        <v>0</v>
      </c>
      <c r="K75" s="584"/>
      <c r="L75" s="584">
        <f>SUM(L72:L74)</f>
        <v>0</v>
      </c>
      <c r="M75" s="584"/>
      <c r="N75" s="584">
        <f>SUM(N72:N74)</f>
        <v>0</v>
      </c>
      <c r="O75" s="584"/>
      <c r="P75" s="584">
        <f>SUM(P72:P74)</f>
        <v>0</v>
      </c>
      <c r="Q75" s="584"/>
      <c r="R75" s="587">
        <f>SUM(R72:R74)</f>
        <v>0</v>
      </c>
      <c r="S75" s="588"/>
      <c r="T75" s="584">
        <f>SUM(T72:T74)</f>
        <v>18680.91</v>
      </c>
      <c r="U75" s="584"/>
      <c r="V75" s="584">
        <f>SUM(V72:V74)</f>
        <v>0</v>
      </c>
      <c r="W75" s="584"/>
      <c r="X75" s="584">
        <f>SUM(X72:X74)</f>
        <v>0</v>
      </c>
      <c r="Y75" s="584"/>
      <c r="Z75" s="584">
        <f>SUM(Z72:Z74)</f>
        <v>0</v>
      </c>
      <c r="AA75" s="584"/>
      <c r="AB75" s="584">
        <f>SUM(AB72:AB74)</f>
        <v>0</v>
      </c>
      <c r="AC75" s="584"/>
      <c r="AD75" s="585">
        <f>SUM(AD72:AD74)</f>
        <v>0</v>
      </c>
      <c r="AE75" s="590"/>
      <c r="AF75" s="584">
        <f>SUM(AF72:AF74)</f>
        <v>18680.91</v>
      </c>
      <c r="AG75" s="591"/>
      <c r="AH75" s="585">
        <f>SUM(AH72:AH74)</f>
        <v>0</v>
      </c>
      <c r="AI75" s="568"/>
      <c r="AK75" s="617">
        <f t="shared" si="18"/>
        <v>0</v>
      </c>
    </row>
    <row r="76" spans="1:37">
      <c r="A76" s="570"/>
      <c r="B76" s="571"/>
      <c r="C76" s="572"/>
      <c r="D76" s="573"/>
      <c r="E76" s="573"/>
      <c r="F76" s="574"/>
      <c r="G76" s="580"/>
      <c r="H76" s="576"/>
      <c r="I76" s="576"/>
      <c r="J76" s="576"/>
      <c r="K76" s="576"/>
      <c r="L76" s="576"/>
      <c r="M76" s="576"/>
      <c r="N76" s="576"/>
      <c r="O76" s="576"/>
      <c r="P76" s="576"/>
      <c r="Q76" s="576"/>
      <c r="R76" s="577"/>
      <c r="S76" s="578"/>
      <c r="T76" s="576"/>
      <c r="U76" s="576"/>
      <c r="V76" s="576"/>
      <c r="W76" s="576"/>
      <c r="X76" s="576"/>
      <c r="Y76" s="576"/>
      <c r="Z76" s="576"/>
      <c r="AA76" s="576"/>
      <c r="AB76" s="576"/>
      <c r="AC76" s="576"/>
      <c r="AD76" s="579"/>
      <c r="AE76" s="580"/>
      <c r="AF76" s="576"/>
      <c r="AG76" s="576"/>
      <c r="AH76" s="579"/>
      <c r="AK76" s="617">
        <f t="shared" si="18"/>
        <v>0</v>
      </c>
    </row>
    <row r="77" spans="1:37">
      <c r="A77" s="570" t="s">
        <v>14265</v>
      </c>
      <c r="B77" s="571" t="str">
        <f>PLANILHA!D78</f>
        <v>JANELAS E VIDROS FIXOS</v>
      </c>
      <c r="C77" s="572"/>
      <c r="D77" s="573"/>
      <c r="E77" s="573"/>
      <c r="F77" s="574">
        <f t="shared" ref="F77:F85" si="70">VLOOKUP(A77,PLANILHA,$G$6,0)</f>
        <v>0</v>
      </c>
      <c r="G77" s="580"/>
      <c r="H77" s="576"/>
      <c r="I77" s="576"/>
      <c r="J77" s="576"/>
      <c r="K77" s="576"/>
      <c r="L77" s="576"/>
      <c r="M77" s="576"/>
      <c r="N77" s="576"/>
      <c r="O77" s="576"/>
      <c r="P77" s="576"/>
      <c r="Q77" s="576"/>
      <c r="R77" s="577"/>
      <c r="S77" s="578"/>
      <c r="T77" s="576"/>
      <c r="U77" s="576"/>
      <c r="V77" s="576"/>
      <c r="W77" s="576"/>
      <c r="X77" s="576"/>
      <c r="Y77" s="576"/>
      <c r="Z77" s="576"/>
      <c r="AA77" s="576"/>
      <c r="AB77" s="576"/>
      <c r="AC77" s="576"/>
      <c r="AD77" s="579"/>
      <c r="AE77" s="580"/>
      <c r="AF77" s="576"/>
      <c r="AG77" s="576"/>
      <c r="AH77" s="579"/>
      <c r="AK77" s="617">
        <f t="shared" si="18"/>
        <v>0</v>
      </c>
    </row>
    <row r="78" spans="1:37" ht="30">
      <c r="A78" s="570" t="s">
        <v>14266</v>
      </c>
      <c r="B78" s="571" t="str">
        <f>PLANILHA!D79</f>
        <v>J10 (E.G) - JANELA MAXIN AR 6,15 x 1,35 (6 JANELAS DE 1,02). FORNECIMENTO E INSTALAÇÃO.</v>
      </c>
      <c r="C78" s="572" t="str">
        <f>PLANILHA!E79</f>
        <v>und</v>
      </c>
      <c r="D78" s="573">
        <f>PLANILHA!F79</f>
        <v>1</v>
      </c>
      <c r="E78" s="573">
        <f t="shared" ref="E78:E85" si="71">VLOOKUP(A78,PLANILHA,$G$7,0)</f>
        <v>6161.49</v>
      </c>
      <c r="F78" s="574">
        <f t="shared" si="70"/>
        <v>6161.49</v>
      </c>
      <c r="G78" s="580"/>
      <c r="H78" s="576">
        <f t="shared" ref="H78:H85" si="72">G78*$E78</f>
        <v>0</v>
      </c>
      <c r="I78" s="576"/>
      <c r="J78" s="576">
        <f t="shared" ref="J78:J85" si="73">I78*$E78</f>
        <v>0</v>
      </c>
      <c r="K78" s="576"/>
      <c r="L78" s="576">
        <f t="shared" ref="L78:L85" si="74">K78*$E78</f>
        <v>0</v>
      </c>
      <c r="M78" s="576"/>
      <c r="N78" s="576">
        <f t="shared" ref="N78:N85" si="75">M78*$E78</f>
        <v>0</v>
      </c>
      <c r="O78" s="576"/>
      <c r="P78" s="576">
        <f t="shared" ref="P78:P85" si="76">O78*$E78</f>
        <v>0</v>
      </c>
      <c r="Q78" s="576"/>
      <c r="R78" s="577">
        <f t="shared" ref="R78:R85" si="77">Q78*$E78</f>
        <v>0</v>
      </c>
      <c r="S78" s="578">
        <f>D78</f>
        <v>1</v>
      </c>
      <c r="T78" s="576">
        <f t="shared" ref="T78:T85" si="78">TRUNC(S78*$E78,2)</f>
        <v>6161.49</v>
      </c>
      <c r="U78" s="576"/>
      <c r="V78" s="576">
        <f t="shared" ref="V78:V85" si="79">U78*$E78</f>
        <v>0</v>
      </c>
      <c r="W78" s="576"/>
      <c r="X78" s="576">
        <f t="shared" ref="X78:X85" si="80">W78*$E78</f>
        <v>0</v>
      </c>
      <c r="Y78" s="576"/>
      <c r="Z78" s="576">
        <f t="shared" ref="Z78:Z85" si="81">Y78*$E78</f>
        <v>0</v>
      </c>
      <c r="AA78" s="576"/>
      <c r="AB78" s="576">
        <f t="shared" ref="AB78:AB85" si="82">AA78*$E78</f>
        <v>0</v>
      </c>
      <c r="AC78" s="576"/>
      <c r="AD78" s="579">
        <f t="shared" ref="AD78:AD85" si="83">AC78*$E78</f>
        <v>0</v>
      </c>
      <c r="AE78" s="580">
        <f t="shared" ref="AE78:AE85" si="84">AC78+AA78+Y78+W78+U78+S78+Q78+O78+M78+K78+I78+G78</f>
        <v>1</v>
      </c>
      <c r="AF78" s="576">
        <f t="shared" ref="AF78:AF85" si="85">TRUNC(AE78*E78,2)</f>
        <v>6161.49</v>
      </c>
      <c r="AG78" s="576">
        <f t="shared" ref="AG78:AG85" si="86">D78-AE78</f>
        <v>0</v>
      </c>
      <c r="AH78" s="579">
        <f t="shared" ref="AH78:AH85" si="87">AG78*E78</f>
        <v>0</v>
      </c>
      <c r="AK78" s="617">
        <f t="shared" ref="AK78:AK141" si="88">F78-AF78</f>
        <v>0</v>
      </c>
    </row>
    <row r="79" spans="1:37" ht="30">
      <c r="A79" s="570" t="s">
        <v>14267</v>
      </c>
      <c r="B79" s="571" t="str">
        <f>PLANILHA!D80</f>
        <v>J11 (E.G) - JANELA MAXIN AR 3,06 x 1,35 (3 JANELAS DE 1,02). FORNECIMENTO E INSTALAÇÃO.</v>
      </c>
      <c r="C79" s="572" t="str">
        <f>PLANILHA!E80</f>
        <v>und</v>
      </c>
      <c r="D79" s="573">
        <f>PLANILHA!F80</f>
        <v>1</v>
      </c>
      <c r="E79" s="573">
        <f t="shared" si="71"/>
        <v>3586.86</v>
      </c>
      <c r="F79" s="574">
        <f t="shared" si="70"/>
        <v>3586.86</v>
      </c>
      <c r="G79" s="580"/>
      <c r="H79" s="576">
        <f t="shared" si="72"/>
        <v>0</v>
      </c>
      <c r="I79" s="576"/>
      <c r="J79" s="576">
        <f t="shared" si="73"/>
        <v>0</v>
      </c>
      <c r="K79" s="576"/>
      <c r="L79" s="576">
        <f t="shared" si="74"/>
        <v>0</v>
      </c>
      <c r="M79" s="576"/>
      <c r="N79" s="576">
        <f t="shared" si="75"/>
        <v>0</v>
      </c>
      <c r="O79" s="576"/>
      <c r="P79" s="576">
        <f t="shared" si="76"/>
        <v>0</v>
      </c>
      <c r="Q79" s="576"/>
      <c r="R79" s="577">
        <f t="shared" si="77"/>
        <v>0</v>
      </c>
      <c r="S79" s="578">
        <f t="shared" ref="S79:S85" si="89">D79</f>
        <v>1</v>
      </c>
      <c r="T79" s="576">
        <f t="shared" si="78"/>
        <v>3586.86</v>
      </c>
      <c r="U79" s="576"/>
      <c r="V79" s="576">
        <f t="shared" si="79"/>
        <v>0</v>
      </c>
      <c r="W79" s="576"/>
      <c r="X79" s="576">
        <f t="shared" si="80"/>
        <v>0</v>
      </c>
      <c r="Y79" s="576"/>
      <c r="Z79" s="576">
        <f t="shared" si="81"/>
        <v>0</v>
      </c>
      <c r="AA79" s="576"/>
      <c r="AB79" s="576">
        <f t="shared" si="82"/>
        <v>0</v>
      </c>
      <c r="AC79" s="576"/>
      <c r="AD79" s="579">
        <f t="shared" si="83"/>
        <v>0</v>
      </c>
      <c r="AE79" s="580">
        <f t="shared" si="84"/>
        <v>1</v>
      </c>
      <c r="AF79" s="576">
        <f t="shared" si="85"/>
        <v>3586.86</v>
      </c>
      <c r="AG79" s="576">
        <f t="shared" si="86"/>
        <v>0</v>
      </c>
      <c r="AH79" s="579">
        <f t="shared" si="87"/>
        <v>0</v>
      </c>
      <c r="AK79" s="617">
        <f t="shared" si="88"/>
        <v>0</v>
      </c>
    </row>
    <row r="80" spans="1:37" ht="30">
      <c r="A80" s="570" t="s">
        <v>14268</v>
      </c>
      <c r="B80" s="571" t="str">
        <f>PLANILHA!D81</f>
        <v>J12 (E.G) - JANELA MAXIN AR 3,80 x 0,9 (4 JANELAS DE 0,95). FORNECIMENTO E INSTALAÇÃO.</v>
      </c>
      <c r="C80" s="572" t="str">
        <f>PLANILHA!E81</f>
        <v>und</v>
      </c>
      <c r="D80" s="573">
        <f>PLANILHA!F81</f>
        <v>1</v>
      </c>
      <c r="E80" s="573">
        <f t="shared" si="71"/>
        <v>3850.74</v>
      </c>
      <c r="F80" s="574">
        <f t="shared" si="70"/>
        <v>3850.74</v>
      </c>
      <c r="G80" s="580"/>
      <c r="H80" s="576">
        <f t="shared" si="72"/>
        <v>0</v>
      </c>
      <c r="I80" s="576"/>
      <c r="J80" s="576">
        <f t="shared" si="73"/>
        <v>0</v>
      </c>
      <c r="K80" s="576"/>
      <c r="L80" s="576">
        <f t="shared" si="74"/>
        <v>0</v>
      </c>
      <c r="M80" s="576"/>
      <c r="N80" s="576">
        <f t="shared" si="75"/>
        <v>0</v>
      </c>
      <c r="O80" s="576"/>
      <c r="P80" s="576">
        <f t="shared" si="76"/>
        <v>0</v>
      </c>
      <c r="Q80" s="576"/>
      <c r="R80" s="577">
        <f t="shared" si="77"/>
        <v>0</v>
      </c>
      <c r="S80" s="578">
        <f t="shared" si="89"/>
        <v>1</v>
      </c>
      <c r="T80" s="576">
        <f t="shared" si="78"/>
        <v>3850.74</v>
      </c>
      <c r="U80" s="576"/>
      <c r="V80" s="576">
        <f t="shared" si="79"/>
        <v>0</v>
      </c>
      <c r="W80" s="576"/>
      <c r="X80" s="576">
        <f t="shared" si="80"/>
        <v>0</v>
      </c>
      <c r="Y80" s="576"/>
      <c r="Z80" s="576">
        <f t="shared" si="81"/>
        <v>0</v>
      </c>
      <c r="AA80" s="576"/>
      <c r="AB80" s="576">
        <f t="shared" si="82"/>
        <v>0</v>
      </c>
      <c r="AC80" s="576"/>
      <c r="AD80" s="579">
        <f t="shared" si="83"/>
        <v>0</v>
      </c>
      <c r="AE80" s="580">
        <f t="shared" si="84"/>
        <v>1</v>
      </c>
      <c r="AF80" s="576">
        <f t="shared" si="85"/>
        <v>3850.74</v>
      </c>
      <c r="AG80" s="576">
        <f t="shared" si="86"/>
        <v>0</v>
      </c>
      <c r="AH80" s="579">
        <f t="shared" si="87"/>
        <v>0</v>
      </c>
      <c r="AK80" s="617">
        <f t="shared" si="88"/>
        <v>0</v>
      </c>
    </row>
    <row r="81" spans="1:37" ht="30">
      <c r="A81" s="570" t="s">
        <v>14274</v>
      </c>
      <c r="B81" s="571" t="str">
        <f>PLANILHA!D82</f>
        <v>J13 (E.G) - JANELA MAXIN AR 1,97 x 0,90 (2 JANELAS DE 0,98). FORNECIMENTO E INSTALAÇÃO.</v>
      </c>
      <c r="C81" s="572" t="str">
        <f>PLANILHA!E82</f>
        <v>und</v>
      </c>
      <c r="D81" s="573">
        <f>PLANILHA!F82</f>
        <v>1</v>
      </c>
      <c r="E81" s="573">
        <f t="shared" si="71"/>
        <v>1728.32</v>
      </c>
      <c r="F81" s="574">
        <f t="shared" si="70"/>
        <v>1728.32</v>
      </c>
      <c r="G81" s="580"/>
      <c r="H81" s="576">
        <f t="shared" si="72"/>
        <v>0</v>
      </c>
      <c r="I81" s="576"/>
      <c r="J81" s="576">
        <f t="shared" si="73"/>
        <v>0</v>
      </c>
      <c r="K81" s="576"/>
      <c r="L81" s="576">
        <f t="shared" si="74"/>
        <v>0</v>
      </c>
      <c r="M81" s="576"/>
      <c r="N81" s="576">
        <f t="shared" si="75"/>
        <v>0</v>
      </c>
      <c r="O81" s="576"/>
      <c r="P81" s="576">
        <f t="shared" si="76"/>
        <v>0</v>
      </c>
      <c r="Q81" s="576"/>
      <c r="R81" s="577">
        <f t="shared" si="77"/>
        <v>0</v>
      </c>
      <c r="S81" s="578">
        <f t="shared" si="89"/>
        <v>1</v>
      </c>
      <c r="T81" s="576">
        <f t="shared" si="78"/>
        <v>1728.32</v>
      </c>
      <c r="U81" s="576"/>
      <c r="V81" s="576">
        <f t="shared" si="79"/>
        <v>0</v>
      </c>
      <c r="W81" s="576"/>
      <c r="X81" s="576">
        <f t="shared" si="80"/>
        <v>0</v>
      </c>
      <c r="Y81" s="576"/>
      <c r="Z81" s="576">
        <f t="shared" si="81"/>
        <v>0</v>
      </c>
      <c r="AA81" s="576"/>
      <c r="AB81" s="576">
        <f t="shared" si="82"/>
        <v>0</v>
      </c>
      <c r="AC81" s="576"/>
      <c r="AD81" s="579">
        <f t="shared" si="83"/>
        <v>0</v>
      </c>
      <c r="AE81" s="580">
        <f t="shared" si="84"/>
        <v>1</v>
      </c>
      <c r="AF81" s="576">
        <f t="shared" si="85"/>
        <v>1728.32</v>
      </c>
      <c r="AG81" s="576">
        <f t="shared" si="86"/>
        <v>0</v>
      </c>
      <c r="AH81" s="579">
        <f t="shared" si="87"/>
        <v>0</v>
      </c>
      <c r="AK81" s="617">
        <f t="shared" si="88"/>
        <v>0</v>
      </c>
    </row>
    <row r="82" spans="1:37" ht="30">
      <c r="A82" s="570" t="s">
        <v>14651</v>
      </c>
      <c r="B82" s="571" t="str">
        <f>PLANILHA!D83</f>
        <v>J21 (E.G) - JANELA MAXIN AR 0,90 x 0,90. FORNECIMENTO E INSTALAÇÃO.</v>
      </c>
      <c r="C82" s="572" t="str">
        <f>PLANILHA!E83</f>
        <v>und</v>
      </c>
      <c r="D82" s="573">
        <f>PLANILHA!F83</f>
        <v>1</v>
      </c>
      <c r="E82" s="573">
        <f t="shared" si="71"/>
        <v>898.88</v>
      </c>
      <c r="F82" s="574">
        <f t="shared" si="70"/>
        <v>898.88</v>
      </c>
      <c r="G82" s="580"/>
      <c r="H82" s="576">
        <f t="shared" si="72"/>
        <v>0</v>
      </c>
      <c r="I82" s="576"/>
      <c r="J82" s="576">
        <f t="shared" si="73"/>
        <v>0</v>
      </c>
      <c r="K82" s="576"/>
      <c r="L82" s="576">
        <f t="shared" si="74"/>
        <v>0</v>
      </c>
      <c r="M82" s="576"/>
      <c r="N82" s="576">
        <f t="shared" si="75"/>
        <v>0</v>
      </c>
      <c r="O82" s="576"/>
      <c r="P82" s="576">
        <f t="shared" si="76"/>
        <v>0</v>
      </c>
      <c r="Q82" s="576"/>
      <c r="R82" s="577">
        <f t="shared" si="77"/>
        <v>0</v>
      </c>
      <c r="S82" s="578">
        <f t="shared" si="89"/>
        <v>1</v>
      </c>
      <c r="T82" s="576">
        <f t="shared" si="78"/>
        <v>898.88</v>
      </c>
      <c r="U82" s="576"/>
      <c r="V82" s="576">
        <f t="shared" si="79"/>
        <v>0</v>
      </c>
      <c r="W82" s="576"/>
      <c r="X82" s="576">
        <f t="shared" si="80"/>
        <v>0</v>
      </c>
      <c r="Y82" s="576"/>
      <c r="Z82" s="576">
        <f t="shared" si="81"/>
        <v>0</v>
      </c>
      <c r="AA82" s="576"/>
      <c r="AB82" s="576">
        <f t="shared" si="82"/>
        <v>0</v>
      </c>
      <c r="AC82" s="576"/>
      <c r="AD82" s="579">
        <f t="shared" si="83"/>
        <v>0</v>
      </c>
      <c r="AE82" s="580">
        <f t="shared" si="84"/>
        <v>1</v>
      </c>
      <c r="AF82" s="576">
        <f t="shared" si="85"/>
        <v>898.88</v>
      </c>
      <c r="AG82" s="576">
        <f t="shared" si="86"/>
        <v>0</v>
      </c>
      <c r="AH82" s="579">
        <f t="shared" si="87"/>
        <v>0</v>
      </c>
      <c r="AK82" s="617">
        <f t="shared" si="88"/>
        <v>0</v>
      </c>
    </row>
    <row r="83" spans="1:37" ht="30">
      <c r="A83" s="570" t="s">
        <v>14652</v>
      </c>
      <c r="B83" s="571" t="str">
        <f>PLANILHA!D84</f>
        <v>J22 (E.G) - JANELA MAXIN AR 1,04 x 1,35. FORNECIMENTO E INSTALAÇÃO.</v>
      </c>
      <c r="C83" s="572" t="str">
        <f>PLANILHA!E84</f>
        <v>und</v>
      </c>
      <c r="D83" s="573">
        <f>PLANILHA!F84</f>
        <v>1</v>
      </c>
      <c r="E83" s="573">
        <f t="shared" si="71"/>
        <v>1242.74</v>
      </c>
      <c r="F83" s="574">
        <f t="shared" si="70"/>
        <v>1242.74</v>
      </c>
      <c r="G83" s="580"/>
      <c r="H83" s="576">
        <f t="shared" si="72"/>
        <v>0</v>
      </c>
      <c r="I83" s="576"/>
      <c r="J83" s="576">
        <f t="shared" si="73"/>
        <v>0</v>
      </c>
      <c r="K83" s="576"/>
      <c r="L83" s="576">
        <f t="shared" si="74"/>
        <v>0</v>
      </c>
      <c r="M83" s="576"/>
      <c r="N83" s="576">
        <f t="shared" si="75"/>
        <v>0</v>
      </c>
      <c r="O83" s="576"/>
      <c r="P83" s="576">
        <f t="shared" si="76"/>
        <v>0</v>
      </c>
      <c r="Q83" s="576"/>
      <c r="R83" s="577">
        <f t="shared" si="77"/>
        <v>0</v>
      </c>
      <c r="S83" s="578">
        <f t="shared" si="89"/>
        <v>1</v>
      </c>
      <c r="T83" s="576">
        <f t="shared" si="78"/>
        <v>1242.74</v>
      </c>
      <c r="U83" s="576"/>
      <c r="V83" s="576">
        <f t="shared" si="79"/>
        <v>0</v>
      </c>
      <c r="W83" s="576"/>
      <c r="X83" s="576">
        <f t="shared" si="80"/>
        <v>0</v>
      </c>
      <c r="Y83" s="576"/>
      <c r="Z83" s="576">
        <f t="shared" si="81"/>
        <v>0</v>
      </c>
      <c r="AA83" s="576"/>
      <c r="AB83" s="576">
        <f t="shared" si="82"/>
        <v>0</v>
      </c>
      <c r="AC83" s="576"/>
      <c r="AD83" s="579">
        <f t="shared" si="83"/>
        <v>0</v>
      </c>
      <c r="AE83" s="580">
        <f t="shared" si="84"/>
        <v>1</v>
      </c>
      <c r="AF83" s="576">
        <f t="shared" si="85"/>
        <v>1242.74</v>
      </c>
      <c r="AG83" s="576">
        <f t="shared" si="86"/>
        <v>0</v>
      </c>
      <c r="AH83" s="579">
        <f t="shared" si="87"/>
        <v>0</v>
      </c>
      <c r="AK83" s="617">
        <f t="shared" si="88"/>
        <v>0</v>
      </c>
    </row>
    <row r="84" spans="1:37" ht="30">
      <c r="A84" s="570" t="s">
        <v>14653</v>
      </c>
      <c r="B84" s="571" t="str">
        <f>PLANILHA!D85</f>
        <v>INSTALAÇÃO DE VIDRO LISO INCOLOR, E = 8 MM, EM ESQUADRIA DE ALUMÍNIO OU PVC, FIXADO COM BAGUETE. AF_01/2021_P</v>
      </c>
      <c r="C84" s="572" t="str">
        <f>PLANILHA!E85</f>
        <v>M2</v>
      </c>
      <c r="D84" s="573">
        <f>PLANILHA!F85</f>
        <v>1.2</v>
      </c>
      <c r="E84" s="573">
        <f t="shared" si="71"/>
        <v>669.12</v>
      </c>
      <c r="F84" s="574">
        <f t="shared" si="70"/>
        <v>802.94</v>
      </c>
      <c r="G84" s="580"/>
      <c r="H84" s="576">
        <f t="shared" si="72"/>
        <v>0</v>
      </c>
      <c r="I84" s="576"/>
      <c r="J84" s="576">
        <f t="shared" si="73"/>
        <v>0</v>
      </c>
      <c r="K84" s="576"/>
      <c r="L84" s="576">
        <f t="shared" si="74"/>
        <v>0</v>
      </c>
      <c r="M84" s="576"/>
      <c r="N84" s="576">
        <f t="shared" si="75"/>
        <v>0</v>
      </c>
      <c r="O84" s="576"/>
      <c r="P84" s="576">
        <f t="shared" si="76"/>
        <v>0</v>
      </c>
      <c r="Q84" s="576"/>
      <c r="R84" s="577">
        <f t="shared" si="77"/>
        <v>0</v>
      </c>
      <c r="S84" s="578">
        <f t="shared" si="89"/>
        <v>1.2</v>
      </c>
      <c r="T84" s="576">
        <f t="shared" si="78"/>
        <v>802.94</v>
      </c>
      <c r="U84" s="576"/>
      <c r="V84" s="576">
        <f t="shared" si="79"/>
        <v>0</v>
      </c>
      <c r="W84" s="576"/>
      <c r="X84" s="576">
        <f t="shared" si="80"/>
        <v>0</v>
      </c>
      <c r="Y84" s="576"/>
      <c r="Z84" s="576">
        <f t="shared" si="81"/>
        <v>0</v>
      </c>
      <c r="AA84" s="576"/>
      <c r="AB84" s="576">
        <f t="shared" si="82"/>
        <v>0</v>
      </c>
      <c r="AC84" s="576"/>
      <c r="AD84" s="579">
        <f t="shared" si="83"/>
        <v>0</v>
      </c>
      <c r="AE84" s="580">
        <f t="shared" si="84"/>
        <v>1.2</v>
      </c>
      <c r="AF84" s="576">
        <f t="shared" si="85"/>
        <v>802.94</v>
      </c>
      <c r="AG84" s="576">
        <f t="shared" si="86"/>
        <v>0</v>
      </c>
      <c r="AH84" s="579">
        <f t="shared" si="87"/>
        <v>0</v>
      </c>
      <c r="AK84" s="617">
        <f t="shared" si="88"/>
        <v>0</v>
      </c>
    </row>
    <row r="85" spans="1:37" ht="30">
      <c r="A85" s="570" t="s">
        <v>14661</v>
      </c>
      <c r="B85" s="571" t="str">
        <f>PLANILHA!D86</f>
        <v>PELÍCULA DE SEGURANÇA PARA PAINES DE VIDRO, FONECIMENTO E INSTALAÇÃO.</v>
      </c>
      <c r="C85" s="572" t="str">
        <f>PLANILHA!E86</f>
        <v>m²</v>
      </c>
      <c r="D85" s="573">
        <f>PLANILHA!F86</f>
        <v>21.040499999999998</v>
      </c>
      <c r="E85" s="573">
        <f t="shared" si="71"/>
        <v>73.09</v>
      </c>
      <c r="F85" s="574">
        <f t="shared" si="70"/>
        <v>1537.85</v>
      </c>
      <c r="G85" s="580"/>
      <c r="H85" s="576">
        <f t="shared" si="72"/>
        <v>0</v>
      </c>
      <c r="I85" s="576"/>
      <c r="J85" s="576">
        <f t="shared" si="73"/>
        <v>0</v>
      </c>
      <c r="K85" s="576"/>
      <c r="L85" s="576">
        <f t="shared" si="74"/>
        <v>0</v>
      </c>
      <c r="M85" s="576"/>
      <c r="N85" s="576">
        <f t="shared" si="75"/>
        <v>0</v>
      </c>
      <c r="O85" s="576"/>
      <c r="P85" s="576">
        <f t="shared" si="76"/>
        <v>0</v>
      </c>
      <c r="Q85" s="576"/>
      <c r="R85" s="577">
        <f t="shared" si="77"/>
        <v>0</v>
      </c>
      <c r="S85" s="578">
        <f t="shared" si="89"/>
        <v>21.040499999999998</v>
      </c>
      <c r="T85" s="576">
        <f t="shared" si="78"/>
        <v>1537.85</v>
      </c>
      <c r="U85" s="576"/>
      <c r="V85" s="576">
        <f t="shared" si="79"/>
        <v>0</v>
      </c>
      <c r="W85" s="576"/>
      <c r="X85" s="576">
        <f t="shared" si="80"/>
        <v>0</v>
      </c>
      <c r="Y85" s="576"/>
      <c r="Z85" s="576">
        <f t="shared" si="81"/>
        <v>0</v>
      </c>
      <c r="AA85" s="576"/>
      <c r="AB85" s="576">
        <f t="shared" si="82"/>
        <v>0</v>
      </c>
      <c r="AC85" s="576"/>
      <c r="AD85" s="579">
        <f t="shared" si="83"/>
        <v>0</v>
      </c>
      <c r="AE85" s="580">
        <f t="shared" si="84"/>
        <v>21.040499999999998</v>
      </c>
      <c r="AF85" s="576">
        <f t="shared" si="85"/>
        <v>1537.85</v>
      </c>
      <c r="AG85" s="576">
        <f t="shared" si="86"/>
        <v>0</v>
      </c>
      <c r="AH85" s="579">
        <f t="shared" si="87"/>
        <v>0</v>
      </c>
      <c r="AK85" s="617">
        <f t="shared" si="88"/>
        <v>0</v>
      </c>
    </row>
    <row r="86" spans="1:37">
      <c r="A86" s="570"/>
      <c r="B86" s="571"/>
      <c r="C86" s="572"/>
      <c r="D86" s="573"/>
      <c r="E86" s="573"/>
      <c r="F86" s="574"/>
      <c r="G86" s="580"/>
      <c r="H86" s="576"/>
      <c r="I86" s="576"/>
      <c r="J86" s="576"/>
      <c r="K86" s="576"/>
      <c r="L86" s="576"/>
      <c r="M86" s="576"/>
      <c r="N86" s="576"/>
      <c r="O86" s="576"/>
      <c r="P86" s="576"/>
      <c r="Q86" s="576"/>
      <c r="R86" s="577"/>
      <c r="S86" s="578"/>
      <c r="T86" s="576"/>
      <c r="U86" s="576"/>
      <c r="V86" s="576"/>
      <c r="W86" s="576"/>
      <c r="X86" s="576"/>
      <c r="Y86" s="576"/>
      <c r="Z86" s="576"/>
      <c r="AA86" s="576"/>
      <c r="AB86" s="576"/>
      <c r="AC86" s="576"/>
      <c r="AD86" s="579"/>
      <c r="AE86" s="580"/>
      <c r="AF86" s="576"/>
      <c r="AG86" s="576"/>
      <c r="AH86" s="579"/>
      <c r="AK86" s="617">
        <f t="shared" si="88"/>
        <v>0</v>
      </c>
    </row>
    <row r="87" spans="1:37" s="569" customFormat="1">
      <c r="A87" s="581" t="s">
        <v>27215</v>
      </c>
      <c r="B87" s="582"/>
      <c r="C87" s="583"/>
      <c r="D87" s="584"/>
      <c r="E87" s="584"/>
      <c r="F87" s="585">
        <f>VLOOKUP(A87,PLANILHA,$G$6,0)</f>
        <v>19809.819999999996</v>
      </c>
      <c r="G87" s="586"/>
      <c r="H87" s="584">
        <f>SUM(H78:H86)</f>
        <v>0</v>
      </c>
      <c r="I87" s="584"/>
      <c r="J87" s="584">
        <f>SUM(J78:J86)</f>
        <v>0</v>
      </c>
      <c r="K87" s="584"/>
      <c r="L87" s="584">
        <f>SUM(L78:L86)</f>
        <v>0</v>
      </c>
      <c r="M87" s="584"/>
      <c r="N87" s="584">
        <f>SUM(N78:N86)</f>
        <v>0</v>
      </c>
      <c r="O87" s="584"/>
      <c r="P87" s="584">
        <f>SUM(P78:P86)</f>
        <v>0</v>
      </c>
      <c r="Q87" s="584"/>
      <c r="R87" s="587">
        <f>SUM(R78:R86)</f>
        <v>0</v>
      </c>
      <c r="S87" s="588"/>
      <c r="T87" s="584">
        <f>SUM(T78:T86)</f>
        <v>19809.819999999996</v>
      </c>
      <c r="U87" s="584"/>
      <c r="V87" s="584">
        <f>SUM(V78:V86)</f>
        <v>0</v>
      </c>
      <c r="W87" s="584"/>
      <c r="X87" s="584">
        <f>SUM(X78:X86)</f>
        <v>0</v>
      </c>
      <c r="Y87" s="584"/>
      <c r="Z87" s="584">
        <f>SUM(Z78:Z86)</f>
        <v>0</v>
      </c>
      <c r="AA87" s="584"/>
      <c r="AB87" s="584">
        <f>SUM(AB78:AB86)</f>
        <v>0</v>
      </c>
      <c r="AC87" s="584"/>
      <c r="AD87" s="585">
        <f>SUM(AD78:AD86)</f>
        <v>0</v>
      </c>
      <c r="AE87" s="590"/>
      <c r="AF87" s="584">
        <f>SUM(AF78:AF86)</f>
        <v>19809.819999999996</v>
      </c>
      <c r="AG87" s="591"/>
      <c r="AH87" s="585">
        <f>SUM(AH78:AH86)</f>
        <v>0</v>
      </c>
      <c r="AI87" s="568"/>
      <c r="AK87" s="617">
        <f t="shared" si="88"/>
        <v>0</v>
      </c>
    </row>
    <row r="88" spans="1:37">
      <c r="A88" s="570"/>
      <c r="B88" s="571"/>
      <c r="C88" s="572"/>
      <c r="D88" s="573"/>
      <c r="E88" s="573"/>
      <c r="F88" s="574"/>
      <c r="G88" s="580"/>
      <c r="H88" s="576"/>
      <c r="I88" s="576"/>
      <c r="J88" s="576"/>
      <c r="K88" s="576"/>
      <c r="L88" s="576"/>
      <c r="M88" s="576"/>
      <c r="N88" s="576"/>
      <c r="O88" s="576"/>
      <c r="P88" s="576"/>
      <c r="Q88" s="576"/>
      <c r="R88" s="577"/>
      <c r="S88" s="578"/>
      <c r="T88" s="576"/>
      <c r="U88" s="576"/>
      <c r="V88" s="576"/>
      <c r="W88" s="576"/>
      <c r="X88" s="576"/>
      <c r="Y88" s="576"/>
      <c r="Z88" s="576"/>
      <c r="AA88" s="576"/>
      <c r="AB88" s="576"/>
      <c r="AC88" s="576"/>
      <c r="AD88" s="579"/>
      <c r="AE88" s="580"/>
      <c r="AF88" s="576"/>
      <c r="AG88" s="576"/>
      <c r="AH88" s="579"/>
      <c r="AK88" s="617">
        <f t="shared" si="88"/>
        <v>0</v>
      </c>
    </row>
    <row r="89" spans="1:37" ht="30">
      <c r="A89" s="570" t="s">
        <v>14270</v>
      </c>
      <c r="B89" s="571" t="str">
        <f>PLANILHA!D90</f>
        <v>BANCADA DE GRANITO BRANCO SIENA, DE 0,80 X 0,60 M, PARA LAVATÓRIO - FORNECIMENTO E INSTALAÇÃO. AF_01/2020</v>
      </c>
      <c r="C89" s="572" t="str">
        <f>PLANILHA!E90</f>
        <v>UND</v>
      </c>
      <c r="D89" s="573">
        <f>PLANILHA!F90</f>
        <v>2</v>
      </c>
      <c r="E89" s="573">
        <f>VLOOKUP(A89,PLANILHA,$G$7,0)</f>
        <v>454.38</v>
      </c>
      <c r="F89" s="574">
        <f>VLOOKUP(A89,PLANILHA,$G$6,0)</f>
        <v>908.76</v>
      </c>
      <c r="G89" s="580"/>
      <c r="H89" s="576">
        <f>G89*$E89</f>
        <v>0</v>
      </c>
      <c r="I89" s="576"/>
      <c r="J89" s="576">
        <f>I89*$E89</f>
        <v>0</v>
      </c>
      <c r="K89" s="576"/>
      <c r="L89" s="576">
        <f>K89*$E89</f>
        <v>0</v>
      </c>
      <c r="M89" s="576"/>
      <c r="N89" s="576">
        <f>M89*$E89</f>
        <v>0</v>
      </c>
      <c r="O89" s="576"/>
      <c r="P89" s="576">
        <f>O89*$E89</f>
        <v>0</v>
      </c>
      <c r="Q89" s="576"/>
      <c r="R89" s="577">
        <f>Q89*$E89</f>
        <v>0</v>
      </c>
      <c r="S89" s="578"/>
      <c r="T89" s="576">
        <f>S89*$E89</f>
        <v>0</v>
      </c>
      <c r="U89" s="576">
        <f>D89</f>
        <v>2</v>
      </c>
      <c r="V89" s="576">
        <f t="shared" ref="V89:V91" si="90">TRUNC(U89*$E89,2)</f>
        <v>908.76</v>
      </c>
      <c r="W89" s="576"/>
      <c r="X89" s="576">
        <f>W89*$E89</f>
        <v>0</v>
      </c>
      <c r="Y89" s="576"/>
      <c r="Z89" s="576">
        <f>Y89*$E89</f>
        <v>0</v>
      </c>
      <c r="AA89" s="576"/>
      <c r="AB89" s="576">
        <f>AA89*$E89</f>
        <v>0</v>
      </c>
      <c r="AC89" s="576"/>
      <c r="AD89" s="579">
        <f>AC89*$E89</f>
        <v>0</v>
      </c>
      <c r="AE89" s="580">
        <f>AC89+AA89+Y89+W89+U89+S89+Q89+O89+M89+K89+I89+G89</f>
        <v>2</v>
      </c>
      <c r="AF89" s="576">
        <f t="shared" ref="AF89:AF91" si="91">TRUNC(AE89*E89,2)</f>
        <v>908.76</v>
      </c>
      <c r="AG89" s="576">
        <f>D89-AE89</f>
        <v>0</v>
      </c>
      <c r="AH89" s="579">
        <f>AG89*E89</f>
        <v>0</v>
      </c>
      <c r="AK89" s="617">
        <f t="shared" si="88"/>
        <v>0</v>
      </c>
    </row>
    <row r="90" spans="1:37" ht="30">
      <c r="A90" s="570" t="s">
        <v>14271</v>
      </c>
      <c r="B90" s="571" t="str">
        <f>PLANILHA!D91</f>
        <v>SAIA E FRONTÃO  EM GRANITO POLIDO - BRANCO SIENA  PARA LAVATÓRIO - FORNECIMENTO E INSTALAÇÃO. AF_01/2020</v>
      </c>
      <c r="C90" s="572" t="str">
        <f>PLANILHA!E91</f>
        <v>M</v>
      </c>
      <c r="D90" s="573">
        <f>PLANILHA!F91</f>
        <v>2.8</v>
      </c>
      <c r="E90" s="573">
        <f>VLOOKUP(A90,PLANILHA,$G$7,0)</f>
        <v>171.12</v>
      </c>
      <c r="F90" s="574">
        <f>VLOOKUP(A90,PLANILHA,$G$6,0)</f>
        <v>479.13</v>
      </c>
      <c r="G90" s="580"/>
      <c r="H90" s="576">
        <f>G90*$E90</f>
        <v>0</v>
      </c>
      <c r="I90" s="576"/>
      <c r="J90" s="576">
        <f>I90*$E90</f>
        <v>0</v>
      </c>
      <c r="K90" s="576"/>
      <c r="L90" s="576">
        <f>K90*$E90</f>
        <v>0</v>
      </c>
      <c r="M90" s="576"/>
      <c r="N90" s="576">
        <f>M90*$E90</f>
        <v>0</v>
      </c>
      <c r="O90" s="576"/>
      <c r="P90" s="576">
        <f>O90*$E90</f>
        <v>0</v>
      </c>
      <c r="Q90" s="576"/>
      <c r="R90" s="577">
        <f>Q90*$E90</f>
        <v>0</v>
      </c>
      <c r="S90" s="578"/>
      <c r="T90" s="576">
        <f>S90*$E90</f>
        <v>0</v>
      </c>
      <c r="U90" s="576">
        <f>D90</f>
        <v>2.8</v>
      </c>
      <c r="V90" s="576">
        <f t="shared" si="90"/>
        <v>479.13</v>
      </c>
      <c r="W90" s="576"/>
      <c r="X90" s="576">
        <f>W90*$E90</f>
        <v>0</v>
      </c>
      <c r="Y90" s="576"/>
      <c r="Z90" s="576">
        <f>Y90*$E90</f>
        <v>0</v>
      </c>
      <c r="AA90" s="576"/>
      <c r="AB90" s="576">
        <f>AA90*$E90</f>
        <v>0</v>
      </c>
      <c r="AC90" s="576"/>
      <c r="AD90" s="579">
        <f>AC90*$E90</f>
        <v>0</v>
      </c>
      <c r="AE90" s="580">
        <f>AC90+AA90+Y90+W90+U90+S90+Q90+O90+M90+K90+I90+G90</f>
        <v>2.8</v>
      </c>
      <c r="AF90" s="576">
        <f t="shared" si="91"/>
        <v>479.13</v>
      </c>
      <c r="AG90" s="576">
        <f>D90-AE90</f>
        <v>0</v>
      </c>
      <c r="AH90" s="579">
        <f>AG90*E90</f>
        <v>0</v>
      </c>
      <c r="AK90" s="617">
        <f t="shared" si="88"/>
        <v>0</v>
      </c>
    </row>
    <row r="91" spans="1:37" ht="45">
      <c r="A91" s="570" t="s">
        <v>14272</v>
      </c>
      <c r="B91" s="571" t="str">
        <f>PLANILHA!D92</f>
        <v>CUBA DE EMBUTIR OVAL EM LOUÇA BRANCA DECA OU SIMILAR 48,5 X 37,50CM OU EQUIVALENTE - FORNECIMENTO E INSTALAÇÃO. AF_01/2020</v>
      </c>
      <c r="C91" s="572" t="str">
        <f>PLANILHA!E92</f>
        <v>UND</v>
      </c>
      <c r="D91" s="573">
        <f>PLANILHA!F92</f>
        <v>2</v>
      </c>
      <c r="E91" s="573">
        <f>VLOOKUP(A91,PLANILHA,$G$7,0)</f>
        <v>162.72999999999999</v>
      </c>
      <c r="F91" s="574">
        <f>VLOOKUP(A91,PLANILHA,$G$6,0)</f>
        <v>325.45999999999998</v>
      </c>
      <c r="G91" s="580"/>
      <c r="H91" s="576">
        <f>G91*$E91</f>
        <v>0</v>
      </c>
      <c r="I91" s="576"/>
      <c r="J91" s="576">
        <f>I91*$E91</f>
        <v>0</v>
      </c>
      <c r="K91" s="576"/>
      <c r="L91" s="576">
        <f>K91*$E91</f>
        <v>0</v>
      </c>
      <c r="M91" s="576"/>
      <c r="N91" s="576">
        <f>M91*$E91</f>
        <v>0</v>
      </c>
      <c r="O91" s="576"/>
      <c r="P91" s="576">
        <f>O91*$E91</f>
        <v>0</v>
      </c>
      <c r="Q91" s="576"/>
      <c r="R91" s="577">
        <f>Q91*$E91</f>
        <v>0</v>
      </c>
      <c r="S91" s="578"/>
      <c r="T91" s="576">
        <f>S91*$E91</f>
        <v>0</v>
      </c>
      <c r="U91" s="576">
        <f>D91</f>
        <v>2</v>
      </c>
      <c r="V91" s="576">
        <f t="shared" si="90"/>
        <v>325.45999999999998</v>
      </c>
      <c r="W91" s="576"/>
      <c r="X91" s="576">
        <f>W91*$E91</f>
        <v>0</v>
      </c>
      <c r="Y91" s="576"/>
      <c r="Z91" s="576">
        <f>Y91*$E91</f>
        <v>0</v>
      </c>
      <c r="AA91" s="576"/>
      <c r="AB91" s="576">
        <f>AA91*$E91</f>
        <v>0</v>
      </c>
      <c r="AC91" s="576"/>
      <c r="AD91" s="579">
        <f>AC91*$E91</f>
        <v>0</v>
      </c>
      <c r="AE91" s="580">
        <f>AC91+AA91+Y91+W91+U91+S91+Q91+O91+M91+K91+I91+G91</f>
        <v>2</v>
      </c>
      <c r="AF91" s="576">
        <f t="shared" si="91"/>
        <v>325.45999999999998</v>
      </c>
      <c r="AG91" s="576">
        <f>D91-AE91</f>
        <v>0</v>
      </c>
      <c r="AH91" s="579">
        <f>AG91*E91</f>
        <v>0</v>
      </c>
      <c r="AK91" s="617">
        <f t="shared" si="88"/>
        <v>0</v>
      </c>
    </row>
    <row r="92" spans="1:37">
      <c r="A92" s="570"/>
      <c r="B92" s="571"/>
      <c r="C92" s="572"/>
      <c r="D92" s="573"/>
      <c r="E92" s="573"/>
      <c r="F92" s="574"/>
      <c r="G92" s="580"/>
      <c r="H92" s="576"/>
      <c r="I92" s="576"/>
      <c r="J92" s="576"/>
      <c r="K92" s="576"/>
      <c r="L92" s="576"/>
      <c r="M92" s="576"/>
      <c r="N92" s="576"/>
      <c r="O92" s="576"/>
      <c r="P92" s="576"/>
      <c r="Q92" s="576"/>
      <c r="R92" s="577"/>
      <c r="S92" s="578"/>
      <c r="T92" s="576"/>
      <c r="U92" s="576">
        <f>D92</f>
        <v>0</v>
      </c>
      <c r="V92" s="576"/>
      <c r="W92" s="576"/>
      <c r="X92" s="576"/>
      <c r="Y92" s="576"/>
      <c r="Z92" s="576"/>
      <c r="AA92" s="576"/>
      <c r="AB92" s="576"/>
      <c r="AC92" s="576"/>
      <c r="AD92" s="579"/>
      <c r="AE92" s="580"/>
      <c r="AF92" s="576"/>
      <c r="AG92" s="576"/>
      <c r="AH92" s="579"/>
      <c r="AK92" s="617">
        <f t="shared" si="88"/>
        <v>0</v>
      </c>
    </row>
    <row r="93" spans="1:37" s="569" customFormat="1">
      <c r="A93" s="601" t="s">
        <v>27204</v>
      </c>
      <c r="B93" s="582"/>
      <c r="C93" s="583"/>
      <c r="D93" s="584"/>
      <c r="E93" s="584"/>
      <c r="F93" s="585">
        <f>VLOOKUP(A93,PLANILHA,$G$6,0)</f>
        <v>1713.35</v>
      </c>
      <c r="G93" s="586"/>
      <c r="H93" s="584">
        <f>SUM(H89:H92)</f>
        <v>0</v>
      </c>
      <c r="I93" s="584"/>
      <c r="J93" s="584">
        <f>SUM(J89:J92)</f>
        <v>0</v>
      </c>
      <c r="K93" s="584"/>
      <c r="L93" s="584">
        <f>SUM(L89:L92)</f>
        <v>0</v>
      </c>
      <c r="M93" s="584"/>
      <c r="N93" s="584">
        <f>SUM(N89:N92)</f>
        <v>0</v>
      </c>
      <c r="O93" s="584"/>
      <c r="P93" s="584">
        <f>SUM(P89:P92)</f>
        <v>0</v>
      </c>
      <c r="Q93" s="584"/>
      <c r="R93" s="587">
        <f>SUM(R89:R92)</f>
        <v>0</v>
      </c>
      <c r="S93" s="588"/>
      <c r="T93" s="584">
        <f>SUM(T89:T92)</f>
        <v>0</v>
      </c>
      <c r="U93" s="584"/>
      <c r="V93" s="584">
        <f>SUM(V89:V92)</f>
        <v>1713.35</v>
      </c>
      <c r="W93" s="584"/>
      <c r="X93" s="584">
        <f>SUM(X89:X92)</f>
        <v>0</v>
      </c>
      <c r="Y93" s="584"/>
      <c r="Z93" s="584">
        <f>SUM(Z89:Z92)</f>
        <v>0</v>
      </c>
      <c r="AA93" s="584"/>
      <c r="AB93" s="584">
        <f>SUM(AB89:AB92)</f>
        <v>0</v>
      </c>
      <c r="AC93" s="584"/>
      <c r="AD93" s="585">
        <f>SUM(AD89:AD92)</f>
        <v>0</v>
      </c>
      <c r="AE93" s="590"/>
      <c r="AF93" s="584">
        <f>SUM(AF89:AF92)</f>
        <v>1713.35</v>
      </c>
      <c r="AG93" s="591"/>
      <c r="AH93" s="585">
        <f>SUM(AH89:AH92)</f>
        <v>0</v>
      </c>
      <c r="AI93" s="568"/>
      <c r="AK93" s="617">
        <f t="shared" si="88"/>
        <v>0</v>
      </c>
    </row>
    <row r="94" spans="1:37">
      <c r="A94" s="570"/>
      <c r="B94" s="571"/>
      <c r="C94" s="572"/>
      <c r="D94" s="573"/>
      <c r="E94" s="573"/>
      <c r="F94" s="574"/>
      <c r="G94" s="580"/>
      <c r="H94" s="576"/>
      <c r="I94" s="576"/>
      <c r="J94" s="576"/>
      <c r="K94" s="576"/>
      <c r="L94" s="576"/>
      <c r="M94" s="576"/>
      <c r="N94" s="576"/>
      <c r="O94" s="576"/>
      <c r="P94" s="576"/>
      <c r="Q94" s="576"/>
      <c r="R94" s="577"/>
      <c r="S94" s="578"/>
      <c r="T94" s="576"/>
      <c r="U94" s="576"/>
      <c r="V94" s="576"/>
      <c r="W94" s="576"/>
      <c r="X94" s="576"/>
      <c r="Y94" s="576"/>
      <c r="Z94" s="576"/>
      <c r="AA94" s="576"/>
      <c r="AB94" s="576"/>
      <c r="AC94" s="576"/>
      <c r="AD94" s="579"/>
      <c r="AE94" s="580"/>
      <c r="AF94" s="576"/>
      <c r="AG94" s="576"/>
      <c r="AH94" s="579"/>
      <c r="AK94" s="617">
        <f t="shared" si="88"/>
        <v>0</v>
      </c>
    </row>
    <row r="95" spans="1:37" s="569" customFormat="1">
      <c r="A95" s="581" t="s">
        <v>14619</v>
      </c>
      <c r="B95" s="582"/>
      <c r="C95" s="583"/>
      <c r="D95" s="584"/>
      <c r="E95" s="584"/>
      <c r="F95" s="585">
        <f>VLOOKUP(A95,PLANILHA,$G$6,0)</f>
        <v>144198.14000000001</v>
      </c>
      <c r="G95" s="586"/>
      <c r="H95" s="584">
        <f>SUM(H28:H94)/2</f>
        <v>0</v>
      </c>
      <c r="I95" s="584"/>
      <c r="J95" s="584">
        <f>SUM(J28:J94)/2</f>
        <v>0</v>
      </c>
      <c r="K95" s="584"/>
      <c r="L95" s="584">
        <f>SUM(L28:L94)/2</f>
        <v>0</v>
      </c>
      <c r="M95" s="584"/>
      <c r="N95" s="584">
        <f>SUM(N28:N94)/2</f>
        <v>0</v>
      </c>
      <c r="O95" s="584"/>
      <c r="P95" s="584">
        <f>SUM(P28:P94)/2</f>
        <v>0</v>
      </c>
      <c r="Q95" s="584"/>
      <c r="R95" s="587">
        <f>SUM(R28:R94)/2</f>
        <v>0</v>
      </c>
      <c r="S95" s="588"/>
      <c r="T95" s="584">
        <f>SUM(T28:T94)/2</f>
        <v>119147.66000000002</v>
      </c>
      <c r="U95" s="584"/>
      <c r="V95" s="584">
        <f>SUM(V28:V94)/2</f>
        <v>25050.479999999996</v>
      </c>
      <c r="W95" s="584"/>
      <c r="X95" s="584">
        <f>SUM(X28:X94)/2</f>
        <v>0</v>
      </c>
      <c r="Y95" s="584"/>
      <c r="Z95" s="584">
        <f>SUM(Z28:Z94)/2</f>
        <v>0</v>
      </c>
      <c r="AA95" s="584"/>
      <c r="AB95" s="584">
        <f>SUM(AB28:AB94)/2</f>
        <v>0</v>
      </c>
      <c r="AC95" s="584"/>
      <c r="AD95" s="585">
        <f>SUM(AD28:AD94)/2</f>
        <v>0</v>
      </c>
      <c r="AE95" s="590"/>
      <c r="AF95" s="584">
        <f>SUM(AF28:AF94)/2</f>
        <v>144198.13500000001</v>
      </c>
      <c r="AG95" s="591"/>
      <c r="AH95" s="585">
        <f>SUM(AH28:AH87)/2</f>
        <v>0</v>
      </c>
      <c r="AI95" s="568"/>
      <c r="AK95" s="617">
        <f t="shared" si="88"/>
        <v>5.0000000046566129E-3</v>
      </c>
    </row>
    <row r="96" spans="1:37">
      <c r="A96" s="570"/>
      <c r="B96" s="571"/>
      <c r="C96" s="572"/>
      <c r="D96" s="573"/>
      <c r="E96" s="573"/>
      <c r="F96" s="574"/>
      <c r="G96" s="580"/>
      <c r="H96" s="576"/>
      <c r="I96" s="576"/>
      <c r="J96" s="576"/>
      <c r="K96" s="576"/>
      <c r="L96" s="576"/>
      <c r="M96" s="576"/>
      <c r="N96" s="576"/>
      <c r="O96" s="576"/>
      <c r="P96" s="576"/>
      <c r="Q96" s="576"/>
      <c r="R96" s="577"/>
      <c r="S96" s="578"/>
      <c r="T96" s="576"/>
      <c r="U96" s="576"/>
      <c r="V96" s="576"/>
      <c r="W96" s="576"/>
      <c r="X96" s="576"/>
      <c r="Y96" s="576"/>
      <c r="Z96" s="576"/>
      <c r="AA96" s="576"/>
      <c r="AB96" s="576"/>
      <c r="AC96" s="576"/>
      <c r="AD96" s="579"/>
      <c r="AE96" s="580"/>
      <c r="AF96" s="576"/>
      <c r="AG96" s="576"/>
      <c r="AH96" s="579"/>
      <c r="AK96" s="617">
        <f t="shared" si="88"/>
        <v>0</v>
      </c>
    </row>
    <row r="97" spans="1:37" s="569" customFormat="1">
      <c r="A97" s="558" t="s">
        <v>59</v>
      </c>
      <c r="B97" s="559" t="str">
        <f>PLANILHA!D96</f>
        <v>TERREO</v>
      </c>
      <c r="C97" s="560"/>
      <c r="D97" s="561"/>
      <c r="E97" s="561"/>
      <c r="F97" s="562">
        <f t="shared" ref="F97:F103" si="92">VLOOKUP(A97,PLANILHA,$G$6,0)</f>
        <v>0</v>
      </c>
      <c r="G97" s="563"/>
      <c r="H97" s="564"/>
      <c r="I97" s="564"/>
      <c r="J97" s="564"/>
      <c r="K97" s="564"/>
      <c r="L97" s="564"/>
      <c r="M97" s="564"/>
      <c r="N97" s="564"/>
      <c r="O97" s="564"/>
      <c r="P97" s="564"/>
      <c r="Q97" s="564"/>
      <c r="R97" s="565"/>
      <c r="S97" s="566"/>
      <c r="T97" s="564"/>
      <c r="U97" s="564"/>
      <c r="V97" s="564"/>
      <c r="W97" s="564"/>
      <c r="X97" s="564"/>
      <c r="Y97" s="564"/>
      <c r="Z97" s="564"/>
      <c r="AA97" s="564"/>
      <c r="AB97" s="564"/>
      <c r="AC97" s="564"/>
      <c r="AD97" s="567"/>
      <c r="AE97" s="563"/>
      <c r="AF97" s="564"/>
      <c r="AG97" s="564"/>
      <c r="AH97" s="567"/>
      <c r="AI97" s="568"/>
      <c r="AK97" s="617">
        <f t="shared" si="88"/>
        <v>0</v>
      </c>
    </row>
    <row r="98" spans="1:37" s="569" customFormat="1">
      <c r="A98" s="592" t="s">
        <v>62</v>
      </c>
      <c r="B98" s="593" t="str">
        <f>PLANILHA!D97</f>
        <v>DEMOLIÇÃO</v>
      </c>
      <c r="C98" s="594"/>
      <c r="D98" s="589"/>
      <c r="E98" s="589"/>
      <c r="F98" s="595">
        <f t="shared" si="92"/>
        <v>0</v>
      </c>
      <c r="G98" s="596"/>
      <c r="H98" s="597"/>
      <c r="I98" s="597"/>
      <c r="J98" s="597"/>
      <c r="K98" s="597"/>
      <c r="L98" s="597"/>
      <c r="M98" s="597"/>
      <c r="N98" s="597"/>
      <c r="O98" s="597"/>
      <c r="P98" s="597"/>
      <c r="Q98" s="597"/>
      <c r="R98" s="598"/>
      <c r="S98" s="599"/>
      <c r="T98" s="597"/>
      <c r="U98" s="597"/>
      <c r="V98" s="597"/>
      <c r="W98" s="597"/>
      <c r="X98" s="597"/>
      <c r="Y98" s="597"/>
      <c r="Z98" s="597"/>
      <c r="AA98" s="597"/>
      <c r="AB98" s="597"/>
      <c r="AC98" s="597"/>
      <c r="AD98" s="600"/>
      <c r="AE98" s="596"/>
      <c r="AF98" s="597"/>
      <c r="AG98" s="576"/>
      <c r="AH98" s="579"/>
      <c r="AI98" s="568"/>
      <c r="AK98" s="617">
        <f t="shared" si="88"/>
        <v>0</v>
      </c>
    </row>
    <row r="99" spans="1:37" ht="30">
      <c r="A99" s="570" t="s">
        <v>12998</v>
      </c>
      <c r="B99" s="571" t="str">
        <f>PLANILHA!D98</f>
        <v>REMOÇÃO DE FORROS DE DRYWALL, PVC E FIBROMINERAL, DE FORMA MANUAL, SEM REAPROVEITAMENTO. AF_12/2017</v>
      </c>
      <c r="C99" s="572" t="str">
        <f>PLANILHA!E98</f>
        <v>M2</v>
      </c>
      <c r="D99" s="573">
        <f>PLANILHA!F98</f>
        <v>326.10000000000002</v>
      </c>
      <c r="E99" s="573">
        <f>VLOOKUP(A99,PLANILHA,$G$7,0)</f>
        <v>1.51</v>
      </c>
      <c r="F99" s="574">
        <f t="shared" si="92"/>
        <v>492.41</v>
      </c>
      <c r="G99" s="580"/>
      <c r="H99" s="576">
        <f>G99*$E99</f>
        <v>0</v>
      </c>
      <c r="I99" s="576"/>
      <c r="J99" s="576">
        <f>I99*$E99</f>
        <v>0</v>
      </c>
      <c r="K99" s="576"/>
      <c r="L99" s="576">
        <f>K99*$E99</f>
        <v>0</v>
      </c>
      <c r="M99" s="576"/>
      <c r="N99" s="576">
        <f>M99*$E99</f>
        <v>0</v>
      </c>
      <c r="O99" s="576">
        <f>D99</f>
        <v>326.10000000000002</v>
      </c>
      <c r="P99" s="576">
        <f>TRUNC(O99*$E99,2)</f>
        <v>492.41</v>
      </c>
      <c r="Q99" s="576"/>
      <c r="R99" s="577">
        <f>Q99*$E99</f>
        <v>0</v>
      </c>
      <c r="S99" s="578"/>
      <c r="T99" s="576">
        <f>S99*$E99</f>
        <v>0</v>
      </c>
      <c r="U99" s="576"/>
      <c r="V99" s="576">
        <f>U99*$E99</f>
        <v>0</v>
      </c>
      <c r="W99" s="576"/>
      <c r="X99" s="576">
        <f>W99*$E99</f>
        <v>0</v>
      </c>
      <c r="Y99" s="576"/>
      <c r="Z99" s="576">
        <f>Y99*$E99</f>
        <v>0</v>
      </c>
      <c r="AA99" s="576"/>
      <c r="AB99" s="576">
        <f>AA99*$E99</f>
        <v>0</v>
      </c>
      <c r="AC99" s="576"/>
      <c r="AD99" s="579">
        <f>AC99*$E99</f>
        <v>0</v>
      </c>
      <c r="AE99" s="580">
        <f>AC99+AA99+Y99+W99+U99+S99+Q99+O99+M99+K99+I99+G99</f>
        <v>326.10000000000002</v>
      </c>
      <c r="AF99" s="576">
        <f t="shared" ref="AF99:AF102" si="93">TRUNC(AE99*E99,2)</f>
        <v>492.41</v>
      </c>
      <c r="AG99" s="576">
        <f>D99-AE99</f>
        <v>0</v>
      </c>
      <c r="AH99" s="579">
        <f>AG99*E99</f>
        <v>0</v>
      </c>
      <c r="AK99" s="617">
        <f t="shared" si="88"/>
        <v>0</v>
      </c>
    </row>
    <row r="100" spans="1:37" ht="30">
      <c r="A100" s="570" t="s">
        <v>7059</v>
      </c>
      <c r="B100" s="571" t="str">
        <f>PLANILHA!D99</f>
        <v>REMOÇÃO DE PORTAS, DE FORMA MANUAL, SEM REAPROVEITAMENTO. AF_12/2017</v>
      </c>
      <c r="C100" s="572" t="str">
        <f>PLANILHA!E99</f>
        <v>M2</v>
      </c>
      <c r="D100" s="573">
        <f>PLANILHA!F99</f>
        <v>26.61</v>
      </c>
      <c r="E100" s="573">
        <f>VLOOKUP(A100,PLANILHA,$G$7,0)</f>
        <v>8.69</v>
      </c>
      <c r="F100" s="574">
        <f t="shared" si="92"/>
        <v>231.24</v>
      </c>
      <c r="G100" s="580"/>
      <c r="H100" s="576">
        <f>G100*$E100</f>
        <v>0</v>
      </c>
      <c r="I100" s="576"/>
      <c r="J100" s="576">
        <f>I100*$E100</f>
        <v>0</v>
      </c>
      <c r="K100" s="576"/>
      <c r="L100" s="576">
        <f>K100*$E100</f>
        <v>0</v>
      </c>
      <c r="M100" s="576"/>
      <c r="N100" s="576">
        <f>M100*$E100</f>
        <v>0</v>
      </c>
      <c r="O100" s="576">
        <f>D100</f>
        <v>26.61</v>
      </c>
      <c r="P100" s="576">
        <f t="shared" ref="P100:P102" si="94">TRUNC(O100*$E100,2)</f>
        <v>231.24</v>
      </c>
      <c r="Q100" s="576"/>
      <c r="R100" s="577">
        <f>Q100*$E100</f>
        <v>0</v>
      </c>
      <c r="S100" s="578"/>
      <c r="T100" s="576">
        <f>S100*$E100</f>
        <v>0</v>
      </c>
      <c r="U100" s="576"/>
      <c r="V100" s="576">
        <f>U100*$E100</f>
        <v>0</v>
      </c>
      <c r="W100" s="576"/>
      <c r="X100" s="576">
        <f>W100*$E100</f>
        <v>0</v>
      </c>
      <c r="Y100" s="576"/>
      <c r="Z100" s="576">
        <f>Y100*$E100</f>
        <v>0</v>
      </c>
      <c r="AA100" s="576"/>
      <c r="AB100" s="576">
        <f>AA100*$E100</f>
        <v>0</v>
      </c>
      <c r="AC100" s="576"/>
      <c r="AD100" s="579">
        <f>AC100*$E100</f>
        <v>0</v>
      </c>
      <c r="AE100" s="580">
        <f>AC100+AA100+Y100+W100+U100+S100+Q100+O100+M100+K100+I100+G100</f>
        <v>26.61</v>
      </c>
      <c r="AF100" s="576">
        <f t="shared" si="93"/>
        <v>231.24</v>
      </c>
      <c r="AG100" s="576">
        <f>D100-AE100</f>
        <v>0</v>
      </c>
      <c r="AH100" s="579">
        <f>AG100*E100</f>
        <v>0</v>
      </c>
      <c r="AK100" s="617">
        <f t="shared" si="88"/>
        <v>0</v>
      </c>
    </row>
    <row r="101" spans="1:37" ht="30">
      <c r="A101" s="570" t="s">
        <v>7060</v>
      </c>
      <c r="B101" s="571" t="str">
        <f>PLANILHA!D100</f>
        <v>REMOÇÃO DE JANELAS, DE FORMA MANUAL, SEM REAPROVEITAMENTO. AF_12/2017</v>
      </c>
      <c r="C101" s="572" t="str">
        <f>PLANILHA!E100</f>
        <v>M2</v>
      </c>
      <c r="D101" s="573">
        <f>PLANILHA!F100</f>
        <v>106.4</v>
      </c>
      <c r="E101" s="573">
        <f>VLOOKUP(A101,PLANILHA,$G$7,0)</f>
        <v>31.7</v>
      </c>
      <c r="F101" s="574">
        <f t="shared" si="92"/>
        <v>3372.88</v>
      </c>
      <c r="G101" s="580"/>
      <c r="H101" s="576">
        <f>G101*$E101</f>
        <v>0</v>
      </c>
      <c r="I101" s="576"/>
      <c r="J101" s="576">
        <f>I101*$E101</f>
        <v>0</v>
      </c>
      <c r="K101" s="576"/>
      <c r="L101" s="576">
        <f>K101*$E101</f>
        <v>0</v>
      </c>
      <c r="M101" s="576"/>
      <c r="N101" s="576">
        <f>M101*$E101</f>
        <v>0</v>
      </c>
      <c r="O101" s="576">
        <f>D101</f>
        <v>106.4</v>
      </c>
      <c r="P101" s="576">
        <f t="shared" si="94"/>
        <v>3372.88</v>
      </c>
      <c r="Q101" s="576"/>
      <c r="R101" s="577">
        <f>Q101*$E101</f>
        <v>0</v>
      </c>
      <c r="S101" s="578"/>
      <c r="T101" s="576">
        <f>S101*$E101</f>
        <v>0</v>
      </c>
      <c r="U101" s="576"/>
      <c r="V101" s="576">
        <f>U101*$E101</f>
        <v>0</v>
      </c>
      <c r="W101" s="576"/>
      <c r="X101" s="576">
        <f>W101*$E101</f>
        <v>0</v>
      </c>
      <c r="Y101" s="576"/>
      <c r="Z101" s="576">
        <f>Y101*$E101</f>
        <v>0</v>
      </c>
      <c r="AA101" s="576"/>
      <c r="AB101" s="576">
        <f>AA101*$E101</f>
        <v>0</v>
      </c>
      <c r="AC101" s="576"/>
      <c r="AD101" s="579">
        <f>AC101*$E101</f>
        <v>0</v>
      </c>
      <c r="AE101" s="580">
        <f>AC101+AA101+Y101+W101+U101+S101+Q101+O101+M101+K101+I101+G101</f>
        <v>106.4</v>
      </c>
      <c r="AF101" s="576">
        <f t="shared" si="93"/>
        <v>3372.88</v>
      </c>
      <c r="AG101" s="576">
        <f>D101-AE101</f>
        <v>0</v>
      </c>
      <c r="AH101" s="579">
        <f>AG101*E101</f>
        <v>0</v>
      </c>
      <c r="AK101" s="617">
        <f t="shared" si="88"/>
        <v>0</v>
      </c>
    </row>
    <row r="102" spans="1:37" ht="30">
      <c r="A102" s="570" t="s">
        <v>13839</v>
      </c>
      <c r="B102" s="571" t="str">
        <f>PLANILHA!D101</f>
        <v>DEMOLIÇÃO DE ALVENARIA DE BLOCO FURADO, DE FORMA MANUAL, SEM REAPROVEITAMENTO. AF_12/2017</v>
      </c>
      <c r="C102" s="572" t="str">
        <f>PLANILHA!E101</f>
        <v>M3</v>
      </c>
      <c r="D102" s="573">
        <f>PLANILHA!F101</f>
        <v>6.13</v>
      </c>
      <c r="E102" s="573">
        <f>VLOOKUP(A102,PLANILHA,$G$7,0)</f>
        <v>53.6</v>
      </c>
      <c r="F102" s="574">
        <f t="shared" si="92"/>
        <v>328.56</v>
      </c>
      <c r="G102" s="580"/>
      <c r="H102" s="576">
        <f>G102*$E102</f>
        <v>0</v>
      </c>
      <c r="I102" s="576"/>
      <c r="J102" s="576">
        <f>I102*$E102</f>
        <v>0</v>
      </c>
      <c r="K102" s="576"/>
      <c r="L102" s="576">
        <f>K102*$E102</f>
        <v>0</v>
      </c>
      <c r="M102" s="576"/>
      <c r="N102" s="576">
        <f>M102*$E102</f>
        <v>0</v>
      </c>
      <c r="O102" s="576">
        <f>D102</f>
        <v>6.13</v>
      </c>
      <c r="P102" s="576">
        <f t="shared" si="94"/>
        <v>328.56</v>
      </c>
      <c r="Q102" s="576"/>
      <c r="R102" s="577">
        <f>Q102*$E102</f>
        <v>0</v>
      </c>
      <c r="S102" s="578"/>
      <c r="T102" s="576">
        <f>S102*$E102</f>
        <v>0</v>
      </c>
      <c r="U102" s="576"/>
      <c r="V102" s="576">
        <f>U102*$E102</f>
        <v>0</v>
      </c>
      <c r="W102" s="576"/>
      <c r="X102" s="576">
        <f>W102*$E102</f>
        <v>0</v>
      </c>
      <c r="Y102" s="576"/>
      <c r="Z102" s="576">
        <f>Y102*$E102</f>
        <v>0</v>
      </c>
      <c r="AA102" s="576"/>
      <c r="AB102" s="576">
        <f>AA102*$E102</f>
        <v>0</v>
      </c>
      <c r="AC102" s="576"/>
      <c r="AD102" s="579">
        <f>AC102*$E102</f>
        <v>0</v>
      </c>
      <c r="AE102" s="580">
        <f>AC102+AA102+Y102+W102+U102+S102+Q102+O102+M102+K102+I102+G102</f>
        <v>6.13</v>
      </c>
      <c r="AF102" s="576">
        <f t="shared" si="93"/>
        <v>328.56</v>
      </c>
      <c r="AG102" s="576">
        <f>D102-AE102</f>
        <v>0</v>
      </c>
      <c r="AH102" s="579">
        <f>AG102*E102</f>
        <v>0</v>
      </c>
      <c r="AK102" s="617">
        <f t="shared" si="88"/>
        <v>0</v>
      </c>
    </row>
    <row r="103" spans="1:37" s="569" customFormat="1">
      <c r="A103" s="581" t="s">
        <v>27216</v>
      </c>
      <c r="B103" s="582"/>
      <c r="C103" s="583"/>
      <c r="D103" s="584"/>
      <c r="E103" s="584"/>
      <c r="F103" s="585">
        <f t="shared" si="92"/>
        <v>4425.0900000000011</v>
      </c>
      <c r="G103" s="586"/>
      <c r="H103" s="584">
        <f>SUM(H99:H102)</f>
        <v>0</v>
      </c>
      <c r="I103" s="584"/>
      <c r="J103" s="584">
        <f>SUM(J99:J102)</f>
        <v>0</v>
      </c>
      <c r="K103" s="584"/>
      <c r="L103" s="584">
        <f>SUM(L99:L102)</f>
        <v>0</v>
      </c>
      <c r="M103" s="584"/>
      <c r="N103" s="584">
        <f>SUM(N99:N102)</f>
        <v>0</v>
      </c>
      <c r="O103" s="584"/>
      <c r="P103" s="584">
        <f>SUM(P99:P102)</f>
        <v>4425.0900000000011</v>
      </c>
      <c r="Q103" s="584"/>
      <c r="R103" s="587">
        <f>SUM(R99:R102)</f>
        <v>0</v>
      </c>
      <c r="S103" s="588"/>
      <c r="T103" s="584">
        <f>SUM(T99:T102)</f>
        <v>0</v>
      </c>
      <c r="U103" s="584"/>
      <c r="V103" s="584">
        <f>SUM(V99:V102)</f>
        <v>0</v>
      </c>
      <c r="W103" s="584"/>
      <c r="X103" s="584">
        <f>SUM(X99:X102)</f>
        <v>0</v>
      </c>
      <c r="Y103" s="584"/>
      <c r="Z103" s="584">
        <f>SUM(Z99:Z102)</f>
        <v>0</v>
      </c>
      <c r="AA103" s="584"/>
      <c r="AB103" s="584">
        <f>SUM(AB99:AB102)</f>
        <v>0</v>
      </c>
      <c r="AC103" s="584"/>
      <c r="AD103" s="585">
        <f>SUM(AD99:AD102)</f>
        <v>0</v>
      </c>
      <c r="AE103" s="590"/>
      <c r="AF103" s="584">
        <f>SUM(AF99:AF102)</f>
        <v>4425.0900000000011</v>
      </c>
      <c r="AG103" s="591"/>
      <c r="AH103" s="585">
        <f>SUM(AH99:AH102)</f>
        <v>0</v>
      </c>
      <c r="AI103" s="568"/>
      <c r="AK103" s="617">
        <f t="shared" si="88"/>
        <v>0</v>
      </c>
    </row>
    <row r="104" spans="1:37">
      <c r="A104" s="570"/>
      <c r="B104" s="571"/>
      <c r="C104" s="572"/>
      <c r="D104" s="573"/>
      <c r="E104" s="573"/>
      <c r="F104" s="574"/>
      <c r="G104" s="580"/>
      <c r="H104" s="576"/>
      <c r="I104" s="576"/>
      <c r="J104" s="576"/>
      <c r="K104" s="576"/>
      <c r="L104" s="576"/>
      <c r="M104" s="576"/>
      <c r="N104" s="576"/>
      <c r="O104" s="576"/>
      <c r="P104" s="576"/>
      <c r="Q104" s="576"/>
      <c r="R104" s="577"/>
      <c r="S104" s="578"/>
      <c r="T104" s="576"/>
      <c r="U104" s="576"/>
      <c r="V104" s="576"/>
      <c r="W104" s="576"/>
      <c r="X104" s="576"/>
      <c r="Y104" s="576"/>
      <c r="Z104" s="576"/>
      <c r="AA104" s="576"/>
      <c r="AB104" s="576"/>
      <c r="AC104" s="576"/>
      <c r="AD104" s="579"/>
      <c r="AE104" s="580"/>
      <c r="AF104" s="576"/>
      <c r="AG104" s="576"/>
      <c r="AH104" s="579"/>
      <c r="AK104" s="617">
        <f t="shared" si="88"/>
        <v>0</v>
      </c>
    </row>
    <row r="105" spans="1:37">
      <c r="A105" s="570" t="s">
        <v>63</v>
      </c>
      <c r="B105" s="571" t="str">
        <f>PLANILHA!D104</f>
        <v>PISOS</v>
      </c>
      <c r="C105" s="572"/>
      <c r="D105" s="573"/>
      <c r="E105" s="573"/>
      <c r="F105" s="574">
        <f>VLOOKUP(A105,PLANILHA,$G$6,0)</f>
        <v>0</v>
      </c>
      <c r="G105" s="580"/>
      <c r="H105" s="576"/>
      <c r="I105" s="576"/>
      <c r="J105" s="576"/>
      <c r="K105" s="576"/>
      <c r="L105" s="576"/>
      <c r="M105" s="576"/>
      <c r="N105" s="576"/>
      <c r="O105" s="576"/>
      <c r="P105" s="576"/>
      <c r="Q105" s="576"/>
      <c r="R105" s="577"/>
      <c r="S105" s="578"/>
      <c r="T105" s="576"/>
      <c r="U105" s="576"/>
      <c r="V105" s="576"/>
      <c r="W105" s="576"/>
      <c r="X105" s="576"/>
      <c r="Y105" s="576"/>
      <c r="Z105" s="576"/>
      <c r="AA105" s="576"/>
      <c r="AB105" s="576"/>
      <c r="AC105" s="576"/>
      <c r="AD105" s="579"/>
      <c r="AE105" s="580"/>
      <c r="AF105" s="576"/>
      <c r="AG105" s="576"/>
      <c r="AH105" s="579">
        <f>AG105*E105</f>
        <v>0</v>
      </c>
      <c r="AK105" s="617">
        <f t="shared" si="88"/>
        <v>0</v>
      </c>
    </row>
    <row r="106" spans="1:37" ht="60">
      <c r="A106" s="570" t="s">
        <v>13307</v>
      </c>
      <c r="B106" s="571" t="str">
        <f>PLANILHA!D105</f>
        <v>REVESTIMENTO CERÂMICO PARA PISO COM PLACAS TIPO PORCELANATO ARTSY CEMENT NATURAL  0,90X0,90m PORTOBELLO OU SIMILAR, ARGAMASSA TIPO AC III,FORNECIMENTO E INSTALAÇÃO. AF_06/2014</v>
      </c>
      <c r="C106" s="572" t="str">
        <f>PLANILHA!E105</f>
        <v>m²</v>
      </c>
      <c r="D106" s="573">
        <f>PLANILHA!F105</f>
        <v>326.10000000000002</v>
      </c>
      <c r="E106" s="573">
        <f>VLOOKUP(A106,PLANILHA,$G$7,0)</f>
        <v>221.42</v>
      </c>
      <c r="F106" s="574">
        <f>VLOOKUP(A106,PLANILHA,$G$6,0)</f>
        <v>72205.06</v>
      </c>
      <c r="G106" s="580"/>
      <c r="H106" s="576">
        <f>G106*$E106</f>
        <v>0</v>
      </c>
      <c r="I106" s="576"/>
      <c r="J106" s="576">
        <f>I106*$E106</f>
        <v>0</v>
      </c>
      <c r="K106" s="576"/>
      <c r="L106" s="576">
        <f>K106*$E106</f>
        <v>0</v>
      </c>
      <c r="M106" s="576"/>
      <c r="N106" s="576">
        <f>M106*$E106</f>
        <v>0</v>
      </c>
      <c r="O106" s="576">
        <f>D106</f>
        <v>326.10000000000002</v>
      </c>
      <c r="P106" s="576">
        <f t="shared" ref="P106:P107" si="95">TRUNC(O106*$E106,2)</f>
        <v>72205.06</v>
      </c>
      <c r="Q106" s="576"/>
      <c r="R106" s="577">
        <f>Q106*$E106</f>
        <v>0</v>
      </c>
      <c r="S106" s="578"/>
      <c r="T106" s="576">
        <f>S106*$E106</f>
        <v>0</v>
      </c>
      <c r="U106" s="576"/>
      <c r="V106" s="576">
        <f>U106*$E106</f>
        <v>0</v>
      </c>
      <c r="W106" s="576"/>
      <c r="X106" s="576">
        <f>W106*$E106</f>
        <v>0</v>
      </c>
      <c r="Y106" s="576"/>
      <c r="Z106" s="576">
        <f>Y106*$E106</f>
        <v>0</v>
      </c>
      <c r="AA106" s="576"/>
      <c r="AB106" s="576">
        <f>AA106*$E106</f>
        <v>0</v>
      </c>
      <c r="AC106" s="576"/>
      <c r="AD106" s="579">
        <f>AC106*$E106</f>
        <v>0</v>
      </c>
      <c r="AE106" s="580">
        <f>AC106+AA106+Y106+W106+U106+S106+Q106+O106+M106+K106+I106+G106</f>
        <v>326.10000000000002</v>
      </c>
      <c r="AF106" s="576">
        <f t="shared" ref="AF106:AF107" si="96">TRUNC(AE106*E106,2)</f>
        <v>72205.06</v>
      </c>
      <c r="AG106" s="576">
        <f>D106-AE106</f>
        <v>0</v>
      </c>
      <c r="AH106" s="579">
        <f>AG106*E106</f>
        <v>0</v>
      </c>
      <c r="AK106" s="617">
        <f t="shared" si="88"/>
        <v>0</v>
      </c>
    </row>
    <row r="107" spans="1:37" ht="60">
      <c r="A107" s="570" t="s">
        <v>7062</v>
      </c>
      <c r="B107" s="571" t="str">
        <f>PLANILHA!D106</f>
        <v>RODAPÉ DE 7CM EM REVESTIMENTO CERÂMICO PARA PISO COM PLACAS TIPO PORCELANATO ARTSY CEMENT NATURAL  0,90X0,90m PORTOBELLO OU SIMILAR, ARGAMASSA TIPO AC III,FORNECIMENTO E INSTALAÇÃO. AF_06/2014</v>
      </c>
      <c r="C107" s="572" t="str">
        <f>PLANILHA!E106</f>
        <v xml:space="preserve">m </v>
      </c>
      <c r="D107" s="573">
        <f>PLANILHA!F106</f>
        <v>184.61</v>
      </c>
      <c r="E107" s="573">
        <f>VLOOKUP(A107,PLANILHA,$G$7,0)</f>
        <v>17.5</v>
      </c>
      <c r="F107" s="574">
        <f>VLOOKUP(A107,PLANILHA,$G$6,0)</f>
        <v>3230.67</v>
      </c>
      <c r="G107" s="580"/>
      <c r="H107" s="576">
        <f>G107*$E107</f>
        <v>0</v>
      </c>
      <c r="I107" s="576"/>
      <c r="J107" s="576">
        <f>I107*$E107</f>
        <v>0</v>
      </c>
      <c r="K107" s="576"/>
      <c r="L107" s="576">
        <f>K107*$E107</f>
        <v>0</v>
      </c>
      <c r="M107" s="576"/>
      <c r="N107" s="576">
        <f>M107*$E107</f>
        <v>0</v>
      </c>
      <c r="O107" s="576">
        <f>D107</f>
        <v>184.61</v>
      </c>
      <c r="P107" s="576">
        <f t="shared" si="95"/>
        <v>3230.67</v>
      </c>
      <c r="Q107" s="576"/>
      <c r="R107" s="577">
        <f>Q107*$E107</f>
        <v>0</v>
      </c>
      <c r="S107" s="578"/>
      <c r="T107" s="576">
        <f>S107*$E107</f>
        <v>0</v>
      </c>
      <c r="U107" s="576"/>
      <c r="V107" s="576">
        <f>U107*$E107</f>
        <v>0</v>
      </c>
      <c r="W107" s="576"/>
      <c r="X107" s="576">
        <f>W107*$E107</f>
        <v>0</v>
      </c>
      <c r="Y107" s="576"/>
      <c r="Z107" s="576">
        <f>Y107*$E107</f>
        <v>0</v>
      </c>
      <c r="AA107" s="576"/>
      <c r="AB107" s="576">
        <f>AA107*$E107</f>
        <v>0</v>
      </c>
      <c r="AC107" s="576"/>
      <c r="AD107" s="579">
        <f>AC107*$E107</f>
        <v>0</v>
      </c>
      <c r="AE107" s="580">
        <f>AC107+AA107+Y107+W107+U107+S107+Q107+O107+M107+K107+I107+G107</f>
        <v>184.61</v>
      </c>
      <c r="AF107" s="576">
        <f t="shared" si="96"/>
        <v>3230.67</v>
      </c>
      <c r="AG107" s="576">
        <f>D107-AE107</f>
        <v>0</v>
      </c>
      <c r="AH107" s="579">
        <f>AG107*E107</f>
        <v>0</v>
      </c>
      <c r="AK107" s="617">
        <f t="shared" si="88"/>
        <v>0</v>
      </c>
    </row>
    <row r="108" spans="1:37" s="569" customFormat="1">
      <c r="A108" s="581" t="s">
        <v>27217</v>
      </c>
      <c r="B108" s="582"/>
      <c r="C108" s="583"/>
      <c r="D108" s="584"/>
      <c r="E108" s="584"/>
      <c r="F108" s="585">
        <f>VLOOKUP(A108,PLANILHA,$G$6,0)</f>
        <v>75435.73</v>
      </c>
      <c r="G108" s="586"/>
      <c r="H108" s="584">
        <f t="shared" ref="H108:AH108" si="97">SUM(H106:H107)</f>
        <v>0</v>
      </c>
      <c r="I108" s="584"/>
      <c r="J108" s="584">
        <f t="shared" si="97"/>
        <v>0</v>
      </c>
      <c r="K108" s="584"/>
      <c r="L108" s="584">
        <f t="shared" si="97"/>
        <v>0</v>
      </c>
      <c r="M108" s="584"/>
      <c r="N108" s="584">
        <f t="shared" si="97"/>
        <v>0</v>
      </c>
      <c r="O108" s="584"/>
      <c r="P108" s="584">
        <f t="shared" si="97"/>
        <v>75435.73</v>
      </c>
      <c r="Q108" s="584"/>
      <c r="R108" s="587">
        <f t="shared" si="97"/>
        <v>0</v>
      </c>
      <c r="S108" s="588"/>
      <c r="T108" s="584">
        <f t="shared" si="97"/>
        <v>0</v>
      </c>
      <c r="U108" s="584"/>
      <c r="V108" s="584">
        <f t="shared" si="97"/>
        <v>0</v>
      </c>
      <c r="W108" s="584"/>
      <c r="X108" s="584">
        <f t="shared" si="97"/>
        <v>0</v>
      </c>
      <c r="Y108" s="584"/>
      <c r="Z108" s="584">
        <f t="shared" si="97"/>
        <v>0</v>
      </c>
      <c r="AA108" s="584"/>
      <c r="AB108" s="584">
        <f t="shared" si="97"/>
        <v>0</v>
      </c>
      <c r="AC108" s="584"/>
      <c r="AD108" s="585">
        <f t="shared" si="97"/>
        <v>0</v>
      </c>
      <c r="AE108" s="590"/>
      <c r="AF108" s="584">
        <f t="shared" si="97"/>
        <v>75435.73</v>
      </c>
      <c r="AG108" s="591"/>
      <c r="AH108" s="585">
        <f t="shared" si="97"/>
        <v>0</v>
      </c>
      <c r="AI108" s="568"/>
      <c r="AK108" s="617">
        <f t="shared" si="88"/>
        <v>0</v>
      </c>
    </row>
    <row r="109" spans="1:37">
      <c r="A109" s="570"/>
      <c r="B109" s="571"/>
      <c r="C109" s="572"/>
      <c r="D109" s="573"/>
      <c r="E109" s="573"/>
      <c r="F109" s="574"/>
      <c r="G109" s="580"/>
      <c r="H109" s="576"/>
      <c r="I109" s="576"/>
      <c r="J109" s="576"/>
      <c r="K109" s="576"/>
      <c r="L109" s="576"/>
      <c r="M109" s="576"/>
      <c r="N109" s="576"/>
      <c r="O109" s="576"/>
      <c r="P109" s="576"/>
      <c r="Q109" s="576"/>
      <c r="R109" s="577"/>
      <c r="S109" s="578"/>
      <c r="T109" s="576"/>
      <c r="U109" s="576"/>
      <c r="V109" s="576"/>
      <c r="W109" s="576"/>
      <c r="X109" s="576"/>
      <c r="Y109" s="576"/>
      <c r="Z109" s="576"/>
      <c r="AA109" s="576"/>
      <c r="AB109" s="576"/>
      <c r="AC109" s="576"/>
      <c r="AD109" s="579"/>
      <c r="AE109" s="580"/>
      <c r="AF109" s="576"/>
      <c r="AG109" s="576"/>
      <c r="AH109" s="579"/>
      <c r="AK109" s="617">
        <f t="shared" si="88"/>
        <v>0</v>
      </c>
    </row>
    <row r="110" spans="1:37">
      <c r="A110" s="570" t="s">
        <v>64</v>
      </c>
      <c r="B110" s="571" t="str">
        <f>PLANILHA!D109</f>
        <v>PORTAS</v>
      </c>
      <c r="C110" s="572"/>
      <c r="D110" s="573"/>
      <c r="E110" s="573"/>
      <c r="F110" s="574">
        <f t="shared" ref="F110:F120" si="98">VLOOKUP(A110,PLANILHA,$G$6,0)</f>
        <v>0</v>
      </c>
      <c r="G110" s="580"/>
      <c r="H110" s="576"/>
      <c r="I110" s="576"/>
      <c r="J110" s="576"/>
      <c r="K110" s="576"/>
      <c r="L110" s="576"/>
      <c r="M110" s="576"/>
      <c r="N110" s="576"/>
      <c r="O110" s="576"/>
      <c r="P110" s="576"/>
      <c r="Q110" s="576"/>
      <c r="R110" s="577"/>
      <c r="S110" s="578"/>
      <c r="T110" s="576"/>
      <c r="U110" s="576"/>
      <c r="V110" s="576"/>
      <c r="W110" s="576"/>
      <c r="X110" s="576"/>
      <c r="Y110" s="576"/>
      <c r="Z110" s="576"/>
      <c r="AA110" s="576"/>
      <c r="AB110" s="576"/>
      <c r="AC110" s="576"/>
      <c r="AD110" s="579"/>
      <c r="AE110" s="580"/>
      <c r="AF110" s="576"/>
      <c r="AG110" s="576"/>
      <c r="AH110" s="579"/>
      <c r="AK110" s="617">
        <f t="shared" si="88"/>
        <v>0</v>
      </c>
    </row>
    <row r="111" spans="1:37" ht="60">
      <c r="A111" s="570" t="s">
        <v>7061</v>
      </c>
      <c r="B111" s="571" t="str">
        <f>PLANILHA!D110</f>
        <v>KIT PORTA PRONTA PRETA LISA SÓLIDA PORMADE O,80X2,10,ACABAMENTO DE COR UNIFORME, MARCOS E ALIZARES EM PVC WOOD, RESISTENTES A ESTUFAMENTOS. FORNECIMENTO E INSTALAÇÃO.</v>
      </c>
      <c r="C111" s="572" t="str">
        <f>PLANILHA!E110</f>
        <v>UND</v>
      </c>
      <c r="D111" s="573">
        <f>PLANILHA!F110</f>
        <v>7</v>
      </c>
      <c r="E111" s="573">
        <f t="shared" ref="E111:E119" si="99">VLOOKUP(A111,PLANILHA,$G$7,0)</f>
        <v>3111.29</v>
      </c>
      <c r="F111" s="574">
        <f t="shared" si="98"/>
        <v>21779.03</v>
      </c>
      <c r="G111" s="580"/>
      <c r="H111" s="576">
        <f>G111*$E111</f>
        <v>0</v>
      </c>
      <c r="I111" s="576"/>
      <c r="J111" s="576">
        <f>I111*$E111</f>
        <v>0</v>
      </c>
      <c r="K111" s="576"/>
      <c r="L111" s="576">
        <f>K111*$E111</f>
        <v>0</v>
      </c>
      <c r="M111" s="576"/>
      <c r="N111" s="576">
        <f>M111*$E111</f>
        <v>0</v>
      </c>
      <c r="O111" s="576">
        <f>D111</f>
        <v>7</v>
      </c>
      <c r="P111" s="576">
        <f t="shared" ref="P111:P119" si="100">TRUNC(O111*$E111,2)</f>
        <v>21779.03</v>
      </c>
      <c r="Q111" s="576"/>
      <c r="R111" s="577">
        <f>Q111*$E111</f>
        <v>0</v>
      </c>
      <c r="S111" s="578"/>
      <c r="T111" s="576">
        <f>S111*$E111</f>
        <v>0</v>
      </c>
      <c r="U111" s="576"/>
      <c r="V111" s="576">
        <f>U111*$E111</f>
        <v>0</v>
      </c>
      <c r="W111" s="576"/>
      <c r="X111" s="576">
        <f>W111*$E111</f>
        <v>0</v>
      </c>
      <c r="Y111" s="576"/>
      <c r="Z111" s="576">
        <f>Y111*$E111</f>
        <v>0</v>
      </c>
      <c r="AA111" s="576"/>
      <c r="AB111" s="576">
        <f>AA111*$E111</f>
        <v>0</v>
      </c>
      <c r="AC111" s="576"/>
      <c r="AD111" s="579">
        <f>AC111*$E111</f>
        <v>0</v>
      </c>
      <c r="AE111" s="580">
        <f>AC111+AA111+Y111+W111+U111+S111+Q111+O111+M111+K111+I111+G111</f>
        <v>7</v>
      </c>
      <c r="AF111" s="576">
        <f t="shared" ref="AF111:AF119" si="101">TRUNC(AE111*E111,2)</f>
        <v>21779.03</v>
      </c>
      <c r="AG111" s="576">
        <f>D111-AE111</f>
        <v>0</v>
      </c>
      <c r="AH111" s="579">
        <f>AG111*E111</f>
        <v>0</v>
      </c>
      <c r="AK111" s="617">
        <f t="shared" si="88"/>
        <v>0</v>
      </c>
    </row>
    <row r="112" spans="1:37" ht="60">
      <c r="A112" s="570" t="s">
        <v>7063</v>
      </c>
      <c r="B112" s="571" t="str">
        <f>PLANILHA!D111</f>
        <v>KIT PORTA PRONTA PRETA LISA SÓLIDA PORMADE O,90X2,10,ACABAMENTO DE COR UNIFORME, MARCOS E ALIZARES EM PVC WOOD, RESISTENTES A ESTUFAMENTOS. FORNECIMENTO E INSTALAÇÃO</v>
      </c>
      <c r="C112" s="572" t="str">
        <f>PLANILHA!E111</f>
        <v>UND</v>
      </c>
      <c r="D112" s="573">
        <f>PLANILHA!F111</f>
        <v>1</v>
      </c>
      <c r="E112" s="573">
        <f t="shared" si="99"/>
        <v>3111.29</v>
      </c>
      <c r="F112" s="574">
        <f t="shared" si="98"/>
        <v>3111.29</v>
      </c>
      <c r="G112" s="580"/>
      <c r="H112" s="576">
        <f t="shared" ref="H112:H118" si="102">G112*$E112</f>
        <v>0</v>
      </c>
      <c r="I112" s="576"/>
      <c r="J112" s="576">
        <f t="shared" ref="J112:J118" si="103">I112*$E112</f>
        <v>0</v>
      </c>
      <c r="K112" s="576"/>
      <c r="L112" s="576">
        <f t="shared" ref="L112:L118" si="104">K112*$E112</f>
        <v>0</v>
      </c>
      <c r="M112" s="576"/>
      <c r="N112" s="576">
        <f t="shared" ref="N112:N118" si="105">M112*$E112</f>
        <v>0</v>
      </c>
      <c r="O112" s="576">
        <f t="shared" ref="O112:O119" si="106">D112</f>
        <v>1</v>
      </c>
      <c r="P112" s="576">
        <f t="shared" si="100"/>
        <v>3111.29</v>
      </c>
      <c r="Q112" s="576"/>
      <c r="R112" s="577">
        <f t="shared" ref="R112:R118" si="107">Q112*$E112</f>
        <v>0</v>
      </c>
      <c r="S112" s="578"/>
      <c r="T112" s="576">
        <f t="shared" ref="T112:T118" si="108">S112*$E112</f>
        <v>0</v>
      </c>
      <c r="U112" s="576"/>
      <c r="V112" s="576">
        <f t="shared" ref="V112:V118" si="109">U112*$E112</f>
        <v>0</v>
      </c>
      <c r="W112" s="576"/>
      <c r="X112" s="576">
        <f t="shared" ref="X112:X118" si="110">W112*$E112</f>
        <v>0</v>
      </c>
      <c r="Y112" s="576"/>
      <c r="Z112" s="576">
        <f t="shared" ref="Z112:Z118" si="111">Y112*$E112</f>
        <v>0</v>
      </c>
      <c r="AA112" s="576"/>
      <c r="AB112" s="576">
        <f t="shared" ref="AB112:AB118" si="112">AA112*$E112</f>
        <v>0</v>
      </c>
      <c r="AC112" s="576"/>
      <c r="AD112" s="579">
        <f t="shared" ref="AD112:AD118" si="113">AC112*$E112</f>
        <v>0</v>
      </c>
      <c r="AE112" s="580">
        <f t="shared" ref="AE112:AE118" si="114">AC112+AA112+Y112+W112+U112+S112+Q112+O112+M112+K112+I112+G112</f>
        <v>1</v>
      </c>
      <c r="AF112" s="576">
        <f t="shared" si="101"/>
        <v>3111.29</v>
      </c>
      <c r="AG112" s="576">
        <f t="shared" ref="AG112:AG118" si="115">D112-AE112</f>
        <v>0</v>
      </c>
      <c r="AH112" s="579">
        <f t="shared" ref="AH112:AH118" si="116">AG112*E112</f>
        <v>0</v>
      </c>
      <c r="AK112" s="617">
        <f t="shared" si="88"/>
        <v>0</v>
      </c>
    </row>
    <row r="113" spans="1:37" ht="45">
      <c r="A113" s="570" t="s">
        <v>7064</v>
      </c>
      <c r="B113" s="571" t="str">
        <f>PLANILHA!D112</f>
        <v>PORTA PIVOTANTE DE VIDRO TEMPERADO, 2 FOLHAS DE 80X210 CM, ESPESSURA DE 10MM, INCLUSIVE ACESSÓRIOS. FORNECIMENTO E INSTALAÇÃO. AF_01/2021</v>
      </c>
      <c r="C113" s="572" t="str">
        <f>PLANILHA!E112</f>
        <v>UND</v>
      </c>
      <c r="D113" s="573">
        <f>PLANILHA!F112</f>
        <v>1</v>
      </c>
      <c r="E113" s="573">
        <f t="shared" si="99"/>
        <v>2578.69</v>
      </c>
      <c r="F113" s="574">
        <f t="shared" si="98"/>
        <v>2578.69</v>
      </c>
      <c r="G113" s="580"/>
      <c r="H113" s="576">
        <f t="shared" si="102"/>
        <v>0</v>
      </c>
      <c r="I113" s="576"/>
      <c r="J113" s="576">
        <f t="shared" si="103"/>
        <v>0</v>
      </c>
      <c r="K113" s="576"/>
      <c r="L113" s="576">
        <f t="shared" si="104"/>
        <v>0</v>
      </c>
      <c r="M113" s="576"/>
      <c r="N113" s="576">
        <f t="shared" si="105"/>
        <v>0</v>
      </c>
      <c r="O113" s="576">
        <f t="shared" si="106"/>
        <v>1</v>
      </c>
      <c r="P113" s="576">
        <f t="shared" si="100"/>
        <v>2578.69</v>
      </c>
      <c r="Q113" s="576"/>
      <c r="R113" s="577">
        <f t="shared" si="107"/>
        <v>0</v>
      </c>
      <c r="S113" s="578"/>
      <c r="T113" s="576">
        <f t="shared" si="108"/>
        <v>0</v>
      </c>
      <c r="U113" s="576"/>
      <c r="V113" s="576">
        <f t="shared" si="109"/>
        <v>0</v>
      </c>
      <c r="W113" s="576"/>
      <c r="X113" s="576">
        <f t="shared" si="110"/>
        <v>0</v>
      </c>
      <c r="Y113" s="576"/>
      <c r="Z113" s="576">
        <f t="shared" si="111"/>
        <v>0</v>
      </c>
      <c r="AA113" s="576"/>
      <c r="AB113" s="576">
        <f t="shared" si="112"/>
        <v>0</v>
      </c>
      <c r="AC113" s="576"/>
      <c r="AD113" s="579">
        <f t="shared" si="113"/>
        <v>0</v>
      </c>
      <c r="AE113" s="580">
        <f t="shared" si="114"/>
        <v>1</v>
      </c>
      <c r="AF113" s="576">
        <f t="shared" si="101"/>
        <v>2578.69</v>
      </c>
      <c r="AG113" s="576">
        <f t="shared" si="115"/>
        <v>0</v>
      </c>
      <c r="AH113" s="579">
        <f t="shared" si="116"/>
        <v>0</v>
      </c>
      <c r="AK113" s="617">
        <f t="shared" si="88"/>
        <v>0</v>
      </c>
    </row>
    <row r="114" spans="1:37" ht="45">
      <c r="A114" s="570" t="s">
        <v>7618</v>
      </c>
      <c r="B114" s="571" t="str">
        <f>PLANILHA!D113</f>
        <v>PORTA PIVOTANTE DE VIDRO TEMPERADO E ALUMINIO, 2 FOLHAS DE 100X250 CM, ESPESSURA DE 10MM, INCLUSIVE ACESSÓRIOS. FORNCECIMENTO E INSTALAÇÃO. AF_01/2021</v>
      </c>
      <c r="C114" s="572" t="str">
        <f>PLANILHA!E113</f>
        <v>UND</v>
      </c>
      <c r="D114" s="573">
        <f>PLANILHA!F113</f>
        <v>1</v>
      </c>
      <c r="E114" s="573">
        <f t="shared" si="99"/>
        <v>3580.94</v>
      </c>
      <c r="F114" s="574">
        <f t="shared" si="98"/>
        <v>3580.94</v>
      </c>
      <c r="G114" s="580"/>
      <c r="H114" s="576">
        <f t="shared" si="102"/>
        <v>0</v>
      </c>
      <c r="I114" s="576"/>
      <c r="J114" s="576">
        <f t="shared" si="103"/>
        <v>0</v>
      </c>
      <c r="K114" s="576"/>
      <c r="L114" s="576">
        <f t="shared" si="104"/>
        <v>0</v>
      </c>
      <c r="M114" s="576"/>
      <c r="N114" s="576">
        <f t="shared" si="105"/>
        <v>0</v>
      </c>
      <c r="O114" s="576">
        <f t="shared" si="106"/>
        <v>1</v>
      </c>
      <c r="P114" s="576">
        <f t="shared" si="100"/>
        <v>3580.94</v>
      </c>
      <c r="Q114" s="576"/>
      <c r="R114" s="577">
        <f t="shared" si="107"/>
        <v>0</v>
      </c>
      <c r="S114" s="578"/>
      <c r="T114" s="576">
        <f t="shared" si="108"/>
        <v>0</v>
      </c>
      <c r="U114" s="576"/>
      <c r="V114" s="576">
        <f t="shared" si="109"/>
        <v>0</v>
      </c>
      <c r="W114" s="576"/>
      <c r="X114" s="576">
        <f t="shared" si="110"/>
        <v>0</v>
      </c>
      <c r="Y114" s="576"/>
      <c r="Z114" s="576">
        <f t="shared" si="111"/>
        <v>0</v>
      </c>
      <c r="AA114" s="576"/>
      <c r="AB114" s="576">
        <f t="shared" si="112"/>
        <v>0</v>
      </c>
      <c r="AC114" s="576"/>
      <c r="AD114" s="579">
        <f t="shared" si="113"/>
        <v>0</v>
      </c>
      <c r="AE114" s="580">
        <f t="shared" si="114"/>
        <v>1</v>
      </c>
      <c r="AF114" s="576">
        <f t="shared" si="101"/>
        <v>3580.94</v>
      </c>
      <c r="AG114" s="576">
        <f t="shared" si="115"/>
        <v>0</v>
      </c>
      <c r="AH114" s="579">
        <f t="shared" si="116"/>
        <v>0</v>
      </c>
      <c r="AK114" s="617">
        <f t="shared" si="88"/>
        <v>0</v>
      </c>
    </row>
    <row r="115" spans="1:37" ht="30">
      <c r="A115" s="570" t="s">
        <v>13857</v>
      </c>
      <c r="B115" s="571" t="str">
        <f>PLANILHA!D114</f>
        <v>PORTA DE FERRO, DE ABRIR, TIPO GRADE COM CHAPA, COM GUARNIÇÕES. AF_12/2019</v>
      </c>
      <c r="C115" s="572" t="str">
        <f>PLANILHA!E114</f>
        <v>M2</v>
      </c>
      <c r="D115" s="573">
        <f>PLANILHA!F114</f>
        <v>1.04</v>
      </c>
      <c r="E115" s="573">
        <f t="shared" si="99"/>
        <v>679</v>
      </c>
      <c r="F115" s="574">
        <f t="shared" si="98"/>
        <v>706.16</v>
      </c>
      <c r="G115" s="580"/>
      <c r="H115" s="576">
        <f t="shared" si="102"/>
        <v>0</v>
      </c>
      <c r="I115" s="576"/>
      <c r="J115" s="576">
        <f t="shared" si="103"/>
        <v>0</v>
      </c>
      <c r="K115" s="576"/>
      <c r="L115" s="576">
        <f t="shared" si="104"/>
        <v>0</v>
      </c>
      <c r="M115" s="576"/>
      <c r="N115" s="576">
        <f t="shared" si="105"/>
        <v>0</v>
      </c>
      <c r="O115" s="576">
        <f t="shared" si="106"/>
        <v>1.04</v>
      </c>
      <c r="P115" s="576">
        <f t="shared" si="100"/>
        <v>706.16</v>
      </c>
      <c r="Q115" s="576"/>
      <c r="R115" s="577">
        <f t="shared" si="107"/>
        <v>0</v>
      </c>
      <c r="S115" s="578"/>
      <c r="T115" s="576">
        <f t="shared" si="108"/>
        <v>0</v>
      </c>
      <c r="U115" s="576"/>
      <c r="V115" s="576">
        <f t="shared" si="109"/>
        <v>0</v>
      </c>
      <c r="W115" s="576"/>
      <c r="X115" s="576">
        <f t="shared" si="110"/>
        <v>0</v>
      </c>
      <c r="Y115" s="576"/>
      <c r="Z115" s="576">
        <f t="shared" si="111"/>
        <v>0</v>
      </c>
      <c r="AA115" s="576"/>
      <c r="AB115" s="576">
        <f t="shared" si="112"/>
        <v>0</v>
      </c>
      <c r="AC115" s="576"/>
      <c r="AD115" s="579">
        <f t="shared" si="113"/>
        <v>0</v>
      </c>
      <c r="AE115" s="580">
        <f t="shared" si="114"/>
        <v>1.04</v>
      </c>
      <c r="AF115" s="576">
        <f t="shared" si="101"/>
        <v>706.16</v>
      </c>
      <c r="AG115" s="576">
        <f t="shared" si="115"/>
        <v>0</v>
      </c>
      <c r="AH115" s="579">
        <f t="shared" si="116"/>
        <v>0</v>
      </c>
      <c r="AK115" s="617">
        <f t="shared" si="88"/>
        <v>0</v>
      </c>
    </row>
    <row r="116" spans="1:37" ht="30">
      <c r="A116" s="570" t="s">
        <v>13862</v>
      </c>
      <c r="B116" s="571" t="str">
        <f>PLANILHA!D115</f>
        <v>PELÍCULA DE SEGURANÇA PARA PAINES DE VIDRO, FONECIMENTO E INSTALAÇÃO.</v>
      </c>
      <c r="C116" s="572" t="str">
        <f>PLANILHA!E115</f>
        <v>m²</v>
      </c>
      <c r="D116" s="573">
        <f>PLANILHA!F115</f>
        <v>8.36</v>
      </c>
      <c r="E116" s="573">
        <f t="shared" si="99"/>
        <v>73.09</v>
      </c>
      <c r="F116" s="574">
        <f t="shared" si="98"/>
        <v>611.03</v>
      </c>
      <c r="G116" s="580"/>
      <c r="H116" s="576">
        <f t="shared" si="102"/>
        <v>0</v>
      </c>
      <c r="I116" s="576"/>
      <c r="J116" s="576">
        <f t="shared" si="103"/>
        <v>0</v>
      </c>
      <c r="K116" s="576"/>
      <c r="L116" s="576">
        <f t="shared" si="104"/>
        <v>0</v>
      </c>
      <c r="M116" s="576"/>
      <c r="N116" s="576">
        <f t="shared" si="105"/>
        <v>0</v>
      </c>
      <c r="O116" s="576">
        <f t="shared" si="106"/>
        <v>8.36</v>
      </c>
      <c r="P116" s="576">
        <f t="shared" si="100"/>
        <v>611.03</v>
      </c>
      <c r="Q116" s="576"/>
      <c r="R116" s="577">
        <f t="shared" si="107"/>
        <v>0</v>
      </c>
      <c r="S116" s="578"/>
      <c r="T116" s="576">
        <f t="shared" si="108"/>
        <v>0</v>
      </c>
      <c r="U116" s="576"/>
      <c r="V116" s="576">
        <f t="shared" si="109"/>
        <v>0</v>
      </c>
      <c r="W116" s="576"/>
      <c r="X116" s="576">
        <f t="shared" si="110"/>
        <v>0</v>
      </c>
      <c r="Y116" s="576"/>
      <c r="Z116" s="576">
        <f t="shared" si="111"/>
        <v>0</v>
      </c>
      <c r="AA116" s="576"/>
      <c r="AB116" s="576">
        <f t="shared" si="112"/>
        <v>0</v>
      </c>
      <c r="AC116" s="576"/>
      <c r="AD116" s="579">
        <f t="shared" si="113"/>
        <v>0</v>
      </c>
      <c r="AE116" s="580">
        <f t="shared" si="114"/>
        <v>8.36</v>
      </c>
      <c r="AF116" s="576">
        <f t="shared" si="101"/>
        <v>611.03</v>
      </c>
      <c r="AG116" s="576">
        <f t="shared" si="115"/>
        <v>0</v>
      </c>
      <c r="AH116" s="579">
        <f t="shared" si="116"/>
        <v>0</v>
      </c>
      <c r="AK116" s="617">
        <f t="shared" si="88"/>
        <v>0</v>
      </c>
    </row>
    <row r="117" spans="1:37" ht="30">
      <c r="A117" s="570" t="s">
        <v>13863</v>
      </c>
      <c r="B117" s="571" t="str">
        <f>PLANILHA!D116</f>
        <v>JATEAMENTO ABRASIVO COM GRANALHA DE AÇO EM PERFIL METÁLICO EM FÁBRICA. AF_01/2020</v>
      </c>
      <c r="C117" s="572" t="str">
        <f>PLANILHA!E116</f>
        <v>M2</v>
      </c>
      <c r="D117" s="573">
        <f>PLANILHA!F116</f>
        <v>1.08</v>
      </c>
      <c r="E117" s="573">
        <f t="shared" si="99"/>
        <v>30.58</v>
      </c>
      <c r="F117" s="574">
        <f t="shared" si="98"/>
        <v>33.020000000000003</v>
      </c>
      <c r="G117" s="580"/>
      <c r="H117" s="576">
        <f t="shared" si="102"/>
        <v>0</v>
      </c>
      <c r="I117" s="576"/>
      <c r="J117" s="576">
        <f t="shared" si="103"/>
        <v>0</v>
      </c>
      <c r="K117" s="576"/>
      <c r="L117" s="576">
        <f t="shared" si="104"/>
        <v>0</v>
      </c>
      <c r="M117" s="576"/>
      <c r="N117" s="576">
        <f t="shared" si="105"/>
        <v>0</v>
      </c>
      <c r="O117" s="576">
        <f t="shared" si="106"/>
        <v>1.08</v>
      </c>
      <c r="P117" s="576">
        <f t="shared" si="100"/>
        <v>33.020000000000003</v>
      </c>
      <c r="Q117" s="576"/>
      <c r="R117" s="577">
        <f t="shared" si="107"/>
        <v>0</v>
      </c>
      <c r="S117" s="578"/>
      <c r="T117" s="576">
        <f t="shared" si="108"/>
        <v>0</v>
      </c>
      <c r="U117" s="576"/>
      <c r="V117" s="576">
        <f t="shared" si="109"/>
        <v>0</v>
      </c>
      <c r="W117" s="576"/>
      <c r="X117" s="576">
        <f t="shared" si="110"/>
        <v>0</v>
      </c>
      <c r="Y117" s="576"/>
      <c r="Z117" s="576">
        <f t="shared" si="111"/>
        <v>0</v>
      </c>
      <c r="AA117" s="576"/>
      <c r="AB117" s="576">
        <f t="shared" si="112"/>
        <v>0</v>
      </c>
      <c r="AC117" s="576"/>
      <c r="AD117" s="579">
        <f t="shared" si="113"/>
        <v>0</v>
      </c>
      <c r="AE117" s="580">
        <f t="shared" si="114"/>
        <v>1.08</v>
      </c>
      <c r="AF117" s="576">
        <f t="shared" si="101"/>
        <v>33.020000000000003</v>
      </c>
      <c r="AG117" s="576">
        <f t="shared" si="115"/>
        <v>0</v>
      </c>
      <c r="AH117" s="579">
        <f t="shared" si="116"/>
        <v>0</v>
      </c>
      <c r="AK117" s="617">
        <f t="shared" si="88"/>
        <v>0</v>
      </c>
    </row>
    <row r="118" spans="1:37" ht="30">
      <c r="A118" s="570" t="s">
        <v>13868</v>
      </c>
      <c r="B118" s="571" t="str">
        <f>PLANILHA!D117</f>
        <v>CHAPA DE AÇO INOX PARA PROTEÇÃO DAS PORTAS DOS BANHEIROS (PCD) - 2 FACES. FORNECIMENTO E INSTALAÇÃO.</v>
      </c>
      <c r="C118" s="572" t="str">
        <f>PLANILHA!E117</f>
        <v>m</v>
      </c>
      <c r="D118" s="573">
        <f>PLANILHA!F117</f>
        <v>0.9</v>
      </c>
      <c r="E118" s="573">
        <f t="shared" si="99"/>
        <v>170.13</v>
      </c>
      <c r="F118" s="574">
        <f t="shared" si="98"/>
        <v>153.11000000000001</v>
      </c>
      <c r="G118" s="580"/>
      <c r="H118" s="576">
        <f t="shared" si="102"/>
        <v>0</v>
      </c>
      <c r="I118" s="576"/>
      <c r="J118" s="576">
        <f t="shared" si="103"/>
        <v>0</v>
      </c>
      <c r="K118" s="576"/>
      <c r="L118" s="576">
        <f t="shared" si="104"/>
        <v>0</v>
      </c>
      <c r="M118" s="576"/>
      <c r="N118" s="576">
        <f t="shared" si="105"/>
        <v>0</v>
      </c>
      <c r="O118" s="576">
        <f t="shared" si="106"/>
        <v>0.9</v>
      </c>
      <c r="P118" s="576">
        <f t="shared" si="100"/>
        <v>153.11000000000001</v>
      </c>
      <c r="Q118" s="576"/>
      <c r="R118" s="577">
        <f t="shared" si="107"/>
        <v>0</v>
      </c>
      <c r="S118" s="578"/>
      <c r="T118" s="576">
        <f t="shared" si="108"/>
        <v>0</v>
      </c>
      <c r="U118" s="576"/>
      <c r="V118" s="576">
        <f t="shared" si="109"/>
        <v>0</v>
      </c>
      <c r="W118" s="576"/>
      <c r="X118" s="576">
        <f t="shared" si="110"/>
        <v>0</v>
      </c>
      <c r="Y118" s="576"/>
      <c r="Z118" s="576">
        <f t="shared" si="111"/>
        <v>0</v>
      </c>
      <c r="AA118" s="576"/>
      <c r="AB118" s="576">
        <f t="shared" si="112"/>
        <v>0</v>
      </c>
      <c r="AC118" s="576"/>
      <c r="AD118" s="579">
        <f t="shared" si="113"/>
        <v>0</v>
      </c>
      <c r="AE118" s="580">
        <f t="shared" si="114"/>
        <v>0.9</v>
      </c>
      <c r="AF118" s="576">
        <f t="shared" si="101"/>
        <v>153.11000000000001</v>
      </c>
      <c r="AG118" s="576">
        <f t="shared" si="115"/>
        <v>0</v>
      </c>
      <c r="AH118" s="579">
        <f t="shared" si="116"/>
        <v>0</v>
      </c>
      <c r="AK118" s="617">
        <f t="shared" si="88"/>
        <v>0</v>
      </c>
    </row>
    <row r="119" spans="1:37" ht="30">
      <c r="A119" s="570" t="s">
        <v>14244</v>
      </c>
      <c r="B119" s="571" t="str">
        <f>PLANILHA!D118</f>
        <v>PUXADOR PARA PCD, FIXADO NA PORTA - FORNECIMENTO E INSTALAÇÃO. AF_01/2020</v>
      </c>
      <c r="C119" s="572" t="str">
        <f>PLANILHA!E118</f>
        <v>UN</v>
      </c>
      <c r="D119" s="573">
        <f>PLANILHA!F118</f>
        <v>2</v>
      </c>
      <c r="E119" s="573">
        <f t="shared" si="99"/>
        <v>418.74</v>
      </c>
      <c r="F119" s="574">
        <f t="shared" si="98"/>
        <v>837.48</v>
      </c>
      <c r="G119" s="580"/>
      <c r="H119" s="576">
        <f>G119*$E119</f>
        <v>0</v>
      </c>
      <c r="I119" s="576"/>
      <c r="J119" s="576">
        <f>I119*$E119</f>
        <v>0</v>
      </c>
      <c r="K119" s="576"/>
      <c r="L119" s="576">
        <f>K119*$E119</f>
        <v>0</v>
      </c>
      <c r="M119" s="576"/>
      <c r="N119" s="576">
        <f>M119*$E119</f>
        <v>0</v>
      </c>
      <c r="O119" s="576">
        <f t="shared" si="106"/>
        <v>2</v>
      </c>
      <c r="P119" s="576">
        <f t="shared" si="100"/>
        <v>837.48</v>
      </c>
      <c r="Q119" s="576"/>
      <c r="R119" s="577">
        <f>Q119*$E119</f>
        <v>0</v>
      </c>
      <c r="S119" s="578"/>
      <c r="T119" s="576">
        <f>S119*$E119</f>
        <v>0</v>
      </c>
      <c r="U119" s="576"/>
      <c r="V119" s="576">
        <f>U119*$E119</f>
        <v>0</v>
      </c>
      <c r="W119" s="576"/>
      <c r="X119" s="576">
        <f>W119*$E119</f>
        <v>0</v>
      </c>
      <c r="Y119" s="576"/>
      <c r="Z119" s="576">
        <f>Y119*$E119</f>
        <v>0</v>
      </c>
      <c r="AA119" s="576"/>
      <c r="AB119" s="576">
        <f>AA119*$E119</f>
        <v>0</v>
      </c>
      <c r="AC119" s="576"/>
      <c r="AD119" s="579">
        <f>AC119*$E119</f>
        <v>0</v>
      </c>
      <c r="AE119" s="580">
        <f>AC119+AA119+Y119+W119+U119+S119+Q119+O119+M119+K119+I119+G119</f>
        <v>2</v>
      </c>
      <c r="AF119" s="576">
        <f t="shared" si="101"/>
        <v>837.48</v>
      </c>
      <c r="AG119" s="576">
        <f>D119-AE119</f>
        <v>0</v>
      </c>
      <c r="AH119" s="579">
        <f>AG119*E119</f>
        <v>0</v>
      </c>
      <c r="AK119" s="617">
        <f t="shared" si="88"/>
        <v>0</v>
      </c>
    </row>
    <row r="120" spans="1:37" s="569" customFormat="1">
      <c r="A120" s="581" t="s">
        <v>27206</v>
      </c>
      <c r="B120" s="582"/>
      <c r="C120" s="583"/>
      <c r="D120" s="584"/>
      <c r="E120" s="584"/>
      <c r="F120" s="585">
        <f t="shared" si="98"/>
        <v>33390.75</v>
      </c>
      <c r="G120" s="586"/>
      <c r="H120" s="584">
        <f>SUM(H111:H119)</f>
        <v>0</v>
      </c>
      <c r="I120" s="584"/>
      <c r="J120" s="584">
        <f>SUM(J111:J119)</f>
        <v>0</v>
      </c>
      <c r="K120" s="584"/>
      <c r="L120" s="584">
        <f>SUM(L111:L119)</f>
        <v>0</v>
      </c>
      <c r="M120" s="584"/>
      <c r="N120" s="584">
        <f>SUM(N111:N119)</f>
        <v>0</v>
      </c>
      <c r="O120" s="584"/>
      <c r="P120" s="584">
        <f>SUM(P111:P119)</f>
        <v>33390.75</v>
      </c>
      <c r="Q120" s="584"/>
      <c r="R120" s="587">
        <f>SUM(R111:R119)</f>
        <v>0</v>
      </c>
      <c r="S120" s="588"/>
      <c r="T120" s="584">
        <f>SUM(T111:T119)</f>
        <v>0</v>
      </c>
      <c r="U120" s="584"/>
      <c r="V120" s="584">
        <f>SUM(V111:V119)</f>
        <v>0</v>
      </c>
      <c r="W120" s="584"/>
      <c r="X120" s="584">
        <f>SUM(X111:X119)</f>
        <v>0</v>
      </c>
      <c r="Y120" s="584"/>
      <c r="Z120" s="584">
        <f>SUM(Z111:Z119)</f>
        <v>0</v>
      </c>
      <c r="AA120" s="584"/>
      <c r="AB120" s="584">
        <f>SUM(AB111:AB119)</f>
        <v>0</v>
      </c>
      <c r="AC120" s="584"/>
      <c r="AD120" s="585">
        <f>SUM(AD111:AD119)</f>
        <v>0</v>
      </c>
      <c r="AE120" s="590"/>
      <c r="AF120" s="584">
        <f>SUM(AF111:AF119)</f>
        <v>33390.75</v>
      </c>
      <c r="AG120" s="591"/>
      <c r="AH120" s="585">
        <f>SUM(AH111:AH119)</f>
        <v>0</v>
      </c>
      <c r="AI120" s="568"/>
      <c r="AK120" s="617">
        <f t="shared" si="88"/>
        <v>0</v>
      </c>
    </row>
    <row r="121" spans="1:37">
      <c r="A121" s="570"/>
      <c r="B121" s="571"/>
      <c r="C121" s="572"/>
      <c r="D121" s="573"/>
      <c r="E121" s="573"/>
      <c r="F121" s="574"/>
      <c r="G121" s="580"/>
      <c r="H121" s="576"/>
      <c r="I121" s="576"/>
      <c r="J121" s="576"/>
      <c r="K121" s="576"/>
      <c r="L121" s="576"/>
      <c r="M121" s="576"/>
      <c r="N121" s="576"/>
      <c r="O121" s="576"/>
      <c r="P121" s="576"/>
      <c r="Q121" s="576"/>
      <c r="R121" s="577"/>
      <c r="S121" s="578"/>
      <c r="T121" s="576"/>
      <c r="U121" s="576"/>
      <c r="V121" s="576"/>
      <c r="W121" s="576"/>
      <c r="X121" s="576"/>
      <c r="Y121" s="576"/>
      <c r="Z121" s="576"/>
      <c r="AA121" s="576"/>
      <c r="AB121" s="576"/>
      <c r="AC121" s="576"/>
      <c r="AD121" s="579"/>
      <c r="AE121" s="580"/>
      <c r="AF121" s="576"/>
      <c r="AG121" s="576"/>
      <c r="AH121" s="579"/>
      <c r="AK121" s="617">
        <f t="shared" si="88"/>
        <v>0</v>
      </c>
    </row>
    <row r="122" spans="1:37">
      <c r="A122" s="570" t="s">
        <v>65</v>
      </c>
      <c r="B122" s="571" t="str">
        <f>PLANILHA!D121</f>
        <v>JANELAS E VIDROS FIXOS</v>
      </c>
      <c r="C122" s="572"/>
      <c r="D122" s="573"/>
      <c r="E122" s="573"/>
      <c r="F122" s="574">
        <f t="shared" ref="F122:F129" si="117">VLOOKUP(A122,PLANILHA,$G$6,0)</f>
        <v>0</v>
      </c>
      <c r="G122" s="580"/>
      <c r="H122" s="576"/>
      <c r="I122" s="576"/>
      <c r="J122" s="576"/>
      <c r="K122" s="576"/>
      <c r="L122" s="576"/>
      <c r="M122" s="576"/>
      <c r="N122" s="576"/>
      <c r="O122" s="576"/>
      <c r="P122" s="576"/>
      <c r="Q122" s="576"/>
      <c r="R122" s="577"/>
      <c r="S122" s="578"/>
      <c r="T122" s="576"/>
      <c r="U122" s="576"/>
      <c r="V122" s="576"/>
      <c r="W122" s="576"/>
      <c r="X122" s="576"/>
      <c r="Y122" s="576"/>
      <c r="Z122" s="576"/>
      <c r="AA122" s="576"/>
      <c r="AB122" s="576"/>
      <c r="AC122" s="576"/>
      <c r="AD122" s="579"/>
      <c r="AE122" s="580"/>
      <c r="AF122" s="576"/>
      <c r="AG122" s="576"/>
      <c r="AH122" s="579"/>
      <c r="AK122" s="617">
        <f t="shared" si="88"/>
        <v>0</v>
      </c>
    </row>
    <row r="123" spans="1:37" ht="30">
      <c r="A123" s="570" t="s">
        <v>7065</v>
      </c>
      <c r="B123" s="571" t="str">
        <f>PLANILHA!D122</f>
        <v>J01 (E.G) - JANELA MAXIN AR 3,80 x 2,55 (3 JANELAS DE 1,20). FORNECIMENTO E INSTALAÇÃO.</v>
      </c>
      <c r="C123" s="572" t="str">
        <f>PLANILHA!E122</f>
        <v>und</v>
      </c>
      <c r="D123" s="573">
        <f>PLANILHA!F122</f>
        <v>2</v>
      </c>
      <c r="E123" s="573">
        <f t="shared" ref="E123:E128" si="118">VLOOKUP(A123,PLANILHA,$G$7,0)</f>
        <v>6303.22</v>
      </c>
      <c r="F123" s="574">
        <f t="shared" si="117"/>
        <v>12606.44</v>
      </c>
      <c r="G123" s="580"/>
      <c r="H123" s="576">
        <f t="shared" ref="H123:H128" si="119">G123*$E123</f>
        <v>0</v>
      </c>
      <c r="I123" s="576"/>
      <c r="J123" s="576">
        <f t="shared" ref="J123:J128" si="120">I123*$E123</f>
        <v>0</v>
      </c>
      <c r="K123" s="576"/>
      <c r="L123" s="576">
        <f t="shared" ref="L123:L128" si="121">K123*$E123</f>
        <v>0</v>
      </c>
      <c r="M123" s="576"/>
      <c r="N123" s="576">
        <f t="shared" ref="N123:N128" si="122">M123*$E123</f>
        <v>0</v>
      </c>
      <c r="O123" s="576">
        <f t="shared" ref="O123:O128" si="123">D123</f>
        <v>2</v>
      </c>
      <c r="P123" s="576">
        <f t="shared" ref="P123:P128" si="124">TRUNC(O123*$E123,2)</f>
        <v>12606.44</v>
      </c>
      <c r="Q123" s="576"/>
      <c r="R123" s="577">
        <f t="shared" ref="R123:R128" si="125">Q123*$E123</f>
        <v>0</v>
      </c>
      <c r="S123" s="578"/>
      <c r="T123" s="576">
        <f t="shared" ref="T123:T128" si="126">S123*$E123</f>
        <v>0</v>
      </c>
      <c r="U123" s="576"/>
      <c r="V123" s="576">
        <f t="shared" ref="V123:V128" si="127">U123*$E123</f>
        <v>0</v>
      </c>
      <c r="W123" s="576"/>
      <c r="X123" s="576">
        <f t="shared" ref="X123:X128" si="128">W123*$E123</f>
        <v>0</v>
      </c>
      <c r="Y123" s="576"/>
      <c r="Z123" s="576">
        <f t="shared" ref="Z123:Z128" si="129">Y123*$E123</f>
        <v>0</v>
      </c>
      <c r="AA123" s="576"/>
      <c r="AB123" s="576">
        <f t="shared" ref="AB123:AB128" si="130">AA123*$E123</f>
        <v>0</v>
      </c>
      <c r="AC123" s="576"/>
      <c r="AD123" s="579">
        <f t="shared" ref="AD123:AD128" si="131">AC123*$E123</f>
        <v>0</v>
      </c>
      <c r="AE123" s="580">
        <f t="shared" ref="AE123:AE128" si="132">AC123+AA123+Y123+W123+U123+S123+Q123+O123+M123+K123+I123+G123</f>
        <v>2</v>
      </c>
      <c r="AF123" s="576">
        <f t="shared" ref="AF123:AF128" si="133">TRUNC(AE123*E123,2)</f>
        <v>12606.44</v>
      </c>
      <c r="AG123" s="576">
        <f t="shared" ref="AG123:AG128" si="134">D123-AE123</f>
        <v>0</v>
      </c>
      <c r="AH123" s="579">
        <f t="shared" ref="AH123:AH128" si="135">AG123*E123</f>
        <v>0</v>
      </c>
      <c r="AK123" s="617">
        <f t="shared" si="88"/>
        <v>0</v>
      </c>
    </row>
    <row r="124" spans="1:37" ht="30">
      <c r="A124" s="570" t="s">
        <v>7066</v>
      </c>
      <c r="B124" s="571" t="str">
        <f>PLANILHA!D123</f>
        <v>J08 (E.G) - JANELA MAXIN AR 1,53 x 4,85 (1 JANELAS DE 3MODULOS 1,53). FORNECIMENTO E INSTALAÇÃO.</v>
      </c>
      <c r="C124" s="572" t="str">
        <f>PLANILHA!E123</f>
        <v>und</v>
      </c>
      <c r="D124" s="573">
        <f>PLANILHA!F123</f>
        <v>1</v>
      </c>
      <c r="E124" s="573">
        <f t="shared" si="118"/>
        <v>4928.66</v>
      </c>
      <c r="F124" s="574">
        <f t="shared" si="117"/>
        <v>4928.66</v>
      </c>
      <c r="G124" s="580"/>
      <c r="H124" s="576">
        <f t="shared" si="119"/>
        <v>0</v>
      </c>
      <c r="I124" s="576"/>
      <c r="J124" s="576">
        <f t="shared" si="120"/>
        <v>0</v>
      </c>
      <c r="K124" s="576"/>
      <c r="L124" s="576">
        <f t="shared" si="121"/>
        <v>0</v>
      </c>
      <c r="M124" s="576"/>
      <c r="N124" s="576">
        <f t="shared" si="122"/>
        <v>0</v>
      </c>
      <c r="O124" s="576">
        <f t="shared" si="123"/>
        <v>1</v>
      </c>
      <c r="P124" s="576">
        <f t="shared" si="124"/>
        <v>4928.66</v>
      </c>
      <c r="Q124" s="576"/>
      <c r="R124" s="577">
        <f t="shared" si="125"/>
        <v>0</v>
      </c>
      <c r="S124" s="578"/>
      <c r="T124" s="576">
        <f t="shared" si="126"/>
        <v>0</v>
      </c>
      <c r="U124" s="576"/>
      <c r="V124" s="576">
        <f t="shared" si="127"/>
        <v>0</v>
      </c>
      <c r="W124" s="576"/>
      <c r="X124" s="576">
        <f t="shared" si="128"/>
        <v>0</v>
      </c>
      <c r="Y124" s="576"/>
      <c r="Z124" s="576">
        <f t="shared" si="129"/>
        <v>0</v>
      </c>
      <c r="AA124" s="576"/>
      <c r="AB124" s="576">
        <f t="shared" si="130"/>
        <v>0</v>
      </c>
      <c r="AC124" s="576"/>
      <c r="AD124" s="579">
        <f t="shared" si="131"/>
        <v>0</v>
      </c>
      <c r="AE124" s="580">
        <f t="shared" si="132"/>
        <v>1</v>
      </c>
      <c r="AF124" s="576">
        <f t="shared" si="133"/>
        <v>4928.66</v>
      </c>
      <c r="AG124" s="576">
        <f t="shared" si="134"/>
        <v>0</v>
      </c>
      <c r="AH124" s="579">
        <f t="shared" si="135"/>
        <v>0</v>
      </c>
      <c r="AK124" s="617">
        <f t="shared" si="88"/>
        <v>0</v>
      </c>
    </row>
    <row r="125" spans="1:37" ht="30">
      <c r="A125" s="570" t="s">
        <v>7067</v>
      </c>
      <c r="B125" s="571" t="str">
        <f>PLANILHA!D124</f>
        <v>J02- JANELA MAXIN AR 12,60 x 1,70 (12 JANELAS DE 1,05). FORNECIMENTO E INSTALAÇÃO.</v>
      </c>
      <c r="C125" s="572" t="str">
        <f>PLANILHA!E124</f>
        <v>und</v>
      </c>
      <c r="D125" s="573">
        <f>PLANILHA!F124</f>
        <v>1</v>
      </c>
      <c r="E125" s="573">
        <f t="shared" si="118"/>
        <v>20523.71</v>
      </c>
      <c r="F125" s="574">
        <f t="shared" si="117"/>
        <v>20523.71</v>
      </c>
      <c r="G125" s="580"/>
      <c r="H125" s="576">
        <f t="shared" si="119"/>
        <v>0</v>
      </c>
      <c r="I125" s="576"/>
      <c r="J125" s="576">
        <f t="shared" si="120"/>
        <v>0</v>
      </c>
      <c r="K125" s="576"/>
      <c r="L125" s="576">
        <f t="shared" si="121"/>
        <v>0</v>
      </c>
      <c r="M125" s="576"/>
      <c r="N125" s="576">
        <f t="shared" si="122"/>
        <v>0</v>
      </c>
      <c r="O125" s="576">
        <f t="shared" si="123"/>
        <v>1</v>
      </c>
      <c r="P125" s="576">
        <f t="shared" si="124"/>
        <v>20523.71</v>
      </c>
      <c r="Q125" s="576"/>
      <c r="R125" s="577">
        <f t="shared" si="125"/>
        <v>0</v>
      </c>
      <c r="S125" s="578"/>
      <c r="T125" s="576">
        <f t="shared" si="126"/>
        <v>0</v>
      </c>
      <c r="U125" s="576"/>
      <c r="V125" s="576">
        <f t="shared" si="127"/>
        <v>0</v>
      </c>
      <c r="W125" s="576"/>
      <c r="X125" s="576">
        <f t="shared" si="128"/>
        <v>0</v>
      </c>
      <c r="Y125" s="576"/>
      <c r="Z125" s="576">
        <f t="shared" si="129"/>
        <v>0</v>
      </c>
      <c r="AA125" s="576"/>
      <c r="AB125" s="576">
        <f t="shared" si="130"/>
        <v>0</v>
      </c>
      <c r="AC125" s="576"/>
      <c r="AD125" s="579">
        <f t="shared" si="131"/>
        <v>0</v>
      </c>
      <c r="AE125" s="580">
        <f t="shared" si="132"/>
        <v>1</v>
      </c>
      <c r="AF125" s="576">
        <f t="shared" si="133"/>
        <v>20523.71</v>
      </c>
      <c r="AG125" s="576">
        <f t="shared" si="134"/>
        <v>0</v>
      </c>
      <c r="AH125" s="579">
        <f t="shared" si="135"/>
        <v>0</v>
      </c>
      <c r="AK125" s="617">
        <f t="shared" si="88"/>
        <v>0</v>
      </c>
    </row>
    <row r="126" spans="1:37" ht="30">
      <c r="A126" s="570" t="s">
        <v>14603</v>
      </c>
      <c r="B126" s="571" t="str">
        <f>PLANILHA!D125</f>
        <v>J04- JANELA MAXIN AR 1,00 x 1,70 FORNECIMENTO E INSTALAÇÃO. FORNECIMENTO E INSTALAÇÃO.</v>
      </c>
      <c r="C126" s="572" t="str">
        <f>PLANILHA!E125</f>
        <v>und</v>
      </c>
      <c r="D126" s="573">
        <f>PLANILHA!F125</f>
        <v>1</v>
      </c>
      <c r="E126" s="573">
        <f t="shared" si="118"/>
        <v>1416.67</v>
      </c>
      <c r="F126" s="574">
        <f t="shared" si="117"/>
        <v>1416.67</v>
      </c>
      <c r="G126" s="580"/>
      <c r="H126" s="576">
        <f t="shared" si="119"/>
        <v>0</v>
      </c>
      <c r="I126" s="576"/>
      <c r="J126" s="576">
        <f t="shared" si="120"/>
        <v>0</v>
      </c>
      <c r="K126" s="576"/>
      <c r="L126" s="576">
        <f t="shared" si="121"/>
        <v>0</v>
      </c>
      <c r="M126" s="576"/>
      <c r="N126" s="576">
        <f t="shared" si="122"/>
        <v>0</v>
      </c>
      <c r="O126" s="576">
        <f t="shared" si="123"/>
        <v>1</v>
      </c>
      <c r="P126" s="576">
        <f t="shared" si="124"/>
        <v>1416.67</v>
      </c>
      <c r="Q126" s="576"/>
      <c r="R126" s="577">
        <f t="shared" si="125"/>
        <v>0</v>
      </c>
      <c r="S126" s="578"/>
      <c r="T126" s="576">
        <f t="shared" si="126"/>
        <v>0</v>
      </c>
      <c r="U126" s="576"/>
      <c r="V126" s="576">
        <f t="shared" si="127"/>
        <v>0</v>
      </c>
      <c r="W126" s="576"/>
      <c r="X126" s="576">
        <f t="shared" si="128"/>
        <v>0</v>
      </c>
      <c r="Y126" s="576"/>
      <c r="Z126" s="576">
        <f t="shared" si="129"/>
        <v>0</v>
      </c>
      <c r="AA126" s="576"/>
      <c r="AB126" s="576">
        <f t="shared" si="130"/>
        <v>0</v>
      </c>
      <c r="AC126" s="576"/>
      <c r="AD126" s="579">
        <f t="shared" si="131"/>
        <v>0</v>
      </c>
      <c r="AE126" s="580">
        <f t="shared" si="132"/>
        <v>1</v>
      </c>
      <c r="AF126" s="576">
        <f t="shared" si="133"/>
        <v>1416.67</v>
      </c>
      <c r="AG126" s="576">
        <f t="shared" si="134"/>
        <v>0</v>
      </c>
      <c r="AH126" s="579">
        <f t="shared" si="135"/>
        <v>0</v>
      </c>
      <c r="AK126" s="617">
        <f t="shared" si="88"/>
        <v>0</v>
      </c>
    </row>
    <row r="127" spans="1:37" ht="30">
      <c r="A127" s="570" t="s">
        <v>14654</v>
      </c>
      <c r="B127" s="571" t="str">
        <f>PLANILHA!D126</f>
        <v>INSTALAÇÃO DE VIDRO LISO INCOLOR, E = 8 MM, EM ESQUADRIA DE ALUMÍNIO OU PVC, FIXADO COM BAGUETE. AF_01/2021_P</v>
      </c>
      <c r="C127" s="572" t="str">
        <f>PLANILHA!E126</f>
        <v>M2</v>
      </c>
      <c r="D127" s="573">
        <f>PLANILHA!F126</f>
        <v>3.87</v>
      </c>
      <c r="E127" s="573">
        <f t="shared" si="118"/>
        <v>669.12</v>
      </c>
      <c r="F127" s="574">
        <f t="shared" si="117"/>
        <v>2589.4899999999998</v>
      </c>
      <c r="G127" s="580"/>
      <c r="H127" s="576">
        <f t="shared" si="119"/>
        <v>0</v>
      </c>
      <c r="I127" s="576"/>
      <c r="J127" s="576">
        <f t="shared" si="120"/>
        <v>0</v>
      </c>
      <c r="K127" s="576"/>
      <c r="L127" s="576">
        <f t="shared" si="121"/>
        <v>0</v>
      </c>
      <c r="M127" s="576"/>
      <c r="N127" s="576">
        <f t="shared" si="122"/>
        <v>0</v>
      </c>
      <c r="O127" s="576">
        <f t="shared" si="123"/>
        <v>3.87</v>
      </c>
      <c r="P127" s="576">
        <f t="shared" si="124"/>
        <v>2589.4899999999998</v>
      </c>
      <c r="Q127" s="576"/>
      <c r="R127" s="577">
        <f t="shared" si="125"/>
        <v>0</v>
      </c>
      <c r="S127" s="578"/>
      <c r="T127" s="576">
        <f t="shared" si="126"/>
        <v>0</v>
      </c>
      <c r="U127" s="576"/>
      <c r="V127" s="576">
        <f t="shared" si="127"/>
        <v>0</v>
      </c>
      <c r="W127" s="576"/>
      <c r="X127" s="576">
        <f t="shared" si="128"/>
        <v>0</v>
      </c>
      <c r="Y127" s="576"/>
      <c r="Z127" s="576">
        <f t="shared" si="129"/>
        <v>0</v>
      </c>
      <c r="AA127" s="576"/>
      <c r="AB127" s="576">
        <f t="shared" si="130"/>
        <v>0</v>
      </c>
      <c r="AC127" s="576"/>
      <c r="AD127" s="579">
        <f t="shared" si="131"/>
        <v>0</v>
      </c>
      <c r="AE127" s="580">
        <f t="shared" si="132"/>
        <v>3.87</v>
      </c>
      <c r="AF127" s="576">
        <f t="shared" si="133"/>
        <v>2589.4899999999998</v>
      </c>
      <c r="AG127" s="576">
        <f t="shared" si="134"/>
        <v>0</v>
      </c>
      <c r="AH127" s="579">
        <f t="shared" si="135"/>
        <v>0</v>
      </c>
      <c r="AK127" s="617">
        <f t="shared" si="88"/>
        <v>0</v>
      </c>
    </row>
    <row r="128" spans="1:37" ht="30">
      <c r="A128" s="570" t="s">
        <v>14655</v>
      </c>
      <c r="B128" s="571" t="str">
        <f>PLANILHA!D127</f>
        <v>PELÍCULA DE SEGURANÇA PARA PAINES DE VIDRO, FONECIMENTO E INSTALAÇÃO.</v>
      </c>
      <c r="C128" s="572" t="str">
        <f>PLANILHA!E127</f>
        <v>m²</v>
      </c>
      <c r="D128" s="573">
        <f>PLANILHA!F127</f>
        <v>44.100499999999997</v>
      </c>
      <c r="E128" s="573">
        <f t="shared" si="118"/>
        <v>73.09</v>
      </c>
      <c r="F128" s="574">
        <f t="shared" si="117"/>
        <v>3223.3</v>
      </c>
      <c r="G128" s="580"/>
      <c r="H128" s="576">
        <f t="shared" si="119"/>
        <v>0</v>
      </c>
      <c r="I128" s="576"/>
      <c r="J128" s="576">
        <f t="shared" si="120"/>
        <v>0</v>
      </c>
      <c r="K128" s="576"/>
      <c r="L128" s="576">
        <f t="shared" si="121"/>
        <v>0</v>
      </c>
      <c r="M128" s="576"/>
      <c r="N128" s="576">
        <f t="shared" si="122"/>
        <v>0</v>
      </c>
      <c r="O128" s="576">
        <f t="shared" si="123"/>
        <v>44.100499999999997</v>
      </c>
      <c r="P128" s="576">
        <f t="shared" si="124"/>
        <v>3223.3</v>
      </c>
      <c r="Q128" s="576"/>
      <c r="R128" s="577">
        <f t="shared" si="125"/>
        <v>0</v>
      </c>
      <c r="S128" s="578"/>
      <c r="T128" s="576">
        <f t="shared" si="126"/>
        <v>0</v>
      </c>
      <c r="U128" s="576"/>
      <c r="V128" s="576">
        <f t="shared" si="127"/>
        <v>0</v>
      </c>
      <c r="W128" s="576"/>
      <c r="X128" s="576">
        <f t="shared" si="128"/>
        <v>0</v>
      </c>
      <c r="Y128" s="576"/>
      <c r="Z128" s="576">
        <f t="shared" si="129"/>
        <v>0</v>
      </c>
      <c r="AA128" s="576"/>
      <c r="AB128" s="576">
        <f t="shared" si="130"/>
        <v>0</v>
      </c>
      <c r="AC128" s="576"/>
      <c r="AD128" s="579">
        <f t="shared" si="131"/>
        <v>0</v>
      </c>
      <c r="AE128" s="580">
        <f t="shared" si="132"/>
        <v>44.100499999999997</v>
      </c>
      <c r="AF128" s="576">
        <f t="shared" si="133"/>
        <v>3223.3</v>
      </c>
      <c r="AG128" s="576">
        <f t="shared" si="134"/>
        <v>0</v>
      </c>
      <c r="AH128" s="579">
        <f t="shared" si="135"/>
        <v>0</v>
      </c>
      <c r="AK128" s="617">
        <f t="shared" si="88"/>
        <v>0</v>
      </c>
    </row>
    <row r="129" spans="1:37" s="569" customFormat="1">
      <c r="A129" s="581" t="s">
        <v>27205</v>
      </c>
      <c r="B129" s="582"/>
      <c r="C129" s="583"/>
      <c r="D129" s="584"/>
      <c r="E129" s="584"/>
      <c r="F129" s="585">
        <f t="shared" si="117"/>
        <v>45288.27</v>
      </c>
      <c r="G129" s="586"/>
      <c r="H129" s="584">
        <f>SUM(H123:H128)</f>
        <v>0</v>
      </c>
      <c r="I129" s="584"/>
      <c r="J129" s="584">
        <f>SUM(J123:J128)</f>
        <v>0</v>
      </c>
      <c r="K129" s="584"/>
      <c r="L129" s="584">
        <f>SUM(L123:L128)</f>
        <v>0</v>
      </c>
      <c r="M129" s="584"/>
      <c r="N129" s="584">
        <f>SUM(N123:N128)</f>
        <v>0</v>
      </c>
      <c r="O129" s="584"/>
      <c r="P129" s="584">
        <f>SUM(P123:P128)</f>
        <v>45288.27</v>
      </c>
      <c r="Q129" s="584"/>
      <c r="R129" s="587">
        <f>SUM(R123:R128)</f>
        <v>0</v>
      </c>
      <c r="S129" s="588"/>
      <c r="T129" s="584">
        <f>SUM(T123:T128)</f>
        <v>0</v>
      </c>
      <c r="U129" s="584"/>
      <c r="V129" s="584">
        <f>SUM(V123:V128)</f>
        <v>0</v>
      </c>
      <c r="W129" s="584"/>
      <c r="X129" s="584">
        <f>SUM(X123:X128)</f>
        <v>0</v>
      </c>
      <c r="Y129" s="584"/>
      <c r="Z129" s="584">
        <f>SUM(Z123:Z128)</f>
        <v>0</v>
      </c>
      <c r="AA129" s="584"/>
      <c r="AB129" s="584">
        <f>SUM(AB123:AB128)</f>
        <v>0</v>
      </c>
      <c r="AC129" s="584"/>
      <c r="AD129" s="585">
        <f>SUM(AD123:AD128)</f>
        <v>0</v>
      </c>
      <c r="AE129" s="590"/>
      <c r="AF129" s="584">
        <f>SUM(AF123:AF128)</f>
        <v>45288.27</v>
      </c>
      <c r="AG129" s="591"/>
      <c r="AH129" s="585">
        <f>SUM(AH123:AH128)</f>
        <v>0</v>
      </c>
      <c r="AI129" s="568"/>
      <c r="AK129" s="617">
        <f t="shared" si="88"/>
        <v>0</v>
      </c>
    </row>
    <row r="130" spans="1:37">
      <c r="A130" s="570"/>
      <c r="B130" s="571"/>
      <c r="C130" s="572"/>
      <c r="D130" s="573"/>
      <c r="E130" s="573"/>
      <c r="F130" s="574"/>
      <c r="G130" s="580"/>
      <c r="H130" s="576"/>
      <c r="I130" s="576"/>
      <c r="J130" s="576"/>
      <c r="K130" s="576"/>
      <c r="L130" s="576"/>
      <c r="M130" s="576"/>
      <c r="N130" s="576"/>
      <c r="O130" s="576"/>
      <c r="P130" s="576"/>
      <c r="Q130" s="576"/>
      <c r="R130" s="577"/>
      <c r="S130" s="578"/>
      <c r="T130" s="576"/>
      <c r="U130" s="576"/>
      <c r="V130" s="576"/>
      <c r="W130" s="576"/>
      <c r="X130" s="576"/>
      <c r="Y130" s="576"/>
      <c r="Z130" s="576"/>
      <c r="AA130" s="576"/>
      <c r="AB130" s="576"/>
      <c r="AC130" s="576"/>
      <c r="AD130" s="579"/>
      <c r="AE130" s="580"/>
      <c r="AF130" s="576"/>
      <c r="AG130" s="576"/>
      <c r="AH130" s="579"/>
      <c r="AK130" s="617">
        <f t="shared" si="88"/>
        <v>0</v>
      </c>
    </row>
    <row r="131" spans="1:37">
      <c r="A131" s="570" t="s">
        <v>14706</v>
      </c>
      <c r="B131" s="571" t="str">
        <f>PLANILHA!D130</f>
        <v>PINTURA</v>
      </c>
      <c r="C131" s="572"/>
      <c r="D131" s="573"/>
      <c r="E131" s="573"/>
      <c r="F131" s="574">
        <f>VLOOKUP(A131,PLANILHA,$G$6,0)</f>
        <v>0</v>
      </c>
      <c r="G131" s="580"/>
      <c r="H131" s="576"/>
      <c r="I131" s="576"/>
      <c r="J131" s="576"/>
      <c r="K131" s="576"/>
      <c r="L131" s="576"/>
      <c r="M131" s="576"/>
      <c r="N131" s="576"/>
      <c r="O131" s="576"/>
      <c r="P131" s="576"/>
      <c r="Q131" s="576"/>
      <c r="R131" s="577"/>
      <c r="S131" s="578"/>
      <c r="T131" s="576"/>
      <c r="U131" s="576"/>
      <c r="V131" s="576"/>
      <c r="W131" s="576"/>
      <c r="X131" s="576"/>
      <c r="Y131" s="576"/>
      <c r="Z131" s="576"/>
      <c r="AA131" s="576"/>
      <c r="AB131" s="576"/>
      <c r="AC131" s="576"/>
      <c r="AD131" s="579"/>
      <c r="AE131" s="580"/>
      <c r="AF131" s="576"/>
      <c r="AG131" s="576"/>
      <c r="AH131" s="579"/>
      <c r="AK131" s="617">
        <f t="shared" si="88"/>
        <v>0</v>
      </c>
    </row>
    <row r="132" spans="1:37" ht="30">
      <c r="A132" s="570" t="s">
        <v>14707</v>
      </c>
      <c r="B132" s="571" t="str">
        <f>PLANILHA!D131</f>
        <v>APLICAÇÃO DE FUNDO SELADOR ACRÍLICO EM PAREDES, UMA DEMÃO. AF_06/2014</v>
      </c>
      <c r="C132" s="572" t="str">
        <f>PLANILHA!E131</f>
        <v>M2</v>
      </c>
      <c r="D132" s="573">
        <f>PLANILHA!F131</f>
        <v>840.82</v>
      </c>
      <c r="E132" s="573">
        <f>VLOOKUP(A132,PLANILHA,$G$7,0)</f>
        <v>2.2000000000000002</v>
      </c>
      <c r="F132" s="574">
        <f>VLOOKUP(A132,PLANILHA,$G$6,0)</f>
        <v>1849.8</v>
      </c>
      <c r="G132" s="580"/>
      <c r="H132" s="576">
        <f>G132*$E132</f>
        <v>0</v>
      </c>
      <c r="I132" s="576"/>
      <c r="J132" s="576">
        <f>I132*$E132</f>
        <v>0</v>
      </c>
      <c r="K132" s="576"/>
      <c r="L132" s="576">
        <f>K132*$E132</f>
        <v>0</v>
      </c>
      <c r="M132" s="576"/>
      <c r="N132" s="576">
        <f>M132*$E132</f>
        <v>0</v>
      </c>
      <c r="O132" s="576">
        <f>D132</f>
        <v>840.82</v>
      </c>
      <c r="P132" s="576">
        <f t="shared" ref="P132:P134" si="136">TRUNC(O132*$E132,2)</f>
        <v>1849.8</v>
      </c>
      <c r="Q132" s="576"/>
      <c r="R132" s="577">
        <f>Q132*$E132</f>
        <v>0</v>
      </c>
      <c r="S132" s="578"/>
      <c r="T132" s="576">
        <f>S132*$E132</f>
        <v>0</v>
      </c>
      <c r="U132" s="576"/>
      <c r="V132" s="576">
        <f>U132*$E132</f>
        <v>0</v>
      </c>
      <c r="W132" s="576"/>
      <c r="X132" s="576">
        <f>W132*$E132</f>
        <v>0</v>
      </c>
      <c r="Y132" s="576"/>
      <c r="Z132" s="576">
        <f>Y132*$E132</f>
        <v>0</v>
      </c>
      <c r="AA132" s="576"/>
      <c r="AB132" s="576">
        <f>AA132*$E132</f>
        <v>0</v>
      </c>
      <c r="AC132" s="576"/>
      <c r="AD132" s="579">
        <f>AC132*$E132</f>
        <v>0</v>
      </c>
      <c r="AE132" s="580">
        <f>AC132+AA132+Y132+W132+U132+S132+Q132+O132+M132+K132+I132+G132</f>
        <v>840.82</v>
      </c>
      <c r="AF132" s="576">
        <f t="shared" ref="AF132:AF134" si="137">TRUNC(AE132*E132,2)</f>
        <v>1849.8</v>
      </c>
      <c r="AG132" s="576">
        <f>D132-AE132</f>
        <v>0</v>
      </c>
      <c r="AH132" s="579">
        <f>AG132*E132</f>
        <v>0</v>
      </c>
      <c r="AK132" s="617">
        <f t="shared" si="88"/>
        <v>0</v>
      </c>
    </row>
    <row r="133" spans="1:37" ht="45">
      <c r="A133" s="570" t="s">
        <v>14708</v>
      </c>
      <c r="B133" s="571" t="str">
        <f>PLANILHA!D132</f>
        <v>APLICAÇÃO MANUAL DE MASSA ACRÍLICA EM PANOS DE FACHADA COM PRESENÇA DE VÃOS, DE EDIFÍCIOS DE MÚLTIPLOS PAVIMENTOS, UMA DEMÃO. AF_05/2017</v>
      </c>
      <c r="C133" s="572" t="str">
        <f>PLANILHA!E132</f>
        <v>M2</v>
      </c>
      <c r="D133" s="573">
        <f>PLANILHA!F132</f>
        <v>840.82</v>
      </c>
      <c r="E133" s="573">
        <f>VLOOKUP(A133,PLANILHA,$G$7,0)</f>
        <v>20.14</v>
      </c>
      <c r="F133" s="574">
        <f>VLOOKUP(A133,PLANILHA,$G$6,0)</f>
        <v>16934.11</v>
      </c>
      <c r="G133" s="580"/>
      <c r="H133" s="576">
        <f>G133*$E133</f>
        <v>0</v>
      </c>
      <c r="I133" s="576"/>
      <c r="J133" s="576">
        <f>I133*$E133</f>
        <v>0</v>
      </c>
      <c r="K133" s="576"/>
      <c r="L133" s="576">
        <f>K133*$E133</f>
        <v>0</v>
      </c>
      <c r="M133" s="576"/>
      <c r="N133" s="576">
        <f>M133*$E133</f>
        <v>0</v>
      </c>
      <c r="O133" s="576">
        <f>D133</f>
        <v>840.82</v>
      </c>
      <c r="P133" s="576">
        <f t="shared" si="136"/>
        <v>16934.11</v>
      </c>
      <c r="Q133" s="576"/>
      <c r="R133" s="577">
        <f>Q133*$E133</f>
        <v>0</v>
      </c>
      <c r="S133" s="578"/>
      <c r="T133" s="576">
        <f>S133*$E133</f>
        <v>0</v>
      </c>
      <c r="U133" s="576"/>
      <c r="V133" s="576">
        <f>U133*$E133</f>
        <v>0</v>
      </c>
      <c r="W133" s="576"/>
      <c r="X133" s="576">
        <f>W133*$E133</f>
        <v>0</v>
      </c>
      <c r="Y133" s="576"/>
      <c r="Z133" s="576">
        <f>Y133*$E133</f>
        <v>0</v>
      </c>
      <c r="AA133" s="576"/>
      <c r="AB133" s="576">
        <f>AA133*$E133</f>
        <v>0</v>
      </c>
      <c r="AC133" s="576"/>
      <c r="AD133" s="579">
        <f>AC133*$E133</f>
        <v>0</v>
      </c>
      <c r="AE133" s="580">
        <f>AC133+AA133+Y133+W133+U133+S133+Q133+O133+M133+K133+I133+G133</f>
        <v>840.82</v>
      </c>
      <c r="AF133" s="576">
        <f t="shared" si="137"/>
        <v>16934.11</v>
      </c>
      <c r="AG133" s="576">
        <f>D133-AE133</f>
        <v>0</v>
      </c>
      <c r="AH133" s="579">
        <f>AG133*E133</f>
        <v>0</v>
      </c>
      <c r="AK133" s="617">
        <f t="shared" si="88"/>
        <v>0</v>
      </c>
    </row>
    <row r="134" spans="1:37" ht="30">
      <c r="A134" s="570" t="s">
        <v>14709</v>
      </c>
      <c r="B134" s="571" t="str">
        <f>PLANILHA!D133</f>
        <v>APLICAÇÃO MANUAL DE PINTURA COM TINTA LÁTEX ACRÍLICA EM PAREDES, DUAS DEMÃOS. AF_06/2014</v>
      </c>
      <c r="C134" s="572" t="str">
        <f>PLANILHA!E133</f>
        <v>M2</v>
      </c>
      <c r="D134" s="573">
        <f>PLANILHA!F133</f>
        <v>840.82</v>
      </c>
      <c r="E134" s="573">
        <f>VLOOKUP(A134,PLANILHA,$G$7,0)</f>
        <v>15.51</v>
      </c>
      <c r="F134" s="574">
        <f>VLOOKUP(A134,PLANILHA,$G$6,0)</f>
        <v>13041.11</v>
      </c>
      <c r="G134" s="580"/>
      <c r="H134" s="576">
        <f>G134*$E134</f>
        <v>0</v>
      </c>
      <c r="I134" s="576"/>
      <c r="J134" s="576">
        <f>I134*$E134</f>
        <v>0</v>
      </c>
      <c r="K134" s="576"/>
      <c r="L134" s="576">
        <f>K134*$E134</f>
        <v>0</v>
      </c>
      <c r="M134" s="576"/>
      <c r="N134" s="576">
        <f>M134*$E134</f>
        <v>0</v>
      </c>
      <c r="O134" s="576">
        <f>D134</f>
        <v>840.82</v>
      </c>
      <c r="P134" s="576">
        <f t="shared" si="136"/>
        <v>13041.11</v>
      </c>
      <c r="Q134" s="576"/>
      <c r="R134" s="577">
        <f>Q134*$E134</f>
        <v>0</v>
      </c>
      <c r="S134" s="578"/>
      <c r="T134" s="576">
        <f>S134*$E134</f>
        <v>0</v>
      </c>
      <c r="U134" s="576"/>
      <c r="V134" s="576">
        <f>U134*$E134</f>
        <v>0</v>
      </c>
      <c r="W134" s="576"/>
      <c r="X134" s="576">
        <f>W134*$E134</f>
        <v>0</v>
      </c>
      <c r="Y134" s="576"/>
      <c r="Z134" s="576">
        <f>Y134*$E134</f>
        <v>0</v>
      </c>
      <c r="AA134" s="576"/>
      <c r="AB134" s="576">
        <f>AA134*$E134</f>
        <v>0</v>
      </c>
      <c r="AC134" s="576"/>
      <c r="AD134" s="579">
        <f>AC134*$E134</f>
        <v>0</v>
      </c>
      <c r="AE134" s="580">
        <f>AC134+AA134+Y134+W134+U134+S134+Q134+O134+M134+K134+I134+G134</f>
        <v>840.82</v>
      </c>
      <c r="AF134" s="576">
        <f t="shared" si="137"/>
        <v>13041.11</v>
      </c>
      <c r="AG134" s="576">
        <f>D134-AE134</f>
        <v>0</v>
      </c>
      <c r="AH134" s="579">
        <f>AG134*E134</f>
        <v>0</v>
      </c>
      <c r="AK134" s="617">
        <f t="shared" si="88"/>
        <v>0</v>
      </c>
    </row>
    <row r="135" spans="1:37" s="569" customFormat="1">
      <c r="A135" s="581" t="s">
        <v>27218</v>
      </c>
      <c r="B135" s="582"/>
      <c r="C135" s="583"/>
      <c r="D135" s="584"/>
      <c r="E135" s="584"/>
      <c r="F135" s="585">
        <f>VLOOKUP(A135,PLANILHA,$G$6,0)</f>
        <v>31825.02</v>
      </c>
      <c r="G135" s="586"/>
      <c r="H135" s="584">
        <f>SUM(H132:H134)</f>
        <v>0</v>
      </c>
      <c r="I135" s="584"/>
      <c r="J135" s="584">
        <f>SUM(J132:J134)</f>
        <v>0</v>
      </c>
      <c r="K135" s="584"/>
      <c r="L135" s="584">
        <f>SUM(L132:L134)</f>
        <v>0</v>
      </c>
      <c r="M135" s="584"/>
      <c r="N135" s="584">
        <f>SUM(N132:N134)</f>
        <v>0</v>
      </c>
      <c r="O135" s="584">
        <f>D135</f>
        <v>0</v>
      </c>
      <c r="P135" s="584">
        <f>SUM(P132:P134)</f>
        <v>31825.02</v>
      </c>
      <c r="Q135" s="584"/>
      <c r="R135" s="587">
        <f>SUM(R132:R134)</f>
        <v>0</v>
      </c>
      <c r="S135" s="588"/>
      <c r="T135" s="584">
        <f>SUM(T132:T134)</f>
        <v>0</v>
      </c>
      <c r="U135" s="584"/>
      <c r="V135" s="584">
        <f>SUM(V132:V134)</f>
        <v>0</v>
      </c>
      <c r="W135" s="584"/>
      <c r="X135" s="584">
        <f>SUM(X132:X134)</f>
        <v>0</v>
      </c>
      <c r="Y135" s="584"/>
      <c r="Z135" s="584">
        <f>SUM(Z132:Z134)</f>
        <v>0</v>
      </c>
      <c r="AA135" s="584"/>
      <c r="AB135" s="584">
        <f>SUM(AB132:AB134)</f>
        <v>0</v>
      </c>
      <c r="AC135" s="584"/>
      <c r="AD135" s="585">
        <f>SUM(AD132:AD134)</f>
        <v>0</v>
      </c>
      <c r="AE135" s="590">
        <f>AC135+AA135+Y135+W135+U135+S135+Q135+O135+M135+K135+I135+G135</f>
        <v>0</v>
      </c>
      <c r="AF135" s="584">
        <f>SUM(AF132:AF134)</f>
        <v>31825.02</v>
      </c>
      <c r="AG135" s="591">
        <f>D135-AE135</f>
        <v>0</v>
      </c>
      <c r="AH135" s="585">
        <f>SUM(AH132:AH134)</f>
        <v>0</v>
      </c>
      <c r="AI135" s="568"/>
      <c r="AK135" s="617">
        <f t="shared" si="88"/>
        <v>0</v>
      </c>
    </row>
    <row r="136" spans="1:37">
      <c r="A136" s="570"/>
      <c r="B136" s="571"/>
      <c r="C136" s="572"/>
      <c r="D136" s="573"/>
      <c r="E136" s="573"/>
      <c r="F136" s="574"/>
      <c r="G136" s="580"/>
      <c r="H136" s="573"/>
      <c r="I136" s="576"/>
      <c r="J136" s="573"/>
      <c r="K136" s="576"/>
      <c r="L136" s="573"/>
      <c r="M136" s="576"/>
      <c r="N136" s="573"/>
      <c r="O136" s="576"/>
      <c r="P136" s="573"/>
      <c r="Q136" s="576"/>
      <c r="R136" s="602"/>
      <c r="S136" s="578"/>
      <c r="T136" s="573"/>
      <c r="U136" s="576"/>
      <c r="V136" s="573"/>
      <c r="W136" s="576"/>
      <c r="X136" s="573"/>
      <c r="Y136" s="576"/>
      <c r="Z136" s="573"/>
      <c r="AA136" s="576"/>
      <c r="AB136" s="573"/>
      <c r="AC136" s="576"/>
      <c r="AD136" s="574"/>
      <c r="AE136" s="580"/>
      <c r="AF136" s="573"/>
      <c r="AG136" s="576"/>
      <c r="AH136" s="574"/>
      <c r="AK136" s="617">
        <f t="shared" si="88"/>
        <v>0</v>
      </c>
    </row>
    <row r="137" spans="1:37" s="569" customFormat="1">
      <c r="A137" s="581" t="s">
        <v>14618</v>
      </c>
      <c r="B137" s="582"/>
      <c r="C137" s="583"/>
      <c r="D137" s="584"/>
      <c r="E137" s="584"/>
      <c r="F137" s="585">
        <f>VLOOKUP(A137,PLANILHA,$G$6,0)</f>
        <v>190364.86</v>
      </c>
      <c r="G137" s="586"/>
      <c r="H137" s="584">
        <f>SUM(H99:H135)/2</f>
        <v>0</v>
      </c>
      <c r="I137" s="584"/>
      <c r="J137" s="584">
        <f>SUM(J99:J135)/2</f>
        <v>0</v>
      </c>
      <c r="K137" s="584"/>
      <c r="L137" s="584">
        <f>SUM(L99:L135)/2</f>
        <v>0</v>
      </c>
      <c r="M137" s="584"/>
      <c r="N137" s="584">
        <f>SUM(N99:N135)/2</f>
        <v>0</v>
      </c>
      <c r="O137" s="584"/>
      <c r="P137" s="584">
        <f>SUM(P99:P135)/2</f>
        <v>190364.86</v>
      </c>
      <c r="Q137" s="584"/>
      <c r="R137" s="587">
        <f>SUM(R99:R135)/2</f>
        <v>0</v>
      </c>
      <c r="S137" s="588"/>
      <c r="T137" s="584">
        <f>SUM(T99:T135)/2</f>
        <v>0</v>
      </c>
      <c r="U137" s="584"/>
      <c r="V137" s="584">
        <f>SUM(V99:V135)/2</f>
        <v>0</v>
      </c>
      <c r="W137" s="584"/>
      <c r="X137" s="584">
        <f>SUM(X99:X135)/2</f>
        <v>0</v>
      </c>
      <c r="Y137" s="584"/>
      <c r="Z137" s="584">
        <f>SUM(Z99:Z135)/2</f>
        <v>0</v>
      </c>
      <c r="AA137" s="584"/>
      <c r="AB137" s="584">
        <f>SUM(AB99:AB135)/2</f>
        <v>0</v>
      </c>
      <c r="AC137" s="584"/>
      <c r="AD137" s="585">
        <f>SUM(AD99:AD135)/2</f>
        <v>0</v>
      </c>
      <c r="AE137" s="590"/>
      <c r="AF137" s="584">
        <f>SUM(AF99:AF135)/2</f>
        <v>190364.86</v>
      </c>
      <c r="AG137" s="591"/>
      <c r="AH137" s="585">
        <f>SUM(AH99:AH135)/2</f>
        <v>0</v>
      </c>
      <c r="AI137" s="568"/>
      <c r="AK137" s="617">
        <f t="shared" si="88"/>
        <v>0</v>
      </c>
    </row>
    <row r="138" spans="1:37">
      <c r="A138" s="570"/>
      <c r="B138" s="571"/>
      <c r="C138" s="572"/>
      <c r="D138" s="573"/>
      <c r="E138" s="573"/>
      <c r="F138" s="574"/>
      <c r="G138" s="580"/>
      <c r="H138" s="576"/>
      <c r="I138" s="576"/>
      <c r="J138" s="576"/>
      <c r="K138" s="576"/>
      <c r="L138" s="576"/>
      <c r="M138" s="576"/>
      <c r="N138" s="576"/>
      <c r="O138" s="576"/>
      <c r="P138" s="576"/>
      <c r="Q138" s="576"/>
      <c r="R138" s="577"/>
      <c r="S138" s="578"/>
      <c r="T138" s="576"/>
      <c r="U138" s="576"/>
      <c r="V138" s="576"/>
      <c r="W138" s="576"/>
      <c r="X138" s="576"/>
      <c r="Y138" s="576"/>
      <c r="Z138" s="576"/>
      <c r="AA138" s="576"/>
      <c r="AB138" s="576"/>
      <c r="AC138" s="576"/>
      <c r="AD138" s="579"/>
      <c r="AE138" s="580"/>
      <c r="AF138" s="576"/>
      <c r="AG138" s="576"/>
      <c r="AH138" s="579"/>
      <c r="AK138" s="617">
        <f t="shared" si="88"/>
        <v>0</v>
      </c>
    </row>
    <row r="139" spans="1:37" s="569" customFormat="1">
      <c r="A139" s="558" t="s">
        <v>66</v>
      </c>
      <c r="B139" s="559" t="str">
        <f>PLANILHA!D138</f>
        <v>1º PAVIMENTO</v>
      </c>
      <c r="C139" s="560"/>
      <c r="D139" s="561"/>
      <c r="E139" s="561"/>
      <c r="F139" s="562">
        <f t="shared" ref="F139:F144" si="138">VLOOKUP(A139,PLANILHA,$G$6,0)</f>
        <v>0</v>
      </c>
      <c r="G139" s="563"/>
      <c r="H139" s="564"/>
      <c r="I139" s="564"/>
      <c r="J139" s="564"/>
      <c r="K139" s="564"/>
      <c r="L139" s="564"/>
      <c r="M139" s="564"/>
      <c r="N139" s="564"/>
      <c r="O139" s="564"/>
      <c r="P139" s="564"/>
      <c r="Q139" s="564"/>
      <c r="R139" s="565"/>
      <c r="S139" s="566"/>
      <c r="T139" s="564"/>
      <c r="U139" s="564"/>
      <c r="V139" s="564"/>
      <c r="W139" s="564"/>
      <c r="X139" s="564"/>
      <c r="Y139" s="564"/>
      <c r="Z139" s="564"/>
      <c r="AA139" s="564"/>
      <c r="AB139" s="564"/>
      <c r="AC139" s="564"/>
      <c r="AD139" s="567"/>
      <c r="AE139" s="563"/>
      <c r="AF139" s="564"/>
      <c r="AG139" s="564"/>
      <c r="AH139" s="567"/>
      <c r="AI139" s="568"/>
      <c r="AK139" s="617">
        <f t="shared" si="88"/>
        <v>0</v>
      </c>
    </row>
    <row r="140" spans="1:37" s="569" customFormat="1">
      <c r="A140" s="592" t="s">
        <v>67</v>
      </c>
      <c r="B140" s="593" t="str">
        <f>PLANILHA!D139</f>
        <v>DEMOLIÇÃO</v>
      </c>
      <c r="C140" s="594"/>
      <c r="D140" s="589"/>
      <c r="E140" s="589"/>
      <c r="F140" s="595">
        <f t="shared" si="138"/>
        <v>0</v>
      </c>
      <c r="G140" s="596"/>
      <c r="H140" s="597"/>
      <c r="I140" s="597"/>
      <c r="J140" s="597"/>
      <c r="K140" s="597"/>
      <c r="L140" s="597"/>
      <c r="M140" s="597"/>
      <c r="N140" s="597"/>
      <c r="O140" s="597"/>
      <c r="P140" s="597"/>
      <c r="Q140" s="597"/>
      <c r="R140" s="598"/>
      <c r="S140" s="599"/>
      <c r="T140" s="597"/>
      <c r="U140" s="597"/>
      <c r="V140" s="597"/>
      <c r="W140" s="597"/>
      <c r="X140" s="597"/>
      <c r="Y140" s="597"/>
      <c r="Z140" s="597"/>
      <c r="AA140" s="597"/>
      <c r="AB140" s="597"/>
      <c r="AC140" s="597"/>
      <c r="AD140" s="600"/>
      <c r="AE140" s="596"/>
      <c r="AF140" s="597"/>
      <c r="AG140" s="576"/>
      <c r="AH140" s="579"/>
      <c r="AI140" s="568"/>
      <c r="AK140" s="617">
        <f t="shared" si="88"/>
        <v>0</v>
      </c>
    </row>
    <row r="141" spans="1:37" ht="30">
      <c r="A141" s="570" t="s">
        <v>7069</v>
      </c>
      <c r="B141" s="571" t="str">
        <f>PLANILHA!D140</f>
        <v>REMOÇÃO DE FORROS DE DRYWALL, PVC E FIBROMINERAL, DE FORMA MANUAL, SEM REAPROVEITAMENTO. AF_12/2017</v>
      </c>
      <c r="C141" s="572" t="str">
        <f>PLANILHA!E140</f>
        <v>M2</v>
      </c>
      <c r="D141" s="573">
        <f>PLANILHA!F140</f>
        <v>297.31</v>
      </c>
      <c r="E141" s="573">
        <f>VLOOKUP(A141,PLANILHA,$G$7,0)</f>
        <v>1.51</v>
      </c>
      <c r="F141" s="574">
        <f t="shared" si="138"/>
        <v>448.93</v>
      </c>
      <c r="G141" s="580"/>
      <c r="H141" s="576">
        <f>G141*$E141</f>
        <v>0</v>
      </c>
      <c r="I141" s="576"/>
      <c r="J141" s="576">
        <f>I141*$E141</f>
        <v>0</v>
      </c>
      <c r="K141" s="576"/>
      <c r="L141" s="576">
        <f>K141*$E141</f>
        <v>0</v>
      </c>
      <c r="M141" s="576"/>
      <c r="N141" s="576">
        <f>M141*$E141</f>
        <v>0</v>
      </c>
      <c r="O141" s="576"/>
      <c r="P141" s="576">
        <f>O141*$E141</f>
        <v>0</v>
      </c>
      <c r="Q141" s="576">
        <f>D141</f>
        <v>297.31</v>
      </c>
      <c r="R141" s="577">
        <f>TRUNC(Q141*$E141,2)</f>
        <v>448.93</v>
      </c>
      <c r="S141" s="578"/>
      <c r="T141" s="576">
        <f>S141*$E141</f>
        <v>0</v>
      </c>
      <c r="U141" s="576"/>
      <c r="V141" s="576">
        <f>U141*$E141</f>
        <v>0</v>
      </c>
      <c r="W141" s="576"/>
      <c r="X141" s="576">
        <f>W141*$E141</f>
        <v>0</v>
      </c>
      <c r="Y141" s="576"/>
      <c r="Z141" s="576">
        <f>Y141*$E141</f>
        <v>0</v>
      </c>
      <c r="AA141" s="576"/>
      <c r="AB141" s="576">
        <f>AA141*$E141</f>
        <v>0</v>
      </c>
      <c r="AC141" s="576"/>
      <c r="AD141" s="579">
        <f>AC141*$E141</f>
        <v>0</v>
      </c>
      <c r="AE141" s="580">
        <f>AC141+AA141+Y141+W141+U141+S141+Q141+O141+M141+K141+I141+G141</f>
        <v>297.31</v>
      </c>
      <c r="AF141" s="576">
        <f t="shared" ref="AF141:AF143" si="139">TRUNC(AE141*E141,2)</f>
        <v>448.93</v>
      </c>
      <c r="AG141" s="576">
        <f>D141-AE141</f>
        <v>0</v>
      </c>
      <c r="AH141" s="579">
        <f>AG141*E141</f>
        <v>0</v>
      </c>
      <c r="AK141" s="617">
        <f t="shared" si="88"/>
        <v>0</v>
      </c>
    </row>
    <row r="142" spans="1:37" ht="30">
      <c r="A142" s="570" t="s">
        <v>7070</v>
      </c>
      <c r="B142" s="571" t="str">
        <f>PLANILHA!D141</f>
        <v>REMOÇÃO DE PORTAS, DE FORMA MANUAL, SEM REAPROVEITAMENTO. AF_12/2017</v>
      </c>
      <c r="C142" s="572" t="str">
        <f>PLANILHA!E141</f>
        <v>M2</v>
      </c>
      <c r="D142" s="573">
        <f>PLANILHA!F141</f>
        <v>25.08</v>
      </c>
      <c r="E142" s="573">
        <f>VLOOKUP(A142,PLANILHA,$G$7,0)</f>
        <v>8.69</v>
      </c>
      <c r="F142" s="574">
        <f t="shared" si="138"/>
        <v>217.94</v>
      </c>
      <c r="G142" s="580"/>
      <c r="H142" s="576">
        <f>G142*$E142</f>
        <v>0</v>
      </c>
      <c r="I142" s="576"/>
      <c r="J142" s="576">
        <f>I142*$E142</f>
        <v>0</v>
      </c>
      <c r="K142" s="576"/>
      <c r="L142" s="576">
        <f>K142*$E142</f>
        <v>0</v>
      </c>
      <c r="M142" s="576"/>
      <c r="N142" s="576">
        <f>M142*$E142</f>
        <v>0</v>
      </c>
      <c r="O142" s="576"/>
      <c r="P142" s="576">
        <f>O142*$E142</f>
        <v>0</v>
      </c>
      <c r="Q142" s="576">
        <f>D142</f>
        <v>25.08</v>
      </c>
      <c r="R142" s="577">
        <f t="shared" ref="R142:R143" si="140">TRUNC(Q142*$E142,2)</f>
        <v>217.94</v>
      </c>
      <c r="S142" s="578"/>
      <c r="T142" s="576">
        <f>S142*$E142</f>
        <v>0</v>
      </c>
      <c r="U142" s="576"/>
      <c r="V142" s="576">
        <f>U142*$E142</f>
        <v>0</v>
      </c>
      <c r="W142" s="576"/>
      <c r="X142" s="576">
        <f>W142*$E142</f>
        <v>0</v>
      </c>
      <c r="Y142" s="576"/>
      <c r="Z142" s="576">
        <f>Y142*$E142</f>
        <v>0</v>
      </c>
      <c r="AA142" s="576"/>
      <c r="AB142" s="576">
        <f>AA142*$E142</f>
        <v>0</v>
      </c>
      <c r="AC142" s="576"/>
      <c r="AD142" s="579">
        <f>AC142*$E142</f>
        <v>0</v>
      </c>
      <c r="AE142" s="580">
        <f>AC142+AA142+Y142+W142+U142+S142+Q142+O142+M142+K142+I142+G142</f>
        <v>25.08</v>
      </c>
      <c r="AF142" s="576">
        <f t="shared" si="139"/>
        <v>217.94</v>
      </c>
      <c r="AG142" s="576">
        <f>D142-AE142</f>
        <v>0</v>
      </c>
      <c r="AH142" s="579">
        <f>AG142*E142</f>
        <v>0</v>
      </c>
      <c r="AK142" s="617">
        <f t="shared" ref="AK142:AK205" si="141">F142-AF142</f>
        <v>0</v>
      </c>
    </row>
    <row r="143" spans="1:37" ht="30">
      <c r="A143" s="570" t="s">
        <v>7071</v>
      </c>
      <c r="B143" s="571" t="str">
        <f>PLANILHA!D142</f>
        <v>REMOÇÃO DE JANELAS, DE FORMA MANUAL, SEM REAPROVEITAMENTO. AF_12/2017</v>
      </c>
      <c r="C143" s="572" t="str">
        <f>PLANILHA!E142</f>
        <v>M2</v>
      </c>
      <c r="D143" s="573">
        <f>PLANILHA!F142</f>
        <v>102.74</v>
      </c>
      <c r="E143" s="573">
        <f>VLOOKUP(A143,PLANILHA,$G$7,0)</f>
        <v>31.7</v>
      </c>
      <c r="F143" s="574">
        <f t="shared" si="138"/>
        <v>3256.85</v>
      </c>
      <c r="G143" s="580"/>
      <c r="H143" s="576">
        <f>G143*$E143</f>
        <v>0</v>
      </c>
      <c r="I143" s="576"/>
      <c r="J143" s="576">
        <f>I143*$E143</f>
        <v>0</v>
      </c>
      <c r="K143" s="576"/>
      <c r="L143" s="576">
        <f>K143*$E143</f>
        <v>0</v>
      </c>
      <c r="M143" s="576"/>
      <c r="N143" s="576">
        <f>M143*$E143</f>
        <v>0</v>
      </c>
      <c r="O143" s="576"/>
      <c r="P143" s="576">
        <f>O143*$E143</f>
        <v>0</v>
      </c>
      <c r="Q143" s="576">
        <f>D143</f>
        <v>102.74</v>
      </c>
      <c r="R143" s="577">
        <f t="shared" si="140"/>
        <v>3256.85</v>
      </c>
      <c r="S143" s="578"/>
      <c r="T143" s="576">
        <f>S143*$E143</f>
        <v>0</v>
      </c>
      <c r="U143" s="576"/>
      <c r="V143" s="576">
        <f>U143*$E143</f>
        <v>0</v>
      </c>
      <c r="W143" s="576"/>
      <c r="X143" s="576">
        <f>W143*$E143</f>
        <v>0</v>
      </c>
      <c r="Y143" s="576"/>
      <c r="Z143" s="576">
        <f>Y143*$E143</f>
        <v>0</v>
      </c>
      <c r="AA143" s="576"/>
      <c r="AB143" s="576">
        <f>AA143*$E143</f>
        <v>0</v>
      </c>
      <c r="AC143" s="576"/>
      <c r="AD143" s="579">
        <f>AC143*$E143</f>
        <v>0</v>
      </c>
      <c r="AE143" s="580">
        <f>AC143+AA143+Y143+W143+U143+S143+Q143+O143+M143+K143+I143+G143</f>
        <v>102.74</v>
      </c>
      <c r="AF143" s="576">
        <f t="shared" si="139"/>
        <v>3256.85</v>
      </c>
      <c r="AG143" s="576">
        <f>D143-AE143</f>
        <v>0</v>
      </c>
      <c r="AH143" s="579">
        <f>AG143*E143</f>
        <v>0</v>
      </c>
      <c r="AK143" s="617">
        <f t="shared" si="141"/>
        <v>0</v>
      </c>
    </row>
    <row r="144" spans="1:37" s="569" customFormat="1">
      <c r="A144" s="581" t="s">
        <v>27219</v>
      </c>
      <c r="B144" s="582"/>
      <c r="C144" s="583"/>
      <c r="D144" s="584"/>
      <c r="E144" s="584"/>
      <c r="F144" s="585">
        <f t="shared" si="138"/>
        <v>3923.72</v>
      </c>
      <c r="G144" s="586"/>
      <c r="H144" s="584">
        <f>SUM(H141:H143)</f>
        <v>0</v>
      </c>
      <c r="I144" s="584"/>
      <c r="J144" s="584">
        <f>SUM(J141:J143)</f>
        <v>0</v>
      </c>
      <c r="K144" s="584"/>
      <c r="L144" s="584">
        <f>SUM(L141:L143)</f>
        <v>0</v>
      </c>
      <c r="M144" s="584"/>
      <c r="N144" s="584">
        <f>SUM(N141:N143)</f>
        <v>0</v>
      </c>
      <c r="O144" s="584"/>
      <c r="P144" s="584">
        <f>SUM(P141:P143)</f>
        <v>0</v>
      </c>
      <c r="Q144" s="584"/>
      <c r="R144" s="587">
        <f>SUM(R141:R143)</f>
        <v>3923.72</v>
      </c>
      <c r="S144" s="588"/>
      <c r="T144" s="584">
        <f>SUM(T141:T143)</f>
        <v>0</v>
      </c>
      <c r="U144" s="584"/>
      <c r="V144" s="584">
        <f>SUM(V141:V143)</f>
        <v>0</v>
      </c>
      <c r="W144" s="584"/>
      <c r="X144" s="584">
        <f>SUM(X141:X143)</f>
        <v>0</v>
      </c>
      <c r="Y144" s="584"/>
      <c r="Z144" s="584">
        <f>SUM(Z141:Z143)</f>
        <v>0</v>
      </c>
      <c r="AA144" s="584"/>
      <c r="AB144" s="584">
        <f>SUM(AB141:AB143)</f>
        <v>0</v>
      </c>
      <c r="AC144" s="584"/>
      <c r="AD144" s="585">
        <f>SUM(AD141:AD143)</f>
        <v>0</v>
      </c>
      <c r="AE144" s="590"/>
      <c r="AF144" s="584">
        <f>SUM(AF141:AF143)</f>
        <v>3923.72</v>
      </c>
      <c r="AG144" s="591"/>
      <c r="AH144" s="585">
        <f>SUM(AH141:AH143)</f>
        <v>0</v>
      </c>
      <c r="AI144" s="568"/>
      <c r="AK144" s="617">
        <f t="shared" si="141"/>
        <v>0</v>
      </c>
    </row>
    <row r="145" spans="1:37">
      <c r="A145" s="570"/>
      <c r="B145" s="571"/>
      <c r="C145" s="572"/>
      <c r="D145" s="573"/>
      <c r="E145" s="573"/>
      <c r="F145" s="574"/>
      <c r="G145" s="580"/>
      <c r="H145" s="576"/>
      <c r="I145" s="576"/>
      <c r="J145" s="576"/>
      <c r="K145" s="576"/>
      <c r="L145" s="576"/>
      <c r="M145" s="576"/>
      <c r="N145" s="576"/>
      <c r="O145" s="576"/>
      <c r="P145" s="576"/>
      <c r="Q145" s="576"/>
      <c r="R145" s="577"/>
      <c r="S145" s="578"/>
      <c r="T145" s="576"/>
      <c r="U145" s="576"/>
      <c r="V145" s="576"/>
      <c r="W145" s="576"/>
      <c r="X145" s="576"/>
      <c r="Y145" s="576"/>
      <c r="Z145" s="576"/>
      <c r="AA145" s="576"/>
      <c r="AB145" s="576"/>
      <c r="AC145" s="576"/>
      <c r="AD145" s="579"/>
      <c r="AE145" s="580"/>
      <c r="AF145" s="576"/>
      <c r="AG145" s="576"/>
      <c r="AH145" s="579"/>
      <c r="AK145" s="617">
        <f t="shared" si="141"/>
        <v>0</v>
      </c>
    </row>
    <row r="146" spans="1:37" s="569" customFormat="1">
      <c r="A146" s="592" t="s">
        <v>68</v>
      </c>
      <c r="B146" s="593" t="str">
        <f>PLANILHA!D145</f>
        <v>PISO</v>
      </c>
      <c r="C146" s="594"/>
      <c r="D146" s="589"/>
      <c r="E146" s="589"/>
      <c r="F146" s="595">
        <f>VLOOKUP(A146,PLANILHA,$G$6,0)</f>
        <v>0</v>
      </c>
      <c r="G146" s="596"/>
      <c r="H146" s="597"/>
      <c r="I146" s="597"/>
      <c r="J146" s="597"/>
      <c r="K146" s="597"/>
      <c r="L146" s="597"/>
      <c r="M146" s="597"/>
      <c r="N146" s="597"/>
      <c r="O146" s="597"/>
      <c r="P146" s="597"/>
      <c r="Q146" s="597"/>
      <c r="R146" s="598"/>
      <c r="S146" s="599"/>
      <c r="T146" s="597"/>
      <c r="U146" s="597"/>
      <c r="V146" s="597"/>
      <c r="W146" s="597"/>
      <c r="X146" s="597"/>
      <c r="Y146" s="597"/>
      <c r="Z146" s="597"/>
      <c r="AA146" s="597"/>
      <c r="AB146" s="597"/>
      <c r="AC146" s="597"/>
      <c r="AD146" s="600"/>
      <c r="AE146" s="596"/>
      <c r="AF146" s="597"/>
      <c r="AG146" s="597"/>
      <c r="AH146" s="600"/>
      <c r="AI146" s="568"/>
      <c r="AK146" s="617">
        <f t="shared" si="141"/>
        <v>0</v>
      </c>
    </row>
    <row r="147" spans="1:37" ht="60">
      <c r="A147" s="570" t="s">
        <v>7072</v>
      </c>
      <c r="B147" s="571" t="str">
        <f>PLANILHA!D146</f>
        <v>REVESTIMENTO CERÂMICO PARA PISO COM PLACAS TIPO PORCELANATO ARTSY CEMENT NATURAL  0,90X0,90m PORTOBELLO OU SIMILAR, ARGAMASSA TIPO AC III,FORNECIMENTO E INSTALAÇÃO. AF_06/2014</v>
      </c>
      <c r="C147" s="572" t="str">
        <f>PLANILHA!E146</f>
        <v>m²</v>
      </c>
      <c r="D147" s="573">
        <f>PLANILHA!F146</f>
        <v>297.31</v>
      </c>
      <c r="E147" s="573">
        <f>VLOOKUP(A147,PLANILHA,$G$7,0)</f>
        <v>221.42</v>
      </c>
      <c r="F147" s="574">
        <f>VLOOKUP(A147,PLANILHA,$G$6,0)</f>
        <v>65830.38</v>
      </c>
      <c r="G147" s="580"/>
      <c r="H147" s="576">
        <f>G147*$E147</f>
        <v>0</v>
      </c>
      <c r="I147" s="576"/>
      <c r="J147" s="576">
        <f>I147*$E147</f>
        <v>0</v>
      </c>
      <c r="K147" s="576"/>
      <c r="L147" s="576">
        <f>K147*$E147</f>
        <v>0</v>
      </c>
      <c r="M147" s="576"/>
      <c r="N147" s="576">
        <f>M147*$E147</f>
        <v>0</v>
      </c>
      <c r="O147" s="576"/>
      <c r="P147" s="576">
        <f>O147*$E147</f>
        <v>0</v>
      </c>
      <c r="Q147" s="576">
        <f>D147</f>
        <v>297.31</v>
      </c>
      <c r="R147" s="577">
        <f t="shared" ref="R147:R148" si="142">TRUNC(Q147*$E147,2)</f>
        <v>65830.38</v>
      </c>
      <c r="S147" s="578"/>
      <c r="T147" s="576">
        <f>S147*$E147</f>
        <v>0</v>
      </c>
      <c r="U147" s="576"/>
      <c r="V147" s="576">
        <f>U147*$E147</f>
        <v>0</v>
      </c>
      <c r="W147" s="576"/>
      <c r="X147" s="576">
        <f>W147*$E147</f>
        <v>0</v>
      </c>
      <c r="Y147" s="576"/>
      <c r="Z147" s="576">
        <f>Y147*$E147</f>
        <v>0</v>
      </c>
      <c r="AA147" s="576"/>
      <c r="AB147" s="576">
        <f>AA147*$E147</f>
        <v>0</v>
      </c>
      <c r="AC147" s="576"/>
      <c r="AD147" s="579">
        <f>AC147*$E147</f>
        <v>0</v>
      </c>
      <c r="AE147" s="580">
        <f>AC147+AA147+Y147+W147+U147+S147+Q147+O147+M147+K147+I147+G147</f>
        <v>297.31</v>
      </c>
      <c r="AF147" s="576">
        <f t="shared" ref="AF147:AF148" si="143">TRUNC(AE147*E147,2)</f>
        <v>65830.38</v>
      </c>
      <c r="AG147" s="576">
        <f>D147-AE147</f>
        <v>0</v>
      </c>
      <c r="AH147" s="579">
        <f>AG147*E147</f>
        <v>0</v>
      </c>
      <c r="AK147" s="617">
        <f t="shared" si="141"/>
        <v>0</v>
      </c>
    </row>
    <row r="148" spans="1:37" ht="60">
      <c r="A148" s="570" t="s">
        <v>7073</v>
      </c>
      <c r="B148" s="571" t="str">
        <f>PLANILHA!D147</f>
        <v>RODAPÉ DE 7CM EM REVESTIMENTO CERÂMICO PARA PISO COM PLACAS TIPO PORCELANATO ARTSY CEMENT NATURAL  0,90X0,90m PORTOBELLO OU SIMILAR, ARGAMASSA TIPO AC III,FORNECIMENTO E INSTALAÇÃO. AF_06/2014</v>
      </c>
      <c r="C148" s="572" t="str">
        <f>PLANILHA!E147</f>
        <v xml:space="preserve">m </v>
      </c>
      <c r="D148" s="573">
        <f>PLANILHA!F147</f>
        <v>187.42</v>
      </c>
      <c r="E148" s="573">
        <f>VLOOKUP(A148,PLANILHA,$G$7,0)</f>
        <v>17.5</v>
      </c>
      <c r="F148" s="574">
        <f>VLOOKUP(A148,PLANILHA,$G$6,0)</f>
        <v>3279.85</v>
      </c>
      <c r="G148" s="580"/>
      <c r="H148" s="576">
        <f>G148*$E148</f>
        <v>0</v>
      </c>
      <c r="I148" s="576"/>
      <c r="J148" s="576">
        <f>I148*$E148</f>
        <v>0</v>
      </c>
      <c r="K148" s="576"/>
      <c r="L148" s="576">
        <f>K148*$E148</f>
        <v>0</v>
      </c>
      <c r="M148" s="576"/>
      <c r="N148" s="576">
        <f>M148*$E148</f>
        <v>0</v>
      </c>
      <c r="O148" s="576"/>
      <c r="P148" s="576">
        <f>O148*$E148</f>
        <v>0</v>
      </c>
      <c r="Q148" s="576">
        <f>D148</f>
        <v>187.42</v>
      </c>
      <c r="R148" s="577">
        <f t="shared" si="142"/>
        <v>3279.85</v>
      </c>
      <c r="S148" s="578"/>
      <c r="T148" s="576">
        <f>S148*$E148</f>
        <v>0</v>
      </c>
      <c r="U148" s="576"/>
      <c r="V148" s="576">
        <f>U148*$E148</f>
        <v>0</v>
      </c>
      <c r="W148" s="576"/>
      <c r="X148" s="576">
        <f>W148*$E148</f>
        <v>0</v>
      </c>
      <c r="Y148" s="576"/>
      <c r="Z148" s="576">
        <f>Y148*$E148</f>
        <v>0</v>
      </c>
      <c r="AA148" s="576"/>
      <c r="AB148" s="576">
        <f>AA148*$E148</f>
        <v>0</v>
      </c>
      <c r="AC148" s="576"/>
      <c r="AD148" s="579">
        <f>AC148*$E148</f>
        <v>0</v>
      </c>
      <c r="AE148" s="580">
        <f>AC148+AA148+Y148+W148+U148+S148+Q148+O148+M148+K148+I148+G148</f>
        <v>187.42</v>
      </c>
      <c r="AF148" s="576">
        <f t="shared" si="143"/>
        <v>3279.85</v>
      </c>
      <c r="AG148" s="576">
        <f>D148-AE148</f>
        <v>0</v>
      </c>
      <c r="AH148" s="579">
        <f>AG148*E148</f>
        <v>0</v>
      </c>
      <c r="AK148" s="617">
        <f t="shared" si="141"/>
        <v>0</v>
      </c>
    </row>
    <row r="149" spans="1:37" s="569" customFormat="1">
      <c r="A149" s="581" t="s">
        <v>27220</v>
      </c>
      <c r="B149" s="582"/>
      <c r="C149" s="583"/>
      <c r="D149" s="584"/>
      <c r="E149" s="584"/>
      <c r="F149" s="585">
        <f>VLOOKUP(A149,PLANILHA,$G$6,0)</f>
        <v>69110.23000000001</v>
      </c>
      <c r="G149" s="586"/>
      <c r="H149" s="584">
        <f>SUM(H147:H148)</f>
        <v>0</v>
      </c>
      <c r="I149" s="584"/>
      <c r="J149" s="584">
        <f>SUM(J147:J148)</f>
        <v>0</v>
      </c>
      <c r="K149" s="584"/>
      <c r="L149" s="584">
        <f>SUM(L147:L148)</f>
        <v>0</v>
      </c>
      <c r="M149" s="584"/>
      <c r="N149" s="584">
        <f>SUM(N147:N148)</f>
        <v>0</v>
      </c>
      <c r="O149" s="584"/>
      <c r="P149" s="584">
        <f>SUM(P147:P148)</f>
        <v>0</v>
      </c>
      <c r="Q149" s="584"/>
      <c r="R149" s="587">
        <f>SUM(R147:R148)</f>
        <v>69110.23000000001</v>
      </c>
      <c r="S149" s="588"/>
      <c r="T149" s="584">
        <f>SUM(T147:T148)</f>
        <v>0</v>
      </c>
      <c r="U149" s="584"/>
      <c r="V149" s="584">
        <f>SUM(V147:V148)</f>
        <v>0</v>
      </c>
      <c r="W149" s="584"/>
      <c r="X149" s="584">
        <f>SUM(X147:X148)</f>
        <v>0</v>
      </c>
      <c r="Y149" s="584"/>
      <c r="Z149" s="584">
        <f>SUM(Z147:Z148)</f>
        <v>0</v>
      </c>
      <c r="AA149" s="584"/>
      <c r="AB149" s="584">
        <f>SUM(AB147:AB148)</f>
        <v>0</v>
      </c>
      <c r="AC149" s="584"/>
      <c r="AD149" s="585">
        <f>SUM(AD147:AD148)</f>
        <v>0</v>
      </c>
      <c r="AE149" s="590"/>
      <c r="AF149" s="584">
        <f>SUM(AF147:AF148)</f>
        <v>69110.23000000001</v>
      </c>
      <c r="AG149" s="591"/>
      <c r="AH149" s="585">
        <f>SUM(AH147:AH148)</f>
        <v>0</v>
      </c>
      <c r="AI149" s="568"/>
      <c r="AK149" s="617">
        <f t="shared" si="141"/>
        <v>0</v>
      </c>
    </row>
    <row r="150" spans="1:37">
      <c r="A150" s="570"/>
      <c r="B150" s="571"/>
      <c r="C150" s="572"/>
      <c r="D150" s="573"/>
      <c r="E150" s="573"/>
      <c r="F150" s="574"/>
      <c r="G150" s="580"/>
      <c r="H150" s="576"/>
      <c r="I150" s="576"/>
      <c r="J150" s="576"/>
      <c r="K150" s="576"/>
      <c r="L150" s="576"/>
      <c r="M150" s="576"/>
      <c r="N150" s="576"/>
      <c r="O150" s="576"/>
      <c r="P150" s="576"/>
      <c r="Q150" s="576"/>
      <c r="R150" s="577"/>
      <c r="S150" s="578"/>
      <c r="T150" s="576"/>
      <c r="U150" s="576"/>
      <c r="V150" s="576"/>
      <c r="W150" s="576"/>
      <c r="X150" s="576"/>
      <c r="Y150" s="576"/>
      <c r="Z150" s="576"/>
      <c r="AA150" s="576"/>
      <c r="AB150" s="576"/>
      <c r="AC150" s="576"/>
      <c r="AD150" s="579"/>
      <c r="AE150" s="580"/>
      <c r="AF150" s="576"/>
      <c r="AG150" s="576"/>
      <c r="AH150" s="579"/>
      <c r="AK150" s="617">
        <f t="shared" si="141"/>
        <v>0</v>
      </c>
    </row>
    <row r="151" spans="1:37" s="569" customFormat="1">
      <c r="A151" s="592" t="s">
        <v>77</v>
      </c>
      <c r="B151" s="593" t="str">
        <f>PLANILHA!D150</f>
        <v>PINTURA</v>
      </c>
      <c r="C151" s="594"/>
      <c r="D151" s="589"/>
      <c r="E151" s="589"/>
      <c r="F151" s="595">
        <f>VLOOKUP(A151,PLANILHA,$G$6,0)</f>
        <v>0</v>
      </c>
      <c r="G151" s="596"/>
      <c r="H151" s="597"/>
      <c r="I151" s="597"/>
      <c r="J151" s="597"/>
      <c r="K151" s="597"/>
      <c r="L151" s="597"/>
      <c r="M151" s="597"/>
      <c r="N151" s="597"/>
      <c r="O151" s="597"/>
      <c r="P151" s="597"/>
      <c r="Q151" s="597"/>
      <c r="R151" s="598"/>
      <c r="S151" s="599"/>
      <c r="T151" s="597"/>
      <c r="U151" s="597"/>
      <c r="V151" s="597"/>
      <c r="W151" s="597"/>
      <c r="X151" s="597"/>
      <c r="Y151" s="597"/>
      <c r="Z151" s="597"/>
      <c r="AA151" s="597"/>
      <c r="AB151" s="597"/>
      <c r="AC151" s="597"/>
      <c r="AD151" s="600"/>
      <c r="AE151" s="596"/>
      <c r="AF151" s="597"/>
      <c r="AG151" s="597"/>
      <c r="AH151" s="600"/>
      <c r="AI151" s="568"/>
      <c r="AK151" s="617">
        <f t="shared" si="141"/>
        <v>0</v>
      </c>
    </row>
    <row r="152" spans="1:37" ht="30">
      <c r="A152" s="570" t="s">
        <v>7202</v>
      </c>
      <c r="B152" s="571" t="str">
        <f>PLANILHA!D151</f>
        <v>APLICAÇÃO DE FUNDO SELADOR ACRÍLICO EM PAREDES, UMA DEMÃO. AF_06/2014</v>
      </c>
      <c r="C152" s="572" t="str">
        <f>PLANILHA!E151</f>
        <v>M2</v>
      </c>
      <c r="D152" s="573">
        <f>PLANILHA!F151</f>
        <v>872.4</v>
      </c>
      <c r="E152" s="573">
        <f>VLOOKUP(A152,PLANILHA,$G$7,0)</f>
        <v>2.2000000000000002</v>
      </c>
      <c r="F152" s="574">
        <f>VLOOKUP(A152,PLANILHA,$G$6,0)</f>
        <v>1919.28</v>
      </c>
      <c r="G152" s="580"/>
      <c r="H152" s="576">
        <f>G152*$E152</f>
        <v>0</v>
      </c>
      <c r="I152" s="576"/>
      <c r="J152" s="576">
        <f>I152*$E152</f>
        <v>0</v>
      </c>
      <c r="K152" s="576"/>
      <c r="L152" s="576">
        <f>K152*$E152</f>
        <v>0</v>
      </c>
      <c r="M152" s="576"/>
      <c r="N152" s="576">
        <f>M152*$E152</f>
        <v>0</v>
      </c>
      <c r="O152" s="576"/>
      <c r="P152" s="576">
        <f>O152*$E152</f>
        <v>0</v>
      </c>
      <c r="Q152" s="576"/>
      <c r="R152" s="577">
        <f>Q152*$E152</f>
        <v>0</v>
      </c>
      <c r="S152" s="578">
        <f>D152</f>
        <v>872.4</v>
      </c>
      <c r="T152" s="576">
        <f>TRUNC(S152*$E152,2)</f>
        <v>1919.28</v>
      </c>
      <c r="U152" s="576"/>
      <c r="V152" s="576">
        <f>U152*$E152</f>
        <v>0</v>
      </c>
      <c r="W152" s="576"/>
      <c r="X152" s="576">
        <f>W152*$E152</f>
        <v>0</v>
      </c>
      <c r="Y152" s="576"/>
      <c r="Z152" s="576">
        <f>Y152*$E152</f>
        <v>0</v>
      </c>
      <c r="AA152" s="576"/>
      <c r="AB152" s="576">
        <f>AA152*$E152</f>
        <v>0</v>
      </c>
      <c r="AC152" s="576"/>
      <c r="AD152" s="579">
        <f>AC152*$E152</f>
        <v>0</v>
      </c>
      <c r="AE152" s="580">
        <f>AC152+AA152+Y152+W152+U152+S152+Q152+O152+M152+K152+I152+G152</f>
        <v>872.4</v>
      </c>
      <c r="AF152" s="576">
        <f t="shared" ref="AF152:AF154" si="144">TRUNC(AE152*E152,2)</f>
        <v>1919.28</v>
      </c>
      <c r="AG152" s="576">
        <f>D152-AE152</f>
        <v>0</v>
      </c>
      <c r="AH152" s="579">
        <f>AG152*E152</f>
        <v>0</v>
      </c>
      <c r="AK152" s="617">
        <f t="shared" si="141"/>
        <v>0</v>
      </c>
    </row>
    <row r="153" spans="1:37" ht="45">
      <c r="A153" s="570" t="s">
        <v>7203</v>
      </c>
      <c r="B153" s="571" t="str">
        <f>PLANILHA!D152</f>
        <v>APLICAÇÃO MANUAL DE MASSA ACRÍLICA EM PANOS DE FACHADA COM PRESENÇA DE VÃOS, DE EDIFÍCIOS DE MÚLTIPLOS PAVIMENTOS, UMA DEMÃO. AF_05/2017</v>
      </c>
      <c r="C153" s="572" t="str">
        <f>PLANILHA!E152</f>
        <v>M2</v>
      </c>
      <c r="D153" s="573">
        <f>PLANILHA!F152</f>
        <v>872.4</v>
      </c>
      <c r="E153" s="573">
        <f>VLOOKUP(A153,PLANILHA,$G$7,0)</f>
        <v>20.14</v>
      </c>
      <c r="F153" s="574">
        <f>VLOOKUP(A153,PLANILHA,$G$6,0)</f>
        <v>17570.13</v>
      </c>
      <c r="G153" s="580"/>
      <c r="H153" s="576">
        <f>G153*$E153</f>
        <v>0</v>
      </c>
      <c r="I153" s="576"/>
      <c r="J153" s="576">
        <f>I153*$E153</f>
        <v>0</v>
      </c>
      <c r="K153" s="576"/>
      <c r="L153" s="576">
        <f>K153*$E153</f>
        <v>0</v>
      </c>
      <c r="M153" s="576"/>
      <c r="N153" s="576">
        <f>M153*$E153</f>
        <v>0</v>
      </c>
      <c r="O153" s="576"/>
      <c r="P153" s="576">
        <f>O153*$E153</f>
        <v>0</v>
      </c>
      <c r="Q153" s="576"/>
      <c r="R153" s="577">
        <f>Q153*$E153</f>
        <v>0</v>
      </c>
      <c r="S153" s="578">
        <f>D153</f>
        <v>872.4</v>
      </c>
      <c r="T153" s="576">
        <f t="shared" ref="T153:T154" si="145">TRUNC(S153*$E153,2)</f>
        <v>17570.13</v>
      </c>
      <c r="U153" s="576"/>
      <c r="V153" s="576">
        <f>U153*$E153</f>
        <v>0</v>
      </c>
      <c r="W153" s="576"/>
      <c r="X153" s="576">
        <f>W153*$E153</f>
        <v>0</v>
      </c>
      <c r="Y153" s="576"/>
      <c r="Z153" s="576">
        <f>Y153*$E153</f>
        <v>0</v>
      </c>
      <c r="AA153" s="576"/>
      <c r="AB153" s="576">
        <f>AA153*$E153</f>
        <v>0</v>
      </c>
      <c r="AC153" s="576"/>
      <c r="AD153" s="579">
        <f>AC153*$E153</f>
        <v>0</v>
      </c>
      <c r="AE153" s="580">
        <f>AC153+AA153+Y153+W153+U153+S153+Q153+O153+M153+K153+I153+G153</f>
        <v>872.4</v>
      </c>
      <c r="AF153" s="576">
        <f t="shared" si="144"/>
        <v>17570.13</v>
      </c>
      <c r="AG153" s="576">
        <f>D153-AE153</f>
        <v>0</v>
      </c>
      <c r="AH153" s="579">
        <f>AG153*E153</f>
        <v>0</v>
      </c>
      <c r="AK153" s="617">
        <f t="shared" si="141"/>
        <v>0</v>
      </c>
    </row>
    <row r="154" spans="1:37" ht="30">
      <c r="A154" s="570" t="s">
        <v>7074</v>
      </c>
      <c r="B154" s="571" t="str">
        <f>PLANILHA!D153</f>
        <v>APLICAÇÃO MANUAL DE PINTURA COM TINTA LÁTEX ACRÍLICA EM PAREDES, DUAS DEMÃOS. AF_06/2014</v>
      </c>
      <c r="C154" s="572" t="str">
        <f>PLANILHA!E153</f>
        <v>M2</v>
      </c>
      <c r="D154" s="573">
        <f>PLANILHA!F153</f>
        <v>872.4</v>
      </c>
      <c r="E154" s="573">
        <f>VLOOKUP(A154,PLANILHA,$G$7,0)</f>
        <v>15.51</v>
      </c>
      <c r="F154" s="574">
        <f>VLOOKUP(A154,PLANILHA,$G$6,0)</f>
        <v>13530.92</v>
      </c>
      <c r="G154" s="580"/>
      <c r="H154" s="576">
        <f>G154*$E154</f>
        <v>0</v>
      </c>
      <c r="I154" s="576"/>
      <c r="J154" s="576">
        <f>I154*$E154</f>
        <v>0</v>
      </c>
      <c r="K154" s="576"/>
      <c r="L154" s="576">
        <f>K154*$E154</f>
        <v>0</v>
      </c>
      <c r="M154" s="576"/>
      <c r="N154" s="576">
        <f>M154*$E154</f>
        <v>0</v>
      </c>
      <c r="O154" s="576"/>
      <c r="P154" s="576">
        <f>O154*$E154</f>
        <v>0</v>
      </c>
      <c r="Q154" s="576"/>
      <c r="R154" s="577">
        <f>Q154*$E154</f>
        <v>0</v>
      </c>
      <c r="S154" s="578">
        <f>D154</f>
        <v>872.4</v>
      </c>
      <c r="T154" s="576">
        <f t="shared" si="145"/>
        <v>13530.92</v>
      </c>
      <c r="U154" s="576"/>
      <c r="V154" s="576">
        <f>U154*$E154</f>
        <v>0</v>
      </c>
      <c r="W154" s="576"/>
      <c r="X154" s="576">
        <f>W154*$E154</f>
        <v>0</v>
      </c>
      <c r="Y154" s="576"/>
      <c r="Z154" s="576">
        <f>Y154*$E154</f>
        <v>0</v>
      </c>
      <c r="AA154" s="576"/>
      <c r="AB154" s="576">
        <f>AA154*$E154</f>
        <v>0</v>
      </c>
      <c r="AC154" s="576"/>
      <c r="AD154" s="579">
        <f>AC154*$E154</f>
        <v>0</v>
      </c>
      <c r="AE154" s="580">
        <f>AC154+AA154+Y154+W154+U154+S154+Q154+O154+M154+K154+I154+G154</f>
        <v>872.4</v>
      </c>
      <c r="AF154" s="576">
        <f t="shared" si="144"/>
        <v>13530.92</v>
      </c>
      <c r="AG154" s="576">
        <f>D154-AE154</f>
        <v>0</v>
      </c>
      <c r="AH154" s="579">
        <f>AG154*E154</f>
        <v>0</v>
      </c>
      <c r="AK154" s="617">
        <f t="shared" si="141"/>
        <v>0</v>
      </c>
    </row>
    <row r="155" spans="1:37" s="569" customFormat="1">
      <c r="A155" s="581" t="s">
        <v>27221</v>
      </c>
      <c r="B155" s="582"/>
      <c r="C155" s="583"/>
      <c r="D155" s="584"/>
      <c r="E155" s="584"/>
      <c r="F155" s="585">
        <f>VLOOKUP(A155,PLANILHA,$G$6,0)</f>
        <v>33020.33</v>
      </c>
      <c r="G155" s="586"/>
      <c r="H155" s="584">
        <f t="shared" ref="H155:AH155" si="146">SUM(H152:H154)</f>
        <v>0</v>
      </c>
      <c r="I155" s="584"/>
      <c r="J155" s="584">
        <f t="shared" si="146"/>
        <v>0</v>
      </c>
      <c r="K155" s="584"/>
      <c r="L155" s="584">
        <f t="shared" si="146"/>
        <v>0</v>
      </c>
      <c r="M155" s="584"/>
      <c r="N155" s="584">
        <f t="shared" si="146"/>
        <v>0</v>
      </c>
      <c r="O155" s="584"/>
      <c r="P155" s="584">
        <f t="shared" si="146"/>
        <v>0</v>
      </c>
      <c r="Q155" s="584"/>
      <c r="R155" s="587">
        <f t="shared" si="146"/>
        <v>0</v>
      </c>
      <c r="S155" s="588"/>
      <c r="T155" s="584">
        <f t="shared" si="146"/>
        <v>33020.33</v>
      </c>
      <c r="U155" s="584"/>
      <c r="V155" s="584">
        <f t="shared" si="146"/>
        <v>0</v>
      </c>
      <c r="W155" s="584"/>
      <c r="X155" s="584">
        <f t="shared" si="146"/>
        <v>0</v>
      </c>
      <c r="Y155" s="584"/>
      <c r="Z155" s="584">
        <f t="shared" si="146"/>
        <v>0</v>
      </c>
      <c r="AA155" s="584"/>
      <c r="AB155" s="584">
        <f t="shared" si="146"/>
        <v>0</v>
      </c>
      <c r="AC155" s="584"/>
      <c r="AD155" s="585">
        <f t="shared" si="146"/>
        <v>0</v>
      </c>
      <c r="AE155" s="590"/>
      <c r="AF155" s="584">
        <f t="shared" si="146"/>
        <v>33020.33</v>
      </c>
      <c r="AG155" s="591"/>
      <c r="AH155" s="585">
        <f t="shared" si="146"/>
        <v>0</v>
      </c>
      <c r="AI155" s="568"/>
      <c r="AK155" s="617">
        <f t="shared" si="141"/>
        <v>0</v>
      </c>
    </row>
    <row r="156" spans="1:37">
      <c r="A156" s="570"/>
      <c r="B156" s="571"/>
      <c r="C156" s="572"/>
      <c r="D156" s="573"/>
      <c r="E156" s="573"/>
      <c r="F156" s="574"/>
      <c r="G156" s="580"/>
      <c r="H156" s="576"/>
      <c r="I156" s="576"/>
      <c r="J156" s="576"/>
      <c r="K156" s="576"/>
      <c r="L156" s="576"/>
      <c r="M156" s="576"/>
      <c r="N156" s="576"/>
      <c r="O156" s="576"/>
      <c r="P156" s="576"/>
      <c r="Q156" s="576"/>
      <c r="R156" s="577"/>
      <c r="S156" s="578"/>
      <c r="T156" s="576"/>
      <c r="U156" s="576"/>
      <c r="V156" s="576"/>
      <c r="W156" s="576"/>
      <c r="X156" s="576"/>
      <c r="Y156" s="576"/>
      <c r="Z156" s="576"/>
      <c r="AA156" s="576"/>
      <c r="AB156" s="576"/>
      <c r="AC156" s="576"/>
      <c r="AD156" s="579"/>
      <c r="AE156" s="580"/>
      <c r="AF156" s="576"/>
      <c r="AG156" s="576"/>
      <c r="AH156" s="579"/>
      <c r="AK156" s="617">
        <f t="shared" si="141"/>
        <v>0</v>
      </c>
    </row>
    <row r="157" spans="1:37" s="569" customFormat="1">
      <c r="A157" s="592" t="s">
        <v>78</v>
      </c>
      <c r="B157" s="593" t="str">
        <f>PLANILHA!D156</f>
        <v>PORTAS</v>
      </c>
      <c r="C157" s="594"/>
      <c r="D157" s="589"/>
      <c r="E157" s="589"/>
      <c r="F157" s="595">
        <f t="shared" ref="F157:F163" si="147">VLOOKUP(A157,PLANILHA,$G$6,0)</f>
        <v>0</v>
      </c>
      <c r="G157" s="596"/>
      <c r="H157" s="597"/>
      <c r="I157" s="597"/>
      <c r="J157" s="597"/>
      <c r="K157" s="597"/>
      <c r="L157" s="597"/>
      <c r="M157" s="597"/>
      <c r="N157" s="597"/>
      <c r="O157" s="597"/>
      <c r="P157" s="597"/>
      <c r="Q157" s="597"/>
      <c r="R157" s="598"/>
      <c r="S157" s="599"/>
      <c r="T157" s="597"/>
      <c r="U157" s="597"/>
      <c r="V157" s="597"/>
      <c r="W157" s="597"/>
      <c r="X157" s="597"/>
      <c r="Y157" s="597"/>
      <c r="Z157" s="597"/>
      <c r="AA157" s="597"/>
      <c r="AB157" s="597"/>
      <c r="AC157" s="597"/>
      <c r="AD157" s="600"/>
      <c r="AE157" s="596"/>
      <c r="AF157" s="597"/>
      <c r="AG157" s="597"/>
      <c r="AH157" s="600"/>
      <c r="AI157" s="568"/>
      <c r="AK157" s="617">
        <f t="shared" si="141"/>
        <v>0</v>
      </c>
    </row>
    <row r="158" spans="1:37" ht="60">
      <c r="A158" s="570" t="s">
        <v>7075</v>
      </c>
      <c r="B158" s="571" t="str">
        <f>PLANILHA!D157</f>
        <v>KIT PORTA PRONTA PRETA LISA SÓLIDA PORMADE O,80X2,10,ACABAMENTO DE COR UNIFORME, MARCOS E ALIZARES EM PVC WOOD, RESISTENTES A ESTUFAMENTOS. FORNECIMENTO E INSTALAÇÃO.</v>
      </c>
      <c r="C158" s="572" t="str">
        <f>PLANILHA!E157</f>
        <v>UND</v>
      </c>
      <c r="D158" s="573">
        <f>PLANILHA!F157</f>
        <v>9</v>
      </c>
      <c r="E158" s="573">
        <f>VLOOKUP(A158,PLANILHA,$G$7,0)</f>
        <v>3111.29</v>
      </c>
      <c r="F158" s="574">
        <f t="shared" si="147"/>
        <v>28001.61</v>
      </c>
      <c r="G158" s="580"/>
      <c r="H158" s="576">
        <f>G158*$E158</f>
        <v>0</v>
      </c>
      <c r="I158" s="576"/>
      <c r="J158" s="576">
        <f>I158*$E158</f>
        <v>0</v>
      </c>
      <c r="K158" s="576"/>
      <c r="L158" s="576">
        <f>K158*$E158</f>
        <v>0</v>
      </c>
      <c r="M158" s="576"/>
      <c r="N158" s="576">
        <f>M158*$E158</f>
        <v>0</v>
      </c>
      <c r="O158" s="576"/>
      <c r="P158" s="576">
        <f>O158*$E158</f>
        <v>0</v>
      </c>
      <c r="Q158" s="576">
        <f>D158</f>
        <v>9</v>
      </c>
      <c r="R158" s="577">
        <f t="shared" ref="R158:R162" si="148">TRUNC(Q158*$E158,2)</f>
        <v>28001.61</v>
      </c>
      <c r="S158" s="578"/>
      <c r="T158" s="576">
        <f>S158*$E158</f>
        <v>0</v>
      </c>
      <c r="U158" s="576"/>
      <c r="V158" s="576">
        <f>U158*$E158</f>
        <v>0</v>
      </c>
      <c r="W158" s="576"/>
      <c r="X158" s="576">
        <f>W158*$E158</f>
        <v>0</v>
      </c>
      <c r="Y158" s="576"/>
      <c r="Z158" s="576">
        <f>Y158*$E158</f>
        <v>0</v>
      </c>
      <c r="AA158" s="576"/>
      <c r="AB158" s="576">
        <f>AA158*$E158</f>
        <v>0</v>
      </c>
      <c r="AC158" s="576"/>
      <c r="AD158" s="579">
        <f>AC158*$E158</f>
        <v>0</v>
      </c>
      <c r="AE158" s="580">
        <f>AC158+AA158+Y158+W158+U158+S158+Q158+O158+M158+K158+I158+G158</f>
        <v>9</v>
      </c>
      <c r="AF158" s="576">
        <f t="shared" ref="AF158:AF162" si="149">TRUNC(AE158*E158,2)</f>
        <v>28001.61</v>
      </c>
      <c r="AG158" s="576">
        <f>D158-AE158</f>
        <v>0</v>
      </c>
      <c r="AH158" s="579">
        <f>AG158*E158</f>
        <v>0</v>
      </c>
      <c r="AK158" s="617">
        <f t="shared" si="141"/>
        <v>0</v>
      </c>
    </row>
    <row r="159" spans="1:37" ht="45">
      <c r="A159" s="570" t="s">
        <v>7076</v>
      </c>
      <c r="B159" s="571" t="str">
        <f>PLANILHA!D158</f>
        <v>PORTA PIVOTANTE DE VIDRO TEMPERADO, 2 FOLHAS DE 80X210 CM, ESPESSURA DE 10MM, INCLUSIVE ACESSÓRIOS. FORNECIMENTO E INSTALAÇÃO. AF_01/2021</v>
      </c>
      <c r="C159" s="572" t="str">
        <f>PLANILHA!E158</f>
        <v>UND</v>
      </c>
      <c r="D159" s="573">
        <f>PLANILHA!F158</f>
        <v>1</v>
      </c>
      <c r="E159" s="573">
        <f>VLOOKUP(A159,PLANILHA,$G$7,0)</f>
        <v>2578.69</v>
      </c>
      <c r="F159" s="574">
        <f t="shared" si="147"/>
        <v>2578.69</v>
      </c>
      <c r="G159" s="580"/>
      <c r="H159" s="576">
        <f>G159*$E159</f>
        <v>0</v>
      </c>
      <c r="I159" s="576"/>
      <c r="J159" s="576">
        <f>I159*$E159</f>
        <v>0</v>
      </c>
      <c r="K159" s="576"/>
      <c r="L159" s="576">
        <f>K159*$E159</f>
        <v>0</v>
      </c>
      <c r="M159" s="576"/>
      <c r="N159" s="576">
        <f>M159*$E159</f>
        <v>0</v>
      </c>
      <c r="O159" s="576"/>
      <c r="P159" s="576">
        <f>O159*$E159</f>
        <v>0</v>
      </c>
      <c r="Q159" s="576">
        <f>D159</f>
        <v>1</v>
      </c>
      <c r="R159" s="577">
        <f t="shared" si="148"/>
        <v>2578.69</v>
      </c>
      <c r="S159" s="578"/>
      <c r="T159" s="576">
        <f>S159*$E159</f>
        <v>0</v>
      </c>
      <c r="U159" s="576"/>
      <c r="V159" s="576">
        <f>U159*$E159</f>
        <v>0</v>
      </c>
      <c r="W159" s="576"/>
      <c r="X159" s="576">
        <f>W159*$E159</f>
        <v>0</v>
      </c>
      <c r="Y159" s="576"/>
      <c r="Z159" s="576">
        <f>Y159*$E159</f>
        <v>0</v>
      </c>
      <c r="AA159" s="576"/>
      <c r="AB159" s="576">
        <f>AA159*$E159</f>
        <v>0</v>
      </c>
      <c r="AC159" s="576"/>
      <c r="AD159" s="579">
        <f>AC159*$E159</f>
        <v>0</v>
      </c>
      <c r="AE159" s="580">
        <f>AC159+AA159+Y159+W159+U159+S159+Q159+O159+M159+K159+I159+G159</f>
        <v>1</v>
      </c>
      <c r="AF159" s="576">
        <f t="shared" si="149"/>
        <v>2578.69</v>
      </c>
      <c r="AG159" s="576">
        <f>D159-AE159</f>
        <v>0</v>
      </c>
      <c r="AH159" s="579">
        <f>AG159*E159</f>
        <v>0</v>
      </c>
      <c r="AK159" s="617">
        <f t="shared" si="141"/>
        <v>0</v>
      </c>
    </row>
    <row r="160" spans="1:37" ht="30">
      <c r="A160" s="570" t="s">
        <v>7077</v>
      </c>
      <c r="B160" s="571" t="str">
        <f>PLANILHA!D159</f>
        <v>GRADE EM ESTRUTURA METALICA PARA PROTEÇÃO DA PASSARELA TIPO 01, FORNECIMENTO E INSTALAÇÃO.</v>
      </c>
      <c r="C160" s="572" t="str">
        <f>PLANILHA!E159</f>
        <v>m</v>
      </c>
      <c r="D160" s="573">
        <f>PLANILHA!F159</f>
        <v>1</v>
      </c>
      <c r="E160" s="573">
        <f>VLOOKUP(A160,PLANILHA,$G$7,0)</f>
        <v>239.07</v>
      </c>
      <c r="F160" s="574">
        <f t="shared" si="147"/>
        <v>239.07</v>
      </c>
      <c r="G160" s="580"/>
      <c r="H160" s="576">
        <f>G160*$E160</f>
        <v>0</v>
      </c>
      <c r="I160" s="576"/>
      <c r="J160" s="576">
        <f>I160*$E160</f>
        <v>0</v>
      </c>
      <c r="K160" s="576"/>
      <c r="L160" s="576">
        <f>K160*$E160</f>
        <v>0</v>
      </c>
      <c r="M160" s="576"/>
      <c r="N160" s="576">
        <f>M160*$E160</f>
        <v>0</v>
      </c>
      <c r="O160" s="576"/>
      <c r="P160" s="576">
        <f>O160*$E160</f>
        <v>0</v>
      </c>
      <c r="Q160" s="576">
        <f>D160</f>
        <v>1</v>
      </c>
      <c r="R160" s="577">
        <f t="shared" si="148"/>
        <v>239.07</v>
      </c>
      <c r="S160" s="578"/>
      <c r="T160" s="576">
        <f>S160*$E160</f>
        <v>0</v>
      </c>
      <c r="U160" s="576"/>
      <c r="V160" s="576">
        <f>U160*$E160</f>
        <v>0</v>
      </c>
      <c r="W160" s="576"/>
      <c r="X160" s="576">
        <f>W160*$E160</f>
        <v>0</v>
      </c>
      <c r="Y160" s="576"/>
      <c r="Z160" s="576">
        <f>Y160*$E160</f>
        <v>0</v>
      </c>
      <c r="AA160" s="576"/>
      <c r="AB160" s="576">
        <f>AA160*$E160</f>
        <v>0</v>
      </c>
      <c r="AC160" s="576"/>
      <c r="AD160" s="579">
        <f>AC160*$E160</f>
        <v>0</v>
      </c>
      <c r="AE160" s="580">
        <f>AC160+AA160+Y160+W160+U160+S160+Q160+O160+M160+K160+I160+G160</f>
        <v>1</v>
      </c>
      <c r="AF160" s="576">
        <f t="shared" si="149"/>
        <v>239.07</v>
      </c>
      <c r="AG160" s="576">
        <f>D160-AE160</f>
        <v>0</v>
      </c>
      <c r="AH160" s="579">
        <f>AG160*E160</f>
        <v>0</v>
      </c>
      <c r="AK160" s="617">
        <f t="shared" si="141"/>
        <v>0</v>
      </c>
    </row>
    <row r="161" spans="1:37" ht="30">
      <c r="A161" s="570" t="s">
        <v>13872</v>
      </c>
      <c r="B161" s="571" t="str">
        <f>PLANILHA!D160</f>
        <v>PELÍCULA DE SEGURANÇA PARA PAINES DE VIDRO, FONECIMENTO E INSTALAÇÃO.</v>
      </c>
      <c r="C161" s="572" t="str">
        <f>PLANILHA!E160</f>
        <v>m²</v>
      </c>
      <c r="D161" s="573">
        <f>PLANILHA!F160</f>
        <v>3.36</v>
      </c>
      <c r="E161" s="573">
        <f>VLOOKUP(A161,PLANILHA,$G$7,0)</f>
        <v>73.09</v>
      </c>
      <c r="F161" s="574">
        <f t="shared" si="147"/>
        <v>245.58</v>
      </c>
      <c r="G161" s="580"/>
      <c r="H161" s="576">
        <f>G161*$E161</f>
        <v>0</v>
      </c>
      <c r="I161" s="576"/>
      <c r="J161" s="576">
        <f>I161*$E161</f>
        <v>0</v>
      </c>
      <c r="K161" s="576"/>
      <c r="L161" s="576">
        <f>K161*$E161</f>
        <v>0</v>
      </c>
      <c r="M161" s="576"/>
      <c r="N161" s="576">
        <f>M161*$E161</f>
        <v>0</v>
      </c>
      <c r="O161" s="576"/>
      <c r="P161" s="576">
        <f>O161*$E161</f>
        <v>0</v>
      </c>
      <c r="Q161" s="576">
        <f>D161</f>
        <v>3.36</v>
      </c>
      <c r="R161" s="577">
        <f t="shared" si="148"/>
        <v>245.58</v>
      </c>
      <c r="S161" s="578"/>
      <c r="T161" s="576">
        <f>S161*$E161</f>
        <v>0</v>
      </c>
      <c r="U161" s="576"/>
      <c r="V161" s="576">
        <f>U161*$E161</f>
        <v>0</v>
      </c>
      <c r="W161" s="576"/>
      <c r="X161" s="576">
        <f>W161*$E161</f>
        <v>0</v>
      </c>
      <c r="Y161" s="576"/>
      <c r="Z161" s="576">
        <f>Y161*$E161</f>
        <v>0</v>
      </c>
      <c r="AA161" s="576"/>
      <c r="AB161" s="576">
        <f>AA161*$E161</f>
        <v>0</v>
      </c>
      <c r="AC161" s="576"/>
      <c r="AD161" s="579">
        <f>AC161*$E161</f>
        <v>0</v>
      </c>
      <c r="AE161" s="580">
        <f>AC161+AA161+Y161+W161+U161+S161+Q161+O161+M161+K161+I161+G161</f>
        <v>3.36</v>
      </c>
      <c r="AF161" s="576">
        <f t="shared" si="149"/>
        <v>245.58</v>
      </c>
      <c r="AG161" s="576">
        <f>D161-AE161</f>
        <v>0</v>
      </c>
      <c r="AH161" s="579">
        <f>AG161*E161</f>
        <v>0</v>
      </c>
      <c r="AK161" s="617">
        <f t="shared" si="141"/>
        <v>0</v>
      </c>
    </row>
    <row r="162" spans="1:37" ht="30">
      <c r="A162" s="570" t="s">
        <v>13874</v>
      </c>
      <c r="B162" s="571" t="str">
        <f>PLANILHA!D161</f>
        <v>JATEAMENTO ABRASIVO COM GRANALHA DE AÇO EM PERFIL METÁLICO EM FÁBRICA. AF_01/2020</v>
      </c>
      <c r="C162" s="572" t="str">
        <f>PLANILHA!E161</f>
        <v>M2</v>
      </c>
      <c r="D162" s="573">
        <f>PLANILHA!F161</f>
        <v>0.48</v>
      </c>
      <c r="E162" s="573">
        <f>VLOOKUP(A162,PLANILHA,$G$7,0)</f>
        <v>30.58</v>
      </c>
      <c r="F162" s="574">
        <f t="shared" si="147"/>
        <v>14.67</v>
      </c>
      <c r="G162" s="580"/>
      <c r="H162" s="576">
        <f>G162*$E162</f>
        <v>0</v>
      </c>
      <c r="I162" s="576"/>
      <c r="J162" s="576">
        <f>I162*$E162</f>
        <v>0</v>
      </c>
      <c r="K162" s="576"/>
      <c r="L162" s="576">
        <f>K162*$E162</f>
        <v>0</v>
      </c>
      <c r="M162" s="576"/>
      <c r="N162" s="576">
        <f>M162*$E162</f>
        <v>0</v>
      </c>
      <c r="O162" s="576"/>
      <c r="P162" s="576">
        <f>O162*$E162</f>
        <v>0</v>
      </c>
      <c r="Q162" s="576">
        <f>D162</f>
        <v>0.48</v>
      </c>
      <c r="R162" s="577">
        <f t="shared" si="148"/>
        <v>14.67</v>
      </c>
      <c r="S162" s="578"/>
      <c r="T162" s="576">
        <f>S162*$E162</f>
        <v>0</v>
      </c>
      <c r="U162" s="576"/>
      <c r="V162" s="576">
        <f>U162*$E162</f>
        <v>0</v>
      </c>
      <c r="W162" s="576"/>
      <c r="X162" s="576">
        <f>W162*$E162</f>
        <v>0</v>
      </c>
      <c r="Y162" s="576"/>
      <c r="Z162" s="576">
        <f>Y162*$E162</f>
        <v>0</v>
      </c>
      <c r="AA162" s="576"/>
      <c r="AB162" s="576">
        <f>AA162*$E162</f>
        <v>0</v>
      </c>
      <c r="AC162" s="576"/>
      <c r="AD162" s="579">
        <f>AC162*$E162</f>
        <v>0</v>
      </c>
      <c r="AE162" s="580">
        <f>AC162+AA162+Y162+W162+U162+S162+Q162+O162+M162+K162+I162+G162</f>
        <v>0.48</v>
      </c>
      <c r="AF162" s="576">
        <f t="shared" si="149"/>
        <v>14.67</v>
      </c>
      <c r="AG162" s="576">
        <f>D162-AE162</f>
        <v>0</v>
      </c>
      <c r="AH162" s="579">
        <f>AG162*E162</f>
        <v>0</v>
      </c>
      <c r="AK162" s="617">
        <f t="shared" si="141"/>
        <v>0</v>
      </c>
    </row>
    <row r="163" spans="1:37" s="569" customFormat="1">
      <c r="A163" s="581" t="s">
        <v>27253</v>
      </c>
      <c r="B163" s="582"/>
      <c r="C163" s="583"/>
      <c r="D163" s="584"/>
      <c r="E163" s="584"/>
      <c r="F163" s="585">
        <f t="shared" si="147"/>
        <v>31079.62</v>
      </c>
      <c r="G163" s="586"/>
      <c r="H163" s="584">
        <f>SUM(H158:H162)</f>
        <v>0</v>
      </c>
      <c r="I163" s="584"/>
      <c r="J163" s="584">
        <f>SUM(J158:J162)</f>
        <v>0</v>
      </c>
      <c r="K163" s="584"/>
      <c r="L163" s="584">
        <f>SUM(L158:L162)</f>
        <v>0</v>
      </c>
      <c r="M163" s="584"/>
      <c r="N163" s="584">
        <f>SUM(N158:N162)</f>
        <v>0</v>
      </c>
      <c r="O163" s="584"/>
      <c r="P163" s="584">
        <f>SUM(P158:P162)</f>
        <v>0</v>
      </c>
      <c r="Q163" s="584"/>
      <c r="R163" s="587">
        <f>SUM(R158:R162)</f>
        <v>31079.62</v>
      </c>
      <c r="S163" s="588"/>
      <c r="T163" s="584">
        <f>SUM(T158:T162)</f>
        <v>0</v>
      </c>
      <c r="U163" s="584"/>
      <c r="V163" s="584">
        <f>SUM(V158:V162)</f>
        <v>0</v>
      </c>
      <c r="W163" s="584"/>
      <c r="X163" s="584">
        <f>SUM(X158:X162)</f>
        <v>0</v>
      </c>
      <c r="Y163" s="584"/>
      <c r="Z163" s="584">
        <f>SUM(Z158:Z162)</f>
        <v>0</v>
      </c>
      <c r="AA163" s="584"/>
      <c r="AB163" s="584">
        <f>SUM(AB158:AB162)</f>
        <v>0</v>
      </c>
      <c r="AC163" s="584"/>
      <c r="AD163" s="585">
        <f>SUM(AD158:AD162)</f>
        <v>0</v>
      </c>
      <c r="AE163" s="590"/>
      <c r="AF163" s="584">
        <f>SUM(AF158:AF162)</f>
        <v>31079.62</v>
      </c>
      <c r="AG163" s="591"/>
      <c r="AH163" s="585">
        <f>SUM(AH158:AH162)</f>
        <v>0</v>
      </c>
      <c r="AI163" s="568"/>
      <c r="AK163" s="617">
        <f t="shared" si="141"/>
        <v>0</v>
      </c>
    </row>
    <row r="164" spans="1:37">
      <c r="A164" s="570"/>
      <c r="B164" s="571"/>
      <c r="C164" s="572"/>
      <c r="D164" s="573"/>
      <c r="E164" s="573"/>
      <c r="F164" s="574"/>
      <c r="G164" s="580"/>
      <c r="H164" s="576"/>
      <c r="I164" s="576"/>
      <c r="J164" s="576"/>
      <c r="K164" s="576"/>
      <c r="L164" s="576"/>
      <c r="M164" s="576"/>
      <c r="N164" s="576"/>
      <c r="O164" s="576"/>
      <c r="P164" s="576"/>
      <c r="Q164" s="576"/>
      <c r="R164" s="577"/>
      <c r="S164" s="578"/>
      <c r="T164" s="576"/>
      <c r="U164" s="576"/>
      <c r="V164" s="576"/>
      <c r="W164" s="576"/>
      <c r="X164" s="576"/>
      <c r="Y164" s="576"/>
      <c r="Z164" s="576"/>
      <c r="AA164" s="576"/>
      <c r="AB164" s="576"/>
      <c r="AC164" s="576"/>
      <c r="AD164" s="579"/>
      <c r="AE164" s="580"/>
      <c r="AF164" s="576"/>
      <c r="AG164" s="576"/>
      <c r="AH164" s="579"/>
      <c r="AK164" s="617">
        <f t="shared" si="141"/>
        <v>0</v>
      </c>
    </row>
    <row r="165" spans="1:37" s="569" customFormat="1">
      <c r="A165" s="592" t="s">
        <v>109</v>
      </c>
      <c r="B165" s="593" t="str">
        <f>PLANILHA!D164</f>
        <v>JANELAS E VIDROS FIXOS</v>
      </c>
      <c r="C165" s="594"/>
      <c r="D165" s="589"/>
      <c r="E165" s="589"/>
      <c r="F165" s="595">
        <f t="shared" ref="F165:F172" si="150">VLOOKUP(A165,PLANILHA,$G$6,0)</f>
        <v>0</v>
      </c>
      <c r="G165" s="596"/>
      <c r="H165" s="597"/>
      <c r="I165" s="597"/>
      <c r="J165" s="597"/>
      <c r="K165" s="597"/>
      <c r="L165" s="597"/>
      <c r="M165" s="597"/>
      <c r="N165" s="597"/>
      <c r="O165" s="597"/>
      <c r="P165" s="597"/>
      <c r="Q165" s="597"/>
      <c r="R165" s="598"/>
      <c r="S165" s="599"/>
      <c r="T165" s="597"/>
      <c r="U165" s="597"/>
      <c r="V165" s="597"/>
      <c r="W165" s="597"/>
      <c r="X165" s="597"/>
      <c r="Y165" s="597"/>
      <c r="Z165" s="597"/>
      <c r="AA165" s="597"/>
      <c r="AB165" s="597"/>
      <c r="AC165" s="597"/>
      <c r="AD165" s="600"/>
      <c r="AE165" s="596"/>
      <c r="AF165" s="597"/>
      <c r="AG165" s="597"/>
      <c r="AH165" s="600"/>
      <c r="AI165" s="568"/>
      <c r="AK165" s="617">
        <f t="shared" si="141"/>
        <v>0</v>
      </c>
    </row>
    <row r="166" spans="1:37" ht="30">
      <c r="A166" s="570" t="s">
        <v>14245</v>
      </c>
      <c r="B166" s="571" t="str">
        <f>PLANILHA!D165</f>
        <v>J04- JANELA MAXIN AR 1,00 x 1,70 FORNECIMENTO E INSTALAÇÃO. FORNECIMENTO E INSTALAÇÃO.</v>
      </c>
      <c r="C166" s="572" t="str">
        <f>PLANILHA!E165</f>
        <v>und</v>
      </c>
      <c r="D166" s="573">
        <f>PLANILHA!F165</f>
        <v>2</v>
      </c>
      <c r="E166" s="573">
        <f t="shared" ref="E166:E171" si="151">VLOOKUP(A166,PLANILHA,$G$7,0)</f>
        <v>1416.67</v>
      </c>
      <c r="F166" s="574">
        <f t="shared" si="150"/>
        <v>2833.34</v>
      </c>
      <c r="G166" s="580"/>
      <c r="H166" s="576">
        <f t="shared" ref="H166:H171" si="152">G166*$E166</f>
        <v>0</v>
      </c>
      <c r="I166" s="576"/>
      <c r="J166" s="576">
        <f t="shared" ref="J166:J171" si="153">I166*$E166</f>
        <v>0</v>
      </c>
      <c r="K166" s="576"/>
      <c r="L166" s="576">
        <f t="shared" ref="L166:L171" si="154">K166*$E166</f>
        <v>0</v>
      </c>
      <c r="M166" s="576"/>
      <c r="N166" s="576">
        <f t="shared" ref="N166:N171" si="155">M166*$E166</f>
        <v>0</v>
      </c>
      <c r="O166" s="576"/>
      <c r="P166" s="576">
        <f t="shared" ref="P166:P171" si="156">O166*$E166</f>
        <v>0</v>
      </c>
      <c r="Q166" s="576">
        <f t="shared" ref="Q166:Q171" si="157">D166</f>
        <v>2</v>
      </c>
      <c r="R166" s="577">
        <f t="shared" ref="R166:R171" si="158">TRUNC(Q166*$E166,2)</f>
        <v>2833.34</v>
      </c>
      <c r="S166" s="578"/>
      <c r="T166" s="576">
        <f t="shared" ref="T166:T171" si="159">S166*$E166</f>
        <v>0</v>
      </c>
      <c r="U166" s="576"/>
      <c r="V166" s="576">
        <f t="shared" ref="V166:V171" si="160">U166*$E166</f>
        <v>0</v>
      </c>
      <c r="W166" s="576"/>
      <c r="X166" s="576">
        <f t="shared" ref="X166:X171" si="161">W166*$E166</f>
        <v>0</v>
      </c>
      <c r="Y166" s="576"/>
      <c r="Z166" s="576">
        <f t="shared" ref="Z166:Z171" si="162">Y166*$E166</f>
        <v>0</v>
      </c>
      <c r="AA166" s="576"/>
      <c r="AB166" s="576">
        <f t="shared" ref="AB166:AB171" si="163">AA166*$E166</f>
        <v>0</v>
      </c>
      <c r="AC166" s="576"/>
      <c r="AD166" s="579">
        <f t="shared" ref="AD166:AD171" si="164">AC166*$E166</f>
        <v>0</v>
      </c>
      <c r="AE166" s="580">
        <f t="shared" ref="AE166:AE171" si="165">AC166+AA166+Y166+W166+U166+S166+Q166+O166+M166+K166+I166+G166</f>
        <v>2</v>
      </c>
      <c r="AF166" s="576">
        <f t="shared" ref="AF166:AF171" si="166">TRUNC(AE166*E166,2)</f>
        <v>2833.34</v>
      </c>
      <c r="AG166" s="576">
        <f t="shared" ref="AG166:AG171" si="167">D166-AE166</f>
        <v>0</v>
      </c>
      <c r="AH166" s="579">
        <f t="shared" ref="AH166:AH171" si="168">AG166*E166</f>
        <v>0</v>
      </c>
      <c r="AK166" s="617">
        <f t="shared" si="141"/>
        <v>0</v>
      </c>
    </row>
    <row r="167" spans="1:37" ht="30">
      <c r="A167" s="570" t="s">
        <v>14275</v>
      </c>
      <c r="B167" s="571" t="str">
        <f>PLANILHA!D166</f>
        <v>J02- JANELA MAXIN AR 12,60 x 1,70 (12 JANELAS DE 1,05). FORNECIMENTO E INSTALAÇÃO.</v>
      </c>
      <c r="C167" s="572" t="str">
        <f>PLANILHA!E166</f>
        <v>und</v>
      </c>
      <c r="D167" s="573">
        <f>PLANILHA!F166</f>
        <v>1</v>
      </c>
      <c r="E167" s="573">
        <f t="shared" si="151"/>
        <v>20523.71</v>
      </c>
      <c r="F167" s="574">
        <f t="shared" si="150"/>
        <v>20523.71</v>
      </c>
      <c r="G167" s="580"/>
      <c r="H167" s="576">
        <f t="shared" si="152"/>
        <v>0</v>
      </c>
      <c r="I167" s="576"/>
      <c r="J167" s="576">
        <f t="shared" si="153"/>
        <v>0</v>
      </c>
      <c r="K167" s="576"/>
      <c r="L167" s="576">
        <f t="shared" si="154"/>
        <v>0</v>
      </c>
      <c r="M167" s="576"/>
      <c r="N167" s="576">
        <f t="shared" si="155"/>
        <v>0</v>
      </c>
      <c r="O167" s="576"/>
      <c r="P167" s="576">
        <f t="shared" si="156"/>
        <v>0</v>
      </c>
      <c r="Q167" s="576">
        <f t="shared" si="157"/>
        <v>1</v>
      </c>
      <c r="R167" s="577">
        <f t="shared" si="158"/>
        <v>20523.71</v>
      </c>
      <c r="S167" s="578"/>
      <c r="T167" s="576">
        <f t="shared" si="159"/>
        <v>0</v>
      </c>
      <c r="U167" s="576"/>
      <c r="V167" s="576">
        <f t="shared" si="160"/>
        <v>0</v>
      </c>
      <c r="W167" s="576"/>
      <c r="X167" s="576">
        <f t="shared" si="161"/>
        <v>0</v>
      </c>
      <c r="Y167" s="576"/>
      <c r="Z167" s="576">
        <f t="shared" si="162"/>
        <v>0</v>
      </c>
      <c r="AA167" s="576"/>
      <c r="AB167" s="576">
        <f t="shared" si="163"/>
        <v>0</v>
      </c>
      <c r="AC167" s="576"/>
      <c r="AD167" s="579">
        <f t="shared" si="164"/>
        <v>0</v>
      </c>
      <c r="AE167" s="580">
        <f t="shared" si="165"/>
        <v>1</v>
      </c>
      <c r="AF167" s="576">
        <f t="shared" si="166"/>
        <v>20523.71</v>
      </c>
      <c r="AG167" s="576">
        <f t="shared" si="167"/>
        <v>0</v>
      </c>
      <c r="AH167" s="579">
        <f t="shared" si="168"/>
        <v>0</v>
      </c>
      <c r="AK167" s="617">
        <f t="shared" si="141"/>
        <v>0</v>
      </c>
    </row>
    <row r="168" spans="1:37" ht="30">
      <c r="A168" s="570" t="s">
        <v>14276</v>
      </c>
      <c r="B168" s="571" t="str">
        <f>PLANILHA!D167</f>
        <v>J01 (E.G) - JANELA MAXIN AR 3,80 x 2,55 (3 JANELAS DE 1,20). FORNECIMENTO E INSTALAÇÃO.</v>
      </c>
      <c r="C168" s="572" t="str">
        <f>PLANILHA!E167</f>
        <v>und</v>
      </c>
      <c r="D168" s="573">
        <f>PLANILHA!F167</f>
        <v>2</v>
      </c>
      <c r="E168" s="573">
        <f t="shared" si="151"/>
        <v>6303.22</v>
      </c>
      <c r="F168" s="574">
        <f t="shared" si="150"/>
        <v>12606.44</v>
      </c>
      <c r="G168" s="580"/>
      <c r="H168" s="576">
        <f t="shared" si="152"/>
        <v>0</v>
      </c>
      <c r="I168" s="576"/>
      <c r="J168" s="576">
        <f t="shared" si="153"/>
        <v>0</v>
      </c>
      <c r="K168" s="576"/>
      <c r="L168" s="576">
        <f t="shared" si="154"/>
        <v>0</v>
      </c>
      <c r="M168" s="576"/>
      <c r="N168" s="576">
        <f t="shared" si="155"/>
        <v>0</v>
      </c>
      <c r="O168" s="576"/>
      <c r="P168" s="576">
        <f t="shared" si="156"/>
        <v>0</v>
      </c>
      <c r="Q168" s="576">
        <f t="shared" si="157"/>
        <v>2</v>
      </c>
      <c r="R168" s="577">
        <f t="shared" si="158"/>
        <v>12606.44</v>
      </c>
      <c r="S168" s="578"/>
      <c r="T168" s="576">
        <f t="shared" si="159"/>
        <v>0</v>
      </c>
      <c r="U168" s="576"/>
      <c r="V168" s="576">
        <f t="shared" si="160"/>
        <v>0</v>
      </c>
      <c r="W168" s="576"/>
      <c r="X168" s="576">
        <f t="shared" si="161"/>
        <v>0</v>
      </c>
      <c r="Y168" s="576"/>
      <c r="Z168" s="576">
        <f t="shared" si="162"/>
        <v>0</v>
      </c>
      <c r="AA168" s="576"/>
      <c r="AB168" s="576">
        <f t="shared" si="163"/>
        <v>0</v>
      </c>
      <c r="AC168" s="576"/>
      <c r="AD168" s="579">
        <f t="shared" si="164"/>
        <v>0</v>
      </c>
      <c r="AE168" s="580">
        <f t="shared" si="165"/>
        <v>2</v>
      </c>
      <c r="AF168" s="576">
        <f t="shared" si="166"/>
        <v>12606.44</v>
      </c>
      <c r="AG168" s="576">
        <f t="shared" si="167"/>
        <v>0</v>
      </c>
      <c r="AH168" s="579">
        <f t="shared" si="168"/>
        <v>0</v>
      </c>
      <c r="AK168" s="617">
        <f t="shared" si="141"/>
        <v>0</v>
      </c>
    </row>
    <row r="169" spans="1:37" ht="30">
      <c r="A169" s="570" t="s">
        <v>14277</v>
      </c>
      <c r="B169" s="571" t="str">
        <f>PLANILHA!D168</f>
        <v>J08 (E.G) - JANELA MAXIN AR 1,53 x 4,85 (1 JANELAS DE 3MODULOS 1,53). FORNECIMENTO E INSTALAÇÃO.</v>
      </c>
      <c r="C169" s="572" t="str">
        <f>PLANILHA!E168</f>
        <v>und</v>
      </c>
      <c r="D169" s="573">
        <f>PLANILHA!F168</f>
        <v>1</v>
      </c>
      <c r="E169" s="573">
        <f t="shared" si="151"/>
        <v>4928.66</v>
      </c>
      <c r="F169" s="574">
        <f t="shared" si="150"/>
        <v>4928.66</v>
      </c>
      <c r="G169" s="580"/>
      <c r="H169" s="576">
        <f t="shared" si="152"/>
        <v>0</v>
      </c>
      <c r="I169" s="576"/>
      <c r="J169" s="576">
        <f t="shared" si="153"/>
        <v>0</v>
      </c>
      <c r="K169" s="576"/>
      <c r="L169" s="576">
        <f t="shared" si="154"/>
        <v>0</v>
      </c>
      <c r="M169" s="576"/>
      <c r="N169" s="576">
        <f t="shared" si="155"/>
        <v>0</v>
      </c>
      <c r="O169" s="576"/>
      <c r="P169" s="576">
        <f t="shared" si="156"/>
        <v>0</v>
      </c>
      <c r="Q169" s="576">
        <f t="shared" si="157"/>
        <v>1</v>
      </c>
      <c r="R169" s="577">
        <f t="shared" si="158"/>
        <v>4928.66</v>
      </c>
      <c r="S169" s="578"/>
      <c r="T169" s="576">
        <f t="shared" si="159"/>
        <v>0</v>
      </c>
      <c r="U169" s="576"/>
      <c r="V169" s="576">
        <f t="shared" si="160"/>
        <v>0</v>
      </c>
      <c r="W169" s="576"/>
      <c r="X169" s="576">
        <f t="shared" si="161"/>
        <v>0</v>
      </c>
      <c r="Y169" s="576"/>
      <c r="Z169" s="576">
        <f t="shared" si="162"/>
        <v>0</v>
      </c>
      <c r="AA169" s="576"/>
      <c r="AB169" s="576">
        <f t="shared" si="163"/>
        <v>0</v>
      </c>
      <c r="AC169" s="576"/>
      <c r="AD169" s="579">
        <f t="shared" si="164"/>
        <v>0</v>
      </c>
      <c r="AE169" s="580">
        <f t="shared" si="165"/>
        <v>1</v>
      </c>
      <c r="AF169" s="576">
        <f t="shared" si="166"/>
        <v>4928.66</v>
      </c>
      <c r="AG169" s="576">
        <f t="shared" si="167"/>
        <v>0</v>
      </c>
      <c r="AH169" s="579">
        <f t="shared" si="168"/>
        <v>0</v>
      </c>
      <c r="AK169" s="617">
        <f t="shared" si="141"/>
        <v>0</v>
      </c>
    </row>
    <row r="170" spans="1:37" ht="30">
      <c r="A170" s="570" t="s">
        <v>14658</v>
      </c>
      <c r="B170" s="571" t="str">
        <f>PLANILHA!D169</f>
        <v>INSTALAÇÃO DE VIDRO LISO INCOLOR, E = 8 MM, EM ESQUADRIA DE ALUMÍNIO OU PVC, FIXADO COM BAGUETE. AF_01/2021_P</v>
      </c>
      <c r="C170" s="572" t="str">
        <f>PLANILHA!E169</f>
        <v>M2</v>
      </c>
      <c r="D170" s="573">
        <f>PLANILHA!F169</f>
        <v>6.27</v>
      </c>
      <c r="E170" s="573">
        <f t="shared" si="151"/>
        <v>669.12</v>
      </c>
      <c r="F170" s="574">
        <f t="shared" si="150"/>
        <v>4195.38</v>
      </c>
      <c r="G170" s="580"/>
      <c r="H170" s="576">
        <f t="shared" si="152"/>
        <v>0</v>
      </c>
      <c r="I170" s="576"/>
      <c r="J170" s="576">
        <f t="shared" si="153"/>
        <v>0</v>
      </c>
      <c r="K170" s="576"/>
      <c r="L170" s="576">
        <f t="shared" si="154"/>
        <v>0</v>
      </c>
      <c r="M170" s="576"/>
      <c r="N170" s="576">
        <f t="shared" si="155"/>
        <v>0</v>
      </c>
      <c r="O170" s="576"/>
      <c r="P170" s="576">
        <f t="shared" si="156"/>
        <v>0</v>
      </c>
      <c r="Q170" s="576">
        <f t="shared" si="157"/>
        <v>6.27</v>
      </c>
      <c r="R170" s="577">
        <f t="shared" si="158"/>
        <v>4195.38</v>
      </c>
      <c r="S170" s="578"/>
      <c r="T170" s="576">
        <f t="shared" si="159"/>
        <v>0</v>
      </c>
      <c r="U170" s="576"/>
      <c r="V170" s="576">
        <f t="shared" si="160"/>
        <v>0</v>
      </c>
      <c r="W170" s="576"/>
      <c r="X170" s="576">
        <f t="shared" si="161"/>
        <v>0</v>
      </c>
      <c r="Y170" s="576"/>
      <c r="Z170" s="576">
        <f t="shared" si="162"/>
        <v>0</v>
      </c>
      <c r="AA170" s="576"/>
      <c r="AB170" s="576">
        <f t="shared" si="163"/>
        <v>0</v>
      </c>
      <c r="AC170" s="576"/>
      <c r="AD170" s="579">
        <f t="shared" si="164"/>
        <v>0</v>
      </c>
      <c r="AE170" s="580">
        <f t="shared" si="165"/>
        <v>6.27</v>
      </c>
      <c r="AF170" s="576">
        <f t="shared" si="166"/>
        <v>4195.38</v>
      </c>
      <c r="AG170" s="576">
        <f t="shared" si="167"/>
        <v>0</v>
      </c>
      <c r="AH170" s="579">
        <f t="shared" si="168"/>
        <v>0</v>
      </c>
      <c r="AK170" s="617">
        <f t="shared" si="141"/>
        <v>0</v>
      </c>
    </row>
    <row r="171" spans="1:37" ht="30">
      <c r="A171" s="570" t="s">
        <v>14659</v>
      </c>
      <c r="B171" s="571" t="str">
        <f>PLANILHA!D170</f>
        <v>PELÍCULA DE SEGURANÇA PARA PAINES DE VIDRO, FONECIMENTO E INSTALAÇÃO.</v>
      </c>
      <c r="C171" s="572" t="str">
        <f>PLANILHA!E170</f>
        <v>m²</v>
      </c>
      <c r="D171" s="573">
        <f>PLANILHA!F170</f>
        <v>88.490500000000011</v>
      </c>
      <c r="E171" s="573">
        <f t="shared" si="151"/>
        <v>73.09</v>
      </c>
      <c r="F171" s="574">
        <f t="shared" si="150"/>
        <v>6467.77</v>
      </c>
      <c r="G171" s="580"/>
      <c r="H171" s="576">
        <f t="shared" si="152"/>
        <v>0</v>
      </c>
      <c r="I171" s="576"/>
      <c r="J171" s="576">
        <f t="shared" si="153"/>
        <v>0</v>
      </c>
      <c r="K171" s="576"/>
      <c r="L171" s="576">
        <f t="shared" si="154"/>
        <v>0</v>
      </c>
      <c r="M171" s="576"/>
      <c r="N171" s="576">
        <f t="shared" si="155"/>
        <v>0</v>
      </c>
      <c r="O171" s="576"/>
      <c r="P171" s="576">
        <f t="shared" si="156"/>
        <v>0</v>
      </c>
      <c r="Q171" s="576">
        <f t="shared" si="157"/>
        <v>88.490500000000011</v>
      </c>
      <c r="R171" s="577">
        <f t="shared" si="158"/>
        <v>6467.77</v>
      </c>
      <c r="S171" s="578"/>
      <c r="T171" s="576">
        <f t="shared" si="159"/>
        <v>0</v>
      </c>
      <c r="U171" s="576"/>
      <c r="V171" s="576">
        <f t="shared" si="160"/>
        <v>0</v>
      </c>
      <c r="W171" s="576"/>
      <c r="X171" s="576">
        <f t="shared" si="161"/>
        <v>0</v>
      </c>
      <c r="Y171" s="576"/>
      <c r="Z171" s="576">
        <f t="shared" si="162"/>
        <v>0</v>
      </c>
      <c r="AA171" s="576"/>
      <c r="AB171" s="576">
        <f t="shared" si="163"/>
        <v>0</v>
      </c>
      <c r="AC171" s="576"/>
      <c r="AD171" s="579">
        <f t="shared" si="164"/>
        <v>0</v>
      </c>
      <c r="AE171" s="580">
        <f t="shared" si="165"/>
        <v>88.490500000000011</v>
      </c>
      <c r="AF171" s="576">
        <f t="shared" si="166"/>
        <v>6467.77</v>
      </c>
      <c r="AG171" s="576">
        <f t="shared" si="167"/>
        <v>0</v>
      </c>
      <c r="AH171" s="579">
        <f t="shared" si="168"/>
        <v>0</v>
      </c>
      <c r="AK171" s="617">
        <f t="shared" si="141"/>
        <v>0</v>
      </c>
    </row>
    <row r="172" spans="1:37" s="569" customFormat="1">
      <c r="A172" s="581" t="s">
        <v>27207</v>
      </c>
      <c r="B172" s="582"/>
      <c r="C172" s="583"/>
      <c r="D172" s="584"/>
      <c r="E172" s="584"/>
      <c r="F172" s="585">
        <f t="shared" si="150"/>
        <v>51555.299999999988</v>
      </c>
      <c r="G172" s="586"/>
      <c r="H172" s="584">
        <f>SUM(H166:H171)</f>
        <v>0</v>
      </c>
      <c r="I172" s="584"/>
      <c r="J172" s="584">
        <f>SUM(J166:J171)</f>
        <v>0</v>
      </c>
      <c r="K172" s="584"/>
      <c r="L172" s="584">
        <f>SUM(L166:L171)</f>
        <v>0</v>
      </c>
      <c r="M172" s="584"/>
      <c r="N172" s="584">
        <f>SUM(N166:N171)</f>
        <v>0</v>
      </c>
      <c r="O172" s="584"/>
      <c r="P172" s="584">
        <f>SUM(P166:P171)</f>
        <v>0</v>
      </c>
      <c r="Q172" s="584"/>
      <c r="R172" s="587">
        <f>SUM(R166:R171)</f>
        <v>51555.299999999988</v>
      </c>
      <c r="S172" s="588"/>
      <c r="T172" s="584">
        <f>SUM(T166:T171)</f>
        <v>0</v>
      </c>
      <c r="U172" s="584"/>
      <c r="V172" s="584">
        <f>SUM(V166:V171)</f>
        <v>0</v>
      </c>
      <c r="W172" s="584"/>
      <c r="X172" s="584">
        <f>SUM(X166:X171)</f>
        <v>0</v>
      </c>
      <c r="Y172" s="584"/>
      <c r="Z172" s="584">
        <f>SUM(Z166:Z171)</f>
        <v>0</v>
      </c>
      <c r="AA172" s="584"/>
      <c r="AB172" s="584">
        <f>SUM(AB166:AB171)</f>
        <v>0</v>
      </c>
      <c r="AC172" s="584"/>
      <c r="AD172" s="585">
        <f>SUM(AD166:AD171)</f>
        <v>0</v>
      </c>
      <c r="AE172" s="590"/>
      <c r="AF172" s="584">
        <f>SUM(AF166:AF171)</f>
        <v>51555.299999999988</v>
      </c>
      <c r="AG172" s="591"/>
      <c r="AH172" s="585">
        <f>SUM(AH166:AH171)</f>
        <v>0</v>
      </c>
      <c r="AI172" s="568"/>
      <c r="AK172" s="617">
        <f t="shared" si="141"/>
        <v>0</v>
      </c>
    </row>
    <row r="173" spans="1:37">
      <c r="A173" s="570"/>
      <c r="B173" s="571"/>
      <c r="C173" s="572"/>
      <c r="D173" s="573"/>
      <c r="E173" s="573"/>
      <c r="F173" s="574"/>
      <c r="G173" s="580"/>
      <c r="H173" s="576"/>
      <c r="I173" s="576"/>
      <c r="J173" s="576"/>
      <c r="K173" s="576"/>
      <c r="L173" s="576"/>
      <c r="M173" s="576"/>
      <c r="N173" s="576"/>
      <c r="O173" s="576"/>
      <c r="P173" s="576"/>
      <c r="Q173" s="576"/>
      <c r="R173" s="577"/>
      <c r="S173" s="578"/>
      <c r="T173" s="576"/>
      <c r="U173" s="576"/>
      <c r="V173" s="576"/>
      <c r="W173" s="576"/>
      <c r="X173" s="576"/>
      <c r="Y173" s="576"/>
      <c r="Z173" s="576"/>
      <c r="AA173" s="576"/>
      <c r="AB173" s="576"/>
      <c r="AC173" s="576"/>
      <c r="AD173" s="579"/>
      <c r="AE173" s="580"/>
      <c r="AF173" s="576"/>
      <c r="AG173" s="576"/>
      <c r="AH173" s="579"/>
      <c r="AK173" s="617">
        <f t="shared" si="141"/>
        <v>0</v>
      </c>
    </row>
    <row r="174" spans="1:37" s="569" customFormat="1">
      <c r="A174" s="581" t="s">
        <v>14616</v>
      </c>
      <c r="B174" s="582"/>
      <c r="C174" s="583"/>
      <c r="D174" s="584"/>
      <c r="E174" s="584"/>
      <c r="F174" s="585">
        <f>VLOOKUP(A174,PLANILHA,$G$6,0)</f>
        <v>188689.19999999998</v>
      </c>
      <c r="G174" s="586"/>
      <c r="H174" s="584">
        <f>SUM(H141:H173)/2</f>
        <v>0</v>
      </c>
      <c r="I174" s="584"/>
      <c r="J174" s="584">
        <f>SUM(J141:J173)/2</f>
        <v>0</v>
      </c>
      <c r="K174" s="584"/>
      <c r="L174" s="584">
        <f>SUM(L141:L173)/2</f>
        <v>0</v>
      </c>
      <c r="M174" s="584"/>
      <c r="N174" s="584">
        <f>SUM(N141:N173)/2</f>
        <v>0</v>
      </c>
      <c r="O174" s="584"/>
      <c r="P174" s="584">
        <f>SUM(P141:P173)/2</f>
        <v>0</v>
      </c>
      <c r="Q174" s="584"/>
      <c r="R174" s="587">
        <f>SUM(R141:R173)/2</f>
        <v>155668.87</v>
      </c>
      <c r="S174" s="588"/>
      <c r="T174" s="584">
        <f>SUM(T141:T173)/2</f>
        <v>33020.33</v>
      </c>
      <c r="U174" s="584"/>
      <c r="V174" s="584">
        <f>SUM(V141:V173)/2</f>
        <v>0</v>
      </c>
      <c r="W174" s="584"/>
      <c r="X174" s="584">
        <f>SUM(X141:X173)/2</f>
        <v>0</v>
      </c>
      <c r="Y174" s="584"/>
      <c r="Z174" s="584">
        <f>SUM(Z141:Z173)/2</f>
        <v>0</v>
      </c>
      <c r="AA174" s="584"/>
      <c r="AB174" s="584">
        <f>SUM(AB141:AB173)/2</f>
        <v>0</v>
      </c>
      <c r="AC174" s="584"/>
      <c r="AD174" s="585">
        <f>SUM(AD141:AD173)/2</f>
        <v>0</v>
      </c>
      <c r="AE174" s="590"/>
      <c r="AF174" s="584">
        <f>SUM(AF141:AF173)/2</f>
        <v>188689.20000000004</v>
      </c>
      <c r="AG174" s="591"/>
      <c r="AH174" s="585">
        <f>SUM(AH141:AH173)/2</f>
        <v>0</v>
      </c>
      <c r="AI174" s="568"/>
      <c r="AK174" s="617">
        <f t="shared" si="141"/>
        <v>0</v>
      </c>
    </row>
    <row r="175" spans="1:37">
      <c r="A175" s="570"/>
      <c r="B175" s="571"/>
      <c r="C175" s="572"/>
      <c r="D175" s="573"/>
      <c r="E175" s="573"/>
      <c r="F175" s="574"/>
      <c r="G175" s="580"/>
      <c r="H175" s="576"/>
      <c r="I175" s="576"/>
      <c r="J175" s="576"/>
      <c r="K175" s="576"/>
      <c r="L175" s="576"/>
      <c r="M175" s="576"/>
      <c r="N175" s="576"/>
      <c r="O175" s="576"/>
      <c r="P175" s="576"/>
      <c r="Q175" s="576"/>
      <c r="R175" s="577"/>
      <c r="S175" s="578"/>
      <c r="T175" s="576"/>
      <c r="U175" s="576"/>
      <c r="V175" s="576"/>
      <c r="W175" s="576"/>
      <c r="X175" s="576"/>
      <c r="Y175" s="576"/>
      <c r="Z175" s="576"/>
      <c r="AA175" s="576"/>
      <c r="AB175" s="576"/>
      <c r="AC175" s="576"/>
      <c r="AD175" s="579"/>
      <c r="AE175" s="580"/>
      <c r="AF175" s="576"/>
      <c r="AG175" s="576"/>
      <c r="AH175" s="579"/>
      <c r="AK175" s="617">
        <f t="shared" si="141"/>
        <v>0</v>
      </c>
    </row>
    <row r="176" spans="1:37" s="569" customFormat="1">
      <c r="A176" s="558" t="s">
        <v>13940</v>
      </c>
      <c r="B176" s="559" t="str">
        <f>PLANILHA!D174</f>
        <v>PREVENÇÃO E COMBATE A INCÊNDIO</v>
      </c>
      <c r="C176" s="560"/>
      <c r="D176" s="561"/>
      <c r="E176" s="561"/>
      <c r="F176" s="562">
        <f t="shared" ref="F176:F184" si="169">VLOOKUP(A176,PLANILHA,$G$6,0)</f>
        <v>0</v>
      </c>
      <c r="G176" s="563"/>
      <c r="H176" s="564"/>
      <c r="I176" s="564"/>
      <c r="J176" s="564"/>
      <c r="K176" s="564"/>
      <c r="L176" s="564"/>
      <c r="M176" s="564"/>
      <c r="N176" s="564"/>
      <c r="O176" s="564"/>
      <c r="P176" s="564"/>
      <c r="Q176" s="564"/>
      <c r="R176" s="565"/>
      <c r="S176" s="566"/>
      <c r="T176" s="564"/>
      <c r="U176" s="564"/>
      <c r="V176" s="564"/>
      <c r="W176" s="564"/>
      <c r="X176" s="564"/>
      <c r="Y176" s="564"/>
      <c r="Z176" s="564"/>
      <c r="AA176" s="564"/>
      <c r="AB176" s="564"/>
      <c r="AC176" s="564"/>
      <c r="AD176" s="567"/>
      <c r="AE176" s="563"/>
      <c r="AF176" s="564"/>
      <c r="AG176" s="564"/>
      <c r="AH176" s="567"/>
      <c r="AI176" s="568"/>
      <c r="AK176" s="617">
        <f t="shared" si="141"/>
        <v>0</v>
      </c>
    </row>
    <row r="177" spans="1:37">
      <c r="A177" s="592" t="s">
        <v>13941</v>
      </c>
      <c r="B177" s="593" t="str">
        <f>PLANILHA!D175</f>
        <v>ELETROBOMBA E ACESSÓRIOS</v>
      </c>
      <c r="C177" s="572"/>
      <c r="D177" s="573"/>
      <c r="E177" s="573"/>
      <c r="F177" s="574">
        <f t="shared" si="169"/>
        <v>0</v>
      </c>
      <c r="G177" s="580"/>
      <c r="H177" s="576"/>
      <c r="I177" s="576"/>
      <c r="J177" s="576"/>
      <c r="K177" s="576"/>
      <c r="L177" s="576"/>
      <c r="M177" s="576"/>
      <c r="N177" s="576"/>
      <c r="O177" s="576"/>
      <c r="P177" s="576"/>
      <c r="Q177" s="576"/>
      <c r="R177" s="577"/>
      <c r="S177" s="578"/>
      <c r="T177" s="576"/>
      <c r="U177" s="576"/>
      <c r="V177" s="576"/>
      <c r="W177" s="576"/>
      <c r="X177" s="576"/>
      <c r="Y177" s="576"/>
      <c r="Z177" s="576"/>
      <c r="AA177" s="576"/>
      <c r="AB177" s="576"/>
      <c r="AC177" s="576"/>
      <c r="AD177" s="579"/>
      <c r="AE177" s="580"/>
      <c r="AF177" s="576"/>
      <c r="AG177" s="576"/>
      <c r="AH177" s="579"/>
      <c r="AK177" s="617">
        <f t="shared" si="141"/>
        <v>0</v>
      </c>
    </row>
    <row r="178" spans="1:37" ht="45">
      <c r="A178" s="570" t="s">
        <v>13942</v>
      </c>
      <c r="B178" s="571" t="str">
        <f>PLANILHA!D176</f>
        <v>ELETROBOMBA MOTOR DE 3,0 CV, 220V, TRIFÁSICO COM CAPACIDADE DE VAZÃO DE 2501/MIN. A 18 MCA DE PRESSÃO.  FORNECIMENTO E INSTALAÇÃO.</v>
      </c>
      <c r="C178" s="572" t="str">
        <f>PLANILHA!E176</f>
        <v>UND</v>
      </c>
      <c r="D178" s="573">
        <f>PLANILHA!F176</f>
        <v>1</v>
      </c>
      <c r="E178" s="573">
        <f t="shared" ref="E178:E183" si="170">VLOOKUP(A178,PLANILHA,$G$7,0)</f>
        <v>4028.34</v>
      </c>
      <c r="F178" s="574">
        <f t="shared" si="169"/>
        <v>4028.34</v>
      </c>
      <c r="G178" s="580"/>
      <c r="H178" s="576">
        <f t="shared" ref="H178:H183" si="171">G178*$E178</f>
        <v>0</v>
      </c>
      <c r="I178" s="576"/>
      <c r="J178" s="576">
        <f t="shared" ref="J178:J183" si="172">I178*$E178</f>
        <v>0</v>
      </c>
      <c r="K178" s="576"/>
      <c r="L178" s="576">
        <f t="shared" ref="L178:L183" si="173">K178*$E178</f>
        <v>0</v>
      </c>
      <c r="M178" s="576"/>
      <c r="N178" s="576">
        <f t="shared" ref="N178:N183" si="174">M178*$E178</f>
        <v>0</v>
      </c>
      <c r="O178" s="576"/>
      <c r="P178" s="576">
        <f t="shared" ref="P178:P183" si="175">O178*$E178</f>
        <v>0</v>
      </c>
      <c r="Q178" s="576"/>
      <c r="R178" s="577">
        <f t="shared" ref="R178:R183" si="176">Q178*$E178</f>
        <v>0</v>
      </c>
      <c r="S178" s="578"/>
      <c r="T178" s="576">
        <f t="shared" ref="T178:T183" si="177">S178*$E178</f>
        <v>0</v>
      </c>
      <c r="U178" s="576">
        <f t="shared" ref="U178:U183" si="178">D178</f>
        <v>1</v>
      </c>
      <c r="V178" s="576">
        <f>TRUNC(U178*$E178,2)</f>
        <v>4028.34</v>
      </c>
      <c r="W178" s="576"/>
      <c r="X178" s="576">
        <f t="shared" ref="X178:X183" si="179">W178*$E178</f>
        <v>0</v>
      </c>
      <c r="Y178" s="576"/>
      <c r="Z178" s="576">
        <f t="shared" ref="Z178:Z183" si="180">Y178*$E178</f>
        <v>0</v>
      </c>
      <c r="AA178" s="576"/>
      <c r="AB178" s="576">
        <f t="shared" ref="AB178:AB183" si="181">AA178*$E178</f>
        <v>0</v>
      </c>
      <c r="AC178" s="576"/>
      <c r="AD178" s="579">
        <f t="shared" ref="AD178:AD183" si="182">AC178*$E178</f>
        <v>0</v>
      </c>
      <c r="AE178" s="580">
        <f t="shared" ref="AE178:AE183" si="183">AC178+AA178+Y178+W178+U178+S178+Q178+O178+M178+K178+I178+G178</f>
        <v>1</v>
      </c>
      <c r="AF178" s="576">
        <f t="shared" ref="AF178:AF183" si="184">TRUNC(AE178*E178,2)</f>
        <v>4028.34</v>
      </c>
      <c r="AG178" s="576">
        <f t="shared" ref="AG178:AG183" si="185">D178-AE178</f>
        <v>0</v>
      </c>
      <c r="AH178" s="579">
        <f t="shared" ref="AH178:AH183" si="186">AG178*E178</f>
        <v>0</v>
      </c>
      <c r="AK178" s="617">
        <f t="shared" si="141"/>
        <v>0</v>
      </c>
    </row>
    <row r="179" spans="1:37" ht="30">
      <c r="A179" s="570" t="s">
        <v>13943</v>
      </c>
      <c r="B179" s="571" t="str">
        <f>PLANILHA!D177</f>
        <v>SIRENE PARA ALARME DE BOMBA EM FUNCIONAMENTO, 220V.  FORNECIMENTO E INSTALAÇÃO.</v>
      </c>
      <c r="C179" s="572" t="str">
        <f>PLANILHA!E177</f>
        <v>UND</v>
      </c>
      <c r="D179" s="573">
        <f>PLANILHA!F177</f>
        <v>3</v>
      </c>
      <c r="E179" s="573">
        <f t="shared" si="170"/>
        <v>1385.39</v>
      </c>
      <c r="F179" s="574">
        <f t="shared" si="169"/>
        <v>4156.17</v>
      </c>
      <c r="G179" s="580"/>
      <c r="H179" s="576">
        <f t="shared" si="171"/>
        <v>0</v>
      </c>
      <c r="I179" s="576"/>
      <c r="J179" s="576">
        <f t="shared" si="172"/>
        <v>0</v>
      </c>
      <c r="K179" s="576"/>
      <c r="L179" s="576">
        <f t="shared" si="173"/>
        <v>0</v>
      </c>
      <c r="M179" s="576"/>
      <c r="N179" s="576">
        <f t="shared" si="174"/>
        <v>0</v>
      </c>
      <c r="O179" s="576"/>
      <c r="P179" s="576">
        <f t="shared" si="175"/>
        <v>0</v>
      </c>
      <c r="Q179" s="576"/>
      <c r="R179" s="577">
        <f t="shared" si="176"/>
        <v>0</v>
      </c>
      <c r="S179" s="578"/>
      <c r="T179" s="576">
        <f t="shared" si="177"/>
        <v>0</v>
      </c>
      <c r="U179" s="576">
        <f t="shared" si="178"/>
        <v>3</v>
      </c>
      <c r="V179" s="576">
        <f t="shared" ref="V179:V183" si="187">TRUNC(U179*$E179,2)</f>
        <v>4156.17</v>
      </c>
      <c r="W179" s="576"/>
      <c r="X179" s="576">
        <f t="shared" si="179"/>
        <v>0</v>
      </c>
      <c r="Y179" s="576"/>
      <c r="Z179" s="576">
        <f t="shared" si="180"/>
        <v>0</v>
      </c>
      <c r="AA179" s="576"/>
      <c r="AB179" s="576">
        <f t="shared" si="181"/>
        <v>0</v>
      </c>
      <c r="AC179" s="576"/>
      <c r="AD179" s="579">
        <f t="shared" si="182"/>
        <v>0</v>
      </c>
      <c r="AE179" s="580">
        <f t="shared" si="183"/>
        <v>3</v>
      </c>
      <c r="AF179" s="576">
        <f t="shared" si="184"/>
        <v>4156.17</v>
      </c>
      <c r="AG179" s="576">
        <f t="shared" si="185"/>
        <v>0</v>
      </c>
      <c r="AH179" s="579">
        <f t="shared" si="186"/>
        <v>0</v>
      </c>
      <c r="AK179" s="617">
        <f t="shared" si="141"/>
        <v>0</v>
      </c>
    </row>
    <row r="180" spans="1:37" ht="30">
      <c r="A180" s="570" t="s">
        <v>13944</v>
      </c>
      <c r="B180" s="571" t="str">
        <f>PLANILHA!D178</f>
        <v>ACIONADOR MANUAL (BOTOEIRA) TIPO QUEBRA-VIDRO, P/INCENDIO.  FORNECIMENTO E INSTALAÇÃO.</v>
      </c>
      <c r="C180" s="572" t="str">
        <f>PLANILHA!E178</f>
        <v>UND</v>
      </c>
      <c r="D180" s="573">
        <f>PLANILHA!F178</f>
        <v>3</v>
      </c>
      <c r="E180" s="573">
        <f t="shared" si="170"/>
        <v>136.04</v>
      </c>
      <c r="F180" s="574">
        <f t="shared" si="169"/>
        <v>408.12</v>
      </c>
      <c r="G180" s="580"/>
      <c r="H180" s="576">
        <f t="shared" si="171"/>
        <v>0</v>
      </c>
      <c r="I180" s="576"/>
      <c r="J180" s="576">
        <f t="shared" si="172"/>
        <v>0</v>
      </c>
      <c r="K180" s="576"/>
      <c r="L180" s="576">
        <f t="shared" si="173"/>
        <v>0</v>
      </c>
      <c r="M180" s="576"/>
      <c r="N180" s="576">
        <f t="shared" si="174"/>
        <v>0</v>
      </c>
      <c r="O180" s="576"/>
      <c r="P180" s="576">
        <f t="shared" si="175"/>
        <v>0</v>
      </c>
      <c r="Q180" s="576"/>
      <c r="R180" s="577">
        <f t="shared" si="176"/>
        <v>0</v>
      </c>
      <c r="S180" s="578"/>
      <c r="T180" s="576">
        <f t="shared" si="177"/>
        <v>0</v>
      </c>
      <c r="U180" s="576">
        <f t="shared" si="178"/>
        <v>3</v>
      </c>
      <c r="V180" s="576">
        <f t="shared" si="187"/>
        <v>408.12</v>
      </c>
      <c r="W180" s="576"/>
      <c r="X180" s="576">
        <f t="shared" si="179"/>
        <v>0</v>
      </c>
      <c r="Y180" s="576"/>
      <c r="Z180" s="576">
        <f t="shared" si="180"/>
        <v>0</v>
      </c>
      <c r="AA180" s="576"/>
      <c r="AB180" s="576">
        <f t="shared" si="181"/>
        <v>0</v>
      </c>
      <c r="AC180" s="576"/>
      <c r="AD180" s="579">
        <f t="shared" si="182"/>
        <v>0</v>
      </c>
      <c r="AE180" s="580">
        <f t="shared" si="183"/>
        <v>3</v>
      </c>
      <c r="AF180" s="576">
        <f t="shared" si="184"/>
        <v>408.12</v>
      </c>
      <c r="AG180" s="576">
        <f t="shared" si="185"/>
        <v>0</v>
      </c>
      <c r="AH180" s="579">
        <f t="shared" si="186"/>
        <v>0</v>
      </c>
      <c r="AK180" s="617">
        <f t="shared" si="141"/>
        <v>0</v>
      </c>
    </row>
    <row r="181" spans="1:37" ht="30">
      <c r="A181" s="570" t="s">
        <v>13945</v>
      </c>
      <c r="B181" s="571" t="str">
        <f>PLANILHA!D179</f>
        <v>BOTOEIRA LIGA-DESLIGA PARA BOMBA DE INCÊNDIO MODELO BLD-1, MARCA VERIN OU SIMILAR.  FORNECIMENTO E INSTALAÇÃO.</v>
      </c>
      <c r="C181" s="572" t="str">
        <f>PLANILHA!E179</f>
        <v>UND</v>
      </c>
      <c r="D181" s="573">
        <f>PLANILHA!F179</f>
        <v>3</v>
      </c>
      <c r="E181" s="573">
        <f t="shared" si="170"/>
        <v>136.04</v>
      </c>
      <c r="F181" s="574">
        <f t="shared" si="169"/>
        <v>408.12</v>
      </c>
      <c r="G181" s="580"/>
      <c r="H181" s="576">
        <f t="shared" si="171"/>
        <v>0</v>
      </c>
      <c r="I181" s="576"/>
      <c r="J181" s="576">
        <f t="shared" si="172"/>
        <v>0</v>
      </c>
      <c r="K181" s="576"/>
      <c r="L181" s="576">
        <f t="shared" si="173"/>
        <v>0</v>
      </c>
      <c r="M181" s="576"/>
      <c r="N181" s="576">
        <f t="shared" si="174"/>
        <v>0</v>
      </c>
      <c r="O181" s="576"/>
      <c r="P181" s="576">
        <f t="shared" si="175"/>
        <v>0</v>
      </c>
      <c r="Q181" s="576"/>
      <c r="R181" s="577">
        <f t="shared" si="176"/>
        <v>0</v>
      </c>
      <c r="S181" s="578"/>
      <c r="T181" s="576">
        <f t="shared" si="177"/>
        <v>0</v>
      </c>
      <c r="U181" s="576">
        <f t="shared" si="178"/>
        <v>3</v>
      </c>
      <c r="V181" s="576">
        <f t="shared" si="187"/>
        <v>408.12</v>
      </c>
      <c r="W181" s="576"/>
      <c r="X181" s="576">
        <f t="shared" si="179"/>
        <v>0</v>
      </c>
      <c r="Y181" s="576"/>
      <c r="Z181" s="576">
        <f t="shared" si="180"/>
        <v>0</v>
      </c>
      <c r="AA181" s="576"/>
      <c r="AB181" s="576">
        <f t="shared" si="181"/>
        <v>0</v>
      </c>
      <c r="AC181" s="576"/>
      <c r="AD181" s="579">
        <f t="shared" si="182"/>
        <v>0</v>
      </c>
      <c r="AE181" s="580">
        <f t="shared" si="183"/>
        <v>3</v>
      </c>
      <c r="AF181" s="576">
        <f t="shared" si="184"/>
        <v>408.12</v>
      </c>
      <c r="AG181" s="576">
        <f t="shared" si="185"/>
        <v>0</v>
      </c>
      <c r="AH181" s="579">
        <f t="shared" si="186"/>
        <v>0</v>
      </c>
      <c r="AK181" s="617">
        <f t="shared" si="141"/>
        <v>0</v>
      </c>
    </row>
    <row r="182" spans="1:37">
      <c r="A182" s="570" t="s">
        <v>27190</v>
      </c>
      <c r="B182" s="571" t="str">
        <f>PLANILHA!D180</f>
        <v>DETECTOR DE INCÊNDIO</v>
      </c>
      <c r="C182" s="572" t="str">
        <f>PLANILHA!E180</f>
        <v>UND</v>
      </c>
      <c r="D182" s="573">
        <f>PLANILHA!F180</f>
        <v>10</v>
      </c>
      <c r="E182" s="573">
        <f t="shared" si="170"/>
        <v>130.07</v>
      </c>
      <c r="F182" s="574">
        <f t="shared" si="169"/>
        <v>1300.7</v>
      </c>
      <c r="G182" s="580"/>
      <c r="H182" s="576">
        <f t="shared" si="171"/>
        <v>0</v>
      </c>
      <c r="I182" s="576"/>
      <c r="J182" s="576">
        <f t="shared" si="172"/>
        <v>0</v>
      </c>
      <c r="K182" s="576"/>
      <c r="L182" s="576">
        <f t="shared" si="173"/>
        <v>0</v>
      </c>
      <c r="M182" s="576"/>
      <c r="N182" s="576">
        <f t="shared" si="174"/>
        <v>0</v>
      </c>
      <c r="O182" s="576"/>
      <c r="P182" s="576">
        <f t="shared" si="175"/>
        <v>0</v>
      </c>
      <c r="Q182" s="576"/>
      <c r="R182" s="577">
        <f t="shared" si="176"/>
        <v>0</v>
      </c>
      <c r="S182" s="578"/>
      <c r="T182" s="576">
        <f t="shared" si="177"/>
        <v>0</v>
      </c>
      <c r="U182" s="576">
        <f t="shared" si="178"/>
        <v>10</v>
      </c>
      <c r="V182" s="576">
        <f t="shared" si="187"/>
        <v>1300.7</v>
      </c>
      <c r="W182" s="576"/>
      <c r="X182" s="576">
        <f t="shared" si="179"/>
        <v>0</v>
      </c>
      <c r="Y182" s="576"/>
      <c r="Z182" s="576">
        <f t="shared" si="180"/>
        <v>0</v>
      </c>
      <c r="AA182" s="576"/>
      <c r="AB182" s="576">
        <f t="shared" si="181"/>
        <v>0</v>
      </c>
      <c r="AC182" s="576"/>
      <c r="AD182" s="579">
        <f t="shared" si="182"/>
        <v>0</v>
      </c>
      <c r="AE182" s="580">
        <f t="shared" si="183"/>
        <v>10</v>
      </c>
      <c r="AF182" s="576">
        <f t="shared" si="184"/>
        <v>1300.7</v>
      </c>
      <c r="AG182" s="576">
        <f t="shared" si="185"/>
        <v>0</v>
      </c>
      <c r="AH182" s="579">
        <f t="shared" si="186"/>
        <v>0</v>
      </c>
      <c r="AK182" s="617">
        <f t="shared" si="141"/>
        <v>0</v>
      </c>
    </row>
    <row r="183" spans="1:37">
      <c r="A183" s="570" t="s">
        <v>27191</v>
      </c>
      <c r="B183" s="571" t="str">
        <f>PLANILHA!D181</f>
        <v>DETECTOR DE FUMAÇA</v>
      </c>
      <c r="C183" s="572" t="str">
        <f>PLANILHA!E181</f>
        <v>UND</v>
      </c>
      <c r="D183" s="573">
        <f>PLANILHA!F181</f>
        <v>4</v>
      </c>
      <c r="E183" s="573">
        <f t="shared" si="170"/>
        <v>336.67</v>
      </c>
      <c r="F183" s="574">
        <f t="shared" si="169"/>
        <v>1346.68</v>
      </c>
      <c r="G183" s="580"/>
      <c r="H183" s="576">
        <f t="shared" si="171"/>
        <v>0</v>
      </c>
      <c r="I183" s="576"/>
      <c r="J183" s="576">
        <f t="shared" si="172"/>
        <v>0</v>
      </c>
      <c r="K183" s="576"/>
      <c r="L183" s="576">
        <f t="shared" si="173"/>
        <v>0</v>
      </c>
      <c r="M183" s="576"/>
      <c r="N183" s="576">
        <f t="shared" si="174"/>
        <v>0</v>
      </c>
      <c r="O183" s="576"/>
      <c r="P183" s="576">
        <f t="shared" si="175"/>
        <v>0</v>
      </c>
      <c r="Q183" s="576"/>
      <c r="R183" s="577">
        <f t="shared" si="176"/>
        <v>0</v>
      </c>
      <c r="S183" s="578"/>
      <c r="T183" s="576">
        <f t="shared" si="177"/>
        <v>0</v>
      </c>
      <c r="U183" s="576">
        <f t="shared" si="178"/>
        <v>4</v>
      </c>
      <c r="V183" s="576">
        <f t="shared" si="187"/>
        <v>1346.68</v>
      </c>
      <c r="W183" s="576"/>
      <c r="X183" s="576">
        <f t="shared" si="179"/>
        <v>0</v>
      </c>
      <c r="Y183" s="576"/>
      <c r="Z183" s="576">
        <f t="shared" si="180"/>
        <v>0</v>
      </c>
      <c r="AA183" s="576"/>
      <c r="AB183" s="576">
        <f t="shared" si="181"/>
        <v>0</v>
      </c>
      <c r="AC183" s="576"/>
      <c r="AD183" s="579">
        <f t="shared" si="182"/>
        <v>0</v>
      </c>
      <c r="AE183" s="580">
        <f t="shared" si="183"/>
        <v>4</v>
      </c>
      <c r="AF183" s="576">
        <f t="shared" si="184"/>
        <v>1346.68</v>
      </c>
      <c r="AG183" s="576">
        <f t="shared" si="185"/>
        <v>0</v>
      </c>
      <c r="AH183" s="579">
        <f t="shared" si="186"/>
        <v>0</v>
      </c>
      <c r="AK183" s="617">
        <f t="shared" si="141"/>
        <v>0</v>
      </c>
    </row>
    <row r="184" spans="1:37" s="569" customFormat="1">
      <c r="A184" s="581" t="s">
        <v>27222</v>
      </c>
      <c r="B184" s="582"/>
      <c r="C184" s="583"/>
      <c r="D184" s="584"/>
      <c r="E184" s="584"/>
      <c r="F184" s="585">
        <f t="shared" si="169"/>
        <v>11648.130000000003</v>
      </c>
      <c r="G184" s="586"/>
      <c r="H184" s="584">
        <f>SUM(H178:H183)</f>
        <v>0</v>
      </c>
      <c r="I184" s="584"/>
      <c r="J184" s="584">
        <f>SUM(J178:J183)</f>
        <v>0</v>
      </c>
      <c r="K184" s="584"/>
      <c r="L184" s="584">
        <f>SUM(L178:L183)</f>
        <v>0</v>
      </c>
      <c r="M184" s="584"/>
      <c r="N184" s="584">
        <f>SUM(N178:N183)</f>
        <v>0</v>
      </c>
      <c r="O184" s="584"/>
      <c r="P184" s="584">
        <f>SUM(P178:P183)</f>
        <v>0</v>
      </c>
      <c r="Q184" s="584"/>
      <c r="R184" s="584">
        <f>SUM(R178:R183)</f>
        <v>0</v>
      </c>
      <c r="S184" s="588"/>
      <c r="T184" s="584">
        <f>SUM(T178:T183)</f>
        <v>0</v>
      </c>
      <c r="U184" s="584"/>
      <c r="V184" s="584">
        <f>SUM(V178:V183)</f>
        <v>11648.130000000003</v>
      </c>
      <c r="W184" s="584"/>
      <c r="X184" s="584">
        <f>SUM(X178:X183)</f>
        <v>0</v>
      </c>
      <c r="Y184" s="584"/>
      <c r="Z184" s="584">
        <f>SUM(Z178:Z183)</f>
        <v>0</v>
      </c>
      <c r="AA184" s="584"/>
      <c r="AB184" s="584">
        <f>SUM(AB178:AB183)</f>
        <v>0</v>
      </c>
      <c r="AC184" s="584"/>
      <c r="AD184" s="584">
        <f>SUM(AD178:AD183)</f>
        <v>0</v>
      </c>
      <c r="AE184" s="590"/>
      <c r="AF184" s="584">
        <f>SUM(AF178:AF183)</f>
        <v>11648.130000000003</v>
      </c>
      <c r="AG184" s="591"/>
      <c r="AH184" s="584">
        <f>SUM(AH178:AH183)</f>
        <v>0</v>
      </c>
      <c r="AI184" s="568"/>
      <c r="AK184" s="617">
        <f t="shared" si="141"/>
        <v>0</v>
      </c>
    </row>
    <row r="185" spans="1:37">
      <c r="A185" s="570"/>
      <c r="B185" s="571"/>
      <c r="C185" s="572"/>
      <c r="D185" s="573"/>
      <c r="E185" s="573"/>
      <c r="F185" s="574"/>
      <c r="G185" s="580"/>
      <c r="H185" s="576"/>
      <c r="I185" s="576"/>
      <c r="J185" s="576"/>
      <c r="K185" s="576"/>
      <c r="L185" s="576"/>
      <c r="M185" s="576"/>
      <c r="N185" s="576"/>
      <c r="O185" s="576"/>
      <c r="P185" s="576"/>
      <c r="Q185" s="576"/>
      <c r="R185" s="577"/>
      <c r="S185" s="578"/>
      <c r="T185" s="576"/>
      <c r="U185" s="576"/>
      <c r="V185" s="576"/>
      <c r="W185" s="576"/>
      <c r="X185" s="576"/>
      <c r="Y185" s="576"/>
      <c r="Z185" s="576"/>
      <c r="AA185" s="576"/>
      <c r="AB185" s="576"/>
      <c r="AC185" s="576"/>
      <c r="AD185" s="579"/>
      <c r="AE185" s="580"/>
      <c r="AF185" s="576"/>
      <c r="AG185" s="576"/>
      <c r="AH185" s="579"/>
      <c r="AK185" s="617">
        <f t="shared" si="141"/>
        <v>0</v>
      </c>
    </row>
    <row r="186" spans="1:37" s="569" customFormat="1">
      <c r="A186" s="592" t="s">
        <v>13946</v>
      </c>
      <c r="B186" s="593" t="str">
        <f>PLANILHA!D184</f>
        <v>ABRIGO, HIDRANTE, MANGUEIRA E EXTINTOR</v>
      </c>
      <c r="C186" s="594"/>
      <c r="D186" s="589"/>
      <c r="E186" s="589"/>
      <c r="F186" s="595">
        <f t="shared" ref="F186:F198" si="188">VLOOKUP(A186,PLANILHA,$G$6,0)</f>
        <v>0</v>
      </c>
      <c r="G186" s="596"/>
      <c r="H186" s="597"/>
      <c r="I186" s="597"/>
      <c r="J186" s="597"/>
      <c r="K186" s="597"/>
      <c r="L186" s="597"/>
      <c r="M186" s="597"/>
      <c r="N186" s="597"/>
      <c r="O186" s="597"/>
      <c r="P186" s="597"/>
      <c r="Q186" s="597"/>
      <c r="R186" s="598"/>
      <c r="S186" s="599"/>
      <c r="T186" s="597"/>
      <c r="U186" s="597"/>
      <c r="V186" s="597"/>
      <c r="W186" s="597"/>
      <c r="X186" s="597"/>
      <c r="Y186" s="597"/>
      <c r="Z186" s="597"/>
      <c r="AA186" s="597"/>
      <c r="AB186" s="597"/>
      <c r="AC186" s="597"/>
      <c r="AD186" s="600"/>
      <c r="AE186" s="596"/>
      <c r="AF186" s="597"/>
      <c r="AG186" s="597"/>
      <c r="AH186" s="600"/>
      <c r="AI186" s="568"/>
      <c r="AK186" s="617">
        <f t="shared" si="141"/>
        <v>0</v>
      </c>
    </row>
    <row r="187" spans="1:37" ht="60">
      <c r="A187" s="570" t="s">
        <v>13947</v>
      </c>
      <c r="B187" s="571" t="str">
        <f>PLANILHA!D185</f>
        <v>ABRIGO EM CHAPA TIPO EXTERNO 1 PORTA DE AÇO CARBONO, COMPLETO, VIDRO TRANSPARENTE, COM A INSCRIÇÃO "INCÊNDIO", SUPORTE BASCULANTE PARA MANGUEIRA PINTADO DE VERMELHO NAS DIMENSÕES 90 X 60 X 17 CM.  FORNECIMENTO E INSTALAÇÃO.</v>
      </c>
      <c r="C187" s="572" t="str">
        <f>PLANILHA!E185</f>
        <v>UND</v>
      </c>
      <c r="D187" s="573">
        <f>PLANILHA!F185</f>
        <v>4</v>
      </c>
      <c r="E187" s="573">
        <f t="shared" ref="E187:E197" si="189">VLOOKUP(A187,PLANILHA,$G$7,0)</f>
        <v>591.73</v>
      </c>
      <c r="F187" s="574">
        <f t="shared" si="188"/>
        <v>2366.92</v>
      </c>
      <c r="G187" s="580"/>
      <c r="H187" s="576">
        <f t="shared" ref="H187:H197" si="190">G187*$E187</f>
        <v>0</v>
      </c>
      <c r="I187" s="576"/>
      <c r="J187" s="576">
        <f t="shared" ref="J187:J197" si="191">I187*$E187</f>
        <v>0</v>
      </c>
      <c r="K187" s="576"/>
      <c r="L187" s="576">
        <f t="shared" ref="L187:L197" si="192">K187*$E187</f>
        <v>0</v>
      </c>
      <c r="M187" s="576"/>
      <c r="N187" s="576">
        <f t="shared" ref="N187:N197" si="193">M187*$E187</f>
        <v>0</v>
      </c>
      <c r="O187" s="576"/>
      <c r="P187" s="576">
        <f t="shared" ref="P187:P197" si="194">O187*$E187</f>
        <v>0</v>
      </c>
      <c r="Q187" s="576"/>
      <c r="R187" s="577">
        <f t="shared" ref="R187:R197" si="195">Q187*$E187</f>
        <v>0</v>
      </c>
      <c r="S187" s="578"/>
      <c r="T187" s="576">
        <f t="shared" ref="T187:T197" si="196">S187*$E187</f>
        <v>0</v>
      </c>
      <c r="U187" s="576">
        <f>D187</f>
        <v>4</v>
      </c>
      <c r="V187" s="576">
        <f t="shared" ref="V187:V197" si="197">TRUNC(U187*$E187,2)</f>
        <v>2366.92</v>
      </c>
      <c r="W187" s="576"/>
      <c r="X187" s="576">
        <f t="shared" ref="X187:X197" si="198">W187*$E187</f>
        <v>0</v>
      </c>
      <c r="Y187" s="576"/>
      <c r="Z187" s="576">
        <f t="shared" ref="Z187:Z197" si="199">Y187*$E187</f>
        <v>0</v>
      </c>
      <c r="AA187" s="576"/>
      <c r="AB187" s="576">
        <f t="shared" ref="AB187:AB197" si="200">AA187*$E187</f>
        <v>0</v>
      </c>
      <c r="AC187" s="576"/>
      <c r="AD187" s="579">
        <f t="shared" ref="AD187:AD197" si="201">AC187*$E187</f>
        <v>0</v>
      </c>
      <c r="AE187" s="580">
        <f t="shared" ref="AE187:AE197" si="202">AC187+AA187+Y187+W187+U187+S187+Q187+O187+M187+K187+I187+G187</f>
        <v>4</v>
      </c>
      <c r="AF187" s="576">
        <f t="shared" ref="AF187:AF197" si="203">TRUNC(AE187*E187,2)</f>
        <v>2366.92</v>
      </c>
      <c r="AG187" s="576">
        <f t="shared" ref="AG187:AG197" si="204">D187-AE187</f>
        <v>0</v>
      </c>
      <c r="AH187" s="579">
        <f t="shared" ref="AH187:AH197" si="205">AG187*E187</f>
        <v>0</v>
      </c>
      <c r="AK187" s="617">
        <f t="shared" si="141"/>
        <v>0</v>
      </c>
    </row>
    <row r="188" spans="1:37" ht="30">
      <c r="A188" s="570" t="s">
        <v>13948</v>
      </c>
      <c r="B188" s="571" t="str">
        <f>PLANILHA!D186</f>
        <v>MANGUEIRA DE INCENDIO, TIPO 2, DE 2 1/2", COMPRIMENTO = 30 M, FORNECIMENTO E INSTALAÇÃO</v>
      </c>
      <c r="C188" s="572" t="str">
        <f>PLANILHA!E186</f>
        <v>UND</v>
      </c>
      <c r="D188" s="573">
        <f>PLANILHA!F186</f>
        <v>1</v>
      </c>
      <c r="E188" s="573">
        <f t="shared" si="189"/>
        <v>1602.65</v>
      </c>
      <c r="F188" s="574">
        <f t="shared" si="188"/>
        <v>1602.65</v>
      </c>
      <c r="G188" s="580"/>
      <c r="H188" s="576">
        <f t="shared" si="190"/>
        <v>0</v>
      </c>
      <c r="I188" s="576"/>
      <c r="J188" s="576">
        <f t="shared" si="191"/>
        <v>0</v>
      </c>
      <c r="K188" s="576"/>
      <c r="L188" s="576">
        <f t="shared" si="192"/>
        <v>0</v>
      </c>
      <c r="M188" s="576"/>
      <c r="N188" s="576">
        <f t="shared" si="193"/>
        <v>0</v>
      </c>
      <c r="O188" s="576"/>
      <c r="P188" s="576">
        <f t="shared" si="194"/>
        <v>0</v>
      </c>
      <c r="Q188" s="576"/>
      <c r="R188" s="577">
        <f t="shared" si="195"/>
        <v>0</v>
      </c>
      <c r="S188" s="578"/>
      <c r="T188" s="576">
        <f t="shared" si="196"/>
        <v>0</v>
      </c>
      <c r="U188" s="576">
        <f t="shared" ref="U188:U197" si="206">D188</f>
        <v>1</v>
      </c>
      <c r="V188" s="576">
        <f t="shared" si="197"/>
        <v>1602.65</v>
      </c>
      <c r="W188" s="576"/>
      <c r="X188" s="576">
        <f t="shared" si="198"/>
        <v>0</v>
      </c>
      <c r="Y188" s="576"/>
      <c r="Z188" s="576">
        <f t="shared" si="199"/>
        <v>0</v>
      </c>
      <c r="AA188" s="576"/>
      <c r="AB188" s="576">
        <f t="shared" si="200"/>
        <v>0</v>
      </c>
      <c r="AC188" s="576"/>
      <c r="AD188" s="579">
        <f t="shared" si="201"/>
        <v>0</v>
      </c>
      <c r="AE188" s="580">
        <f t="shared" si="202"/>
        <v>1</v>
      </c>
      <c r="AF188" s="576">
        <f t="shared" si="203"/>
        <v>1602.65</v>
      </c>
      <c r="AG188" s="576">
        <f t="shared" si="204"/>
        <v>0</v>
      </c>
      <c r="AH188" s="579">
        <f t="shared" si="205"/>
        <v>0</v>
      </c>
      <c r="AK188" s="617">
        <f t="shared" si="141"/>
        <v>0</v>
      </c>
    </row>
    <row r="189" spans="1:37" ht="30">
      <c r="A189" s="570" t="s">
        <v>13949</v>
      </c>
      <c r="B189" s="571" t="str">
        <f>PLANILHA!D187</f>
        <v>MANGUEIRA DE INCENDIO, TIPO 1, DE 1 1/2", COMPRIMENTO = 30 M, FORNECIMENTO E INSTALAÇÃO</v>
      </c>
      <c r="C189" s="572" t="str">
        <f>PLANILHA!E187</f>
        <v>UND</v>
      </c>
      <c r="D189" s="573">
        <f>PLANILHA!F187</f>
        <v>3</v>
      </c>
      <c r="E189" s="573">
        <f t="shared" si="189"/>
        <v>770.17</v>
      </c>
      <c r="F189" s="574">
        <f t="shared" si="188"/>
        <v>2310.5100000000002</v>
      </c>
      <c r="G189" s="580"/>
      <c r="H189" s="576">
        <f>G189*$E189</f>
        <v>0</v>
      </c>
      <c r="I189" s="576"/>
      <c r="J189" s="576">
        <f>I189*$E189</f>
        <v>0</v>
      </c>
      <c r="K189" s="576"/>
      <c r="L189" s="576">
        <f>K189*$E189</f>
        <v>0</v>
      </c>
      <c r="M189" s="576"/>
      <c r="N189" s="576">
        <f>M189*$E189</f>
        <v>0</v>
      </c>
      <c r="O189" s="576"/>
      <c r="P189" s="576">
        <f>O189*$E189</f>
        <v>0</v>
      </c>
      <c r="Q189" s="576"/>
      <c r="R189" s="577">
        <f>Q189*$E189</f>
        <v>0</v>
      </c>
      <c r="S189" s="578"/>
      <c r="T189" s="576">
        <f>S189*$E189</f>
        <v>0</v>
      </c>
      <c r="U189" s="576">
        <f t="shared" si="206"/>
        <v>3</v>
      </c>
      <c r="V189" s="576">
        <f t="shared" si="197"/>
        <v>2310.5100000000002</v>
      </c>
      <c r="W189" s="576"/>
      <c r="X189" s="576">
        <f>W189*$E189</f>
        <v>0</v>
      </c>
      <c r="Y189" s="576"/>
      <c r="Z189" s="576">
        <f>Y189*$E189</f>
        <v>0</v>
      </c>
      <c r="AA189" s="576"/>
      <c r="AB189" s="576">
        <f>AA189*$E189</f>
        <v>0</v>
      </c>
      <c r="AC189" s="576"/>
      <c r="AD189" s="579">
        <f>AC189*$E189</f>
        <v>0</v>
      </c>
      <c r="AE189" s="580">
        <f>AC189+AA189+Y189+W189+U189+S189+Q189+O189+M189+K189+I189+G189</f>
        <v>3</v>
      </c>
      <c r="AF189" s="576">
        <f t="shared" si="203"/>
        <v>2310.5100000000002</v>
      </c>
      <c r="AG189" s="576">
        <f>D189-AE189</f>
        <v>0</v>
      </c>
      <c r="AH189" s="579">
        <f>AG189*E189</f>
        <v>0</v>
      </c>
      <c r="AK189" s="617">
        <f t="shared" si="141"/>
        <v>0</v>
      </c>
    </row>
    <row r="190" spans="1:37" ht="45">
      <c r="A190" s="570" t="s">
        <v>13950</v>
      </c>
      <c r="B190" s="571" t="str">
        <f>PLANILHA!D188</f>
        <v>ADAPTADOR EM LATAO P/ INSTALACAO PREDIAL DE COMBATE A INCENDIO ENGATE RAPIDO 1 1/2" X ROSCA INTERNA 5 FIOS 2 1/2" .  FORNECIMENTO E INSTALAÇÃO.</v>
      </c>
      <c r="C190" s="572" t="str">
        <f>PLANILHA!E188</f>
        <v>UND</v>
      </c>
      <c r="D190" s="573">
        <f>PLANILHA!F188</f>
        <v>4</v>
      </c>
      <c r="E190" s="573">
        <f t="shared" si="189"/>
        <v>88.63</v>
      </c>
      <c r="F190" s="574">
        <f t="shared" si="188"/>
        <v>354.52</v>
      </c>
      <c r="G190" s="580"/>
      <c r="H190" s="576">
        <f t="shared" si="190"/>
        <v>0</v>
      </c>
      <c r="I190" s="576"/>
      <c r="J190" s="576">
        <f t="shared" si="191"/>
        <v>0</v>
      </c>
      <c r="K190" s="576"/>
      <c r="L190" s="576">
        <f t="shared" si="192"/>
        <v>0</v>
      </c>
      <c r="M190" s="576"/>
      <c r="N190" s="576">
        <f t="shared" si="193"/>
        <v>0</v>
      </c>
      <c r="O190" s="576"/>
      <c r="P190" s="576">
        <f t="shared" si="194"/>
        <v>0</v>
      </c>
      <c r="Q190" s="576"/>
      <c r="R190" s="577">
        <f t="shared" si="195"/>
        <v>0</v>
      </c>
      <c r="S190" s="578"/>
      <c r="T190" s="576">
        <f t="shared" si="196"/>
        <v>0</v>
      </c>
      <c r="U190" s="576">
        <f t="shared" si="206"/>
        <v>4</v>
      </c>
      <c r="V190" s="576">
        <f t="shared" si="197"/>
        <v>354.52</v>
      </c>
      <c r="W190" s="576"/>
      <c r="X190" s="576">
        <f t="shared" si="198"/>
        <v>0</v>
      </c>
      <c r="Y190" s="576"/>
      <c r="Z190" s="576">
        <f t="shared" si="199"/>
        <v>0</v>
      </c>
      <c r="AA190" s="576"/>
      <c r="AB190" s="576">
        <f t="shared" si="200"/>
        <v>0</v>
      </c>
      <c r="AC190" s="576"/>
      <c r="AD190" s="579">
        <f t="shared" si="201"/>
        <v>0</v>
      </c>
      <c r="AE190" s="580">
        <f t="shared" si="202"/>
        <v>4</v>
      </c>
      <c r="AF190" s="576">
        <f t="shared" si="203"/>
        <v>354.52</v>
      </c>
      <c r="AG190" s="576">
        <f t="shared" si="204"/>
        <v>0</v>
      </c>
      <c r="AH190" s="579">
        <f t="shared" si="205"/>
        <v>0</v>
      </c>
      <c r="AK190" s="617">
        <f t="shared" si="141"/>
        <v>0</v>
      </c>
    </row>
    <row r="191" spans="1:37" ht="30">
      <c r="A191" s="570" t="s">
        <v>13951</v>
      </c>
      <c r="B191" s="571" t="str">
        <f>PLANILHA!D189</f>
        <v>CHAVE PARA CONEXÕES DE ENGATE RÁPIDO,
(STORZ), 63 x 38 MM.  FORNECIMENTO E INSTALAÇÃO.</v>
      </c>
      <c r="C191" s="572" t="str">
        <f>PLANILHA!E189</f>
        <v>UND</v>
      </c>
      <c r="D191" s="573">
        <f>PLANILHA!F189</f>
        <v>3</v>
      </c>
      <c r="E191" s="573">
        <f t="shared" si="189"/>
        <v>23.24</v>
      </c>
      <c r="F191" s="574">
        <f t="shared" si="188"/>
        <v>69.72</v>
      </c>
      <c r="G191" s="580"/>
      <c r="H191" s="576">
        <f t="shared" si="190"/>
        <v>0</v>
      </c>
      <c r="I191" s="576"/>
      <c r="J191" s="576">
        <f t="shared" si="191"/>
        <v>0</v>
      </c>
      <c r="K191" s="576"/>
      <c r="L191" s="576">
        <f t="shared" si="192"/>
        <v>0</v>
      </c>
      <c r="M191" s="576"/>
      <c r="N191" s="576">
        <f t="shared" si="193"/>
        <v>0</v>
      </c>
      <c r="O191" s="576"/>
      <c r="P191" s="576">
        <f t="shared" si="194"/>
        <v>0</v>
      </c>
      <c r="Q191" s="576"/>
      <c r="R191" s="577">
        <f t="shared" si="195"/>
        <v>0</v>
      </c>
      <c r="S191" s="578"/>
      <c r="T191" s="576">
        <f t="shared" si="196"/>
        <v>0</v>
      </c>
      <c r="U191" s="576">
        <f t="shared" si="206"/>
        <v>3</v>
      </c>
      <c r="V191" s="576">
        <f t="shared" si="197"/>
        <v>69.72</v>
      </c>
      <c r="W191" s="576"/>
      <c r="X191" s="576">
        <f t="shared" si="198"/>
        <v>0</v>
      </c>
      <c r="Y191" s="576"/>
      <c r="Z191" s="576">
        <f t="shared" si="199"/>
        <v>0</v>
      </c>
      <c r="AA191" s="576"/>
      <c r="AB191" s="576">
        <f t="shared" si="200"/>
        <v>0</v>
      </c>
      <c r="AC191" s="576"/>
      <c r="AD191" s="579">
        <f t="shared" si="201"/>
        <v>0</v>
      </c>
      <c r="AE191" s="580">
        <f t="shared" si="202"/>
        <v>3</v>
      </c>
      <c r="AF191" s="576">
        <f t="shared" si="203"/>
        <v>69.72</v>
      </c>
      <c r="AG191" s="576">
        <f t="shared" si="204"/>
        <v>0</v>
      </c>
      <c r="AH191" s="579">
        <f t="shared" si="205"/>
        <v>0</v>
      </c>
      <c r="AK191" s="617">
        <f t="shared" si="141"/>
        <v>0</v>
      </c>
    </row>
    <row r="192" spans="1:37" ht="30">
      <c r="A192" s="570" t="s">
        <v>13952</v>
      </c>
      <c r="B192" s="571" t="str">
        <f>PLANILHA!D190</f>
        <v>ESGUICHO TIPO AGULHETA, JUNTA DE UNIÃO ENGATE RÁPIDO 2.1/2.  FORNECIMENTO E INSTALAÇÃO.</v>
      </c>
      <c r="C192" s="572" t="str">
        <f>PLANILHA!E190</f>
        <v>UND</v>
      </c>
      <c r="D192" s="573">
        <f>PLANILHA!F190</f>
        <v>1</v>
      </c>
      <c r="E192" s="573">
        <f t="shared" si="189"/>
        <v>294.99</v>
      </c>
      <c r="F192" s="574">
        <f t="shared" si="188"/>
        <v>294.99</v>
      </c>
      <c r="G192" s="580"/>
      <c r="H192" s="576">
        <f t="shared" si="190"/>
        <v>0</v>
      </c>
      <c r="I192" s="576"/>
      <c r="J192" s="576">
        <f t="shared" si="191"/>
        <v>0</v>
      </c>
      <c r="K192" s="576"/>
      <c r="L192" s="576">
        <f t="shared" si="192"/>
        <v>0</v>
      </c>
      <c r="M192" s="576"/>
      <c r="N192" s="576">
        <f t="shared" si="193"/>
        <v>0</v>
      </c>
      <c r="O192" s="576"/>
      <c r="P192" s="576">
        <f t="shared" si="194"/>
        <v>0</v>
      </c>
      <c r="Q192" s="576"/>
      <c r="R192" s="577">
        <f t="shared" si="195"/>
        <v>0</v>
      </c>
      <c r="S192" s="578"/>
      <c r="T192" s="576">
        <f t="shared" si="196"/>
        <v>0</v>
      </c>
      <c r="U192" s="576">
        <f t="shared" si="206"/>
        <v>1</v>
      </c>
      <c r="V192" s="576">
        <f t="shared" si="197"/>
        <v>294.99</v>
      </c>
      <c r="W192" s="576"/>
      <c r="X192" s="576">
        <f t="shared" si="198"/>
        <v>0</v>
      </c>
      <c r="Y192" s="576"/>
      <c r="Z192" s="576">
        <f t="shared" si="199"/>
        <v>0</v>
      </c>
      <c r="AA192" s="576"/>
      <c r="AB192" s="576">
        <f t="shared" si="200"/>
        <v>0</v>
      </c>
      <c r="AC192" s="576"/>
      <c r="AD192" s="579">
        <f t="shared" si="201"/>
        <v>0</v>
      </c>
      <c r="AE192" s="580">
        <f t="shared" si="202"/>
        <v>1</v>
      </c>
      <c r="AF192" s="576">
        <f t="shared" si="203"/>
        <v>294.99</v>
      </c>
      <c r="AG192" s="576">
        <f t="shared" si="204"/>
        <v>0</v>
      </c>
      <c r="AH192" s="579">
        <f t="shared" si="205"/>
        <v>0</v>
      </c>
      <c r="AK192" s="617">
        <f t="shared" si="141"/>
        <v>0</v>
      </c>
    </row>
    <row r="193" spans="1:37" ht="30">
      <c r="A193" s="570" t="s">
        <v>13953</v>
      </c>
      <c r="B193" s="571" t="str">
        <f>PLANILHA!D191</f>
        <v>ESGUICHO TIPO AGULHETA, JUNTA DE UNIÃO ENGATE RÁPIDO 1.1/2.  FORNECIMENTO E INSTALAÇÃO.</v>
      </c>
      <c r="C193" s="572" t="str">
        <f>PLANILHA!E191</f>
        <v>UND</v>
      </c>
      <c r="D193" s="573">
        <f>PLANILHA!F191</f>
        <v>3</v>
      </c>
      <c r="E193" s="573">
        <f t="shared" si="189"/>
        <v>246.67</v>
      </c>
      <c r="F193" s="574">
        <f t="shared" si="188"/>
        <v>740.01</v>
      </c>
      <c r="G193" s="580"/>
      <c r="H193" s="576">
        <f>G193*$E193</f>
        <v>0</v>
      </c>
      <c r="I193" s="576"/>
      <c r="J193" s="576">
        <f>I193*$E193</f>
        <v>0</v>
      </c>
      <c r="K193" s="576"/>
      <c r="L193" s="576">
        <f>K193*$E193</f>
        <v>0</v>
      </c>
      <c r="M193" s="576"/>
      <c r="N193" s="576">
        <f>M193*$E193</f>
        <v>0</v>
      </c>
      <c r="O193" s="576"/>
      <c r="P193" s="576">
        <f>O193*$E193</f>
        <v>0</v>
      </c>
      <c r="Q193" s="576"/>
      <c r="R193" s="577">
        <f>Q193*$E193</f>
        <v>0</v>
      </c>
      <c r="S193" s="578"/>
      <c r="T193" s="576">
        <f>S193*$E193</f>
        <v>0</v>
      </c>
      <c r="U193" s="576">
        <f t="shared" si="206"/>
        <v>3</v>
      </c>
      <c r="V193" s="576">
        <f t="shared" si="197"/>
        <v>740.01</v>
      </c>
      <c r="W193" s="576"/>
      <c r="X193" s="576">
        <f>W193*$E193</f>
        <v>0</v>
      </c>
      <c r="Y193" s="576"/>
      <c r="Z193" s="576">
        <f>Y193*$E193</f>
        <v>0</v>
      </c>
      <c r="AA193" s="576"/>
      <c r="AB193" s="576">
        <f>AA193*$E193</f>
        <v>0</v>
      </c>
      <c r="AC193" s="576"/>
      <c r="AD193" s="579">
        <f>AC193*$E193</f>
        <v>0</v>
      </c>
      <c r="AE193" s="580">
        <f>AC193+AA193+Y193+W193+U193+S193+Q193+O193+M193+K193+I193+G193</f>
        <v>3</v>
      </c>
      <c r="AF193" s="576">
        <f t="shared" si="203"/>
        <v>740.01</v>
      </c>
      <c r="AG193" s="576">
        <f>D193-AE193</f>
        <v>0</v>
      </c>
      <c r="AH193" s="579">
        <f>AG193*E193</f>
        <v>0</v>
      </c>
      <c r="AK193" s="617">
        <f t="shared" si="141"/>
        <v>0</v>
      </c>
    </row>
    <row r="194" spans="1:37" ht="30">
      <c r="A194" s="570" t="s">
        <v>13954</v>
      </c>
      <c r="B194" s="571" t="str">
        <f>PLANILHA!D192</f>
        <v>EXTINTOR DE INCÊNDIO PORTÁTIL COM CARGA DE CO2 DE 4 KG, CLASSE BC - FORNECIMENTO E INSTALAÇÃO. AF_10/2020_P</v>
      </c>
      <c r="C194" s="572" t="str">
        <f>PLANILHA!E192</f>
        <v>UN</v>
      </c>
      <c r="D194" s="573">
        <f>PLANILHA!F192</f>
        <v>5</v>
      </c>
      <c r="E194" s="573">
        <f t="shared" si="189"/>
        <v>679.36</v>
      </c>
      <c r="F194" s="574">
        <f t="shared" si="188"/>
        <v>3396.8</v>
      </c>
      <c r="G194" s="580"/>
      <c r="H194" s="576">
        <f t="shared" si="190"/>
        <v>0</v>
      </c>
      <c r="I194" s="576"/>
      <c r="J194" s="576">
        <f t="shared" si="191"/>
        <v>0</v>
      </c>
      <c r="K194" s="576"/>
      <c r="L194" s="576">
        <f t="shared" si="192"/>
        <v>0</v>
      </c>
      <c r="M194" s="576"/>
      <c r="N194" s="576">
        <f t="shared" si="193"/>
        <v>0</v>
      </c>
      <c r="O194" s="576"/>
      <c r="P194" s="576">
        <f t="shared" si="194"/>
        <v>0</v>
      </c>
      <c r="Q194" s="576"/>
      <c r="R194" s="577">
        <f t="shared" si="195"/>
        <v>0</v>
      </c>
      <c r="S194" s="578"/>
      <c r="T194" s="576">
        <f t="shared" si="196"/>
        <v>0</v>
      </c>
      <c r="U194" s="576">
        <f t="shared" si="206"/>
        <v>5</v>
      </c>
      <c r="V194" s="576">
        <f t="shared" si="197"/>
        <v>3396.8</v>
      </c>
      <c r="W194" s="576"/>
      <c r="X194" s="576">
        <f t="shared" si="198"/>
        <v>0</v>
      </c>
      <c r="Y194" s="576"/>
      <c r="Z194" s="576">
        <f t="shared" si="199"/>
        <v>0</v>
      </c>
      <c r="AA194" s="576"/>
      <c r="AB194" s="576">
        <f t="shared" si="200"/>
        <v>0</v>
      </c>
      <c r="AC194" s="576"/>
      <c r="AD194" s="579">
        <f t="shared" si="201"/>
        <v>0</v>
      </c>
      <c r="AE194" s="580">
        <f t="shared" si="202"/>
        <v>5</v>
      </c>
      <c r="AF194" s="576">
        <f t="shared" si="203"/>
        <v>3396.8</v>
      </c>
      <c r="AG194" s="576">
        <f t="shared" si="204"/>
        <v>0</v>
      </c>
      <c r="AH194" s="579">
        <f t="shared" si="205"/>
        <v>0</v>
      </c>
      <c r="AK194" s="617">
        <f t="shared" si="141"/>
        <v>0</v>
      </c>
    </row>
    <row r="195" spans="1:37" ht="30">
      <c r="A195" s="570" t="s">
        <v>13955</v>
      </c>
      <c r="B195" s="571" t="str">
        <f>PLANILHA!D193</f>
        <v>EXTINTOR DE INCÊNDIO PORTÁTIL COM CARGA DE PQS DE 4 KG, CLASSE BC - FORNECIMENTO E INSTALAÇÃO. AF_10/2020_P</v>
      </c>
      <c r="C195" s="572" t="str">
        <f>PLANILHA!E193</f>
        <v>UN</v>
      </c>
      <c r="D195" s="573">
        <f>PLANILHA!F193</f>
        <v>3</v>
      </c>
      <c r="E195" s="573">
        <f t="shared" si="189"/>
        <v>223.69</v>
      </c>
      <c r="F195" s="574">
        <f t="shared" si="188"/>
        <v>671.07</v>
      </c>
      <c r="G195" s="580"/>
      <c r="H195" s="576">
        <f t="shared" si="190"/>
        <v>0</v>
      </c>
      <c r="I195" s="576"/>
      <c r="J195" s="576">
        <f t="shared" si="191"/>
        <v>0</v>
      </c>
      <c r="K195" s="576"/>
      <c r="L195" s="576">
        <f t="shared" si="192"/>
        <v>0</v>
      </c>
      <c r="M195" s="576"/>
      <c r="N195" s="576">
        <f t="shared" si="193"/>
        <v>0</v>
      </c>
      <c r="O195" s="576"/>
      <c r="P195" s="576">
        <f t="shared" si="194"/>
        <v>0</v>
      </c>
      <c r="Q195" s="576"/>
      <c r="R195" s="577">
        <f t="shared" si="195"/>
        <v>0</v>
      </c>
      <c r="S195" s="578"/>
      <c r="T195" s="576">
        <f t="shared" si="196"/>
        <v>0</v>
      </c>
      <c r="U195" s="576">
        <f t="shared" si="206"/>
        <v>3</v>
      </c>
      <c r="V195" s="576">
        <f t="shared" si="197"/>
        <v>671.07</v>
      </c>
      <c r="W195" s="576"/>
      <c r="X195" s="576">
        <f t="shared" si="198"/>
        <v>0</v>
      </c>
      <c r="Y195" s="576"/>
      <c r="Z195" s="576">
        <f t="shared" si="199"/>
        <v>0</v>
      </c>
      <c r="AA195" s="576"/>
      <c r="AB195" s="576">
        <f t="shared" si="200"/>
        <v>0</v>
      </c>
      <c r="AC195" s="576"/>
      <c r="AD195" s="579">
        <f t="shared" si="201"/>
        <v>0</v>
      </c>
      <c r="AE195" s="580">
        <f t="shared" si="202"/>
        <v>3</v>
      </c>
      <c r="AF195" s="576">
        <f t="shared" si="203"/>
        <v>671.07</v>
      </c>
      <c r="AG195" s="576">
        <f t="shared" si="204"/>
        <v>0</v>
      </c>
      <c r="AH195" s="579">
        <f t="shared" si="205"/>
        <v>0</v>
      </c>
      <c r="AK195" s="617">
        <f t="shared" si="141"/>
        <v>0</v>
      </c>
    </row>
    <row r="196" spans="1:37" ht="45">
      <c r="A196" s="570" t="s">
        <v>14668</v>
      </c>
      <c r="B196" s="571" t="str">
        <f>PLANILHA!D194</f>
        <v>EXTINTOR DE INCÊNDIO PORTÁTIL COM CARGA DE ÁGUA PRESSURIZADA DE 10 L, CLASSE A - FORNECIMENTO E INSTALAÇÃO. AF_10/2020_P</v>
      </c>
      <c r="C196" s="572" t="str">
        <f>PLANILHA!E194</f>
        <v>UN</v>
      </c>
      <c r="D196" s="573">
        <f>PLANILHA!F194</f>
        <v>5</v>
      </c>
      <c r="E196" s="573">
        <f t="shared" si="189"/>
        <v>230.53</v>
      </c>
      <c r="F196" s="574">
        <f t="shared" si="188"/>
        <v>1152.6500000000001</v>
      </c>
      <c r="G196" s="580"/>
      <c r="H196" s="576">
        <f t="shared" si="190"/>
        <v>0</v>
      </c>
      <c r="I196" s="576"/>
      <c r="J196" s="576">
        <f t="shared" si="191"/>
        <v>0</v>
      </c>
      <c r="K196" s="576"/>
      <c r="L196" s="576">
        <f t="shared" si="192"/>
        <v>0</v>
      </c>
      <c r="M196" s="576"/>
      <c r="N196" s="576">
        <f t="shared" si="193"/>
        <v>0</v>
      </c>
      <c r="O196" s="576"/>
      <c r="P196" s="576">
        <f t="shared" si="194"/>
        <v>0</v>
      </c>
      <c r="Q196" s="576"/>
      <c r="R196" s="577">
        <f t="shared" si="195"/>
        <v>0</v>
      </c>
      <c r="S196" s="578"/>
      <c r="T196" s="576">
        <f t="shared" si="196"/>
        <v>0</v>
      </c>
      <c r="U196" s="576">
        <f t="shared" si="206"/>
        <v>5</v>
      </c>
      <c r="V196" s="576">
        <f t="shared" si="197"/>
        <v>1152.6500000000001</v>
      </c>
      <c r="W196" s="576"/>
      <c r="X196" s="576">
        <f t="shared" si="198"/>
        <v>0</v>
      </c>
      <c r="Y196" s="576"/>
      <c r="Z196" s="576">
        <f t="shared" si="199"/>
        <v>0</v>
      </c>
      <c r="AA196" s="576"/>
      <c r="AB196" s="576">
        <f t="shared" si="200"/>
        <v>0</v>
      </c>
      <c r="AC196" s="576"/>
      <c r="AD196" s="579">
        <f t="shared" si="201"/>
        <v>0</v>
      </c>
      <c r="AE196" s="580">
        <f t="shared" si="202"/>
        <v>5</v>
      </c>
      <c r="AF196" s="576">
        <f t="shared" si="203"/>
        <v>1152.6500000000001</v>
      </c>
      <c r="AG196" s="576">
        <f t="shared" si="204"/>
        <v>0</v>
      </c>
      <c r="AH196" s="579">
        <f t="shared" si="205"/>
        <v>0</v>
      </c>
      <c r="AK196" s="617">
        <f t="shared" si="141"/>
        <v>0</v>
      </c>
    </row>
    <row r="197" spans="1:37" ht="30">
      <c r="A197" s="570" t="s">
        <v>14673</v>
      </c>
      <c r="B197" s="571" t="str">
        <f>PLANILHA!D195</f>
        <v>HIDRANTE DE RECALQUE COMPLETO EM CAIXA DE ALVENARIA.  FORNECIMENTO E INSTALAÇÃO.</v>
      </c>
      <c r="C197" s="572" t="str">
        <f>PLANILHA!E195</f>
        <v>UND</v>
      </c>
      <c r="D197" s="573">
        <f>PLANILHA!F195</f>
        <v>1</v>
      </c>
      <c r="E197" s="573">
        <f t="shared" si="189"/>
        <v>1283.02</v>
      </c>
      <c r="F197" s="574">
        <f t="shared" si="188"/>
        <v>1283.02</v>
      </c>
      <c r="G197" s="580"/>
      <c r="H197" s="576">
        <f t="shared" si="190"/>
        <v>0</v>
      </c>
      <c r="I197" s="576"/>
      <c r="J197" s="576">
        <f t="shared" si="191"/>
        <v>0</v>
      </c>
      <c r="K197" s="576"/>
      <c r="L197" s="576">
        <f t="shared" si="192"/>
        <v>0</v>
      </c>
      <c r="M197" s="576"/>
      <c r="N197" s="576">
        <f t="shared" si="193"/>
        <v>0</v>
      </c>
      <c r="O197" s="576"/>
      <c r="P197" s="576">
        <f t="shared" si="194"/>
        <v>0</v>
      </c>
      <c r="Q197" s="576"/>
      <c r="R197" s="577">
        <f t="shared" si="195"/>
        <v>0</v>
      </c>
      <c r="S197" s="578"/>
      <c r="T197" s="576">
        <f t="shared" si="196"/>
        <v>0</v>
      </c>
      <c r="U197" s="576">
        <f t="shared" si="206"/>
        <v>1</v>
      </c>
      <c r="V197" s="576">
        <f t="shared" si="197"/>
        <v>1283.02</v>
      </c>
      <c r="W197" s="576"/>
      <c r="X197" s="576">
        <f t="shared" si="198"/>
        <v>0</v>
      </c>
      <c r="Y197" s="576"/>
      <c r="Z197" s="576">
        <f t="shared" si="199"/>
        <v>0</v>
      </c>
      <c r="AA197" s="576"/>
      <c r="AB197" s="576">
        <f t="shared" si="200"/>
        <v>0</v>
      </c>
      <c r="AC197" s="576"/>
      <c r="AD197" s="579">
        <f t="shared" si="201"/>
        <v>0</v>
      </c>
      <c r="AE197" s="580">
        <f t="shared" si="202"/>
        <v>1</v>
      </c>
      <c r="AF197" s="576">
        <f t="shared" si="203"/>
        <v>1283.02</v>
      </c>
      <c r="AG197" s="576">
        <f t="shared" si="204"/>
        <v>0</v>
      </c>
      <c r="AH197" s="579">
        <f t="shared" si="205"/>
        <v>0</v>
      </c>
      <c r="AK197" s="617">
        <f t="shared" si="141"/>
        <v>0</v>
      </c>
    </row>
    <row r="198" spans="1:37" s="569" customFormat="1">
      <c r="A198" s="581" t="s">
        <v>27223</v>
      </c>
      <c r="B198" s="582"/>
      <c r="C198" s="583"/>
      <c r="D198" s="584"/>
      <c r="E198" s="584"/>
      <c r="F198" s="585">
        <f t="shared" si="188"/>
        <v>14242.86</v>
      </c>
      <c r="G198" s="586"/>
      <c r="H198" s="584">
        <f t="shared" ref="H198:AH198" si="207">SUM(H187:H197)</f>
        <v>0</v>
      </c>
      <c r="I198" s="584"/>
      <c r="J198" s="584">
        <f t="shared" si="207"/>
        <v>0</v>
      </c>
      <c r="K198" s="584"/>
      <c r="L198" s="584">
        <f t="shared" si="207"/>
        <v>0</v>
      </c>
      <c r="M198" s="584"/>
      <c r="N198" s="584">
        <f t="shared" si="207"/>
        <v>0</v>
      </c>
      <c r="O198" s="584"/>
      <c r="P198" s="584">
        <f t="shared" si="207"/>
        <v>0</v>
      </c>
      <c r="Q198" s="584"/>
      <c r="R198" s="587">
        <f t="shared" si="207"/>
        <v>0</v>
      </c>
      <c r="S198" s="588"/>
      <c r="T198" s="584">
        <f t="shared" si="207"/>
        <v>0</v>
      </c>
      <c r="U198" s="584"/>
      <c r="V198" s="584">
        <f t="shared" si="207"/>
        <v>14242.86</v>
      </c>
      <c r="W198" s="584"/>
      <c r="X198" s="584">
        <f t="shared" si="207"/>
        <v>0</v>
      </c>
      <c r="Y198" s="584"/>
      <c r="Z198" s="584">
        <f t="shared" si="207"/>
        <v>0</v>
      </c>
      <c r="AA198" s="584"/>
      <c r="AB198" s="584">
        <f t="shared" si="207"/>
        <v>0</v>
      </c>
      <c r="AC198" s="584"/>
      <c r="AD198" s="585">
        <f t="shared" si="207"/>
        <v>0</v>
      </c>
      <c r="AE198" s="590"/>
      <c r="AF198" s="584">
        <f t="shared" si="207"/>
        <v>14242.86</v>
      </c>
      <c r="AG198" s="591"/>
      <c r="AH198" s="585">
        <f t="shared" si="207"/>
        <v>0</v>
      </c>
      <c r="AI198" s="568"/>
      <c r="AK198" s="617">
        <f t="shared" si="141"/>
        <v>0</v>
      </c>
    </row>
    <row r="199" spans="1:37">
      <c r="A199" s="570"/>
      <c r="B199" s="571"/>
      <c r="C199" s="572"/>
      <c r="D199" s="573"/>
      <c r="E199" s="573"/>
      <c r="F199" s="574"/>
      <c r="G199" s="580"/>
      <c r="H199" s="576"/>
      <c r="I199" s="576"/>
      <c r="J199" s="576"/>
      <c r="K199" s="576"/>
      <c r="L199" s="576"/>
      <c r="M199" s="576"/>
      <c r="N199" s="576"/>
      <c r="O199" s="576"/>
      <c r="P199" s="576"/>
      <c r="Q199" s="576"/>
      <c r="R199" s="577"/>
      <c r="S199" s="578"/>
      <c r="T199" s="576"/>
      <c r="U199" s="576"/>
      <c r="V199" s="576"/>
      <c r="W199" s="576"/>
      <c r="X199" s="576"/>
      <c r="Y199" s="576"/>
      <c r="Z199" s="576"/>
      <c r="AA199" s="576"/>
      <c r="AB199" s="576"/>
      <c r="AC199" s="576"/>
      <c r="AD199" s="579"/>
      <c r="AE199" s="580"/>
      <c r="AF199" s="576"/>
      <c r="AG199" s="576"/>
      <c r="AH199" s="579"/>
      <c r="AK199" s="617">
        <f t="shared" si="141"/>
        <v>0</v>
      </c>
    </row>
    <row r="200" spans="1:37" s="569" customFormat="1">
      <c r="A200" s="592" t="s">
        <v>13956</v>
      </c>
      <c r="B200" s="593" t="str">
        <f>PLANILHA!D198</f>
        <v>TUBOS</v>
      </c>
      <c r="C200" s="594"/>
      <c r="D200" s="589"/>
      <c r="E200" s="589"/>
      <c r="F200" s="595">
        <f t="shared" ref="F200:F215" si="208">VLOOKUP(A200,PLANILHA,$G$6,0)</f>
        <v>0</v>
      </c>
      <c r="G200" s="596"/>
      <c r="H200" s="597"/>
      <c r="I200" s="597"/>
      <c r="J200" s="597"/>
      <c r="K200" s="597"/>
      <c r="L200" s="597"/>
      <c r="M200" s="597"/>
      <c r="N200" s="597"/>
      <c r="O200" s="597"/>
      <c r="P200" s="597"/>
      <c r="Q200" s="597"/>
      <c r="R200" s="598"/>
      <c r="S200" s="599"/>
      <c r="T200" s="597"/>
      <c r="U200" s="597"/>
      <c r="V200" s="597"/>
      <c r="W200" s="597"/>
      <c r="X200" s="597"/>
      <c r="Y200" s="597"/>
      <c r="Z200" s="597"/>
      <c r="AA200" s="597"/>
      <c r="AB200" s="597"/>
      <c r="AC200" s="597"/>
      <c r="AD200" s="600"/>
      <c r="AE200" s="596"/>
      <c r="AF200" s="597"/>
      <c r="AG200" s="597"/>
      <c r="AH200" s="600"/>
      <c r="AI200" s="568"/>
      <c r="AK200" s="617">
        <f t="shared" si="141"/>
        <v>0</v>
      </c>
    </row>
    <row r="201" spans="1:37" ht="30">
      <c r="A201" s="570" t="s">
        <v>13957</v>
      </c>
      <c r="B201" s="571" t="str">
        <f>PLANILHA!D199</f>
        <v>TUBO ACO GALVANIZADO COM COSTURA, CLASSE LEVE, DN 65 MM ( 2 1/2"),  E = 3,35 MM, * 6,23* KG/M (NBR 5580)</v>
      </c>
      <c r="C201" s="572" t="str">
        <f>PLANILHA!E199</f>
        <v xml:space="preserve">M     </v>
      </c>
      <c r="D201" s="573">
        <f>PLANILHA!F199</f>
        <v>79.5</v>
      </c>
      <c r="E201" s="573">
        <f t="shared" ref="E201:E214" si="209">VLOOKUP(A201,PLANILHA,$G$7,0)</f>
        <v>140.97</v>
      </c>
      <c r="F201" s="574">
        <f t="shared" si="208"/>
        <v>11207.11</v>
      </c>
      <c r="G201" s="580"/>
      <c r="H201" s="576">
        <f t="shared" ref="H201:H210" si="210">G201*$E201</f>
        <v>0</v>
      </c>
      <c r="I201" s="576"/>
      <c r="J201" s="576">
        <f t="shared" ref="J201:J210" si="211">I201*$E201</f>
        <v>0</v>
      </c>
      <c r="K201" s="576"/>
      <c r="L201" s="576">
        <f t="shared" ref="L201:L210" si="212">K201*$E201</f>
        <v>0</v>
      </c>
      <c r="M201" s="576"/>
      <c r="N201" s="576">
        <f t="shared" ref="N201:N210" si="213">M201*$E201</f>
        <v>0</v>
      </c>
      <c r="O201" s="576"/>
      <c r="P201" s="576">
        <f t="shared" ref="P201:P210" si="214">O201*$E201</f>
        <v>0</v>
      </c>
      <c r="Q201" s="576"/>
      <c r="R201" s="577">
        <f t="shared" ref="R201:R210" si="215">Q201*$E201</f>
        <v>0</v>
      </c>
      <c r="S201" s="578"/>
      <c r="T201" s="576">
        <f t="shared" ref="T201:T210" si="216">S201*$E201</f>
        <v>0</v>
      </c>
      <c r="U201" s="576">
        <f>D201</f>
        <v>79.5</v>
      </c>
      <c r="V201" s="576">
        <f t="shared" ref="V201:V214" si="217">TRUNC(U201*$E201,2)</f>
        <v>11207.11</v>
      </c>
      <c r="W201" s="576"/>
      <c r="X201" s="576">
        <f t="shared" ref="X201:X210" si="218">W201*$E201</f>
        <v>0</v>
      </c>
      <c r="Y201" s="576"/>
      <c r="Z201" s="576">
        <f t="shared" ref="Z201:Z210" si="219">Y201*$E201</f>
        <v>0</v>
      </c>
      <c r="AA201" s="576"/>
      <c r="AB201" s="576">
        <f t="shared" ref="AB201:AB210" si="220">AA201*$E201</f>
        <v>0</v>
      </c>
      <c r="AC201" s="576"/>
      <c r="AD201" s="579">
        <f t="shared" ref="AD201:AD210" si="221">AC201*$E201</f>
        <v>0</v>
      </c>
      <c r="AE201" s="580">
        <f t="shared" ref="AE201:AE211" si="222">AC201+AA201+Y201+W201+U201+S201+Q201+O201+M201+K201+I201+G201</f>
        <v>79.5</v>
      </c>
      <c r="AF201" s="576">
        <f t="shared" ref="AF201:AF214" si="223">TRUNC(AE201*E201,2)</f>
        <v>11207.11</v>
      </c>
      <c r="AG201" s="576">
        <f t="shared" ref="AG201:AG211" si="224">D201-AE201</f>
        <v>0</v>
      </c>
      <c r="AH201" s="579">
        <f t="shared" ref="AH201:AH211" si="225">AG201*E201</f>
        <v>0</v>
      </c>
      <c r="AK201" s="617">
        <f t="shared" si="141"/>
        <v>0</v>
      </c>
    </row>
    <row r="202" spans="1:37" ht="45">
      <c r="A202" s="570" t="s">
        <v>13958</v>
      </c>
      <c r="B202" s="571" t="str">
        <f>PLANILHA!D200</f>
        <v>JOELHO 90 GRAUS, EM FERRO GALVANIZADO, DN 65 (2 1/2"), CONEXÃO ROSQUEADA, INSTALADO EM REDE DE ALIMENTAÇÃO PARA HIDRANTE - FORNECIMENTO E INSTALAÇÃO. AF_10/2020</v>
      </c>
      <c r="C202" s="572" t="str">
        <f>PLANILHA!E200</f>
        <v>UN</v>
      </c>
      <c r="D202" s="573">
        <f>PLANILHA!F200</f>
        <v>25</v>
      </c>
      <c r="E202" s="573">
        <f t="shared" si="209"/>
        <v>140.19999999999999</v>
      </c>
      <c r="F202" s="574">
        <f t="shared" si="208"/>
        <v>3505</v>
      </c>
      <c r="G202" s="580"/>
      <c r="H202" s="576">
        <f t="shared" si="210"/>
        <v>0</v>
      </c>
      <c r="I202" s="576"/>
      <c r="J202" s="576">
        <f t="shared" si="211"/>
        <v>0</v>
      </c>
      <c r="K202" s="576"/>
      <c r="L202" s="576">
        <f t="shared" si="212"/>
        <v>0</v>
      </c>
      <c r="M202" s="576"/>
      <c r="N202" s="576">
        <f t="shared" si="213"/>
        <v>0</v>
      </c>
      <c r="O202" s="576"/>
      <c r="P202" s="576">
        <f t="shared" si="214"/>
        <v>0</v>
      </c>
      <c r="Q202" s="576"/>
      <c r="R202" s="577">
        <f t="shared" si="215"/>
        <v>0</v>
      </c>
      <c r="S202" s="578"/>
      <c r="T202" s="576">
        <f t="shared" si="216"/>
        <v>0</v>
      </c>
      <c r="U202" s="576">
        <f t="shared" ref="U202:U214" si="226">D202</f>
        <v>25</v>
      </c>
      <c r="V202" s="576">
        <f t="shared" si="217"/>
        <v>3505</v>
      </c>
      <c r="W202" s="576"/>
      <c r="X202" s="576">
        <f t="shared" si="218"/>
        <v>0</v>
      </c>
      <c r="Y202" s="576"/>
      <c r="Z202" s="576">
        <f t="shared" si="219"/>
        <v>0</v>
      </c>
      <c r="AA202" s="576"/>
      <c r="AB202" s="576">
        <f t="shared" si="220"/>
        <v>0</v>
      </c>
      <c r="AC202" s="576"/>
      <c r="AD202" s="579">
        <f t="shared" si="221"/>
        <v>0</v>
      </c>
      <c r="AE202" s="580">
        <f t="shared" si="222"/>
        <v>25</v>
      </c>
      <c r="AF202" s="576">
        <f t="shared" si="223"/>
        <v>3505</v>
      </c>
      <c r="AG202" s="576">
        <f t="shared" si="224"/>
        <v>0</v>
      </c>
      <c r="AH202" s="579">
        <f t="shared" si="225"/>
        <v>0</v>
      </c>
      <c r="AK202" s="617">
        <f t="shared" si="141"/>
        <v>0</v>
      </c>
    </row>
    <row r="203" spans="1:37" ht="45">
      <c r="A203" s="570" t="s">
        <v>13959</v>
      </c>
      <c r="B203" s="571" t="str">
        <f>PLANILHA!D201</f>
        <v>TÊ, EM FERRO GALVANIZADO, DN 65 (2 1/2"), CONEXÃO ROSQUEADA, INSTALADO EM PRUMADAS - FORNECIMENTO E INSTALAÇÃO. AF_10/2020</v>
      </c>
      <c r="C203" s="572" t="str">
        <f>PLANILHA!E201</f>
        <v>UN</v>
      </c>
      <c r="D203" s="573">
        <f>PLANILHA!F201</f>
        <v>3</v>
      </c>
      <c r="E203" s="573">
        <f t="shared" si="209"/>
        <v>188.58</v>
      </c>
      <c r="F203" s="574">
        <f t="shared" si="208"/>
        <v>565.74</v>
      </c>
      <c r="G203" s="580"/>
      <c r="H203" s="576">
        <f t="shared" si="210"/>
        <v>0</v>
      </c>
      <c r="I203" s="576"/>
      <c r="J203" s="576">
        <f t="shared" si="211"/>
        <v>0</v>
      </c>
      <c r="K203" s="576"/>
      <c r="L203" s="576">
        <f t="shared" si="212"/>
        <v>0</v>
      </c>
      <c r="M203" s="576"/>
      <c r="N203" s="576">
        <f t="shared" si="213"/>
        <v>0</v>
      </c>
      <c r="O203" s="576"/>
      <c r="P203" s="576">
        <f t="shared" si="214"/>
        <v>0</v>
      </c>
      <c r="Q203" s="576"/>
      <c r="R203" s="577">
        <f t="shared" si="215"/>
        <v>0</v>
      </c>
      <c r="S203" s="578"/>
      <c r="T203" s="576">
        <f t="shared" si="216"/>
        <v>0</v>
      </c>
      <c r="U203" s="576">
        <f t="shared" si="226"/>
        <v>3</v>
      </c>
      <c r="V203" s="576">
        <f t="shared" si="217"/>
        <v>565.74</v>
      </c>
      <c r="W203" s="576"/>
      <c r="X203" s="576">
        <f t="shared" si="218"/>
        <v>0</v>
      </c>
      <c r="Y203" s="576"/>
      <c r="Z203" s="576">
        <f t="shared" si="219"/>
        <v>0</v>
      </c>
      <c r="AA203" s="576"/>
      <c r="AB203" s="576">
        <f t="shared" si="220"/>
        <v>0</v>
      </c>
      <c r="AC203" s="576"/>
      <c r="AD203" s="579">
        <f t="shared" si="221"/>
        <v>0</v>
      </c>
      <c r="AE203" s="580">
        <f t="shared" si="222"/>
        <v>3</v>
      </c>
      <c r="AF203" s="576">
        <f t="shared" si="223"/>
        <v>565.74</v>
      </c>
      <c r="AG203" s="576">
        <f t="shared" si="224"/>
        <v>0</v>
      </c>
      <c r="AH203" s="579">
        <f t="shared" si="225"/>
        <v>0</v>
      </c>
      <c r="AK203" s="617">
        <f t="shared" si="141"/>
        <v>0</v>
      </c>
    </row>
    <row r="204" spans="1:37" ht="45">
      <c r="A204" s="570" t="s">
        <v>13960</v>
      </c>
      <c r="B204" s="571" t="str">
        <f>PLANILHA!D202</f>
        <v>NIPLE, EM FERRO GALVANIZADO, DN 65 (2 1/2"), CONEXÃO ROSQUEADA, INSTALADO EM PRUMADAS - FORNECIMENTO E INSTALAÇÃO. AF_10/2020</v>
      </c>
      <c r="C204" s="572" t="str">
        <f>PLANILHA!E202</f>
        <v>UN</v>
      </c>
      <c r="D204" s="573">
        <f>PLANILHA!F202</f>
        <v>10</v>
      </c>
      <c r="E204" s="573">
        <f t="shared" si="209"/>
        <v>85.69</v>
      </c>
      <c r="F204" s="574">
        <f t="shared" si="208"/>
        <v>856.9</v>
      </c>
      <c r="G204" s="580"/>
      <c r="H204" s="576">
        <f t="shared" si="210"/>
        <v>0</v>
      </c>
      <c r="I204" s="576"/>
      <c r="J204" s="576">
        <f t="shared" si="211"/>
        <v>0</v>
      </c>
      <c r="K204" s="576"/>
      <c r="L204" s="576">
        <f t="shared" si="212"/>
        <v>0</v>
      </c>
      <c r="M204" s="576"/>
      <c r="N204" s="576">
        <f t="shared" si="213"/>
        <v>0</v>
      </c>
      <c r="O204" s="576"/>
      <c r="P204" s="576">
        <f t="shared" si="214"/>
        <v>0</v>
      </c>
      <c r="Q204" s="576"/>
      <c r="R204" s="577">
        <f t="shared" si="215"/>
        <v>0</v>
      </c>
      <c r="S204" s="578"/>
      <c r="T204" s="576">
        <f t="shared" si="216"/>
        <v>0</v>
      </c>
      <c r="U204" s="576">
        <f t="shared" si="226"/>
        <v>10</v>
      </c>
      <c r="V204" s="576">
        <f t="shared" si="217"/>
        <v>856.9</v>
      </c>
      <c r="W204" s="576"/>
      <c r="X204" s="576">
        <f t="shared" si="218"/>
        <v>0</v>
      </c>
      <c r="Y204" s="576"/>
      <c r="Z204" s="576">
        <f t="shared" si="219"/>
        <v>0</v>
      </c>
      <c r="AA204" s="576"/>
      <c r="AB204" s="576">
        <f t="shared" si="220"/>
        <v>0</v>
      </c>
      <c r="AC204" s="576"/>
      <c r="AD204" s="579">
        <f t="shared" si="221"/>
        <v>0</v>
      </c>
      <c r="AE204" s="580">
        <f t="shared" si="222"/>
        <v>10</v>
      </c>
      <c r="AF204" s="576">
        <f t="shared" si="223"/>
        <v>856.9</v>
      </c>
      <c r="AG204" s="576">
        <f t="shared" si="224"/>
        <v>0</v>
      </c>
      <c r="AH204" s="579">
        <f t="shared" si="225"/>
        <v>0</v>
      </c>
      <c r="AK204" s="617">
        <f t="shared" si="141"/>
        <v>0</v>
      </c>
    </row>
    <row r="205" spans="1:37" ht="45">
      <c r="A205" s="570" t="s">
        <v>13961</v>
      </c>
      <c r="B205" s="571" t="str">
        <f>PLANILHA!D203</f>
        <v>UNIÃO, EM FERRO GALVANIZADO, DN 65 (2 1/2"), CONEXÃO ROSQUEADA, INSTALADO EM PRUMADAS - FORNECIMENTO E INSTALAÇÃO. AF_10/2020</v>
      </c>
      <c r="C205" s="572" t="str">
        <f>PLANILHA!E203</f>
        <v>UN</v>
      </c>
      <c r="D205" s="573">
        <f>PLANILHA!F203</f>
        <v>5</v>
      </c>
      <c r="E205" s="573">
        <f t="shared" si="209"/>
        <v>196.25</v>
      </c>
      <c r="F205" s="574">
        <f t="shared" si="208"/>
        <v>981.25</v>
      </c>
      <c r="G205" s="580"/>
      <c r="H205" s="576">
        <f t="shared" si="210"/>
        <v>0</v>
      </c>
      <c r="I205" s="576"/>
      <c r="J205" s="576">
        <f t="shared" si="211"/>
        <v>0</v>
      </c>
      <c r="K205" s="576"/>
      <c r="L205" s="576">
        <f t="shared" si="212"/>
        <v>0</v>
      </c>
      <c r="M205" s="576"/>
      <c r="N205" s="576">
        <f t="shared" si="213"/>
        <v>0</v>
      </c>
      <c r="O205" s="576"/>
      <c r="P205" s="576">
        <f t="shared" si="214"/>
        <v>0</v>
      </c>
      <c r="Q205" s="576"/>
      <c r="R205" s="577">
        <f t="shared" si="215"/>
        <v>0</v>
      </c>
      <c r="S205" s="578"/>
      <c r="T205" s="576">
        <f t="shared" si="216"/>
        <v>0</v>
      </c>
      <c r="U205" s="576">
        <f t="shared" si="226"/>
        <v>5</v>
      </c>
      <c r="V205" s="576">
        <f t="shared" si="217"/>
        <v>981.25</v>
      </c>
      <c r="W205" s="576"/>
      <c r="X205" s="576">
        <f t="shared" si="218"/>
        <v>0</v>
      </c>
      <c r="Y205" s="576"/>
      <c r="Z205" s="576">
        <f t="shared" si="219"/>
        <v>0</v>
      </c>
      <c r="AA205" s="576"/>
      <c r="AB205" s="576">
        <f t="shared" si="220"/>
        <v>0</v>
      </c>
      <c r="AC205" s="576"/>
      <c r="AD205" s="579">
        <f t="shared" si="221"/>
        <v>0</v>
      </c>
      <c r="AE205" s="580">
        <f t="shared" si="222"/>
        <v>5</v>
      </c>
      <c r="AF205" s="576">
        <f t="shared" si="223"/>
        <v>981.25</v>
      </c>
      <c r="AG205" s="576">
        <f t="shared" si="224"/>
        <v>0</v>
      </c>
      <c r="AH205" s="579">
        <f t="shared" si="225"/>
        <v>0</v>
      </c>
      <c r="AK205" s="617">
        <f t="shared" si="141"/>
        <v>0</v>
      </c>
    </row>
    <row r="206" spans="1:37" ht="30">
      <c r="A206" s="570" t="s">
        <v>13962</v>
      </c>
      <c r="B206" s="571" t="str">
        <f>PLANILHA!D204</f>
        <v>VÁLVULA DE RETENÇÃO HORIZONTAL, DE BRONZE, ROSCÁVEL, 2 1/2" - FORNECIMENTO E INSTALAÇÃO. AF_08/2021</v>
      </c>
      <c r="C206" s="572" t="str">
        <f>PLANILHA!E204</f>
        <v>UN</v>
      </c>
      <c r="D206" s="573">
        <f>PLANILHA!F204</f>
        <v>1</v>
      </c>
      <c r="E206" s="573">
        <f t="shared" si="209"/>
        <v>520.63</v>
      </c>
      <c r="F206" s="574">
        <f t="shared" si="208"/>
        <v>520.63</v>
      </c>
      <c r="G206" s="580"/>
      <c r="H206" s="576">
        <f t="shared" si="210"/>
        <v>0</v>
      </c>
      <c r="I206" s="576"/>
      <c r="J206" s="576">
        <f t="shared" si="211"/>
        <v>0</v>
      </c>
      <c r="K206" s="576"/>
      <c r="L206" s="576">
        <f t="shared" si="212"/>
        <v>0</v>
      </c>
      <c r="M206" s="576"/>
      <c r="N206" s="576">
        <f t="shared" si="213"/>
        <v>0</v>
      </c>
      <c r="O206" s="576"/>
      <c r="P206" s="576">
        <f t="shared" si="214"/>
        <v>0</v>
      </c>
      <c r="Q206" s="576"/>
      <c r="R206" s="577">
        <f t="shared" si="215"/>
        <v>0</v>
      </c>
      <c r="S206" s="578"/>
      <c r="T206" s="576">
        <f t="shared" si="216"/>
        <v>0</v>
      </c>
      <c r="U206" s="576">
        <f t="shared" si="226"/>
        <v>1</v>
      </c>
      <c r="V206" s="576">
        <f t="shared" si="217"/>
        <v>520.63</v>
      </c>
      <c r="W206" s="576"/>
      <c r="X206" s="576">
        <f t="shared" si="218"/>
        <v>0</v>
      </c>
      <c r="Y206" s="576"/>
      <c r="Z206" s="576">
        <f t="shared" si="219"/>
        <v>0</v>
      </c>
      <c r="AA206" s="576"/>
      <c r="AB206" s="576">
        <f t="shared" si="220"/>
        <v>0</v>
      </c>
      <c r="AC206" s="576"/>
      <c r="AD206" s="579">
        <f t="shared" si="221"/>
        <v>0</v>
      </c>
      <c r="AE206" s="580">
        <f t="shared" si="222"/>
        <v>1</v>
      </c>
      <c r="AF206" s="576">
        <f t="shared" si="223"/>
        <v>520.63</v>
      </c>
      <c r="AG206" s="576">
        <f t="shared" si="224"/>
        <v>0</v>
      </c>
      <c r="AH206" s="579">
        <f t="shared" si="225"/>
        <v>0</v>
      </c>
      <c r="AK206" s="617">
        <f t="shared" ref="AK206:AK269" si="227">F206-AF206</f>
        <v>0</v>
      </c>
    </row>
    <row r="207" spans="1:37">
      <c r="A207" s="570" t="s">
        <v>13963</v>
      </c>
      <c r="B207" s="571" t="str">
        <f>PLANILHA!D205</f>
        <v>VALVULA DE SUCÇÃO 2.1/2", FORNECIMENTO E INSTALAÇÃO</v>
      </c>
      <c r="C207" s="572" t="str">
        <f>PLANILHA!E205</f>
        <v>UND</v>
      </c>
      <c r="D207" s="573">
        <f>PLANILHA!F205</f>
        <v>1</v>
      </c>
      <c r="E207" s="573">
        <f t="shared" si="209"/>
        <v>341.35</v>
      </c>
      <c r="F207" s="574">
        <f t="shared" si="208"/>
        <v>341.35</v>
      </c>
      <c r="G207" s="580"/>
      <c r="H207" s="576">
        <f t="shared" si="210"/>
        <v>0</v>
      </c>
      <c r="I207" s="576"/>
      <c r="J207" s="576">
        <f t="shared" si="211"/>
        <v>0</v>
      </c>
      <c r="K207" s="576"/>
      <c r="L207" s="576">
        <f t="shared" si="212"/>
        <v>0</v>
      </c>
      <c r="M207" s="576"/>
      <c r="N207" s="576">
        <f t="shared" si="213"/>
        <v>0</v>
      </c>
      <c r="O207" s="576"/>
      <c r="P207" s="576">
        <f t="shared" si="214"/>
        <v>0</v>
      </c>
      <c r="Q207" s="576"/>
      <c r="R207" s="577">
        <f t="shared" si="215"/>
        <v>0</v>
      </c>
      <c r="S207" s="578"/>
      <c r="T207" s="576">
        <f t="shared" si="216"/>
        <v>0</v>
      </c>
      <c r="U207" s="576">
        <f t="shared" si="226"/>
        <v>1</v>
      </c>
      <c r="V207" s="576">
        <f t="shared" si="217"/>
        <v>341.35</v>
      </c>
      <c r="W207" s="576"/>
      <c r="X207" s="576">
        <f t="shared" si="218"/>
        <v>0</v>
      </c>
      <c r="Y207" s="576"/>
      <c r="Z207" s="576">
        <f t="shared" si="219"/>
        <v>0</v>
      </c>
      <c r="AA207" s="576"/>
      <c r="AB207" s="576">
        <f t="shared" si="220"/>
        <v>0</v>
      </c>
      <c r="AC207" s="576"/>
      <c r="AD207" s="579">
        <f t="shared" si="221"/>
        <v>0</v>
      </c>
      <c r="AE207" s="580">
        <f t="shared" si="222"/>
        <v>1</v>
      </c>
      <c r="AF207" s="576">
        <f t="shared" si="223"/>
        <v>341.35</v>
      </c>
      <c r="AG207" s="576">
        <f t="shared" si="224"/>
        <v>0</v>
      </c>
      <c r="AH207" s="579">
        <f t="shared" si="225"/>
        <v>0</v>
      </c>
      <c r="AK207" s="617">
        <f t="shared" si="227"/>
        <v>0</v>
      </c>
    </row>
    <row r="208" spans="1:37" ht="30">
      <c r="A208" s="570" t="s">
        <v>13964</v>
      </c>
      <c r="B208" s="571" t="str">
        <f>PLANILHA!D206</f>
        <v>REGISTRO DE GAVETA BRUTO, LATÃO, ROSCÁVEL, 2 1/2" - FORNECIMENTO E INSTALAÇÃO. AF_08/2021</v>
      </c>
      <c r="C208" s="572" t="str">
        <f>PLANILHA!E206</f>
        <v>UN</v>
      </c>
      <c r="D208" s="573">
        <f>PLANILHA!F206</f>
        <v>3</v>
      </c>
      <c r="E208" s="573">
        <f t="shared" si="209"/>
        <v>282.95999999999998</v>
      </c>
      <c r="F208" s="574">
        <f t="shared" si="208"/>
        <v>848.88</v>
      </c>
      <c r="G208" s="580"/>
      <c r="H208" s="576">
        <f t="shared" si="210"/>
        <v>0</v>
      </c>
      <c r="I208" s="576"/>
      <c r="J208" s="576">
        <f t="shared" si="211"/>
        <v>0</v>
      </c>
      <c r="K208" s="576"/>
      <c r="L208" s="576">
        <f t="shared" si="212"/>
        <v>0</v>
      </c>
      <c r="M208" s="576"/>
      <c r="N208" s="576">
        <f t="shared" si="213"/>
        <v>0</v>
      </c>
      <c r="O208" s="576"/>
      <c r="P208" s="576">
        <f t="shared" si="214"/>
        <v>0</v>
      </c>
      <c r="Q208" s="576"/>
      <c r="R208" s="577">
        <f t="shared" si="215"/>
        <v>0</v>
      </c>
      <c r="S208" s="578"/>
      <c r="T208" s="576">
        <f t="shared" si="216"/>
        <v>0</v>
      </c>
      <c r="U208" s="576">
        <f t="shared" si="226"/>
        <v>3</v>
      </c>
      <c r="V208" s="576">
        <f t="shared" si="217"/>
        <v>848.88</v>
      </c>
      <c r="W208" s="576"/>
      <c r="X208" s="576">
        <f t="shared" si="218"/>
        <v>0</v>
      </c>
      <c r="Y208" s="576"/>
      <c r="Z208" s="576">
        <f t="shared" si="219"/>
        <v>0</v>
      </c>
      <c r="AA208" s="576"/>
      <c r="AB208" s="576">
        <f t="shared" si="220"/>
        <v>0</v>
      </c>
      <c r="AC208" s="576"/>
      <c r="AD208" s="579">
        <f t="shared" si="221"/>
        <v>0</v>
      </c>
      <c r="AE208" s="580">
        <f t="shared" si="222"/>
        <v>3</v>
      </c>
      <c r="AF208" s="576">
        <f t="shared" si="223"/>
        <v>848.88</v>
      </c>
      <c r="AG208" s="576">
        <f t="shared" si="224"/>
        <v>0</v>
      </c>
      <c r="AH208" s="579">
        <f t="shared" si="225"/>
        <v>0</v>
      </c>
      <c r="AK208" s="617">
        <f t="shared" si="227"/>
        <v>0</v>
      </c>
    </row>
    <row r="209" spans="1:37" ht="30">
      <c r="A209" s="570" t="s">
        <v>13965</v>
      </c>
      <c r="B209" s="571" t="str">
        <f>PLANILHA!D207</f>
        <v>REGISTRO DE GAVETA 2.1/2" COM HASTE ASCENDENTE DE BRONZE, FORNECIMENTO E INSTALAÇÃO</v>
      </c>
      <c r="C209" s="572" t="str">
        <f>PLANILHA!E207</f>
        <v>UND</v>
      </c>
      <c r="D209" s="573">
        <f>PLANILHA!F207</f>
        <v>1</v>
      </c>
      <c r="E209" s="573">
        <f t="shared" si="209"/>
        <v>414.7</v>
      </c>
      <c r="F209" s="574">
        <f t="shared" si="208"/>
        <v>414.7</v>
      </c>
      <c r="G209" s="580"/>
      <c r="H209" s="576">
        <f t="shared" si="210"/>
        <v>0</v>
      </c>
      <c r="I209" s="576"/>
      <c r="J209" s="576">
        <f t="shared" si="211"/>
        <v>0</v>
      </c>
      <c r="K209" s="576"/>
      <c r="L209" s="576">
        <f t="shared" si="212"/>
        <v>0</v>
      </c>
      <c r="M209" s="576"/>
      <c r="N209" s="576">
        <f t="shared" si="213"/>
        <v>0</v>
      </c>
      <c r="O209" s="576"/>
      <c r="P209" s="576">
        <f t="shared" si="214"/>
        <v>0</v>
      </c>
      <c r="Q209" s="576"/>
      <c r="R209" s="577">
        <f t="shared" si="215"/>
        <v>0</v>
      </c>
      <c r="S209" s="578"/>
      <c r="T209" s="576">
        <f t="shared" si="216"/>
        <v>0</v>
      </c>
      <c r="U209" s="576">
        <f t="shared" si="226"/>
        <v>1</v>
      </c>
      <c r="V209" s="576">
        <f t="shared" si="217"/>
        <v>414.7</v>
      </c>
      <c r="W209" s="576"/>
      <c r="X209" s="576">
        <f t="shared" si="218"/>
        <v>0</v>
      </c>
      <c r="Y209" s="576"/>
      <c r="Z209" s="576">
        <f t="shared" si="219"/>
        <v>0</v>
      </c>
      <c r="AA209" s="576"/>
      <c r="AB209" s="576">
        <f t="shared" si="220"/>
        <v>0</v>
      </c>
      <c r="AC209" s="576"/>
      <c r="AD209" s="579">
        <f t="shared" si="221"/>
        <v>0</v>
      </c>
      <c r="AE209" s="580">
        <f t="shared" si="222"/>
        <v>1</v>
      </c>
      <c r="AF209" s="576">
        <f t="shared" si="223"/>
        <v>414.7</v>
      </c>
      <c r="AG209" s="576">
        <f t="shared" si="224"/>
        <v>0</v>
      </c>
      <c r="AH209" s="579">
        <f t="shared" si="225"/>
        <v>0</v>
      </c>
      <c r="AK209" s="617">
        <f t="shared" si="227"/>
        <v>0</v>
      </c>
    </row>
    <row r="210" spans="1:37" ht="30">
      <c r="A210" s="570" t="s">
        <v>13966</v>
      </c>
      <c r="B210" s="571" t="str">
        <f>PLANILHA!D208</f>
        <v>PINTURA ESMALTE EM TUBO GALVANIZADO, DUAS (2) DEMÃOS, INCLUSIVE UMA (1) DEMÃO DE FUNDO ANTICORROSIVO</v>
      </c>
      <c r="C210" s="572" t="str">
        <f>PLANILHA!E208</f>
        <v>M</v>
      </c>
      <c r="D210" s="573">
        <f>PLANILHA!F208</f>
        <v>15.9</v>
      </c>
      <c r="E210" s="573">
        <f t="shared" si="209"/>
        <v>23.02</v>
      </c>
      <c r="F210" s="574">
        <f t="shared" si="208"/>
        <v>366.01</v>
      </c>
      <c r="G210" s="580"/>
      <c r="H210" s="576">
        <f t="shared" si="210"/>
        <v>0</v>
      </c>
      <c r="I210" s="576"/>
      <c r="J210" s="576">
        <f t="shared" si="211"/>
        <v>0</v>
      </c>
      <c r="K210" s="576"/>
      <c r="L210" s="576">
        <f t="shared" si="212"/>
        <v>0</v>
      </c>
      <c r="M210" s="576"/>
      <c r="N210" s="576">
        <f t="shared" si="213"/>
        <v>0</v>
      </c>
      <c r="O210" s="576"/>
      <c r="P210" s="576">
        <f t="shared" si="214"/>
        <v>0</v>
      </c>
      <c r="Q210" s="576"/>
      <c r="R210" s="577">
        <f t="shared" si="215"/>
        <v>0</v>
      </c>
      <c r="S210" s="578"/>
      <c r="T210" s="576">
        <f t="shared" si="216"/>
        <v>0</v>
      </c>
      <c r="U210" s="576">
        <f t="shared" si="226"/>
        <v>15.9</v>
      </c>
      <c r="V210" s="576">
        <f t="shared" si="217"/>
        <v>366.01</v>
      </c>
      <c r="W210" s="576"/>
      <c r="X210" s="576">
        <f t="shared" si="218"/>
        <v>0</v>
      </c>
      <c r="Y210" s="576"/>
      <c r="Z210" s="576">
        <f t="shared" si="219"/>
        <v>0</v>
      </c>
      <c r="AA210" s="576"/>
      <c r="AB210" s="576">
        <f t="shared" si="220"/>
        <v>0</v>
      </c>
      <c r="AC210" s="576"/>
      <c r="AD210" s="579">
        <f t="shared" si="221"/>
        <v>0</v>
      </c>
      <c r="AE210" s="580">
        <f t="shared" si="222"/>
        <v>15.9</v>
      </c>
      <c r="AF210" s="576">
        <f t="shared" si="223"/>
        <v>366.01</v>
      </c>
      <c r="AG210" s="576">
        <f t="shared" si="224"/>
        <v>0</v>
      </c>
      <c r="AH210" s="579">
        <f t="shared" si="225"/>
        <v>0</v>
      </c>
      <c r="AK210" s="617">
        <f t="shared" si="227"/>
        <v>0</v>
      </c>
    </row>
    <row r="211" spans="1:37" ht="30">
      <c r="A211" s="570" t="s">
        <v>13967</v>
      </c>
      <c r="B211" s="571" t="str">
        <f>PLANILHA!D209</f>
        <v>REGISTRO OU VALVULA GLOBO ANGULAR EM LATAO, PARA HIDRANTES, FORNECIMENTO E INSTALAÇÃO</v>
      </c>
      <c r="C211" s="572" t="str">
        <f>PLANILHA!E209</f>
        <v>UND</v>
      </c>
      <c r="D211" s="573">
        <f>PLANILHA!F209</f>
        <v>4</v>
      </c>
      <c r="E211" s="573">
        <f t="shared" si="209"/>
        <v>235.33</v>
      </c>
      <c r="F211" s="574">
        <f t="shared" si="208"/>
        <v>941.32</v>
      </c>
      <c r="G211" s="580"/>
      <c r="H211" s="576">
        <f>G211*$E211</f>
        <v>0</v>
      </c>
      <c r="I211" s="576"/>
      <c r="J211" s="576">
        <f>I211*$E211</f>
        <v>0</v>
      </c>
      <c r="K211" s="576"/>
      <c r="L211" s="576">
        <f>K211*$E211</f>
        <v>0</v>
      </c>
      <c r="M211" s="576"/>
      <c r="N211" s="576">
        <f>M211*$E211</f>
        <v>0</v>
      </c>
      <c r="O211" s="576"/>
      <c r="P211" s="576">
        <f>O211*$E211</f>
        <v>0</v>
      </c>
      <c r="Q211" s="576"/>
      <c r="R211" s="577">
        <f>Q211*$E211</f>
        <v>0</v>
      </c>
      <c r="S211" s="578"/>
      <c r="T211" s="576">
        <f>S211*$E211</f>
        <v>0</v>
      </c>
      <c r="U211" s="576">
        <f t="shared" si="226"/>
        <v>4</v>
      </c>
      <c r="V211" s="576">
        <f t="shared" si="217"/>
        <v>941.32</v>
      </c>
      <c r="W211" s="576"/>
      <c r="X211" s="576">
        <f>W211*$E211</f>
        <v>0</v>
      </c>
      <c r="Y211" s="576"/>
      <c r="Z211" s="576">
        <f>Y211*$E211</f>
        <v>0</v>
      </c>
      <c r="AA211" s="576"/>
      <c r="AB211" s="576">
        <f>AA211*$E211</f>
        <v>0</v>
      </c>
      <c r="AC211" s="576"/>
      <c r="AD211" s="579">
        <f>AC211*$E211</f>
        <v>0</v>
      </c>
      <c r="AE211" s="580">
        <f t="shared" si="222"/>
        <v>4</v>
      </c>
      <c r="AF211" s="576">
        <f t="shared" si="223"/>
        <v>941.32</v>
      </c>
      <c r="AG211" s="576">
        <f t="shared" si="224"/>
        <v>0</v>
      </c>
      <c r="AH211" s="579">
        <f t="shared" si="225"/>
        <v>0</v>
      </c>
      <c r="AK211" s="617">
        <f t="shared" si="227"/>
        <v>0</v>
      </c>
    </row>
    <row r="212" spans="1:37" ht="30">
      <c r="A212" s="570" t="s">
        <v>13968</v>
      </c>
      <c r="B212" s="571" t="str">
        <f>PLANILHA!D210</f>
        <v>TAMPAO COM CORRENTE, EM LATAO, ENGATE RAPIDO 1 1/2", FORNECIMENTO E INSTALAÇÃO</v>
      </c>
      <c r="C212" s="572" t="str">
        <f>PLANILHA!E210</f>
        <v>UND</v>
      </c>
      <c r="D212" s="573">
        <f>PLANILHA!F210</f>
        <v>3</v>
      </c>
      <c r="E212" s="573">
        <f t="shared" si="209"/>
        <v>119.47</v>
      </c>
      <c r="F212" s="574">
        <f t="shared" si="208"/>
        <v>358.41</v>
      </c>
      <c r="G212" s="580"/>
      <c r="H212" s="576">
        <f>G212*$E212</f>
        <v>0</v>
      </c>
      <c r="I212" s="576"/>
      <c r="J212" s="576">
        <f>I212*$E212</f>
        <v>0</v>
      </c>
      <c r="K212" s="576"/>
      <c r="L212" s="576">
        <f>K212*$E212</f>
        <v>0</v>
      </c>
      <c r="M212" s="576"/>
      <c r="N212" s="576">
        <f>M212*$E212</f>
        <v>0</v>
      </c>
      <c r="O212" s="576"/>
      <c r="P212" s="576">
        <f>O212*$E212</f>
        <v>0</v>
      </c>
      <c r="Q212" s="576"/>
      <c r="R212" s="577">
        <f>Q212*$E212</f>
        <v>0</v>
      </c>
      <c r="S212" s="578"/>
      <c r="T212" s="576">
        <f>S212*$E212</f>
        <v>0</v>
      </c>
      <c r="U212" s="576">
        <f t="shared" si="226"/>
        <v>3</v>
      </c>
      <c r="V212" s="576">
        <f t="shared" si="217"/>
        <v>358.41</v>
      </c>
      <c r="W212" s="576"/>
      <c r="X212" s="576">
        <f>W212*$E212</f>
        <v>0</v>
      </c>
      <c r="Y212" s="576"/>
      <c r="Z212" s="576">
        <f>Y212*$E212</f>
        <v>0</v>
      </c>
      <c r="AA212" s="576"/>
      <c r="AB212" s="576">
        <f>AA212*$E212</f>
        <v>0</v>
      </c>
      <c r="AC212" s="576"/>
      <c r="AD212" s="579">
        <f>AC212*$E212</f>
        <v>0</v>
      </c>
      <c r="AE212" s="580">
        <f>AC212+AA212+Y212+W212+U212+S212+Q212+O212+M212+K212+I212+G212</f>
        <v>3</v>
      </c>
      <c r="AF212" s="576">
        <f t="shared" si="223"/>
        <v>358.41</v>
      </c>
      <c r="AG212" s="576">
        <f>D212-AE212</f>
        <v>0</v>
      </c>
      <c r="AH212" s="579">
        <f>AG212*E212</f>
        <v>0</v>
      </c>
      <c r="AK212" s="617">
        <f t="shared" si="227"/>
        <v>0</v>
      </c>
    </row>
    <row r="213" spans="1:37" ht="30">
      <c r="A213" s="570" t="s">
        <v>13969</v>
      </c>
      <c r="B213" s="571" t="str">
        <f>PLANILHA!D211</f>
        <v>REDUÇÃO GIRATORIA TIPO STORZ - BRONZE OU LATÃO.  FORNECIMENTO E INSTALAÇÃO.</v>
      </c>
      <c r="C213" s="572" t="str">
        <f>PLANILHA!E211</f>
        <v>UND</v>
      </c>
      <c r="D213" s="573">
        <f>PLANILHA!F211</f>
        <v>3</v>
      </c>
      <c r="E213" s="573">
        <f t="shared" si="209"/>
        <v>159.22999999999999</v>
      </c>
      <c r="F213" s="574">
        <f t="shared" si="208"/>
        <v>477.69</v>
      </c>
      <c r="G213" s="580"/>
      <c r="H213" s="576">
        <f>G213*$E213</f>
        <v>0</v>
      </c>
      <c r="I213" s="576"/>
      <c r="J213" s="576">
        <f>I213*$E213</f>
        <v>0</v>
      </c>
      <c r="K213" s="576"/>
      <c r="L213" s="576">
        <f>K213*$E213</f>
        <v>0</v>
      </c>
      <c r="M213" s="576"/>
      <c r="N213" s="576">
        <f>M213*$E213</f>
        <v>0</v>
      </c>
      <c r="O213" s="576"/>
      <c r="P213" s="576">
        <f>O213*$E213</f>
        <v>0</v>
      </c>
      <c r="Q213" s="576"/>
      <c r="R213" s="577">
        <f>Q213*$E213</f>
        <v>0</v>
      </c>
      <c r="S213" s="578"/>
      <c r="T213" s="576">
        <f>S213*$E213</f>
        <v>0</v>
      </c>
      <c r="U213" s="576">
        <f t="shared" si="226"/>
        <v>3</v>
      </c>
      <c r="V213" s="576">
        <f t="shared" si="217"/>
        <v>477.69</v>
      </c>
      <c r="W213" s="576"/>
      <c r="X213" s="576">
        <f>W213*$E213</f>
        <v>0</v>
      </c>
      <c r="Y213" s="576"/>
      <c r="Z213" s="576">
        <f>Y213*$E213</f>
        <v>0</v>
      </c>
      <c r="AA213" s="576"/>
      <c r="AB213" s="576">
        <f>AA213*$E213</f>
        <v>0</v>
      </c>
      <c r="AC213" s="576"/>
      <c r="AD213" s="579">
        <f>AC213*$E213</f>
        <v>0</v>
      </c>
      <c r="AE213" s="580">
        <f>AC213+AA213+Y213+W213+U213+S213+Q213+O213+M213+K213+I213+G213</f>
        <v>3</v>
      </c>
      <c r="AF213" s="576">
        <f t="shared" si="223"/>
        <v>477.69</v>
      </c>
      <c r="AG213" s="576">
        <f>D213-AE213</f>
        <v>0</v>
      </c>
      <c r="AH213" s="579">
        <f>AG213*E213</f>
        <v>0</v>
      </c>
      <c r="AK213" s="617">
        <f t="shared" si="227"/>
        <v>0</v>
      </c>
    </row>
    <row r="214" spans="1:37" ht="30">
      <c r="A214" s="570" t="s">
        <v>13970</v>
      </c>
      <c r="B214" s="571" t="str">
        <f>PLANILHA!D212</f>
        <v>TAMPAO COM CORRENTE, EM LATAO, ENGATE RAPIDO 2 1/2", FORNECIMENTO E INSTALAÇÃO</v>
      </c>
      <c r="C214" s="572" t="str">
        <f>PLANILHA!E212</f>
        <v>UND</v>
      </c>
      <c r="D214" s="573">
        <f>PLANILHA!F212</f>
        <v>1</v>
      </c>
      <c r="E214" s="573">
        <f t="shared" si="209"/>
        <v>144.82</v>
      </c>
      <c r="F214" s="574">
        <f t="shared" si="208"/>
        <v>144.82</v>
      </c>
      <c r="G214" s="580"/>
      <c r="H214" s="576">
        <f>G214*$E214</f>
        <v>0</v>
      </c>
      <c r="I214" s="576"/>
      <c r="J214" s="576">
        <f>I214*$E214</f>
        <v>0</v>
      </c>
      <c r="K214" s="576"/>
      <c r="L214" s="576">
        <f>K214*$E214</f>
        <v>0</v>
      </c>
      <c r="M214" s="576"/>
      <c r="N214" s="576">
        <f>M214*$E214</f>
        <v>0</v>
      </c>
      <c r="O214" s="576"/>
      <c r="P214" s="576">
        <f>O214*$E214</f>
        <v>0</v>
      </c>
      <c r="Q214" s="576"/>
      <c r="R214" s="577">
        <f>Q214*$E214</f>
        <v>0</v>
      </c>
      <c r="S214" s="578"/>
      <c r="T214" s="576">
        <f>S214*$E214</f>
        <v>0</v>
      </c>
      <c r="U214" s="576">
        <f t="shared" si="226"/>
        <v>1</v>
      </c>
      <c r="V214" s="576">
        <f t="shared" si="217"/>
        <v>144.82</v>
      </c>
      <c r="W214" s="576"/>
      <c r="X214" s="576">
        <f>W214*$E214</f>
        <v>0</v>
      </c>
      <c r="Y214" s="576"/>
      <c r="Z214" s="576">
        <f>Y214*$E214</f>
        <v>0</v>
      </c>
      <c r="AA214" s="576"/>
      <c r="AB214" s="576">
        <f>AA214*$E214</f>
        <v>0</v>
      </c>
      <c r="AC214" s="576"/>
      <c r="AD214" s="579">
        <f>AC214*$E214</f>
        <v>0</v>
      </c>
      <c r="AE214" s="580">
        <f>AC214+AA214+Y214+W214+U214+S214+Q214+O214+M214+K214+I214+G214</f>
        <v>1</v>
      </c>
      <c r="AF214" s="576">
        <f t="shared" si="223"/>
        <v>144.82</v>
      </c>
      <c r="AG214" s="576">
        <f>D214-AE214</f>
        <v>0</v>
      </c>
      <c r="AH214" s="579">
        <f>AG214*E214</f>
        <v>0</v>
      </c>
      <c r="AK214" s="617">
        <f t="shared" si="227"/>
        <v>0</v>
      </c>
    </row>
    <row r="215" spans="1:37" s="569" customFormat="1">
      <c r="A215" s="581" t="s">
        <v>27224</v>
      </c>
      <c r="B215" s="582"/>
      <c r="C215" s="583"/>
      <c r="D215" s="584"/>
      <c r="E215" s="584"/>
      <c r="F215" s="585">
        <f t="shared" si="208"/>
        <v>21529.809999999998</v>
      </c>
      <c r="G215" s="586"/>
      <c r="H215" s="584">
        <f>SUM(H201:H214)</f>
        <v>0</v>
      </c>
      <c r="I215" s="584"/>
      <c r="J215" s="584">
        <f>SUM(J201:J214)</f>
        <v>0</v>
      </c>
      <c r="K215" s="584"/>
      <c r="L215" s="584">
        <f>SUM(L201:L214)</f>
        <v>0</v>
      </c>
      <c r="M215" s="584"/>
      <c r="N215" s="584">
        <f>SUM(N201:N214)</f>
        <v>0</v>
      </c>
      <c r="O215" s="584"/>
      <c r="P215" s="584">
        <f>SUM(P201:P214)</f>
        <v>0</v>
      </c>
      <c r="Q215" s="584"/>
      <c r="R215" s="587">
        <f>SUM(R201:R214)</f>
        <v>0</v>
      </c>
      <c r="S215" s="588"/>
      <c r="T215" s="584">
        <f>SUM(T201:T214)</f>
        <v>0</v>
      </c>
      <c r="U215" s="584"/>
      <c r="V215" s="584">
        <f>SUM(V201:V214)</f>
        <v>21529.809999999998</v>
      </c>
      <c r="W215" s="584"/>
      <c r="X215" s="584">
        <f>SUM(X201:X214)</f>
        <v>0</v>
      </c>
      <c r="Y215" s="584"/>
      <c r="Z215" s="584">
        <f>SUM(Z201:Z214)</f>
        <v>0</v>
      </c>
      <c r="AA215" s="584"/>
      <c r="AB215" s="584">
        <f>SUM(AB201:AB214)</f>
        <v>0</v>
      </c>
      <c r="AC215" s="584"/>
      <c r="AD215" s="585">
        <f>SUM(AD201:AD214)</f>
        <v>0</v>
      </c>
      <c r="AE215" s="590"/>
      <c r="AF215" s="584">
        <f>SUM(AF201:AF214)</f>
        <v>21529.809999999998</v>
      </c>
      <c r="AG215" s="591"/>
      <c r="AH215" s="585">
        <f>SUM(AH201:AH214)</f>
        <v>0</v>
      </c>
      <c r="AI215" s="568"/>
      <c r="AK215" s="617">
        <f t="shared" si="227"/>
        <v>0</v>
      </c>
    </row>
    <row r="216" spans="1:37">
      <c r="A216" s="570"/>
      <c r="B216" s="571"/>
      <c r="C216" s="572"/>
      <c r="D216" s="573"/>
      <c r="E216" s="573"/>
      <c r="F216" s="574"/>
      <c r="G216" s="580"/>
      <c r="H216" s="576"/>
      <c r="I216" s="576"/>
      <c r="J216" s="576"/>
      <c r="K216" s="576"/>
      <c r="L216" s="576"/>
      <c r="M216" s="576"/>
      <c r="N216" s="576"/>
      <c r="O216" s="576"/>
      <c r="P216" s="576"/>
      <c r="Q216" s="576"/>
      <c r="R216" s="577"/>
      <c r="S216" s="578"/>
      <c r="T216" s="576"/>
      <c r="U216" s="576"/>
      <c r="V216" s="576"/>
      <c r="W216" s="576"/>
      <c r="X216" s="576"/>
      <c r="Y216" s="576"/>
      <c r="Z216" s="576"/>
      <c r="AA216" s="576"/>
      <c r="AB216" s="576"/>
      <c r="AC216" s="576"/>
      <c r="AD216" s="579"/>
      <c r="AE216" s="580"/>
      <c r="AF216" s="576"/>
      <c r="AG216" s="576"/>
      <c r="AH216" s="579"/>
      <c r="AK216" s="617">
        <f t="shared" si="227"/>
        <v>0</v>
      </c>
    </row>
    <row r="217" spans="1:37" s="569" customFormat="1">
      <c r="A217" s="592" t="s">
        <v>13971</v>
      </c>
      <c r="B217" s="593" t="str">
        <f>PLANILHA!D215</f>
        <v>ILUMINAÇÃO SINALIZAÇÃO</v>
      </c>
      <c r="C217" s="594"/>
      <c r="D217" s="589"/>
      <c r="E217" s="589"/>
      <c r="F217" s="595">
        <f t="shared" ref="F217:F229" si="228">VLOOKUP(A217,PLANILHA,$G$6,0)</f>
        <v>0</v>
      </c>
      <c r="G217" s="596"/>
      <c r="H217" s="597"/>
      <c r="I217" s="597"/>
      <c r="J217" s="597"/>
      <c r="K217" s="597"/>
      <c r="L217" s="597"/>
      <c r="M217" s="597"/>
      <c r="N217" s="597"/>
      <c r="O217" s="597"/>
      <c r="P217" s="597"/>
      <c r="Q217" s="597"/>
      <c r="R217" s="598"/>
      <c r="S217" s="599"/>
      <c r="T217" s="597"/>
      <c r="U217" s="597"/>
      <c r="V217" s="597"/>
      <c r="W217" s="597"/>
      <c r="X217" s="597"/>
      <c r="Y217" s="597"/>
      <c r="Z217" s="597"/>
      <c r="AA217" s="597"/>
      <c r="AB217" s="597"/>
      <c r="AC217" s="597"/>
      <c r="AD217" s="600"/>
      <c r="AE217" s="596"/>
      <c r="AF217" s="597"/>
      <c r="AG217" s="597"/>
      <c r="AH217" s="600"/>
      <c r="AI217" s="568"/>
      <c r="AK217" s="617">
        <f t="shared" si="227"/>
        <v>0</v>
      </c>
    </row>
    <row r="218" spans="1:37" ht="30">
      <c r="A218" s="570" t="s">
        <v>13972</v>
      </c>
      <c r="B218" s="571" t="str">
        <f>PLANILHA!D216</f>
        <v>PLACA FOTOLUMINESCENTE "E1" - (ALARME SONORO).  FORNECIMENTO E INSTALAÇÃO.</v>
      </c>
      <c r="C218" s="572" t="str">
        <f>PLANILHA!E216</f>
        <v>UND</v>
      </c>
      <c r="D218" s="573">
        <f>PLANILHA!F216</f>
        <v>1</v>
      </c>
      <c r="E218" s="573">
        <f t="shared" ref="E218:E228" si="229">VLOOKUP(A218,PLANILHA,$G$7,0)</f>
        <v>25.67</v>
      </c>
      <c r="F218" s="574">
        <f t="shared" si="228"/>
        <v>25.67</v>
      </c>
      <c r="G218" s="580"/>
      <c r="H218" s="576">
        <f t="shared" ref="H218:H228" si="230">G218*$E218</f>
        <v>0</v>
      </c>
      <c r="I218" s="576"/>
      <c r="J218" s="576">
        <f t="shared" ref="J218:J228" si="231">I218*$E218</f>
        <v>0</v>
      </c>
      <c r="K218" s="576"/>
      <c r="L218" s="576">
        <f t="shared" ref="L218:L228" si="232">K218*$E218</f>
        <v>0</v>
      </c>
      <c r="M218" s="576"/>
      <c r="N218" s="576">
        <f t="shared" ref="N218:N228" si="233">M218*$E218</f>
        <v>0</v>
      </c>
      <c r="O218" s="576"/>
      <c r="P218" s="576">
        <f t="shared" ref="P218:P228" si="234">O218*$E218</f>
        <v>0</v>
      </c>
      <c r="Q218" s="576"/>
      <c r="R218" s="577">
        <f t="shared" ref="R218:R228" si="235">Q218*$E218</f>
        <v>0</v>
      </c>
      <c r="S218" s="578"/>
      <c r="T218" s="576">
        <f t="shared" ref="T218:T228" si="236">S218*$E218</f>
        <v>0</v>
      </c>
      <c r="U218" s="576"/>
      <c r="V218" s="576">
        <f t="shared" ref="V218:V228" si="237">U218*$E218</f>
        <v>0</v>
      </c>
      <c r="W218" s="576"/>
      <c r="X218" s="576">
        <f t="shared" ref="X218:X228" si="238">W218*$E218</f>
        <v>0</v>
      </c>
      <c r="Y218" s="576"/>
      <c r="Z218" s="576">
        <f t="shared" ref="Z218:Z228" si="239">Y218*$E218</f>
        <v>0</v>
      </c>
      <c r="AA218" s="576"/>
      <c r="AB218" s="576">
        <f t="shared" ref="AB218:AB228" si="240">AA218*$E218</f>
        <v>0</v>
      </c>
      <c r="AC218" s="576">
        <f>D218</f>
        <v>1</v>
      </c>
      <c r="AD218" s="579">
        <f>TRUNC(AC218*$E218,2)</f>
        <v>25.67</v>
      </c>
      <c r="AE218" s="580">
        <f t="shared" ref="AE218:AE228" si="241">AC218+AA218+Y218+W218+U218+S218+Q218+O218+M218+K218+I218+G218</f>
        <v>1</v>
      </c>
      <c r="AF218" s="576">
        <f t="shared" ref="AF218:AF228" si="242">TRUNC(AE218*E218,2)</f>
        <v>25.67</v>
      </c>
      <c r="AG218" s="576">
        <f t="shared" ref="AG218:AG228" si="243">D218-AE218</f>
        <v>0</v>
      </c>
      <c r="AH218" s="579">
        <f t="shared" ref="AH218:AH228" si="244">AG218*E218</f>
        <v>0</v>
      </c>
      <c r="AK218" s="617">
        <f t="shared" si="227"/>
        <v>0</v>
      </c>
    </row>
    <row r="219" spans="1:37" ht="30">
      <c r="A219" s="570" t="s">
        <v>13973</v>
      </c>
      <c r="B219" s="571" t="str">
        <f>PLANILHA!D217</f>
        <v>PLACA FOTOLUMINESCENTE "E2" - (ALARME INCÊNDIO).  FORNECIMENTO E INSTALAÇÃO.</v>
      </c>
      <c r="C219" s="572" t="str">
        <f>PLANILHA!E217</f>
        <v>UND</v>
      </c>
      <c r="D219" s="573">
        <f>PLANILHA!F217</f>
        <v>3</v>
      </c>
      <c r="E219" s="573">
        <f t="shared" si="229"/>
        <v>26.09</v>
      </c>
      <c r="F219" s="574">
        <f t="shared" si="228"/>
        <v>78.27</v>
      </c>
      <c r="G219" s="580"/>
      <c r="H219" s="576">
        <f t="shared" si="230"/>
        <v>0</v>
      </c>
      <c r="I219" s="576"/>
      <c r="J219" s="576">
        <f t="shared" si="231"/>
        <v>0</v>
      </c>
      <c r="K219" s="576"/>
      <c r="L219" s="576">
        <f t="shared" si="232"/>
        <v>0</v>
      </c>
      <c r="M219" s="576"/>
      <c r="N219" s="576">
        <f t="shared" si="233"/>
        <v>0</v>
      </c>
      <c r="O219" s="576"/>
      <c r="P219" s="576">
        <f t="shared" si="234"/>
        <v>0</v>
      </c>
      <c r="Q219" s="576"/>
      <c r="R219" s="577">
        <f t="shared" si="235"/>
        <v>0</v>
      </c>
      <c r="S219" s="578"/>
      <c r="T219" s="576">
        <f t="shared" si="236"/>
        <v>0</v>
      </c>
      <c r="U219" s="576"/>
      <c r="V219" s="576">
        <f t="shared" si="237"/>
        <v>0</v>
      </c>
      <c r="W219" s="576"/>
      <c r="X219" s="576">
        <f t="shared" si="238"/>
        <v>0</v>
      </c>
      <c r="Y219" s="576"/>
      <c r="Z219" s="576">
        <f t="shared" si="239"/>
        <v>0</v>
      </c>
      <c r="AA219" s="576"/>
      <c r="AB219" s="576">
        <f t="shared" si="240"/>
        <v>0</v>
      </c>
      <c r="AC219" s="576">
        <f t="shared" ref="AC219:AC228" si="245">D219</f>
        <v>3</v>
      </c>
      <c r="AD219" s="579">
        <f t="shared" ref="AD219:AD228" si="246">TRUNC(AC219*$E219,2)</f>
        <v>78.27</v>
      </c>
      <c r="AE219" s="580">
        <f t="shared" si="241"/>
        <v>3</v>
      </c>
      <c r="AF219" s="576">
        <f t="shared" si="242"/>
        <v>78.27</v>
      </c>
      <c r="AG219" s="576">
        <f t="shared" si="243"/>
        <v>0</v>
      </c>
      <c r="AH219" s="579">
        <f t="shared" si="244"/>
        <v>0</v>
      </c>
      <c r="AK219" s="617">
        <f t="shared" si="227"/>
        <v>0</v>
      </c>
    </row>
    <row r="220" spans="1:37" ht="30">
      <c r="A220" s="570" t="s">
        <v>13974</v>
      </c>
      <c r="B220" s="571" t="str">
        <f>PLANILHA!D218</f>
        <v>PLACA FOTOLUMINESCENTE "E3" - (BOMBA DE INCÊNDIO).  FORNECIMENTO E INSTALAÇÃO.</v>
      </c>
      <c r="C220" s="572" t="str">
        <f>PLANILHA!E218</f>
        <v>UND</v>
      </c>
      <c r="D220" s="573">
        <f>PLANILHA!F218</f>
        <v>3</v>
      </c>
      <c r="E220" s="573">
        <f t="shared" si="229"/>
        <v>22.58</v>
      </c>
      <c r="F220" s="574">
        <f t="shared" si="228"/>
        <v>67.739999999999995</v>
      </c>
      <c r="G220" s="580"/>
      <c r="H220" s="576">
        <f t="shared" si="230"/>
        <v>0</v>
      </c>
      <c r="I220" s="576"/>
      <c r="J220" s="576">
        <f t="shared" si="231"/>
        <v>0</v>
      </c>
      <c r="K220" s="576"/>
      <c r="L220" s="576">
        <f t="shared" si="232"/>
        <v>0</v>
      </c>
      <c r="M220" s="576"/>
      <c r="N220" s="576">
        <f t="shared" si="233"/>
        <v>0</v>
      </c>
      <c r="O220" s="576"/>
      <c r="P220" s="576">
        <f t="shared" si="234"/>
        <v>0</v>
      </c>
      <c r="Q220" s="576"/>
      <c r="R220" s="577">
        <f t="shared" si="235"/>
        <v>0</v>
      </c>
      <c r="S220" s="578"/>
      <c r="T220" s="576">
        <f t="shared" si="236"/>
        <v>0</v>
      </c>
      <c r="U220" s="576"/>
      <c r="V220" s="576">
        <f t="shared" si="237"/>
        <v>0</v>
      </c>
      <c r="W220" s="576"/>
      <c r="X220" s="576">
        <f t="shared" si="238"/>
        <v>0</v>
      </c>
      <c r="Y220" s="576"/>
      <c r="Z220" s="576">
        <f t="shared" si="239"/>
        <v>0</v>
      </c>
      <c r="AA220" s="576"/>
      <c r="AB220" s="576">
        <f t="shared" si="240"/>
        <v>0</v>
      </c>
      <c r="AC220" s="576">
        <f t="shared" si="245"/>
        <v>3</v>
      </c>
      <c r="AD220" s="579">
        <f t="shared" si="246"/>
        <v>67.739999999999995</v>
      </c>
      <c r="AE220" s="580">
        <f t="shared" si="241"/>
        <v>3</v>
      </c>
      <c r="AF220" s="576">
        <f t="shared" si="242"/>
        <v>67.739999999999995</v>
      </c>
      <c r="AG220" s="576">
        <f t="shared" si="243"/>
        <v>0</v>
      </c>
      <c r="AH220" s="579">
        <f t="shared" si="244"/>
        <v>0</v>
      </c>
      <c r="AK220" s="617">
        <f t="shared" si="227"/>
        <v>0</v>
      </c>
    </row>
    <row r="221" spans="1:37" ht="30">
      <c r="A221" s="570" t="s">
        <v>13975</v>
      </c>
      <c r="B221" s="571" t="str">
        <f>PLANILHA!D219</f>
        <v>PLACA FOTOLUMINESCENTE "E8"- ABRIGO DE MANGUEIRA E HIDRANTE- 300 X 300.  FORNECIMENTO E INSTALAÇÃO.</v>
      </c>
      <c r="C221" s="572" t="str">
        <f>PLANILHA!E219</f>
        <v>UND</v>
      </c>
      <c r="D221" s="573">
        <f>PLANILHA!F219</f>
        <v>3</v>
      </c>
      <c r="E221" s="573">
        <f t="shared" si="229"/>
        <v>25.67</v>
      </c>
      <c r="F221" s="574">
        <f t="shared" si="228"/>
        <v>77.010000000000005</v>
      </c>
      <c r="G221" s="580"/>
      <c r="H221" s="576">
        <f t="shared" si="230"/>
        <v>0</v>
      </c>
      <c r="I221" s="576"/>
      <c r="J221" s="576">
        <f t="shared" si="231"/>
        <v>0</v>
      </c>
      <c r="K221" s="576"/>
      <c r="L221" s="576">
        <f t="shared" si="232"/>
        <v>0</v>
      </c>
      <c r="M221" s="576"/>
      <c r="N221" s="576">
        <f t="shared" si="233"/>
        <v>0</v>
      </c>
      <c r="O221" s="576"/>
      <c r="P221" s="576">
        <f t="shared" si="234"/>
        <v>0</v>
      </c>
      <c r="Q221" s="576"/>
      <c r="R221" s="577">
        <f t="shared" si="235"/>
        <v>0</v>
      </c>
      <c r="S221" s="578"/>
      <c r="T221" s="576">
        <f t="shared" si="236"/>
        <v>0</v>
      </c>
      <c r="U221" s="576"/>
      <c r="V221" s="576">
        <f t="shared" si="237"/>
        <v>0</v>
      </c>
      <c r="W221" s="576"/>
      <c r="X221" s="576">
        <f t="shared" si="238"/>
        <v>0</v>
      </c>
      <c r="Y221" s="576"/>
      <c r="Z221" s="576">
        <f t="shared" si="239"/>
        <v>0</v>
      </c>
      <c r="AA221" s="576"/>
      <c r="AB221" s="576">
        <f t="shared" si="240"/>
        <v>0</v>
      </c>
      <c r="AC221" s="576">
        <f t="shared" si="245"/>
        <v>3</v>
      </c>
      <c r="AD221" s="579">
        <f t="shared" si="246"/>
        <v>77.010000000000005</v>
      </c>
      <c r="AE221" s="580">
        <f t="shared" si="241"/>
        <v>3</v>
      </c>
      <c r="AF221" s="576">
        <f t="shared" si="242"/>
        <v>77.010000000000005</v>
      </c>
      <c r="AG221" s="576">
        <f t="shared" si="243"/>
        <v>0</v>
      </c>
      <c r="AH221" s="579">
        <f t="shared" si="244"/>
        <v>0</v>
      </c>
      <c r="AK221" s="617">
        <f t="shared" si="227"/>
        <v>0</v>
      </c>
    </row>
    <row r="222" spans="1:37" ht="30">
      <c r="A222" s="570" t="s">
        <v>13976</v>
      </c>
      <c r="B222" s="571" t="str">
        <f>PLANILHA!D220</f>
        <v>PLACA FOTOLUMINESCENTE "S1" OU "S2"- 380 X 190 MM (SAÍDA - DIREITA).  FORNECIMENTO E INSTALAÇÃO.</v>
      </c>
      <c r="C222" s="572" t="str">
        <f>PLANILHA!E220</f>
        <v>UND</v>
      </c>
      <c r="D222" s="573">
        <f>PLANILHA!F220</f>
        <v>1</v>
      </c>
      <c r="E222" s="573">
        <f t="shared" si="229"/>
        <v>24.99</v>
      </c>
      <c r="F222" s="574">
        <f t="shared" si="228"/>
        <v>24.99</v>
      </c>
      <c r="G222" s="580"/>
      <c r="H222" s="576">
        <f t="shared" si="230"/>
        <v>0</v>
      </c>
      <c r="I222" s="576"/>
      <c r="J222" s="576">
        <f t="shared" si="231"/>
        <v>0</v>
      </c>
      <c r="K222" s="576"/>
      <c r="L222" s="576">
        <f t="shared" si="232"/>
        <v>0</v>
      </c>
      <c r="M222" s="576"/>
      <c r="N222" s="576">
        <f t="shared" si="233"/>
        <v>0</v>
      </c>
      <c r="O222" s="576"/>
      <c r="P222" s="576">
        <f t="shared" si="234"/>
        <v>0</v>
      </c>
      <c r="Q222" s="576"/>
      <c r="R222" s="577">
        <f t="shared" si="235"/>
        <v>0</v>
      </c>
      <c r="S222" s="578"/>
      <c r="T222" s="576">
        <f t="shared" si="236"/>
        <v>0</v>
      </c>
      <c r="U222" s="576"/>
      <c r="V222" s="576">
        <f t="shared" si="237"/>
        <v>0</v>
      </c>
      <c r="W222" s="576"/>
      <c r="X222" s="576">
        <f t="shared" si="238"/>
        <v>0</v>
      </c>
      <c r="Y222" s="576"/>
      <c r="Z222" s="576">
        <f t="shared" si="239"/>
        <v>0</v>
      </c>
      <c r="AA222" s="576"/>
      <c r="AB222" s="576">
        <f t="shared" si="240"/>
        <v>0</v>
      </c>
      <c r="AC222" s="576">
        <f t="shared" si="245"/>
        <v>1</v>
      </c>
      <c r="AD222" s="579">
        <f t="shared" si="246"/>
        <v>24.99</v>
      </c>
      <c r="AE222" s="580">
        <f t="shared" si="241"/>
        <v>1</v>
      </c>
      <c r="AF222" s="576">
        <f t="shared" si="242"/>
        <v>24.99</v>
      </c>
      <c r="AG222" s="576">
        <f t="shared" si="243"/>
        <v>0</v>
      </c>
      <c r="AH222" s="579">
        <f t="shared" si="244"/>
        <v>0</v>
      </c>
      <c r="AK222" s="617">
        <f t="shared" si="227"/>
        <v>0</v>
      </c>
    </row>
    <row r="223" spans="1:37" ht="30">
      <c r="A223" s="570" t="s">
        <v>13977</v>
      </c>
      <c r="B223" s="571" t="str">
        <f>PLANILHA!D221</f>
        <v>PLACA FOTOLUMINESCENTE "S1" OU "S2"- 380 X 190 MM (SAÍDA - ESQUERDA).  FORNECIMENTO E INSTALAÇÃO.</v>
      </c>
      <c r="C223" s="572" t="str">
        <f>PLANILHA!E221</f>
        <v>UND</v>
      </c>
      <c r="D223" s="573">
        <f>PLANILHA!F221</f>
        <v>2</v>
      </c>
      <c r="E223" s="573">
        <f t="shared" si="229"/>
        <v>24.99</v>
      </c>
      <c r="F223" s="574">
        <f t="shared" si="228"/>
        <v>49.98</v>
      </c>
      <c r="G223" s="580"/>
      <c r="H223" s="576">
        <f t="shared" si="230"/>
        <v>0</v>
      </c>
      <c r="I223" s="576"/>
      <c r="J223" s="576">
        <f t="shared" si="231"/>
        <v>0</v>
      </c>
      <c r="K223" s="576"/>
      <c r="L223" s="576">
        <f t="shared" si="232"/>
        <v>0</v>
      </c>
      <c r="M223" s="576"/>
      <c r="N223" s="576">
        <f t="shared" si="233"/>
        <v>0</v>
      </c>
      <c r="O223" s="576"/>
      <c r="P223" s="576">
        <f t="shared" si="234"/>
        <v>0</v>
      </c>
      <c r="Q223" s="576"/>
      <c r="R223" s="577">
        <f t="shared" si="235"/>
        <v>0</v>
      </c>
      <c r="S223" s="578"/>
      <c r="T223" s="576">
        <f t="shared" si="236"/>
        <v>0</v>
      </c>
      <c r="U223" s="576"/>
      <c r="V223" s="576">
        <f t="shared" si="237"/>
        <v>0</v>
      </c>
      <c r="W223" s="576"/>
      <c r="X223" s="576">
        <f t="shared" si="238"/>
        <v>0</v>
      </c>
      <c r="Y223" s="576"/>
      <c r="Z223" s="576">
        <f t="shared" si="239"/>
        <v>0</v>
      </c>
      <c r="AA223" s="576"/>
      <c r="AB223" s="576">
        <f t="shared" si="240"/>
        <v>0</v>
      </c>
      <c r="AC223" s="576">
        <f t="shared" si="245"/>
        <v>2</v>
      </c>
      <c r="AD223" s="579">
        <f t="shared" si="246"/>
        <v>49.98</v>
      </c>
      <c r="AE223" s="580">
        <f t="shared" si="241"/>
        <v>2</v>
      </c>
      <c r="AF223" s="576">
        <f t="shared" si="242"/>
        <v>49.98</v>
      </c>
      <c r="AG223" s="576">
        <f t="shared" si="243"/>
        <v>0</v>
      </c>
      <c r="AH223" s="579">
        <f t="shared" si="244"/>
        <v>0</v>
      </c>
      <c r="AK223" s="617">
        <f t="shared" si="227"/>
        <v>0</v>
      </c>
    </row>
    <row r="224" spans="1:37" ht="30">
      <c r="A224" s="570" t="s">
        <v>13978</v>
      </c>
      <c r="B224" s="571" t="str">
        <f>PLANILHA!D222</f>
        <v>PLACA FOTOLUMINESCENTE "S3"- 316X 158 MM (SAÍDA EMERGÊNCIA).  FORNECIMENTO E INSTALAÇÃO.</v>
      </c>
      <c r="C224" s="572" t="str">
        <f>PLANILHA!E222</f>
        <v>UND</v>
      </c>
      <c r="D224" s="573">
        <f>PLANILHA!F222</f>
        <v>19</v>
      </c>
      <c r="E224" s="573">
        <f t="shared" si="229"/>
        <v>29.38</v>
      </c>
      <c r="F224" s="574">
        <f t="shared" si="228"/>
        <v>558.22</v>
      </c>
      <c r="G224" s="580"/>
      <c r="H224" s="576">
        <f t="shared" si="230"/>
        <v>0</v>
      </c>
      <c r="I224" s="576"/>
      <c r="J224" s="576">
        <f t="shared" si="231"/>
        <v>0</v>
      </c>
      <c r="K224" s="576"/>
      <c r="L224" s="576">
        <f t="shared" si="232"/>
        <v>0</v>
      </c>
      <c r="M224" s="576"/>
      <c r="N224" s="576">
        <f t="shared" si="233"/>
        <v>0</v>
      </c>
      <c r="O224" s="576"/>
      <c r="P224" s="576">
        <f t="shared" si="234"/>
        <v>0</v>
      </c>
      <c r="Q224" s="576"/>
      <c r="R224" s="577">
        <f t="shared" si="235"/>
        <v>0</v>
      </c>
      <c r="S224" s="578"/>
      <c r="T224" s="576">
        <f t="shared" si="236"/>
        <v>0</v>
      </c>
      <c r="U224" s="576"/>
      <c r="V224" s="576">
        <f t="shared" si="237"/>
        <v>0</v>
      </c>
      <c r="W224" s="576"/>
      <c r="X224" s="576">
        <f t="shared" si="238"/>
        <v>0</v>
      </c>
      <c r="Y224" s="576"/>
      <c r="Z224" s="576">
        <f t="shared" si="239"/>
        <v>0</v>
      </c>
      <c r="AA224" s="576"/>
      <c r="AB224" s="576">
        <f t="shared" si="240"/>
        <v>0</v>
      </c>
      <c r="AC224" s="576">
        <f t="shared" si="245"/>
        <v>19</v>
      </c>
      <c r="AD224" s="579">
        <f t="shared" si="246"/>
        <v>558.22</v>
      </c>
      <c r="AE224" s="580">
        <f t="shared" si="241"/>
        <v>19</v>
      </c>
      <c r="AF224" s="576">
        <f t="shared" si="242"/>
        <v>558.22</v>
      </c>
      <c r="AG224" s="576">
        <f t="shared" si="243"/>
        <v>0</v>
      </c>
      <c r="AH224" s="579">
        <f t="shared" si="244"/>
        <v>0</v>
      </c>
      <c r="AK224" s="617">
        <f t="shared" si="227"/>
        <v>0</v>
      </c>
    </row>
    <row r="225" spans="1:37" ht="30">
      <c r="A225" s="570" t="s">
        <v>13979</v>
      </c>
      <c r="B225" s="571" t="str">
        <f>PLANILHA!D223</f>
        <v>PLACA FOTOLUMINESCENTE "S8"- 316X 158 MM (ESCADA DE EMERGÊNCIA).  FORNECIMENTO E INSTALAÇÃO.</v>
      </c>
      <c r="C225" s="572" t="str">
        <f>PLANILHA!E223</f>
        <v>UND</v>
      </c>
      <c r="D225" s="573">
        <f>PLANILHA!F223</f>
        <v>1</v>
      </c>
      <c r="E225" s="573">
        <f t="shared" si="229"/>
        <v>29.38</v>
      </c>
      <c r="F225" s="574">
        <f t="shared" si="228"/>
        <v>29.38</v>
      </c>
      <c r="G225" s="580"/>
      <c r="H225" s="576">
        <f t="shared" si="230"/>
        <v>0</v>
      </c>
      <c r="I225" s="576"/>
      <c r="J225" s="576">
        <f t="shared" si="231"/>
        <v>0</v>
      </c>
      <c r="K225" s="576"/>
      <c r="L225" s="576">
        <f t="shared" si="232"/>
        <v>0</v>
      </c>
      <c r="M225" s="576"/>
      <c r="N225" s="576">
        <f t="shared" si="233"/>
        <v>0</v>
      </c>
      <c r="O225" s="576"/>
      <c r="P225" s="576">
        <f t="shared" si="234"/>
        <v>0</v>
      </c>
      <c r="Q225" s="576"/>
      <c r="R225" s="577">
        <f t="shared" si="235"/>
        <v>0</v>
      </c>
      <c r="S225" s="578"/>
      <c r="T225" s="576">
        <f t="shared" si="236"/>
        <v>0</v>
      </c>
      <c r="U225" s="576"/>
      <c r="V225" s="576">
        <f t="shared" si="237"/>
        <v>0</v>
      </c>
      <c r="W225" s="576"/>
      <c r="X225" s="576">
        <f t="shared" si="238"/>
        <v>0</v>
      </c>
      <c r="Y225" s="576"/>
      <c r="Z225" s="576">
        <f t="shared" si="239"/>
        <v>0</v>
      </c>
      <c r="AA225" s="576"/>
      <c r="AB225" s="576">
        <f t="shared" si="240"/>
        <v>0</v>
      </c>
      <c r="AC225" s="576">
        <f t="shared" si="245"/>
        <v>1</v>
      </c>
      <c r="AD225" s="579">
        <f t="shared" si="246"/>
        <v>29.38</v>
      </c>
      <c r="AE225" s="580">
        <f t="shared" si="241"/>
        <v>1</v>
      </c>
      <c r="AF225" s="576">
        <f t="shared" si="242"/>
        <v>29.38</v>
      </c>
      <c r="AG225" s="576">
        <f t="shared" si="243"/>
        <v>0</v>
      </c>
      <c r="AH225" s="579">
        <f t="shared" si="244"/>
        <v>0</v>
      </c>
      <c r="AK225" s="617">
        <f t="shared" si="227"/>
        <v>0</v>
      </c>
    </row>
    <row r="226" spans="1:37" ht="30">
      <c r="A226" s="570" t="s">
        <v>13980</v>
      </c>
      <c r="B226" s="571" t="str">
        <f>PLANILHA!D224</f>
        <v>PLACA FOTOLUMINESCENTE "S12" - 316 X 158 MM (SAÍDA EMERGENCIA).  FORNECIMENTO E INSTALAÇÃO.</v>
      </c>
      <c r="C226" s="572" t="str">
        <f>PLANILHA!E224</f>
        <v>UND</v>
      </c>
      <c r="D226" s="573">
        <f>PLANILHA!F224</f>
        <v>4</v>
      </c>
      <c r="E226" s="573">
        <f t="shared" si="229"/>
        <v>24.99</v>
      </c>
      <c r="F226" s="574">
        <f t="shared" si="228"/>
        <v>99.96</v>
      </c>
      <c r="G226" s="580"/>
      <c r="H226" s="576">
        <f t="shared" si="230"/>
        <v>0</v>
      </c>
      <c r="I226" s="576"/>
      <c r="J226" s="576">
        <f t="shared" si="231"/>
        <v>0</v>
      </c>
      <c r="K226" s="576"/>
      <c r="L226" s="576">
        <f t="shared" si="232"/>
        <v>0</v>
      </c>
      <c r="M226" s="576"/>
      <c r="N226" s="576">
        <f t="shared" si="233"/>
        <v>0</v>
      </c>
      <c r="O226" s="576"/>
      <c r="P226" s="576">
        <f t="shared" si="234"/>
        <v>0</v>
      </c>
      <c r="Q226" s="576"/>
      <c r="R226" s="577">
        <f t="shared" si="235"/>
        <v>0</v>
      </c>
      <c r="S226" s="578"/>
      <c r="T226" s="576">
        <f t="shared" si="236"/>
        <v>0</v>
      </c>
      <c r="U226" s="576"/>
      <c r="V226" s="576">
        <f t="shared" si="237"/>
        <v>0</v>
      </c>
      <c r="W226" s="576"/>
      <c r="X226" s="576">
        <f t="shared" si="238"/>
        <v>0</v>
      </c>
      <c r="Y226" s="576"/>
      <c r="Z226" s="576">
        <f t="shared" si="239"/>
        <v>0</v>
      </c>
      <c r="AA226" s="576"/>
      <c r="AB226" s="576">
        <f t="shared" si="240"/>
        <v>0</v>
      </c>
      <c r="AC226" s="576">
        <f t="shared" si="245"/>
        <v>4</v>
      </c>
      <c r="AD226" s="579">
        <f t="shared" si="246"/>
        <v>99.96</v>
      </c>
      <c r="AE226" s="580">
        <f t="shared" si="241"/>
        <v>4</v>
      </c>
      <c r="AF226" s="576">
        <f t="shared" si="242"/>
        <v>99.96</v>
      </c>
      <c r="AG226" s="576">
        <f t="shared" si="243"/>
        <v>0</v>
      </c>
      <c r="AH226" s="579">
        <f t="shared" si="244"/>
        <v>0</v>
      </c>
      <c r="AK226" s="617">
        <f t="shared" si="227"/>
        <v>0</v>
      </c>
    </row>
    <row r="227" spans="1:37" ht="30">
      <c r="A227" s="570" t="s">
        <v>13981</v>
      </c>
      <c r="B227" s="571" t="str">
        <f>PLANILHA!D225</f>
        <v>DEMARCAÇÃO DE PISO PARA LOCAÇÃO DE EXTINTORES.  FORNECIMENTO E INSTALAÇÃO.</v>
      </c>
      <c r="C227" s="572" t="str">
        <f>PLANILHA!E225</f>
        <v>UND</v>
      </c>
      <c r="D227" s="573">
        <f>PLANILHA!F225</f>
        <v>14</v>
      </c>
      <c r="E227" s="573">
        <f t="shared" si="229"/>
        <v>22.55</v>
      </c>
      <c r="F227" s="574">
        <f t="shared" si="228"/>
        <v>315.7</v>
      </c>
      <c r="G227" s="580"/>
      <c r="H227" s="576">
        <f t="shared" si="230"/>
        <v>0</v>
      </c>
      <c r="I227" s="576"/>
      <c r="J227" s="576">
        <f t="shared" si="231"/>
        <v>0</v>
      </c>
      <c r="K227" s="576"/>
      <c r="L227" s="576">
        <f t="shared" si="232"/>
        <v>0</v>
      </c>
      <c r="M227" s="576"/>
      <c r="N227" s="576">
        <f t="shared" si="233"/>
        <v>0</v>
      </c>
      <c r="O227" s="576"/>
      <c r="P227" s="576">
        <f t="shared" si="234"/>
        <v>0</v>
      </c>
      <c r="Q227" s="576"/>
      <c r="R227" s="577">
        <f t="shared" si="235"/>
        <v>0</v>
      </c>
      <c r="S227" s="578"/>
      <c r="T227" s="576">
        <f t="shared" si="236"/>
        <v>0</v>
      </c>
      <c r="U227" s="576"/>
      <c r="V227" s="576">
        <f t="shared" si="237"/>
        <v>0</v>
      </c>
      <c r="W227" s="576"/>
      <c r="X227" s="576">
        <f t="shared" si="238"/>
        <v>0</v>
      </c>
      <c r="Y227" s="576"/>
      <c r="Z227" s="576">
        <f t="shared" si="239"/>
        <v>0</v>
      </c>
      <c r="AA227" s="576"/>
      <c r="AB227" s="576">
        <f t="shared" si="240"/>
        <v>0</v>
      </c>
      <c r="AC227" s="576">
        <f t="shared" si="245"/>
        <v>14</v>
      </c>
      <c r="AD227" s="579">
        <f t="shared" si="246"/>
        <v>315.7</v>
      </c>
      <c r="AE227" s="580">
        <f t="shared" si="241"/>
        <v>14</v>
      </c>
      <c r="AF227" s="576">
        <f t="shared" si="242"/>
        <v>315.7</v>
      </c>
      <c r="AG227" s="576">
        <f t="shared" si="243"/>
        <v>0</v>
      </c>
      <c r="AH227" s="579">
        <f t="shared" si="244"/>
        <v>0</v>
      </c>
      <c r="AK227" s="617">
        <f t="shared" si="227"/>
        <v>0</v>
      </c>
    </row>
    <row r="228" spans="1:37" ht="30">
      <c r="A228" s="570" t="s">
        <v>13982</v>
      </c>
      <c r="B228" s="571" t="str">
        <f>PLANILHA!D226</f>
        <v>LUMINÁRIA DE EMERGÊNCIA AUTÔNOMA IE-16 COM LÂMPADA DE 8 W.  FORNECIMENTO E INSTALAÇÃO.</v>
      </c>
      <c r="C228" s="572" t="str">
        <f>PLANILHA!E226</f>
        <v>UND</v>
      </c>
      <c r="D228" s="573">
        <f>PLANILHA!F226</f>
        <v>30</v>
      </c>
      <c r="E228" s="573">
        <f t="shared" si="229"/>
        <v>80.63</v>
      </c>
      <c r="F228" s="574">
        <f t="shared" si="228"/>
        <v>2418.9</v>
      </c>
      <c r="G228" s="580"/>
      <c r="H228" s="576">
        <f t="shared" si="230"/>
        <v>0</v>
      </c>
      <c r="I228" s="576"/>
      <c r="J228" s="576">
        <f t="shared" si="231"/>
        <v>0</v>
      </c>
      <c r="K228" s="576"/>
      <c r="L228" s="576">
        <f t="shared" si="232"/>
        <v>0</v>
      </c>
      <c r="M228" s="576"/>
      <c r="N228" s="576">
        <f t="shared" si="233"/>
        <v>0</v>
      </c>
      <c r="O228" s="576"/>
      <c r="P228" s="576">
        <f t="shared" si="234"/>
        <v>0</v>
      </c>
      <c r="Q228" s="576"/>
      <c r="R228" s="577">
        <f t="shared" si="235"/>
        <v>0</v>
      </c>
      <c r="S228" s="578"/>
      <c r="T228" s="576">
        <f t="shared" si="236"/>
        <v>0</v>
      </c>
      <c r="U228" s="576"/>
      <c r="V228" s="576">
        <f t="shared" si="237"/>
        <v>0</v>
      </c>
      <c r="W228" s="576"/>
      <c r="X228" s="576">
        <f t="shared" si="238"/>
        <v>0</v>
      </c>
      <c r="Y228" s="576"/>
      <c r="Z228" s="576">
        <f t="shared" si="239"/>
        <v>0</v>
      </c>
      <c r="AA228" s="576"/>
      <c r="AB228" s="576">
        <f t="shared" si="240"/>
        <v>0</v>
      </c>
      <c r="AC228" s="576">
        <f t="shared" si="245"/>
        <v>30</v>
      </c>
      <c r="AD228" s="579">
        <f t="shared" si="246"/>
        <v>2418.9</v>
      </c>
      <c r="AE228" s="580">
        <f t="shared" si="241"/>
        <v>30</v>
      </c>
      <c r="AF228" s="576">
        <f t="shared" si="242"/>
        <v>2418.9</v>
      </c>
      <c r="AG228" s="576">
        <f t="shared" si="243"/>
        <v>0</v>
      </c>
      <c r="AH228" s="579">
        <f t="shared" si="244"/>
        <v>0</v>
      </c>
      <c r="AK228" s="617">
        <f t="shared" si="227"/>
        <v>0</v>
      </c>
    </row>
    <row r="229" spans="1:37" s="569" customFormat="1">
      <c r="A229" s="581" t="s">
        <v>27225</v>
      </c>
      <c r="B229" s="582"/>
      <c r="C229" s="583"/>
      <c r="D229" s="584"/>
      <c r="E229" s="584"/>
      <c r="F229" s="585">
        <f t="shared" si="228"/>
        <v>3745.82</v>
      </c>
      <c r="G229" s="586"/>
      <c r="H229" s="584">
        <f>SUM(H218:H228)</f>
        <v>0</v>
      </c>
      <c r="I229" s="584"/>
      <c r="J229" s="584">
        <f>SUM(J218:J228)</f>
        <v>0</v>
      </c>
      <c r="K229" s="584"/>
      <c r="L229" s="584">
        <f>SUM(L218:L228)</f>
        <v>0</v>
      </c>
      <c r="M229" s="584"/>
      <c r="N229" s="584">
        <f>SUM(N218:N228)</f>
        <v>0</v>
      </c>
      <c r="O229" s="584"/>
      <c r="P229" s="584">
        <f>SUM(P218:P228)</f>
        <v>0</v>
      </c>
      <c r="Q229" s="584"/>
      <c r="R229" s="587">
        <f>SUM(R218:R228)</f>
        <v>0</v>
      </c>
      <c r="S229" s="588"/>
      <c r="T229" s="584">
        <f>SUM(T218:T228)</f>
        <v>0</v>
      </c>
      <c r="U229" s="584"/>
      <c r="V229" s="584">
        <f>SUM(V218:V228)</f>
        <v>0</v>
      </c>
      <c r="W229" s="584"/>
      <c r="X229" s="584">
        <f>SUM(X218:X228)</f>
        <v>0</v>
      </c>
      <c r="Y229" s="584"/>
      <c r="Z229" s="584">
        <f>SUM(Z218:Z228)</f>
        <v>0</v>
      </c>
      <c r="AA229" s="584"/>
      <c r="AB229" s="584">
        <f>SUM(AB218:AB228)</f>
        <v>0</v>
      </c>
      <c r="AC229" s="584"/>
      <c r="AD229" s="585">
        <f>SUM(AD218:AD228)</f>
        <v>3745.82</v>
      </c>
      <c r="AE229" s="590"/>
      <c r="AF229" s="584">
        <f>SUM(AF218:AF228)</f>
        <v>3745.82</v>
      </c>
      <c r="AG229" s="591"/>
      <c r="AH229" s="585">
        <f>SUM(AH218:AH228)</f>
        <v>0</v>
      </c>
      <c r="AI229" s="568"/>
      <c r="AK229" s="617">
        <f t="shared" si="227"/>
        <v>0</v>
      </c>
    </row>
    <row r="230" spans="1:37">
      <c r="A230" s="570"/>
      <c r="B230" s="571"/>
      <c r="C230" s="572"/>
      <c r="D230" s="573"/>
      <c r="E230" s="573"/>
      <c r="F230" s="574"/>
      <c r="G230" s="580"/>
      <c r="H230" s="576"/>
      <c r="I230" s="576"/>
      <c r="J230" s="576"/>
      <c r="K230" s="576"/>
      <c r="L230" s="576"/>
      <c r="M230" s="576"/>
      <c r="N230" s="576"/>
      <c r="O230" s="576"/>
      <c r="P230" s="576"/>
      <c r="Q230" s="576"/>
      <c r="R230" s="577"/>
      <c r="S230" s="578"/>
      <c r="T230" s="576"/>
      <c r="U230" s="576"/>
      <c r="V230" s="576"/>
      <c r="W230" s="576"/>
      <c r="X230" s="576"/>
      <c r="Y230" s="576"/>
      <c r="Z230" s="576"/>
      <c r="AA230" s="576"/>
      <c r="AB230" s="576"/>
      <c r="AC230" s="576"/>
      <c r="AD230" s="579"/>
      <c r="AE230" s="580"/>
      <c r="AF230" s="576"/>
      <c r="AG230" s="576"/>
      <c r="AH230" s="579"/>
      <c r="AK230" s="617">
        <f t="shared" si="227"/>
        <v>0</v>
      </c>
    </row>
    <row r="231" spans="1:37">
      <c r="A231" s="570" t="s">
        <v>14178</v>
      </c>
      <c r="B231" s="571" t="str">
        <f>PLANILHA!D229</f>
        <v>CISTERNA</v>
      </c>
      <c r="C231" s="572"/>
      <c r="D231" s="573"/>
      <c r="E231" s="573"/>
      <c r="F231" s="574">
        <f t="shared" ref="F231:F237" si="247">VLOOKUP(A231,PLANILHA,$G$6,0)</f>
        <v>0</v>
      </c>
      <c r="G231" s="580"/>
      <c r="H231" s="576"/>
      <c r="I231" s="576"/>
      <c r="J231" s="576"/>
      <c r="K231" s="576"/>
      <c r="L231" s="576"/>
      <c r="M231" s="576"/>
      <c r="N231" s="576"/>
      <c r="O231" s="576"/>
      <c r="P231" s="576"/>
      <c r="Q231" s="576"/>
      <c r="R231" s="577"/>
      <c r="S231" s="578"/>
      <c r="T231" s="576"/>
      <c r="U231" s="576"/>
      <c r="V231" s="576"/>
      <c r="W231" s="576"/>
      <c r="X231" s="576"/>
      <c r="Y231" s="576"/>
      <c r="Z231" s="576"/>
      <c r="AA231" s="576"/>
      <c r="AB231" s="576"/>
      <c r="AC231" s="576"/>
      <c r="AD231" s="579"/>
      <c r="AE231" s="580"/>
      <c r="AF231" s="576"/>
      <c r="AG231" s="576"/>
      <c r="AH231" s="579"/>
      <c r="AK231" s="617">
        <f t="shared" si="227"/>
        <v>0</v>
      </c>
    </row>
    <row r="232" spans="1:37">
      <c r="A232" s="570" t="s">
        <v>14180</v>
      </c>
      <c r="B232" s="571" t="str">
        <f>PLANILHA!D230</f>
        <v>MOVIMENTO DE SOLO</v>
      </c>
      <c r="C232" s="572"/>
      <c r="D232" s="573"/>
      <c r="E232" s="573"/>
      <c r="F232" s="574">
        <f t="shared" si="247"/>
        <v>0</v>
      </c>
      <c r="G232" s="580"/>
      <c r="H232" s="576"/>
      <c r="I232" s="576"/>
      <c r="J232" s="576"/>
      <c r="K232" s="576"/>
      <c r="L232" s="576"/>
      <c r="M232" s="576"/>
      <c r="N232" s="576"/>
      <c r="O232" s="576"/>
      <c r="P232" s="576"/>
      <c r="Q232" s="576"/>
      <c r="R232" s="577"/>
      <c r="S232" s="578"/>
      <c r="T232" s="576"/>
      <c r="U232" s="576"/>
      <c r="V232" s="576"/>
      <c r="W232" s="576"/>
      <c r="X232" s="576"/>
      <c r="Y232" s="576"/>
      <c r="Z232" s="576"/>
      <c r="AA232" s="576"/>
      <c r="AB232" s="576"/>
      <c r="AC232" s="576"/>
      <c r="AD232" s="579"/>
      <c r="AE232" s="580"/>
      <c r="AF232" s="576"/>
      <c r="AG232" s="576"/>
      <c r="AH232" s="579"/>
      <c r="AK232" s="617">
        <f t="shared" si="227"/>
        <v>0</v>
      </c>
    </row>
    <row r="233" spans="1:37" ht="45">
      <c r="A233" s="570" t="s">
        <v>14181</v>
      </c>
      <c r="B233" s="571" t="str">
        <f>PLANILHA!D231</f>
        <v>ESCAVAÇÃO MANUAL PARA BLOCO DE COROAMENTO OU SAPATA (INCLUINDO ESCAVAÇÃO PARA COLOCAÇÃO DE FÔRMAS). AF_06/2017</v>
      </c>
      <c r="C233" s="572" t="str">
        <f>PLANILHA!E231</f>
        <v>M3</v>
      </c>
      <c r="D233" s="573">
        <f>PLANILHA!F231</f>
        <v>111.012</v>
      </c>
      <c r="E233" s="573">
        <f>VLOOKUP(A233,PLANILHA,$G$7,0)</f>
        <v>93.45</v>
      </c>
      <c r="F233" s="574">
        <f t="shared" si="247"/>
        <v>10374.07</v>
      </c>
      <c r="G233" s="580"/>
      <c r="H233" s="576">
        <f t="shared" ref="H233:H247" si="248">G233*$E233</f>
        <v>0</v>
      </c>
      <c r="I233" s="576">
        <f>D233</f>
        <v>111.012</v>
      </c>
      <c r="J233" s="576">
        <f>TRUNC(I233*$E233,2)</f>
        <v>10374.07</v>
      </c>
      <c r="K233" s="576"/>
      <c r="L233" s="576">
        <f t="shared" ref="L233:L247" si="249">K233*$E233</f>
        <v>0</v>
      </c>
      <c r="M233" s="576"/>
      <c r="N233" s="576">
        <f t="shared" ref="N233:N247" si="250">M233*$E233</f>
        <v>0</v>
      </c>
      <c r="O233" s="576"/>
      <c r="P233" s="576">
        <f t="shared" ref="P233:P247" si="251">O233*$E233</f>
        <v>0</v>
      </c>
      <c r="Q233" s="576"/>
      <c r="R233" s="577">
        <f t="shared" ref="R233:R247" si="252">Q233*$E233</f>
        <v>0</v>
      </c>
      <c r="S233" s="578"/>
      <c r="T233" s="576">
        <f t="shared" ref="T233:T247" si="253">S233*$E233</f>
        <v>0</v>
      </c>
      <c r="U233" s="576"/>
      <c r="V233" s="576">
        <f t="shared" ref="V233:V247" si="254">U233*$E233</f>
        <v>0</v>
      </c>
      <c r="W233" s="576"/>
      <c r="X233" s="576">
        <f t="shared" ref="X233:X247" si="255">W233*$E233</f>
        <v>0</v>
      </c>
      <c r="Y233" s="576"/>
      <c r="Z233" s="576">
        <f t="shared" ref="Z233:Z247" si="256">Y233*$E233</f>
        <v>0</v>
      </c>
      <c r="AA233" s="576"/>
      <c r="AB233" s="576">
        <f t="shared" ref="AB233:AB247" si="257">AA233*$E233</f>
        <v>0</v>
      </c>
      <c r="AC233" s="576"/>
      <c r="AD233" s="579">
        <f t="shared" ref="AD233:AD247" si="258">AC233*$E233</f>
        <v>0</v>
      </c>
      <c r="AE233" s="580">
        <f t="shared" ref="AE233:AE247" si="259">AC233+AA233+Y233+W233+U233+S233+Q233+O233+M233+K233+I233+G233</f>
        <v>111.012</v>
      </c>
      <c r="AF233" s="576">
        <f t="shared" ref="AF233:AF236" si="260">TRUNC(AE233*E233,2)</f>
        <v>10374.07</v>
      </c>
      <c r="AG233" s="576">
        <f t="shared" ref="AG233:AG247" si="261">D233-AE233</f>
        <v>0</v>
      </c>
      <c r="AH233" s="579">
        <f t="shared" ref="AH233:AH247" si="262">AG233*E233</f>
        <v>0</v>
      </c>
      <c r="AK233" s="617">
        <f t="shared" si="227"/>
        <v>0</v>
      </c>
    </row>
    <row r="234" spans="1:37" ht="30">
      <c r="A234" s="570" t="s">
        <v>14182</v>
      </c>
      <c r="B234" s="571" t="str">
        <f>PLANILHA!D232</f>
        <v>PREPARO DE FUNDO DE VALA COM LARGURA MENOR QUE 1,5 M (ACERTO DO SOLO NATURAL). AF_08/2020</v>
      </c>
      <c r="C234" s="572" t="str">
        <f>PLANILHA!E232</f>
        <v>M2</v>
      </c>
      <c r="D234" s="573">
        <f>PLANILHA!F232</f>
        <v>33.64</v>
      </c>
      <c r="E234" s="573">
        <f>VLOOKUP(A234,PLANILHA,$G$7,0)</f>
        <v>5.94</v>
      </c>
      <c r="F234" s="574">
        <f t="shared" si="247"/>
        <v>199.82</v>
      </c>
      <c r="G234" s="580"/>
      <c r="H234" s="576">
        <f t="shared" si="248"/>
        <v>0</v>
      </c>
      <c r="I234" s="576">
        <f>D234</f>
        <v>33.64</v>
      </c>
      <c r="J234" s="576">
        <f t="shared" ref="J234:J236" si="263">TRUNC(I234*$E234,2)</f>
        <v>199.82</v>
      </c>
      <c r="K234" s="576"/>
      <c r="L234" s="576">
        <f t="shared" si="249"/>
        <v>0</v>
      </c>
      <c r="M234" s="576"/>
      <c r="N234" s="576">
        <f t="shared" si="250"/>
        <v>0</v>
      </c>
      <c r="O234" s="576"/>
      <c r="P234" s="576">
        <f t="shared" si="251"/>
        <v>0</v>
      </c>
      <c r="Q234" s="576"/>
      <c r="R234" s="577">
        <f t="shared" si="252"/>
        <v>0</v>
      </c>
      <c r="S234" s="578"/>
      <c r="T234" s="576">
        <f t="shared" si="253"/>
        <v>0</v>
      </c>
      <c r="U234" s="576"/>
      <c r="V234" s="576">
        <f t="shared" si="254"/>
        <v>0</v>
      </c>
      <c r="W234" s="576"/>
      <c r="X234" s="576">
        <f t="shared" si="255"/>
        <v>0</v>
      </c>
      <c r="Y234" s="576"/>
      <c r="Z234" s="576">
        <f t="shared" si="256"/>
        <v>0</v>
      </c>
      <c r="AA234" s="576"/>
      <c r="AB234" s="576">
        <f t="shared" si="257"/>
        <v>0</v>
      </c>
      <c r="AC234" s="576"/>
      <c r="AD234" s="579">
        <f t="shared" si="258"/>
        <v>0</v>
      </c>
      <c r="AE234" s="580">
        <f t="shared" si="259"/>
        <v>33.64</v>
      </c>
      <c r="AF234" s="576">
        <f t="shared" si="260"/>
        <v>199.82</v>
      </c>
      <c r="AG234" s="576">
        <f t="shared" si="261"/>
        <v>0</v>
      </c>
      <c r="AH234" s="579">
        <f t="shared" si="262"/>
        <v>0</v>
      </c>
      <c r="AK234" s="617">
        <f t="shared" si="227"/>
        <v>0</v>
      </c>
    </row>
    <row r="235" spans="1:37" ht="30">
      <c r="A235" s="570" t="s">
        <v>14183</v>
      </c>
      <c r="B235" s="571" t="str">
        <f>PLANILHA!D233</f>
        <v>LASTRO DE CONCRETO MAGRO, APLICADO EM BLOCOS DE COROAMENTO OU SAPATAS. AF_08/2017</v>
      </c>
      <c r="C235" s="572" t="str">
        <f>PLANILHA!E233</f>
        <v>M3</v>
      </c>
      <c r="D235" s="573">
        <f>PLANILHA!F233</f>
        <v>1.0091999999999999</v>
      </c>
      <c r="E235" s="573">
        <f>VLOOKUP(A235,PLANILHA,$G$7,0)</f>
        <v>654.55999999999995</v>
      </c>
      <c r="F235" s="574">
        <f t="shared" si="247"/>
        <v>660.58</v>
      </c>
      <c r="G235" s="580"/>
      <c r="H235" s="576">
        <f t="shared" si="248"/>
        <v>0</v>
      </c>
      <c r="I235" s="576">
        <f>D235</f>
        <v>1.0091999999999999</v>
      </c>
      <c r="J235" s="576">
        <f t="shared" si="263"/>
        <v>660.58</v>
      </c>
      <c r="K235" s="576"/>
      <c r="L235" s="576">
        <f t="shared" si="249"/>
        <v>0</v>
      </c>
      <c r="M235" s="576"/>
      <c r="N235" s="576">
        <f t="shared" si="250"/>
        <v>0</v>
      </c>
      <c r="O235" s="576"/>
      <c r="P235" s="576">
        <f t="shared" si="251"/>
        <v>0</v>
      </c>
      <c r="Q235" s="576"/>
      <c r="R235" s="577">
        <f t="shared" si="252"/>
        <v>0</v>
      </c>
      <c r="S235" s="578"/>
      <c r="T235" s="576">
        <f t="shared" si="253"/>
        <v>0</v>
      </c>
      <c r="U235" s="576"/>
      <c r="V235" s="576">
        <f t="shared" si="254"/>
        <v>0</v>
      </c>
      <c r="W235" s="576"/>
      <c r="X235" s="576">
        <f t="shared" si="255"/>
        <v>0</v>
      </c>
      <c r="Y235" s="576"/>
      <c r="Z235" s="576">
        <f t="shared" si="256"/>
        <v>0</v>
      </c>
      <c r="AA235" s="576"/>
      <c r="AB235" s="576">
        <f t="shared" si="257"/>
        <v>0</v>
      </c>
      <c r="AC235" s="576"/>
      <c r="AD235" s="579">
        <f t="shared" si="258"/>
        <v>0</v>
      </c>
      <c r="AE235" s="580">
        <f t="shared" si="259"/>
        <v>1.0091999999999999</v>
      </c>
      <c r="AF235" s="576">
        <f t="shared" si="260"/>
        <v>660.58</v>
      </c>
      <c r="AG235" s="576">
        <f t="shared" si="261"/>
        <v>0</v>
      </c>
      <c r="AH235" s="579">
        <f t="shared" si="262"/>
        <v>0</v>
      </c>
      <c r="AK235" s="617">
        <f t="shared" si="227"/>
        <v>0</v>
      </c>
    </row>
    <row r="236" spans="1:37" ht="30">
      <c r="A236" s="570" t="s">
        <v>14184</v>
      </c>
      <c r="B236" s="571" t="str">
        <f>PLANILHA!D234</f>
        <v>REATERRO MANUAL DE VALAS COM COMPACTAÇÃO MECANIZADA. AF_04/2016</v>
      </c>
      <c r="C236" s="572" t="str">
        <f>PLANILHA!E234</f>
        <v>M3</v>
      </c>
      <c r="D236" s="573">
        <f>PLANILHA!F234</f>
        <v>21.123999999999995</v>
      </c>
      <c r="E236" s="573">
        <f>VLOOKUP(A236,PLANILHA,$G$7,0)</f>
        <v>29.15</v>
      </c>
      <c r="F236" s="574">
        <f t="shared" si="247"/>
        <v>615.76</v>
      </c>
      <c r="G236" s="580"/>
      <c r="H236" s="576">
        <f t="shared" si="248"/>
        <v>0</v>
      </c>
      <c r="I236" s="576">
        <f>D236</f>
        <v>21.123999999999995</v>
      </c>
      <c r="J236" s="576">
        <f t="shared" si="263"/>
        <v>615.76</v>
      </c>
      <c r="K236" s="576"/>
      <c r="L236" s="576">
        <f t="shared" si="249"/>
        <v>0</v>
      </c>
      <c r="M236" s="576"/>
      <c r="N236" s="576">
        <f t="shared" si="250"/>
        <v>0</v>
      </c>
      <c r="O236" s="576"/>
      <c r="P236" s="576">
        <f t="shared" si="251"/>
        <v>0</v>
      </c>
      <c r="Q236" s="576"/>
      <c r="R236" s="577">
        <f t="shared" si="252"/>
        <v>0</v>
      </c>
      <c r="S236" s="578"/>
      <c r="T236" s="576">
        <f t="shared" si="253"/>
        <v>0</v>
      </c>
      <c r="U236" s="576"/>
      <c r="V236" s="576">
        <f t="shared" si="254"/>
        <v>0</v>
      </c>
      <c r="W236" s="576"/>
      <c r="X236" s="576">
        <f t="shared" si="255"/>
        <v>0</v>
      </c>
      <c r="Y236" s="576"/>
      <c r="Z236" s="576">
        <f t="shared" si="256"/>
        <v>0</v>
      </c>
      <c r="AA236" s="576"/>
      <c r="AB236" s="576">
        <f t="shared" si="257"/>
        <v>0</v>
      </c>
      <c r="AC236" s="576"/>
      <c r="AD236" s="579">
        <f t="shared" si="258"/>
        <v>0</v>
      </c>
      <c r="AE236" s="580">
        <f t="shared" si="259"/>
        <v>21.123999999999995</v>
      </c>
      <c r="AF236" s="576">
        <f t="shared" si="260"/>
        <v>615.76</v>
      </c>
      <c r="AG236" s="576">
        <f t="shared" si="261"/>
        <v>0</v>
      </c>
      <c r="AH236" s="579">
        <f t="shared" si="262"/>
        <v>0</v>
      </c>
      <c r="AK236" s="617">
        <f t="shared" si="227"/>
        <v>0</v>
      </c>
    </row>
    <row r="237" spans="1:37" s="569" customFormat="1">
      <c r="A237" s="581" t="s">
        <v>27226</v>
      </c>
      <c r="B237" s="582"/>
      <c r="C237" s="583"/>
      <c r="D237" s="584"/>
      <c r="E237" s="584"/>
      <c r="F237" s="585">
        <f t="shared" si="247"/>
        <v>11850.23</v>
      </c>
      <c r="G237" s="586"/>
      <c r="H237" s="584">
        <f>SUM(H233:H236)</f>
        <v>0</v>
      </c>
      <c r="I237" s="584"/>
      <c r="J237" s="584">
        <f>SUM(J233:J236)</f>
        <v>11850.23</v>
      </c>
      <c r="K237" s="584"/>
      <c r="L237" s="584">
        <f>SUM(L233:L236)</f>
        <v>0</v>
      </c>
      <c r="M237" s="584"/>
      <c r="N237" s="584">
        <f>SUM(N233:N236)</f>
        <v>0</v>
      </c>
      <c r="O237" s="584"/>
      <c r="P237" s="584">
        <f>SUM(P233:P236)</f>
        <v>0</v>
      </c>
      <c r="Q237" s="584"/>
      <c r="R237" s="587">
        <f>SUM(R233:R236)</f>
        <v>0</v>
      </c>
      <c r="S237" s="588"/>
      <c r="T237" s="584">
        <f>SUM(T233:T236)</f>
        <v>0</v>
      </c>
      <c r="U237" s="584"/>
      <c r="V237" s="584">
        <f>SUM(V233:V236)</f>
        <v>0</v>
      </c>
      <c r="W237" s="584"/>
      <c r="X237" s="584">
        <f>SUM(X233:X236)</f>
        <v>0</v>
      </c>
      <c r="Y237" s="584"/>
      <c r="Z237" s="584">
        <f>SUM(Z233:Z236)</f>
        <v>0</v>
      </c>
      <c r="AA237" s="584"/>
      <c r="AB237" s="584">
        <f>SUM(AB233:AB236)</f>
        <v>0</v>
      </c>
      <c r="AC237" s="584"/>
      <c r="AD237" s="585">
        <f>SUM(AD233:AD236)</f>
        <v>0</v>
      </c>
      <c r="AE237" s="590"/>
      <c r="AF237" s="584">
        <f>SUM(AF233:AF236)</f>
        <v>11850.23</v>
      </c>
      <c r="AG237" s="591"/>
      <c r="AH237" s="585">
        <f>SUM(AH233:AH236)</f>
        <v>0</v>
      </c>
      <c r="AI237" s="568"/>
      <c r="AK237" s="617">
        <f t="shared" si="227"/>
        <v>0</v>
      </c>
    </row>
    <row r="238" spans="1:37">
      <c r="A238" s="570"/>
      <c r="B238" s="571"/>
      <c r="C238" s="572"/>
      <c r="D238" s="573"/>
      <c r="E238" s="573"/>
      <c r="F238" s="574"/>
      <c r="G238" s="580"/>
      <c r="H238" s="576"/>
      <c r="I238" s="576"/>
      <c r="J238" s="576"/>
      <c r="K238" s="576"/>
      <c r="L238" s="576"/>
      <c r="M238" s="576"/>
      <c r="N238" s="576"/>
      <c r="O238" s="576"/>
      <c r="P238" s="576"/>
      <c r="Q238" s="576"/>
      <c r="R238" s="577"/>
      <c r="S238" s="578"/>
      <c r="T238" s="576"/>
      <c r="U238" s="576"/>
      <c r="V238" s="576"/>
      <c r="W238" s="576"/>
      <c r="X238" s="576"/>
      <c r="Y238" s="576"/>
      <c r="Z238" s="576"/>
      <c r="AA238" s="576"/>
      <c r="AB238" s="576"/>
      <c r="AC238" s="576"/>
      <c r="AD238" s="579"/>
      <c r="AE238" s="580"/>
      <c r="AF238" s="576"/>
      <c r="AG238" s="576"/>
      <c r="AH238" s="579"/>
      <c r="AK238" s="617">
        <f t="shared" si="227"/>
        <v>0</v>
      </c>
    </row>
    <row r="239" spans="1:37">
      <c r="A239" s="570" t="s">
        <v>14185</v>
      </c>
      <c r="B239" s="571" t="str">
        <f>PLANILHA!D237</f>
        <v>FUNDAÇÃO</v>
      </c>
      <c r="C239" s="572"/>
      <c r="D239" s="573"/>
      <c r="E239" s="573"/>
      <c r="F239" s="574">
        <f t="shared" ref="F239:F248" si="264">VLOOKUP(A239,PLANILHA,$G$6,0)</f>
        <v>0</v>
      </c>
      <c r="G239" s="580"/>
      <c r="H239" s="576"/>
      <c r="I239" s="576"/>
      <c r="J239" s="576"/>
      <c r="K239" s="576"/>
      <c r="L239" s="576"/>
      <c r="M239" s="576"/>
      <c r="N239" s="576"/>
      <c r="O239" s="576"/>
      <c r="P239" s="576"/>
      <c r="Q239" s="576"/>
      <c r="R239" s="577"/>
      <c r="S239" s="578"/>
      <c r="T239" s="576"/>
      <c r="U239" s="576"/>
      <c r="V239" s="576"/>
      <c r="W239" s="576"/>
      <c r="X239" s="576"/>
      <c r="Y239" s="576"/>
      <c r="Z239" s="576"/>
      <c r="AA239" s="576"/>
      <c r="AB239" s="576"/>
      <c r="AC239" s="576"/>
      <c r="AD239" s="579"/>
      <c r="AE239" s="580"/>
      <c r="AF239" s="576"/>
      <c r="AG239" s="576"/>
      <c r="AH239" s="579"/>
      <c r="AK239" s="617">
        <f t="shared" si="227"/>
        <v>0</v>
      </c>
    </row>
    <row r="240" spans="1:37" ht="45">
      <c r="A240" s="570" t="s">
        <v>14186</v>
      </c>
      <c r="B240" s="571" t="str">
        <f>PLANILHA!D238</f>
        <v>CONCRETAGEM DE BLOCOS DE COROAMENTO E VIGAS BALDRAME, FCK 30 MPA, COM USO DE JERICA  LANÇAMENTO, ADENSAMENTO E ACABAMENTO. AF_06/2017</v>
      </c>
      <c r="C240" s="572" t="str">
        <f>PLANILHA!E238</f>
        <v>M3</v>
      </c>
      <c r="D240" s="573">
        <f>PLANILHA!F238</f>
        <v>16.8</v>
      </c>
      <c r="E240" s="573">
        <f t="shared" ref="E240:E247" si="265">VLOOKUP(A240,PLANILHA,$G$7,0)</f>
        <v>741.7</v>
      </c>
      <c r="F240" s="574">
        <f t="shared" si="264"/>
        <v>12460.56</v>
      </c>
      <c r="G240" s="580"/>
      <c r="H240" s="576">
        <f t="shared" si="248"/>
        <v>0</v>
      </c>
      <c r="I240" s="576">
        <f>D240</f>
        <v>16.8</v>
      </c>
      <c r="J240" s="576">
        <f t="shared" ref="J240:J247" si="266">TRUNC(I240*$E240,2)</f>
        <v>12460.56</v>
      </c>
      <c r="K240" s="576"/>
      <c r="L240" s="576">
        <f t="shared" si="249"/>
        <v>0</v>
      </c>
      <c r="M240" s="576"/>
      <c r="N240" s="576">
        <f t="shared" si="250"/>
        <v>0</v>
      </c>
      <c r="O240" s="576"/>
      <c r="P240" s="576">
        <f t="shared" si="251"/>
        <v>0</v>
      </c>
      <c r="Q240" s="576"/>
      <c r="R240" s="577">
        <f t="shared" si="252"/>
        <v>0</v>
      </c>
      <c r="S240" s="578"/>
      <c r="T240" s="576">
        <f t="shared" si="253"/>
        <v>0</v>
      </c>
      <c r="U240" s="576"/>
      <c r="V240" s="576">
        <f t="shared" si="254"/>
        <v>0</v>
      </c>
      <c r="W240" s="576"/>
      <c r="X240" s="576">
        <f t="shared" si="255"/>
        <v>0</v>
      </c>
      <c r="Y240" s="576"/>
      <c r="Z240" s="576">
        <f t="shared" si="256"/>
        <v>0</v>
      </c>
      <c r="AA240" s="576"/>
      <c r="AB240" s="576">
        <f t="shared" si="257"/>
        <v>0</v>
      </c>
      <c r="AC240" s="576"/>
      <c r="AD240" s="579">
        <f t="shared" si="258"/>
        <v>0</v>
      </c>
      <c r="AE240" s="580">
        <f t="shared" si="259"/>
        <v>16.8</v>
      </c>
      <c r="AF240" s="576">
        <f t="shared" ref="AF240:AF247" si="267">TRUNC(AE240*E240,2)</f>
        <v>12460.56</v>
      </c>
      <c r="AG240" s="576">
        <f t="shared" si="261"/>
        <v>0</v>
      </c>
      <c r="AH240" s="579">
        <f t="shared" si="262"/>
        <v>0</v>
      </c>
      <c r="AK240" s="617">
        <f t="shared" si="227"/>
        <v>0</v>
      </c>
    </row>
    <row r="241" spans="1:37" ht="30">
      <c r="A241" s="570" t="s">
        <v>14187</v>
      </c>
      <c r="B241" s="571" t="str">
        <f>PLANILHA!D239</f>
        <v>ARMAÇÃO DE BLOCO, VIGA BALDRAME E SAPATA UTILIZANDO AÇO CA-60 DE 5 MM - MONTAGEM. AF_06/2017</v>
      </c>
      <c r="C241" s="572" t="str">
        <f>PLANILHA!E239</f>
        <v>KG</v>
      </c>
      <c r="D241" s="573">
        <f>PLANILHA!F239</f>
        <v>34.6</v>
      </c>
      <c r="E241" s="573">
        <f t="shared" si="265"/>
        <v>22.55</v>
      </c>
      <c r="F241" s="574">
        <f t="shared" si="264"/>
        <v>780.23</v>
      </c>
      <c r="G241" s="580"/>
      <c r="H241" s="576">
        <f t="shared" si="248"/>
        <v>0</v>
      </c>
      <c r="I241" s="576">
        <f t="shared" ref="I241:I247" si="268">D241</f>
        <v>34.6</v>
      </c>
      <c r="J241" s="576">
        <f t="shared" si="266"/>
        <v>780.23</v>
      </c>
      <c r="K241" s="576"/>
      <c r="L241" s="576">
        <f t="shared" si="249"/>
        <v>0</v>
      </c>
      <c r="M241" s="576"/>
      <c r="N241" s="576">
        <f t="shared" si="250"/>
        <v>0</v>
      </c>
      <c r="O241" s="576"/>
      <c r="P241" s="576">
        <f t="shared" si="251"/>
        <v>0</v>
      </c>
      <c r="Q241" s="576"/>
      <c r="R241" s="577">
        <f t="shared" si="252"/>
        <v>0</v>
      </c>
      <c r="S241" s="578"/>
      <c r="T241" s="576">
        <f t="shared" si="253"/>
        <v>0</v>
      </c>
      <c r="U241" s="576"/>
      <c r="V241" s="576">
        <f t="shared" si="254"/>
        <v>0</v>
      </c>
      <c r="W241" s="576"/>
      <c r="X241" s="576">
        <f t="shared" si="255"/>
        <v>0</v>
      </c>
      <c r="Y241" s="576"/>
      <c r="Z241" s="576">
        <f t="shared" si="256"/>
        <v>0</v>
      </c>
      <c r="AA241" s="576"/>
      <c r="AB241" s="576">
        <f t="shared" si="257"/>
        <v>0</v>
      </c>
      <c r="AC241" s="576"/>
      <c r="AD241" s="579">
        <f t="shared" si="258"/>
        <v>0</v>
      </c>
      <c r="AE241" s="580">
        <f t="shared" si="259"/>
        <v>34.6</v>
      </c>
      <c r="AF241" s="576">
        <f t="shared" si="267"/>
        <v>780.23</v>
      </c>
      <c r="AG241" s="576">
        <f t="shared" si="261"/>
        <v>0</v>
      </c>
      <c r="AH241" s="579">
        <f t="shared" si="262"/>
        <v>0</v>
      </c>
      <c r="AK241" s="617">
        <f t="shared" si="227"/>
        <v>0</v>
      </c>
    </row>
    <row r="242" spans="1:37" ht="30">
      <c r="A242" s="570" t="s">
        <v>14188</v>
      </c>
      <c r="B242" s="571" t="str">
        <f>PLANILHA!D240</f>
        <v>ARMAÇÃO DE BLOCO, VIGA BALDRAME OU SAPATA UTILIZANDO AÇO CA-50 DE 6,3 MM - MONTAGEM. AF_06/2017</v>
      </c>
      <c r="C242" s="572" t="str">
        <f>PLANILHA!E240</f>
        <v>KG</v>
      </c>
      <c r="D242" s="573">
        <f>PLANILHA!F240</f>
        <v>338.5</v>
      </c>
      <c r="E242" s="573">
        <f t="shared" si="265"/>
        <v>21.42</v>
      </c>
      <c r="F242" s="574">
        <f t="shared" si="264"/>
        <v>7250.67</v>
      </c>
      <c r="G242" s="580"/>
      <c r="H242" s="576">
        <f t="shared" si="248"/>
        <v>0</v>
      </c>
      <c r="I242" s="576">
        <f t="shared" si="268"/>
        <v>338.5</v>
      </c>
      <c r="J242" s="576">
        <f t="shared" si="266"/>
        <v>7250.67</v>
      </c>
      <c r="K242" s="576"/>
      <c r="L242" s="576">
        <f t="shared" si="249"/>
        <v>0</v>
      </c>
      <c r="M242" s="576"/>
      <c r="N242" s="576">
        <f t="shared" si="250"/>
        <v>0</v>
      </c>
      <c r="O242" s="576"/>
      <c r="P242" s="576">
        <f t="shared" si="251"/>
        <v>0</v>
      </c>
      <c r="Q242" s="576"/>
      <c r="R242" s="577">
        <f t="shared" si="252"/>
        <v>0</v>
      </c>
      <c r="S242" s="578"/>
      <c r="T242" s="576">
        <f t="shared" si="253"/>
        <v>0</v>
      </c>
      <c r="U242" s="576"/>
      <c r="V242" s="576">
        <f t="shared" si="254"/>
        <v>0</v>
      </c>
      <c r="W242" s="576"/>
      <c r="X242" s="576">
        <f t="shared" si="255"/>
        <v>0</v>
      </c>
      <c r="Y242" s="576"/>
      <c r="Z242" s="576">
        <f t="shared" si="256"/>
        <v>0</v>
      </c>
      <c r="AA242" s="576"/>
      <c r="AB242" s="576">
        <f t="shared" si="257"/>
        <v>0</v>
      </c>
      <c r="AC242" s="576"/>
      <c r="AD242" s="579">
        <f t="shared" si="258"/>
        <v>0</v>
      </c>
      <c r="AE242" s="580">
        <f t="shared" si="259"/>
        <v>338.5</v>
      </c>
      <c r="AF242" s="576">
        <f t="shared" si="267"/>
        <v>7250.67</v>
      </c>
      <c r="AG242" s="576">
        <f t="shared" si="261"/>
        <v>0</v>
      </c>
      <c r="AH242" s="579">
        <f t="shared" si="262"/>
        <v>0</v>
      </c>
      <c r="AK242" s="617">
        <f t="shared" si="227"/>
        <v>0</v>
      </c>
    </row>
    <row r="243" spans="1:37" ht="30">
      <c r="A243" s="570" t="s">
        <v>14189</v>
      </c>
      <c r="B243" s="571" t="str">
        <f>PLANILHA!D241</f>
        <v>ARMAÇÃO DE BLOCO, VIGA BALDRAME OU SAPATA UTILIZANDO AÇO CA-50 DE 8 MM - MONTAGEM. AF_06/2017</v>
      </c>
      <c r="C243" s="572" t="str">
        <f>PLANILHA!E241</f>
        <v>KG</v>
      </c>
      <c r="D243" s="573">
        <f>PLANILHA!F241</f>
        <v>973.5</v>
      </c>
      <c r="E243" s="573">
        <f t="shared" si="265"/>
        <v>20.21</v>
      </c>
      <c r="F243" s="574">
        <f t="shared" si="264"/>
        <v>19674.43</v>
      </c>
      <c r="G243" s="580"/>
      <c r="H243" s="576">
        <f t="shared" si="248"/>
        <v>0</v>
      </c>
      <c r="I243" s="576">
        <f t="shared" si="268"/>
        <v>973.5</v>
      </c>
      <c r="J243" s="576">
        <f t="shared" si="266"/>
        <v>19674.43</v>
      </c>
      <c r="K243" s="576"/>
      <c r="L243" s="576">
        <f t="shared" si="249"/>
        <v>0</v>
      </c>
      <c r="M243" s="576"/>
      <c r="N243" s="576">
        <f t="shared" si="250"/>
        <v>0</v>
      </c>
      <c r="O243" s="576"/>
      <c r="P243" s="576">
        <f t="shared" si="251"/>
        <v>0</v>
      </c>
      <c r="Q243" s="576"/>
      <c r="R243" s="577">
        <f t="shared" si="252"/>
        <v>0</v>
      </c>
      <c r="S243" s="578"/>
      <c r="T243" s="576">
        <f t="shared" si="253"/>
        <v>0</v>
      </c>
      <c r="U243" s="576"/>
      <c r="V243" s="576">
        <f t="shared" si="254"/>
        <v>0</v>
      </c>
      <c r="W243" s="576"/>
      <c r="X243" s="576">
        <f t="shared" si="255"/>
        <v>0</v>
      </c>
      <c r="Y243" s="576"/>
      <c r="Z243" s="576">
        <f t="shared" si="256"/>
        <v>0</v>
      </c>
      <c r="AA243" s="576"/>
      <c r="AB243" s="576">
        <f t="shared" si="257"/>
        <v>0</v>
      </c>
      <c r="AC243" s="576"/>
      <c r="AD243" s="579">
        <f t="shared" si="258"/>
        <v>0</v>
      </c>
      <c r="AE243" s="580">
        <f t="shared" si="259"/>
        <v>973.5</v>
      </c>
      <c r="AF243" s="576">
        <f t="shared" si="267"/>
        <v>19674.43</v>
      </c>
      <c r="AG243" s="576">
        <f t="shared" si="261"/>
        <v>0</v>
      </c>
      <c r="AH243" s="579">
        <f t="shared" si="262"/>
        <v>0</v>
      </c>
      <c r="AK243" s="617">
        <f t="shared" si="227"/>
        <v>0</v>
      </c>
    </row>
    <row r="244" spans="1:37" ht="30">
      <c r="A244" s="570" t="s">
        <v>14190</v>
      </c>
      <c r="B244" s="571" t="str">
        <f>PLANILHA!D242</f>
        <v>ARMAÇÃO DE BLOCO, VIGA BALDRAME OU SAPATA UTILIZANDO AÇO CA-50 DE 10 MM - MONTAGEM. AF_06/2017</v>
      </c>
      <c r="C244" s="572" t="str">
        <f>PLANILHA!E242</f>
        <v>KG</v>
      </c>
      <c r="D244" s="573">
        <f>PLANILHA!F242</f>
        <v>85.5</v>
      </c>
      <c r="E244" s="573">
        <f t="shared" si="265"/>
        <v>18.149999999999999</v>
      </c>
      <c r="F244" s="574">
        <f t="shared" si="264"/>
        <v>1551.82</v>
      </c>
      <c r="G244" s="580"/>
      <c r="H244" s="576">
        <f t="shared" si="248"/>
        <v>0</v>
      </c>
      <c r="I244" s="576">
        <f t="shared" si="268"/>
        <v>85.5</v>
      </c>
      <c r="J244" s="576">
        <f t="shared" si="266"/>
        <v>1551.82</v>
      </c>
      <c r="K244" s="576"/>
      <c r="L244" s="576">
        <f t="shared" si="249"/>
        <v>0</v>
      </c>
      <c r="M244" s="576"/>
      <c r="N244" s="576">
        <f t="shared" si="250"/>
        <v>0</v>
      </c>
      <c r="O244" s="576"/>
      <c r="P244" s="576">
        <f t="shared" si="251"/>
        <v>0</v>
      </c>
      <c r="Q244" s="576"/>
      <c r="R244" s="577">
        <f t="shared" si="252"/>
        <v>0</v>
      </c>
      <c r="S244" s="578"/>
      <c r="T244" s="576">
        <f t="shared" si="253"/>
        <v>0</v>
      </c>
      <c r="U244" s="576"/>
      <c r="V244" s="576">
        <f t="shared" si="254"/>
        <v>0</v>
      </c>
      <c r="W244" s="576"/>
      <c r="X244" s="576">
        <f t="shared" si="255"/>
        <v>0</v>
      </c>
      <c r="Y244" s="576"/>
      <c r="Z244" s="576">
        <f t="shared" si="256"/>
        <v>0</v>
      </c>
      <c r="AA244" s="576"/>
      <c r="AB244" s="576">
        <f t="shared" si="257"/>
        <v>0</v>
      </c>
      <c r="AC244" s="576"/>
      <c r="AD244" s="579">
        <f t="shared" si="258"/>
        <v>0</v>
      </c>
      <c r="AE244" s="580">
        <f t="shared" si="259"/>
        <v>85.5</v>
      </c>
      <c r="AF244" s="576">
        <f t="shared" si="267"/>
        <v>1551.82</v>
      </c>
      <c r="AG244" s="576">
        <f t="shared" si="261"/>
        <v>0</v>
      </c>
      <c r="AH244" s="579">
        <f t="shared" si="262"/>
        <v>0</v>
      </c>
      <c r="AK244" s="617">
        <f t="shared" si="227"/>
        <v>0</v>
      </c>
    </row>
    <row r="245" spans="1:37" ht="30">
      <c r="A245" s="570" t="s">
        <v>14191</v>
      </c>
      <c r="B245" s="571" t="str">
        <f>PLANILHA!D243</f>
        <v>FABRICAÇÃO DE FÔRMA PARA PILARES E ESTRUTURAS SIMILARES, EM CHAPA DE MADEIRA COMPENSADA RESINADA, E = 17 MM. AF_09/2020</v>
      </c>
      <c r="C245" s="572" t="str">
        <f>PLANILHA!E243</f>
        <v>M2</v>
      </c>
      <c r="D245" s="573">
        <f>PLANILHA!F243</f>
        <v>121.4</v>
      </c>
      <c r="E245" s="573">
        <f t="shared" si="265"/>
        <v>215.06</v>
      </c>
      <c r="F245" s="574">
        <f t="shared" si="264"/>
        <v>26108.28</v>
      </c>
      <c r="G245" s="580"/>
      <c r="H245" s="576">
        <f t="shared" si="248"/>
        <v>0</v>
      </c>
      <c r="I245" s="576">
        <f t="shared" si="268"/>
        <v>121.4</v>
      </c>
      <c r="J245" s="576">
        <f t="shared" si="266"/>
        <v>26108.28</v>
      </c>
      <c r="K245" s="576"/>
      <c r="L245" s="576">
        <f t="shared" si="249"/>
        <v>0</v>
      </c>
      <c r="M245" s="576"/>
      <c r="N245" s="576">
        <f t="shared" si="250"/>
        <v>0</v>
      </c>
      <c r="O245" s="576"/>
      <c r="P245" s="576">
        <f t="shared" si="251"/>
        <v>0</v>
      </c>
      <c r="Q245" s="576"/>
      <c r="R245" s="577">
        <f t="shared" si="252"/>
        <v>0</v>
      </c>
      <c r="S245" s="578"/>
      <c r="T245" s="576">
        <f t="shared" si="253"/>
        <v>0</v>
      </c>
      <c r="U245" s="576"/>
      <c r="V245" s="576">
        <f t="shared" si="254"/>
        <v>0</v>
      </c>
      <c r="W245" s="576"/>
      <c r="X245" s="576">
        <f t="shared" si="255"/>
        <v>0</v>
      </c>
      <c r="Y245" s="576"/>
      <c r="Z245" s="576">
        <f t="shared" si="256"/>
        <v>0</v>
      </c>
      <c r="AA245" s="576"/>
      <c r="AB245" s="576">
        <f t="shared" si="257"/>
        <v>0</v>
      </c>
      <c r="AC245" s="576"/>
      <c r="AD245" s="579">
        <f t="shared" si="258"/>
        <v>0</v>
      </c>
      <c r="AE245" s="580">
        <f t="shared" si="259"/>
        <v>121.4</v>
      </c>
      <c r="AF245" s="576">
        <f t="shared" si="267"/>
        <v>26108.28</v>
      </c>
      <c r="AG245" s="576">
        <f t="shared" si="261"/>
        <v>0</v>
      </c>
      <c r="AH245" s="579">
        <f t="shared" si="262"/>
        <v>0</v>
      </c>
      <c r="AK245" s="617">
        <f t="shared" si="227"/>
        <v>0</v>
      </c>
    </row>
    <row r="246" spans="1:37" ht="30">
      <c r="A246" s="570" t="s">
        <v>14192</v>
      </c>
      <c r="B246" s="571" t="str">
        <f>PLANILHA!D244</f>
        <v>IMPERMEABILIZAÇÃO DE SUPERFÍCIE COM EMULSÃO ASFÁLTICA, 2 DEMÃOS AF_06/2018</v>
      </c>
      <c r="C246" s="572" t="str">
        <f>PLANILHA!E244</f>
        <v>M2</v>
      </c>
      <c r="D246" s="573">
        <f>PLANILHA!F244</f>
        <v>41.28</v>
      </c>
      <c r="E246" s="573">
        <f t="shared" si="265"/>
        <v>71.89</v>
      </c>
      <c r="F246" s="574">
        <f t="shared" si="264"/>
        <v>2967.61</v>
      </c>
      <c r="G246" s="580"/>
      <c r="H246" s="576">
        <f t="shared" si="248"/>
        <v>0</v>
      </c>
      <c r="I246" s="576">
        <f t="shared" si="268"/>
        <v>41.28</v>
      </c>
      <c r="J246" s="576">
        <f t="shared" si="266"/>
        <v>2967.61</v>
      </c>
      <c r="K246" s="576"/>
      <c r="L246" s="576">
        <f t="shared" si="249"/>
        <v>0</v>
      </c>
      <c r="M246" s="576"/>
      <c r="N246" s="576">
        <f t="shared" si="250"/>
        <v>0</v>
      </c>
      <c r="O246" s="576"/>
      <c r="P246" s="576">
        <f t="shared" si="251"/>
        <v>0</v>
      </c>
      <c r="Q246" s="576"/>
      <c r="R246" s="577">
        <f t="shared" si="252"/>
        <v>0</v>
      </c>
      <c r="S246" s="578"/>
      <c r="T246" s="576">
        <f t="shared" si="253"/>
        <v>0</v>
      </c>
      <c r="U246" s="576"/>
      <c r="V246" s="576">
        <f t="shared" si="254"/>
        <v>0</v>
      </c>
      <c r="W246" s="576"/>
      <c r="X246" s="576">
        <f t="shared" si="255"/>
        <v>0</v>
      </c>
      <c r="Y246" s="576"/>
      <c r="Z246" s="576">
        <f t="shared" si="256"/>
        <v>0</v>
      </c>
      <c r="AA246" s="576"/>
      <c r="AB246" s="576">
        <f t="shared" si="257"/>
        <v>0</v>
      </c>
      <c r="AC246" s="576"/>
      <c r="AD246" s="579">
        <f t="shared" si="258"/>
        <v>0</v>
      </c>
      <c r="AE246" s="580">
        <f t="shared" si="259"/>
        <v>41.28</v>
      </c>
      <c r="AF246" s="576">
        <f t="shared" si="267"/>
        <v>2967.61</v>
      </c>
      <c r="AG246" s="576">
        <f t="shared" si="261"/>
        <v>0</v>
      </c>
      <c r="AH246" s="579">
        <f t="shared" si="262"/>
        <v>0</v>
      </c>
      <c r="AK246" s="617">
        <f t="shared" si="227"/>
        <v>0</v>
      </c>
    </row>
    <row r="247" spans="1:37" ht="45">
      <c r="A247" s="570" t="s">
        <v>14193</v>
      </c>
      <c r="B247" s="571" t="str">
        <f>PLANILHA!D245</f>
        <v>LAJE PRÉ-MOLDADA UNIDIRECIONAL, BIAPOIADA, PARA PISO, ENCHIMENTO EM CERÂMICA, VIGOTA CONVENCIONAL, ALTURA TOTAL DA LAJE (ENCHIMENTO+CAPA) = (8+4). AF_11/2020</v>
      </c>
      <c r="C247" s="572" t="str">
        <f>PLANILHA!E245</f>
        <v>M2</v>
      </c>
      <c r="D247" s="573">
        <f>PLANILHA!F245</f>
        <v>18.489999999999998</v>
      </c>
      <c r="E247" s="573">
        <f t="shared" si="265"/>
        <v>233.56</v>
      </c>
      <c r="F247" s="574">
        <f t="shared" si="264"/>
        <v>4318.5200000000004</v>
      </c>
      <c r="G247" s="580"/>
      <c r="H247" s="576">
        <f t="shared" si="248"/>
        <v>0</v>
      </c>
      <c r="I247" s="576">
        <f t="shared" si="268"/>
        <v>18.489999999999998</v>
      </c>
      <c r="J247" s="576">
        <f t="shared" si="266"/>
        <v>4318.5200000000004</v>
      </c>
      <c r="K247" s="576"/>
      <c r="L247" s="576">
        <f t="shared" si="249"/>
        <v>0</v>
      </c>
      <c r="M247" s="576"/>
      <c r="N247" s="576">
        <f t="shared" si="250"/>
        <v>0</v>
      </c>
      <c r="O247" s="576"/>
      <c r="P247" s="576">
        <f t="shared" si="251"/>
        <v>0</v>
      </c>
      <c r="Q247" s="576"/>
      <c r="R247" s="577">
        <f t="shared" si="252"/>
        <v>0</v>
      </c>
      <c r="S247" s="578"/>
      <c r="T247" s="576">
        <f t="shared" si="253"/>
        <v>0</v>
      </c>
      <c r="U247" s="576"/>
      <c r="V247" s="576">
        <f t="shared" si="254"/>
        <v>0</v>
      </c>
      <c r="W247" s="576"/>
      <c r="X247" s="576">
        <f t="shared" si="255"/>
        <v>0</v>
      </c>
      <c r="Y247" s="576"/>
      <c r="Z247" s="576">
        <f t="shared" si="256"/>
        <v>0</v>
      </c>
      <c r="AA247" s="576"/>
      <c r="AB247" s="576">
        <f t="shared" si="257"/>
        <v>0</v>
      </c>
      <c r="AC247" s="576"/>
      <c r="AD247" s="579">
        <f t="shared" si="258"/>
        <v>0</v>
      </c>
      <c r="AE247" s="580">
        <f t="shared" si="259"/>
        <v>18.489999999999998</v>
      </c>
      <c r="AF247" s="576">
        <f t="shared" si="267"/>
        <v>4318.5200000000004</v>
      </c>
      <c r="AG247" s="576">
        <f t="shared" si="261"/>
        <v>0</v>
      </c>
      <c r="AH247" s="579">
        <f t="shared" si="262"/>
        <v>0</v>
      </c>
      <c r="AK247" s="617">
        <f t="shared" si="227"/>
        <v>0</v>
      </c>
    </row>
    <row r="248" spans="1:37" s="569" customFormat="1">
      <c r="A248" s="581" t="s">
        <v>27227</v>
      </c>
      <c r="B248" s="582"/>
      <c r="C248" s="583"/>
      <c r="D248" s="584"/>
      <c r="E248" s="584"/>
      <c r="F248" s="585">
        <f t="shared" si="264"/>
        <v>75112.12</v>
      </c>
      <c r="G248" s="586"/>
      <c r="H248" s="584">
        <f>SUM(H240:H247)</f>
        <v>0</v>
      </c>
      <c r="I248" s="584"/>
      <c r="J248" s="584">
        <f>SUM(J240:J247)</f>
        <v>75112.12</v>
      </c>
      <c r="K248" s="584"/>
      <c r="L248" s="584">
        <f>SUM(L240:L247)</f>
        <v>0</v>
      </c>
      <c r="M248" s="584"/>
      <c r="N248" s="584">
        <f>SUM(N240:N247)</f>
        <v>0</v>
      </c>
      <c r="O248" s="584"/>
      <c r="P248" s="584">
        <f>SUM(P240:P247)</f>
        <v>0</v>
      </c>
      <c r="Q248" s="584"/>
      <c r="R248" s="587">
        <f>SUM(R240:R247)</f>
        <v>0</v>
      </c>
      <c r="S248" s="588"/>
      <c r="T248" s="584">
        <f>SUM(T240:T247)</f>
        <v>0</v>
      </c>
      <c r="U248" s="584"/>
      <c r="V248" s="584">
        <f>SUM(V240:V247)</f>
        <v>0</v>
      </c>
      <c r="W248" s="584"/>
      <c r="X248" s="584">
        <f>SUM(X240:X247)</f>
        <v>0</v>
      </c>
      <c r="Y248" s="584"/>
      <c r="Z248" s="584">
        <f>SUM(Z240:Z247)</f>
        <v>0</v>
      </c>
      <c r="AA248" s="584"/>
      <c r="AB248" s="584">
        <f>SUM(AB240:AB247)</f>
        <v>0</v>
      </c>
      <c r="AC248" s="584"/>
      <c r="AD248" s="585">
        <f>SUM(AD240:AD247)</f>
        <v>0</v>
      </c>
      <c r="AE248" s="590"/>
      <c r="AF248" s="584">
        <f>SUM(AF240:AF247)</f>
        <v>75112.12</v>
      </c>
      <c r="AG248" s="591"/>
      <c r="AH248" s="585">
        <f>SUM(AH240:AH247)</f>
        <v>0</v>
      </c>
      <c r="AI248" s="568"/>
      <c r="AK248" s="617">
        <f t="shared" si="227"/>
        <v>0</v>
      </c>
    </row>
    <row r="249" spans="1:37">
      <c r="A249" s="570"/>
      <c r="B249" s="571"/>
      <c r="C249" s="572"/>
      <c r="D249" s="573"/>
      <c r="E249" s="573"/>
      <c r="F249" s="574"/>
      <c r="G249" s="580"/>
      <c r="H249" s="576"/>
      <c r="I249" s="576"/>
      <c r="J249" s="576"/>
      <c r="K249" s="576"/>
      <c r="L249" s="576"/>
      <c r="M249" s="576"/>
      <c r="N249" s="576"/>
      <c r="O249" s="576"/>
      <c r="P249" s="576"/>
      <c r="Q249" s="576"/>
      <c r="R249" s="577"/>
      <c r="S249" s="578"/>
      <c r="T249" s="576"/>
      <c r="U249" s="576"/>
      <c r="V249" s="576"/>
      <c r="W249" s="576"/>
      <c r="X249" s="576"/>
      <c r="Y249" s="576"/>
      <c r="Z249" s="576"/>
      <c r="AA249" s="576"/>
      <c r="AB249" s="576"/>
      <c r="AC249" s="576"/>
      <c r="AD249" s="579"/>
      <c r="AE249" s="580"/>
      <c r="AF249" s="576"/>
      <c r="AG249" s="576"/>
      <c r="AH249" s="579"/>
      <c r="AK249" s="617">
        <f t="shared" si="227"/>
        <v>0</v>
      </c>
    </row>
    <row r="250" spans="1:37">
      <c r="A250" s="570" t="s">
        <v>14198</v>
      </c>
      <c r="B250" s="571" t="str">
        <f>PLANILHA!D248</f>
        <v>SERVIÇOS COMPLEMENTARES</v>
      </c>
      <c r="C250" s="572"/>
      <c r="D250" s="573"/>
      <c r="E250" s="573">
        <f>VLOOKUP(A250,PLANILHA,$G$7,0)</f>
        <v>0</v>
      </c>
      <c r="F250" s="574">
        <f>VLOOKUP(A250,PLANILHA,$G$6,0)</f>
        <v>0</v>
      </c>
      <c r="G250" s="580"/>
      <c r="H250" s="576"/>
      <c r="I250" s="576"/>
      <c r="J250" s="576"/>
      <c r="K250" s="576"/>
      <c r="L250" s="576"/>
      <c r="M250" s="576"/>
      <c r="N250" s="576"/>
      <c r="O250" s="576"/>
      <c r="P250" s="576"/>
      <c r="Q250" s="576"/>
      <c r="R250" s="577"/>
      <c r="S250" s="578"/>
      <c r="T250" s="576"/>
      <c r="U250" s="576"/>
      <c r="V250" s="576"/>
      <c r="W250" s="576"/>
      <c r="X250" s="576"/>
      <c r="Y250" s="576"/>
      <c r="Z250" s="576"/>
      <c r="AA250" s="576"/>
      <c r="AB250" s="576"/>
      <c r="AC250" s="576"/>
      <c r="AD250" s="579"/>
      <c r="AE250" s="580"/>
      <c r="AF250" s="576"/>
      <c r="AG250" s="576"/>
      <c r="AH250" s="579"/>
      <c r="AK250" s="617">
        <f t="shared" si="227"/>
        <v>0</v>
      </c>
    </row>
    <row r="251" spans="1:37">
      <c r="A251" s="570" t="s">
        <v>14199</v>
      </c>
      <c r="B251" s="571" t="str">
        <f>PLANILHA!D249</f>
        <v>TAMPA EM FERRO FUNDIDO, FORNECIMENTO E INSTALAÇÃO</v>
      </c>
      <c r="C251" s="572" t="str">
        <f>PLANILHA!E249</f>
        <v>und</v>
      </c>
      <c r="D251" s="573">
        <f>PLANILHA!F249</f>
        <v>1</v>
      </c>
      <c r="E251" s="573">
        <f>VLOOKUP(A251,PLANILHA,$G$7,0)</f>
        <v>1093.52</v>
      </c>
      <c r="F251" s="574">
        <f>VLOOKUP(A251,PLANILHA,$G$6,0)</f>
        <v>1093.52</v>
      </c>
      <c r="G251" s="580"/>
      <c r="H251" s="576">
        <f>G251*$E251</f>
        <v>0</v>
      </c>
      <c r="I251" s="576">
        <f>D251</f>
        <v>1</v>
      </c>
      <c r="J251" s="576">
        <f t="shared" ref="J251:J252" si="269">TRUNC(I251*$E251,2)</f>
        <v>1093.52</v>
      </c>
      <c r="K251" s="576"/>
      <c r="L251" s="576">
        <f>K251*$E251</f>
        <v>0</v>
      </c>
      <c r="M251" s="576"/>
      <c r="N251" s="576">
        <f>M251*$E251</f>
        <v>0</v>
      </c>
      <c r="O251" s="576"/>
      <c r="P251" s="576">
        <f>O251*$E251</f>
        <v>0</v>
      </c>
      <c r="Q251" s="576"/>
      <c r="R251" s="577">
        <f>Q251*$E251</f>
        <v>0</v>
      </c>
      <c r="S251" s="578"/>
      <c r="T251" s="576">
        <f>S251*$E251</f>
        <v>0</v>
      </c>
      <c r="U251" s="576"/>
      <c r="V251" s="576">
        <f>U251*$E251</f>
        <v>0</v>
      </c>
      <c r="W251" s="576"/>
      <c r="X251" s="576">
        <f>W251*$E251</f>
        <v>0</v>
      </c>
      <c r="Y251" s="576"/>
      <c r="Z251" s="576">
        <f>Y251*$E251</f>
        <v>0</v>
      </c>
      <c r="AA251" s="576"/>
      <c r="AB251" s="576">
        <f>AA251*$E251</f>
        <v>0</v>
      </c>
      <c r="AC251" s="576"/>
      <c r="AD251" s="579">
        <f>AC251*$E251</f>
        <v>0</v>
      </c>
      <c r="AE251" s="580">
        <f>AC251+AA251+Y251+W251+U251+S251+Q251+O251+M251+K251+I251+G251</f>
        <v>1</v>
      </c>
      <c r="AF251" s="576">
        <f t="shared" ref="AF251:AF252" si="270">TRUNC(AE251*E251,2)</f>
        <v>1093.52</v>
      </c>
      <c r="AG251" s="576">
        <f>D251-AE251</f>
        <v>0</v>
      </c>
      <c r="AH251" s="579">
        <f>AG251*E251</f>
        <v>0</v>
      </c>
      <c r="AK251" s="617">
        <f t="shared" si="227"/>
        <v>0</v>
      </c>
    </row>
    <row r="252" spans="1:37" ht="30">
      <c r="A252" s="570" t="s">
        <v>27465</v>
      </c>
      <c r="B252" s="571" t="str">
        <f>PLANILHA!D250</f>
        <v>CAIXA D´ÁGUA EM POLIÉSTER REFORÇADO COM FIBRA DE VIDRO, 10000 LITROS - FORNECIMENTO E INSTALAÇÃO. AF_06/2021</v>
      </c>
      <c r="C252" s="572" t="str">
        <f>PLANILHA!E250</f>
        <v>UN</v>
      </c>
      <c r="D252" s="573">
        <f>PLANILHA!F250</f>
        <v>1</v>
      </c>
      <c r="E252" s="573">
        <f>VLOOKUP(A252,PLANILHA,$G$7,0)</f>
        <v>6916.83</v>
      </c>
      <c r="F252" s="574">
        <f>VLOOKUP(A252,PLANILHA,$G$6,0)</f>
        <v>6916.83</v>
      </c>
      <c r="G252" s="580"/>
      <c r="H252" s="576">
        <f>G252*$E252</f>
        <v>0</v>
      </c>
      <c r="I252" s="576">
        <f>D252</f>
        <v>1</v>
      </c>
      <c r="J252" s="576">
        <f t="shared" si="269"/>
        <v>6916.83</v>
      </c>
      <c r="K252" s="576"/>
      <c r="L252" s="576">
        <f>K252*$E252</f>
        <v>0</v>
      </c>
      <c r="M252" s="576"/>
      <c r="N252" s="576">
        <f>M252*$E252</f>
        <v>0</v>
      </c>
      <c r="O252" s="576"/>
      <c r="P252" s="576">
        <f>O252*$E252</f>
        <v>0</v>
      </c>
      <c r="Q252" s="576"/>
      <c r="R252" s="577">
        <f>Q252*$E252</f>
        <v>0</v>
      </c>
      <c r="S252" s="578"/>
      <c r="T252" s="576">
        <f>S252*$E252</f>
        <v>0</v>
      </c>
      <c r="U252" s="576"/>
      <c r="V252" s="576">
        <f>U252*$E252</f>
        <v>0</v>
      </c>
      <c r="W252" s="576"/>
      <c r="X252" s="576">
        <f>W252*$E252</f>
        <v>0</v>
      </c>
      <c r="Y252" s="576"/>
      <c r="Z252" s="576">
        <f>Y252*$E252</f>
        <v>0</v>
      </c>
      <c r="AA252" s="576"/>
      <c r="AB252" s="576">
        <f>AA252*$E252</f>
        <v>0</v>
      </c>
      <c r="AC252" s="576"/>
      <c r="AD252" s="579">
        <f>AC252*$E252</f>
        <v>0</v>
      </c>
      <c r="AE252" s="580">
        <f>AC252+AA252+Y252+W252+U252+S252+Q252+O252+M252+K252+I252+G252</f>
        <v>1</v>
      </c>
      <c r="AF252" s="576">
        <f t="shared" si="270"/>
        <v>6916.83</v>
      </c>
      <c r="AG252" s="576">
        <f>D252-AE252</f>
        <v>0</v>
      </c>
      <c r="AH252" s="579">
        <f>AG252*E252</f>
        <v>0</v>
      </c>
      <c r="AK252" s="617">
        <f t="shared" si="227"/>
        <v>0</v>
      </c>
    </row>
    <row r="253" spans="1:37" s="569" customFormat="1">
      <c r="A253" s="581" t="s">
        <v>27254</v>
      </c>
      <c r="B253" s="582"/>
      <c r="C253" s="583"/>
      <c r="D253" s="584"/>
      <c r="E253" s="584"/>
      <c r="F253" s="585">
        <f>VLOOKUP(A253,PLANILHA,$G$6,0)</f>
        <v>8010.35</v>
      </c>
      <c r="G253" s="586"/>
      <c r="H253" s="584">
        <f>SUM(H251:H252)</f>
        <v>0</v>
      </c>
      <c r="I253" s="584"/>
      <c r="J253" s="584">
        <f>SUM(J251:J252)</f>
        <v>8010.35</v>
      </c>
      <c r="K253" s="584"/>
      <c r="L253" s="584">
        <f>SUM(L251:L252)</f>
        <v>0</v>
      </c>
      <c r="M253" s="584"/>
      <c r="N253" s="584">
        <f>SUM(N251:N252)</f>
        <v>0</v>
      </c>
      <c r="O253" s="584"/>
      <c r="P253" s="584">
        <f>SUM(P251:P252)</f>
        <v>0</v>
      </c>
      <c r="Q253" s="584"/>
      <c r="R253" s="584">
        <f>SUM(R251:R252)</f>
        <v>0</v>
      </c>
      <c r="S253" s="588"/>
      <c r="T253" s="584">
        <f>SUM(T251:T252)</f>
        <v>0</v>
      </c>
      <c r="U253" s="584"/>
      <c r="V253" s="584">
        <f>SUM(V251:V252)</f>
        <v>0</v>
      </c>
      <c r="W253" s="584"/>
      <c r="X253" s="584">
        <f>SUM(X251:X252)</f>
        <v>0</v>
      </c>
      <c r="Y253" s="584"/>
      <c r="Z253" s="584">
        <f>SUM(Z251:Z252)</f>
        <v>0</v>
      </c>
      <c r="AA253" s="584"/>
      <c r="AB253" s="584">
        <f>SUM(AB251:AB252)</f>
        <v>0</v>
      </c>
      <c r="AC253" s="584"/>
      <c r="AD253" s="584">
        <f>SUM(AD251:AD252)</f>
        <v>0</v>
      </c>
      <c r="AE253" s="590"/>
      <c r="AF253" s="584">
        <f>SUM(AF251:AF252)</f>
        <v>8010.35</v>
      </c>
      <c r="AG253" s="591"/>
      <c r="AH253" s="584">
        <f>SUM(AH251:AH252)</f>
        <v>0</v>
      </c>
      <c r="AI253" s="568"/>
      <c r="AK253" s="617">
        <f t="shared" si="227"/>
        <v>0</v>
      </c>
    </row>
    <row r="254" spans="1:37">
      <c r="A254" s="570"/>
      <c r="B254" s="571"/>
      <c r="C254" s="572"/>
      <c r="D254" s="573"/>
      <c r="E254" s="573"/>
      <c r="F254" s="574"/>
      <c r="G254" s="580"/>
      <c r="H254" s="576"/>
      <c r="I254" s="576"/>
      <c r="J254" s="576"/>
      <c r="K254" s="576"/>
      <c r="L254" s="576"/>
      <c r="M254" s="576"/>
      <c r="N254" s="576"/>
      <c r="O254" s="576"/>
      <c r="P254" s="576"/>
      <c r="Q254" s="576"/>
      <c r="R254" s="577"/>
      <c r="S254" s="578"/>
      <c r="T254" s="576"/>
      <c r="U254" s="576"/>
      <c r="V254" s="576"/>
      <c r="W254" s="576"/>
      <c r="X254" s="576"/>
      <c r="Y254" s="576"/>
      <c r="Z254" s="576"/>
      <c r="AA254" s="576"/>
      <c r="AB254" s="576"/>
      <c r="AC254" s="576"/>
      <c r="AD254" s="579"/>
      <c r="AE254" s="580"/>
      <c r="AF254" s="576"/>
      <c r="AG254" s="576"/>
      <c r="AH254" s="579"/>
      <c r="AK254" s="617">
        <f t="shared" si="227"/>
        <v>0</v>
      </c>
    </row>
    <row r="255" spans="1:37" s="569" customFormat="1">
      <c r="A255" s="581" t="s">
        <v>14621</v>
      </c>
      <c r="B255" s="582"/>
      <c r="C255" s="583"/>
      <c r="D255" s="584"/>
      <c r="E255" s="584"/>
      <c r="F255" s="585">
        <f>VLOOKUP(A255,PLANILHA,$G$6,0)</f>
        <v>146139.32</v>
      </c>
      <c r="G255" s="586"/>
      <c r="H255" s="584">
        <f>SUM(H178:H253)/2</f>
        <v>0</v>
      </c>
      <c r="I255" s="584"/>
      <c r="J255" s="584">
        <f>SUM(J178:J253)/2</f>
        <v>94972.7</v>
      </c>
      <c r="K255" s="584"/>
      <c r="L255" s="584">
        <f>SUM(L178:L253)/2</f>
        <v>0</v>
      </c>
      <c r="M255" s="584"/>
      <c r="N255" s="584">
        <f>SUM(N178:N253)/2</f>
        <v>0</v>
      </c>
      <c r="O255" s="584"/>
      <c r="P255" s="584">
        <f>SUM(P178:P253)/2</f>
        <v>0</v>
      </c>
      <c r="Q255" s="584"/>
      <c r="R255" s="587">
        <f>SUM(R178:R253)/2</f>
        <v>0</v>
      </c>
      <c r="S255" s="588"/>
      <c r="T255" s="584">
        <f>SUM(T178:T253)/2</f>
        <v>0</v>
      </c>
      <c r="U255" s="584"/>
      <c r="V255" s="584">
        <f>SUM(V178:V253)/2</f>
        <v>47420.800000000017</v>
      </c>
      <c r="W255" s="584"/>
      <c r="X255" s="584">
        <f>SUM(X178:X253)/2</f>
        <v>0</v>
      </c>
      <c r="Y255" s="584"/>
      <c r="Z255" s="584">
        <f>SUM(Z178:Z253)/2</f>
        <v>0</v>
      </c>
      <c r="AA255" s="584"/>
      <c r="AB255" s="584">
        <f>SUM(AB178:AB253)/2</f>
        <v>0</v>
      </c>
      <c r="AC255" s="584"/>
      <c r="AD255" s="585">
        <f>SUM(AD178:AD253)/2</f>
        <v>3745.82</v>
      </c>
      <c r="AE255" s="590"/>
      <c r="AF255" s="584">
        <f>SUM(AF178:AF253)/2</f>
        <v>146139.32000000004</v>
      </c>
      <c r="AG255" s="591"/>
      <c r="AH255" s="585">
        <f>SUM(AH178:AH253)/2</f>
        <v>0</v>
      </c>
      <c r="AI255" s="568"/>
      <c r="AK255" s="617">
        <f t="shared" si="227"/>
        <v>0</v>
      </c>
    </row>
    <row r="256" spans="1:37">
      <c r="A256" s="570"/>
      <c r="B256" s="571"/>
      <c r="C256" s="572"/>
      <c r="D256" s="573"/>
      <c r="E256" s="573"/>
      <c r="F256" s="574"/>
      <c r="G256" s="580"/>
      <c r="H256" s="576"/>
      <c r="I256" s="576"/>
      <c r="J256" s="576"/>
      <c r="K256" s="576"/>
      <c r="L256" s="576"/>
      <c r="M256" s="576"/>
      <c r="N256" s="576"/>
      <c r="O256" s="576"/>
      <c r="P256" s="576"/>
      <c r="Q256" s="576"/>
      <c r="R256" s="577"/>
      <c r="S256" s="578"/>
      <c r="T256" s="576"/>
      <c r="U256" s="576"/>
      <c r="V256" s="576"/>
      <c r="W256" s="576"/>
      <c r="X256" s="576"/>
      <c r="Y256" s="576"/>
      <c r="Z256" s="576"/>
      <c r="AA256" s="576"/>
      <c r="AB256" s="576"/>
      <c r="AC256" s="576"/>
      <c r="AD256" s="579"/>
      <c r="AE256" s="580"/>
      <c r="AF256" s="576"/>
      <c r="AG256" s="576"/>
      <c r="AH256" s="579"/>
      <c r="AK256" s="617">
        <f t="shared" si="227"/>
        <v>0</v>
      </c>
    </row>
    <row r="257" spans="1:37" s="569" customFormat="1">
      <c r="A257" s="558" t="s">
        <v>13983</v>
      </c>
      <c r="B257" s="559" t="str">
        <f>PLANILHA!D255</f>
        <v xml:space="preserve">ELÉTRICA </v>
      </c>
      <c r="C257" s="560"/>
      <c r="D257" s="561"/>
      <c r="E257" s="561"/>
      <c r="F257" s="562">
        <f t="shared" ref="F257:F271" si="271">VLOOKUP(A257,PLANILHA,$G$6,0)</f>
        <v>0</v>
      </c>
      <c r="G257" s="563"/>
      <c r="H257" s="564"/>
      <c r="I257" s="564"/>
      <c r="J257" s="564"/>
      <c r="K257" s="564"/>
      <c r="L257" s="564"/>
      <c r="M257" s="564"/>
      <c r="N257" s="564"/>
      <c r="O257" s="564"/>
      <c r="P257" s="564"/>
      <c r="Q257" s="564"/>
      <c r="R257" s="565"/>
      <c r="S257" s="566"/>
      <c r="T257" s="564"/>
      <c r="U257" s="564"/>
      <c r="V257" s="564"/>
      <c r="W257" s="564"/>
      <c r="X257" s="564"/>
      <c r="Y257" s="564"/>
      <c r="Z257" s="564"/>
      <c r="AA257" s="564"/>
      <c r="AB257" s="564"/>
      <c r="AC257" s="564"/>
      <c r="AD257" s="567"/>
      <c r="AE257" s="563"/>
      <c r="AF257" s="564"/>
      <c r="AG257" s="564"/>
      <c r="AH257" s="567"/>
      <c r="AI257" s="568"/>
      <c r="AK257" s="617">
        <f t="shared" si="227"/>
        <v>0</v>
      </c>
    </row>
    <row r="258" spans="1:37" s="569" customFormat="1">
      <c r="A258" s="592" t="s">
        <v>13984</v>
      </c>
      <c r="B258" s="593" t="str">
        <f>PLANILHA!D256</f>
        <v>ELÉTRICA INCÊNDIO</v>
      </c>
      <c r="C258" s="594"/>
      <c r="D258" s="589"/>
      <c r="E258" s="589"/>
      <c r="F258" s="595">
        <f t="shared" si="271"/>
        <v>0</v>
      </c>
      <c r="G258" s="596"/>
      <c r="H258" s="597"/>
      <c r="I258" s="597"/>
      <c r="J258" s="597"/>
      <c r="K258" s="597"/>
      <c r="L258" s="597"/>
      <c r="M258" s="597"/>
      <c r="N258" s="597"/>
      <c r="O258" s="597"/>
      <c r="P258" s="597"/>
      <c r="Q258" s="597"/>
      <c r="R258" s="598"/>
      <c r="S258" s="599"/>
      <c r="T258" s="597"/>
      <c r="U258" s="597"/>
      <c r="V258" s="597"/>
      <c r="W258" s="597"/>
      <c r="X258" s="597"/>
      <c r="Y258" s="597"/>
      <c r="Z258" s="597"/>
      <c r="AA258" s="597"/>
      <c r="AB258" s="597"/>
      <c r="AC258" s="597"/>
      <c r="AD258" s="600"/>
      <c r="AE258" s="596"/>
      <c r="AF258" s="597"/>
      <c r="AG258" s="597"/>
      <c r="AH258" s="600"/>
      <c r="AI258" s="568"/>
      <c r="AK258" s="617">
        <f t="shared" si="227"/>
        <v>0</v>
      </c>
    </row>
    <row r="259" spans="1:37" ht="45">
      <c r="A259" s="570" t="s">
        <v>13985</v>
      </c>
      <c r="B259" s="571" t="str">
        <f>PLANILHA!D257</f>
        <v>ELETRODUTO DE AÇO GALVANIZADO, CLASSE LEVE, DN 20 MM (3/4), APARENTE, INSTALADO EM TETO - FORNECIMENTO E INSTALAÇÃO. AF_11/2016_P</v>
      </c>
      <c r="C259" s="572" t="str">
        <f>PLANILHA!E257</f>
        <v>M</v>
      </c>
      <c r="D259" s="573">
        <f>PLANILHA!F257</f>
        <v>28</v>
      </c>
      <c r="E259" s="573">
        <f t="shared" ref="E259:E270" si="272">VLOOKUP(A259,PLANILHA,$G$7,0)</f>
        <v>23.87</v>
      </c>
      <c r="F259" s="574">
        <f t="shared" si="271"/>
        <v>668.36</v>
      </c>
      <c r="G259" s="580"/>
      <c r="H259" s="576">
        <f t="shared" ref="H259:H266" si="273">G259*$E259</f>
        <v>0</v>
      </c>
      <c r="I259" s="576"/>
      <c r="J259" s="576">
        <f t="shared" ref="J259:J266" si="274">I259*$E259</f>
        <v>0</v>
      </c>
      <c r="K259" s="576"/>
      <c r="L259" s="576">
        <f t="shared" ref="L259:L266" si="275">K259*$E259</f>
        <v>0</v>
      </c>
      <c r="M259" s="576">
        <f>D259</f>
        <v>28</v>
      </c>
      <c r="N259" s="576">
        <f>TRUNC(M259*$E259,2)</f>
        <v>668.36</v>
      </c>
      <c r="O259" s="576"/>
      <c r="P259" s="576">
        <f t="shared" ref="P259:P266" si="276">O259*$E259</f>
        <v>0</v>
      </c>
      <c r="Q259" s="576"/>
      <c r="R259" s="577">
        <f t="shared" ref="R259:R266" si="277">Q259*$E259</f>
        <v>0</v>
      </c>
      <c r="S259" s="578"/>
      <c r="T259" s="576">
        <f t="shared" ref="T259:T266" si="278">S259*$E259</f>
        <v>0</v>
      </c>
      <c r="U259" s="576"/>
      <c r="V259" s="576">
        <f t="shared" ref="V259:V266" si="279">U259*$E259</f>
        <v>0</v>
      </c>
      <c r="W259" s="576"/>
      <c r="X259" s="576">
        <f t="shared" ref="X259:X266" si="280">W259*$E259</f>
        <v>0</v>
      </c>
      <c r="Y259" s="576"/>
      <c r="Z259" s="576">
        <f t="shared" ref="Z259:Z266" si="281">Y259*$E259</f>
        <v>0</v>
      </c>
      <c r="AA259" s="576"/>
      <c r="AB259" s="576">
        <f t="shared" ref="AB259:AB266" si="282">AA259*$E259</f>
        <v>0</v>
      </c>
      <c r="AC259" s="576"/>
      <c r="AD259" s="579">
        <f t="shared" ref="AD259:AD266" si="283">AC259*$E259</f>
        <v>0</v>
      </c>
      <c r="AE259" s="580">
        <f t="shared" ref="AE259:AE266" si="284">AC259+AA259+Y259+W259+U259+S259+Q259+O259+M259+K259+I259+G259</f>
        <v>28</v>
      </c>
      <c r="AF259" s="576">
        <f t="shared" ref="AF259:AF270" si="285">TRUNC(AE259*E259,2)</f>
        <v>668.36</v>
      </c>
      <c r="AG259" s="576">
        <f t="shared" ref="AG259:AG266" si="286">D259-AE259</f>
        <v>0</v>
      </c>
      <c r="AH259" s="579">
        <f t="shared" ref="AH259:AH266" si="287">AG259*E259</f>
        <v>0</v>
      </c>
      <c r="AK259" s="617">
        <f t="shared" si="227"/>
        <v>0</v>
      </c>
    </row>
    <row r="260" spans="1:37" ht="45">
      <c r="A260" s="570" t="s">
        <v>13986</v>
      </c>
      <c r="B260" s="571" t="str">
        <f>PLANILHA!D258</f>
        <v>ELETRODUTO DE AÇO GALVANIZADO, CLASSE LEVE, DN 25 MM (1), APARENTE, INSTALADO EM TETO - FORNECIMENTO E INSTALAÇÃO. AF_11/2016_P</v>
      </c>
      <c r="C260" s="572" t="str">
        <f>PLANILHA!E258</f>
        <v>M</v>
      </c>
      <c r="D260" s="573">
        <f>PLANILHA!F258</f>
        <v>45</v>
      </c>
      <c r="E260" s="573">
        <f t="shared" si="272"/>
        <v>29.55</v>
      </c>
      <c r="F260" s="574">
        <f t="shared" si="271"/>
        <v>1329.75</v>
      </c>
      <c r="G260" s="580"/>
      <c r="H260" s="576">
        <f t="shared" si="273"/>
        <v>0</v>
      </c>
      <c r="I260" s="576"/>
      <c r="J260" s="576">
        <f t="shared" si="274"/>
        <v>0</v>
      </c>
      <c r="K260" s="576"/>
      <c r="L260" s="576">
        <f t="shared" si="275"/>
        <v>0</v>
      </c>
      <c r="M260" s="576">
        <f t="shared" ref="M260:M270" si="288">D260</f>
        <v>45</v>
      </c>
      <c r="N260" s="576">
        <f t="shared" ref="N260:N270" si="289">TRUNC(M260*$E260,2)</f>
        <v>1329.75</v>
      </c>
      <c r="O260" s="576"/>
      <c r="P260" s="576">
        <f t="shared" si="276"/>
        <v>0</v>
      </c>
      <c r="Q260" s="576"/>
      <c r="R260" s="577">
        <f t="shared" si="277"/>
        <v>0</v>
      </c>
      <c r="S260" s="578"/>
      <c r="T260" s="576">
        <f t="shared" si="278"/>
        <v>0</v>
      </c>
      <c r="U260" s="576"/>
      <c r="V260" s="576">
        <f t="shared" si="279"/>
        <v>0</v>
      </c>
      <c r="W260" s="576"/>
      <c r="X260" s="576">
        <f t="shared" si="280"/>
        <v>0</v>
      </c>
      <c r="Y260" s="576"/>
      <c r="Z260" s="576">
        <f t="shared" si="281"/>
        <v>0</v>
      </c>
      <c r="AA260" s="576"/>
      <c r="AB260" s="576">
        <f t="shared" si="282"/>
        <v>0</v>
      </c>
      <c r="AC260" s="576"/>
      <c r="AD260" s="579">
        <f t="shared" si="283"/>
        <v>0</v>
      </c>
      <c r="AE260" s="580">
        <f t="shared" si="284"/>
        <v>45</v>
      </c>
      <c r="AF260" s="576">
        <f t="shared" si="285"/>
        <v>1329.75</v>
      </c>
      <c r="AG260" s="576">
        <f t="shared" si="286"/>
        <v>0</v>
      </c>
      <c r="AH260" s="579">
        <f t="shared" si="287"/>
        <v>0</v>
      </c>
      <c r="AK260" s="617">
        <f t="shared" si="227"/>
        <v>0</v>
      </c>
    </row>
    <row r="261" spans="1:37" ht="45">
      <c r="A261" s="570" t="s">
        <v>13987</v>
      </c>
      <c r="B261" s="571" t="str">
        <f>PLANILHA!D259</f>
        <v>CONDULETE DE ALUMÍNIO, TIPO X, PARA ELETRODUTO DE AÇO GALVANIZADO DN 20 MM (3/4''), APARENTE - FORNECIMENTO E INSTALAÇÃO. AF_11/2016_P</v>
      </c>
      <c r="C261" s="572" t="str">
        <f>PLANILHA!E259</f>
        <v>UN</v>
      </c>
      <c r="D261" s="573">
        <f>PLANILHA!F259</f>
        <v>8</v>
      </c>
      <c r="E261" s="573">
        <f t="shared" si="272"/>
        <v>40.44</v>
      </c>
      <c r="F261" s="574">
        <f t="shared" si="271"/>
        <v>323.52</v>
      </c>
      <c r="G261" s="580"/>
      <c r="H261" s="576">
        <f t="shared" si="273"/>
        <v>0</v>
      </c>
      <c r="I261" s="576"/>
      <c r="J261" s="576">
        <f t="shared" si="274"/>
        <v>0</v>
      </c>
      <c r="K261" s="576"/>
      <c r="L261" s="576">
        <f t="shared" si="275"/>
        <v>0</v>
      </c>
      <c r="M261" s="576">
        <f t="shared" si="288"/>
        <v>8</v>
      </c>
      <c r="N261" s="576">
        <f t="shared" si="289"/>
        <v>323.52</v>
      </c>
      <c r="O261" s="576"/>
      <c r="P261" s="576">
        <f t="shared" si="276"/>
        <v>0</v>
      </c>
      <c r="Q261" s="576"/>
      <c r="R261" s="577">
        <f t="shared" si="277"/>
        <v>0</v>
      </c>
      <c r="S261" s="578"/>
      <c r="T261" s="576">
        <f t="shared" si="278"/>
        <v>0</v>
      </c>
      <c r="U261" s="576"/>
      <c r="V261" s="576">
        <f t="shared" si="279"/>
        <v>0</v>
      </c>
      <c r="W261" s="576"/>
      <c r="X261" s="576">
        <f t="shared" si="280"/>
        <v>0</v>
      </c>
      <c r="Y261" s="576"/>
      <c r="Z261" s="576">
        <f t="shared" si="281"/>
        <v>0</v>
      </c>
      <c r="AA261" s="576"/>
      <c r="AB261" s="576">
        <f t="shared" si="282"/>
        <v>0</v>
      </c>
      <c r="AC261" s="576"/>
      <c r="AD261" s="579">
        <f t="shared" si="283"/>
        <v>0</v>
      </c>
      <c r="AE261" s="580">
        <f t="shared" si="284"/>
        <v>8</v>
      </c>
      <c r="AF261" s="576">
        <f t="shared" si="285"/>
        <v>323.52</v>
      </c>
      <c r="AG261" s="576">
        <f t="shared" si="286"/>
        <v>0</v>
      </c>
      <c r="AH261" s="579">
        <f t="shared" si="287"/>
        <v>0</v>
      </c>
      <c r="AK261" s="617">
        <f t="shared" si="227"/>
        <v>0</v>
      </c>
    </row>
    <row r="262" spans="1:37" ht="45">
      <c r="A262" s="570" t="s">
        <v>13988</v>
      </c>
      <c r="B262" s="571" t="str">
        <f>PLANILHA!D260</f>
        <v>CONDULETE DE ALUMÍNIO, TIPO X, PARA ELETRODUTO DE AÇO GALVANIZADO DN 25 MM (1''), APARENTE - FORNECIMENTO E INSTALAÇÃO. AF_11/2016_P</v>
      </c>
      <c r="C262" s="572" t="str">
        <f>PLANILHA!E260</f>
        <v>UN</v>
      </c>
      <c r="D262" s="573">
        <f>PLANILHA!F260</f>
        <v>18</v>
      </c>
      <c r="E262" s="573">
        <f t="shared" si="272"/>
        <v>45.16</v>
      </c>
      <c r="F262" s="574">
        <f t="shared" si="271"/>
        <v>812.88</v>
      </c>
      <c r="G262" s="580"/>
      <c r="H262" s="576">
        <f t="shared" si="273"/>
        <v>0</v>
      </c>
      <c r="I262" s="576"/>
      <c r="J262" s="576">
        <f t="shared" si="274"/>
        <v>0</v>
      </c>
      <c r="K262" s="576"/>
      <c r="L262" s="576">
        <f t="shared" si="275"/>
        <v>0</v>
      </c>
      <c r="M262" s="576">
        <f t="shared" si="288"/>
        <v>18</v>
      </c>
      <c r="N262" s="576">
        <f t="shared" si="289"/>
        <v>812.88</v>
      </c>
      <c r="O262" s="576"/>
      <c r="P262" s="576">
        <f t="shared" si="276"/>
        <v>0</v>
      </c>
      <c r="Q262" s="576"/>
      <c r="R262" s="577">
        <f t="shared" si="277"/>
        <v>0</v>
      </c>
      <c r="S262" s="578"/>
      <c r="T262" s="576">
        <f t="shared" si="278"/>
        <v>0</v>
      </c>
      <c r="U262" s="576"/>
      <c r="V262" s="576">
        <f t="shared" si="279"/>
        <v>0</v>
      </c>
      <c r="W262" s="576"/>
      <c r="X262" s="576">
        <f t="shared" si="280"/>
        <v>0</v>
      </c>
      <c r="Y262" s="576"/>
      <c r="Z262" s="576">
        <f t="shared" si="281"/>
        <v>0</v>
      </c>
      <c r="AA262" s="576"/>
      <c r="AB262" s="576">
        <f t="shared" si="282"/>
        <v>0</v>
      </c>
      <c r="AC262" s="576"/>
      <c r="AD262" s="579">
        <f t="shared" si="283"/>
        <v>0</v>
      </c>
      <c r="AE262" s="580">
        <f t="shared" si="284"/>
        <v>18</v>
      </c>
      <c r="AF262" s="576">
        <f t="shared" si="285"/>
        <v>812.88</v>
      </c>
      <c r="AG262" s="576">
        <f t="shared" si="286"/>
        <v>0</v>
      </c>
      <c r="AH262" s="579">
        <f t="shared" si="287"/>
        <v>0</v>
      </c>
      <c r="AK262" s="617">
        <f t="shared" si="227"/>
        <v>0</v>
      </c>
    </row>
    <row r="263" spans="1:37" ht="30">
      <c r="A263" s="570" t="s">
        <v>13989</v>
      </c>
      <c r="B263" s="571" t="str">
        <f>PLANILHA!D261</f>
        <v>REDUÇÃO CONDULETE PARA ELETRODUTO METÁLICO DE 1"PARA 3/4", FORNECIMENTO E INSTALAÇÃO</v>
      </c>
      <c r="C263" s="572" t="str">
        <f>PLANILHA!E261</f>
        <v>UND</v>
      </c>
      <c r="D263" s="573">
        <f>PLANILHA!F261</f>
        <v>1</v>
      </c>
      <c r="E263" s="573">
        <f t="shared" si="272"/>
        <v>11.26</v>
      </c>
      <c r="F263" s="574">
        <f t="shared" si="271"/>
        <v>11.26</v>
      </c>
      <c r="G263" s="580"/>
      <c r="H263" s="576">
        <f t="shared" si="273"/>
        <v>0</v>
      </c>
      <c r="I263" s="576"/>
      <c r="J263" s="576">
        <f t="shared" si="274"/>
        <v>0</v>
      </c>
      <c r="K263" s="576"/>
      <c r="L263" s="576">
        <f t="shared" si="275"/>
        <v>0</v>
      </c>
      <c r="M263" s="576">
        <f t="shared" si="288"/>
        <v>1</v>
      </c>
      <c r="N263" s="576">
        <f t="shared" si="289"/>
        <v>11.26</v>
      </c>
      <c r="O263" s="576"/>
      <c r="P263" s="576">
        <f t="shared" si="276"/>
        <v>0</v>
      </c>
      <c r="Q263" s="576"/>
      <c r="R263" s="577">
        <f t="shared" si="277"/>
        <v>0</v>
      </c>
      <c r="S263" s="578"/>
      <c r="T263" s="576">
        <f t="shared" si="278"/>
        <v>0</v>
      </c>
      <c r="U263" s="576"/>
      <c r="V263" s="576">
        <f t="shared" si="279"/>
        <v>0</v>
      </c>
      <c r="W263" s="576"/>
      <c r="X263" s="576">
        <f t="shared" si="280"/>
        <v>0</v>
      </c>
      <c r="Y263" s="576"/>
      <c r="Z263" s="576">
        <f t="shared" si="281"/>
        <v>0</v>
      </c>
      <c r="AA263" s="576"/>
      <c r="AB263" s="576">
        <f t="shared" si="282"/>
        <v>0</v>
      </c>
      <c r="AC263" s="576"/>
      <c r="AD263" s="579">
        <f t="shared" si="283"/>
        <v>0</v>
      </c>
      <c r="AE263" s="580">
        <f t="shared" si="284"/>
        <v>1</v>
      </c>
      <c r="AF263" s="576">
        <f t="shared" si="285"/>
        <v>11.26</v>
      </c>
      <c r="AG263" s="576">
        <f t="shared" si="286"/>
        <v>0</v>
      </c>
      <c r="AH263" s="579">
        <f t="shared" si="287"/>
        <v>0</v>
      </c>
      <c r="AK263" s="617">
        <f t="shared" si="227"/>
        <v>0</v>
      </c>
    </row>
    <row r="264" spans="1:37" ht="30">
      <c r="A264" s="570" t="s">
        <v>13990</v>
      </c>
      <c r="B264" s="571" t="str">
        <f>PLANILHA!D262</f>
        <v>SENSOR DE FUMAÇA NC-102 OU SIMILAR.  FORNECIMENTO E INSTALAÇÃO.</v>
      </c>
      <c r="C264" s="572" t="str">
        <f>PLANILHA!E262</f>
        <v>UND</v>
      </c>
      <c r="D264" s="573">
        <f>PLANILHA!F262</f>
        <v>4</v>
      </c>
      <c r="E264" s="573">
        <f t="shared" si="272"/>
        <v>132.46</v>
      </c>
      <c r="F264" s="574">
        <f t="shared" si="271"/>
        <v>529.84</v>
      </c>
      <c r="G264" s="580"/>
      <c r="H264" s="576">
        <f t="shared" si="273"/>
        <v>0</v>
      </c>
      <c r="I264" s="576"/>
      <c r="J264" s="576">
        <f t="shared" si="274"/>
        <v>0</v>
      </c>
      <c r="K264" s="576"/>
      <c r="L264" s="576">
        <f t="shared" si="275"/>
        <v>0</v>
      </c>
      <c r="M264" s="576">
        <f t="shared" si="288"/>
        <v>4</v>
      </c>
      <c r="N264" s="576">
        <f t="shared" si="289"/>
        <v>529.84</v>
      </c>
      <c r="O264" s="576"/>
      <c r="P264" s="576">
        <f t="shared" si="276"/>
        <v>0</v>
      </c>
      <c r="Q264" s="576"/>
      <c r="R264" s="577">
        <f t="shared" si="277"/>
        <v>0</v>
      </c>
      <c r="S264" s="578"/>
      <c r="T264" s="576">
        <f t="shared" si="278"/>
        <v>0</v>
      </c>
      <c r="U264" s="576"/>
      <c r="V264" s="576">
        <f t="shared" si="279"/>
        <v>0</v>
      </c>
      <c r="W264" s="576"/>
      <c r="X264" s="576">
        <f t="shared" si="280"/>
        <v>0</v>
      </c>
      <c r="Y264" s="576"/>
      <c r="Z264" s="576">
        <f t="shared" si="281"/>
        <v>0</v>
      </c>
      <c r="AA264" s="576"/>
      <c r="AB264" s="576">
        <f t="shared" si="282"/>
        <v>0</v>
      </c>
      <c r="AC264" s="576"/>
      <c r="AD264" s="579">
        <f t="shared" si="283"/>
        <v>0</v>
      </c>
      <c r="AE264" s="580">
        <f t="shared" si="284"/>
        <v>4</v>
      </c>
      <c r="AF264" s="576">
        <f t="shared" si="285"/>
        <v>529.84</v>
      </c>
      <c r="AG264" s="576">
        <f t="shared" si="286"/>
        <v>0</v>
      </c>
      <c r="AH264" s="579">
        <f t="shared" si="287"/>
        <v>0</v>
      </c>
      <c r="AK264" s="617">
        <f t="shared" si="227"/>
        <v>0</v>
      </c>
    </row>
    <row r="265" spans="1:37" ht="45">
      <c r="A265" s="570" t="s">
        <v>13991</v>
      </c>
      <c r="B265" s="571" t="str">
        <f>PLANILHA!D263</f>
        <v>FORNECIMENTO E INSTALAÇÃO DE BATERIA SELADA PARA CENTRAL DE ALARME E DETECÇÃO 12V/ 5A  - 08693/ORSE. FORNECIMENTO E INSTALAÇÃO.</v>
      </c>
      <c r="C265" s="572" t="str">
        <f>PLANILHA!E263</f>
        <v>UND</v>
      </c>
      <c r="D265" s="573">
        <f>PLANILHA!F263</f>
        <v>1</v>
      </c>
      <c r="E265" s="573">
        <f t="shared" si="272"/>
        <v>207.55</v>
      </c>
      <c r="F265" s="574">
        <f t="shared" si="271"/>
        <v>207.55</v>
      </c>
      <c r="G265" s="580"/>
      <c r="H265" s="576">
        <f t="shared" si="273"/>
        <v>0</v>
      </c>
      <c r="I265" s="576"/>
      <c r="J265" s="576">
        <f t="shared" si="274"/>
        <v>0</v>
      </c>
      <c r="K265" s="576"/>
      <c r="L265" s="576">
        <f t="shared" si="275"/>
        <v>0</v>
      </c>
      <c r="M265" s="576">
        <f t="shared" si="288"/>
        <v>1</v>
      </c>
      <c r="N265" s="576">
        <f t="shared" si="289"/>
        <v>207.55</v>
      </c>
      <c r="O265" s="576"/>
      <c r="P265" s="576">
        <f t="shared" si="276"/>
        <v>0</v>
      </c>
      <c r="Q265" s="576"/>
      <c r="R265" s="577">
        <f t="shared" si="277"/>
        <v>0</v>
      </c>
      <c r="S265" s="578"/>
      <c r="T265" s="576">
        <f t="shared" si="278"/>
        <v>0</v>
      </c>
      <c r="U265" s="576"/>
      <c r="V265" s="576">
        <f t="shared" si="279"/>
        <v>0</v>
      </c>
      <c r="W265" s="576"/>
      <c r="X265" s="576">
        <f t="shared" si="280"/>
        <v>0</v>
      </c>
      <c r="Y265" s="576"/>
      <c r="Z265" s="576">
        <f t="shared" si="281"/>
        <v>0</v>
      </c>
      <c r="AA265" s="576"/>
      <c r="AB265" s="576">
        <f t="shared" si="282"/>
        <v>0</v>
      </c>
      <c r="AC265" s="576"/>
      <c r="AD265" s="579">
        <f t="shared" si="283"/>
        <v>0</v>
      </c>
      <c r="AE265" s="580">
        <f t="shared" si="284"/>
        <v>1</v>
      </c>
      <c r="AF265" s="576">
        <f t="shared" si="285"/>
        <v>207.55</v>
      </c>
      <c r="AG265" s="576">
        <f t="shared" si="286"/>
        <v>0</v>
      </c>
      <c r="AH265" s="579">
        <f t="shared" si="287"/>
        <v>0</v>
      </c>
      <c r="AK265" s="617">
        <f t="shared" si="227"/>
        <v>0</v>
      </c>
    </row>
    <row r="266" spans="1:37" ht="30">
      <c r="A266" s="570" t="s">
        <v>13992</v>
      </c>
      <c r="B266" s="571" t="str">
        <f>PLANILHA!D264</f>
        <v>CABO DE COBRE FLEXIVEL BLINDADO PARA INCÊNDIO 3 VIAS + TERRA, SEÇÃO 1,5mm². FORNECIMENTO E INSTALAÇÃO.</v>
      </c>
      <c r="C266" s="572" t="str">
        <f>PLANILHA!E264</f>
        <v>M</v>
      </c>
      <c r="D266" s="573">
        <f>PLANILHA!F264</f>
        <v>105</v>
      </c>
      <c r="E266" s="573">
        <f t="shared" si="272"/>
        <v>13.11</v>
      </c>
      <c r="F266" s="574">
        <f t="shared" si="271"/>
        <v>1376.55</v>
      </c>
      <c r="G266" s="580"/>
      <c r="H266" s="576">
        <f t="shared" si="273"/>
        <v>0</v>
      </c>
      <c r="I266" s="576"/>
      <c r="J266" s="576">
        <f t="shared" si="274"/>
        <v>0</v>
      </c>
      <c r="K266" s="576"/>
      <c r="L266" s="576">
        <f t="shared" si="275"/>
        <v>0</v>
      </c>
      <c r="M266" s="576">
        <f t="shared" si="288"/>
        <v>105</v>
      </c>
      <c r="N266" s="576">
        <f t="shared" si="289"/>
        <v>1376.55</v>
      </c>
      <c r="O266" s="576"/>
      <c r="P266" s="576">
        <f t="shared" si="276"/>
        <v>0</v>
      </c>
      <c r="Q266" s="576"/>
      <c r="R266" s="577">
        <f t="shared" si="277"/>
        <v>0</v>
      </c>
      <c r="S266" s="578"/>
      <c r="T266" s="576">
        <f t="shared" si="278"/>
        <v>0</v>
      </c>
      <c r="U266" s="576"/>
      <c r="V266" s="576">
        <f t="shared" si="279"/>
        <v>0</v>
      </c>
      <c r="W266" s="576"/>
      <c r="X266" s="576">
        <f t="shared" si="280"/>
        <v>0</v>
      </c>
      <c r="Y266" s="576"/>
      <c r="Z266" s="576">
        <f t="shared" si="281"/>
        <v>0</v>
      </c>
      <c r="AA266" s="576"/>
      <c r="AB266" s="576">
        <f t="shared" si="282"/>
        <v>0</v>
      </c>
      <c r="AC266" s="576"/>
      <c r="AD266" s="579">
        <f t="shared" si="283"/>
        <v>0</v>
      </c>
      <c r="AE266" s="580">
        <f t="shared" si="284"/>
        <v>105</v>
      </c>
      <c r="AF266" s="576">
        <f t="shared" si="285"/>
        <v>1376.55</v>
      </c>
      <c r="AG266" s="576">
        <f t="shared" si="286"/>
        <v>0</v>
      </c>
      <c r="AH266" s="579">
        <f t="shared" si="287"/>
        <v>0</v>
      </c>
      <c r="AK266" s="617">
        <f t="shared" si="227"/>
        <v>0</v>
      </c>
    </row>
    <row r="267" spans="1:37" ht="45">
      <c r="A267" s="570" t="s">
        <v>13993</v>
      </c>
      <c r="B267" s="571" t="str">
        <f>PLANILHA!D265</f>
        <v>CABO DE COBRE FLEXÍVEL ISOLADO, 2,5 MM², ANTI-CHAMA 450/750 V, PARA CIRCUITOS TERMINAIS - FORNECIMENTO E INSTALAÇÃO. AF_12/2015</v>
      </c>
      <c r="C267" s="572" t="str">
        <f>PLANILHA!E265</f>
        <v>M</v>
      </c>
      <c r="D267" s="573">
        <f>PLANILHA!F265</f>
        <v>140</v>
      </c>
      <c r="E267" s="573">
        <f t="shared" si="272"/>
        <v>5.0199999999999996</v>
      </c>
      <c r="F267" s="574">
        <f t="shared" si="271"/>
        <v>702.8</v>
      </c>
      <c r="G267" s="580"/>
      <c r="H267" s="576">
        <f>G267*$E267</f>
        <v>0</v>
      </c>
      <c r="I267" s="576"/>
      <c r="J267" s="576">
        <f>I267*$E267</f>
        <v>0</v>
      </c>
      <c r="K267" s="576"/>
      <c r="L267" s="576">
        <f>K267*$E267</f>
        <v>0</v>
      </c>
      <c r="M267" s="576">
        <f t="shared" si="288"/>
        <v>140</v>
      </c>
      <c r="N267" s="576">
        <f t="shared" si="289"/>
        <v>702.8</v>
      </c>
      <c r="O267" s="576"/>
      <c r="P267" s="576">
        <f>O267*$E267</f>
        <v>0</v>
      </c>
      <c r="Q267" s="576"/>
      <c r="R267" s="577">
        <f>Q267*$E267</f>
        <v>0</v>
      </c>
      <c r="S267" s="578"/>
      <c r="T267" s="576">
        <f>S267*$E267</f>
        <v>0</v>
      </c>
      <c r="U267" s="576"/>
      <c r="V267" s="576">
        <f>U267*$E267</f>
        <v>0</v>
      </c>
      <c r="W267" s="576"/>
      <c r="X267" s="576">
        <f>W267*$E267</f>
        <v>0</v>
      </c>
      <c r="Y267" s="576"/>
      <c r="Z267" s="576">
        <f>Y267*$E267</f>
        <v>0</v>
      </c>
      <c r="AA267" s="576"/>
      <c r="AB267" s="576">
        <f>AA267*$E267</f>
        <v>0</v>
      </c>
      <c r="AC267" s="576"/>
      <c r="AD267" s="579">
        <f>AC267*$E267</f>
        <v>0</v>
      </c>
      <c r="AE267" s="580">
        <f>AC267+AA267+Y267+W267+U267+S267+Q267+O267+M267+K267+I267+G267</f>
        <v>140</v>
      </c>
      <c r="AF267" s="576">
        <f t="shared" si="285"/>
        <v>702.8</v>
      </c>
      <c r="AG267" s="576">
        <f>D267-AE267</f>
        <v>0</v>
      </c>
      <c r="AH267" s="579">
        <f>AG267*E267</f>
        <v>0</v>
      </c>
      <c r="AK267" s="617">
        <f t="shared" si="227"/>
        <v>0</v>
      </c>
    </row>
    <row r="268" spans="1:37" ht="45">
      <c r="A268" s="570" t="s">
        <v>14171</v>
      </c>
      <c r="B268" s="571" t="str">
        <f>PLANILHA!D266</f>
        <v>CENTRAL DE ALARME DE INCÊNDIO ENDEREÇAVEL 2 LAÇOS, ATENDENDO NO MINIMO 125 ENDEREÇOS POR LAÇO. FORNECIMENTO E INSTALAÇÃO.</v>
      </c>
      <c r="C268" s="572" t="str">
        <f>PLANILHA!E266</f>
        <v>UND</v>
      </c>
      <c r="D268" s="573">
        <f>PLANILHA!F266</f>
        <v>1</v>
      </c>
      <c r="E268" s="573">
        <f t="shared" si="272"/>
        <v>2115.31</v>
      </c>
      <c r="F268" s="574">
        <f t="shared" si="271"/>
        <v>2115.31</v>
      </c>
      <c r="G268" s="580"/>
      <c r="H268" s="576">
        <f>G268*$E268</f>
        <v>0</v>
      </c>
      <c r="I268" s="576"/>
      <c r="J268" s="576">
        <f>I268*$E268</f>
        <v>0</v>
      </c>
      <c r="K268" s="576"/>
      <c r="L268" s="576">
        <f>K268*$E268</f>
        <v>0</v>
      </c>
      <c r="M268" s="576">
        <f t="shared" si="288"/>
        <v>1</v>
      </c>
      <c r="N268" s="576">
        <f t="shared" si="289"/>
        <v>2115.31</v>
      </c>
      <c r="O268" s="576"/>
      <c r="P268" s="576">
        <f>O268*$E268</f>
        <v>0</v>
      </c>
      <c r="Q268" s="576"/>
      <c r="R268" s="577">
        <f>Q268*$E268</f>
        <v>0</v>
      </c>
      <c r="S268" s="578"/>
      <c r="T268" s="576">
        <f>S268*$E268</f>
        <v>0</v>
      </c>
      <c r="U268" s="576"/>
      <c r="V268" s="576">
        <f>U268*$E268</f>
        <v>0</v>
      </c>
      <c r="W268" s="576"/>
      <c r="X268" s="576">
        <f>W268*$E268</f>
        <v>0</v>
      </c>
      <c r="Y268" s="576"/>
      <c r="Z268" s="576">
        <f>Y268*$E268</f>
        <v>0</v>
      </c>
      <c r="AA268" s="576"/>
      <c r="AB268" s="576">
        <f>AA268*$E268</f>
        <v>0</v>
      </c>
      <c r="AC268" s="576"/>
      <c r="AD268" s="579">
        <f>AC268*$E268</f>
        <v>0</v>
      </c>
      <c r="AE268" s="580">
        <f>AC268+AA268+Y268+W268+U268+S268+Q268+O268+M268+K268+I268+G268</f>
        <v>1</v>
      </c>
      <c r="AF268" s="576">
        <f t="shared" si="285"/>
        <v>2115.31</v>
      </c>
      <c r="AG268" s="576">
        <f>D268-AE268</f>
        <v>0</v>
      </c>
      <c r="AH268" s="579">
        <f>AG268*E268</f>
        <v>0</v>
      </c>
      <c r="AK268" s="617">
        <f t="shared" si="227"/>
        <v>0</v>
      </c>
    </row>
    <row r="269" spans="1:37" ht="45">
      <c r="A269" s="570" t="s">
        <v>14172</v>
      </c>
      <c r="B269" s="571" t="str">
        <f>PLANILHA!D267</f>
        <v>LUVA DE EMENDA PARA ELETRODUTO, AÇO GALVANIZADO, DN 25 MM (1''), APARENTE, INSTALADA EM PAREDE - FORNECIMENTO E INSTALAÇÃO. AF_11/2016_P</v>
      </c>
      <c r="C269" s="572" t="str">
        <f>PLANILHA!E267</f>
        <v>UN</v>
      </c>
      <c r="D269" s="573">
        <f>PLANILHA!F267</f>
        <v>2</v>
      </c>
      <c r="E269" s="573">
        <f t="shared" si="272"/>
        <v>12.43</v>
      </c>
      <c r="F269" s="574">
        <f t="shared" si="271"/>
        <v>24.86</v>
      </c>
      <c r="G269" s="580"/>
      <c r="H269" s="576">
        <f>G269*$E269</f>
        <v>0</v>
      </c>
      <c r="I269" s="576"/>
      <c r="J269" s="576">
        <f>I269*$E269</f>
        <v>0</v>
      </c>
      <c r="K269" s="576"/>
      <c r="L269" s="576">
        <f>K269*$E269</f>
        <v>0</v>
      </c>
      <c r="M269" s="576">
        <f t="shared" si="288"/>
        <v>2</v>
      </c>
      <c r="N269" s="576">
        <f t="shared" si="289"/>
        <v>24.86</v>
      </c>
      <c r="O269" s="576"/>
      <c r="P269" s="576">
        <f>O269*$E269</f>
        <v>0</v>
      </c>
      <c r="Q269" s="576"/>
      <c r="R269" s="577">
        <f>Q269*$E269</f>
        <v>0</v>
      </c>
      <c r="S269" s="578"/>
      <c r="T269" s="576">
        <f>S269*$E269</f>
        <v>0</v>
      </c>
      <c r="U269" s="576"/>
      <c r="V269" s="576">
        <f>U269*$E269</f>
        <v>0</v>
      </c>
      <c r="W269" s="576"/>
      <c r="X269" s="576">
        <f>W269*$E269</f>
        <v>0</v>
      </c>
      <c r="Y269" s="576"/>
      <c r="Z269" s="576">
        <f>Y269*$E269</f>
        <v>0</v>
      </c>
      <c r="AA269" s="576"/>
      <c r="AB269" s="576">
        <f>AA269*$E269</f>
        <v>0</v>
      </c>
      <c r="AC269" s="576"/>
      <c r="AD269" s="579">
        <f>AC269*$E269</f>
        <v>0</v>
      </c>
      <c r="AE269" s="580">
        <f>AC269+AA269+Y269+W269+U269+S269+Q269+O269+M269+K269+I269+G269</f>
        <v>2</v>
      </c>
      <c r="AF269" s="576">
        <f t="shared" si="285"/>
        <v>24.86</v>
      </c>
      <c r="AG269" s="576">
        <f>D269-AE269</f>
        <v>0</v>
      </c>
      <c r="AH269" s="579">
        <f>AG269*E269</f>
        <v>0</v>
      </c>
      <c r="AK269" s="617">
        <f t="shared" si="227"/>
        <v>0</v>
      </c>
    </row>
    <row r="270" spans="1:37" ht="45">
      <c r="A270" s="570" t="s">
        <v>14173</v>
      </c>
      <c r="B270" s="571" t="str">
        <f>PLANILHA!D268</f>
        <v>LUVA DE EMENDA PARA ELETRODUTO, AÇO GALVANIZADO, DN 20 MM (3/4''), APARENTE, INSTALADA EM PAREDE - FORNECIMENTO E INSTALAÇÃO. AF_11/2016_P</v>
      </c>
      <c r="C270" s="572" t="str">
        <f>PLANILHA!E268</f>
        <v>UN</v>
      </c>
      <c r="D270" s="573">
        <f>PLANILHA!F268</f>
        <v>6</v>
      </c>
      <c r="E270" s="573">
        <f t="shared" si="272"/>
        <v>11.06</v>
      </c>
      <c r="F270" s="574">
        <f t="shared" si="271"/>
        <v>66.36</v>
      </c>
      <c r="G270" s="580"/>
      <c r="H270" s="576">
        <f>G270*$E270</f>
        <v>0</v>
      </c>
      <c r="I270" s="576"/>
      <c r="J270" s="576">
        <f>I270*$E270</f>
        <v>0</v>
      </c>
      <c r="K270" s="576"/>
      <c r="L270" s="576">
        <f>K270*$E270</f>
        <v>0</v>
      </c>
      <c r="M270" s="576">
        <f t="shared" si="288"/>
        <v>6</v>
      </c>
      <c r="N270" s="576">
        <f t="shared" si="289"/>
        <v>66.36</v>
      </c>
      <c r="O270" s="576"/>
      <c r="P270" s="576">
        <f>O270*$E270</f>
        <v>0</v>
      </c>
      <c r="Q270" s="576"/>
      <c r="R270" s="577">
        <f>Q270*$E270</f>
        <v>0</v>
      </c>
      <c r="S270" s="578"/>
      <c r="T270" s="576">
        <f>S270*$E270</f>
        <v>0</v>
      </c>
      <c r="U270" s="576"/>
      <c r="V270" s="576">
        <f>U270*$E270</f>
        <v>0</v>
      </c>
      <c r="W270" s="576"/>
      <c r="X270" s="576">
        <f>W270*$E270</f>
        <v>0</v>
      </c>
      <c r="Y270" s="576"/>
      <c r="Z270" s="576">
        <f>Y270*$E270</f>
        <v>0</v>
      </c>
      <c r="AA270" s="576"/>
      <c r="AB270" s="576">
        <f>AA270*$E270</f>
        <v>0</v>
      </c>
      <c r="AC270" s="576"/>
      <c r="AD270" s="579">
        <f>AC270*$E270</f>
        <v>0</v>
      </c>
      <c r="AE270" s="580">
        <f>AC270+AA270+Y270+W270+U270+S270+Q270+O270+M270+K270+I270+G270</f>
        <v>6</v>
      </c>
      <c r="AF270" s="576">
        <f t="shared" si="285"/>
        <v>66.36</v>
      </c>
      <c r="AG270" s="576">
        <f>D270-AE270</f>
        <v>0</v>
      </c>
      <c r="AH270" s="579">
        <f>AG270*E270</f>
        <v>0</v>
      </c>
      <c r="AK270" s="617">
        <f t="shared" ref="AK270:AK333" si="290">F270-AF270</f>
        <v>0</v>
      </c>
    </row>
    <row r="271" spans="1:37" s="569" customFormat="1">
      <c r="A271" s="581" t="s">
        <v>27228</v>
      </c>
      <c r="B271" s="582"/>
      <c r="C271" s="583"/>
      <c r="D271" s="584"/>
      <c r="E271" s="584"/>
      <c r="F271" s="585">
        <f t="shared" si="271"/>
        <v>8169.0400000000009</v>
      </c>
      <c r="G271" s="586"/>
      <c r="H271" s="584">
        <f>SUM(H259:H270)</f>
        <v>0</v>
      </c>
      <c r="I271" s="584"/>
      <c r="J271" s="584">
        <f>SUM(J259:J270)</f>
        <v>0</v>
      </c>
      <c r="K271" s="584"/>
      <c r="L271" s="584">
        <f>SUM(L259:L270)</f>
        <v>0</v>
      </c>
      <c r="M271" s="584"/>
      <c r="N271" s="584">
        <f>SUM(N259:N270)</f>
        <v>8169.0400000000009</v>
      </c>
      <c r="O271" s="584"/>
      <c r="P271" s="584">
        <f>SUM(P259:P270)</f>
        <v>0</v>
      </c>
      <c r="Q271" s="584"/>
      <c r="R271" s="587">
        <f>SUM(R259:R270)</f>
        <v>0</v>
      </c>
      <c r="S271" s="588"/>
      <c r="T271" s="584">
        <f>SUM(T259:T270)</f>
        <v>0</v>
      </c>
      <c r="U271" s="584"/>
      <c r="V271" s="584">
        <f>SUM(V259:V270)</f>
        <v>0</v>
      </c>
      <c r="W271" s="584"/>
      <c r="X271" s="584">
        <f>SUM(X259:X270)</f>
        <v>0</v>
      </c>
      <c r="Y271" s="584"/>
      <c r="Z271" s="584">
        <f>SUM(Z259:Z270)</f>
        <v>0</v>
      </c>
      <c r="AA271" s="584"/>
      <c r="AB271" s="584">
        <f>SUM(AB259:AB270)</f>
        <v>0</v>
      </c>
      <c r="AC271" s="584"/>
      <c r="AD271" s="585">
        <f>SUM(AD259:AD270)</f>
        <v>0</v>
      </c>
      <c r="AE271" s="590"/>
      <c r="AF271" s="584">
        <f>SUM(AF259:AF270)</f>
        <v>8169.0400000000009</v>
      </c>
      <c r="AG271" s="591"/>
      <c r="AH271" s="585">
        <f>SUM(AH259:AH270)</f>
        <v>0</v>
      </c>
      <c r="AI271" s="568"/>
      <c r="AK271" s="617">
        <f t="shared" si="290"/>
        <v>0</v>
      </c>
    </row>
    <row r="272" spans="1:37">
      <c r="A272" s="570"/>
      <c r="B272" s="571"/>
      <c r="C272" s="572"/>
      <c r="D272" s="573"/>
      <c r="E272" s="573"/>
      <c r="F272" s="574"/>
      <c r="G272" s="580"/>
      <c r="H272" s="576"/>
      <c r="I272" s="576"/>
      <c r="J272" s="576"/>
      <c r="K272" s="576"/>
      <c r="L272" s="576"/>
      <c r="M272" s="576"/>
      <c r="N272" s="576"/>
      <c r="O272" s="576"/>
      <c r="P272" s="576"/>
      <c r="Q272" s="576"/>
      <c r="R272" s="577"/>
      <c r="S272" s="578"/>
      <c r="T272" s="576"/>
      <c r="U272" s="576"/>
      <c r="V272" s="576"/>
      <c r="W272" s="576"/>
      <c r="X272" s="576"/>
      <c r="Y272" s="576"/>
      <c r="Z272" s="576"/>
      <c r="AA272" s="576"/>
      <c r="AB272" s="576"/>
      <c r="AC272" s="576"/>
      <c r="AD272" s="579"/>
      <c r="AE272" s="580"/>
      <c r="AF272" s="576"/>
      <c r="AG272" s="576"/>
      <c r="AH272" s="579"/>
      <c r="AK272" s="617">
        <f t="shared" si="290"/>
        <v>0</v>
      </c>
    </row>
    <row r="273" spans="1:37" s="604" customFormat="1">
      <c r="A273" s="592" t="s">
        <v>13994</v>
      </c>
      <c r="B273" s="593" t="str">
        <f>PLANILHA!D271</f>
        <v xml:space="preserve">CABOS PARA ALIMENTAÇÃO DE QUADROS - ALIMENTAÇÃO GERAL </v>
      </c>
      <c r="C273" s="594"/>
      <c r="D273" s="589"/>
      <c r="E273" s="589"/>
      <c r="F273" s="595">
        <f t="shared" ref="F273:F281" si="291">VLOOKUP(A273,PLANILHA,$G$6,0)</f>
        <v>0</v>
      </c>
      <c r="G273" s="596"/>
      <c r="H273" s="597"/>
      <c r="I273" s="597"/>
      <c r="J273" s="597"/>
      <c r="K273" s="597"/>
      <c r="L273" s="597"/>
      <c r="M273" s="597"/>
      <c r="N273" s="597"/>
      <c r="O273" s="597"/>
      <c r="P273" s="597"/>
      <c r="Q273" s="597"/>
      <c r="R273" s="598"/>
      <c r="S273" s="599"/>
      <c r="T273" s="597"/>
      <c r="U273" s="597"/>
      <c r="V273" s="597"/>
      <c r="W273" s="597"/>
      <c r="X273" s="597"/>
      <c r="Y273" s="597"/>
      <c r="Z273" s="597"/>
      <c r="AA273" s="597"/>
      <c r="AB273" s="597"/>
      <c r="AC273" s="597"/>
      <c r="AD273" s="600"/>
      <c r="AE273" s="596"/>
      <c r="AF273" s="597"/>
      <c r="AG273" s="597"/>
      <c r="AH273" s="600"/>
      <c r="AI273" s="603"/>
      <c r="AK273" s="617">
        <f t="shared" si="290"/>
        <v>0</v>
      </c>
    </row>
    <row r="274" spans="1:37" s="604" customFormat="1" ht="45">
      <c r="A274" s="570" t="s">
        <v>13995</v>
      </c>
      <c r="B274" s="571" t="str">
        <f>PLANILHA!D272</f>
        <v>CABO DE COBRE FLEXÍVEL ISOLADO, 16 MM², ANTI-CHAMA 0,6/1,0 KV, PARA CIRCUITOS TERMINAIS - FORNECIMENTO E INSTALAÇÃO. AF_12/2015</v>
      </c>
      <c r="C274" s="572" t="str">
        <f>PLANILHA!E272</f>
        <v>M</v>
      </c>
      <c r="D274" s="573">
        <f>PLANILHA!F272</f>
        <v>69</v>
      </c>
      <c r="E274" s="573">
        <f t="shared" ref="E274:E305" si="292">VLOOKUP(A274,PLANILHA,$G$7,0)</f>
        <v>31.15</v>
      </c>
      <c r="F274" s="574">
        <f t="shared" si="291"/>
        <v>2149.35</v>
      </c>
      <c r="G274" s="580"/>
      <c r="H274" s="576">
        <f t="shared" ref="H274:H325" si="293">G274*$E274</f>
        <v>0</v>
      </c>
      <c r="I274" s="576"/>
      <c r="J274" s="576">
        <f t="shared" ref="J274:J325" si="294">I274*$E274</f>
        <v>0</v>
      </c>
      <c r="K274" s="576"/>
      <c r="L274" s="576">
        <f t="shared" ref="L274:L325" si="295">K274*$E274</f>
        <v>0</v>
      </c>
      <c r="M274" s="576">
        <f>D274</f>
        <v>69</v>
      </c>
      <c r="N274" s="576">
        <f t="shared" ref="N274:N281" si="296">TRUNC(M274*$E274,2)</f>
        <v>2149.35</v>
      </c>
      <c r="O274" s="576"/>
      <c r="P274" s="576">
        <f t="shared" ref="P274:P325" si="297">O274*$E274</f>
        <v>0</v>
      </c>
      <c r="Q274" s="576"/>
      <c r="R274" s="577">
        <f t="shared" ref="R274:R325" si="298">Q274*$E274</f>
        <v>0</v>
      </c>
      <c r="S274" s="578"/>
      <c r="T274" s="576">
        <f t="shared" ref="T274:T325" si="299">S274*$E274</f>
        <v>0</v>
      </c>
      <c r="U274" s="576"/>
      <c r="V274" s="576">
        <f t="shared" ref="V274:V325" si="300">U274*$E274</f>
        <v>0</v>
      </c>
      <c r="W274" s="576"/>
      <c r="X274" s="576">
        <f t="shared" ref="X274:X325" si="301">W274*$E274</f>
        <v>0</v>
      </c>
      <c r="Y274" s="576"/>
      <c r="Z274" s="576">
        <f t="shared" ref="Z274:Z325" si="302">Y274*$E274</f>
        <v>0</v>
      </c>
      <c r="AA274" s="576"/>
      <c r="AB274" s="576">
        <f t="shared" ref="AB274:AB325" si="303">AA274*$E274</f>
        <v>0</v>
      </c>
      <c r="AC274" s="576"/>
      <c r="AD274" s="579">
        <f t="shared" ref="AD274:AD325" si="304">AC274*$E274</f>
        <v>0</v>
      </c>
      <c r="AE274" s="580">
        <f t="shared" ref="AE274:AE281" si="305">AC274+AA274+Y274+W274+U274+S274+Q274+O274+M274+K274+I274+G274</f>
        <v>69</v>
      </c>
      <c r="AF274" s="576">
        <f t="shared" ref="AF274:AF281" si="306">TRUNC(AE274*E274,2)</f>
        <v>2149.35</v>
      </c>
      <c r="AG274" s="576">
        <f t="shared" ref="AG274:AG281" si="307">D274-AE274</f>
        <v>0</v>
      </c>
      <c r="AH274" s="579">
        <f t="shared" ref="AH274:AH281" si="308">AG274*E274</f>
        <v>0</v>
      </c>
      <c r="AI274" s="603"/>
      <c r="AK274" s="617">
        <f t="shared" si="290"/>
        <v>0</v>
      </c>
    </row>
    <row r="275" spans="1:37" s="604" customFormat="1" ht="45">
      <c r="A275" s="570" t="s">
        <v>13996</v>
      </c>
      <c r="B275" s="571" t="str">
        <f>PLANILHA!D273</f>
        <v>CABO DE COBRE FLEXÍVEL ISOLADO, 25 MM², ANTI-CHAMA 0,6/1,0 KV, PARA REDE ENTERRADA DE DISTRIBUIÇÃO DE ENERGIA ELÉTRICA - FORNECIMENTO E INSTALAÇÃO. AF_12/2021</v>
      </c>
      <c r="C275" s="572" t="str">
        <f>PLANILHA!E273</f>
        <v>M</v>
      </c>
      <c r="D275" s="573">
        <f>PLANILHA!F273</f>
        <v>214</v>
      </c>
      <c r="E275" s="573">
        <f t="shared" si="292"/>
        <v>36.26</v>
      </c>
      <c r="F275" s="574">
        <f t="shared" si="291"/>
        <v>7759.64</v>
      </c>
      <c r="G275" s="580"/>
      <c r="H275" s="576">
        <f t="shared" si="293"/>
        <v>0</v>
      </c>
      <c r="I275" s="576"/>
      <c r="J275" s="576">
        <f t="shared" si="294"/>
        <v>0</v>
      </c>
      <c r="K275" s="576"/>
      <c r="L275" s="576">
        <f t="shared" si="295"/>
        <v>0</v>
      </c>
      <c r="M275" s="576">
        <f t="shared" ref="M275:M290" si="309">D275</f>
        <v>214</v>
      </c>
      <c r="N275" s="576">
        <f t="shared" si="296"/>
        <v>7759.64</v>
      </c>
      <c r="O275" s="576"/>
      <c r="P275" s="576">
        <f t="shared" si="297"/>
        <v>0</v>
      </c>
      <c r="Q275" s="576"/>
      <c r="R275" s="577">
        <f t="shared" si="298"/>
        <v>0</v>
      </c>
      <c r="S275" s="578"/>
      <c r="T275" s="576">
        <f t="shared" si="299"/>
        <v>0</v>
      </c>
      <c r="U275" s="576"/>
      <c r="V275" s="576">
        <f t="shared" si="300"/>
        <v>0</v>
      </c>
      <c r="W275" s="576"/>
      <c r="X275" s="576">
        <f t="shared" si="301"/>
        <v>0</v>
      </c>
      <c r="Y275" s="576"/>
      <c r="Z275" s="576">
        <f t="shared" si="302"/>
        <v>0</v>
      </c>
      <c r="AA275" s="576"/>
      <c r="AB275" s="576">
        <f t="shared" si="303"/>
        <v>0</v>
      </c>
      <c r="AC275" s="576"/>
      <c r="AD275" s="579">
        <f t="shared" si="304"/>
        <v>0</v>
      </c>
      <c r="AE275" s="580">
        <f t="shared" si="305"/>
        <v>214</v>
      </c>
      <c r="AF275" s="576">
        <f t="shared" si="306"/>
        <v>7759.64</v>
      </c>
      <c r="AG275" s="576">
        <f t="shared" si="307"/>
        <v>0</v>
      </c>
      <c r="AH275" s="579">
        <f t="shared" si="308"/>
        <v>0</v>
      </c>
      <c r="AI275" s="603"/>
      <c r="AK275" s="617">
        <f t="shared" si="290"/>
        <v>0</v>
      </c>
    </row>
    <row r="276" spans="1:37" s="604" customFormat="1" ht="45">
      <c r="A276" s="570" t="s">
        <v>13997</v>
      </c>
      <c r="B276" s="571" t="str">
        <f>PLANILHA!D274</f>
        <v>CABO DE COBRE FLEXÍVEL ISOLADO, 35 MM², ANTI-CHAMA 0,6/1,0 KV, PARA REDE ENTERRADA DE DISTRIBUIÇÃO DE ENERGIA ELÉTRICA - FORNECIMENTO E INSTALAÇÃO. AF_12/2021</v>
      </c>
      <c r="C276" s="572" t="str">
        <f>PLANILHA!E274</f>
        <v>M</v>
      </c>
      <c r="D276" s="573">
        <f>PLANILHA!F274</f>
        <v>270</v>
      </c>
      <c r="E276" s="573">
        <f t="shared" si="292"/>
        <v>49.33</v>
      </c>
      <c r="F276" s="574">
        <f t="shared" si="291"/>
        <v>13319.1</v>
      </c>
      <c r="G276" s="580"/>
      <c r="H276" s="576">
        <f t="shared" si="293"/>
        <v>0</v>
      </c>
      <c r="I276" s="576"/>
      <c r="J276" s="576">
        <f t="shared" si="294"/>
        <v>0</v>
      </c>
      <c r="K276" s="576"/>
      <c r="L276" s="576">
        <f t="shared" si="295"/>
        <v>0</v>
      </c>
      <c r="M276" s="576">
        <f t="shared" si="309"/>
        <v>270</v>
      </c>
      <c r="N276" s="576">
        <f t="shared" si="296"/>
        <v>13319.1</v>
      </c>
      <c r="O276" s="576"/>
      <c r="P276" s="576">
        <f t="shared" si="297"/>
        <v>0</v>
      </c>
      <c r="Q276" s="576"/>
      <c r="R276" s="577">
        <f t="shared" si="298"/>
        <v>0</v>
      </c>
      <c r="S276" s="578"/>
      <c r="T276" s="576">
        <f t="shared" si="299"/>
        <v>0</v>
      </c>
      <c r="U276" s="576"/>
      <c r="V276" s="576">
        <f t="shared" si="300"/>
        <v>0</v>
      </c>
      <c r="W276" s="576"/>
      <c r="X276" s="576">
        <f t="shared" si="301"/>
        <v>0</v>
      </c>
      <c r="Y276" s="576"/>
      <c r="Z276" s="576">
        <f t="shared" si="302"/>
        <v>0</v>
      </c>
      <c r="AA276" s="576"/>
      <c r="AB276" s="576">
        <f t="shared" si="303"/>
        <v>0</v>
      </c>
      <c r="AC276" s="576"/>
      <c r="AD276" s="579">
        <f t="shared" si="304"/>
        <v>0</v>
      </c>
      <c r="AE276" s="580">
        <f t="shared" si="305"/>
        <v>270</v>
      </c>
      <c r="AF276" s="576">
        <f t="shared" si="306"/>
        <v>13319.1</v>
      </c>
      <c r="AG276" s="576">
        <f t="shared" si="307"/>
        <v>0</v>
      </c>
      <c r="AH276" s="579">
        <f t="shared" si="308"/>
        <v>0</v>
      </c>
      <c r="AI276" s="603"/>
      <c r="AK276" s="617">
        <f t="shared" si="290"/>
        <v>0</v>
      </c>
    </row>
    <row r="277" spans="1:37" s="604" customFormat="1" ht="45">
      <c r="A277" s="570" t="s">
        <v>13998</v>
      </c>
      <c r="B277" s="571" t="str">
        <f>PLANILHA!D275</f>
        <v>CABO DE COBRE FLEXÍVEL ISOLADO, 70 MM², ANTI-CHAMA 0,6/1,0 KV, PARA REDE ENTERRADA DE DISTRIBUIÇÃO DE ENERGIA ELÉTRICA - FORNECIMENTO E INSTALAÇÃO. AF_12/2021</v>
      </c>
      <c r="C277" s="572" t="str">
        <f>PLANILHA!E275</f>
        <v>M</v>
      </c>
      <c r="D277" s="573">
        <f>PLANILHA!F275</f>
        <v>724.3</v>
      </c>
      <c r="E277" s="573">
        <f t="shared" si="292"/>
        <v>95.61</v>
      </c>
      <c r="F277" s="574">
        <f t="shared" si="291"/>
        <v>69250.320000000007</v>
      </c>
      <c r="G277" s="580"/>
      <c r="H277" s="576">
        <f t="shared" si="293"/>
        <v>0</v>
      </c>
      <c r="I277" s="576"/>
      <c r="J277" s="576">
        <f t="shared" si="294"/>
        <v>0</v>
      </c>
      <c r="K277" s="576"/>
      <c r="L277" s="576">
        <f t="shared" si="295"/>
        <v>0</v>
      </c>
      <c r="M277" s="576">
        <f t="shared" si="309"/>
        <v>724.3</v>
      </c>
      <c r="N277" s="576">
        <f t="shared" si="296"/>
        <v>69250.320000000007</v>
      </c>
      <c r="O277" s="576"/>
      <c r="P277" s="576">
        <f t="shared" si="297"/>
        <v>0</v>
      </c>
      <c r="Q277" s="576"/>
      <c r="R277" s="577">
        <f t="shared" si="298"/>
        <v>0</v>
      </c>
      <c r="S277" s="578"/>
      <c r="T277" s="576">
        <f t="shared" si="299"/>
        <v>0</v>
      </c>
      <c r="U277" s="576"/>
      <c r="V277" s="576">
        <f t="shared" si="300"/>
        <v>0</v>
      </c>
      <c r="W277" s="576"/>
      <c r="X277" s="576">
        <f t="shared" si="301"/>
        <v>0</v>
      </c>
      <c r="Y277" s="576"/>
      <c r="Z277" s="576">
        <f t="shared" si="302"/>
        <v>0</v>
      </c>
      <c r="AA277" s="576"/>
      <c r="AB277" s="576">
        <f t="shared" si="303"/>
        <v>0</v>
      </c>
      <c r="AC277" s="576"/>
      <c r="AD277" s="579">
        <f t="shared" si="304"/>
        <v>0</v>
      </c>
      <c r="AE277" s="580">
        <f t="shared" si="305"/>
        <v>724.3</v>
      </c>
      <c r="AF277" s="576">
        <f t="shared" si="306"/>
        <v>69250.320000000007</v>
      </c>
      <c r="AG277" s="576">
        <f t="shared" si="307"/>
        <v>0</v>
      </c>
      <c r="AH277" s="579">
        <f t="shared" si="308"/>
        <v>0</v>
      </c>
      <c r="AI277" s="603"/>
      <c r="AK277" s="617">
        <f t="shared" si="290"/>
        <v>0</v>
      </c>
    </row>
    <row r="278" spans="1:37" s="604" customFormat="1" ht="45">
      <c r="A278" s="570" t="s">
        <v>14518</v>
      </c>
      <c r="B278" s="571" t="str">
        <f>PLANILHA!D276</f>
        <v>CABO DE COBRE FLEXÍVEL ISOLADO, 4 MM², ANTI-CHAMA 0,6/1,0 KV, PARA CIRCUITOS TERMINAIS - FORNECIMENTO E INSTALAÇÃO. AF_12/2015</v>
      </c>
      <c r="C278" s="572" t="str">
        <f>PLANILHA!E276</f>
        <v>M</v>
      </c>
      <c r="D278" s="573">
        <f>PLANILHA!F276</f>
        <v>10</v>
      </c>
      <c r="E278" s="573">
        <f t="shared" si="292"/>
        <v>9.5500000000000007</v>
      </c>
      <c r="F278" s="574">
        <f t="shared" si="291"/>
        <v>95.5</v>
      </c>
      <c r="G278" s="580"/>
      <c r="H278" s="576">
        <f>G278*$E278</f>
        <v>0</v>
      </c>
      <c r="I278" s="576"/>
      <c r="J278" s="576">
        <f>I278*$E278</f>
        <v>0</v>
      </c>
      <c r="K278" s="576"/>
      <c r="L278" s="576">
        <f>K278*$E278</f>
        <v>0</v>
      </c>
      <c r="M278" s="576">
        <f>D278</f>
        <v>10</v>
      </c>
      <c r="N278" s="576">
        <f t="shared" si="296"/>
        <v>95.5</v>
      </c>
      <c r="O278" s="576"/>
      <c r="P278" s="576">
        <f>O278*$E278</f>
        <v>0</v>
      </c>
      <c r="Q278" s="576"/>
      <c r="R278" s="577">
        <f>Q278*$E278</f>
        <v>0</v>
      </c>
      <c r="S278" s="578"/>
      <c r="T278" s="576">
        <f>S278*$E278</f>
        <v>0</v>
      </c>
      <c r="U278" s="576"/>
      <c r="V278" s="576">
        <f>U278*$E278</f>
        <v>0</v>
      </c>
      <c r="W278" s="576"/>
      <c r="X278" s="576">
        <f>W278*$E278</f>
        <v>0</v>
      </c>
      <c r="Y278" s="576"/>
      <c r="Z278" s="576">
        <f>Y278*$E278</f>
        <v>0</v>
      </c>
      <c r="AA278" s="576"/>
      <c r="AB278" s="576">
        <f>AA278*$E278</f>
        <v>0</v>
      </c>
      <c r="AC278" s="576"/>
      <c r="AD278" s="579">
        <f>AC278*$E278</f>
        <v>0</v>
      </c>
      <c r="AE278" s="580">
        <f t="shared" si="305"/>
        <v>10</v>
      </c>
      <c r="AF278" s="576">
        <f t="shared" si="306"/>
        <v>95.5</v>
      </c>
      <c r="AG278" s="576">
        <f t="shared" si="307"/>
        <v>0</v>
      </c>
      <c r="AH278" s="579">
        <f t="shared" si="308"/>
        <v>0</v>
      </c>
      <c r="AI278" s="603"/>
      <c r="AK278" s="617">
        <f t="shared" si="290"/>
        <v>0</v>
      </c>
    </row>
    <row r="279" spans="1:37" s="604" customFormat="1" ht="45">
      <c r="A279" s="570" t="s">
        <v>13999</v>
      </c>
      <c r="B279" s="571" t="str">
        <f>PLANILHA!D277</f>
        <v>CABO DE COBRE FLEXÍVEL ISOLADO, 10 MM², ANTI-CHAMA 0,6/1,0 KV, PARA CIRCUITOS TERMINAIS - FORNECIMENTO E INSTALAÇÃO. AF_12/2015</v>
      </c>
      <c r="C279" s="572" t="str">
        <f>PLANILHA!E277</f>
        <v>M</v>
      </c>
      <c r="D279" s="573">
        <f>PLANILHA!F277</f>
        <v>187.5</v>
      </c>
      <c r="E279" s="573">
        <f t="shared" si="292"/>
        <v>20.41</v>
      </c>
      <c r="F279" s="574">
        <f t="shared" si="291"/>
        <v>3826.87</v>
      </c>
      <c r="G279" s="580"/>
      <c r="H279" s="576">
        <f>G279*$E279</f>
        <v>0</v>
      </c>
      <c r="I279" s="576"/>
      <c r="J279" s="576">
        <f>I279*$E279</f>
        <v>0</v>
      </c>
      <c r="K279" s="576"/>
      <c r="L279" s="576">
        <f>K279*$E279</f>
        <v>0</v>
      </c>
      <c r="M279" s="576">
        <f>D279</f>
        <v>187.5</v>
      </c>
      <c r="N279" s="576">
        <f t="shared" si="296"/>
        <v>3826.87</v>
      </c>
      <c r="O279" s="576"/>
      <c r="P279" s="576">
        <f>O279*$E279</f>
        <v>0</v>
      </c>
      <c r="Q279" s="576"/>
      <c r="R279" s="577">
        <f>Q279*$E279</f>
        <v>0</v>
      </c>
      <c r="S279" s="578"/>
      <c r="T279" s="576">
        <f>S279*$E279</f>
        <v>0</v>
      </c>
      <c r="U279" s="576"/>
      <c r="V279" s="576">
        <f>U279*$E279</f>
        <v>0</v>
      </c>
      <c r="W279" s="576"/>
      <c r="X279" s="576">
        <f>W279*$E279</f>
        <v>0</v>
      </c>
      <c r="Y279" s="576"/>
      <c r="Z279" s="576">
        <f>Y279*$E279</f>
        <v>0</v>
      </c>
      <c r="AA279" s="576"/>
      <c r="AB279" s="576">
        <f>AA279*$E279</f>
        <v>0</v>
      </c>
      <c r="AC279" s="576"/>
      <c r="AD279" s="579">
        <f>AC279*$E279</f>
        <v>0</v>
      </c>
      <c r="AE279" s="580">
        <f t="shared" si="305"/>
        <v>187.5</v>
      </c>
      <c r="AF279" s="576">
        <f t="shared" si="306"/>
        <v>3826.87</v>
      </c>
      <c r="AG279" s="576">
        <f t="shared" si="307"/>
        <v>0</v>
      </c>
      <c r="AH279" s="579">
        <f t="shared" si="308"/>
        <v>0</v>
      </c>
      <c r="AI279" s="603"/>
      <c r="AK279" s="617">
        <f t="shared" si="290"/>
        <v>0</v>
      </c>
    </row>
    <row r="280" spans="1:37" s="604" customFormat="1" ht="45">
      <c r="A280" s="570" t="s">
        <v>14000</v>
      </c>
      <c r="B280" s="571" t="str">
        <f>PLANILHA!D278</f>
        <v>CABO DE COBRE FLEXÍVEL ISOLADO, 50 MM², ANTI-CHAMA 0,6/1,0 KV, PARA REDE ENTERRADA DE DISTRIBUIÇÃO DE ENERGIA ELÉTRICA - FORNECIMENTO E INSTALAÇÃO. AF_12/2021</v>
      </c>
      <c r="C280" s="572" t="str">
        <f>PLANILHA!E278</f>
        <v>M</v>
      </c>
      <c r="D280" s="573">
        <f>PLANILHA!F278</f>
        <v>70.5</v>
      </c>
      <c r="E280" s="573">
        <f t="shared" si="292"/>
        <v>69.52</v>
      </c>
      <c r="F280" s="574">
        <f t="shared" si="291"/>
        <v>4901.16</v>
      </c>
      <c r="G280" s="580"/>
      <c r="H280" s="576">
        <f>G280*$E280</f>
        <v>0</v>
      </c>
      <c r="I280" s="576"/>
      <c r="J280" s="576">
        <f>I280*$E280</f>
        <v>0</v>
      </c>
      <c r="K280" s="576"/>
      <c r="L280" s="576">
        <f>K280*$E280</f>
        <v>0</v>
      </c>
      <c r="M280" s="576">
        <f>D280</f>
        <v>70.5</v>
      </c>
      <c r="N280" s="576">
        <f t="shared" si="296"/>
        <v>4901.16</v>
      </c>
      <c r="O280" s="576"/>
      <c r="P280" s="576">
        <f>O280*$E280</f>
        <v>0</v>
      </c>
      <c r="Q280" s="576"/>
      <c r="R280" s="577">
        <f>Q280*$E280</f>
        <v>0</v>
      </c>
      <c r="S280" s="578"/>
      <c r="T280" s="576">
        <f>S280*$E280</f>
        <v>0</v>
      </c>
      <c r="U280" s="576"/>
      <c r="V280" s="576">
        <f>U280*$E280</f>
        <v>0</v>
      </c>
      <c r="W280" s="576"/>
      <c r="X280" s="576">
        <f>W280*$E280</f>
        <v>0</v>
      </c>
      <c r="Y280" s="576"/>
      <c r="Z280" s="576">
        <f>Y280*$E280</f>
        <v>0</v>
      </c>
      <c r="AA280" s="576"/>
      <c r="AB280" s="576">
        <f>AA280*$E280</f>
        <v>0</v>
      </c>
      <c r="AC280" s="576"/>
      <c r="AD280" s="579">
        <f>AC280*$E280</f>
        <v>0</v>
      </c>
      <c r="AE280" s="580">
        <f t="shared" si="305"/>
        <v>70.5</v>
      </c>
      <c r="AF280" s="576">
        <f t="shared" si="306"/>
        <v>4901.16</v>
      </c>
      <c r="AG280" s="576">
        <f t="shared" si="307"/>
        <v>0</v>
      </c>
      <c r="AH280" s="579">
        <f t="shared" si="308"/>
        <v>0</v>
      </c>
      <c r="AI280" s="603"/>
      <c r="AK280" s="617">
        <f t="shared" si="290"/>
        <v>0</v>
      </c>
    </row>
    <row r="281" spans="1:37" s="604" customFormat="1" ht="45">
      <c r="A281" s="570" t="s">
        <v>14001</v>
      </c>
      <c r="B281" s="571" t="str">
        <f>PLANILHA!D279</f>
        <v>CABO DE COBRE FLEXÍVEL ISOLADO, 120 MM², ANTI-CHAMA 0,6/1,0 KV, PARA REDE ENTERRADA DE DISTRIBUIÇÃO DE ENERGIA ELÉTRICA - FORNECIMENTO E INSTALAÇÃO. AF_12/2021</v>
      </c>
      <c r="C281" s="572" t="str">
        <f>PLANILHA!E279</f>
        <v>M</v>
      </c>
      <c r="D281" s="573">
        <f>PLANILHA!F279</f>
        <v>571</v>
      </c>
      <c r="E281" s="573">
        <f t="shared" si="292"/>
        <v>163.96</v>
      </c>
      <c r="F281" s="574">
        <f t="shared" si="291"/>
        <v>93621.16</v>
      </c>
      <c r="G281" s="580"/>
      <c r="H281" s="576">
        <f>G281*$E281</f>
        <v>0</v>
      </c>
      <c r="I281" s="576"/>
      <c r="J281" s="576">
        <f>I281*$E281</f>
        <v>0</v>
      </c>
      <c r="K281" s="576"/>
      <c r="L281" s="576">
        <f>K281*$E281</f>
        <v>0</v>
      </c>
      <c r="M281" s="576">
        <f>D281</f>
        <v>571</v>
      </c>
      <c r="N281" s="576">
        <f t="shared" si="296"/>
        <v>93621.16</v>
      </c>
      <c r="O281" s="576"/>
      <c r="P281" s="576">
        <f>O281*$E281</f>
        <v>0</v>
      </c>
      <c r="Q281" s="576"/>
      <c r="R281" s="577">
        <f>Q281*$E281</f>
        <v>0</v>
      </c>
      <c r="S281" s="578"/>
      <c r="T281" s="576">
        <f>S281*$E281</f>
        <v>0</v>
      </c>
      <c r="U281" s="576"/>
      <c r="V281" s="576">
        <f>U281*$E281</f>
        <v>0</v>
      </c>
      <c r="W281" s="576"/>
      <c r="X281" s="576">
        <f>W281*$E281</f>
        <v>0</v>
      </c>
      <c r="Y281" s="576"/>
      <c r="Z281" s="576">
        <f>Y281*$E281</f>
        <v>0</v>
      </c>
      <c r="AA281" s="576"/>
      <c r="AB281" s="576">
        <f>AA281*$E281</f>
        <v>0</v>
      </c>
      <c r="AC281" s="576"/>
      <c r="AD281" s="579">
        <f>AC281*$E281</f>
        <v>0</v>
      </c>
      <c r="AE281" s="580">
        <f t="shared" si="305"/>
        <v>571</v>
      </c>
      <c r="AF281" s="576">
        <f t="shared" si="306"/>
        <v>93621.16</v>
      </c>
      <c r="AG281" s="576">
        <f t="shared" si="307"/>
        <v>0</v>
      </c>
      <c r="AH281" s="579">
        <f t="shared" si="308"/>
        <v>0</v>
      </c>
      <c r="AI281" s="603"/>
      <c r="AK281" s="617">
        <f t="shared" si="290"/>
        <v>0</v>
      </c>
    </row>
    <row r="282" spans="1:37" s="604" customFormat="1">
      <c r="A282" s="570"/>
      <c r="B282" s="571"/>
      <c r="C282" s="572"/>
      <c r="D282" s="573"/>
      <c r="E282" s="573" t="e">
        <f t="shared" si="292"/>
        <v>#N/A</v>
      </c>
      <c r="F282" s="574"/>
      <c r="G282" s="580"/>
      <c r="H282" s="576"/>
      <c r="I282" s="576"/>
      <c r="J282" s="576"/>
      <c r="K282" s="576"/>
      <c r="L282" s="576"/>
      <c r="M282" s="576">
        <f t="shared" si="309"/>
        <v>0</v>
      </c>
      <c r="N282" s="576"/>
      <c r="O282" s="576"/>
      <c r="P282" s="576"/>
      <c r="Q282" s="576"/>
      <c r="R282" s="577"/>
      <c r="S282" s="578"/>
      <c r="T282" s="576"/>
      <c r="U282" s="576"/>
      <c r="V282" s="576"/>
      <c r="W282" s="576"/>
      <c r="X282" s="576"/>
      <c r="Y282" s="576"/>
      <c r="Z282" s="576"/>
      <c r="AA282" s="576"/>
      <c r="AB282" s="576"/>
      <c r="AC282" s="576"/>
      <c r="AD282" s="579"/>
      <c r="AE282" s="580"/>
      <c r="AF282" s="576"/>
      <c r="AG282" s="576"/>
      <c r="AH282" s="579"/>
      <c r="AI282" s="603"/>
      <c r="AK282" s="617">
        <f t="shared" si="290"/>
        <v>0</v>
      </c>
    </row>
    <row r="283" spans="1:37" s="604" customFormat="1">
      <c r="A283" s="570"/>
      <c r="B283" s="571" t="str">
        <f>PLANILHA!D281</f>
        <v>CABOS PARA TERMINAIS</v>
      </c>
      <c r="C283" s="572"/>
      <c r="D283" s="573"/>
      <c r="E283" s="573" t="e">
        <f t="shared" si="292"/>
        <v>#N/A</v>
      </c>
      <c r="F283" s="574"/>
      <c r="G283" s="580"/>
      <c r="H283" s="576"/>
      <c r="I283" s="576"/>
      <c r="J283" s="576"/>
      <c r="K283" s="576"/>
      <c r="L283" s="576"/>
      <c r="M283" s="576">
        <f t="shared" si="309"/>
        <v>0</v>
      </c>
      <c r="N283" s="576"/>
      <c r="O283" s="576"/>
      <c r="P283" s="576"/>
      <c r="Q283" s="576"/>
      <c r="R283" s="577"/>
      <c r="S283" s="578"/>
      <c r="T283" s="576"/>
      <c r="U283" s="576"/>
      <c r="V283" s="576"/>
      <c r="W283" s="576"/>
      <c r="X283" s="576"/>
      <c r="Y283" s="576"/>
      <c r="Z283" s="576"/>
      <c r="AA283" s="576"/>
      <c r="AB283" s="576"/>
      <c r="AC283" s="576"/>
      <c r="AD283" s="579"/>
      <c r="AE283" s="580"/>
      <c r="AF283" s="576"/>
      <c r="AG283" s="576"/>
      <c r="AH283" s="579"/>
      <c r="AI283" s="603"/>
      <c r="AK283" s="617">
        <f t="shared" si="290"/>
        <v>0</v>
      </c>
    </row>
    <row r="284" spans="1:37" s="604" customFormat="1" ht="45">
      <c r="A284" s="570" t="s">
        <v>14514</v>
      </c>
      <c r="B284" s="571" t="str">
        <f>PLANILHA!D282</f>
        <v>CABO DE COBRE FLEXÍVEL ISOLADO, 2,5 MM², ANTI-CHAMA 450/750 V, PARA CIRCUITOS TERMINAIS - FORNECIMENTO E INSTALAÇÃO. AF_12/2015</v>
      </c>
      <c r="C284" s="572" t="str">
        <f>PLANILHA!E282</f>
        <v>M</v>
      </c>
      <c r="D284" s="573">
        <f>PLANILHA!F282</f>
        <v>1536</v>
      </c>
      <c r="E284" s="573">
        <f t="shared" si="292"/>
        <v>5.0199999999999996</v>
      </c>
      <c r="F284" s="574">
        <f t="shared" ref="F284:F290" si="310">VLOOKUP(A284,PLANILHA,$G$6,0)</f>
        <v>7710.72</v>
      </c>
      <c r="G284" s="580"/>
      <c r="H284" s="576">
        <f t="shared" si="293"/>
        <v>0</v>
      </c>
      <c r="I284" s="576"/>
      <c r="J284" s="576">
        <f t="shared" si="294"/>
        <v>0</v>
      </c>
      <c r="K284" s="576"/>
      <c r="L284" s="576">
        <f t="shared" si="295"/>
        <v>0</v>
      </c>
      <c r="M284" s="576">
        <f t="shared" si="309"/>
        <v>1536</v>
      </c>
      <c r="N284" s="576">
        <f t="shared" ref="N284:N290" si="311">TRUNC(M284*$E284,2)</f>
        <v>7710.72</v>
      </c>
      <c r="O284" s="576"/>
      <c r="P284" s="576">
        <f t="shared" si="297"/>
        <v>0</v>
      </c>
      <c r="Q284" s="576"/>
      <c r="R284" s="577">
        <f t="shared" si="298"/>
        <v>0</v>
      </c>
      <c r="S284" s="578"/>
      <c r="T284" s="576">
        <f t="shared" si="299"/>
        <v>0</v>
      </c>
      <c r="U284" s="576"/>
      <c r="V284" s="576">
        <f t="shared" si="300"/>
        <v>0</v>
      </c>
      <c r="W284" s="576"/>
      <c r="X284" s="576">
        <f t="shared" si="301"/>
        <v>0</v>
      </c>
      <c r="Y284" s="576"/>
      <c r="Z284" s="576">
        <f t="shared" si="302"/>
        <v>0</v>
      </c>
      <c r="AA284" s="576"/>
      <c r="AB284" s="576">
        <f t="shared" si="303"/>
        <v>0</v>
      </c>
      <c r="AC284" s="576"/>
      <c r="AD284" s="579">
        <f t="shared" si="304"/>
        <v>0</v>
      </c>
      <c r="AE284" s="580">
        <f t="shared" ref="AE284:AE290" si="312">AC284+AA284+Y284+W284+U284+S284+Q284+O284+M284+K284+I284+G284</f>
        <v>1536</v>
      </c>
      <c r="AF284" s="576">
        <f t="shared" ref="AF284:AF290" si="313">TRUNC(AE284*E284,2)</f>
        <v>7710.72</v>
      </c>
      <c r="AG284" s="576">
        <f t="shared" ref="AG284:AG290" si="314">D284-AE284</f>
        <v>0</v>
      </c>
      <c r="AH284" s="579">
        <f t="shared" ref="AH284:AH290" si="315">AG284*E284</f>
        <v>0</v>
      </c>
      <c r="AI284" s="603"/>
      <c r="AK284" s="617">
        <f t="shared" si="290"/>
        <v>0</v>
      </c>
    </row>
    <row r="285" spans="1:37" s="604" customFormat="1" ht="45">
      <c r="A285" s="570" t="s">
        <v>14515</v>
      </c>
      <c r="B285" s="571" t="str">
        <f>PLANILHA!D283</f>
        <v>CABO DE COBRE FLEXÍVEL ISOLADO, 4 MM², ANTI-CHAMA 450/750 V, PARA CIRCUITOS TERMINAIS - FORNECIMENTO E INSTALAÇÃO. AF_12/2015</v>
      </c>
      <c r="C285" s="572" t="str">
        <f>PLANILHA!E283</f>
        <v>M</v>
      </c>
      <c r="D285" s="573">
        <f>PLANILHA!F283</f>
        <v>896</v>
      </c>
      <c r="E285" s="573">
        <f t="shared" si="292"/>
        <v>8.33</v>
      </c>
      <c r="F285" s="574">
        <f t="shared" si="310"/>
        <v>7463.68</v>
      </c>
      <c r="G285" s="580"/>
      <c r="H285" s="576">
        <f t="shared" si="293"/>
        <v>0</v>
      </c>
      <c r="I285" s="576"/>
      <c r="J285" s="576">
        <f t="shared" si="294"/>
        <v>0</v>
      </c>
      <c r="K285" s="576"/>
      <c r="L285" s="576">
        <f t="shared" si="295"/>
        <v>0</v>
      </c>
      <c r="M285" s="576">
        <f t="shared" si="309"/>
        <v>896</v>
      </c>
      <c r="N285" s="576">
        <f t="shared" si="311"/>
        <v>7463.68</v>
      </c>
      <c r="O285" s="576"/>
      <c r="P285" s="576">
        <f t="shared" si="297"/>
        <v>0</v>
      </c>
      <c r="Q285" s="576"/>
      <c r="R285" s="577">
        <f t="shared" si="298"/>
        <v>0</v>
      </c>
      <c r="S285" s="578"/>
      <c r="T285" s="576">
        <f t="shared" si="299"/>
        <v>0</v>
      </c>
      <c r="U285" s="576"/>
      <c r="V285" s="576">
        <f t="shared" si="300"/>
        <v>0</v>
      </c>
      <c r="W285" s="576"/>
      <c r="X285" s="576">
        <f t="shared" si="301"/>
        <v>0</v>
      </c>
      <c r="Y285" s="576"/>
      <c r="Z285" s="576">
        <f t="shared" si="302"/>
        <v>0</v>
      </c>
      <c r="AA285" s="576"/>
      <c r="AB285" s="576">
        <f t="shared" si="303"/>
        <v>0</v>
      </c>
      <c r="AC285" s="576"/>
      <c r="AD285" s="579">
        <f t="shared" si="304"/>
        <v>0</v>
      </c>
      <c r="AE285" s="580">
        <f t="shared" si="312"/>
        <v>896</v>
      </c>
      <c r="AF285" s="576">
        <f t="shared" si="313"/>
        <v>7463.68</v>
      </c>
      <c r="AG285" s="576">
        <f t="shared" si="314"/>
        <v>0</v>
      </c>
      <c r="AH285" s="579">
        <f t="shared" si="315"/>
        <v>0</v>
      </c>
      <c r="AI285" s="603"/>
      <c r="AK285" s="617">
        <f t="shared" si="290"/>
        <v>0</v>
      </c>
    </row>
    <row r="286" spans="1:37" s="604" customFormat="1" ht="45">
      <c r="A286" s="570" t="s">
        <v>14516</v>
      </c>
      <c r="B286" s="571" t="str">
        <f>PLANILHA!D284</f>
        <v>CABO DE COBRE FLEXÍVEL ISOLADO, 6 MM², ANTI-CHAMA 0,6/1,0 KV, PARA CIRCUITOS TERMINAIS - FORNECIMENTO E INSTALAÇÃO. AF_12/2015</v>
      </c>
      <c r="C286" s="572" t="str">
        <f>PLANILHA!E284</f>
        <v>M</v>
      </c>
      <c r="D286" s="573">
        <f>PLANILHA!F284</f>
        <v>423</v>
      </c>
      <c r="E286" s="573">
        <f t="shared" si="292"/>
        <v>12.93</v>
      </c>
      <c r="F286" s="574">
        <f t="shared" si="310"/>
        <v>5469.39</v>
      </c>
      <c r="G286" s="580"/>
      <c r="H286" s="576">
        <f t="shared" si="293"/>
        <v>0</v>
      </c>
      <c r="I286" s="576"/>
      <c r="J286" s="576">
        <f t="shared" si="294"/>
        <v>0</v>
      </c>
      <c r="K286" s="576"/>
      <c r="L286" s="576">
        <f t="shared" si="295"/>
        <v>0</v>
      </c>
      <c r="M286" s="576">
        <f t="shared" si="309"/>
        <v>423</v>
      </c>
      <c r="N286" s="576">
        <f t="shared" si="311"/>
        <v>5469.39</v>
      </c>
      <c r="O286" s="576"/>
      <c r="P286" s="576">
        <f t="shared" si="297"/>
        <v>0</v>
      </c>
      <c r="Q286" s="576"/>
      <c r="R286" s="577">
        <f t="shared" si="298"/>
        <v>0</v>
      </c>
      <c r="S286" s="578"/>
      <c r="T286" s="576">
        <f t="shared" si="299"/>
        <v>0</v>
      </c>
      <c r="U286" s="576"/>
      <c r="V286" s="576">
        <f t="shared" si="300"/>
        <v>0</v>
      </c>
      <c r="W286" s="576"/>
      <c r="X286" s="576">
        <f t="shared" si="301"/>
        <v>0</v>
      </c>
      <c r="Y286" s="576"/>
      <c r="Z286" s="576">
        <f t="shared" si="302"/>
        <v>0</v>
      </c>
      <c r="AA286" s="576"/>
      <c r="AB286" s="576">
        <f t="shared" si="303"/>
        <v>0</v>
      </c>
      <c r="AC286" s="576"/>
      <c r="AD286" s="579">
        <f t="shared" si="304"/>
        <v>0</v>
      </c>
      <c r="AE286" s="580">
        <f t="shared" si="312"/>
        <v>423</v>
      </c>
      <c r="AF286" s="576">
        <f t="shared" si="313"/>
        <v>5469.39</v>
      </c>
      <c r="AG286" s="576">
        <f t="shared" si="314"/>
        <v>0</v>
      </c>
      <c r="AH286" s="579">
        <f t="shared" si="315"/>
        <v>0</v>
      </c>
      <c r="AI286" s="603"/>
      <c r="AK286" s="617">
        <f t="shared" si="290"/>
        <v>0</v>
      </c>
    </row>
    <row r="287" spans="1:37" s="604" customFormat="1" ht="30">
      <c r="A287" s="570" t="s">
        <v>14517</v>
      </c>
      <c r="B287" s="571" t="str">
        <f>PLANILHA!D285</f>
        <v>TERMINAL A COMPRESSAO EM COBRE ESTANHADO 1 FURO PARA CABO 70 MM2. FORNECIMENTO E INSTALAÇÃO.</v>
      </c>
      <c r="C287" s="572" t="str">
        <f>PLANILHA!E285</f>
        <v>UND</v>
      </c>
      <c r="D287" s="573">
        <f>PLANILHA!F285</f>
        <v>20</v>
      </c>
      <c r="E287" s="573">
        <f t="shared" si="292"/>
        <v>24.15</v>
      </c>
      <c r="F287" s="574">
        <f t="shared" si="310"/>
        <v>483</v>
      </c>
      <c r="G287" s="580"/>
      <c r="H287" s="576">
        <f>G287*$E287</f>
        <v>0</v>
      </c>
      <c r="I287" s="576"/>
      <c r="J287" s="576">
        <f>I287*$E287</f>
        <v>0</v>
      </c>
      <c r="K287" s="576"/>
      <c r="L287" s="576">
        <f>K287*$E287</f>
        <v>0</v>
      </c>
      <c r="M287" s="576">
        <f t="shared" si="309"/>
        <v>20</v>
      </c>
      <c r="N287" s="576">
        <f t="shared" si="311"/>
        <v>483</v>
      </c>
      <c r="O287" s="576"/>
      <c r="P287" s="576">
        <f>O287*$E287</f>
        <v>0</v>
      </c>
      <c r="Q287" s="576"/>
      <c r="R287" s="577">
        <f>Q287*$E287</f>
        <v>0</v>
      </c>
      <c r="S287" s="578"/>
      <c r="T287" s="576">
        <f>S287*$E287</f>
        <v>0</v>
      </c>
      <c r="U287" s="576"/>
      <c r="V287" s="576">
        <f>U287*$E287</f>
        <v>0</v>
      </c>
      <c r="W287" s="576"/>
      <c r="X287" s="576">
        <f>W287*$E287</f>
        <v>0</v>
      </c>
      <c r="Y287" s="576"/>
      <c r="Z287" s="576">
        <f>Y287*$E287</f>
        <v>0</v>
      </c>
      <c r="AA287" s="576"/>
      <c r="AB287" s="576">
        <f>AA287*$E287</f>
        <v>0</v>
      </c>
      <c r="AC287" s="576"/>
      <c r="AD287" s="579">
        <f>AC287*$E287</f>
        <v>0</v>
      </c>
      <c r="AE287" s="580">
        <f t="shared" si="312"/>
        <v>20</v>
      </c>
      <c r="AF287" s="576">
        <f t="shared" si="313"/>
        <v>483</v>
      </c>
      <c r="AG287" s="576">
        <f t="shared" si="314"/>
        <v>0</v>
      </c>
      <c r="AH287" s="579">
        <f t="shared" si="315"/>
        <v>0</v>
      </c>
      <c r="AI287" s="603"/>
      <c r="AK287" s="617">
        <f t="shared" si="290"/>
        <v>0</v>
      </c>
    </row>
    <row r="288" spans="1:37" s="604" customFormat="1" ht="45">
      <c r="A288" s="570" t="s">
        <v>14600</v>
      </c>
      <c r="B288" s="571" t="str">
        <f>PLANILHA!D286</f>
        <v>TERMINAL A COMPRESSAO EM COBRE ESTANHADO PARA CABO 35 MM2, 1 FURO E 1 COMPRESSAO, PARA PARAFUSO DE FIXACAO M8, FORNECIMENTO E INSTALAÇÃO</v>
      </c>
      <c r="C288" s="572" t="str">
        <f>PLANILHA!E286</f>
        <v>UND</v>
      </c>
      <c r="D288" s="573">
        <f>PLANILHA!F286</f>
        <v>16</v>
      </c>
      <c r="E288" s="573">
        <f t="shared" si="292"/>
        <v>7.6</v>
      </c>
      <c r="F288" s="574">
        <f t="shared" si="310"/>
        <v>121.6</v>
      </c>
      <c r="G288" s="580"/>
      <c r="H288" s="576">
        <f>G288*$E288</f>
        <v>0</v>
      </c>
      <c r="I288" s="576"/>
      <c r="J288" s="576">
        <f>I288*$E288</f>
        <v>0</v>
      </c>
      <c r="K288" s="576"/>
      <c r="L288" s="576">
        <f>K288*$E288</f>
        <v>0</v>
      </c>
      <c r="M288" s="576">
        <f t="shared" si="309"/>
        <v>16</v>
      </c>
      <c r="N288" s="576">
        <f t="shared" si="311"/>
        <v>121.6</v>
      </c>
      <c r="O288" s="576"/>
      <c r="P288" s="576">
        <f>O288*$E288</f>
        <v>0</v>
      </c>
      <c r="Q288" s="576"/>
      <c r="R288" s="577">
        <f>Q288*$E288</f>
        <v>0</v>
      </c>
      <c r="S288" s="578"/>
      <c r="T288" s="576">
        <f>S288*$E288</f>
        <v>0</v>
      </c>
      <c r="U288" s="576"/>
      <c r="V288" s="576">
        <f>U288*$E288</f>
        <v>0</v>
      </c>
      <c r="W288" s="576"/>
      <c r="X288" s="576">
        <f>W288*$E288</f>
        <v>0</v>
      </c>
      <c r="Y288" s="576"/>
      <c r="Z288" s="576">
        <f>Y288*$E288</f>
        <v>0</v>
      </c>
      <c r="AA288" s="576"/>
      <c r="AB288" s="576">
        <f>AA288*$E288</f>
        <v>0</v>
      </c>
      <c r="AC288" s="576"/>
      <c r="AD288" s="579">
        <f>AC288*$E288</f>
        <v>0</v>
      </c>
      <c r="AE288" s="580">
        <f t="shared" si="312"/>
        <v>16</v>
      </c>
      <c r="AF288" s="576">
        <f t="shared" si="313"/>
        <v>121.6</v>
      </c>
      <c r="AG288" s="576">
        <f t="shared" si="314"/>
        <v>0</v>
      </c>
      <c r="AH288" s="579">
        <f t="shared" si="315"/>
        <v>0</v>
      </c>
      <c r="AI288" s="603"/>
      <c r="AK288" s="617">
        <f t="shared" si="290"/>
        <v>0</v>
      </c>
    </row>
    <row r="289" spans="1:37" s="604" customFormat="1" ht="30">
      <c r="A289" s="570" t="s">
        <v>14601</v>
      </c>
      <c r="B289" s="571" t="str">
        <f>PLANILHA!D287</f>
        <v>TERMINAL A COMPRESSAO EM COBRE ESTANHADO 1 FURO PARA CABO 25 MM2. FORNECIMENTO E INSTALAÇÃO.</v>
      </c>
      <c r="C289" s="572" t="str">
        <f>PLANILHA!E287</f>
        <v>UND</v>
      </c>
      <c r="D289" s="573">
        <f>PLANILHA!F287</f>
        <v>12</v>
      </c>
      <c r="E289" s="573">
        <f t="shared" si="292"/>
        <v>17.97</v>
      </c>
      <c r="F289" s="574">
        <f t="shared" si="310"/>
        <v>215.64</v>
      </c>
      <c r="G289" s="580"/>
      <c r="H289" s="576">
        <f>G289*$E289</f>
        <v>0</v>
      </c>
      <c r="I289" s="576"/>
      <c r="J289" s="576">
        <f>I289*$E289</f>
        <v>0</v>
      </c>
      <c r="K289" s="576"/>
      <c r="L289" s="576">
        <f>K289*$E289</f>
        <v>0</v>
      </c>
      <c r="M289" s="576">
        <f t="shared" si="309"/>
        <v>12</v>
      </c>
      <c r="N289" s="576">
        <f t="shared" si="311"/>
        <v>215.64</v>
      </c>
      <c r="O289" s="576"/>
      <c r="P289" s="576">
        <f>O289*$E289</f>
        <v>0</v>
      </c>
      <c r="Q289" s="576"/>
      <c r="R289" s="577">
        <f>Q289*$E289</f>
        <v>0</v>
      </c>
      <c r="S289" s="578"/>
      <c r="T289" s="576">
        <f>S289*$E289</f>
        <v>0</v>
      </c>
      <c r="U289" s="576"/>
      <c r="V289" s="576">
        <f>U289*$E289</f>
        <v>0</v>
      </c>
      <c r="W289" s="576"/>
      <c r="X289" s="576">
        <f>W289*$E289</f>
        <v>0</v>
      </c>
      <c r="Y289" s="576"/>
      <c r="Z289" s="576">
        <f>Y289*$E289</f>
        <v>0</v>
      </c>
      <c r="AA289" s="576"/>
      <c r="AB289" s="576">
        <f>AA289*$E289</f>
        <v>0</v>
      </c>
      <c r="AC289" s="576"/>
      <c r="AD289" s="579">
        <f>AC289*$E289</f>
        <v>0</v>
      </c>
      <c r="AE289" s="580">
        <f t="shared" si="312"/>
        <v>12</v>
      </c>
      <c r="AF289" s="576">
        <f t="shared" si="313"/>
        <v>215.64</v>
      </c>
      <c r="AG289" s="576">
        <f t="shared" si="314"/>
        <v>0</v>
      </c>
      <c r="AH289" s="579">
        <f t="shared" si="315"/>
        <v>0</v>
      </c>
      <c r="AI289" s="603"/>
      <c r="AK289" s="617">
        <f t="shared" si="290"/>
        <v>0</v>
      </c>
    </row>
    <row r="290" spans="1:37" s="604" customFormat="1" ht="30">
      <c r="A290" s="570" t="s">
        <v>14002</v>
      </c>
      <c r="B290" s="571" t="str">
        <f>PLANILHA!D288</f>
        <v>TERMINAL A COMPRESSAO EM COBRE ESTANHADO 1 FURO PARA CABO 16 MM2. FORNECIMENTO E INSTALAÇÃO.</v>
      </c>
      <c r="C290" s="572" t="str">
        <f>PLANILHA!E288</f>
        <v>UND</v>
      </c>
      <c r="D290" s="573">
        <f>PLANILHA!F288</f>
        <v>16</v>
      </c>
      <c r="E290" s="573">
        <f t="shared" si="292"/>
        <v>16.87</v>
      </c>
      <c r="F290" s="574">
        <f t="shared" si="310"/>
        <v>269.92</v>
      </c>
      <c r="G290" s="580"/>
      <c r="H290" s="576">
        <f>G290*$E290</f>
        <v>0</v>
      </c>
      <c r="I290" s="576"/>
      <c r="J290" s="576">
        <f>I290*$E290</f>
        <v>0</v>
      </c>
      <c r="K290" s="576"/>
      <c r="L290" s="576">
        <f>K290*$E290</f>
        <v>0</v>
      </c>
      <c r="M290" s="576">
        <f t="shared" si="309"/>
        <v>16</v>
      </c>
      <c r="N290" s="576">
        <f t="shared" si="311"/>
        <v>269.92</v>
      </c>
      <c r="O290" s="576"/>
      <c r="P290" s="576">
        <f>O290*$E290</f>
        <v>0</v>
      </c>
      <c r="Q290" s="576"/>
      <c r="R290" s="577">
        <f>Q290*$E290</f>
        <v>0</v>
      </c>
      <c r="S290" s="578"/>
      <c r="T290" s="576">
        <f>S290*$E290</f>
        <v>0</v>
      </c>
      <c r="U290" s="576"/>
      <c r="V290" s="576">
        <f>U290*$E290</f>
        <v>0</v>
      </c>
      <c r="W290" s="576"/>
      <c r="X290" s="576">
        <f>W290*$E290</f>
        <v>0</v>
      </c>
      <c r="Y290" s="576"/>
      <c r="Z290" s="576">
        <f>Y290*$E290</f>
        <v>0</v>
      </c>
      <c r="AA290" s="576"/>
      <c r="AB290" s="576">
        <f>AA290*$E290</f>
        <v>0</v>
      </c>
      <c r="AC290" s="576"/>
      <c r="AD290" s="579">
        <f>AC290*$E290</f>
        <v>0</v>
      </c>
      <c r="AE290" s="580">
        <f t="shared" si="312"/>
        <v>16</v>
      </c>
      <c r="AF290" s="576">
        <f t="shared" si="313"/>
        <v>269.92</v>
      </c>
      <c r="AG290" s="576">
        <f t="shared" si="314"/>
        <v>0</v>
      </c>
      <c r="AH290" s="579">
        <f t="shared" si="315"/>
        <v>0</v>
      </c>
      <c r="AI290" s="603"/>
      <c r="AK290" s="617">
        <f t="shared" si="290"/>
        <v>0</v>
      </c>
    </row>
    <row r="291" spans="1:37" s="604" customFormat="1">
      <c r="A291" s="570"/>
      <c r="B291" s="571"/>
      <c r="C291" s="572"/>
      <c r="D291" s="573"/>
      <c r="E291" s="573" t="e">
        <f t="shared" si="292"/>
        <v>#N/A</v>
      </c>
      <c r="F291" s="574"/>
      <c r="G291" s="580"/>
      <c r="H291" s="576"/>
      <c r="I291" s="576"/>
      <c r="J291" s="576"/>
      <c r="K291" s="576"/>
      <c r="L291" s="576"/>
      <c r="M291" s="576"/>
      <c r="N291" s="576"/>
      <c r="O291" s="576"/>
      <c r="P291" s="576"/>
      <c r="Q291" s="576"/>
      <c r="R291" s="577"/>
      <c r="S291" s="578"/>
      <c r="T291" s="576"/>
      <c r="U291" s="576"/>
      <c r="V291" s="576"/>
      <c r="W291" s="576"/>
      <c r="X291" s="576"/>
      <c r="Y291" s="576"/>
      <c r="Z291" s="576"/>
      <c r="AA291" s="576"/>
      <c r="AB291" s="576"/>
      <c r="AC291" s="576"/>
      <c r="AD291" s="579"/>
      <c r="AE291" s="580"/>
      <c r="AF291" s="576"/>
      <c r="AG291" s="576"/>
      <c r="AH291" s="579"/>
      <c r="AI291" s="603"/>
      <c r="AK291" s="617">
        <f t="shared" si="290"/>
        <v>0</v>
      </c>
    </row>
    <row r="292" spans="1:37" s="604" customFormat="1">
      <c r="A292" s="570"/>
      <c r="B292" s="571" t="str">
        <f>PLANILHA!D290</f>
        <v>COMUM</v>
      </c>
      <c r="C292" s="572"/>
      <c r="D292" s="573"/>
      <c r="E292" s="573" t="e">
        <f t="shared" si="292"/>
        <v>#N/A</v>
      </c>
      <c r="F292" s="574"/>
      <c r="G292" s="580"/>
      <c r="H292" s="576"/>
      <c r="I292" s="576"/>
      <c r="J292" s="576"/>
      <c r="K292" s="576"/>
      <c r="L292" s="576"/>
      <c r="M292" s="576"/>
      <c r="N292" s="576"/>
      <c r="O292" s="576"/>
      <c r="P292" s="576"/>
      <c r="Q292" s="576"/>
      <c r="R292" s="577"/>
      <c r="S292" s="578"/>
      <c r="T292" s="576"/>
      <c r="U292" s="576"/>
      <c r="V292" s="576"/>
      <c r="W292" s="576"/>
      <c r="X292" s="576"/>
      <c r="Y292" s="576"/>
      <c r="Z292" s="576"/>
      <c r="AA292" s="576"/>
      <c r="AB292" s="576"/>
      <c r="AC292" s="576"/>
      <c r="AD292" s="579"/>
      <c r="AE292" s="580"/>
      <c r="AF292" s="576"/>
      <c r="AG292" s="576"/>
      <c r="AH292" s="579"/>
      <c r="AI292" s="603"/>
      <c r="AK292" s="617">
        <f t="shared" si="290"/>
        <v>0</v>
      </c>
    </row>
    <row r="293" spans="1:37" s="604" customFormat="1" ht="30">
      <c r="A293" s="570" t="s">
        <v>14602</v>
      </c>
      <c r="B293" s="571" t="str">
        <f>PLANILHA!D291</f>
        <v>INTERRUPTOR SIMPLES (1 MÓDULO), 10A/250V, INCLUINDO SUPORTE E PLACA - FORNECIMENTO E INSTALAÇÃO. AF_12/2015</v>
      </c>
      <c r="C293" s="572" t="str">
        <f>PLANILHA!E291</f>
        <v>UN</v>
      </c>
      <c r="D293" s="573">
        <f>PLANILHA!F291</f>
        <v>4</v>
      </c>
      <c r="E293" s="573">
        <f t="shared" si="292"/>
        <v>25.8</v>
      </c>
      <c r="F293" s="574">
        <f t="shared" ref="F293:F337" si="316">VLOOKUP(A293,PLANILHA,$G$6,0)</f>
        <v>103.2</v>
      </c>
      <c r="G293" s="580"/>
      <c r="H293" s="576">
        <f t="shared" si="293"/>
        <v>0</v>
      </c>
      <c r="I293" s="576"/>
      <c r="J293" s="576">
        <f t="shared" si="294"/>
        <v>0</v>
      </c>
      <c r="K293" s="576"/>
      <c r="L293" s="576">
        <f t="shared" si="295"/>
        <v>0</v>
      </c>
      <c r="M293" s="576">
        <f>D293</f>
        <v>4</v>
      </c>
      <c r="N293" s="576">
        <f t="shared" ref="N293:N336" si="317">TRUNC(M293*$E293,2)</f>
        <v>103.2</v>
      </c>
      <c r="O293" s="576"/>
      <c r="P293" s="576">
        <f t="shared" si="297"/>
        <v>0</v>
      </c>
      <c r="Q293" s="576"/>
      <c r="R293" s="577">
        <f t="shared" si="298"/>
        <v>0</v>
      </c>
      <c r="S293" s="578"/>
      <c r="T293" s="576">
        <f t="shared" si="299"/>
        <v>0</v>
      </c>
      <c r="U293" s="576"/>
      <c r="V293" s="576">
        <f t="shared" si="300"/>
        <v>0</v>
      </c>
      <c r="W293" s="576"/>
      <c r="X293" s="576">
        <f t="shared" si="301"/>
        <v>0</v>
      </c>
      <c r="Y293" s="576"/>
      <c r="Z293" s="576">
        <f t="shared" si="302"/>
        <v>0</v>
      </c>
      <c r="AA293" s="576"/>
      <c r="AB293" s="576">
        <f t="shared" si="303"/>
        <v>0</v>
      </c>
      <c r="AC293" s="576"/>
      <c r="AD293" s="579">
        <f t="shared" si="304"/>
        <v>0</v>
      </c>
      <c r="AE293" s="580">
        <f t="shared" ref="AE293:AE325" si="318">AC293+AA293+Y293+W293+U293+S293+Q293+O293+M293+K293+I293+G293</f>
        <v>4</v>
      </c>
      <c r="AF293" s="576">
        <f t="shared" ref="AF293:AF336" si="319">TRUNC(AE293*E293,2)</f>
        <v>103.2</v>
      </c>
      <c r="AG293" s="576">
        <f t="shared" ref="AG293:AG325" si="320">D293-AE293</f>
        <v>0</v>
      </c>
      <c r="AH293" s="579">
        <f t="shared" ref="AH293:AH325" si="321">AG293*E293</f>
        <v>0</v>
      </c>
      <c r="AI293" s="603"/>
      <c r="AK293" s="617">
        <f t="shared" si="290"/>
        <v>0</v>
      </c>
    </row>
    <row r="294" spans="1:37" s="604" customFormat="1" ht="30">
      <c r="A294" s="570" t="s">
        <v>14003</v>
      </c>
      <c r="B294" s="571" t="str">
        <f>PLANILHA!D292</f>
        <v>INTERRUPTOR SIMPLES (3 MÓDULOS), 10A/250V, INCLUINDO SUPORTE E PLACA - FORNECIMENTO E INSTALAÇÃO. AF_12/2015</v>
      </c>
      <c r="C294" s="572" t="str">
        <f>PLANILHA!E292</f>
        <v>UN</v>
      </c>
      <c r="D294" s="573">
        <f>PLANILHA!F292</f>
        <v>1</v>
      </c>
      <c r="E294" s="573">
        <f t="shared" si="292"/>
        <v>55.83</v>
      </c>
      <c r="F294" s="574">
        <f t="shared" si="316"/>
        <v>55.83</v>
      </c>
      <c r="G294" s="580"/>
      <c r="H294" s="576">
        <f t="shared" si="293"/>
        <v>0</v>
      </c>
      <c r="I294" s="576"/>
      <c r="J294" s="576">
        <f t="shared" si="294"/>
        <v>0</v>
      </c>
      <c r="K294" s="576"/>
      <c r="L294" s="576">
        <f t="shared" si="295"/>
        <v>0</v>
      </c>
      <c r="M294" s="576">
        <f t="shared" ref="M294:M325" si="322">D294</f>
        <v>1</v>
      </c>
      <c r="N294" s="576">
        <f t="shared" si="317"/>
        <v>55.83</v>
      </c>
      <c r="O294" s="576"/>
      <c r="P294" s="576">
        <f t="shared" si="297"/>
        <v>0</v>
      </c>
      <c r="Q294" s="576"/>
      <c r="R294" s="577">
        <f t="shared" si="298"/>
        <v>0</v>
      </c>
      <c r="S294" s="578"/>
      <c r="T294" s="576">
        <f t="shared" si="299"/>
        <v>0</v>
      </c>
      <c r="U294" s="576"/>
      <c r="V294" s="576">
        <f t="shared" si="300"/>
        <v>0</v>
      </c>
      <c r="W294" s="576"/>
      <c r="X294" s="576">
        <f t="shared" si="301"/>
        <v>0</v>
      </c>
      <c r="Y294" s="576"/>
      <c r="Z294" s="576">
        <f t="shared" si="302"/>
        <v>0</v>
      </c>
      <c r="AA294" s="576"/>
      <c r="AB294" s="576">
        <f t="shared" si="303"/>
        <v>0</v>
      </c>
      <c r="AC294" s="576"/>
      <c r="AD294" s="579">
        <f t="shared" si="304"/>
        <v>0</v>
      </c>
      <c r="AE294" s="580">
        <f t="shared" si="318"/>
        <v>1</v>
      </c>
      <c r="AF294" s="576">
        <f t="shared" si="319"/>
        <v>55.83</v>
      </c>
      <c r="AG294" s="576">
        <f t="shared" si="320"/>
        <v>0</v>
      </c>
      <c r="AH294" s="579">
        <f t="shared" si="321"/>
        <v>0</v>
      </c>
      <c r="AI294" s="603"/>
      <c r="AK294" s="617">
        <f t="shared" si="290"/>
        <v>0</v>
      </c>
    </row>
    <row r="295" spans="1:37" s="604" customFormat="1" ht="30">
      <c r="A295" s="570" t="s">
        <v>14004</v>
      </c>
      <c r="B295" s="571" t="str">
        <f>PLANILHA!D293</f>
        <v>CAIXA RETANGULAR 4" X 2" MÉDIA (1,30 M DO PISO), METÁLICA, INSTALADA EM PAREDE - FORNECIMENTO E INSTALAÇÃO. AF_12/2015</v>
      </c>
      <c r="C295" s="572" t="str">
        <f>PLANILHA!E293</f>
        <v>UN</v>
      </c>
      <c r="D295" s="573">
        <f>PLANILHA!F293</f>
        <v>18</v>
      </c>
      <c r="E295" s="573">
        <f t="shared" si="292"/>
        <v>14.65</v>
      </c>
      <c r="F295" s="574">
        <f t="shared" si="316"/>
        <v>263.7</v>
      </c>
      <c r="G295" s="580"/>
      <c r="H295" s="576">
        <f t="shared" si="293"/>
        <v>0</v>
      </c>
      <c r="I295" s="576"/>
      <c r="J295" s="576">
        <f t="shared" si="294"/>
        <v>0</v>
      </c>
      <c r="K295" s="576"/>
      <c r="L295" s="576">
        <f t="shared" si="295"/>
        <v>0</v>
      </c>
      <c r="M295" s="576">
        <f t="shared" si="322"/>
        <v>18</v>
      </c>
      <c r="N295" s="576">
        <f t="shared" si="317"/>
        <v>263.7</v>
      </c>
      <c r="O295" s="576"/>
      <c r="P295" s="576">
        <f t="shared" si="297"/>
        <v>0</v>
      </c>
      <c r="Q295" s="576"/>
      <c r="R295" s="577">
        <f t="shared" si="298"/>
        <v>0</v>
      </c>
      <c r="S295" s="578"/>
      <c r="T295" s="576">
        <f t="shared" si="299"/>
        <v>0</v>
      </c>
      <c r="U295" s="576"/>
      <c r="V295" s="576">
        <f t="shared" si="300"/>
        <v>0</v>
      </c>
      <c r="W295" s="576"/>
      <c r="X295" s="576">
        <f t="shared" si="301"/>
        <v>0</v>
      </c>
      <c r="Y295" s="576"/>
      <c r="Z295" s="576">
        <f t="shared" si="302"/>
        <v>0</v>
      </c>
      <c r="AA295" s="576"/>
      <c r="AB295" s="576">
        <f t="shared" si="303"/>
        <v>0</v>
      </c>
      <c r="AC295" s="576"/>
      <c r="AD295" s="579">
        <f t="shared" si="304"/>
        <v>0</v>
      </c>
      <c r="AE295" s="580">
        <f t="shared" si="318"/>
        <v>18</v>
      </c>
      <c r="AF295" s="576">
        <f t="shared" si="319"/>
        <v>263.7</v>
      </c>
      <c r="AG295" s="576">
        <f t="shared" si="320"/>
        <v>0</v>
      </c>
      <c r="AH295" s="579">
        <f t="shared" si="321"/>
        <v>0</v>
      </c>
      <c r="AI295" s="603"/>
      <c r="AK295" s="617">
        <f t="shared" si="290"/>
        <v>0</v>
      </c>
    </row>
    <row r="296" spans="1:37" s="604" customFormat="1" ht="30">
      <c r="A296" s="570" t="s">
        <v>14005</v>
      </c>
      <c r="B296" s="571" t="str">
        <f>PLANILHA!D294</f>
        <v>INTERRUPTOR PARALELO (3 MÓDULOS), 10A/250V, INCLUINDO SUPORTE E PLACA - FORNECIMENTO E INSTALAÇÃO. AF_12/2015</v>
      </c>
      <c r="C296" s="572" t="str">
        <f>PLANILHA!E294</f>
        <v>UN</v>
      </c>
      <c r="D296" s="573">
        <f>PLANILHA!F294</f>
        <v>2</v>
      </c>
      <c r="E296" s="573">
        <f t="shared" si="292"/>
        <v>74.040000000000006</v>
      </c>
      <c r="F296" s="574">
        <f t="shared" si="316"/>
        <v>148.08000000000001</v>
      </c>
      <c r="G296" s="580"/>
      <c r="H296" s="576">
        <f t="shared" si="293"/>
        <v>0</v>
      </c>
      <c r="I296" s="576"/>
      <c r="J296" s="576">
        <f t="shared" si="294"/>
        <v>0</v>
      </c>
      <c r="K296" s="576"/>
      <c r="L296" s="576">
        <f t="shared" si="295"/>
        <v>0</v>
      </c>
      <c r="M296" s="576">
        <f t="shared" si="322"/>
        <v>2</v>
      </c>
      <c r="N296" s="576">
        <f t="shared" si="317"/>
        <v>148.08000000000001</v>
      </c>
      <c r="O296" s="576"/>
      <c r="P296" s="576">
        <f t="shared" si="297"/>
        <v>0</v>
      </c>
      <c r="Q296" s="576"/>
      <c r="R296" s="577">
        <f t="shared" si="298"/>
        <v>0</v>
      </c>
      <c r="S296" s="578"/>
      <c r="T296" s="576">
        <f t="shared" si="299"/>
        <v>0</v>
      </c>
      <c r="U296" s="576"/>
      <c r="V296" s="576">
        <f t="shared" si="300"/>
        <v>0</v>
      </c>
      <c r="W296" s="576"/>
      <c r="X296" s="576">
        <f t="shared" si="301"/>
        <v>0</v>
      </c>
      <c r="Y296" s="576"/>
      <c r="Z296" s="576">
        <f t="shared" si="302"/>
        <v>0</v>
      </c>
      <c r="AA296" s="576"/>
      <c r="AB296" s="576">
        <f t="shared" si="303"/>
        <v>0</v>
      </c>
      <c r="AC296" s="576"/>
      <c r="AD296" s="579">
        <f t="shared" si="304"/>
        <v>0</v>
      </c>
      <c r="AE296" s="580">
        <f t="shared" si="318"/>
        <v>2</v>
      </c>
      <c r="AF296" s="576">
        <f t="shared" si="319"/>
        <v>148.08000000000001</v>
      </c>
      <c r="AG296" s="576">
        <f t="shared" si="320"/>
        <v>0</v>
      </c>
      <c r="AH296" s="579">
        <f t="shared" si="321"/>
        <v>0</v>
      </c>
      <c r="AI296" s="603"/>
      <c r="AK296" s="617">
        <f t="shared" si="290"/>
        <v>0</v>
      </c>
    </row>
    <row r="297" spans="1:37" s="604" customFormat="1" ht="30">
      <c r="A297" s="570" t="s">
        <v>14006</v>
      </c>
      <c r="B297" s="571" t="str">
        <f>PLANILHA!D295</f>
        <v>TOMADA ALTA DE EMBUTIR (1 MÓDULO), 2P+T 20 A, INCLUINDO SUPORTE E PLACA - FORNECIMENTO E INSTALAÇÃO. AF_12/2015</v>
      </c>
      <c r="C297" s="572" t="str">
        <f>PLANILHA!E295</f>
        <v>UN</v>
      </c>
      <c r="D297" s="573">
        <f>PLANILHA!F295</f>
        <v>13</v>
      </c>
      <c r="E297" s="573">
        <f t="shared" si="292"/>
        <v>41.91</v>
      </c>
      <c r="F297" s="574">
        <f t="shared" si="316"/>
        <v>544.83000000000004</v>
      </c>
      <c r="G297" s="580"/>
      <c r="H297" s="576">
        <f t="shared" si="293"/>
        <v>0</v>
      </c>
      <c r="I297" s="576"/>
      <c r="J297" s="576">
        <f t="shared" si="294"/>
        <v>0</v>
      </c>
      <c r="K297" s="576"/>
      <c r="L297" s="576">
        <f t="shared" si="295"/>
        <v>0</v>
      </c>
      <c r="M297" s="576">
        <f t="shared" si="322"/>
        <v>13</v>
      </c>
      <c r="N297" s="576">
        <f t="shared" si="317"/>
        <v>544.83000000000004</v>
      </c>
      <c r="O297" s="576"/>
      <c r="P297" s="576">
        <f t="shared" si="297"/>
        <v>0</v>
      </c>
      <c r="Q297" s="576"/>
      <c r="R297" s="577">
        <f t="shared" si="298"/>
        <v>0</v>
      </c>
      <c r="S297" s="578"/>
      <c r="T297" s="576">
        <f t="shared" si="299"/>
        <v>0</v>
      </c>
      <c r="U297" s="576"/>
      <c r="V297" s="576">
        <f t="shared" si="300"/>
        <v>0</v>
      </c>
      <c r="W297" s="576"/>
      <c r="X297" s="576">
        <f t="shared" si="301"/>
        <v>0</v>
      </c>
      <c r="Y297" s="576"/>
      <c r="Z297" s="576">
        <f t="shared" si="302"/>
        <v>0</v>
      </c>
      <c r="AA297" s="576"/>
      <c r="AB297" s="576">
        <f t="shared" si="303"/>
        <v>0</v>
      </c>
      <c r="AC297" s="576"/>
      <c r="AD297" s="579">
        <f t="shared" si="304"/>
        <v>0</v>
      </c>
      <c r="AE297" s="580">
        <f t="shared" si="318"/>
        <v>13</v>
      </c>
      <c r="AF297" s="576">
        <f t="shared" si="319"/>
        <v>544.83000000000004</v>
      </c>
      <c r="AG297" s="576">
        <f t="shared" si="320"/>
        <v>0</v>
      </c>
      <c r="AH297" s="579">
        <f t="shared" si="321"/>
        <v>0</v>
      </c>
      <c r="AI297" s="603"/>
      <c r="AK297" s="617">
        <f t="shared" si="290"/>
        <v>0</v>
      </c>
    </row>
    <row r="298" spans="1:37" s="604" customFormat="1" ht="45">
      <c r="A298" s="570" t="s">
        <v>14007</v>
      </c>
      <c r="B298" s="571" t="str">
        <f>PLANILHA!D296</f>
        <v>CONDULETE DE ALUMÍNIO, TIPO C, PARA ELETRODUTO DE AÇO GALVANIZADO DN 20 MM (3/4''), APARENTE - FORNECIMENTO E INSTALAÇÃO. AF_11/2016_P</v>
      </c>
      <c r="C298" s="572" t="str">
        <f>PLANILHA!E296</f>
        <v>UN</v>
      </c>
      <c r="D298" s="573">
        <f>PLANILHA!F296</f>
        <v>34</v>
      </c>
      <c r="E298" s="573">
        <f t="shared" si="292"/>
        <v>29.65</v>
      </c>
      <c r="F298" s="574">
        <f t="shared" si="316"/>
        <v>1008.1</v>
      </c>
      <c r="G298" s="580"/>
      <c r="H298" s="576">
        <f t="shared" si="293"/>
        <v>0</v>
      </c>
      <c r="I298" s="576"/>
      <c r="J298" s="576">
        <f t="shared" si="294"/>
        <v>0</v>
      </c>
      <c r="K298" s="576"/>
      <c r="L298" s="576">
        <f t="shared" si="295"/>
        <v>0</v>
      </c>
      <c r="M298" s="576">
        <f t="shared" si="322"/>
        <v>34</v>
      </c>
      <c r="N298" s="576">
        <f t="shared" si="317"/>
        <v>1008.1</v>
      </c>
      <c r="O298" s="576"/>
      <c r="P298" s="576">
        <f t="shared" si="297"/>
        <v>0</v>
      </c>
      <c r="Q298" s="576"/>
      <c r="R298" s="577">
        <f t="shared" si="298"/>
        <v>0</v>
      </c>
      <c r="S298" s="578"/>
      <c r="T298" s="576">
        <f t="shared" si="299"/>
        <v>0</v>
      </c>
      <c r="U298" s="576"/>
      <c r="V298" s="576">
        <f t="shared" si="300"/>
        <v>0</v>
      </c>
      <c r="W298" s="576"/>
      <c r="X298" s="576">
        <f t="shared" si="301"/>
        <v>0</v>
      </c>
      <c r="Y298" s="576"/>
      <c r="Z298" s="576">
        <f t="shared" si="302"/>
        <v>0</v>
      </c>
      <c r="AA298" s="576"/>
      <c r="AB298" s="576">
        <f t="shared" si="303"/>
        <v>0</v>
      </c>
      <c r="AC298" s="576"/>
      <c r="AD298" s="579">
        <f t="shared" si="304"/>
        <v>0</v>
      </c>
      <c r="AE298" s="580">
        <f t="shared" si="318"/>
        <v>34</v>
      </c>
      <c r="AF298" s="576">
        <f t="shared" si="319"/>
        <v>1008.1</v>
      </c>
      <c r="AG298" s="576">
        <f t="shared" si="320"/>
        <v>0</v>
      </c>
      <c r="AH298" s="579">
        <f t="shared" si="321"/>
        <v>0</v>
      </c>
      <c r="AI298" s="603"/>
      <c r="AK298" s="617">
        <f t="shared" si="290"/>
        <v>0</v>
      </c>
    </row>
    <row r="299" spans="1:37" s="604" customFormat="1" ht="45">
      <c r="A299" s="570" t="s">
        <v>14008</v>
      </c>
      <c r="B299" s="571" t="str">
        <f>PLANILHA!D297</f>
        <v>CONDULETE DE ALUMÍNIO, TIPO C, PARA ELETRODUTO DE AÇO GALVANIZADO DN 25 MM (1''), APARENTE - FORNECIMENTO E INSTALAÇÃO. AF_11/2016_P</v>
      </c>
      <c r="C299" s="572" t="str">
        <f>PLANILHA!E297</f>
        <v>UN</v>
      </c>
      <c r="D299" s="573">
        <f>PLANILHA!F297</f>
        <v>19</v>
      </c>
      <c r="E299" s="573">
        <f t="shared" si="292"/>
        <v>33.51</v>
      </c>
      <c r="F299" s="574">
        <f t="shared" si="316"/>
        <v>636.69000000000005</v>
      </c>
      <c r="G299" s="580"/>
      <c r="H299" s="576">
        <f t="shared" si="293"/>
        <v>0</v>
      </c>
      <c r="I299" s="576"/>
      <c r="J299" s="576">
        <f t="shared" si="294"/>
        <v>0</v>
      </c>
      <c r="K299" s="576"/>
      <c r="L299" s="576">
        <f t="shared" si="295"/>
        <v>0</v>
      </c>
      <c r="M299" s="576">
        <f t="shared" si="322"/>
        <v>19</v>
      </c>
      <c r="N299" s="576">
        <f t="shared" si="317"/>
        <v>636.69000000000005</v>
      </c>
      <c r="O299" s="576"/>
      <c r="P299" s="576">
        <f t="shared" si="297"/>
        <v>0</v>
      </c>
      <c r="Q299" s="576"/>
      <c r="R299" s="577">
        <f t="shared" si="298"/>
        <v>0</v>
      </c>
      <c r="S299" s="578"/>
      <c r="T299" s="576">
        <f t="shared" si="299"/>
        <v>0</v>
      </c>
      <c r="U299" s="576"/>
      <c r="V299" s="576">
        <f t="shared" si="300"/>
        <v>0</v>
      </c>
      <c r="W299" s="576"/>
      <c r="X299" s="576">
        <f t="shared" si="301"/>
        <v>0</v>
      </c>
      <c r="Y299" s="576"/>
      <c r="Z299" s="576">
        <f t="shared" si="302"/>
        <v>0</v>
      </c>
      <c r="AA299" s="576"/>
      <c r="AB299" s="576">
        <f t="shared" si="303"/>
        <v>0</v>
      </c>
      <c r="AC299" s="576"/>
      <c r="AD299" s="579">
        <f t="shared" si="304"/>
        <v>0</v>
      </c>
      <c r="AE299" s="580">
        <f t="shared" si="318"/>
        <v>19</v>
      </c>
      <c r="AF299" s="576">
        <f t="shared" si="319"/>
        <v>636.69000000000005</v>
      </c>
      <c r="AG299" s="576">
        <f t="shared" si="320"/>
        <v>0</v>
      </c>
      <c r="AH299" s="579">
        <f t="shared" si="321"/>
        <v>0</v>
      </c>
      <c r="AI299" s="603"/>
      <c r="AK299" s="617">
        <f t="shared" si="290"/>
        <v>0</v>
      </c>
    </row>
    <row r="300" spans="1:37" s="604" customFormat="1" ht="45">
      <c r="A300" s="570" t="s">
        <v>14009</v>
      </c>
      <c r="B300" s="571" t="str">
        <f>PLANILHA!D298</f>
        <v>CONDULETE DE ALUMÍNIO, TIPO E, PARA ELETRODUTO DE AÇO GALVANIZADO DN 20 MM (3/4''), APARENTE - FORNECIMENTO E INSTALAÇÃO. AF_11/2016_P</v>
      </c>
      <c r="C300" s="572" t="str">
        <f>PLANILHA!E298</f>
        <v>UN</v>
      </c>
      <c r="D300" s="573">
        <f>PLANILHA!F298</f>
        <v>57</v>
      </c>
      <c r="E300" s="573">
        <f t="shared" si="292"/>
        <v>27.19</v>
      </c>
      <c r="F300" s="574">
        <f t="shared" si="316"/>
        <v>1549.83</v>
      </c>
      <c r="G300" s="580"/>
      <c r="H300" s="576">
        <f t="shared" si="293"/>
        <v>0</v>
      </c>
      <c r="I300" s="576"/>
      <c r="J300" s="576">
        <f t="shared" si="294"/>
        <v>0</v>
      </c>
      <c r="K300" s="576"/>
      <c r="L300" s="576">
        <f t="shared" si="295"/>
        <v>0</v>
      </c>
      <c r="M300" s="576">
        <f t="shared" si="322"/>
        <v>57</v>
      </c>
      <c r="N300" s="576">
        <f t="shared" si="317"/>
        <v>1549.83</v>
      </c>
      <c r="O300" s="576"/>
      <c r="P300" s="576">
        <f t="shared" si="297"/>
        <v>0</v>
      </c>
      <c r="Q300" s="576"/>
      <c r="R300" s="577">
        <f t="shared" si="298"/>
        <v>0</v>
      </c>
      <c r="S300" s="578"/>
      <c r="T300" s="576">
        <f t="shared" si="299"/>
        <v>0</v>
      </c>
      <c r="U300" s="576"/>
      <c r="V300" s="576">
        <f t="shared" si="300"/>
        <v>0</v>
      </c>
      <c r="W300" s="576"/>
      <c r="X300" s="576">
        <f t="shared" si="301"/>
        <v>0</v>
      </c>
      <c r="Y300" s="576"/>
      <c r="Z300" s="576">
        <f t="shared" si="302"/>
        <v>0</v>
      </c>
      <c r="AA300" s="576"/>
      <c r="AB300" s="576">
        <f t="shared" si="303"/>
        <v>0</v>
      </c>
      <c r="AC300" s="576"/>
      <c r="AD300" s="579">
        <f t="shared" si="304"/>
        <v>0</v>
      </c>
      <c r="AE300" s="580">
        <f t="shared" si="318"/>
        <v>57</v>
      </c>
      <c r="AF300" s="576">
        <f t="shared" si="319"/>
        <v>1549.83</v>
      </c>
      <c r="AG300" s="576">
        <f t="shared" si="320"/>
        <v>0</v>
      </c>
      <c r="AH300" s="579">
        <f t="shared" si="321"/>
        <v>0</v>
      </c>
      <c r="AI300" s="603"/>
      <c r="AK300" s="617">
        <f t="shared" si="290"/>
        <v>0</v>
      </c>
    </row>
    <row r="301" spans="1:37" s="604" customFormat="1" ht="45">
      <c r="A301" s="570" t="s">
        <v>14010</v>
      </c>
      <c r="B301" s="571" t="str">
        <f>PLANILHA!D299</f>
        <v>CONDULETE DE ALUMÍNIO, TIPO LR, PARA ELETRODUTO DE AÇO GALVANIZADO DN 32 MM (1 1/4''), APARENTE - FORNECIMENTO E INSTALAÇÃO. AF_11/2016_P</v>
      </c>
      <c r="C301" s="572" t="str">
        <f>PLANILHA!E299</f>
        <v>UN</v>
      </c>
      <c r="D301" s="573">
        <f>PLANILHA!F299</f>
        <v>9</v>
      </c>
      <c r="E301" s="573">
        <f t="shared" si="292"/>
        <v>47</v>
      </c>
      <c r="F301" s="574">
        <f t="shared" si="316"/>
        <v>423</v>
      </c>
      <c r="G301" s="580"/>
      <c r="H301" s="576">
        <f t="shared" si="293"/>
        <v>0</v>
      </c>
      <c r="I301" s="576"/>
      <c r="J301" s="576">
        <f t="shared" si="294"/>
        <v>0</v>
      </c>
      <c r="K301" s="576"/>
      <c r="L301" s="576">
        <f t="shared" si="295"/>
        <v>0</v>
      </c>
      <c r="M301" s="576">
        <f t="shared" si="322"/>
        <v>9</v>
      </c>
      <c r="N301" s="576">
        <f t="shared" si="317"/>
        <v>423</v>
      </c>
      <c r="O301" s="576"/>
      <c r="P301" s="576">
        <f t="shared" si="297"/>
        <v>0</v>
      </c>
      <c r="Q301" s="576"/>
      <c r="R301" s="577">
        <f t="shared" si="298"/>
        <v>0</v>
      </c>
      <c r="S301" s="578"/>
      <c r="T301" s="576">
        <f t="shared" si="299"/>
        <v>0</v>
      </c>
      <c r="U301" s="576"/>
      <c r="V301" s="576">
        <f t="shared" si="300"/>
        <v>0</v>
      </c>
      <c r="W301" s="576"/>
      <c r="X301" s="576">
        <f t="shared" si="301"/>
        <v>0</v>
      </c>
      <c r="Y301" s="576"/>
      <c r="Z301" s="576">
        <f t="shared" si="302"/>
        <v>0</v>
      </c>
      <c r="AA301" s="576"/>
      <c r="AB301" s="576">
        <f t="shared" si="303"/>
        <v>0</v>
      </c>
      <c r="AC301" s="576"/>
      <c r="AD301" s="579">
        <f t="shared" si="304"/>
        <v>0</v>
      </c>
      <c r="AE301" s="580">
        <f t="shared" si="318"/>
        <v>9</v>
      </c>
      <c r="AF301" s="576">
        <f t="shared" si="319"/>
        <v>423</v>
      </c>
      <c r="AG301" s="576">
        <f t="shared" si="320"/>
        <v>0</v>
      </c>
      <c r="AH301" s="579">
        <f t="shared" si="321"/>
        <v>0</v>
      </c>
      <c r="AI301" s="603"/>
      <c r="AK301" s="617">
        <f t="shared" si="290"/>
        <v>0</v>
      </c>
    </row>
    <row r="302" spans="1:37" s="604" customFormat="1" ht="45">
      <c r="A302" s="570" t="s">
        <v>14011</v>
      </c>
      <c r="B302" s="571" t="str">
        <f>PLANILHA!D300</f>
        <v>CONDULETE DE ALUMÍNIO, TIPO LR, PARA ELETRODUTO DE AÇO GALVANIZADO DN 20 MM (3/4''), APARENTE - FORNECIMENTO E INSTALAÇÃO. AF_11/2016_P</v>
      </c>
      <c r="C302" s="572" t="str">
        <f>PLANILHA!E300</f>
        <v>UN</v>
      </c>
      <c r="D302" s="573">
        <f>PLANILHA!F300</f>
        <v>9</v>
      </c>
      <c r="E302" s="573">
        <f t="shared" si="292"/>
        <v>29.11</v>
      </c>
      <c r="F302" s="574">
        <f t="shared" si="316"/>
        <v>261.99</v>
      </c>
      <c r="G302" s="580"/>
      <c r="H302" s="576">
        <f t="shared" si="293"/>
        <v>0</v>
      </c>
      <c r="I302" s="576"/>
      <c r="J302" s="576">
        <f t="shared" si="294"/>
        <v>0</v>
      </c>
      <c r="K302" s="576"/>
      <c r="L302" s="576">
        <f t="shared" si="295"/>
        <v>0</v>
      </c>
      <c r="M302" s="576">
        <f t="shared" si="322"/>
        <v>9</v>
      </c>
      <c r="N302" s="576">
        <f t="shared" si="317"/>
        <v>261.99</v>
      </c>
      <c r="O302" s="576"/>
      <c r="P302" s="576">
        <f t="shared" si="297"/>
        <v>0</v>
      </c>
      <c r="Q302" s="576"/>
      <c r="R302" s="577">
        <f t="shared" si="298"/>
        <v>0</v>
      </c>
      <c r="S302" s="578"/>
      <c r="T302" s="576">
        <f t="shared" si="299"/>
        <v>0</v>
      </c>
      <c r="U302" s="576"/>
      <c r="V302" s="576">
        <f t="shared" si="300"/>
        <v>0</v>
      </c>
      <c r="W302" s="576"/>
      <c r="X302" s="576">
        <f t="shared" si="301"/>
        <v>0</v>
      </c>
      <c r="Y302" s="576"/>
      <c r="Z302" s="576">
        <f t="shared" si="302"/>
        <v>0</v>
      </c>
      <c r="AA302" s="576"/>
      <c r="AB302" s="576">
        <f t="shared" si="303"/>
        <v>0</v>
      </c>
      <c r="AC302" s="576"/>
      <c r="AD302" s="579">
        <f t="shared" si="304"/>
        <v>0</v>
      </c>
      <c r="AE302" s="580">
        <f t="shared" si="318"/>
        <v>9</v>
      </c>
      <c r="AF302" s="576">
        <f t="shared" si="319"/>
        <v>261.99</v>
      </c>
      <c r="AG302" s="576">
        <f t="shared" si="320"/>
        <v>0</v>
      </c>
      <c r="AH302" s="579">
        <f t="shared" si="321"/>
        <v>0</v>
      </c>
      <c r="AI302" s="603"/>
      <c r="AK302" s="617">
        <f t="shared" si="290"/>
        <v>0</v>
      </c>
    </row>
    <row r="303" spans="1:37" s="604" customFormat="1" ht="45">
      <c r="A303" s="570" t="s">
        <v>14012</v>
      </c>
      <c r="B303" s="571" t="str">
        <f>PLANILHA!D301</f>
        <v>CONDULETE DE ALUMÍNIO, TIPO T, PARA ELETRODUTO DE AÇO GALVANIZADO DN 20 MM (3/4''), APARENTE - FORNECIMENTO E INSTALAÇÃO. AF_11/2016_P</v>
      </c>
      <c r="C303" s="572" t="str">
        <f>PLANILHA!E301</f>
        <v>UN</v>
      </c>
      <c r="D303" s="573">
        <f>PLANILHA!F301</f>
        <v>5</v>
      </c>
      <c r="E303" s="573">
        <f t="shared" si="292"/>
        <v>33.61</v>
      </c>
      <c r="F303" s="574">
        <f t="shared" si="316"/>
        <v>168.05</v>
      </c>
      <c r="G303" s="580"/>
      <c r="H303" s="576">
        <f t="shared" si="293"/>
        <v>0</v>
      </c>
      <c r="I303" s="576"/>
      <c r="J303" s="576">
        <f t="shared" si="294"/>
        <v>0</v>
      </c>
      <c r="K303" s="576"/>
      <c r="L303" s="576">
        <f t="shared" si="295"/>
        <v>0</v>
      </c>
      <c r="M303" s="576">
        <f t="shared" si="322"/>
        <v>5</v>
      </c>
      <c r="N303" s="576">
        <f t="shared" si="317"/>
        <v>168.05</v>
      </c>
      <c r="O303" s="576"/>
      <c r="P303" s="576">
        <f t="shared" si="297"/>
        <v>0</v>
      </c>
      <c r="Q303" s="576"/>
      <c r="R303" s="577">
        <f t="shared" si="298"/>
        <v>0</v>
      </c>
      <c r="S303" s="578"/>
      <c r="T303" s="576">
        <f t="shared" si="299"/>
        <v>0</v>
      </c>
      <c r="U303" s="576"/>
      <c r="V303" s="576">
        <f t="shared" si="300"/>
        <v>0</v>
      </c>
      <c r="W303" s="576"/>
      <c r="X303" s="576">
        <f t="shared" si="301"/>
        <v>0</v>
      </c>
      <c r="Y303" s="576"/>
      <c r="Z303" s="576">
        <f t="shared" si="302"/>
        <v>0</v>
      </c>
      <c r="AA303" s="576"/>
      <c r="AB303" s="576">
        <f t="shared" si="303"/>
        <v>0</v>
      </c>
      <c r="AC303" s="576"/>
      <c r="AD303" s="579">
        <f t="shared" si="304"/>
        <v>0</v>
      </c>
      <c r="AE303" s="580">
        <f t="shared" si="318"/>
        <v>5</v>
      </c>
      <c r="AF303" s="576">
        <f t="shared" si="319"/>
        <v>168.05</v>
      </c>
      <c r="AG303" s="576">
        <f t="shared" si="320"/>
        <v>0</v>
      </c>
      <c r="AH303" s="579">
        <f t="shared" si="321"/>
        <v>0</v>
      </c>
      <c r="AI303" s="603"/>
      <c r="AK303" s="617">
        <f t="shared" si="290"/>
        <v>0</v>
      </c>
    </row>
    <row r="304" spans="1:37" s="604" customFormat="1" ht="30">
      <c r="A304" s="570" t="s">
        <v>14013</v>
      </c>
      <c r="B304" s="571" t="str">
        <f>PLANILHA!D302</f>
        <v>DISJUNTOR MONOPOLAR TIPO DIN, CORRENTE NOMINAL DE 10A - FORNECIMENTO E INSTALAÇÃO. AF_10/2020</v>
      </c>
      <c r="C304" s="572" t="str">
        <f>PLANILHA!E302</f>
        <v>UN</v>
      </c>
      <c r="D304" s="573">
        <f>PLANILHA!F302</f>
        <v>11</v>
      </c>
      <c r="E304" s="573">
        <f t="shared" si="292"/>
        <v>14.36</v>
      </c>
      <c r="F304" s="574">
        <f t="shared" si="316"/>
        <v>157.96</v>
      </c>
      <c r="G304" s="580"/>
      <c r="H304" s="576">
        <f t="shared" si="293"/>
        <v>0</v>
      </c>
      <c r="I304" s="576"/>
      <c r="J304" s="576">
        <f t="shared" si="294"/>
        <v>0</v>
      </c>
      <c r="K304" s="576"/>
      <c r="L304" s="576">
        <f t="shared" si="295"/>
        <v>0</v>
      </c>
      <c r="M304" s="576">
        <f t="shared" si="322"/>
        <v>11</v>
      </c>
      <c r="N304" s="576">
        <f t="shared" si="317"/>
        <v>157.96</v>
      </c>
      <c r="O304" s="576"/>
      <c r="P304" s="576">
        <f t="shared" si="297"/>
        <v>0</v>
      </c>
      <c r="Q304" s="576"/>
      <c r="R304" s="577">
        <f t="shared" si="298"/>
        <v>0</v>
      </c>
      <c r="S304" s="578"/>
      <c r="T304" s="576">
        <f t="shared" si="299"/>
        <v>0</v>
      </c>
      <c r="U304" s="576"/>
      <c r="V304" s="576">
        <f t="shared" si="300"/>
        <v>0</v>
      </c>
      <c r="W304" s="576"/>
      <c r="X304" s="576">
        <f t="shared" si="301"/>
        <v>0</v>
      </c>
      <c r="Y304" s="576"/>
      <c r="Z304" s="576">
        <f t="shared" si="302"/>
        <v>0</v>
      </c>
      <c r="AA304" s="576"/>
      <c r="AB304" s="576">
        <f t="shared" si="303"/>
        <v>0</v>
      </c>
      <c r="AC304" s="576"/>
      <c r="AD304" s="579">
        <f t="shared" si="304"/>
        <v>0</v>
      </c>
      <c r="AE304" s="580">
        <f t="shared" si="318"/>
        <v>11</v>
      </c>
      <c r="AF304" s="576">
        <f t="shared" si="319"/>
        <v>157.96</v>
      </c>
      <c r="AG304" s="576">
        <f t="shared" si="320"/>
        <v>0</v>
      </c>
      <c r="AH304" s="579">
        <f t="shared" si="321"/>
        <v>0</v>
      </c>
      <c r="AI304" s="603"/>
      <c r="AK304" s="617">
        <f t="shared" si="290"/>
        <v>0</v>
      </c>
    </row>
    <row r="305" spans="1:37" s="604" customFormat="1" ht="30">
      <c r="A305" s="570" t="s">
        <v>14014</v>
      </c>
      <c r="B305" s="571" t="str">
        <f>PLANILHA!D303</f>
        <v>DISJUNTOR MONOPOLAR TIPO DIN, CORRENTE NOMINAL DE 16A - FORNECIMENTO E INSTALAÇÃO. AF_10/2020</v>
      </c>
      <c r="C305" s="572" t="str">
        <f>PLANILHA!E303</f>
        <v>UN</v>
      </c>
      <c r="D305" s="573">
        <f>PLANILHA!F303</f>
        <v>2</v>
      </c>
      <c r="E305" s="573">
        <f t="shared" si="292"/>
        <v>14.96</v>
      </c>
      <c r="F305" s="574">
        <f t="shared" si="316"/>
        <v>29.92</v>
      </c>
      <c r="G305" s="580"/>
      <c r="H305" s="576">
        <f t="shared" si="293"/>
        <v>0</v>
      </c>
      <c r="I305" s="576"/>
      <c r="J305" s="576">
        <f t="shared" si="294"/>
        <v>0</v>
      </c>
      <c r="K305" s="576"/>
      <c r="L305" s="576">
        <f t="shared" si="295"/>
        <v>0</v>
      </c>
      <c r="M305" s="576">
        <f t="shared" si="322"/>
        <v>2</v>
      </c>
      <c r="N305" s="576">
        <f t="shared" si="317"/>
        <v>29.92</v>
      </c>
      <c r="O305" s="576"/>
      <c r="P305" s="576">
        <f t="shared" si="297"/>
        <v>0</v>
      </c>
      <c r="Q305" s="576"/>
      <c r="R305" s="577">
        <f t="shared" si="298"/>
        <v>0</v>
      </c>
      <c r="S305" s="578"/>
      <c r="T305" s="576">
        <f t="shared" si="299"/>
        <v>0</v>
      </c>
      <c r="U305" s="576"/>
      <c r="V305" s="576">
        <f t="shared" si="300"/>
        <v>0</v>
      </c>
      <c r="W305" s="576"/>
      <c r="X305" s="576">
        <f t="shared" si="301"/>
        <v>0</v>
      </c>
      <c r="Y305" s="576"/>
      <c r="Z305" s="576">
        <f t="shared" si="302"/>
        <v>0</v>
      </c>
      <c r="AA305" s="576"/>
      <c r="AB305" s="576">
        <f t="shared" si="303"/>
        <v>0</v>
      </c>
      <c r="AC305" s="576"/>
      <c r="AD305" s="579">
        <f t="shared" si="304"/>
        <v>0</v>
      </c>
      <c r="AE305" s="580">
        <f t="shared" si="318"/>
        <v>2</v>
      </c>
      <c r="AF305" s="576">
        <f t="shared" si="319"/>
        <v>29.92</v>
      </c>
      <c r="AG305" s="576">
        <f t="shared" si="320"/>
        <v>0</v>
      </c>
      <c r="AH305" s="579">
        <f t="shared" si="321"/>
        <v>0</v>
      </c>
      <c r="AI305" s="603"/>
      <c r="AK305" s="617">
        <f t="shared" si="290"/>
        <v>0</v>
      </c>
    </row>
    <row r="306" spans="1:37" s="604" customFormat="1" ht="30">
      <c r="A306" s="570" t="s">
        <v>14015</v>
      </c>
      <c r="B306" s="571" t="str">
        <f>PLANILHA!D304</f>
        <v>DISJUNTOR BIPOLAR TIPO DIN, CORRENTE NOMINAL DE 16A - FORNECIMENTO E INSTALAÇÃO. AF_10/2020</v>
      </c>
      <c r="C306" s="572" t="str">
        <f>PLANILHA!E304</f>
        <v>UN</v>
      </c>
      <c r="D306" s="573">
        <f>PLANILHA!F304</f>
        <v>6</v>
      </c>
      <c r="E306" s="573">
        <f t="shared" ref="E306:E336" si="323">VLOOKUP(A306,PLANILHA,$G$7,0)</f>
        <v>73.92</v>
      </c>
      <c r="F306" s="574">
        <f t="shared" si="316"/>
        <v>443.52</v>
      </c>
      <c r="G306" s="580"/>
      <c r="H306" s="576">
        <f t="shared" si="293"/>
        <v>0</v>
      </c>
      <c r="I306" s="576"/>
      <c r="J306" s="576">
        <f t="shared" si="294"/>
        <v>0</v>
      </c>
      <c r="K306" s="576"/>
      <c r="L306" s="576">
        <f t="shared" si="295"/>
        <v>0</v>
      </c>
      <c r="M306" s="576">
        <f t="shared" si="322"/>
        <v>6</v>
      </c>
      <c r="N306" s="576">
        <f t="shared" si="317"/>
        <v>443.52</v>
      </c>
      <c r="O306" s="576"/>
      <c r="P306" s="576">
        <f t="shared" si="297"/>
        <v>0</v>
      </c>
      <c r="Q306" s="576"/>
      <c r="R306" s="577">
        <f t="shared" si="298"/>
        <v>0</v>
      </c>
      <c r="S306" s="578"/>
      <c r="T306" s="576">
        <f t="shared" si="299"/>
        <v>0</v>
      </c>
      <c r="U306" s="576"/>
      <c r="V306" s="576">
        <f t="shared" si="300"/>
        <v>0</v>
      </c>
      <c r="W306" s="576"/>
      <c r="X306" s="576">
        <f t="shared" si="301"/>
        <v>0</v>
      </c>
      <c r="Y306" s="576"/>
      <c r="Z306" s="576">
        <f t="shared" si="302"/>
        <v>0</v>
      </c>
      <c r="AA306" s="576"/>
      <c r="AB306" s="576">
        <f t="shared" si="303"/>
        <v>0</v>
      </c>
      <c r="AC306" s="576"/>
      <c r="AD306" s="579">
        <f t="shared" si="304"/>
        <v>0</v>
      </c>
      <c r="AE306" s="580">
        <f t="shared" si="318"/>
        <v>6</v>
      </c>
      <c r="AF306" s="576">
        <f t="shared" si="319"/>
        <v>443.52</v>
      </c>
      <c r="AG306" s="576">
        <f t="shared" si="320"/>
        <v>0</v>
      </c>
      <c r="AH306" s="579">
        <f t="shared" si="321"/>
        <v>0</v>
      </c>
      <c r="AI306" s="603"/>
      <c r="AK306" s="617">
        <f t="shared" si="290"/>
        <v>0</v>
      </c>
    </row>
    <row r="307" spans="1:37" s="604" customFormat="1" ht="30">
      <c r="A307" s="570" t="s">
        <v>14016</v>
      </c>
      <c r="B307" s="571" t="str">
        <f>PLANILHA!D305</f>
        <v>DISJUNTOR BIPOLAR TIPO DIN, CORRENTE NOMINAL DE 20A - FORNECIMENTO E INSTALAÇÃO. AF_10/2020</v>
      </c>
      <c r="C307" s="572" t="str">
        <f>PLANILHA!E305</f>
        <v>UN</v>
      </c>
      <c r="D307" s="573">
        <f>PLANILHA!F305</f>
        <v>2</v>
      </c>
      <c r="E307" s="573">
        <f t="shared" si="323"/>
        <v>76.239999999999995</v>
      </c>
      <c r="F307" s="574">
        <f t="shared" si="316"/>
        <v>152.47999999999999</v>
      </c>
      <c r="G307" s="580"/>
      <c r="H307" s="576">
        <f t="shared" si="293"/>
        <v>0</v>
      </c>
      <c r="I307" s="576"/>
      <c r="J307" s="576">
        <f t="shared" si="294"/>
        <v>0</v>
      </c>
      <c r="K307" s="576"/>
      <c r="L307" s="576">
        <f t="shared" si="295"/>
        <v>0</v>
      </c>
      <c r="M307" s="576">
        <f t="shared" si="322"/>
        <v>2</v>
      </c>
      <c r="N307" s="576">
        <f t="shared" si="317"/>
        <v>152.47999999999999</v>
      </c>
      <c r="O307" s="576"/>
      <c r="P307" s="576">
        <f t="shared" si="297"/>
        <v>0</v>
      </c>
      <c r="Q307" s="576"/>
      <c r="R307" s="577">
        <f t="shared" si="298"/>
        <v>0</v>
      </c>
      <c r="S307" s="578"/>
      <c r="T307" s="576">
        <f t="shared" si="299"/>
        <v>0</v>
      </c>
      <c r="U307" s="576"/>
      <c r="V307" s="576">
        <f t="shared" si="300"/>
        <v>0</v>
      </c>
      <c r="W307" s="576"/>
      <c r="X307" s="576">
        <f t="shared" si="301"/>
        <v>0</v>
      </c>
      <c r="Y307" s="576"/>
      <c r="Z307" s="576">
        <f t="shared" si="302"/>
        <v>0</v>
      </c>
      <c r="AA307" s="576"/>
      <c r="AB307" s="576">
        <f t="shared" si="303"/>
        <v>0</v>
      </c>
      <c r="AC307" s="576"/>
      <c r="AD307" s="579">
        <f t="shared" si="304"/>
        <v>0</v>
      </c>
      <c r="AE307" s="580">
        <f t="shared" si="318"/>
        <v>2</v>
      </c>
      <c r="AF307" s="576">
        <f t="shared" si="319"/>
        <v>152.47999999999999</v>
      </c>
      <c r="AG307" s="576">
        <f t="shared" si="320"/>
        <v>0</v>
      </c>
      <c r="AH307" s="579">
        <f t="shared" si="321"/>
        <v>0</v>
      </c>
      <c r="AI307" s="603"/>
      <c r="AK307" s="617">
        <f t="shared" si="290"/>
        <v>0</v>
      </c>
    </row>
    <row r="308" spans="1:37" s="604" customFormat="1" ht="30">
      <c r="A308" s="570" t="s">
        <v>14017</v>
      </c>
      <c r="B308" s="571" t="str">
        <f>PLANILHA!D306</f>
        <v>DISJUNTOR TRIPOLAR TIPO DIN, CORRENTE NOMINAL DE 20A - FORNECIMENTO E INSTALAÇÃO. AF_10/2020</v>
      </c>
      <c r="C308" s="572" t="str">
        <f>PLANILHA!E306</f>
        <v>UN</v>
      </c>
      <c r="D308" s="573">
        <f>PLANILHA!F306</f>
        <v>9</v>
      </c>
      <c r="E308" s="573">
        <f t="shared" si="323"/>
        <v>95.8</v>
      </c>
      <c r="F308" s="574">
        <f t="shared" si="316"/>
        <v>862.2</v>
      </c>
      <c r="G308" s="580"/>
      <c r="H308" s="576">
        <f t="shared" si="293"/>
        <v>0</v>
      </c>
      <c r="I308" s="576"/>
      <c r="J308" s="576">
        <f t="shared" si="294"/>
        <v>0</v>
      </c>
      <c r="K308" s="576"/>
      <c r="L308" s="576">
        <f t="shared" si="295"/>
        <v>0</v>
      </c>
      <c r="M308" s="576">
        <f t="shared" si="322"/>
        <v>9</v>
      </c>
      <c r="N308" s="576">
        <f t="shared" si="317"/>
        <v>862.2</v>
      </c>
      <c r="O308" s="576"/>
      <c r="P308" s="576">
        <f t="shared" si="297"/>
        <v>0</v>
      </c>
      <c r="Q308" s="576"/>
      <c r="R308" s="577">
        <f t="shared" si="298"/>
        <v>0</v>
      </c>
      <c r="S308" s="578"/>
      <c r="T308" s="576">
        <f t="shared" si="299"/>
        <v>0</v>
      </c>
      <c r="U308" s="576"/>
      <c r="V308" s="576">
        <f t="shared" si="300"/>
        <v>0</v>
      </c>
      <c r="W308" s="576"/>
      <c r="X308" s="576">
        <f t="shared" si="301"/>
        <v>0</v>
      </c>
      <c r="Y308" s="576"/>
      <c r="Z308" s="576">
        <f t="shared" si="302"/>
        <v>0</v>
      </c>
      <c r="AA308" s="576"/>
      <c r="AB308" s="576">
        <f t="shared" si="303"/>
        <v>0</v>
      </c>
      <c r="AC308" s="576"/>
      <c r="AD308" s="579">
        <f t="shared" si="304"/>
        <v>0</v>
      </c>
      <c r="AE308" s="580">
        <f t="shared" si="318"/>
        <v>9</v>
      </c>
      <c r="AF308" s="576">
        <f t="shared" si="319"/>
        <v>862.2</v>
      </c>
      <c r="AG308" s="576">
        <f t="shared" si="320"/>
        <v>0</v>
      </c>
      <c r="AH308" s="579">
        <f t="shared" si="321"/>
        <v>0</v>
      </c>
      <c r="AI308" s="603"/>
      <c r="AK308" s="617">
        <f t="shared" si="290"/>
        <v>0</v>
      </c>
    </row>
    <row r="309" spans="1:37" s="604" customFormat="1" ht="30">
      <c r="A309" s="570" t="s">
        <v>14018</v>
      </c>
      <c r="B309" s="571" t="str">
        <f>PLANILHA!D307</f>
        <v>DISJUNTOR TRIPOLAR TIPO DIN, CORRENTE NOMINAL DE 25A - FORNECIMENTO E INSTALAÇÃO. AF_10/2020</v>
      </c>
      <c r="C309" s="572" t="str">
        <f>PLANILHA!E307</f>
        <v>UN</v>
      </c>
      <c r="D309" s="573">
        <f>PLANILHA!F307</f>
        <v>10</v>
      </c>
      <c r="E309" s="573">
        <f t="shared" si="323"/>
        <v>95.8</v>
      </c>
      <c r="F309" s="574">
        <f t="shared" si="316"/>
        <v>958</v>
      </c>
      <c r="G309" s="580"/>
      <c r="H309" s="576">
        <f t="shared" si="293"/>
        <v>0</v>
      </c>
      <c r="I309" s="576"/>
      <c r="J309" s="576">
        <f t="shared" si="294"/>
        <v>0</v>
      </c>
      <c r="K309" s="576"/>
      <c r="L309" s="576">
        <f t="shared" si="295"/>
        <v>0</v>
      </c>
      <c r="M309" s="576">
        <f t="shared" si="322"/>
        <v>10</v>
      </c>
      <c r="N309" s="576">
        <f t="shared" si="317"/>
        <v>958</v>
      </c>
      <c r="O309" s="576"/>
      <c r="P309" s="576">
        <f t="shared" si="297"/>
        <v>0</v>
      </c>
      <c r="Q309" s="576"/>
      <c r="R309" s="577">
        <f t="shared" si="298"/>
        <v>0</v>
      </c>
      <c r="S309" s="578"/>
      <c r="T309" s="576">
        <f t="shared" si="299"/>
        <v>0</v>
      </c>
      <c r="U309" s="576"/>
      <c r="V309" s="576">
        <f t="shared" si="300"/>
        <v>0</v>
      </c>
      <c r="W309" s="576"/>
      <c r="X309" s="576">
        <f t="shared" si="301"/>
        <v>0</v>
      </c>
      <c r="Y309" s="576"/>
      <c r="Z309" s="576">
        <f t="shared" si="302"/>
        <v>0</v>
      </c>
      <c r="AA309" s="576"/>
      <c r="AB309" s="576">
        <f t="shared" si="303"/>
        <v>0</v>
      </c>
      <c r="AC309" s="576"/>
      <c r="AD309" s="579">
        <f t="shared" si="304"/>
        <v>0</v>
      </c>
      <c r="AE309" s="580">
        <f t="shared" si="318"/>
        <v>10</v>
      </c>
      <c r="AF309" s="576">
        <f t="shared" si="319"/>
        <v>958</v>
      </c>
      <c r="AG309" s="576">
        <f t="shared" si="320"/>
        <v>0</v>
      </c>
      <c r="AH309" s="579">
        <f t="shared" si="321"/>
        <v>0</v>
      </c>
      <c r="AI309" s="603"/>
      <c r="AK309" s="617">
        <f t="shared" si="290"/>
        <v>0</v>
      </c>
    </row>
    <row r="310" spans="1:37" s="604" customFormat="1" ht="30">
      <c r="A310" s="570" t="s">
        <v>14019</v>
      </c>
      <c r="B310" s="571" t="str">
        <f>PLANILHA!D308</f>
        <v>DISJUNTOR TERMOMAGNÉTICO TRIPOLAR , CORRENTE NOMINAL DE 125A - FORNECIMENTO E INSTALAÇÃO. AF_10/2020</v>
      </c>
      <c r="C310" s="572" t="str">
        <f>PLANILHA!E308</f>
        <v>UN</v>
      </c>
      <c r="D310" s="573">
        <f>PLANILHA!F308</f>
        <v>3</v>
      </c>
      <c r="E310" s="573">
        <f t="shared" si="323"/>
        <v>529.11</v>
      </c>
      <c r="F310" s="574">
        <f t="shared" si="316"/>
        <v>1587.33</v>
      </c>
      <c r="G310" s="580"/>
      <c r="H310" s="576">
        <f t="shared" si="293"/>
        <v>0</v>
      </c>
      <c r="I310" s="576"/>
      <c r="J310" s="576">
        <f t="shared" si="294"/>
        <v>0</v>
      </c>
      <c r="K310" s="576"/>
      <c r="L310" s="576">
        <f t="shared" si="295"/>
        <v>0</v>
      </c>
      <c r="M310" s="576">
        <f t="shared" si="322"/>
        <v>3</v>
      </c>
      <c r="N310" s="576">
        <f t="shared" si="317"/>
        <v>1587.33</v>
      </c>
      <c r="O310" s="576"/>
      <c r="P310" s="576">
        <f t="shared" si="297"/>
        <v>0</v>
      </c>
      <c r="Q310" s="576"/>
      <c r="R310" s="577">
        <f t="shared" si="298"/>
        <v>0</v>
      </c>
      <c r="S310" s="578"/>
      <c r="T310" s="576">
        <f t="shared" si="299"/>
        <v>0</v>
      </c>
      <c r="U310" s="576"/>
      <c r="V310" s="576">
        <f t="shared" si="300"/>
        <v>0</v>
      </c>
      <c r="W310" s="576"/>
      <c r="X310" s="576">
        <f t="shared" si="301"/>
        <v>0</v>
      </c>
      <c r="Y310" s="576"/>
      <c r="Z310" s="576">
        <f t="shared" si="302"/>
        <v>0</v>
      </c>
      <c r="AA310" s="576"/>
      <c r="AB310" s="576">
        <f t="shared" si="303"/>
        <v>0</v>
      </c>
      <c r="AC310" s="576"/>
      <c r="AD310" s="579">
        <f t="shared" si="304"/>
        <v>0</v>
      </c>
      <c r="AE310" s="580">
        <f t="shared" si="318"/>
        <v>3</v>
      </c>
      <c r="AF310" s="576">
        <f t="shared" si="319"/>
        <v>1587.33</v>
      </c>
      <c r="AG310" s="576">
        <f t="shared" si="320"/>
        <v>0</v>
      </c>
      <c r="AH310" s="579">
        <f t="shared" si="321"/>
        <v>0</v>
      </c>
      <c r="AI310" s="603"/>
      <c r="AK310" s="617">
        <f t="shared" si="290"/>
        <v>0</v>
      </c>
    </row>
    <row r="311" spans="1:37" s="604" customFormat="1" ht="30">
      <c r="A311" s="570" t="s">
        <v>14020</v>
      </c>
      <c r="B311" s="571" t="str">
        <f>PLANILHA!D309</f>
        <v>DISJUNTOR TRIPOLAR TIPO DIN, CORRENTE NOMINAL DE 150A - FORNECIMENTO E INSTALAÇÃO. AF_10/2020</v>
      </c>
      <c r="C311" s="572" t="str">
        <f>PLANILHA!E309</f>
        <v>UND</v>
      </c>
      <c r="D311" s="573">
        <f>PLANILHA!F309</f>
        <v>7</v>
      </c>
      <c r="E311" s="573">
        <f t="shared" si="323"/>
        <v>606.87</v>
      </c>
      <c r="F311" s="574">
        <f t="shared" si="316"/>
        <v>4248.09</v>
      </c>
      <c r="G311" s="580"/>
      <c r="H311" s="576">
        <f t="shared" si="293"/>
        <v>0</v>
      </c>
      <c r="I311" s="576"/>
      <c r="J311" s="576">
        <f t="shared" si="294"/>
        <v>0</v>
      </c>
      <c r="K311" s="576"/>
      <c r="L311" s="576">
        <f t="shared" si="295"/>
        <v>0</v>
      </c>
      <c r="M311" s="576">
        <f t="shared" si="322"/>
        <v>7</v>
      </c>
      <c r="N311" s="576">
        <f t="shared" si="317"/>
        <v>4248.09</v>
      </c>
      <c r="O311" s="576"/>
      <c r="P311" s="576">
        <f t="shared" si="297"/>
        <v>0</v>
      </c>
      <c r="Q311" s="576"/>
      <c r="R311" s="577">
        <f t="shared" si="298"/>
        <v>0</v>
      </c>
      <c r="S311" s="578"/>
      <c r="T311" s="576">
        <f t="shared" si="299"/>
        <v>0</v>
      </c>
      <c r="U311" s="576"/>
      <c r="V311" s="576">
        <f t="shared" si="300"/>
        <v>0</v>
      </c>
      <c r="W311" s="576"/>
      <c r="X311" s="576">
        <f t="shared" si="301"/>
        <v>0</v>
      </c>
      <c r="Y311" s="576"/>
      <c r="Z311" s="576">
        <f t="shared" si="302"/>
        <v>0</v>
      </c>
      <c r="AA311" s="576"/>
      <c r="AB311" s="576">
        <f t="shared" si="303"/>
        <v>0</v>
      </c>
      <c r="AC311" s="576"/>
      <c r="AD311" s="579">
        <f t="shared" si="304"/>
        <v>0</v>
      </c>
      <c r="AE311" s="580">
        <f t="shared" si="318"/>
        <v>7</v>
      </c>
      <c r="AF311" s="576">
        <f t="shared" si="319"/>
        <v>4248.09</v>
      </c>
      <c r="AG311" s="576">
        <f t="shared" si="320"/>
        <v>0</v>
      </c>
      <c r="AH311" s="579">
        <f t="shared" si="321"/>
        <v>0</v>
      </c>
      <c r="AI311" s="603"/>
      <c r="AK311" s="617">
        <f t="shared" si="290"/>
        <v>0</v>
      </c>
    </row>
    <row r="312" spans="1:37" s="604" customFormat="1" ht="30">
      <c r="A312" s="570" t="s">
        <v>14021</v>
      </c>
      <c r="B312" s="571" t="str">
        <f>PLANILHA!D310</f>
        <v>SUPRESSOR DE SURTO PARA PROTEÇÃO CLASSE 1 - 45 KA, FORNECIMENTO E INSTALAÇÃO</v>
      </c>
      <c r="C312" s="572" t="str">
        <f>PLANILHA!E310</f>
        <v>UND</v>
      </c>
      <c r="D312" s="573">
        <f>PLANILHA!F310</f>
        <v>27</v>
      </c>
      <c r="E312" s="573">
        <f t="shared" si="323"/>
        <v>363.48</v>
      </c>
      <c r="F312" s="574">
        <f t="shared" si="316"/>
        <v>9813.9599999999991</v>
      </c>
      <c r="G312" s="580"/>
      <c r="H312" s="576">
        <f t="shared" si="293"/>
        <v>0</v>
      </c>
      <c r="I312" s="576"/>
      <c r="J312" s="576">
        <f t="shared" si="294"/>
        <v>0</v>
      </c>
      <c r="K312" s="576"/>
      <c r="L312" s="576">
        <f t="shared" si="295"/>
        <v>0</v>
      </c>
      <c r="M312" s="576">
        <f t="shared" si="322"/>
        <v>27</v>
      </c>
      <c r="N312" s="576">
        <f t="shared" si="317"/>
        <v>9813.9599999999991</v>
      </c>
      <c r="O312" s="576"/>
      <c r="P312" s="576">
        <f t="shared" si="297"/>
        <v>0</v>
      </c>
      <c r="Q312" s="576"/>
      <c r="R312" s="577">
        <f t="shared" si="298"/>
        <v>0</v>
      </c>
      <c r="S312" s="578"/>
      <c r="T312" s="576">
        <f t="shared" si="299"/>
        <v>0</v>
      </c>
      <c r="U312" s="576"/>
      <c r="V312" s="576">
        <f t="shared" si="300"/>
        <v>0</v>
      </c>
      <c r="W312" s="576"/>
      <c r="X312" s="576">
        <f t="shared" si="301"/>
        <v>0</v>
      </c>
      <c r="Y312" s="576"/>
      <c r="Z312" s="576">
        <f t="shared" si="302"/>
        <v>0</v>
      </c>
      <c r="AA312" s="576"/>
      <c r="AB312" s="576">
        <f t="shared" si="303"/>
        <v>0</v>
      </c>
      <c r="AC312" s="576"/>
      <c r="AD312" s="579">
        <f t="shared" si="304"/>
        <v>0</v>
      </c>
      <c r="AE312" s="580">
        <f t="shared" si="318"/>
        <v>27</v>
      </c>
      <c r="AF312" s="576">
        <f t="shared" si="319"/>
        <v>9813.9599999999991</v>
      </c>
      <c r="AG312" s="576">
        <f t="shared" si="320"/>
        <v>0</v>
      </c>
      <c r="AH312" s="579">
        <f t="shared" si="321"/>
        <v>0</v>
      </c>
      <c r="AI312" s="603"/>
      <c r="AK312" s="617">
        <f t="shared" si="290"/>
        <v>0</v>
      </c>
    </row>
    <row r="313" spans="1:37" s="604" customFormat="1" ht="45">
      <c r="A313" s="570" t="s">
        <v>14022</v>
      </c>
      <c r="B313" s="571" t="str">
        <f>PLANILHA!D311</f>
        <v>LUVA DE EMENDA PARA ELETRODUTO, AÇO GALVANIZADO, DN 25 MM (1''), APARENTE, INSTALADA EM PAREDE - FORNECIMENTO E INSTALAÇÃO. AF_11/2016_P</v>
      </c>
      <c r="C313" s="572" t="str">
        <f>PLANILHA!E311</f>
        <v>UN</v>
      </c>
      <c r="D313" s="573">
        <f>PLANILHA!F311</f>
        <v>8</v>
      </c>
      <c r="E313" s="573">
        <f t="shared" si="323"/>
        <v>12.43</v>
      </c>
      <c r="F313" s="574">
        <f t="shared" si="316"/>
        <v>99.44</v>
      </c>
      <c r="G313" s="580"/>
      <c r="H313" s="576">
        <f t="shared" si="293"/>
        <v>0</v>
      </c>
      <c r="I313" s="576"/>
      <c r="J313" s="576">
        <f t="shared" si="294"/>
        <v>0</v>
      </c>
      <c r="K313" s="576"/>
      <c r="L313" s="576">
        <f t="shared" si="295"/>
        <v>0</v>
      </c>
      <c r="M313" s="576">
        <f t="shared" si="322"/>
        <v>8</v>
      </c>
      <c r="N313" s="576">
        <f t="shared" si="317"/>
        <v>99.44</v>
      </c>
      <c r="O313" s="576"/>
      <c r="P313" s="576">
        <f t="shared" si="297"/>
        <v>0</v>
      </c>
      <c r="Q313" s="576"/>
      <c r="R313" s="577">
        <f t="shared" si="298"/>
        <v>0</v>
      </c>
      <c r="S313" s="578"/>
      <c r="T313" s="576">
        <f t="shared" si="299"/>
        <v>0</v>
      </c>
      <c r="U313" s="576"/>
      <c r="V313" s="576">
        <f t="shared" si="300"/>
        <v>0</v>
      </c>
      <c r="W313" s="576"/>
      <c r="X313" s="576">
        <f t="shared" si="301"/>
        <v>0</v>
      </c>
      <c r="Y313" s="576"/>
      <c r="Z313" s="576">
        <f t="shared" si="302"/>
        <v>0</v>
      </c>
      <c r="AA313" s="576"/>
      <c r="AB313" s="576">
        <f t="shared" si="303"/>
        <v>0</v>
      </c>
      <c r="AC313" s="576"/>
      <c r="AD313" s="579">
        <f t="shared" si="304"/>
        <v>0</v>
      </c>
      <c r="AE313" s="580">
        <f t="shared" si="318"/>
        <v>8</v>
      </c>
      <c r="AF313" s="576">
        <f t="shared" si="319"/>
        <v>99.44</v>
      </c>
      <c r="AG313" s="576">
        <f t="shared" si="320"/>
        <v>0</v>
      </c>
      <c r="AH313" s="579">
        <f t="shared" si="321"/>
        <v>0</v>
      </c>
      <c r="AI313" s="603"/>
      <c r="AK313" s="617">
        <f t="shared" si="290"/>
        <v>0</v>
      </c>
    </row>
    <row r="314" spans="1:37" s="604" customFormat="1" ht="45">
      <c r="A314" s="570" t="s">
        <v>14023</v>
      </c>
      <c r="B314" s="571" t="str">
        <f>PLANILHA!D312</f>
        <v>LUVA DE EMENDA PARA ELETRODUTO, AÇO GALVANIZADO, DN 20 MM (3/4''), APARENTE, INSTALADA EM PAREDE - FORNECIMENTO E INSTALAÇÃO. AF_11/2016_P</v>
      </c>
      <c r="C314" s="572" t="str">
        <f>PLANILHA!E312</f>
        <v>UN</v>
      </c>
      <c r="D314" s="573">
        <f>PLANILHA!F312</f>
        <v>40</v>
      </c>
      <c r="E314" s="573">
        <f t="shared" si="323"/>
        <v>11.06</v>
      </c>
      <c r="F314" s="574">
        <f t="shared" si="316"/>
        <v>442.4</v>
      </c>
      <c r="G314" s="580"/>
      <c r="H314" s="576">
        <f t="shared" si="293"/>
        <v>0</v>
      </c>
      <c r="I314" s="576"/>
      <c r="J314" s="576">
        <f t="shared" si="294"/>
        <v>0</v>
      </c>
      <c r="K314" s="576"/>
      <c r="L314" s="576">
        <f t="shared" si="295"/>
        <v>0</v>
      </c>
      <c r="M314" s="576">
        <f t="shared" si="322"/>
        <v>40</v>
      </c>
      <c r="N314" s="576">
        <f t="shared" si="317"/>
        <v>442.4</v>
      </c>
      <c r="O314" s="576"/>
      <c r="P314" s="576">
        <f t="shared" si="297"/>
        <v>0</v>
      </c>
      <c r="Q314" s="576"/>
      <c r="R314" s="577">
        <f t="shared" si="298"/>
        <v>0</v>
      </c>
      <c r="S314" s="578"/>
      <c r="T314" s="576">
        <f t="shared" si="299"/>
        <v>0</v>
      </c>
      <c r="U314" s="576"/>
      <c r="V314" s="576">
        <f t="shared" si="300"/>
        <v>0</v>
      </c>
      <c r="W314" s="576"/>
      <c r="X314" s="576">
        <f t="shared" si="301"/>
        <v>0</v>
      </c>
      <c r="Y314" s="576"/>
      <c r="Z314" s="576">
        <f t="shared" si="302"/>
        <v>0</v>
      </c>
      <c r="AA314" s="576"/>
      <c r="AB314" s="576">
        <f t="shared" si="303"/>
        <v>0</v>
      </c>
      <c r="AC314" s="576"/>
      <c r="AD314" s="579">
        <f t="shared" si="304"/>
        <v>0</v>
      </c>
      <c r="AE314" s="580">
        <f t="shared" si="318"/>
        <v>40</v>
      </c>
      <c r="AF314" s="576">
        <f t="shared" si="319"/>
        <v>442.4</v>
      </c>
      <c r="AG314" s="576">
        <f t="shared" si="320"/>
        <v>0</v>
      </c>
      <c r="AH314" s="579">
        <f t="shared" si="321"/>
        <v>0</v>
      </c>
      <c r="AI314" s="603"/>
      <c r="AK314" s="617">
        <f t="shared" si="290"/>
        <v>0</v>
      </c>
    </row>
    <row r="315" spans="1:37" s="604" customFormat="1" ht="45">
      <c r="A315" s="570" t="s">
        <v>14024</v>
      </c>
      <c r="B315" s="571" t="str">
        <f>PLANILHA!D313</f>
        <v>LUVA DE EMENDA PARA ELETRODUTO, AÇO GALVANIZADO, DN 32 MM (1 1/4''), APARENTE, INSTALADA EM TETO - FORNECIMENTO E INSTALAÇÃO. AF_11/2016_P</v>
      </c>
      <c r="C315" s="572" t="str">
        <f>PLANILHA!E313</f>
        <v>UN</v>
      </c>
      <c r="D315" s="573">
        <f>PLANILHA!F313</f>
        <v>4</v>
      </c>
      <c r="E315" s="573">
        <f t="shared" si="323"/>
        <v>13.38</v>
      </c>
      <c r="F315" s="574">
        <f t="shared" si="316"/>
        <v>53.52</v>
      </c>
      <c r="G315" s="580"/>
      <c r="H315" s="576">
        <f t="shared" si="293"/>
        <v>0</v>
      </c>
      <c r="I315" s="576"/>
      <c r="J315" s="576">
        <f t="shared" si="294"/>
        <v>0</v>
      </c>
      <c r="K315" s="576"/>
      <c r="L315" s="576">
        <f t="shared" si="295"/>
        <v>0</v>
      </c>
      <c r="M315" s="576">
        <f t="shared" si="322"/>
        <v>4</v>
      </c>
      <c r="N315" s="576">
        <f t="shared" si="317"/>
        <v>53.52</v>
      </c>
      <c r="O315" s="576"/>
      <c r="P315" s="576">
        <f t="shared" si="297"/>
        <v>0</v>
      </c>
      <c r="Q315" s="576"/>
      <c r="R315" s="577">
        <f t="shared" si="298"/>
        <v>0</v>
      </c>
      <c r="S315" s="578"/>
      <c r="T315" s="576">
        <f t="shared" si="299"/>
        <v>0</v>
      </c>
      <c r="U315" s="576"/>
      <c r="V315" s="576">
        <f t="shared" si="300"/>
        <v>0</v>
      </c>
      <c r="W315" s="576"/>
      <c r="X315" s="576">
        <f t="shared" si="301"/>
        <v>0</v>
      </c>
      <c r="Y315" s="576"/>
      <c r="Z315" s="576">
        <f t="shared" si="302"/>
        <v>0</v>
      </c>
      <c r="AA315" s="576"/>
      <c r="AB315" s="576">
        <f t="shared" si="303"/>
        <v>0</v>
      </c>
      <c r="AC315" s="576"/>
      <c r="AD315" s="579">
        <f t="shared" si="304"/>
        <v>0</v>
      </c>
      <c r="AE315" s="580">
        <f t="shared" si="318"/>
        <v>4</v>
      </c>
      <c r="AF315" s="576">
        <f t="shared" si="319"/>
        <v>53.52</v>
      </c>
      <c r="AG315" s="576">
        <f t="shared" si="320"/>
        <v>0</v>
      </c>
      <c r="AH315" s="579">
        <f t="shared" si="321"/>
        <v>0</v>
      </c>
      <c r="AI315" s="603"/>
      <c r="AK315" s="617">
        <f t="shared" si="290"/>
        <v>0</v>
      </c>
    </row>
    <row r="316" spans="1:37" s="604" customFormat="1" ht="60">
      <c r="A316" s="570" t="s">
        <v>14025</v>
      </c>
      <c r="B316" s="571" t="str">
        <f>PLANILHA!D314</f>
        <v>ELETROCALHA LISA (50X50X300)MM EM CHAPA DE AÇO GALVANIZADO #18, COM TRATAMENTO PRÉ-ZINCADO, INCLUSIVE TAMPA DE ENCAIXE, FIXAÇÃO SUPERIOR, CONEXÕES E ACESSÓRIOS. FORNECIMENTO E INSTALAÇÃO.</v>
      </c>
      <c r="C316" s="572" t="str">
        <f>PLANILHA!E314</f>
        <v>UND</v>
      </c>
      <c r="D316" s="573">
        <f>PLANILHA!F314</f>
        <v>16.666666666666668</v>
      </c>
      <c r="E316" s="573">
        <f t="shared" si="323"/>
        <v>215.16</v>
      </c>
      <c r="F316" s="574">
        <f t="shared" si="316"/>
        <v>3586</v>
      </c>
      <c r="G316" s="580"/>
      <c r="H316" s="576">
        <f t="shared" si="293"/>
        <v>0</v>
      </c>
      <c r="I316" s="576"/>
      <c r="J316" s="576">
        <f t="shared" si="294"/>
        <v>0</v>
      </c>
      <c r="K316" s="576"/>
      <c r="L316" s="576">
        <f t="shared" si="295"/>
        <v>0</v>
      </c>
      <c r="M316" s="576">
        <f t="shared" si="322"/>
        <v>16.666666666666668</v>
      </c>
      <c r="N316" s="576">
        <f t="shared" si="317"/>
        <v>3586</v>
      </c>
      <c r="O316" s="576"/>
      <c r="P316" s="576">
        <f t="shared" si="297"/>
        <v>0</v>
      </c>
      <c r="Q316" s="576"/>
      <c r="R316" s="577">
        <f t="shared" si="298"/>
        <v>0</v>
      </c>
      <c r="S316" s="578"/>
      <c r="T316" s="576">
        <f t="shared" si="299"/>
        <v>0</v>
      </c>
      <c r="U316" s="576"/>
      <c r="V316" s="576">
        <f t="shared" si="300"/>
        <v>0</v>
      </c>
      <c r="W316" s="576"/>
      <c r="X316" s="576">
        <f t="shared" si="301"/>
        <v>0</v>
      </c>
      <c r="Y316" s="576"/>
      <c r="Z316" s="576">
        <f t="shared" si="302"/>
        <v>0</v>
      </c>
      <c r="AA316" s="576"/>
      <c r="AB316" s="576">
        <f t="shared" si="303"/>
        <v>0</v>
      </c>
      <c r="AC316" s="576"/>
      <c r="AD316" s="579">
        <f t="shared" si="304"/>
        <v>0</v>
      </c>
      <c r="AE316" s="580">
        <f t="shared" si="318"/>
        <v>16.666666666666668</v>
      </c>
      <c r="AF316" s="576">
        <f t="shared" si="319"/>
        <v>3586</v>
      </c>
      <c r="AG316" s="576">
        <f t="shared" si="320"/>
        <v>0</v>
      </c>
      <c r="AH316" s="579">
        <f t="shared" si="321"/>
        <v>0</v>
      </c>
      <c r="AI316" s="603"/>
      <c r="AK316" s="617">
        <f t="shared" si="290"/>
        <v>0</v>
      </c>
    </row>
    <row r="317" spans="1:37" s="604" customFormat="1" ht="60">
      <c r="A317" s="570" t="s">
        <v>14026</v>
      </c>
      <c r="B317" s="571" t="str">
        <f>PLANILHA!D315</f>
        <v>ELETROCALHA LISA (100X50X300)MM EM CHAPA DE AÇO GALVANIZADO #18, COM TRATAMENTO PRÉ-ZINCADO, INCLUSIVE TAMPA DE ENCAIXE, FIXAÇÃO SUPERIOR, CONEXÕES E ACESSÓRIOS. FORNECIMENTO E INSTALAÇÃO.</v>
      </c>
      <c r="C317" s="572" t="str">
        <f>PLANILHA!E315</f>
        <v>UND</v>
      </c>
      <c r="D317" s="573">
        <f>PLANILHA!F315</f>
        <v>11.5</v>
      </c>
      <c r="E317" s="573">
        <f t="shared" si="323"/>
        <v>276.37</v>
      </c>
      <c r="F317" s="574">
        <f t="shared" si="316"/>
        <v>3178.25</v>
      </c>
      <c r="G317" s="580"/>
      <c r="H317" s="576">
        <f t="shared" si="293"/>
        <v>0</v>
      </c>
      <c r="I317" s="576"/>
      <c r="J317" s="576">
        <f t="shared" si="294"/>
        <v>0</v>
      </c>
      <c r="K317" s="576"/>
      <c r="L317" s="576">
        <f t="shared" si="295"/>
        <v>0</v>
      </c>
      <c r="M317" s="576">
        <f t="shared" si="322"/>
        <v>11.5</v>
      </c>
      <c r="N317" s="576">
        <f t="shared" si="317"/>
        <v>3178.25</v>
      </c>
      <c r="O317" s="576"/>
      <c r="P317" s="576">
        <f t="shared" si="297"/>
        <v>0</v>
      </c>
      <c r="Q317" s="576"/>
      <c r="R317" s="577">
        <f t="shared" si="298"/>
        <v>0</v>
      </c>
      <c r="S317" s="578"/>
      <c r="T317" s="576">
        <f t="shared" si="299"/>
        <v>0</v>
      </c>
      <c r="U317" s="576"/>
      <c r="V317" s="576">
        <f t="shared" si="300"/>
        <v>0</v>
      </c>
      <c r="W317" s="576"/>
      <c r="X317" s="576">
        <f t="shared" si="301"/>
        <v>0</v>
      </c>
      <c r="Y317" s="576"/>
      <c r="Z317" s="576">
        <f t="shared" si="302"/>
        <v>0</v>
      </c>
      <c r="AA317" s="576"/>
      <c r="AB317" s="576">
        <f t="shared" si="303"/>
        <v>0</v>
      </c>
      <c r="AC317" s="576"/>
      <c r="AD317" s="579">
        <f t="shared" si="304"/>
        <v>0</v>
      </c>
      <c r="AE317" s="580">
        <f t="shared" si="318"/>
        <v>11.5</v>
      </c>
      <c r="AF317" s="576">
        <f t="shared" si="319"/>
        <v>3178.25</v>
      </c>
      <c r="AG317" s="576">
        <f t="shared" si="320"/>
        <v>0</v>
      </c>
      <c r="AH317" s="579">
        <f t="shared" si="321"/>
        <v>0</v>
      </c>
      <c r="AI317" s="603"/>
      <c r="AK317" s="617">
        <f t="shared" si="290"/>
        <v>0</v>
      </c>
    </row>
    <row r="318" spans="1:37" s="604" customFormat="1" ht="30">
      <c r="A318" s="570" t="s">
        <v>14027</v>
      </c>
      <c r="B318" s="571" t="str">
        <f>PLANILHA!D316</f>
        <v>SAÍDA HORIZONTAL PARA ELETRODUTO 1", FORNECIMENTO E INSTALAÇÃO.</v>
      </c>
      <c r="C318" s="572" t="str">
        <f>PLANILHA!E316</f>
        <v>UND</v>
      </c>
      <c r="D318" s="573">
        <f>PLANILHA!F316</f>
        <v>9</v>
      </c>
      <c r="E318" s="573">
        <f t="shared" si="323"/>
        <v>11.69</v>
      </c>
      <c r="F318" s="574">
        <f t="shared" si="316"/>
        <v>105.21</v>
      </c>
      <c r="G318" s="580"/>
      <c r="H318" s="576">
        <f t="shared" si="293"/>
        <v>0</v>
      </c>
      <c r="I318" s="576"/>
      <c r="J318" s="576">
        <f t="shared" si="294"/>
        <v>0</v>
      </c>
      <c r="K318" s="576"/>
      <c r="L318" s="576">
        <f t="shared" si="295"/>
        <v>0</v>
      </c>
      <c r="M318" s="576">
        <f t="shared" si="322"/>
        <v>9</v>
      </c>
      <c r="N318" s="576">
        <f t="shared" si="317"/>
        <v>105.21</v>
      </c>
      <c r="O318" s="576"/>
      <c r="P318" s="576">
        <f t="shared" si="297"/>
        <v>0</v>
      </c>
      <c r="Q318" s="576"/>
      <c r="R318" s="577">
        <f t="shared" si="298"/>
        <v>0</v>
      </c>
      <c r="S318" s="578"/>
      <c r="T318" s="576">
        <f t="shared" si="299"/>
        <v>0</v>
      </c>
      <c r="U318" s="576"/>
      <c r="V318" s="576">
        <f t="shared" si="300"/>
        <v>0</v>
      </c>
      <c r="W318" s="576"/>
      <c r="X318" s="576">
        <f t="shared" si="301"/>
        <v>0</v>
      </c>
      <c r="Y318" s="576"/>
      <c r="Z318" s="576">
        <f t="shared" si="302"/>
        <v>0</v>
      </c>
      <c r="AA318" s="576"/>
      <c r="AB318" s="576">
        <f t="shared" si="303"/>
        <v>0</v>
      </c>
      <c r="AC318" s="576"/>
      <c r="AD318" s="579">
        <f t="shared" si="304"/>
        <v>0</v>
      </c>
      <c r="AE318" s="580">
        <f t="shared" si="318"/>
        <v>9</v>
      </c>
      <c r="AF318" s="576">
        <f t="shared" si="319"/>
        <v>105.21</v>
      </c>
      <c r="AG318" s="576">
        <f t="shared" si="320"/>
        <v>0</v>
      </c>
      <c r="AH318" s="579">
        <f t="shared" si="321"/>
        <v>0</v>
      </c>
      <c r="AI318" s="603"/>
      <c r="AK318" s="617">
        <f t="shared" si="290"/>
        <v>0</v>
      </c>
    </row>
    <row r="319" spans="1:37" s="604" customFormat="1" ht="30">
      <c r="A319" s="570" t="s">
        <v>14028</v>
      </c>
      <c r="B319" s="571" t="str">
        <f>PLANILHA!D317</f>
        <v>CURVA (X) HORIZONTAL 90º, 50X50MM FORNECIMENTO E INSTALAÇÃO.</v>
      </c>
      <c r="C319" s="572" t="str">
        <f>PLANILHA!E317</f>
        <v>UND</v>
      </c>
      <c r="D319" s="573">
        <f>PLANILHA!F317</f>
        <v>6</v>
      </c>
      <c r="E319" s="573">
        <f t="shared" si="323"/>
        <v>92.43</v>
      </c>
      <c r="F319" s="574">
        <f t="shared" si="316"/>
        <v>554.58000000000004</v>
      </c>
      <c r="G319" s="580"/>
      <c r="H319" s="576">
        <f t="shared" si="293"/>
        <v>0</v>
      </c>
      <c r="I319" s="576"/>
      <c r="J319" s="576">
        <f t="shared" si="294"/>
        <v>0</v>
      </c>
      <c r="K319" s="576"/>
      <c r="L319" s="576">
        <f t="shared" si="295"/>
        <v>0</v>
      </c>
      <c r="M319" s="576">
        <f t="shared" si="322"/>
        <v>6</v>
      </c>
      <c r="N319" s="576">
        <f t="shared" si="317"/>
        <v>554.58000000000004</v>
      </c>
      <c r="O319" s="576"/>
      <c r="P319" s="576">
        <f t="shared" si="297"/>
        <v>0</v>
      </c>
      <c r="Q319" s="576"/>
      <c r="R319" s="577">
        <f t="shared" si="298"/>
        <v>0</v>
      </c>
      <c r="S319" s="578"/>
      <c r="T319" s="576">
        <f t="shared" si="299"/>
        <v>0</v>
      </c>
      <c r="U319" s="576"/>
      <c r="V319" s="576">
        <f t="shared" si="300"/>
        <v>0</v>
      </c>
      <c r="W319" s="576"/>
      <c r="X319" s="576">
        <f t="shared" si="301"/>
        <v>0</v>
      </c>
      <c r="Y319" s="576"/>
      <c r="Z319" s="576">
        <f t="shared" si="302"/>
        <v>0</v>
      </c>
      <c r="AA319" s="576"/>
      <c r="AB319" s="576">
        <f t="shared" si="303"/>
        <v>0</v>
      </c>
      <c r="AC319" s="576"/>
      <c r="AD319" s="579">
        <f t="shared" si="304"/>
        <v>0</v>
      </c>
      <c r="AE319" s="580">
        <f t="shared" si="318"/>
        <v>6</v>
      </c>
      <c r="AF319" s="576">
        <f t="shared" si="319"/>
        <v>554.58000000000004</v>
      </c>
      <c r="AG319" s="576">
        <f t="shared" si="320"/>
        <v>0</v>
      </c>
      <c r="AH319" s="579">
        <f t="shared" si="321"/>
        <v>0</v>
      </c>
      <c r="AI319" s="603"/>
      <c r="AK319" s="617">
        <f t="shared" si="290"/>
        <v>0</v>
      </c>
    </row>
    <row r="320" spans="1:37" s="604" customFormat="1" ht="30">
      <c r="A320" s="570" t="s">
        <v>14029</v>
      </c>
      <c r="B320" s="571" t="str">
        <f>PLANILHA!D318</f>
        <v>CURVA (X) HORIZONTAL 90º, 100X50MM FORNECIMENTO E INSTALAÇÃO.</v>
      </c>
      <c r="C320" s="572" t="str">
        <f>PLANILHA!E318</f>
        <v>UND</v>
      </c>
      <c r="D320" s="573">
        <f>PLANILHA!F318</f>
        <v>3</v>
      </c>
      <c r="E320" s="573">
        <f t="shared" si="323"/>
        <v>133.19999999999999</v>
      </c>
      <c r="F320" s="574">
        <f t="shared" si="316"/>
        <v>399.6</v>
      </c>
      <c r="G320" s="580"/>
      <c r="H320" s="576">
        <f t="shared" si="293"/>
        <v>0</v>
      </c>
      <c r="I320" s="576"/>
      <c r="J320" s="576">
        <f t="shared" si="294"/>
        <v>0</v>
      </c>
      <c r="K320" s="576"/>
      <c r="L320" s="576">
        <f t="shared" si="295"/>
        <v>0</v>
      </c>
      <c r="M320" s="576">
        <f t="shared" si="322"/>
        <v>3</v>
      </c>
      <c r="N320" s="576">
        <f t="shared" si="317"/>
        <v>399.6</v>
      </c>
      <c r="O320" s="576"/>
      <c r="P320" s="576">
        <f t="shared" si="297"/>
        <v>0</v>
      </c>
      <c r="Q320" s="576"/>
      <c r="R320" s="577">
        <f t="shared" si="298"/>
        <v>0</v>
      </c>
      <c r="S320" s="578"/>
      <c r="T320" s="576">
        <f t="shared" si="299"/>
        <v>0</v>
      </c>
      <c r="U320" s="576"/>
      <c r="V320" s="576">
        <f t="shared" si="300"/>
        <v>0</v>
      </c>
      <c r="W320" s="576"/>
      <c r="X320" s="576">
        <f t="shared" si="301"/>
        <v>0</v>
      </c>
      <c r="Y320" s="576"/>
      <c r="Z320" s="576">
        <f t="shared" si="302"/>
        <v>0</v>
      </c>
      <c r="AA320" s="576"/>
      <c r="AB320" s="576">
        <f t="shared" si="303"/>
        <v>0</v>
      </c>
      <c r="AC320" s="576"/>
      <c r="AD320" s="579">
        <f t="shared" si="304"/>
        <v>0</v>
      </c>
      <c r="AE320" s="580">
        <f t="shared" si="318"/>
        <v>3</v>
      </c>
      <c r="AF320" s="576">
        <f t="shared" si="319"/>
        <v>399.6</v>
      </c>
      <c r="AG320" s="576">
        <f t="shared" si="320"/>
        <v>0</v>
      </c>
      <c r="AH320" s="579">
        <f t="shared" si="321"/>
        <v>0</v>
      </c>
      <c r="AI320" s="603"/>
      <c r="AK320" s="617">
        <f t="shared" si="290"/>
        <v>0</v>
      </c>
    </row>
    <row r="321" spans="1:37" s="604" customFormat="1" ht="60">
      <c r="A321" s="570" t="s">
        <v>14030</v>
      </c>
      <c r="B321" s="571" t="str">
        <f>PLANILHA!D319</f>
        <v>ELETROCALHA PERF. GALVANIZADA TIPO "U" COM TAMPA 50X50X3000 mm + SUPORTE PARA ELETROCALHA LISA OU PERFURADA EM AÇO GALVANIZADO, LARGURA 500 OU 800 mm, ESPAÇADO A CADA 1,50 M. FORNECIMENTO E INSTALAÇÃO.</v>
      </c>
      <c r="C321" s="572" t="str">
        <f>PLANILHA!E319</f>
        <v>UND</v>
      </c>
      <c r="D321" s="573">
        <f>PLANILHA!F319</f>
        <v>31.666666666666668</v>
      </c>
      <c r="E321" s="573">
        <f t="shared" si="323"/>
        <v>93</v>
      </c>
      <c r="F321" s="574">
        <f t="shared" si="316"/>
        <v>2945</v>
      </c>
      <c r="G321" s="580"/>
      <c r="H321" s="576">
        <f t="shared" si="293"/>
        <v>0</v>
      </c>
      <c r="I321" s="576"/>
      <c r="J321" s="576">
        <f t="shared" si="294"/>
        <v>0</v>
      </c>
      <c r="K321" s="576"/>
      <c r="L321" s="576">
        <f t="shared" si="295"/>
        <v>0</v>
      </c>
      <c r="M321" s="576">
        <f t="shared" si="322"/>
        <v>31.666666666666668</v>
      </c>
      <c r="N321" s="576">
        <f t="shared" si="317"/>
        <v>2945</v>
      </c>
      <c r="O321" s="576"/>
      <c r="P321" s="576">
        <f t="shared" si="297"/>
        <v>0</v>
      </c>
      <c r="Q321" s="576"/>
      <c r="R321" s="577">
        <f t="shared" si="298"/>
        <v>0</v>
      </c>
      <c r="S321" s="578"/>
      <c r="T321" s="576">
        <f t="shared" si="299"/>
        <v>0</v>
      </c>
      <c r="U321" s="576"/>
      <c r="V321" s="576">
        <f t="shared" si="300"/>
        <v>0</v>
      </c>
      <c r="W321" s="576"/>
      <c r="X321" s="576">
        <f t="shared" si="301"/>
        <v>0</v>
      </c>
      <c r="Y321" s="576"/>
      <c r="Z321" s="576">
        <f t="shared" si="302"/>
        <v>0</v>
      </c>
      <c r="AA321" s="576"/>
      <c r="AB321" s="576">
        <f t="shared" si="303"/>
        <v>0</v>
      </c>
      <c r="AC321" s="576"/>
      <c r="AD321" s="579">
        <f t="shared" si="304"/>
        <v>0</v>
      </c>
      <c r="AE321" s="580">
        <f t="shared" si="318"/>
        <v>31.666666666666668</v>
      </c>
      <c r="AF321" s="576">
        <f t="shared" si="319"/>
        <v>2945</v>
      </c>
      <c r="AG321" s="576">
        <f t="shared" si="320"/>
        <v>0</v>
      </c>
      <c r="AH321" s="579">
        <f t="shared" si="321"/>
        <v>0</v>
      </c>
      <c r="AI321" s="603"/>
      <c r="AK321" s="617">
        <f t="shared" si="290"/>
        <v>0</v>
      </c>
    </row>
    <row r="322" spans="1:37" s="604" customFormat="1" ht="30">
      <c r="A322" s="570" t="s">
        <v>14031</v>
      </c>
      <c r="B322" s="571" t="str">
        <f>PLANILHA!D320</f>
        <v xml:space="preserve"> T HORIZONTAL (X) HORIZONTAL 90º, 100X50MM FORNECIMENTO E INSTALAÇÃO.</v>
      </c>
      <c r="C322" s="572" t="str">
        <f>PLANILHA!E320</f>
        <v>UND</v>
      </c>
      <c r="D322" s="573">
        <f>PLANILHA!F320</f>
        <v>4</v>
      </c>
      <c r="E322" s="573">
        <f t="shared" si="323"/>
        <v>94.93</v>
      </c>
      <c r="F322" s="574">
        <f t="shared" si="316"/>
        <v>379.72</v>
      </c>
      <c r="G322" s="580"/>
      <c r="H322" s="576">
        <f t="shared" si="293"/>
        <v>0</v>
      </c>
      <c r="I322" s="576"/>
      <c r="J322" s="576">
        <f t="shared" si="294"/>
        <v>0</v>
      </c>
      <c r="K322" s="576"/>
      <c r="L322" s="576">
        <f t="shared" si="295"/>
        <v>0</v>
      </c>
      <c r="M322" s="576">
        <f t="shared" si="322"/>
        <v>4</v>
      </c>
      <c r="N322" s="576">
        <f t="shared" si="317"/>
        <v>379.72</v>
      </c>
      <c r="O322" s="576"/>
      <c r="P322" s="576">
        <f t="shared" si="297"/>
        <v>0</v>
      </c>
      <c r="Q322" s="576"/>
      <c r="R322" s="577">
        <f t="shared" si="298"/>
        <v>0</v>
      </c>
      <c r="S322" s="578"/>
      <c r="T322" s="576">
        <f t="shared" si="299"/>
        <v>0</v>
      </c>
      <c r="U322" s="576"/>
      <c r="V322" s="576">
        <f t="shared" si="300"/>
        <v>0</v>
      </c>
      <c r="W322" s="576"/>
      <c r="X322" s="576">
        <f t="shared" si="301"/>
        <v>0</v>
      </c>
      <c r="Y322" s="576"/>
      <c r="Z322" s="576">
        <f t="shared" si="302"/>
        <v>0</v>
      </c>
      <c r="AA322" s="576"/>
      <c r="AB322" s="576">
        <f t="shared" si="303"/>
        <v>0</v>
      </c>
      <c r="AC322" s="576"/>
      <c r="AD322" s="579">
        <f t="shared" si="304"/>
        <v>0</v>
      </c>
      <c r="AE322" s="580">
        <f t="shared" si="318"/>
        <v>4</v>
      </c>
      <c r="AF322" s="576">
        <f t="shared" si="319"/>
        <v>379.72</v>
      </c>
      <c r="AG322" s="576">
        <f t="shared" si="320"/>
        <v>0</v>
      </c>
      <c r="AH322" s="579">
        <f t="shared" si="321"/>
        <v>0</v>
      </c>
      <c r="AI322" s="603"/>
      <c r="AK322" s="617">
        <f t="shared" si="290"/>
        <v>0</v>
      </c>
    </row>
    <row r="323" spans="1:37" s="604" customFormat="1" ht="30">
      <c r="A323" s="570" t="s">
        <v>14716</v>
      </c>
      <c r="B323" s="571" t="str">
        <f>PLANILHA!D321</f>
        <v xml:space="preserve"> T HORIZONTAL (X) HORIZONTAL 90º, 50X50MM FORNECIMENTO E INSTALAÇÃO.</v>
      </c>
      <c r="C323" s="572" t="str">
        <f>PLANILHA!E321</f>
        <v>UND</v>
      </c>
      <c r="D323" s="573">
        <f>PLANILHA!F321</f>
        <v>8</v>
      </c>
      <c r="E323" s="573">
        <f t="shared" si="323"/>
        <v>65.7</v>
      </c>
      <c r="F323" s="574">
        <f t="shared" si="316"/>
        <v>525.6</v>
      </c>
      <c r="G323" s="580"/>
      <c r="H323" s="576">
        <f t="shared" si="293"/>
        <v>0</v>
      </c>
      <c r="I323" s="576"/>
      <c r="J323" s="576">
        <f t="shared" si="294"/>
        <v>0</v>
      </c>
      <c r="K323" s="576"/>
      <c r="L323" s="576">
        <f t="shared" si="295"/>
        <v>0</v>
      </c>
      <c r="M323" s="576">
        <f t="shared" si="322"/>
        <v>8</v>
      </c>
      <c r="N323" s="576">
        <f t="shared" si="317"/>
        <v>525.6</v>
      </c>
      <c r="O323" s="576"/>
      <c r="P323" s="576">
        <f t="shared" si="297"/>
        <v>0</v>
      </c>
      <c r="Q323" s="576"/>
      <c r="R323" s="577">
        <f t="shared" si="298"/>
        <v>0</v>
      </c>
      <c r="S323" s="578"/>
      <c r="T323" s="576">
        <f t="shared" si="299"/>
        <v>0</v>
      </c>
      <c r="U323" s="576"/>
      <c r="V323" s="576">
        <f t="shared" si="300"/>
        <v>0</v>
      </c>
      <c r="W323" s="576"/>
      <c r="X323" s="576">
        <f t="shared" si="301"/>
        <v>0</v>
      </c>
      <c r="Y323" s="576"/>
      <c r="Z323" s="576">
        <f t="shared" si="302"/>
        <v>0</v>
      </c>
      <c r="AA323" s="576"/>
      <c r="AB323" s="576">
        <f t="shared" si="303"/>
        <v>0</v>
      </c>
      <c r="AC323" s="576"/>
      <c r="AD323" s="579">
        <f t="shared" si="304"/>
        <v>0</v>
      </c>
      <c r="AE323" s="580">
        <f t="shared" si="318"/>
        <v>8</v>
      </c>
      <c r="AF323" s="576">
        <f t="shared" si="319"/>
        <v>525.6</v>
      </c>
      <c r="AG323" s="576">
        <f t="shared" si="320"/>
        <v>0</v>
      </c>
      <c r="AH323" s="579">
        <f t="shared" si="321"/>
        <v>0</v>
      </c>
      <c r="AI323" s="603"/>
      <c r="AK323" s="617">
        <f t="shared" si="290"/>
        <v>0</v>
      </c>
    </row>
    <row r="324" spans="1:37" s="604" customFormat="1" ht="30">
      <c r="A324" s="570" t="s">
        <v>14717</v>
      </c>
      <c r="B324" s="571" t="str">
        <f>PLANILHA!D322</f>
        <v>TALA PLANA PERFURADA 100MM PARA ELETROCALHA METÁLICA, FORNCECIMENTO E INSTALAÇÃO.</v>
      </c>
      <c r="C324" s="572" t="str">
        <f>PLANILHA!E322</f>
        <v>UND</v>
      </c>
      <c r="D324" s="573">
        <f>PLANILHA!F322</f>
        <v>111</v>
      </c>
      <c r="E324" s="573">
        <f t="shared" si="323"/>
        <v>10.029999999999999</v>
      </c>
      <c r="F324" s="574">
        <f t="shared" si="316"/>
        <v>1113.33</v>
      </c>
      <c r="G324" s="580"/>
      <c r="H324" s="576">
        <f t="shared" si="293"/>
        <v>0</v>
      </c>
      <c r="I324" s="576"/>
      <c r="J324" s="576">
        <f t="shared" si="294"/>
        <v>0</v>
      </c>
      <c r="K324" s="576"/>
      <c r="L324" s="576">
        <f t="shared" si="295"/>
        <v>0</v>
      </c>
      <c r="M324" s="576">
        <f t="shared" si="322"/>
        <v>111</v>
      </c>
      <c r="N324" s="576">
        <f t="shared" si="317"/>
        <v>1113.33</v>
      </c>
      <c r="O324" s="576"/>
      <c r="P324" s="576">
        <f t="shared" si="297"/>
        <v>0</v>
      </c>
      <c r="Q324" s="576"/>
      <c r="R324" s="577">
        <f t="shared" si="298"/>
        <v>0</v>
      </c>
      <c r="S324" s="578"/>
      <c r="T324" s="576">
        <f t="shared" si="299"/>
        <v>0</v>
      </c>
      <c r="U324" s="576"/>
      <c r="V324" s="576">
        <f t="shared" si="300"/>
        <v>0</v>
      </c>
      <c r="W324" s="576"/>
      <c r="X324" s="576">
        <f t="shared" si="301"/>
        <v>0</v>
      </c>
      <c r="Y324" s="576"/>
      <c r="Z324" s="576">
        <f t="shared" si="302"/>
        <v>0</v>
      </c>
      <c r="AA324" s="576"/>
      <c r="AB324" s="576">
        <f t="shared" si="303"/>
        <v>0</v>
      </c>
      <c r="AC324" s="576"/>
      <c r="AD324" s="579">
        <f t="shared" si="304"/>
        <v>0</v>
      </c>
      <c r="AE324" s="580">
        <f t="shared" si="318"/>
        <v>111</v>
      </c>
      <c r="AF324" s="576">
        <f t="shared" si="319"/>
        <v>1113.33</v>
      </c>
      <c r="AG324" s="576">
        <f t="shared" si="320"/>
        <v>0</v>
      </c>
      <c r="AH324" s="579">
        <f t="shared" si="321"/>
        <v>0</v>
      </c>
      <c r="AI324" s="603"/>
      <c r="AK324" s="617">
        <f t="shared" si="290"/>
        <v>0</v>
      </c>
    </row>
    <row r="325" spans="1:37" s="604" customFormat="1" ht="60">
      <c r="A325" s="570" t="s">
        <v>14718</v>
      </c>
      <c r="B325" s="571" t="str">
        <f>PLANILHA!D323</f>
        <v>FIXAÇÃO DE TUBOS HORIZONTAIS DE PVC, CPVC OU COBRE DIÂMETROS MENORES OU IGUAIS A 40 MM OU ELETROCALHAS ATÉ 150MM DE LARGURA, COM ABRAÇADEIRA METÁLICA RÍGIDA TIPO D 1/2, FIXADA EM PERFILADO EM LAJE. AF_05/2015</v>
      </c>
      <c r="C325" s="572" t="str">
        <f>PLANILHA!E323</f>
        <v>M</v>
      </c>
      <c r="D325" s="573">
        <f>PLANILHA!F323</f>
        <v>150</v>
      </c>
      <c r="E325" s="573">
        <f t="shared" si="323"/>
        <v>3.65</v>
      </c>
      <c r="F325" s="574">
        <f t="shared" si="316"/>
        <v>547.5</v>
      </c>
      <c r="G325" s="580"/>
      <c r="H325" s="576">
        <f t="shared" si="293"/>
        <v>0</v>
      </c>
      <c r="I325" s="576"/>
      <c r="J325" s="576">
        <f t="shared" si="294"/>
        <v>0</v>
      </c>
      <c r="K325" s="576"/>
      <c r="L325" s="576">
        <f t="shared" si="295"/>
        <v>0</v>
      </c>
      <c r="M325" s="576">
        <f t="shared" si="322"/>
        <v>150</v>
      </c>
      <c r="N325" s="576">
        <f t="shared" si="317"/>
        <v>547.5</v>
      </c>
      <c r="O325" s="576"/>
      <c r="P325" s="576">
        <f t="shared" si="297"/>
        <v>0</v>
      </c>
      <c r="Q325" s="576"/>
      <c r="R325" s="577">
        <f t="shared" si="298"/>
        <v>0</v>
      </c>
      <c r="S325" s="578"/>
      <c r="T325" s="576">
        <f t="shared" si="299"/>
        <v>0</v>
      </c>
      <c r="U325" s="576"/>
      <c r="V325" s="576">
        <f t="shared" si="300"/>
        <v>0</v>
      </c>
      <c r="W325" s="576"/>
      <c r="X325" s="576">
        <f t="shared" si="301"/>
        <v>0</v>
      </c>
      <c r="Y325" s="576"/>
      <c r="Z325" s="576">
        <f t="shared" si="302"/>
        <v>0</v>
      </c>
      <c r="AA325" s="576"/>
      <c r="AB325" s="576">
        <f t="shared" si="303"/>
        <v>0</v>
      </c>
      <c r="AC325" s="576"/>
      <c r="AD325" s="579">
        <f t="shared" si="304"/>
        <v>0</v>
      </c>
      <c r="AE325" s="580">
        <f t="shared" si="318"/>
        <v>150</v>
      </c>
      <c r="AF325" s="576">
        <f t="shared" si="319"/>
        <v>547.5</v>
      </c>
      <c r="AG325" s="576">
        <f t="shared" si="320"/>
        <v>0</v>
      </c>
      <c r="AH325" s="579">
        <f t="shared" si="321"/>
        <v>0</v>
      </c>
      <c r="AI325" s="603"/>
      <c r="AK325" s="617">
        <f t="shared" si="290"/>
        <v>0</v>
      </c>
    </row>
    <row r="326" spans="1:37" s="604" customFormat="1" ht="60">
      <c r="A326" s="570" t="s">
        <v>14719</v>
      </c>
      <c r="B326" s="571" t="str">
        <f>PLANILHA!D324</f>
        <v>FIXAÇÃO DE TUBOS HORIZONTAIS DE PVC, CPVC OU COBRE DIÂMETROS MAIORES QUE 40 MM E MENORES OU IGUAIS A 75 MM COM ABRAÇADEIRA METÁLICA RÍGIDA TIPO D 1 1/2", FIXADA EM PERFILADO EM LAJE. AF_05/2015</v>
      </c>
      <c r="C326" s="572" t="str">
        <f>PLANILHA!E324</f>
        <v>M</v>
      </c>
      <c r="D326" s="573">
        <f>PLANILHA!F324</f>
        <v>23</v>
      </c>
      <c r="E326" s="573">
        <f t="shared" si="323"/>
        <v>4.5999999999999996</v>
      </c>
      <c r="F326" s="574">
        <f t="shared" si="316"/>
        <v>105.8</v>
      </c>
      <c r="G326" s="580"/>
      <c r="H326" s="576">
        <f t="shared" ref="H326:H332" si="324">G326*$E326</f>
        <v>0</v>
      </c>
      <c r="I326" s="576"/>
      <c r="J326" s="576">
        <f t="shared" ref="J326:J332" si="325">I326*$E326</f>
        <v>0</v>
      </c>
      <c r="K326" s="576"/>
      <c r="L326" s="576">
        <f t="shared" ref="L326:L332" si="326">K326*$E326</f>
        <v>0</v>
      </c>
      <c r="M326" s="576">
        <f t="shared" ref="M326:M332" si="327">D326</f>
        <v>23</v>
      </c>
      <c r="N326" s="576">
        <f t="shared" si="317"/>
        <v>105.8</v>
      </c>
      <c r="O326" s="576"/>
      <c r="P326" s="576">
        <f t="shared" ref="P326:P332" si="328">O326*$E326</f>
        <v>0</v>
      </c>
      <c r="Q326" s="576"/>
      <c r="R326" s="577">
        <f t="shared" ref="R326:R332" si="329">Q326*$E326</f>
        <v>0</v>
      </c>
      <c r="S326" s="578"/>
      <c r="T326" s="576">
        <f t="shared" ref="T326:T332" si="330">S326*$E326</f>
        <v>0</v>
      </c>
      <c r="U326" s="576"/>
      <c r="V326" s="576">
        <f t="shared" ref="V326:V332" si="331">U326*$E326</f>
        <v>0</v>
      </c>
      <c r="W326" s="576"/>
      <c r="X326" s="576">
        <f t="shared" ref="X326:X332" si="332">W326*$E326</f>
        <v>0</v>
      </c>
      <c r="Y326" s="576"/>
      <c r="Z326" s="576">
        <f t="shared" ref="Z326:Z332" si="333">Y326*$E326</f>
        <v>0</v>
      </c>
      <c r="AA326" s="576"/>
      <c r="AB326" s="576">
        <f t="shared" ref="AB326:AB332" si="334">AA326*$E326</f>
        <v>0</v>
      </c>
      <c r="AC326" s="576"/>
      <c r="AD326" s="579">
        <f t="shared" ref="AD326:AD332" si="335">AC326*$E326</f>
        <v>0</v>
      </c>
      <c r="AE326" s="580">
        <f t="shared" ref="AE326:AE332" si="336">AC326+AA326+Y326+W326+U326+S326+Q326+O326+M326+K326+I326+G326</f>
        <v>23</v>
      </c>
      <c r="AF326" s="576">
        <f t="shared" si="319"/>
        <v>105.8</v>
      </c>
      <c r="AG326" s="576">
        <f t="shared" ref="AG326:AG332" si="337">D326-AE326</f>
        <v>0</v>
      </c>
      <c r="AH326" s="579">
        <f t="shared" ref="AH326:AH332" si="338">AG326*E326</f>
        <v>0</v>
      </c>
      <c r="AI326" s="603"/>
      <c r="AK326" s="617">
        <f t="shared" si="290"/>
        <v>0</v>
      </c>
    </row>
    <row r="327" spans="1:37" s="604" customFormat="1" ht="45">
      <c r="A327" s="570" t="s">
        <v>14720</v>
      </c>
      <c r="B327" s="571" t="str">
        <f>PLANILHA!D325</f>
        <v>FIXAÇÃO DE TUBOS HORIZONTAIS DE PVC, CPVC OU COBRE DIÂMETROS MAIORES QUE 75 MM COM ABRAÇADEIRA METÁLICA RÍGIDA TIPO D 3", FIXADA EM PERFILADO EM LAJE. AF_05/2015</v>
      </c>
      <c r="C327" s="572" t="str">
        <f>PLANILHA!E325</f>
        <v>M</v>
      </c>
      <c r="D327" s="573">
        <f>PLANILHA!F325</f>
        <v>14</v>
      </c>
      <c r="E327" s="573">
        <f t="shared" si="323"/>
        <v>6.74</v>
      </c>
      <c r="F327" s="574">
        <f t="shared" si="316"/>
        <v>94.36</v>
      </c>
      <c r="G327" s="580"/>
      <c r="H327" s="576">
        <f t="shared" si="324"/>
        <v>0</v>
      </c>
      <c r="I327" s="576"/>
      <c r="J327" s="576">
        <f t="shared" si="325"/>
        <v>0</v>
      </c>
      <c r="K327" s="576"/>
      <c r="L327" s="576">
        <f t="shared" si="326"/>
        <v>0</v>
      </c>
      <c r="M327" s="576">
        <f t="shared" si="327"/>
        <v>14</v>
      </c>
      <c r="N327" s="576">
        <f t="shared" si="317"/>
        <v>94.36</v>
      </c>
      <c r="O327" s="576"/>
      <c r="P327" s="576">
        <f t="shared" si="328"/>
        <v>0</v>
      </c>
      <c r="Q327" s="576"/>
      <c r="R327" s="577">
        <f t="shared" si="329"/>
        <v>0</v>
      </c>
      <c r="S327" s="578"/>
      <c r="T327" s="576">
        <f t="shared" si="330"/>
        <v>0</v>
      </c>
      <c r="U327" s="576"/>
      <c r="V327" s="576">
        <f t="shared" si="331"/>
        <v>0</v>
      </c>
      <c r="W327" s="576"/>
      <c r="X327" s="576">
        <f t="shared" si="332"/>
        <v>0</v>
      </c>
      <c r="Y327" s="576"/>
      <c r="Z327" s="576">
        <f t="shared" si="333"/>
        <v>0</v>
      </c>
      <c r="AA327" s="576"/>
      <c r="AB327" s="576">
        <f t="shared" si="334"/>
        <v>0</v>
      </c>
      <c r="AC327" s="576"/>
      <c r="AD327" s="579">
        <f t="shared" si="335"/>
        <v>0</v>
      </c>
      <c r="AE327" s="580">
        <f t="shared" si="336"/>
        <v>14</v>
      </c>
      <c r="AF327" s="576">
        <f t="shared" si="319"/>
        <v>94.36</v>
      </c>
      <c r="AG327" s="576">
        <f t="shared" si="337"/>
        <v>0</v>
      </c>
      <c r="AH327" s="579">
        <f t="shared" si="338"/>
        <v>0</v>
      </c>
      <c r="AI327" s="603"/>
      <c r="AK327" s="617">
        <f t="shared" si="290"/>
        <v>0</v>
      </c>
    </row>
    <row r="328" spans="1:37" s="604" customFormat="1" ht="30">
      <c r="A328" s="570" t="s">
        <v>14721</v>
      </c>
      <c r="B328" s="571" t="str">
        <f>PLANILHA!D326</f>
        <v xml:space="preserve"> CRUZETA (X) HORIZONTAL 90º, 300X50MM FORNECIMENTO E INSTALAÇÃO.</v>
      </c>
      <c r="C328" s="572" t="str">
        <f>PLANILHA!E326</f>
        <v>UND</v>
      </c>
      <c r="D328" s="573">
        <f>PLANILHA!F326</f>
        <v>1</v>
      </c>
      <c r="E328" s="573">
        <f t="shared" si="323"/>
        <v>133.19999999999999</v>
      </c>
      <c r="F328" s="574">
        <f t="shared" si="316"/>
        <v>133.19999999999999</v>
      </c>
      <c r="G328" s="580"/>
      <c r="H328" s="576">
        <f t="shared" si="324"/>
        <v>0</v>
      </c>
      <c r="I328" s="576"/>
      <c r="J328" s="576">
        <f t="shared" si="325"/>
        <v>0</v>
      </c>
      <c r="K328" s="576"/>
      <c r="L328" s="576">
        <f t="shared" si="326"/>
        <v>0</v>
      </c>
      <c r="M328" s="576">
        <f t="shared" si="327"/>
        <v>1</v>
      </c>
      <c r="N328" s="576">
        <f t="shared" si="317"/>
        <v>133.19999999999999</v>
      </c>
      <c r="O328" s="576"/>
      <c r="P328" s="576">
        <f t="shared" si="328"/>
        <v>0</v>
      </c>
      <c r="Q328" s="576"/>
      <c r="R328" s="577">
        <f t="shared" si="329"/>
        <v>0</v>
      </c>
      <c r="S328" s="578"/>
      <c r="T328" s="576">
        <f t="shared" si="330"/>
        <v>0</v>
      </c>
      <c r="U328" s="576"/>
      <c r="V328" s="576">
        <f t="shared" si="331"/>
        <v>0</v>
      </c>
      <c r="W328" s="576"/>
      <c r="X328" s="576">
        <f t="shared" si="332"/>
        <v>0</v>
      </c>
      <c r="Y328" s="576"/>
      <c r="Z328" s="576">
        <f t="shared" si="333"/>
        <v>0</v>
      </c>
      <c r="AA328" s="576"/>
      <c r="AB328" s="576">
        <f t="shared" si="334"/>
        <v>0</v>
      </c>
      <c r="AC328" s="576"/>
      <c r="AD328" s="579">
        <f t="shared" si="335"/>
        <v>0</v>
      </c>
      <c r="AE328" s="580">
        <f t="shared" si="336"/>
        <v>1</v>
      </c>
      <c r="AF328" s="576">
        <f t="shared" si="319"/>
        <v>133.19999999999999</v>
      </c>
      <c r="AG328" s="576">
        <f t="shared" si="337"/>
        <v>0</v>
      </c>
      <c r="AH328" s="579">
        <f t="shared" si="338"/>
        <v>0</v>
      </c>
      <c r="AI328" s="603"/>
      <c r="AK328" s="617">
        <f t="shared" si="290"/>
        <v>0</v>
      </c>
    </row>
    <row r="329" spans="1:37" s="604" customFormat="1" ht="60">
      <c r="A329" s="570" t="s">
        <v>14722</v>
      </c>
      <c r="B329" s="571" t="str">
        <f>PLANILHA!D327</f>
        <v>ELETROCALHA LISA (200X50X300)MM EM CHAPA DE AÇO GALVANIZADO #18, COM TRATAMENTO PRÉ-ZINCADO, INCLUSIVE TAMPA DE ENCAIXE, FIXAÇÃO SUPERIOR, CONEXÕES E ACESSÓRIOS. FORNECIMENTO E INSTALAÇÃO.</v>
      </c>
      <c r="C329" s="572" t="str">
        <f>PLANILHA!E327</f>
        <v>UND</v>
      </c>
      <c r="D329" s="573">
        <f>PLANILHA!F327</f>
        <v>1.6666666666666667</v>
      </c>
      <c r="E329" s="573">
        <f t="shared" si="323"/>
        <v>481.49</v>
      </c>
      <c r="F329" s="574">
        <f t="shared" si="316"/>
        <v>802.48</v>
      </c>
      <c r="G329" s="580"/>
      <c r="H329" s="576">
        <f t="shared" si="324"/>
        <v>0</v>
      </c>
      <c r="I329" s="576"/>
      <c r="J329" s="576">
        <f t="shared" si="325"/>
        <v>0</v>
      </c>
      <c r="K329" s="576"/>
      <c r="L329" s="576">
        <f t="shared" si="326"/>
        <v>0</v>
      </c>
      <c r="M329" s="576">
        <f t="shared" si="327"/>
        <v>1.6666666666666667</v>
      </c>
      <c r="N329" s="576">
        <f t="shared" si="317"/>
        <v>802.48</v>
      </c>
      <c r="O329" s="576"/>
      <c r="P329" s="576">
        <f t="shared" si="328"/>
        <v>0</v>
      </c>
      <c r="Q329" s="576"/>
      <c r="R329" s="577">
        <f t="shared" si="329"/>
        <v>0</v>
      </c>
      <c r="S329" s="578"/>
      <c r="T329" s="576">
        <f t="shared" si="330"/>
        <v>0</v>
      </c>
      <c r="U329" s="576"/>
      <c r="V329" s="576">
        <f t="shared" si="331"/>
        <v>0</v>
      </c>
      <c r="W329" s="576"/>
      <c r="X329" s="576">
        <f t="shared" si="332"/>
        <v>0</v>
      </c>
      <c r="Y329" s="576"/>
      <c r="Z329" s="576">
        <f t="shared" si="333"/>
        <v>0</v>
      </c>
      <c r="AA329" s="576"/>
      <c r="AB329" s="576">
        <f t="shared" si="334"/>
        <v>0</v>
      </c>
      <c r="AC329" s="576"/>
      <c r="AD329" s="579">
        <f t="shared" si="335"/>
        <v>0</v>
      </c>
      <c r="AE329" s="580">
        <f t="shared" si="336"/>
        <v>1.6666666666666667</v>
      </c>
      <c r="AF329" s="576">
        <f t="shared" si="319"/>
        <v>802.48</v>
      </c>
      <c r="AG329" s="576">
        <f t="shared" si="337"/>
        <v>0</v>
      </c>
      <c r="AH329" s="579">
        <f t="shared" si="338"/>
        <v>0</v>
      </c>
      <c r="AI329" s="603"/>
      <c r="AK329" s="617">
        <f t="shared" si="290"/>
        <v>0</v>
      </c>
    </row>
    <row r="330" spans="1:37" s="604" customFormat="1" ht="60">
      <c r="A330" s="570" t="s">
        <v>14728</v>
      </c>
      <c r="B330" s="571" t="str">
        <f>PLANILHA!D328</f>
        <v>ELETROCALHA LISA (300X50X300)MM EM CHAPA DE AÇO GALVANIZADO #18, COM TRATAMENTO PRÉ-ZINCADO, INCLUSIVE TAMPA DE ENCAIXE, FIXAÇÃO SUPERIOR, CONEXÕES E ACESSÓRIOS. FORNECIMENTO E INSTALAÇÃO.</v>
      </c>
      <c r="C330" s="572" t="str">
        <f>PLANILHA!E328</f>
        <v>UND</v>
      </c>
      <c r="D330" s="573">
        <f>PLANILHA!F328</f>
        <v>1</v>
      </c>
      <c r="E330" s="573">
        <f t="shared" si="323"/>
        <v>521.04999999999995</v>
      </c>
      <c r="F330" s="574">
        <f t="shared" si="316"/>
        <v>521.04999999999995</v>
      </c>
      <c r="G330" s="580"/>
      <c r="H330" s="576">
        <f t="shared" si="324"/>
        <v>0</v>
      </c>
      <c r="I330" s="576"/>
      <c r="J330" s="576">
        <f t="shared" si="325"/>
        <v>0</v>
      </c>
      <c r="K330" s="576"/>
      <c r="L330" s="576">
        <f t="shared" si="326"/>
        <v>0</v>
      </c>
      <c r="M330" s="576">
        <f t="shared" si="327"/>
        <v>1</v>
      </c>
      <c r="N330" s="576">
        <f t="shared" si="317"/>
        <v>521.04999999999995</v>
      </c>
      <c r="O330" s="576"/>
      <c r="P330" s="576">
        <f t="shared" si="328"/>
        <v>0</v>
      </c>
      <c r="Q330" s="576"/>
      <c r="R330" s="577">
        <f t="shared" si="329"/>
        <v>0</v>
      </c>
      <c r="S330" s="578"/>
      <c r="T330" s="576">
        <f t="shared" si="330"/>
        <v>0</v>
      </c>
      <c r="U330" s="576"/>
      <c r="V330" s="576">
        <f t="shared" si="331"/>
        <v>0</v>
      </c>
      <c r="W330" s="576"/>
      <c r="X330" s="576">
        <f t="shared" si="332"/>
        <v>0</v>
      </c>
      <c r="Y330" s="576"/>
      <c r="Z330" s="576">
        <f t="shared" si="333"/>
        <v>0</v>
      </c>
      <c r="AA330" s="576"/>
      <c r="AB330" s="576">
        <f t="shared" si="334"/>
        <v>0</v>
      </c>
      <c r="AC330" s="576"/>
      <c r="AD330" s="579">
        <f t="shared" si="335"/>
        <v>0</v>
      </c>
      <c r="AE330" s="580">
        <f t="shared" si="336"/>
        <v>1</v>
      </c>
      <c r="AF330" s="576">
        <f t="shared" si="319"/>
        <v>521.04999999999995</v>
      </c>
      <c r="AG330" s="576">
        <f t="shared" si="337"/>
        <v>0</v>
      </c>
      <c r="AH330" s="579">
        <f t="shared" si="338"/>
        <v>0</v>
      </c>
      <c r="AI330" s="603"/>
      <c r="AK330" s="617">
        <f t="shared" si="290"/>
        <v>0</v>
      </c>
    </row>
    <row r="331" spans="1:37" s="604" customFormat="1" ht="60">
      <c r="A331" s="570" t="s">
        <v>14729</v>
      </c>
      <c r="B331" s="571" t="str">
        <f>PLANILHA!D329</f>
        <v>ELETROCALHA LISA (150X50X300)MM EM CHAPA DE AÇO GALVANIZADO #18, COM TRATAMENTO PRÉ-ZINCADO, INCLUSIVE TAMPA DE ENCAIXE, FIXAÇÃO SUPERIOR, CONEXÕES E ACESSÓRIOS. FORNECIMENTO E INSTALAÇÃO.</v>
      </c>
      <c r="C331" s="572" t="str">
        <f>PLANILHA!E329</f>
        <v>UND</v>
      </c>
      <c r="D331" s="573">
        <f>PLANILHA!F329</f>
        <v>5.4666666666666659</v>
      </c>
      <c r="E331" s="573">
        <f t="shared" si="323"/>
        <v>241.22</v>
      </c>
      <c r="F331" s="574">
        <f t="shared" si="316"/>
        <v>1318.66</v>
      </c>
      <c r="G331" s="580"/>
      <c r="H331" s="576">
        <f t="shared" si="324"/>
        <v>0</v>
      </c>
      <c r="I331" s="576"/>
      <c r="J331" s="576">
        <f t="shared" si="325"/>
        <v>0</v>
      </c>
      <c r="K331" s="576"/>
      <c r="L331" s="576">
        <f t="shared" si="326"/>
        <v>0</v>
      </c>
      <c r="M331" s="576">
        <f t="shared" si="327"/>
        <v>5.4666666666666659</v>
      </c>
      <c r="N331" s="576">
        <f t="shared" si="317"/>
        <v>1318.66</v>
      </c>
      <c r="O331" s="576"/>
      <c r="P331" s="576">
        <f t="shared" si="328"/>
        <v>0</v>
      </c>
      <c r="Q331" s="576"/>
      <c r="R331" s="577">
        <f t="shared" si="329"/>
        <v>0</v>
      </c>
      <c r="S331" s="578"/>
      <c r="T331" s="576">
        <f t="shared" si="330"/>
        <v>0</v>
      </c>
      <c r="U331" s="576"/>
      <c r="V331" s="576">
        <f t="shared" si="331"/>
        <v>0</v>
      </c>
      <c r="W331" s="576"/>
      <c r="X331" s="576">
        <f t="shared" si="332"/>
        <v>0</v>
      </c>
      <c r="Y331" s="576"/>
      <c r="Z331" s="576">
        <f t="shared" si="333"/>
        <v>0</v>
      </c>
      <c r="AA331" s="576"/>
      <c r="AB331" s="576">
        <f t="shared" si="334"/>
        <v>0</v>
      </c>
      <c r="AC331" s="576"/>
      <c r="AD331" s="579">
        <f t="shared" si="335"/>
        <v>0</v>
      </c>
      <c r="AE331" s="580">
        <f t="shared" si="336"/>
        <v>5.4666666666666659</v>
      </c>
      <c r="AF331" s="576">
        <f t="shared" si="319"/>
        <v>1318.66</v>
      </c>
      <c r="AG331" s="576">
        <f t="shared" si="337"/>
        <v>0</v>
      </c>
      <c r="AH331" s="579">
        <f t="shared" si="338"/>
        <v>0</v>
      </c>
      <c r="AI331" s="603"/>
      <c r="AK331" s="617">
        <f t="shared" si="290"/>
        <v>0</v>
      </c>
    </row>
    <row r="332" spans="1:37" s="604" customFormat="1" ht="30">
      <c r="A332" s="570" t="s">
        <v>14730</v>
      </c>
      <c r="B332" s="571" t="str">
        <f>PLANILHA!D330</f>
        <v>DISJUNTOR TRIPOLAR TIPO DIN, CORRENTE NOMINAL DE 10A - FORNECIMENTO E INSTALAÇÃO. AF_10/2020</v>
      </c>
      <c r="C332" s="572" t="str">
        <f>PLANILHA!E330</f>
        <v>UN</v>
      </c>
      <c r="D332" s="573">
        <f>PLANILHA!F330</f>
        <v>4</v>
      </c>
      <c r="E332" s="573">
        <f t="shared" si="323"/>
        <v>90.54</v>
      </c>
      <c r="F332" s="574">
        <f t="shared" si="316"/>
        <v>362.16</v>
      </c>
      <c r="G332" s="580"/>
      <c r="H332" s="576">
        <f t="shared" si="324"/>
        <v>0</v>
      </c>
      <c r="I332" s="576"/>
      <c r="J332" s="576">
        <f t="shared" si="325"/>
        <v>0</v>
      </c>
      <c r="K332" s="576"/>
      <c r="L332" s="576">
        <f t="shared" si="326"/>
        <v>0</v>
      </c>
      <c r="M332" s="576">
        <f t="shared" si="327"/>
        <v>4</v>
      </c>
      <c r="N332" s="576">
        <f t="shared" si="317"/>
        <v>362.16</v>
      </c>
      <c r="O332" s="576"/>
      <c r="P332" s="576">
        <f t="shared" si="328"/>
        <v>0</v>
      </c>
      <c r="Q332" s="576"/>
      <c r="R332" s="577">
        <f t="shared" si="329"/>
        <v>0</v>
      </c>
      <c r="S332" s="578"/>
      <c r="T332" s="576">
        <f t="shared" si="330"/>
        <v>0</v>
      </c>
      <c r="U332" s="576"/>
      <c r="V332" s="576">
        <f t="shared" si="331"/>
        <v>0</v>
      </c>
      <c r="W332" s="576"/>
      <c r="X332" s="576">
        <f t="shared" si="332"/>
        <v>0</v>
      </c>
      <c r="Y332" s="576"/>
      <c r="Z332" s="576">
        <f t="shared" si="333"/>
        <v>0</v>
      </c>
      <c r="AA332" s="576"/>
      <c r="AB332" s="576">
        <f t="shared" si="334"/>
        <v>0</v>
      </c>
      <c r="AC332" s="576"/>
      <c r="AD332" s="579">
        <f t="shared" si="335"/>
        <v>0</v>
      </c>
      <c r="AE332" s="580">
        <f t="shared" si="336"/>
        <v>4</v>
      </c>
      <c r="AF332" s="576">
        <f t="shared" si="319"/>
        <v>362.16</v>
      </c>
      <c r="AG332" s="576">
        <f t="shared" si="337"/>
        <v>0</v>
      </c>
      <c r="AH332" s="579">
        <f t="shared" si="338"/>
        <v>0</v>
      </c>
      <c r="AI332" s="603"/>
      <c r="AK332" s="617">
        <f t="shared" si="290"/>
        <v>0</v>
      </c>
    </row>
    <row r="333" spans="1:37" s="604" customFormat="1" ht="30">
      <c r="A333" s="570" t="s">
        <v>27192</v>
      </c>
      <c r="B333" s="571" t="str">
        <f>PLANILHA!D331</f>
        <v>DISJUNTOR TRIPOLAR TIPO DIN, CORRENTE NOMINAL DE 16A - FORNECIMENTO E INSTALAÇÃO. AF_10/2020</v>
      </c>
      <c r="C333" s="572" t="str">
        <f>PLANILHA!E331</f>
        <v>UN</v>
      </c>
      <c r="D333" s="573">
        <f>PLANILHA!F331</f>
        <v>1</v>
      </c>
      <c r="E333" s="573">
        <f t="shared" si="323"/>
        <v>92.31</v>
      </c>
      <c r="F333" s="574">
        <f t="shared" si="316"/>
        <v>92.31</v>
      </c>
      <c r="G333" s="580"/>
      <c r="H333" s="576">
        <f>G333*$E333</f>
        <v>0</v>
      </c>
      <c r="I333" s="576"/>
      <c r="J333" s="576">
        <f>I333*$E333</f>
        <v>0</v>
      </c>
      <c r="K333" s="576"/>
      <c r="L333" s="576">
        <f>K333*$E333</f>
        <v>0</v>
      </c>
      <c r="M333" s="576">
        <f>D333</f>
        <v>1</v>
      </c>
      <c r="N333" s="576">
        <f t="shared" si="317"/>
        <v>92.31</v>
      </c>
      <c r="O333" s="576"/>
      <c r="P333" s="576">
        <f>O333*$E333</f>
        <v>0</v>
      </c>
      <c r="Q333" s="576"/>
      <c r="R333" s="577">
        <f>Q333*$E333</f>
        <v>0</v>
      </c>
      <c r="S333" s="578"/>
      <c r="T333" s="576">
        <f>S333*$E333</f>
        <v>0</v>
      </c>
      <c r="U333" s="576"/>
      <c r="V333" s="576">
        <f>U333*$E333</f>
        <v>0</v>
      </c>
      <c r="W333" s="576"/>
      <c r="X333" s="576">
        <f>W333*$E333</f>
        <v>0</v>
      </c>
      <c r="Y333" s="576"/>
      <c r="Z333" s="576">
        <f>Y333*$E333</f>
        <v>0</v>
      </c>
      <c r="AA333" s="576"/>
      <c r="AB333" s="576">
        <f>AA333*$E333</f>
        <v>0</v>
      </c>
      <c r="AC333" s="576"/>
      <c r="AD333" s="579">
        <f>AC333*$E333</f>
        <v>0</v>
      </c>
      <c r="AE333" s="580">
        <f>AC333+AA333+Y333+W333+U333+S333+Q333+O333+M333+K333+I333+G333</f>
        <v>1</v>
      </c>
      <c r="AF333" s="576">
        <f t="shared" si="319"/>
        <v>92.31</v>
      </c>
      <c r="AG333" s="576">
        <f>D333-AE333</f>
        <v>0</v>
      </c>
      <c r="AH333" s="579">
        <f>AG333*E333</f>
        <v>0</v>
      </c>
      <c r="AI333" s="603"/>
      <c r="AK333" s="617">
        <f t="shared" si="290"/>
        <v>0</v>
      </c>
    </row>
    <row r="334" spans="1:37" s="604" customFormat="1" ht="45">
      <c r="A334" s="570" t="s">
        <v>27193</v>
      </c>
      <c r="B334" s="571" t="str">
        <f>PLANILHA!D332</f>
        <v>LUVA PARA ELETRODUTO, PVC, ROSCÁVEL, DN 25 MM (3/4"), PARA CIRCUITOS TERMINAIS, INSTALADA EM LAJE - FORNECIMENTO E INSTALAÇÃO. AF_12/2015</v>
      </c>
      <c r="C334" s="572" t="str">
        <f>PLANILHA!E332</f>
        <v>UN</v>
      </c>
      <c r="D334" s="573">
        <f>PLANILHA!F332</f>
        <v>13</v>
      </c>
      <c r="E334" s="573">
        <f t="shared" si="323"/>
        <v>7.74</v>
      </c>
      <c r="F334" s="574">
        <f t="shared" si="316"/>
        <v>100.62</v>
      </c>
      <c r="G334" s="580"/>
      <c r="H334" s="576">
        <f>G334*$E334</f>
        <v>0</v>
      </c>
      <c r="I334" s="576"/>
      <c r="J334" s="576">
        <f>I334*$E334</f>
        <v>0</v>
      </c>
      <c r="K334" s="576"/>
      <c r="L334" s="576">
        <f>K334*$E334</f>
        <v>0</v>
      </c>
      <c r="M334" s="576">
        <f>D334</f>
        <v>13</v>
      </c>
      <c r="N334" s="576">
        <f t="shared" si="317"/>
        <v>100.62</v>
      </c>
      <c r="O334" s="576"/>
      <c r="P334" s="576">
        <f>O334*$E334</f>
        <v>0</v>
      </c>
      <c r="Q334" s="576"/>
      <c r="R334" s="577">
        <f>Q334*$E334</f>
        <v>0</v>
      </c>
      <c r="S334" s="578"/>
      <c r="T334" s="576">
        <f>S334*$E334</f>
        <v>0</v>
      </c>
      <c r="U334" s="576"/>
      <c r="V334" s="576">
        <f>U334*$E334</f>
        <v>0</v>
      </c>
      <c r="W334" s="576"/>
      <c r="X334" s="576">
        <f>W334*$E334</f>
        <v>0</v>
      </c>
      <c r="Y334" s="576"/>
      <c r="Z334" s="576">
        <f>Y334*$E334</f>
        <v>0</v>
      </c>
      <c r="AA334" s="576"/>
      <c r="AB334" s="576">
        <f>AA334*$E334</f>
        <v>0</v>
      </c>
      <c r="AC334" s="576"/>
      <c r="AD334" s="579">
        <f>AC334*$E334</f>
        <v>0</v>
      </c>
      <c r="AE334" s="580">
        <f>AC334+AA334+Y334+W334+U334+S334+Q334+O334+M334+K334+I334+G334</f>
        <v>13</v>
      </c>
      <c r="AF334" s="576">
        <f t="shared" si="319"/>
        <v>100.62</v>
      </c>
      <c r="AG334" s="576">
        <f>D334-AE334</f>
        <v>0</v>
      </c>
      <c r="AH334" s="579">
        <f>AG334*E334</f>
        <v>0</v>
      </c>
      <c r="AI334" s="603"/>
      <c r="AK334" s="617">
        <f t="shared" ref="AK334:AK397" si="339">F334-AF334</f>
        <v>0</v>
      </c>
    </row>
    <row r="335" spans="1:37" s="604" customFormat="1" ht="45">
      <c r="A335" s="570" t="s">
        <v>27194</v>
      </c>
      <c r="B335" s="571" t="str">
        <f>PLANILHA!D333</f>
        <v>LUVA PARA ELETRODUTO, PVC, ROSCÁVEL, DN 32 MM (1"), PARA CIRCUITOS TERMINAIS, INSTALADA EM LAJE - FORNECIMENTO E INSTALAÇÃO. AF_12/2015</v>
      </c>
      <c r="C335" s="572" t="str">
        <f>PLANILHA!E333</f>
        <v>UN</v>
      </c>
      <c r="D335" s="573">
        <f>PLANILHA!F333</f>
        <v>4</v>
      </c>
      <c r="E335" s="573">
        <f t="shared" si="323"/>
        <v>9.83</v>
      </c>
      <c r="F335" s="574">
        <f t="shared" si="316"/>
        <v>39.32</v>
      </c>
      <c r="G335" s="580"/>
      <c r="H335" s="576">
        <f>G335*$E335</f>
        <v>0</v>
      </c>
      <c r="I335" s="576"/>
      <c r="J335" s="576">
        <f>I335*$E335</f>
        <v>0</v>
      </c>
      <c r="K335" s="576"/>
      <c r="L335" s="576">
        <f>K335*$E335</f>
        <v>0</v>
      </c>
      <c r="M335" s="576">
        <f>D335</f>
        <v>4</v>
      </c>
      <c r="N335" s="576">
        <f t="shared" si="317"/>
        <v>39.32</v>
      </c>
      <c r="O335" s="576"/>
      <c r="P335" s="576">
        <f>O335*$E335</f>
        <v>0</v>
      </c>
      <c r="Q335" s="576"/>
      <c r="R335" s="577">
        <f>Q335*$E335</f>
        <v>0</v>
      </c>
      <c r="S335" s="578"/>
      <c r="T335" s="576">
        <f>S335*$E335</f>
        <v>0</v>
      </c>
      <c r="U335" s="576"/>
      <c r="V335" s="576">
        <f>U335*$E335</f>
        <v>0</v>
      </c>
      <c r="W335" s="576"/>
      <c r="X335" s="576">
        <f>W335*$E335</f>
        <v>0</v>
      </c>
      <c r="Y335" s="576"/>
      <c r="Z335" s="576">
        <f>Y335*$E335</f>
        <v>0</v>
      </c>
      <c r="AA335" s="576"/>
      <c r="AB335" s="576">
        <f>AA335*$E335</f>
        <v>0</v>
      </c>
      <c r="AC335" s="576"/>
      <c r="AD335" s="579">
        <f>AC335*$E335</f>
        <v>0</v>
      </c>
      <c r="AE335" s="580">
        <f>AC335+AA335+Y335+W335+U335+S335+Q335+O335+M335+K335+I335+G335</f>
        <v>4</v>
      </c>
      <c r="AF335" s="576">
        <f t="shared" si="319"/>
        <v>39.32</v>
      </c>
      <c r="AG335" s="576">
        <f>D335-AE335</f>
        <v>0</v>
      </c>
      <c r="AH335" s="579">
        <f>AG335*E335</f>
        <v>0</v>
      </c>
      <c r="AI335" s="603"/>
      <c r="AK335" s="617">
        <f t="shared" si="339"/>
        <v>0</v>
      </c>
    </row>
    <row r="336" spans="1:37" s="604" customFormat="1" ht="45">
      <c r="A336" s="570" t="s">
        <v>27195</v>
      </c>
      <c r="B336" s="571" t="str">
        <f>PLANILHA!D334</f>
        <v>LUVA PARA ELETRODUTO, PVC, ROSCÁVEL, DN 50 MM (1 1/2"), PARA REDE ENTERRADA DE DISTRIBUIÇÃO DE ENERGIA ELÉTRICA - FORNECIMENTO E INSTALAÇÃO. AF_12/2021</v>
      </c>
      <c r="C336" s="572" t="str">
        <f>PLANILHA!E334</f>
        <v>UN</v>
      </c>
      <c r="D336" s="573">
        <f>PLANILHA!F334</f>
        <v>6</v>
      </c>
      <c r="E336" s="573">
        <f t="shared" si="323"/>
        <v>14.67</v>
      </c>
      <c r="F336" s="574">
        <f t="shared" si="316"/>
        <v>88.02</v>
      </c>
      <c r="G336" s="580"/>
      <c r="H336" s="576">
        <f>G336*$E336</f>
        <v>0</v>
      </c>
      <c r="I336" s="576"/>
      <c r="J336" s="576">
        <f>I336*$E336</f>
        <v>0</v>
      </c>
      <c r="K336" s="576"/>
      <c r="L336" s="576">
        <f>K336*$E336</f>
        <v>0</v>
      </c>
      <c r="M336" s="576">
        <f>D336</f>
        <v>6</v>
      </c>
      <c r="N336" s="576">
        <f t="shared" si="317"/>
        <v>88.02</v>
      </c>
      <c r="O336" s="576"/>
      <c r="P336" s="576">
        <f>O336*$E336</f>
        <v>0</v>
      </c>
      <c r="Q336" s="576"/>
      <c r="R336" s="577">
        <f>Q336*$E336</f>
        <v>0</v>
      </c>
      <c r="S336" s="578"/>
      <c r="T336" s="576">
        <f>S336*$E336</f>
        <v>0</v>
      </c>
      <c r="U336" s="576"/>
      <c r="V336" s="576">
        <f>U336*$E336</f>
        <v>0</v>
      </c>
      <c r="W336" s="576"/>
      <c r="X336" s="576">
        <f>W336*$E336</f>
        <v>0</v>
      </c>
      <c r="Y336" s="576"/>
      <c r="Z336" s="576">
        <f>Y336*$E336</f>
        <v>0</v>
      </c>
      <c r="AA336" s="576"/>
      <c r="AB336" s="576">
        <f>AA336*$E336</f>
        <v>0</v>
      </c>
      <c r="AC336" s="576"/>
      <c r="AD336" s="579">
        <f>AC336*$E336</f>
        <v>0</v>
      </c>
      <c r="AE336" s="580">
        <f>AC336+AA336+Y336+W336+U336+S336+Q336+O336+M336+K336+I336+G336</f>
        <v>6</v>
      </c>
      <c r="AF336" s="576">
        <f t="shared" si="319"/>
        <v>88.02</v>
      </c>
      <c r="AG336" s="576">
        <f>D336-AE336</f>
        <v>0</v>
      </c>
      <c r="AH336" s="579">
        <f>AG336*E336</f>
        <v>0</v>
      </c>
      <c r="AI336" s="603"/>
      <c r="AK336" s="617">
        <f t="shared" si="339"/>
        <v>0</v>
      </c>
    </row>
    <row r="337" spans="1:37" s="569" customFormat="1">
      <c r="A337" s="581" t="s">
        <v>27229</v>
      </c>
      <c r="B337" s="582"/>
      <c r="C337" s="583"/>
      <c r="D337" s="584"/>
      <c r="E337" s="584"/>
      <c r="F337" s="585">
        <f t="shared" si="316"/>
        <v>257661.93999999994</v>
      </c>
      <c r="G337" s="586"/>
      <c r="H337" s="584">
        <f>SUM(H274:H336)</f>
        <v>0</v>
      </c>
      <c r="I337" s="584"/>
      <c r="J337" s="584">
        <f>SUM(J274:J336)</f>
        <v>0</v>
      </c>
      <c r="K337" s="584"/>
      <c r="L337" s="584">
        <f>SUM(L274:L336)</f>
        <v>0</v>
      </c>
      <c r="M337" s="584"/>
      <c r="N337" s="584">
        <f>SUM(N274:N336)</f>
        <v>257661.93999999994</v>
      </c>
      <c r="O337" s="584"/>
      <c r="P337" s="584">
        <f>SUM(P274:P336)</f>
        <v>0</v>
      </c>
      <c r="Q337" s="584"/>
      <c r="R337" s="584">
        <f>SUM(R274:R336)</f>
        <v>0</v>
      </c>
      <c r="S337" s="588"/>
      <c r="T337" s="584">
        <f>SUM(T274:T336)</f>
        <v>0</v>
      </c>
      <c r="U337" s="584"/>
      <c r="V337" s="584">
        <f>SUM(V274:V336)</f>
        <v>0</v>
      </c>
      <c r="W337" s="584"/>
      <c r="X337" s="584">
        <f>SUM(X274:X336)</f>
        <v>0</v>
      </c>
      <c r="Y337" s="584"/>
      <c r="Z337" s="584">
        <f>SUM(Z274:Z336)</f>
        <v>0</v>
      </c>
      <c r="AA337" s="584"/>
      <c r="AB337" s="584">
        <f>SUM(AB274:AB336)</f>
        <v>0</v>
      </c>
      <c r="AC337" s="584"/>
      <c r="AD337" s="584">
        <f>SUM(AD274:AD336)</f>
        <v>0</v>
      </c>
      <c r="AE337" s="590"/>
      <c r="AF337" s="584">
        <f>SUM(AF274:AF336)</f>
        <v>257661.93999999994</v>
      </c>
      <c r="AG337" s="591"/>
      <c r="AH337" s="584">
        <f>SUM(AH274:AH336)</f>
        <v>0</v>
      </c>
      <c r="AI337" s="568"/>
      <c r="AK337" s="617">
        <f t="shared" si="339"/>
        <v>0</v>
      </c>
    </row>
    <row r="338" spans="1:37" s="604" customFormat="1">
      <c r="A338" s="570"/>
      <c r="B338" s="571"/>
      <c r="C338" s="572"/>
      <c r="D338" s="573"/>
      <c r="E338" s="573"/>
      <c r="F338" s="574"/>
      <c r="G338" s="580"/>
      <c r="H338" s="576"/>
      <c r="I338" s="576"/>
      <c r="J338" s="576"/>
      <c r="K338" s="576"/>
      <c r="L338" s="576"/>
      <c r="M338" s="576"/>
      <c r="N338" s="576"/>
      <c r="O338" s="576"/>
      <c r="P338" s="576"/>
      <c r="Q338" s="576"/>
      <c r="R338" s="577"/>
      <c r="S338" s="578"/>
      <c r="T338" s="576"/>
      <c r="U338" s="576"/>
      <c r="V338" s="576"/>
      <c r="W338" s="576"/>
      <c r="X338" s="576"/>
      <c r="Y338" s="576"/>
      <c r="Z338" s="576"/>
      <c r="AA338" s="576"/>
      <c r="AB338" s="576"/>
      <c r="AC338" s="576"/>
      <c r="AD338" s="579"/>
      <c r="AE338" s="580"/>
      <c r="AF338" s="576"/>
      <c r="AG338" s="576"/>
      <c r="AH338" s="579"/>
      <c r="AI338" s="603"/>
      <c r="AK338" s="617">
        <f t="shared" si="339"/>
        <v>0</v>
      </c>
    </row>
    <row r="339" spans="1:37" s="604" customFormat="1">
      <c r="A339" s="570" t="s">
        <v>14528</v>
      </c>
      <c r="B339" s="571" t="str">
        <f>PLANILHA!D337</f>
        <v>SERVIÇOS COMPLEMENTARES</v>
      </c>
      <c r="C339" s="572"/>
      <c r="D339" s="573"/>
      <c r="E339" s="573"/>
      <c r="F339" s="574">
        <f t="shared" ref="F339:F365" si="340">VLOOKUP(A339,PLANILHA,$G$6,0)</f>
        <v>0</v>
      </c>
      <c r="G339" s="580"/>
      <c r="H339" s="576"/>
      <c r="I339" s="576"/>
      <c r="J339" s="576"/>
      <c r="K339" s="576"/>
      <c r="L339" s="576"/>
      <c r="M339" s="576"/>
      <c r="N339" s="576"/>
      <c r="O339" s="576"/>
      <c r="P339" s="576"/>
      <c r="Q339" s="576"/>
      <c r="R339" s="577"/>
      <c r="S339" s="578"/>
      <c r="T339" s="576"/>
      <c r="U339" s="576"/>
      <c r="V339" s="576"/>
      <c r="W339" s="576"/>
      <c r="X339" s="576"/>
      <c r="Y339" s="576"/>
      <c r="Z339" s="576"/>
      <c r="AA339" s="576"/>
      <c r="AB339" s="576"/>
      <c r="AC339" s="576"/>
      <c r="AD339" s="579"/>
      <c r="AE339" s="580"/>
      <c r="AF339" s="576"/>
      <c r="AG339" s="576"/>
      <c r="AH339" s="579"/>
      <c r="AI339" s="603"/>
      <c r="AK339" s="617">
        <f t="shared" si="339"/>
        <v>0</v>
      </c>
    </row>
    <row r="340" spans="1:37" s="604" customFormat="1" ht="45">
      <c r="A340" s="570" t="s">
        <v>14529</v>
      </c>
      <c r="B340" s="571" t="str">
        <f>PLANILHA!D338</f>
        <v>ELETRODUTO FLEXÍVEL CORRUGADO, PEAD, DN 90 (3"), PARA REDE ENTERRADA DE DISTRIBUIÇÃO DE ENERGIA ELÉTRICA - FORNECIMENTO E INSTALAÇÃO. AF_12/2021</v>
      </c>
      <c r="C340" s="572" t="str">
        <f>PLANILHA!E338</f>
        <v>M</v>
      </c>
      <c r="D340" s="573">
        <f>PLANILHA!F338</f>
        <v>406</v>
      </c>
      <c r="E340" s="573">
        <f t="shared" ref="E340:E364" si="341">VLOOKUP(A340,PLANILHA,$G$7,0)</f>
        <v>16.57</v>
      </c>
      <c r="F340" s="574">
        <f t="shared" si="340"/>
        <v>6727.42</v>
      </c>
      <c r="G340" s="580"/>
      <c r="H340" s="576">
        <f t="shared" ref="H340:H350" si="342">G340*$E340</f>
        <v>0</v>
      </c>
      <c r="I340" s="576"/>
      <c r="J340" s="576">
        <f t="shared" ref="J340:J350" si="343">I340*$E340</f>
        <v>0</v>
      </c>
      <c r="K340" s="576"/>
      <c r="L340" s="576">
        <f t="shared" ref="L340:L350" si="344">K340*$E340</f>
        <v>0</v>
      </c>
      <c r="M340" s="576">
        <f>D340</f>
        <v>406</v>
      </c>
      <c r="N340" s="576">
        <f t="shared" ref="N340:N364" si="345">TRUNC(M340*$E340,2)</f>
        <v>6727.42</v>
      </c>
      <c r="O340" s="576"/>
      <c r="P340" s="576">
        <f t="shared" ref="P340:P350" si="346">O340*$E340</f>
        <v>0</v>
      </c>
      <c r="Q340" s="576"/>
      <c r="R340" s="577">
        <f t="shared" ref="R340:R350" si="347">Q340*$E340</f>
        <v>0</v>
      </c>
      <c r="S340" s="578"/>
      <c r="T340" s="576">
        <f t="shared" ref="T340:T350" si="348">S340*$E340</f>
        <v>0</v>
      </c>
      <c r="U340" s="576"/>
      <c r="V340" s="576">
        <f t="shared" ref="V340:V350" si="349">U340*$E340</f>
        <v>0</v>
      </c>
      <c r="W340" s="576"/>
      <c r="X340" s="576">
        <f t="shared" ref="X340:X350" si="350">W340*$E340</f>
        <v>0</v>
      </c>
      <c r="Y340" s="576"/>
      <c r="Z340" s="576">
        <f t="shared" ref="Z340:Z350" si="351">Y340*$E340</f>
        <v>0</v>
      </c>
      <c r="AA340" s="576"/>
      <c r="AB340" s="576">
        <f t="shared" ref="AB340:AB350" si="352">AA340*$E340</f>
        <v>0</v>
      </c>
      <c r="AC340" s="576"/>
      <c r="AD340" s="579">
        <f t="shared" ref="AD340:AD350" si="353">AC340*$E340</f>
        <v>0</v>
      </c>
      <c r="AE340" s="580">
        <f t="shared" ref="AE340:AE350" si="354">AC340+AA340+Y340+W340+U340+S340+Q340+O340+M340+K340+I340+G340</f>
        <v>406</v>
      </c>
      <c r="AF340" s="576">
        <f t="shared" ref="AF340:AF364" si="355">TRUNC(AE340*E340,2)</f>
        <v>6727.42</v>
      </c>
      <c r="AG340" s="576">
        <f t="shared" ref="AG340:AG350" si="356">D340-AE340</f>
        <v>0</v>
      </c>
      <c r="AH340" s="579">
        <f t="shared" ref="AH340:AH350" si="357">AG340*E340</f>
        <v>0</v>
      </c>
      <c r="AI340" s="603"/>
      <c r="AK340" s="617">
        <f t="shared" si="339"/>
        <v>0</v>
      </c>
    </row>
    <row r="341" spans="1:37" s="604" customFormat="1" ht="30">
      <c r="A341" s="570" t="s">
        <v>14530</v>
      </c>
      <c r="B341" s="571" t="str">
        <f>PLANILHA!D339</f>
        <v>ESCAVAÇÃO MANUAL DE VALA COM PROFUNDIDADE MENOR OU IGUAL A 1,30 M. AF_02/2021</v>
      </c>
      <c r="C341" s="572" t="str">
        <f>PLANILHA!E339</f>
        <v>M3</v>
      </c>
      <c r="D341" s="573">
        <f>PLANILHA!F339</f>
        <v>48.3</v>
      </c>
      <c r="E341" s="573">
        <f t="shared" si="341"/>
        <v>81.36</v>
      </c>
      <c r="F341" s="574">
        <f t="shared" si="340"/>
        <v>3929.68</v>
      </c>
      <c r="G341" s="580"/>
      <c r="H341" s="576">
        <f t="shared" si="342"/>
        <v>0</v>
      </c>
      <c r="I341" s="576"/>
      <c r="J341" s="576">
        <f t="shared" si="343"/>
        <v>0</v>
      </c>
      <c r="K341" s="576"/>
      <c r="L341" s="576">
        <f t="shared" si="344"/>
        <v>0</v>
      </c>
      <c r="M341" s="576">
        <f t="shared" ref="M341:M356" si="358">D341</f>
        <v>48.3</v>
      </c>
      <c r="N341" s="576">
        <f t="shared" si="345"/>
        <v>3929.68</v>
      </c>
      <c r="O341" s="576"/>
      <c r="P341" s="576">
        <f t="shared" si="346"/>
        <v>0</v>
      </c>
      <c r="Q341" s="576"/>
      <c r="R341" s="577">
        <f t="shared" si="347"/>
        <v>0</v>
      </c>
      <c r="S341" s="578"/>
      <c r="T341" s="576">
        <f t="shared" si="348"/>
        <v>0</v>
      </c>
      <c r="U341" s="576"/>
      <c r="V341" s="576">
        <f t="shared" si="349"/>
        <v>0</v>
      </c>
      <c r="W341" s="576"/>
      <c r="X341" s="576">
        <f t="shared" si="350"/>
        <v>0</v>
      </c>
      <c r="Y341" s="576"/>
      <c r="Z341" s="576">
        <f t="shared" si="351"/>
        <v>0</v>
      </c>
      <c r="AA341" s="576"/>
      <c r="AB341" s="576">
        <f t="shared" si="352"/>
        <v>0</v>
      </c>
      <c r="AC341" s="576"/>
      <c r="AD341" s="579">
        <f t="shared" si="353"/>
        <v>0</v>
      </c>
      <c r="AE341" s="580">
        <f t="shared" si="354"/>
        <v>48.3</v>
      </c>
      <c r="AF341" s="576">
        <f t="shared" si="355"/>
        <v>3929.68</v>
      </c>
      <c r="AG341" s="576">
        <f t="shared" si="356"/>
        <v>0</v>
      </c>
      <c r="AH341" s="579">
        <f t="shared" si="357"/>
        <v>0</v>
      </c>
      <c r="AI341" s="603"/>
      <c r="AK341" s="617">
        <f t="shared" si="339"/>
        <v>0</v>
      </c>
    </row>
    <row r="342" spans="1:37" s="604" customFormat="1" ht="30">
      <c r="A342" s="570" t="s">
        <v>14531</v>
      </c>
      <c r="B342" s="571" t="str">
        <f>PLANILHA!D340</f>
        <v>REATERRO MANUAL DE VALAS COM COMPACTAÇÃO MECANIZADA. AF_04/2016</v>
      </c>
      <c r="C342" s="572" t="str">
        <f>PLANILHA!E340</f>
        <v>M3</v>
      </c>
      <c r="D342" s="573">
        <f>PLANILHA!F340</f>
        <v>48.3</v>
      </c>
      <c r="E342" s="573">
        <f t="shared" si="341"/>
        <v>29.15</v>
      </c>
      <c r="F342" s="574">
        <f t="shared" si="340"/>
        <v>1407.94</v>
      </c>
      <c r="G342" s="580"/>
      <c r="H342" s="576">
        <f t="shared" si="342"/>
        <v>0</v>
      </c>
      <c r="I342" s="576"/>
      <c r="J342" s="576">
        <f t="shared" si="343"/>
        <v>0</v>
      </c>
      <c r="K342" s="576"/>
      <c r="L342" s="576">
        <f t="shared" si="344"/>
        <v>0</v>
      </c>
      <c r="M342" s="576">
        <f t="shared" si="358"/>
        <v>48.3</v>
      </c>
      <c r="N342" s="576">
        <f t="shared" si="345"/>
        <v>1407.94</v>
      </c>
      <c r="O342" s="576"/>
      <c r="P342" s="576">
        <f t="shared" si="346"/>
        <v>0</v>
      </c>
      <c r="Q342" s="576"/>
      <c r="R342" s="577">
        <f t="shared" si="347"/>
        <v>0</v>
      </c>
      <c r="S342" s="578"/>
      <c r="T342" s="576">
        <f t="shared" si="348"/>
        <v>0</v>
      </c>
      <c r="U342" s="576"/>
      <c r="V342" s="576">
        <f t="shared" si="349"/>
        <v>0</v>
      </c>
      <c r="W342" s="576"/>
      <c r="X342" s="576">
        <f t="shared" si="350"/>
        <v>0</v>
      </c>
      <c r="Y342" s="576"/>
      <c r="Z342" s="576">
        <f t="shared" si="351"/>
        <v>0</v>
      </c>
      <c r="AA342" s="576"/>
      <c r="AB342" s="576">
        <f t="shared" si="352"/>
        <v>0</v>
      </c>
      <c r="AC342" s="576"/>
      <c r="AD342" s="579">
        <f t="shared" si="353"/>
        <v>0</v>
      </c>
      <c r="AE342" s="580">
        <f t="shared" si="354"/>
        <v>48.3</v>
      </c>
      <c r="AF342" s="576">
        <f t="shared" si="355"/>
        <v>1407.94</v>
      </c>
      <c r="AG342" s="576">
        <f t="shared" si="356"/>
        <v>0</v>
      </c>
      <c r="AH342" s="579">
        <f t="shared" si="357"/>
        <v>0</v>
      </c>
      <c r="AI342" s="603"/>
      <c r="AK342" s="617">
        <f t="shared" si="339"/>
        <v>0</v>
      </c>
    </row>
    <row r="343" spans="1:37" s="604" customFormat="1" ht="45">
      <c r="A343" s="570" t="s">
        <v>14532</v>
      </c>
      <c r="B343" s="571" t="str">
        <f>PLANILHA!D341</f>
        <v>EXECUÇÃO DE PÁTIO/ESTACIONAMENTO EM PISO INTERTRAVADO, COM BLOCO RETANGULAR COR NATURAL DE 20 X 10 CM, ESPESSURA 6 CM. AF_12/2015</v>
      </c>
      <c r="C343" s="572" t="str">
        <f>PLANILHA!E341</f>
        <v>M2</v>
      </c>
      <c r="D343" s="573">
        <f>PLANILHA!F341</f>
        <v>46.2</v>
      </c>
      <c r="E343" s="573">
        <f t="shared" si="341"/>
        <v>83.63</v>
      </c>
      <c r="F343" s="574">
        <f t="shared" si="340"/>
        <v>3863.7</v>
      </c>
      <c r="G343" s="580"/>
      <c r="H343" s="576">
        <f t="shared" si="342"/>
        <v>0</v>
      </c>
      <c r="I343" s="576"/>
      <c r="J343" s="576">
        <f t="shared" si="343"/>
        <v>0</v>
      </c>
      <c r="K343" s="576"/>
      <c r="L343" s="576">
        <f t="shared" si="344"/>
        <v>0</v>
      </c>
      <c r="M343" s="576">
        <f t="shared" si="358"/>
        <v>46.2</v>
      </c>
      <c r="N343" s="576">
        <f t="shared" si="345"/>
        <v>3863.7</v>
      </c>
      <c r="O343" s="576"/>
      <c r="P343" s="576">
        <f t="shared" si="346"/>
        <v>0</v>
      </c>
      <c r="Q343" s="576"/>
      <c r="R343" s="577">
        <f t="shared" si="347"/>
        <v>0</v>
      </c>
      <c r="S343" s="578"/>
      <c r="T343" s="576">
        <f t="shared" si="348"/>
        <v>0</v>
      </c>
      <c r="U343" s="576"/>
      <c r="V343" s="576">
        <f t="shared" si="349"/>
        <v>0</v>
      </c>
      <c r="W343" s="576"/>
      <c r="X343" s="576">
        <f t="shared" si="350"/>
        <v>0</v>
      </c>
      <c r="Y343" s="576"/>
      <c r="Z343" s="576">
        <f t="shared" si="351"/>
        <v>0</v>
      </c>
      <c r="AA343" s="576"/>
      <c r="AB343" s="576">
        <f t="shared" si="352"/>
        <v>0</v>
      </c>
      <c r="AC343" s="576"/>
      <c r="AD343" s="579">
        <f t="shared" si="353"/>
        <v>0</v>
      </c>
      <c r="AE343" s="580">
        <f t="shared" si="354"/>
        <v>46.2</v>
      </c>
      <c r="AF343" s="576">
        <f t="shared" si="355"/>
        <v>3863.7</v>
      </c>
      <c r="AG343" s="576">
        <f t="shared" si="356"/>
        <v>0</v>
      </c>
      <c r="AH343" s="579">
        <f t="shared" si="357"/>
        <v>0</v>
      </c>
      <c r="AI343" s="603"/>
      <c r="AK343" s="617">
        <f t="shared" si="339"/>
        <v>0</v>
      </c>
    </row>
    <row r="344" spans="1:37" s="604" customFormat="1" ht="45">
      <c r="A344" s="570" t="s">
        <v>14533</v>
      </c>
      <c r="B344" s="571" t="str">
        <f>PLANILHA!D342</f>
        <v>EXECUÇÃO DE PASSEIO (CALÇADA) OU PISO DE CONCRETO COM CONCRETO MOLDADO IN LOCO, FEITO EM OBRA, ACABAMENTO CONVENCIONAL, ESPESSURA 6 CM, ARMADO. AF_07/2016</v>
      </c>
      <c r="C344" s="572" t="str">
        <f>PLANILHA!E342</f>
        <v>M2</v>
      </c>
      <c r="D344" s="573">
        <f>PLANILHA!F342</f>
        <v>34.299999999999997</v>
      </c>
      <c r="E344" s="573">
        <f t="shared" si="341"/>
        <v>124.89</v>
      </c>
      <c r="F344" s="574">
        <f t="shared" si="340"/>
        <v>4283.72</v>
      </c>
      <c r="G344" s="580"/>
      <c r="H344" s="576">
        <f t="shared" si="342"/>
        <v>0</v>
      </c>
      <c r="I344" s="576"/>
      <c r="J344" s="576">
        <f t="shared" si="343"/>
        <v>0</v>
      </c>
      <c r="K344" s="576"/>
      <c r="L344" s="576">
        <f t="shared" si="344"/>
        <v>0</v>
      </c>
      <c r="M344" s="576">
        <f t="shared" si="358"/>
        <v>34.299999999999997</v>
      </c>
      <c r="N344" s="576">
        <f t="shared" si="345"/>
        <v>4283.72</v>
      </c>
      <c r="O344" s="576"/>
      <c r="P344" s="576">
        <f t="shared" si="346"/>
        <v>0</v>
      </c>
      <c r="Q344" s="576"/>
      <c r="R344" s="577">
        <f t="shared" si="347"/>
        <v>0</v>
      </c>
      <c r="S344" s="578"/>
      <c r="T344" s="576">
        <f t="shared" si="348"/>
        <v>0</v>
      </c>
      <c r="U344" s="576"/>
      <c r="V344" s="576">
        <f t="shared" si="349"/>
        <v>0</v>
      </c>
      <c r="W344" s="576"/>
      <c r="X344" s="576">
        <f t="shared" si="350"/>
        <v>0</v>
      </c>
      <c r="Y344" s="576"/>
      <c r="Z344" s="576">
        <f t="shared" si="351"/>
        <v>0</v>
      </c>
      <c r="AA344" s="576"/>
      <c r="AB344" s="576">
        <f t="shared" si="352"/>
        <v>0</v>
      </c>
      <c r="AC344" s="576"/>
      <c r="AD344" s="579">
        <f t="shared" si="353"/>
        <v>0</v>
      </c>
      <c r="AE344" s="580">
        <f t="shared" si="354"/>
        <v>34.299999999999997</v>
      </c>
      <c r="AF344" s="576">
        <f t="shared" si="355"/>
        <v>4283.72</v>
      </c>
      <c r="AG344" s="576">
        <f t="shared" si="356"/>
        <v>0</v>
      </c>
      <c r="AH344" s="579">
        <f t="shared" si="357"/>
        <v>0</v>
      </c>
      <c r="AI344" s="603"/>
      <c r="AK344" s="617">
        <f t="shared" si="339"/>
        <v>0</v>
      </c>
    </row>
    <row r="345" spans="1:37" s="604" customFormat="1" ht="30">
      <c r="A345" s="570" t="s">
        <v>14534</v>
      </c>
      <c r="B345" s="571" t="str">
        <f>PLANILHA!D343</f>
        <v>EXECUÇÃO DE TAPA BURACO COM APLICAÇÃO DE PRÉ MISTURADO A FRIO (USINAGEM PRÓPRIA) E PINTURA DE LIGAÇÃO. AF_12/2020</v>
      </c>
      <c r="C345" s="572" t="str">
        <f>PLANILHA!E343</f>
        <v>M3</v>
      </c>
      <c r="D345" s="573">
        <f>PLANILHA!F343</f>
        <v>2.7</v>
      </c>
      <c r="E345" s="573">
        <f t="shared" si="341"/>
        <v>1147.49</v>
      </c>
      <c r="F345" s="574">
        <f t="shared" si="340"/>
        <v>3098.22</v>
      </c>
      <c r="G345" s="580"/>
      <c r="H345" s="576">
        <f t="shared" si="342"/>
        <v>0</v>
      </c>
      <c r="I345" s="576"/>
      <c r="J345" s="576">
        <f t="shared" si="343"/>
        <v>0</v>
      </c>
      <c r="K345" s="576"/>
      <c r="L345" s="576">
        <f t="shared" si="344"/>
        <v>0</v>
      </c>
      <c r="M345" s="576">
        <f t="shared" si="358"/>
        <v>2.7</v>
      </c>
      <c r="N345" s="576">
        <f t="shared" si="345"/>
        <v>3098.22</v>
      </c>
      <c r="O345" s="576"/>
      <c r="P345" s="576">
        <f t="shared" si="346"/>
        <v>0</v>
      </c>
      <c r="Q345" s="576"/>
      <c r="R345" s="577">
        <f t="shared" si="347"/>
        <v>0</v>
      </c>
      <c r="S345" s="578"/>
      <c r="T345" s="576">
        <f t="shared" si="348"/>
        <v>0</v>
      </c>
      <c r="U345" s="576"/>
      <c r="V345" s="576">
        <f t="shared" si="349"/>
        <v>0</v>
      </c>
      <c r="W345" s="576"/>
      <c r="X345" s="576">
        <f t="shared" si="350"/>
        <v>0</v>
      </c>
      <c r="Y345" s="576"/>
      <c r="Z345" s="576">
        <f t="shared" si="351"/>
        <v>0</v>
      </c>
      <c r="AA345" s="576"/>
      <c r="AB345" s="576">
        <f t="shared" si="352"/>
        <v>0</v>
      </c>
      <c r="AC345" s="576"/>
      <c r="AD345" s="579">
        <f t="shared" si="353"/>
        <v>0</v>
      </c>
      <c r="AE345" s="580">
        <f t="shared" si="354"/>
        <v>2.7</v>
      </c>
      <c r="AF345" s="576">
        <f t="shared" si="355"/>
        <v>3098.22</v>
      </c>
      <c r="AG345" s="576">
        <f t="shared" si="356"/>
        <v>0</v>
      </c>
      <c r="AH345" s="579">
        <f t="shared" si="357"/>
        <v>0</v>
      </c>
      <c r="AI345" s="603"/>
      <c r="AK345" s="617">
        <f t="shared" si="339"/>
        <v>0</v>
      </c>
    </row>
    <row r="346" spans="1:37" s="604" customFormat="1" ht="45">
      <c r="A346" s="570" t="s">
        <v>14535</v>
      </c>
      <c r="B346" s="571" t="str">
        <f>PLANILHA!D344</f>
        <v>EXECUÇÃO DE CANALETA DE CONCRETO MOLDADO IN LOCO, ESPESSURA DE 0,07 M, GEOMETRIA TRAPEZOIDAL (DIMENSÕES INTERNAS: B=0,9 M; B=0,246 M; H=0,3 M). AF_08/2021</v>
      </c>
      <c r="C346" s="572" t="str">
        <f>PLANILHA!E344</f>
        <v>M</v>
      </c>
      <c r="D346" s="573">
        <f>PLANILHA!F344</f>
        <v>132</v>
      </c>
      <c r="E346" s="573">
        <f t="shared" si="341"/>
        <v>77.39</v>
      </c>
      <c r="F346" s="574">
        <f t="shared" si="340"/>
        <v>10215.48</v>
      </c>
      <c r="G346" s="580"/>
      <c r="H346" s="576">
        <f t="shared" si="342"/>
        <v>0</v>
      </c>
      <c r="I346" s="576"/>
      <c r="J346" s="576">
        <f t="shared" si="343"/>
        <v>0</v>
      </c>
      <c r="K346" s="576"/>
      <c r="L346" s="576">
        <f t="shared" si="344"/>
        <v>0</v>
      </c>
      <c r="M346" s="576">
        <f t="shared" si="358"/>
        <v>132</v>
      </c>
      <c r="N346" s="576">
        <f t="shared" si="345"/>
        <v>10215.48</v>
      </c>
      <c r="O346" s="576"/>
      <c r="P346" s="576">
        <f t="shared" si="346"/>
        <v>0</v>
      </c>
      <c r="Q346" s="576"/>
      <c r="R346" s="577">
        <f t="shared" si="347"/>
        <v>0</v>
      </c>
      <c r="S346" s="578"/>
      <c r="T346" s="576">
        <f t="shared" si="348"/>
        <v>0</v>
      </c>
      <c r="U346" s="576"/>
      <c r="V346" s="576">
        <f t="shared" si="349"/>
        <v>0</v>
      </c>
      <c r="W346" s="576"/>
      <c r="X346" s="576">
        <f t="shared" si="350"/>
        <v>0</v>
      </c>
      <c r="Y346" s="576"/>
      <c r="Z346" s="576">
        <f t="shared" si="351"/>
        <v>0</v>
      </c>
      <c r="AA346" s="576"/>
      <c r="AB346" s="576">
        <f t="shared" si="352"/>
        <v>0</v>
      </c>
      <c r="AC346" s="576"/>
      <c r="AD346" s="579">
        <f t="shared" si="353"/>
        <v>0</v>
      </c>
      <c r="AE346" s="580">
        <f t="shared" si="354"/>
        <v>132</v>
      </c>
      <c r="AF346" s="576">
        <f t="shared" si="355"/>
        <v>10215.48</v>
      </c>
      <c r="AG346" s="576">
        <f t="shared" si="356"/>
        <v>0</v>
      </c>
      <c r="AH346" s="579">
        <f t="shared" si="357"/>
        <v>0</v>
      </c>
      <c r="AI346" s="603"/>
      <c r="AK346" s="617">
        <f t="shared" si="339"/>
        <v>0</v>
      </c>
    </row>
    <row r="347" spans="1:37" s="604" customFormat="1" ht="45">
      <c r="A347" s="570" t="s">
        <v>14536</v>
      </c>
      <c r="B347" s="571" t="str">
        <f>PLANILHA!D345</f>
        <v>ELETRODUTO RÍGIDO ROSCÁVEL, PVC, DN 85 MM (3"), PARA REDE ENTERRADA DE DISTRIBUIÇÃO DE ENERGIA ELÉTRICA - FORNECIMENTO E INSTALAÇÃO. AF_12/2021</v>
      </c>
      <c r="C347" s="572" t="str">
        <f>PLANILHA!E345</f>
        <v>M</v>
      </c>
      <c r="D347" s="573">
        <f>PLANILHA!F345</f>
        <v>29</v>
      </c>
      <c r="E347" s="573">
        <f t="shared" si="341"/>
        <v>44.23</v>
      </c>
      <c r="F347" s="574">
        <f t="shared" si="340"/>
        <v>1282.67</v>
      </c>
      <c r="G347" s="580"/>
      <c r="H347" s="576">
        <f t="shared" si="342"/>
        <v>0</v>
      </c>
      <c r="I347" s="576"/>
      <c r="J347" s="576">
        <f t="shared" si="343"/>
        <v>0</v>
      </c>
      <c r="K347" s="576"/>
      <c r="L347" s="576">
        <f t="shared" si="344"/>
        <v>0</v>
      </c>
      <c r="M347" s="576">
        <f t="shared" si="358"/>
        <v>29</v>
      </c>
      <c r="N347" s="576">
        <f t="shared" si="345"/>
        <v>1282.67</v>
      </c>
      <c r="O347" s="576"/>
      <c r="P347" s="576">
        <f t="shared" si="346"/>
        <v>0</v>
      </c>
      <c r="Q347" s="576"/>
      <c r="R347" s="577">
        <f t="shared" si="347"/>
        <v>0</v>
      </c>
      <c r="S347" s="578"/>
      <c r="T347" s="576">
        <f t="shared" si="348"/>
        <v>0</v>
      </c>
      <c r="U347" s="576"/>
      <c r="V347" s="576">
        <f t="shared" si="349"/>
        <v>0</v>
      </c>
      <c r="W347" s="576"/>
      <c r="X347" s="576">
        <f t="shared" si="350"/>
        <v>0</v>
      </c>
      <c r="Y347" s="576"/>
      <c r="Z347" s="576">
        <f t="shared" si="351"/>
        <v>0</v>
      </c>
      <c r="AA347" s="576"/>
      <c r="AB347" s="576">
        <f t="shared" si="352"/>
        <v>0</v>
      </c>
      <c r="AC347" s="576"/>
      <c r="AD347" s="579">
        <f t="shared" si="353"/>
        <v>0</v>
      </c>
      <c r="AE347" s="580">
        <f t="shared" si="354"/>
        <v>29</v>
      </c>
      <c r="AF347" s="576">
        <f t="shared" si="355"/>
        <v>1282.67</v>
      </c>
      <c r="AG347" s="576">
        <f t="shared" si="356"/>
        <v>0</v>
      </c>
      <c r="AH347" s="579">
        <f t="shared" si="357"/>
        <v>0</v>
      </c>
      <c r="AI347" s="603"/>
      <c r="AK347" s="617">
        <f t="shared" si="339"/>
        <v>0</v>
      </c>
    </row>
    <row r="348" spans="1:37" s="604" customFormat="1" ht="45">
      <c r="A348" s="570" t="s">
        <v>14537</v>
      </c>
      <c r="B348" s="571" t="str">
        <f>PLANILHA!D346</f>
        <v>ELETRODUTO RÍGIDO ROSCÁVEL, PVC, DN 40 MM (1 1/4"), PARA CIRCUITOS TERMINAIS, INSTALADO EM FORRO - FORNECIMENTO E INSTALAÇÃO. AF_12/2015</v>
      </c>
      <c r="C348" s="572" t="str">
        <f>PLANILHA!E346</f>
        <v>M</v>
      </c>
      <c r="D348" s="573">
        <f>PLANILHA!F346</f>
        <v>19.3</v>
      </c>
      <c r="E348" s="573">
        <f t="shared" si="341"/>
        <v>20.14</v>
      </c>
      <c r="F348" s="574">
        <f t="shared" si="340"/>
        <v>388.7</v>
      </c>
      <c r="G348" s="580"/>
      <c r="H348" s="576">
        <f t="shared" si="342"/>
        <v>0</v>
      </c>
      <c r="I348" s="576"/>
      <c r="J348" s="576">
        <f t="shared" si="343"/>
        <v>0</v>
      </c>
      <c r="K348" s="576"/>
      <c r="L348" s="576">
        <f t="shared" si="344"/>
        <v>0</v>
      </c>
      <c r="M348" s="576">
        <f t="shared" si="358"/>
        <v>19.3</v>
      </c>
      <c r="N348" s="576">
        <f t="shared" si="345"/>
        <v>388.7</v>
      </c>
      <c r="O348" s="576"/>
      <c r="P348" s="576">
        <f t="shared" si="346"/>
        <v>0</v>
      </c>
      <c r="Q348" s="576"/>
      <c r="R348" s="577">
        <f t="shared" si="347"/>
        <v>0</v>
      </c>
      <c r="S348" s="578"/>
      <c r="T348" s="576">
        <f t="shared" si="348"/>
        <v>0</v>
      </c>
      <c r="U348" s="576"/>
      <c r="V348" s="576">
        <f t="shared" si="349"/>
        <v>0</v>
      </c>
      <c r="W348" s="576"/>
      <c r="X348" s="576">
        <f t="shared" si="350"/>
        <v>0</v>
      </c>
      <c r="Y348" s="576"/>
      <c r="Z348" s="576">
        <f t="shared" si="351"/>
        <v>0</v>
      </c>
      <c r="AA348" s="576"/>
      <c r="AB348" s="576">
        <f t="shared" si="352"/>
        <v>0</v>
      </c>
      <c r="AC348" s="576"/>
      <c r="AD348" s="579">
        <f t="shared" si="353"/>
        <v>0</v>
      </c>
      <c r="AE348" s="580">
        <f t="shared" si="354"/>
        <v>19.3</v>
      </c>
      <c r="AF348" s="576">
        <f t="shared" si="355"/>
        <v>388.7</v>
      </c>
      <c r="AG348" s="576">
        <f t="shared" si="356"/>
        <v>0</v>
      </c>
      <c r="AH348" s="579">
        <f t="shared" si="357"/>
        <v>0</v>
      </c>
      <c r="AI348" s="603"/>
      <c r="AK348" s="617">
        <f t="shared" si="339"/>
        <v>0</v>
      </c>
    </row>
    <row r="349" spans="1:37" s="604" customFormat="1" ht="45">
      <c r="A349" s="570" t="s">
        <v>14538</v>
      </c>
      <c r="B349" s="571" t="str">
        <f>PLANILHA!D347</f>
        <v>ELETRODUTO RÍGIDO ROSCÁVEL, PVC, DN 32 MM (1"), PARA CIRCUITOS TERMINAIS, INSTALADO EM LAJE - FORNECIMENTO E INSTALAÇÃO. AF_12/2015</v>
      </c>
      <c r="C349" s="572" t="str">
        <f>PLANILHA!E347</f>
        <v>M</v>
      </c>
      <c r="D349" s="573">
        <f>PLANILHA!F347</f>
        <v>59.1</v>
      </c>
      <c r="E349" s="573">
        <f t="shared" si="341"/>
        <v>13.64</v>
      </c>
      <c r="F349" s="574">
        <f t="shared" si="340"/>
        <v>806.12</v>
      </c>
      <c r="G349" s="580"/>
      <c r="H349" s="576">
        <f t="shared" si="342"/>
        <v>0</v>
      </c>
      <c r="I349" s="576"/>
      <c r="J349" s="576">
        <f t="shared" si="343"/>
        <v>0</v>
      </c>
      <c r="K349" s="576"/>
      <c r="L349" s="576">
        <f t="shared" si="344"/>
        <v>0</v>
      </c>
      <c r="M349" s="576">
        <f t="shared" si="358"/>
        <v>59.1</v>
      </c>
      <c r="N349" s="576">
        <f t="shared" si="345"/>
        <v>806.12</v>
      </c>
      <c r="O349" s="576"/>
      <c r="P349" s="576">
        <f t="shared" si="346"/>
        <v>0</v>
      </c>
      <c r="Q349" s="576"/>
      <c r="R349" s="577">
        <f t="shared" si="347"/>
        <v>0</v>
      </c>
      <c r="S349" s="578"/>
      <c r="T349" s="576">
        <f t="shared" si="348"/>
        <v>0</v>
      </c>
      <c r="U349" s="576"/>
      <c r="V349" s="576">
        <f t="shared" si="349"/>
        <v>0</v>
      </c>
      <c r="W349" s="576"/>
      <c r="X349" s="576">
        <f t="shared" si="350"/>
        <v>0</v>
      </c>
      <c r="Y349" s="576"/>
      <c r="Z349" s="576">
        <f t="shared" si="351"/>
        <v>0</v>
      </c>
      <c r="AA349" s="576"/>
      <c r="AB349" s="576">
        <f t="shared" si="352"/>
        <v>0</v>
      </c>
      <c r="AC349" s="576"/>
      <c r="AD349" s="579">
        <f t="shared" si="353"/>
        <v>0</v>
      </c>
      <c r="AE349" s="580">
        <f t="shared" si="354"/>
        <v>59.1</v>
      </c>
      <c r="AF349" s="576">
        <f t="shared" si="355"/>
        <v>806.12</v>
      </c>
      <c r="AG349" s="576">
        <f t="shared" si="356"/>
        <v>0</v>
      </c>
      <c r="AH349" s="579">
        <f t="shared" si="357"/>
        <v>0</v>
      </c>
      <c r="AI349" s="603"/>
      <c r="AK349" s="617">
        <f t="shared" si="339"/>
        <v>0</v>
      </c>
    </row>
    <row r="350" spans="1:37" s="604" customFormat="1" ht="45">
      <c r="A350" s="570" t="s">
        <v>14539</v>
      </c>
      <c r="B350" s="571" t="str">
        <f>PLANILHA!D348</f>
        <v>ELETRODUTO RÍGIDO ROSCÁVEL, PVC, DN 25 MM (3/4"), PARA CIRCUITOS TERMINAIS, INSTALADO EM LAJE - FORNECIMENTO E INSTALAÇÃO. AF_12/2015</v>
      </c>
      <c r="C350" s="572" t="str">
        <f>PLANILHA!E348</f>
        <v>M</v>
      </c>
      <c r="D350" s="573">
        <f>PLANILHA!F348</f>
        <v>218</v>
      </c>
      <c r="E350" s="573">
        <f t="shared" si="341"/>
        <v>9.7200000000000006</v>
      </c>
      <c r="F350" s="574">
        <f t="shared" si="340"/>
        <v>2118.96</v>
      </c>
      <c r="G350" s="580"/>
      <c r="H350" s="576">
        <f t="shared" si="342"/>
        <v>0</v>
      </c>
      <c r="I350" s="576"/>
      <c r="J350" s="576">
        <f t="shared" si="343"/>
        <v>0</v>
      </c>
      <c r="K350" s="576"/>
      <c r="L350" s="576">
        <f t="shared" si="344"/>
        <v>0</v>
      </c>
      <c r="M350" s="576">
        <f t="shared" si="358"/>
        <v>218</v>
      </c>
      <c r="N350" s="576">
        <f t="shared" si="345"/>
        <v>2118.96</v>
      </c>
      <c r="O350" s="576"/>
      <c r="P350" s="576">
        <f t="shared" si="346"/>
        <v>0</v>
      </c>
      <c r="Q350" s="576"/>
      <c r="R350" s="577">
        <f t="shared" si="347"/>
        <v>0</v>
      </c>
      <c r="S350" s="578"/>
      <c r="T350" s="576">
        <f t="shared" si="348"/>
        <v>0</v>
      </c>
      <c r="U350" s="576"/>
      <c r="V350" s="576">
        <f t="shared" si="349"/>
        <v>0</v>
      </c>
      <c r="W350" s="576"/>
      <c r="X350" s="576">
        <f t="shared" si="350"/>
        <v>0</v>
      </c>
      <c r="Y350" s="576"/>
      <c r="Z350" s="576">
        <f t="shared" si="351"/>
        <v>0</v>
      </c>
      <c r="AA350" s="576"/>
      <c r="AB350" s="576">
        <f t="shared" si="352"/>
        <v>0</v>
      </c>
      <c r="AC350" s="576"/>
      <c r="AD350" s="579">
        <f t="shared" si="353"/>
        <v>0</v>
      </c>
      <c r="AE350" s="580">
        <f t="shared" si="354"/>
        <v>218</v>
      </c>
      <c r="AF350" s="576">
        <f t="shared" si="355"/>
        <v>2118.96</v>
      </c>
      <c r="AG350" s="576">
        <f t="shared" si="356"/>
        <v>0</v>
      </c>
      <c r="AH350" s="579">
        <f t="shared" si="357"/>
        <v>0</v>
      </c>
      <c r="AI350" s="603"/>
      <c r="AK350" s="617">
        <f t="shared" si="339"/>
        <v>0</v>
      </c>
    </row>
    <row r="351" spans="1:37" s="604" customFormat="1" ht="30">
      <c r="A351" s="570" t="s">
        <v>14540</v>
      </c>
      <c r="B351" s="571" t="str">
        <f>PLANILHA!D349</f>
        <v>LUMINÁRIA DE EMERGÊNCIA, COM 30 LÂMPADAS LED DE 2 W, SEM REATOR - FORNECIMENTO E INSTALAÇÃO. AF_02/2020</v>
      </c>
      <c r="C351" s="572" t="str">
        <f>PLANILHA!E349</f>
        <v>UN</v>
      </c>
      <c r="D351" s="573">
        <f>PLANILHA!F349</f>
        <v>9</v>
      </c>
      <c r="E351" s="573">
        <f t="shared" si="341"/>
        <v>29.16</v>
      </c>
      <c r="F351" s="574">
        <f t="shared" si="340"/>
        <v>262.44</v>
      </c>
      <c r="G351" s="580"/>
      <c r="H351" s="576">
        <f t="shared" ref="H351:H356" si="359">G351*$E351</f>
        <v>0</v>
      </c>
      <c r="I351" s="576"/>
      <c r="J351" s="576">
        <f t="shared" ref="J351:J356" si="360">I351*$E351</f>
        <v>0</v>
      </c>
      <c r="K351" s="576"/>
      <c r="L351" s="576">
        <f t="shared" ref="L351:L356" si="361">K351*$E351</f>
        <v>0</v>
      </c>
      <c r="M351" s="576">
        <f t="shared" si="358"/>
        <v>9</v>
      </c>
      <c r="N351" s="576">
        <f t="shared" si="345"/>
        <v>262.44</v>
      </c>
      <c r="O351" s="576"/>
      <c r="P351" s="576">
        <f t="shared" ref="P351:P356" si="362">O351*$E351</f>
        <v>0</v>
      </c>
      <c r="Q351" s="576"/>
      <c r="R351" s="577">
        <f t="shared" ref="R351:R356" si="363">Q351*$E351</f>
        <v>0</v>
      </c>
      <c r="S351" s="578"/>
      <c r="T351" s="576">
        <f t="shared" ref="T351:T356" si="364">S351*$E351</f>
        <v>0</v>
      </c>
      <c r="U351" s="576"/>
      <c r="V351" s="576">
        <f t="shared" ref="V351:V356" si="365">U351*$E351</f>
        <v>0</v>
      </c>
      <c r="W351" s="576"/>
      <c r="X351" s="576">
        <f t="shared" ref="X351:X356" si="366">W351*$E351</f>
        <v>0</v>
      </c>
      <c r="Y351" s="576"/>
      <c r="Z351" s="576">
        <f t="shared" ref="Z351:Z356" si="367">Y351*$E351</f>
        <v>0</v>
      </c>
      <c r="AA351" s="576"/>
      <c r="AB351" s="576">
        <f t="shared" ref="AB351:AB356" si="368">AA351*$E351</f>
        <v>0</v>
      </c>
      <c r="AC351" s="576"/>
      <c r="AD351" s="579">
        <f t="shared" ref="AD351:AD356" si="369">AC351*$E351</f>
        <v>0</v>
      </c>
      <c r="AE351" s="580">
        <f t="shared" ref="AE351:AE356" si="370">AC351+AA351+Y351+W351+U351+S351+Q351+O351+M351+K351+I351+G351</f>
        <v>9</v>
      </c>
      <c r="AF351" s="576">
        <f t="shared" si="355"/>
        <v>262.44</v>
      </c>
      <c r="AG351" s="576">
        <f t="shared" ref="AG351:AG356" si="371">D351-AE351</f>
        <v>0</v>
      </c>
      <c r="AH351" s="579">
        <f t="shared" ref="AH351:AH356" si="372">AG351*E351</f>
        <v>0</v>
      </c>
      <c r="AI351" s="603"/>
      <c r="AK351" s="617">
        <f t="shared" si="339"/>
        <v>0</v>
      </c>
    </row>
    <row r="352" spans="1:37" s="604" customFormat="1" ht="30">
      <c r="A352" s="570" t="s">
        <v>14541</v>
      </c>
      <c r="B352" s="571" t="str">
        <f>PLANILHA!D350</f>
        <v>Luminária LED SLIM de Sobrepor, MARCA AVANT OU SIMILAR. FORNECIMENTO E INSTALAÇÃO.</v>
      </c>
      <c r="C352" s="572" t="str">
        <f>PLANILHA!E350</f>
        <v>UND</v>
      </c>
      <c r="D352" s="573">
        <f>PLANILHA!F350</f>
        <v>42</v>
      </c>
      <c r="E352" s="573">
        <f t="shared" si="341"/>
        <v>76.08</v>
      </c>
      <c r="F352" s="574">
        <f t="shared" si="340"/>
        <v>3195.36</v>
      </c>
      <c r="G352" s="580"/>
      <c r="H352" s="576">
        <f t="shared" si="359"/>
        <v>0</v>
      </c>
      <c r="I352" s="576"/>
      <c r="J352" s="576">
        <f t="shared" si="360"/>
        <v>0</v>
      </c>
      <c r="K352" s="576"/>
      <c r="L352" s="576">
        <f t="shared" si="361"/>
        <v>0</v>
      </c>
      <c r="M352" s="576">
        <f t="shared" si="358"/>
        <v>42</v>
      </c>
      <c r="N352" s="576">
        <f t="shared" si="345"/>
        <v>3195.36</v>
      </c>
      <c r="O352" s="576"/>
      <c r="P352" s="576">
        <f t="shared" si="362"/>
        <v>0</v>
      </c>
      <c r="Q352" s="576"/>
      <c r="R352" s="577">
        <f t="shared" si="363"/>
        <v>0</v>
      </c>
      <c r="S352" s="578"/>
      <c r="T352" s="576">
        <f t="shared" si="364"/>
        <v>0</v>
      </c>
      <c r="U352" s="576"/>
      <c r="V352" s="576">
        <f t="shared" si="365"/>
        <v>0</v>
      </c>
      <c r="W352" s="576"/>
      <c r="X352" s="576">
        <f t="shared" si="366"/>
        <v>0</v>
      </c>
      <c r="Y352" s="576"/>
      <c r="Z352" s="576">
        <f t="shared" si="367"/>
        <v>0</v>
      </c>
      <c r="AA352" s="576"/>
      <c r="AB352" s="576">
        <f t="shared" si="368"/>
        <v>0</v>
      </c>
      <c r="AC352" s="576"/>
      <c r="AD352" s="579">
        <f t="shared" si="369"/>
        <v>0</v>
      </c>
      <c r="AE352" s="580">
        <f t="shared" si="370"/>
        <v>42</v>
      </c>
      <c r="AF352" s="576">
        <f t="shared" si="355"/>
        <v>3195.36</v>
      </c>
      <c r="AG352" s="576">
        <f t="shared" si="371"/>
        <v>0</v>
      </c>
      <c r="AH352" s="579">
        <f t="shared" si="372"/>
        <v>0</v>
      </c>
      <c r="AI352" s="603"/>
      <c r="AK352" s="617">
        <f t="shared" si="339"/>
        <v>0</v>
      </c>
    </row>
    <row r="353" spans="1:37" s="604" customFormat="1" ht="30">
      <c r="A353" s="570" t="s">
        <v>14542</v>
      </c>
      <c r="B353" s="571" t="str">
        <f>PLANILHA!D351</f>
        <v>Luminária LED externa,Refletor LED 100W. FORNECIMENTO E INSTALAÇÃO.</v>
      </c>
      <c r="C353" s="572" t="str">
        <f>PLANILHA!E351</f>
        <v>UND</v>
      </c>
      <c r="D353" s="573">
        <f>PLANILHA!F351</f>
        <v>7</v>
      </c>
      <c r="E353" s="573">
        <f t="shared" si="341"/>
        <v>166.55</v>
      </c>
      <c r="F353" s="574">
        <f t="shared" si="340"/>
        <v>1165.8499999999999</v>
      </c>
      <c r="G353" s="580"/>
      <c r="H353" s="576">
        <f t="shared" si="359"/>
        <v>0</v>
      </c>
      <c r="I353" s="576"/>
      <c r="J353" s="576">
        <f t="shared" si="360"/>
        <v>0</v>
      </c>
      <c r="K353" s="576"/>
      <c r="L353" s="576">
        <f t="shared" si="361"/>
        <v>0</v>
      </c>
      <c r="M353" s="576">
        <f t="shared" si="358"/>
        <v>7</v>
      </c>
      <c r="N353" s="576">
        <f t="shared" si="345"/>
        <v>1165.8499999999999</v>
      </c>
      <c r="O353" s="576"/>
      <c r="P353" s="576">
        <f t="shared" si="362"/>
        <v>0</v>
      </c>
      <c r="Q353" s="576"/>
      <c r="R353" s="577">
        <f t="shared" si="363"/>
        <v>0</v>
      </c>
      <c r="S353" s="578"/>
      <c r="T353" s="576">
        <f t="shared" si="364"/>
        <v>0</v>
      </c>
      <c r="U353" s="576"/>
      <c r="V353" s="576">
        <f t="shared" si="365"/>
        <v>0</v>
      </c>
      <c r="W353" s="576"/>
      <c r="X353" s="576">
        <f t="shared" si="366"/>
        <v>0</v>
      </c>
      <c r="Y353" s="576"/>
      <c r="Z353" s="576">
        <f t="shared" si="367"/>
        <v>0</v>
      </c>
      <c r="AA353" s="576"/>
      <c r="AB353" s="576">
        <f t="shared" si="368"/>
        <v>0</v>
      </c>
      <c r="AC353" s="576"/>
      <c r="AD353" s="579">
        <f t="shared" si="369"/>
        <v>0</v>
      </c>
      <c r="AE353" s="580">
        <f t="shared" si="370"/>
        <v>7</v>
      </c>
      <c r="AF353" s="576">
        <f t="shared" si="355"/>
        <v>1165.8499999999999</v>
      </c>
      <c r="AG353" s="576">
        <f t="shared" si="371"/>
        <v>0</v>
      </c>
      <c r="AH353" s="579">
        <f t="shared" si="372"/>
        <v>0</v>
      </c>
      <c r="AI353" s="603"/>
      <c r="AK353" s="617">
        <f t="shared" si="339"/>
        <v>0</v>
      </c>
    </row>
    <row r="354" spans="1:37" s="604" customFormat="1" ht="30">
      <c r="A354" s="570" t="s">
        <v>14565</v>
      </c>
      <c r="B354" s="571" t="str">
        <f>PLANILHA!D352</f>
        <v>Luminária LED externa,Refletor LED 150W. FORNECIMENTO E INSTALAÇÃO.</v>
      </c>
      <c r="C354" s="572" t="str">
        <f>PLANILHA!E352</f>
        <v>UND</v>
      </c>
      <c r="D354" s="573">
        <f>PLANILHA!F352</f>
        <v>11</v>
      </c>
      <c r="E354" s="573">
        <f t="shared" si="341"/>
        <v>358.01</v>
      </c>
      <c r="F354" s="574">
        <f t="shared" si="340"/>
        <v>3938.11</v>
      </c>
      <c r="G354" s="580"/>
      <c r="H354" s="576">
        <f t="shared" si="359"/>
        <v>0</v>
      </c>
      <c r="I354" s="576"/>
      <c r="J354" s="576">
        <f t="shared" si="360"/>
        <v>0</v>
      </c>
      <c r="K354" s="576"/>
      <c r="L354" s="576">
        <f t="shared" si="361"/>
        <v>0</v>
      </c>
      <c r="M354" s="576">
        <f t="shared" si="358"/>
        <v>11</v>
      </c>
      <c r="N354" s="576">
        <f t="shared" si="345"/>
        <v>3938.11</v>
      </c>
      <c r="O354" s="576"/>
      <c r="P354" s="576">
        <f t="shared" si="362"/>
        <v>0</v>
      </c>
      <c r="Q354" s="576"/>
      <c r="R354" s="577">
        <f t="shared" si="363"/>
        <v>0</v>
      </c>
      <c r="S354" s="578"/>
      <c r="T354" s="576">
        <f t="shared" si="364"/>
        <v>0</v>
      </c>
      <c r="U354" s="576"/>
      <c r="V354" s="576">
        <f t="shared" si="365"/>
        <v>0</v>
      </c>
      <c r="W354" s="576"/>
      <c r="X354" s="576">
        <f t="shared" si="366"/>
        <v>0</v>
      </c>
      <c r="Y354" s="576"/>
      <c r="Z354" s="576">
        <f t="shared" si="367"/>
        <v>0</v>
      </c>
      <c r="AA354" s="576"/>
      <c r="AB354" s="576">
        <f t="shared" si="368"/>
        <v>0</v>
      </c>
      <c r="AC354" s="576"/>
      <c r="AD354" s="579">
        <f t="shared" si="369"/>
        <v>0</v>
      </c>
      <c r="AE354" s="580">
        <f t="shared" si="370"/>
        <v>11</v>
      </c>
      <c r="AF354" s="576">
        <f t="shared" si="355"/>
        <v>3938.11</v>
      </c>
      <c r="AG354" s="576">
        <f t="shared" si="371"/>
        <v>0</v>
      </c>
      <c r="AH354" s="579">
        <f t="shared" si="372"/>
        <v>0</v>
      </c>
      <c r="AI354" s="603"/>
      <c r="AK354" s="617">
        <f t="shared" si="339"/>
        <v>0</v>
      </c>
    </row>
    <row r="355" spans="1:37" s="604" customFormat="1" ht="30">
      <c r="A355" s="570" t="s">
        <v>14566</v>
      </c>
      <c r="B355" s="571" t="str">
        <f>PLANILHA!D353</f>
        <v>FONTE 12V METALICA COLMEIA 25A 300W. FORNECIMENTO E INSTALAÇÃO.</v>
      </c>
      <c r="C355" s="572" t="str">
        <f>PLANILHA!E353</f>
        <v>UND</v>
      </c>
      <c r="D355" s="573">
        <f>PLANILHA!F353</f>
        <v>41</v>
      </c>
      <c r="E355" s="573">
        <f t="shared" si="341"/>
        <v>223.5</v>
      </c>
      <c r="F355" s="574">
        <f t="shared" si="340"/>
        <v>9163.5</v>
      </c>
      <c r="G355" s="580"/>
      <c r="H355" s="576">
        <f t="shared" si="359"/>
        <v>0</v>
      </c>
      <c r="I355" s="576"/>
      <c r="J355" s="576">
        <f t="shared" si="360"/>
        <v>0</v>
      </c>
      <c r="K355" s="576"/>
      <c r="L355" s="576">
        <f t="shared" si="361"/>
        <v>0</v>
      </c>
      <c r="M355" s="576">
        <f t="shared" si="358"/>
        <v>41</v>
      </c>
      <c r="N355" s="576">
        <f t="shared" si="345"/>
        <v>9163.5</v>
      </c>
      <c r="O355" s="576"/>
      <c r="P355" s="576">
        <f t="shared" si="362"/>
        <v>0</v>
      </c>
      <c r="Q355" s="576"/>
      <c r="R355" s="577">
        <f t="shared" si="363"/>
        <v>0</v>
      </c>
      <c r="S355" s="578"/>
      <c r="T355" s="576">
        <f t="shared" si="364"/>
        <v>0</v>
      </c>
      <c r="U355" s="576"/>
      <c r="V355" s="576">
        <f t="shared" si="365"/>
        <v>0</v>
      </c>
      <c r="W355" s="576"/>
      <c r="X355" s="576">
        <f t="shared" si="366"/>
        <v>0</v>
      </c>
      <c r="Y355" s="576"/>
      <c r="Z355" s="576">
        <f t="shared" si="367"/>
        <v>0</v>
      </c>
      <c r="AA355" s="576"/>
      <c r="AB355" s="576">
        <f t="shared" si="368"/>
        <v>0</v>
      </c>
      <c r="AC355" s="576"/>
      <c r="AD355" s="579">
        <f t="shared" si="369"/>
        <v>0</v>
      </c>
      <c r="AE355" s="580">
        <f t="shared" si="370"/>
        <v>41</v>
      </c>
      <c r="AF355" s="576">
        <f t="shared" si="355"/>
        <v>9163.5</v>
      </c>
      <c r="AG355" s="576">
        <f t="shared" si="371"/>
        <v>0</v>
      </c>
      <c r="AH355" s="579">
        <f t="shared" si="372"/>
        <v>0</v>
      </c>
      <c r="AI355" s="603"/>
      <c r="AK355" s="617">
        <f t="shared" si="339"/>
        <v>0</v>
      </c>
    </row>
    <row r="356" spans="1:37" s="604" customFormat="1" ht="45">
      <c r="A356" s="570" t="s">
        <v>14567</v>
      </c>
      <c r="B356" s="571" t="str">
        <f>PLANILHA!D354</f>
        <v>CAIXA ENTERRADA ELÉTRICA RETANGULAR, EM ALVENARIA COM BLOCOS DE CONCRETO, FUNDO COM BRITA, DIMENSÕES INTERNAS: 0,4X0,4X0,4 M. AF_12/2020</v>
      </c>
      <c r="C356" s="572" t="str">
        <f>PLANILHA!E354</f>
        <v>UN</v>
      </c>
      <c r="D356" s="573">
        <f>PLANILHA!F354</f>
        <v>16</v>
      </c>
      <c r="E356" s="573">
        <f t="shared" si="341"/>
        <v>220.48</v>
      </c>
      <c r="F356" s="574">
        <f t="shared" si="340"/>
        <v>3527.68</v>
      </c>
      <c r="G356" s="580"/>
      <c r="H356" s="576">
        <f t="shared" si="359"/>
        <v>0</v>
      </c>
      <c r="I356" s="576"/>
      <c r="J356" s="576">
        <f t="shared" si="360"/>
        <v>0</v>
      </c>
      <c r="K356" s="576"/>
      <c r="L356" s="576">
        <f t="shared" si="361"/>
        <v>0</v>
      </c>
      <c r="M356" s="576">
        <f t="shared" si="358"/>
        <v>16</v>
      </c>
      <c r="N356" s="576">
        <f t="shared" si="345"/>
        <v>3527.68</v>
      </c>
      <c r="O356" s="576"/>
      <c r="P356" s="576">
        <f t="shared" si="362"/>
        <v>0</v>
      </c>
      <c r="Q356" s="576"/>
      <c r="R356" s="577">
        <f t="shared" si="363"/>
        <v>0</v>
      </c>
      <c r="S356" s="578"/>
      <c r="T356" s="576">
        <f t="shared" si="364"/>
        <v>0</v>
      </c>
      <c r="U356" s="576"/>
      <c r="V356" s="576">
        <f t="shared" si="365"/>
        <v>0</v>
      </c>
      <c r="W356" s="576"/>
      <c r="X356" s="576">
        <f t="shared" si="366"/>
        <v>0</v>
      </c>
      <c r="Y356" s="576"/>
      <c r="Z356" s="576">
        <f t="shared" si="367"/>
        <v>0</v>
      </c>
      <c r="AA356" s="576"/>
      <c r="AB356" s="576">
        <f t="shared" si="368"/>
        <v>0</v>
      </c>
      <c r="AC356" s="576"/>
      <c r="AD356" s="579">
        <f t="shared" si="369"/>
        <v>0</v>
      </c>
      <c r="AE356" s="580">
        <f t="shared" si="370"/>
        <v>16</v>
      </c>
      <c r="AF356" s="576">
        <f t="shared" si="355"/>
        <v>3527.68</v>
      </c>
      <c r="AG356" s="576">
        <f t="shared" si="371"/>
        <v>0</v>
      </c>
      <c r="AH356" s="579">
        <f t="shared" si="372"/>
        <v>0</v>
      </c>
      <c r="AI356" s="603"/>
      <c r="AK356" s="617">
        <f t="shared" si="339"/>
        <v>0</v>
      </c>
    </row>
    <row r="357" spans="1:37" s="604" customFormat="1" ht="45">
      <c r="A357" s="570" t="s">
        <v>14714</v>
      </c>
      <c r="B357" s="571" t="str">
        <f>PLANILHA!D355</f>
        <v>ELETRODUTO RÍGIDO ROSCÁVEL, PVC, DN 50 MM (1 1/2"), PARA REDE ENTERRADA DE DISTRIBUIÇÃO DE ENERGIA ELÉTRICA - FORNECIMENTO E INSTALAÇÃO. AF_12/2021</v>
      </c>
      <c r="C357" s="572" t="str">
        <f>PLANILHA!E355</f>
        <v>M</v>
      </c>
      <c r="D357" s="573">
        <f>PLANILHA!F355</f>
        <v>25</v>
      </c>
      <c r="E357" s="573">
        <f t="shared" si="341"/>
        <v>17.39</v>
      </c>
      <c r="F357" s="574">
        <f t="shared" si="340"/>
        <v>434.75</v>
      </c>
      <c r="G357" s="580"/>
      <c r="H357" s="576">
        <f t="shared" ref="H357:H364" si="373">G357*$E357</f>
        <v>0</v>
      </c>
      <c r="I357" s="576"/>
      <c r="J357" s="576">
        <f t="shared" ref="J357:J364" si="374">I357*$E357</f>
        <v>0</v>
      </c>
      <c r="K357" s="576"/>
      <c r="L357" s="576">
        <f t="shared" ref="L357:L364" si="375">K357*$E357</f>
        <v>0</v>
      </c>
      <c r="M357" s="576">
        <f t="shared" ref="M357:M364" si="376">D357</f>
        <v>25</v>
      </c>
      <c r="N357" s="576">
        <f t="shared" si="345"/>
        <v>434.75</v>
      </c>
      <c r="O357" s="576"/>
      <c r="P357" s="576">
        <f t="shared" ref="P357:P364" si="377">O357*$E357</f>
        <v>0</v>
      </c>
      <c r="Q357" s="576"/>
      <c r="R357" s="577">
        <f t="shared" ref="R357:R364" si="378">Q357*$E357</f>
        <v>0</v>
      </c>
      <c r="S357" s="578"/>
      <c r="T357" s="576">
        <f t="shared" ref="T357:T364" si="379">S357*$E357</f>
        <v>0</v>
      </c>
      <c r="U357" s="576"/>
      <c r="V357" s="576">
        <f t="shared" ref="V357:V364" si="380">U357*$E357</f>
        <v>0</v>
      </c>
      <c r="W357" s="576"/>
      <c r="X357" s="576">
        <f t="shared" ref="X357:X364" si="381">W357*$E357</f>
        <v>0</v>
      </c>
      <c r="Y357" s="576"/>
      <c r="Z357" s="576">
        <f t="shared" ref="Z357:Z364" si="382">Y357*$E357</f>
        <v>0</v>
      </c>
      <c r="AA357" s="576"/>
      <c r="AB357" s="576">
        <f t="shared" ref="AB357:AB364" si="383">AA357*$E357</f>
        <v>0</v>
      </c>
      <c r="AC357" s="576"/>
      <c r="AD357" s="579">
        <f t="shared" ref="AD357:AD364" si="384">AC357*$E357</f>
        <v>0</v>
      </c>
      <c r="AE357" s="580">
        <f t="shared" ref="AE357:AE364" si="385">AC357+AA357+Y357+W357+U357+S357+Q357+O357+M357+K357+I357+G357</f>
        <v>25</v>
      </c>
      <c r="AF357" s="576">
        <f t="shared" si="355"/>
        <v>434.75</v>
      </c>
      <c r="AG357" s="576">
        <f t="shared" ref="AG357:AG364" si="386">D357-AE357</f>
        <v>0</v>
      </c>
      <c r="AH357" s="579">
        <f t="shared" ref="AH357:AH364" si="387">AG357*E357</f>
        <v>0</v>
      </c>
      <c r="AI357" s="603"/>
      <c r="AK357" s="617">
        <f t="shared" si="339"/>
        <v>0</v>
      </c>
    </row>
    <row r="358" spans="1:37" s="604" customFormat="1" ht="45">
      <c r="A358" s="570" t="s">
        <v>14715</v>
      </c>
      <c r="B358" s="571" t="str">
        <f>PLANILHA!D356</f>
        <v>ELETRODUTO RÍGIDO ROSCÁVEL, PVC, DN 75 MM (2 1/2"), PARA REDE ENTERRADA DE DISTRIBUIÇÃO DE ENERGIA ELÉTRICA - FORNECIMENTO E INSTALAÇÃO. AF_12/2021</v>
      </c>
      <c r="C358" s="572" t="str">
        <f>PLANILHA!E356</f>
        <v>M</v>
      </c>
      <c r="D358" s="573">
        <f>PLANILHA!F356</f>
        <v>6</v>
      </c>
      <c r="E358" s="573">
        <f t="shared" si="341"/>
        <v>36.11</v>
      </c>
      <c r="F358" s="574">
        <f t="shared" si="340"/>
        <v>216.66</v>
      </c>
      <c r="G358" s="580"/>
      <c r="H358" s="576">
        <f t="shared" si="373"/>
        <v>0</v>
      </c>
      <c r="I358" s="576"/>
      <c r="J358" s="576">
        <f t="shared" si="374"/>
        <v>0</v>
      </c>
      <c r="K358" s="576"/>
      <c r="L358" s="576">
        <f t="shared" si="375"/>
        <v>0</v>
      </c>
      <c r="M358" s="576">
        <f t="shared" si="376"/>
        <v>6</v>
      </c>
      <c r="N358" s="576">
        <f t="shared" si="345"/>
        <v>216.66</v>
      </c>
      <c r="O358" s="576"/>
      <c r="P358" s="576">
        <f t="shared" si="377"/>
        <v>0</v>
      </c>
      <c r="Q358" s="576"/>
      <c r="R358" s="577">
        <f t="shared" si="378"/>
        <v>0</v>
      </c>
      <c r="S358" s="578"/>
      <c r="T358" s="576">
        <f t="shared" si="379"/>
        <v>0</v>
      </c>
      <c r="U358" s="576"/>
      <c r="V358" s="576">
        <f t="shared" si="380"/>
        <v>0</v>
      </c>
      <c r="W358" s="576"/>
      <c r="X358" s="576">
        <f t="shared" si="381"/>
        <v>0</v>
      </c>
      <c r="Y358" s="576"/>
      <c r="Z358" s="576">
        <f t="shared" si="382"/>
        <v>0</v>
      </c>
      <c r="AA358" s="576"/>
      <c r="AB358" s="576">
        <f t="shared" si="383"/>
        <v>0</v>
      </c>
      <c r="AC358" s="576"/>
      <c r="AD358" s="579">
        <f t="shared" si="384"/>
        <v>0</v>
      </c>
      <c r="AE358" s="580">
        <f t="shared" si="385"/>
        <v>6</v>
      </c>
      <c r="AF358" s="576">
        <f t="shared" si="355"/>
        <v>216.66</v>
      </c>
      <c r="AG358" s="576">
        <f t="shared" si="386"/>
        <v>0</v>
      </c>
      <c r="AH358" s="579">
        <f t="shared" si="387"/>
        <v>0</v>
      </c>
      <c r="AI358" s="603"/>
      <c r="AK358" s="617">
        <f t="shared" si="339"/>
        <v>0</v>
      </c>
    </row>
    <row r="359" spans="1:37" s="604" customFormat="1" ht="45">
      <c r="A359" s="570" t="s">
        <v>14723</v>
      </c>
      <c r="B359" s="571" t="str">
        <f>PLANILHA!D357</f>
        <v>CAIXA ENTERRADA ELÉTRICA RETANGULAR, EM ALVENARIA COM BLOCOS DE CONCRETO, FUNDO COM BRITA, DIMENSÕES INTERNAS: 0,6X0,6X0,6 M. AF_12/2020</v>
      </c>
      <c r="C359" s="572" t="str">
        <f>PLANILHA!E357</f>
        <v>UN</v>
      </c>
      <c r="D359" s="573">
        <f>PLANILHA!F357</f>
        <v>2</v>
      </c>
      <c r="E359" s="573">
        <f t="shared" si="341"/>
        <v>414.54</v>
      </c>
      <c r="F359" s="574">
        <f t="shared" si="340"/>
        <v>829.08</v>
      </c>
      <c r="G359" s="580"/>
      <c r="H359" s="576">
        <f t="shared" si="373"/>
        <v>0</v>
      </c>
      <c r="I359" s="576"/>
      <c r="J359" s="576">
        <f t="shared" si="374"/>
        <v>0</v>
      </c>
      <c r="K359" s="576"/>
      <c r="L359" s="576">
        <f t="shared" si="375"/>
        <v>0</v>
      </c>
      <c r="M359" s="576">
        <f t="shared" si="376"/>
        <v>2</v>
      </c>
      <c r="N359" s="576">
        <f t="shared" si="345"/>
        <v>829.08</v>
      </c>
      <c r="O359" s="576"/>
      <c r="P359" s="576">
        <f t="shared" si="377"/>
        <v>0</v>
      </c>
      <c r="Q359" s="576"/>
      <c r="R359" s="577">
        <f t="shared" si="378"/>
        <v>0</v>
      </c>
      <c r="S359" s="578"/>
      <c r="T359" s="576">
        <f t="shared" si="379"/>
        <v>0</v>
      </c>
      <c r="U359" s="576"/>
      <c r="V359" s="576">
        <f t="shared" si="380"/>
        <v>0</v>
      </c>
      <c r="W359" s="576"/>
      <c r="X359" s="576">
        <f t="shared" si="381"/>
        <v>0</v>
      </c>
      <c r="Y359" s="576"/>
      <c r="Z359" s="576">
        <f t="shared" si="382"/>
        <v>0</v>
      </c>
      <c r="AA359" s="576"/>
      <c r="AB359" s="576">
        <f t="shared" si="383"/>
        <v>0</v>
      </c>
      <c r="AC359" s="576"/>
      <c r="AD359" s="579">
        <f t="shared" si="384"/>
        <v>0</v>
      </c>
      <c r="AE359" s="580">
        <f t="shared" si="385"/>
        <v>2</v>
      </c>
      <c r="AF359" s="576">
        <f t="shared" si="355"/>
        <v>829.08</v>
      </c>
      <c r="AG359" s="576">
        <f t="shared" si="386"/>
        <v>0</v>
      </c>
      <c r="AH359" s="579">
        <f t="shared" si="387"/>
        <v>0</v>
      </c>
      <c r="AI359" s="603"/>
      <c r="AK359" s="617">
        <f t="shared" si="339"/>
        <v>0</v>
      </c>
    </row>
    <row r="360" spans="1:37" s="604" customFormat="1">
      <c r="A360" s="570" t="s">
        <v>14724</v>
      </c>
      <c r="B360" s="571" t="str">
        <f>PLANILHA!D358</f>
        <v>CONVERSOR BALUM RJ45/P4, FORNECIMENTO E INSTALAÇÃO.</v>
      </c>
      <c r="C360" s="572" t="str">
        <f>PLANILHA!E358</f>
        <v>UND</v>
      </c>
      <c r="D360" s="573">
        <f>PLANILHA!F358</f>
        <v>6</v>
      </c>
      <c r="E360" s="573">
        <f t="shared" si="341"/>
        <v>69.59</v>
      </c>
      <c r="F360" s="574">
        <f t="shared" si="340"/>
        <v>417.54</v>
      </c>
      <c r="G360" s="580"/>
      <c r="H360" s="576">
        <f t="shared" si="373"/>
        <v>0</v>
      </c>
      <c r="I360" s="576"/>
      <c r="J360" s="576">
        <f t="shared" si="374"/>
        <v>0</v>
      </c>
      <c r="K360" s="576"/>
      <c r="L360" s="576">
        <f t="shared" si="375"/>
        <v>0</v>
      </c>
      <c r="M360" s="576">
        <f t="shared" si="376"/>
        <v>6</v>
      </c>
      <c r="N360" s="576">
        <f t="shared" si="345"/>
        <v>417.54</v>
      </c>
      <c r="O360" s="576"/>
      <c r="P360" s="576">
        <f t="shared" si="377"/>
        <v>0</v>
      </c>
      <c r="Q360" s="576"/>
      <c r="R360" s="577">
        <f t="shared" si="378"/>
        <v>0</v>
      </c>
      <c r="S360" s="578"/>
      <c r="T360" s="576">
        <f t="shared" si="379"/>
        <v>0</v>
      </c>
      <c r="U360" s="576"/>
      <c r="V360" s="576">
        <f t="shared" si="380"/>
        <v>0</v>
      </c>
      <c r="W360" s="576"/>
      <c r="X360" s="576">
        <f t="shared" si="381"/>
        <v>0</v>
      </c>
      <c r="Y360" s="576"/>
      <c r="Z360" s="576">
        <f t="shared" si="382"/>
        <v>0</v>
      </c>
      <c r="AA360" s="576"/>
      <c r="AB360" s="576">
        <f t="shared" si="383"/>
        <v>0</v>
      </c>
      <c r="AC360" s="576"/>
      <c r="AD360" s="579">
        <f t="shared" si="384"/>
        <v>0</v>
      </c>
      <c r="AE360" s="580">
        <f t="shared" si="385"/>
        <v>6</v>
      </c>
      <c r="AF360" s="576">
        <f t="shared" si="355"/>
        <v>417.54</v>
      </c>
      <c r="AG360" s="576">
        <f t="shared" si="386"/>
        <v>0</v>
      </c>
      <c r="AH360" s="579">
        <f t="shared" si="387"/>
        <v>0</v>
      </c>
      <c r="AI360" s="603"/>
      <c r="AK360" s="617">
        <f t="shared" si="339"/>
        <v>0</v>
      </c>
    </row>
    <row r="361" spans="1:37" s="604" customFormat="1">
      <c r="A361" s="570" t="s">
        <v>14725</v>
      </c>
      <c r="B361" s="571" t="str">
        <f>PLANILHA!D359</f>
        <v>PATCH CORD 5,0M CAT 6, FORNECIMENTO E INSTALAÇÃO.</v>
      </c>
      <c r="C361" s="572" t="str">
        <f>PLANILHA!E359</f>
        <v>UND</v>
      </c>
      <c r="D361" s="573">
        <f>PLANILHA!F359</f>
        <v>16</v>
      </c>
      <c r="E361" s="573">
        <f t="shared" si="341"/>
        <v>32.54</v>
      </c>
      <c r="F361" s="574">
        <f t="shared" si="340"/>
        <v>520.64</v>
      </c>
      <c r="G361" s="580"/>
      <c r="H361" s="576">
        <f t="shared" si="373"/>
        <v>0</v>
      </c>
      <c r="I361" s="576"/>
      <c r="J361" s="576">
        <f t="shared" si="374"/>
        <v>0</v>
      </c>
      <c r="K361" s="576"/>
      <c r="L361" s="576">
        <f t="shared" si="375"/>
        <v>0</v>
      </c>
      <c r="M361" s="576">
        <f t="shared" si="376"/>
        <v>16</v>
      </c>
      <c r="N361" s="576">
        <f t="shared" si="345"/>
        <v>520.64</v>
      </c>
      <c r="O361" s="576"/>
      <c r="P361" s="576">
        <f t="shared" si="377"/>
        <v>0</v>
      </c>
      <c r="Q361" s="576"/>
      <c r="R361" s="577">
        <f t="shared" si="378"/>
        <v>0</v>
      </c>
      <c r="S361" s="578"/>
      <c r="T361" s="576">
        <f t="shared" si="379"/>
        <v>0</v>
      </c>
      <c r="U361" s="576"/>
      <c r="V361" s="576">
        <f t="shared" si="380"/>
        <v>0</v>
      </c>
      <c r="W361" s="576"/>
      <c r="X361" s="576">
        <f t="shared" si="381"/>
        <v>0</v>
      </c>
      <c r="Y361" s="576"/>
      <c r="Z361" s="576">
        <f t="shared" si="382"/>
        <v>0</v>
      </c>
      <c r="AA361" s="576"/>
      <c r="AB361" s="576">
        <f t="shared" si="383"/>
        <v>0</v>
      </c>
      <c r="AC361" s="576"/>
      <c r="AD361" s="579">
        <f t="shared" si="384"/>
        <v>0</v>
      </c>
      <c r="AE361" s="580">
        <f t="shared" si="385"/>
        <v>16</v>
      </c>
      <c r="AF361" s="576">
        <f t="shared" si="355"/>
        <v>520.64</v>
      </c>
      <c r="AG361" s="576">
        <f t="shared" si="386"/>
        <v>0</v>
      </c>
      <c r="AH361" s="579">
        <f t="shared" si="387"/>
        <v>0</v>
      </c>
      <c r="AI361" s="603"/>
      <c r="AK361" s="617">
        <f t="shared" si="339"/>
        <v>0</v>
      </c>
    </row>
    <row r="362" spans="1:37" s="604" customFormat="1" ht="30">
      <c r="A362" s="570" t="s">
        <v>14726</v>
      </c>
      <c r="B362" s="571" t="str">
        <f>PLANILHA!D360</f>
        <v xml:space="preserve"> PATCH PANEL 24 PORTAS, CATEGORIA "6" FURUKAWA, FORNECIMENTO E INSTALAÇÃO</v>
      </c>
      <c r="C362" s="572" t="str">
        <f>PLANILHA!E360</f>
        <v>UND</v>
      </c>
      <c r="D362" s="573">
        <f>PLANILHA!F360</f>
        <v>1</v>
      </c>
      <c r="E362" s="573">
        <f t="shared" si="341"/>
        <v>1511.63</v>
      </c>
      <c r="F362" s="574">
        <f t="shared" si="340"/>
        <v>1511.63</v>
      </c>
      <c r="G362" s="580"/>
      <c r="H362" s="576">
        <f t="shared" si="373"/>
        <v>0</v>
      </c>
      <c r="I362" s="576"/>
      <c r="J362" s="576">
        <f t="shared" si="374"/>
        <v>0</v>
      </c>
      <c r="K362" s="576"/>
      <c r="L362" s="576">
        <f t="shared" si="375"/>
        <v>0</v>
      </c>
      <c r="M362" s="576">
        <f t="shared" si="376"/>
        <v>1</v>
      </c>
      <c r="N362" s="576">
        <f t="shared" si="345"/>
        <v>1511.63</v>
      </c>
      <c r="O362" s="576"/>
      <c r="P362" s="576">
        <f t="shared" si="377"/>
        <v>0</v>
      </c>
      <c r="Q362" s="576"/>
      <c r="R362" s="577">
        <f t="shared" si="378"/>
        <v>0</v>
      </c>
      <c r="S362" s="578"/>
      <c r="T362" s="576">
        <f t="shared" si="379"/>
        <v>0</v>
      </c>
      <c r="U362" s="576"/>
      <c r="V362" s="576">
        <f t="shared" si="380"/>
        <v>0</v>
      </c>
      <c r="W362" s="576"/>
      <c r="X362" s="576">
        <f t="shared" si="381"/>
        <v>0</v>
      </c>
      <c r="Y362" s="576"/>
      <c r="Z362" s="576">
        <f t="shared" si="382"/>
        <v>0</v>
      </c>
      <c r="AA362" s="576"/>
      <c r="AB362" s="576">
        <f t="shared" si="383"/>
        <v>0</v>
      </c>
      <c r="AC362" s="576"/>
      <c r="AD362" s="579">
        <f t="shared" si="384"/>
        <v>0</v>
      </c>
      <c r="AE362" s="580">
        <f t="shared" si="385"/>
        <v>1</v>
      </c>
      <c r="AF362" s="576">
        <f t="shared" si="355"/>
        <v>1511.63</v>
      </c>
      <c r="AG362" s="576">
        <f t="shared" si="386"/>
        <v>0</v>
      </c>
      <c r="AH362" s="579">
        <f t="shared" si="387"/>
        <v>0</v>
      </c>
      <c r="AI362" s="603"/>
      <c r="AK362" s="617">
        <f t="shared" si="339"/>
        <v>0</v>
      </c>
    </row>
    <row r="363" spans="1:37" s="604" customFormat="1">
      <c r="A363" s="570" t="s">
        <v>14727</v>
      </c>
      <c r="B363" s="571" t="str">
        <f>PLANILHA!D361</f>
        <v>CABO UTP 4 PARES CAT 6, FORNECIMENTO E INSTALAÇÃO.</v>
      </c>
      <c r="C363" s="572" t="str">
        <f>PLANILHA!E361</f>
        <v>M</v>
      </c>
      <c r="D363" s="573">
        <f>PLANILHA!F361</f>
        <v>161</v>
      </c>
      <c r="E363" s="573">
        <f t="shared" si="341"/>
        <v>12.29</v>
      </c>
      <c r="F363" s="574">
        <f t="shared" si="340"/>
        <v>1978.69</v>
      </c>
      <c r="G363" s="580"/>
      <c r="H363" s="576">
        <f t="shared" si="373"/>
        <v>0</v>
      </c>
      <c r="I363" s="576"/>
      <c r="J363" s="576">
        <f t="shared" si="374"/>
        <v>0</v>
      </c>
      <c r="K363" s="576"/>
      <c r="L363" s="576">
        <f t="shared" si="375"/>
        <v>0</v>
      </c>
      <c r="M363" s="576">
        <f t="shared" si="376"/>
        <v>161</v>
      </c>
      <c r="N363" s="576">
        <f t="shared" si="345"/>
        <v>1978.69</v>
      </c>
      <c r="O363" s="576"/>
      <c r="P363" s="576">
        <f t="shared" si="377"/>
        <v>0</v>
      </c>
      <c r="Q363" s="576"/>
      <c r="R363" s="577">
        <f t="shared" si="378"/>
        <v>0</v>
      </c>
      <c r="S363" s="578"/>
      <c r="T363" s="576">
        <f t="shared" si="379"/>
        <v>0</v>
      </c>
      <c r="U363" s="576"/>
      <c r="V363" s="576">
        <f t="shared" si="380"/>
        <v>0</v>
      </c>
      <c r="W363" s="576"/>
      <c r="X363" s="576">
        <f t="shared" si="381"/>
        <v>0</v>
      </c>
      <c r="Y363" s="576"/>
      <c r="Z363" s="576">
        <f t="shared" si="382"/>
        <v>0</v>
      </c>
      <c r="AA363" s="576"/>
      <c r="AB363" s="576">
        <f t="shared" si="383"/>
        <v>0</v>
      </c>
      <c r="AC363" s="576"/>
      <c r="AD363" s="579">
        <f t="shared" si="384"/>
        <v>0</v>
      </c>
      <c r="AE363" s="580">
        <f t="shared" si="385"/>
        <v>161</v>
      </c>
      <c r="AF363" s="576">
        <f t="shared" si="355"/>
        <v>1978.69</v>
      </c>
      <c r="AG363" s="576">
        <f t="shared" si="386"/>
        <v>0</v>
      </c>
      <c r="AH363" s="579">
        <f t="shared" si="387"/>
        <v>0</v>
      </c>
      <c r="AI363" s="603"/>
      <c r="AK363" s="617">
        <f t="shared" si="339"/>
        <v>0</v>
      </c>
    </row>
    <row r="364" spans="1:37" s="604" customFormat="1" ht="45">
      <c r="A364" s="570" t="s">
        <v>14731</v>
      </c>
      <c r="B364" s="571" t="str">
        <f>PLANILHA!D362</f>
        <v>QUADRO DE DISTRIBUIÇÃO DE ENERGIA EM CHAPA DE AÇO GALVANIZADO, DE EMBUTIR, COM BARRAMENTO TRIFÁSICO, PARA 30 DISJUNTORES DIN 225A - FORNECIMENTO E INSTALAÇÃO. AF_10/2020</v>
      </c>
      <c r="C364" s="572" t="str">
        <f>PLANILHA!E362</f>
        <v>UN</v>
      </c>
      <c r="D364" s="573">
        <f>PLANILHA!F362</f>
        <v>10</v>
      </c>
      <c r="E364" s="573">
        <f t="shared" si="341"/>
        <v>1942.93</v>
      </c>
      <c r="F364" s="574">
        <f t="shared" si="340"/>
        <v>19429.3</v>
      </c>
      <c r="G364" s="580"/>
      <c r="H364" s="576">
        <f t="shared" si="373"/>
        <v>0</v>
      </c>
      <c r="I364" s="576"/>
      <c r="J364" s="576">
        <f t="shared" si="374"/>
        <v>0</v>
      </c>
      <c r="K364" s="576"/>
      <c r="L364" s="576">
        <f t="shared" si="375"/>
        <v>0</v>
      </c>
      <c r="M364" s="576">
        <f t="shared" si="376"/>
        <v>10</v>
      </c>
      <c r="N364" s="576">
        <f t="shared" si="345"/>
        <v>19429.3</v>
      </c>
      <c r="O364" s="576"/>
      <c r="P364" s="576">
        <f t="shared" si="377"/>
        <v>0</v>
      </c>
      <c r="Q364" s="576"/>
      <c r="R364" s="577">
        <f t="shared" si="378"/>
        <v>0</v>
      </c>
      <c r="S364" s="578"/>
      <c r="T364" s="576">
        <f t="shared" si="379"/>
        <v>0</v>
      </c>
      <c r="U364" s="576"/>
      <c r="V364" s="576">
        <f t="shared" si="380"/>
        <v>0</v>
      </c>
      <c r="W364" s="576"/>
      <c r="X364" s="576">
        <f t="shared" si="381"/>
        <v>0</v>
      </c>
      <c r="Y364" s="576"/>
      <c r="Z364" s="576">
        <f t="shared" si="382"/>
        <v>0</v>
      </c>
      <c r="AA364" s="576"/>
      <c r="AB364" s="576">
        <f t="shared" si="383"/>
        <v>0</v>
      </c>
      <c r="AC364" s="576"/>
      <c r="AD364" s="579">
        <f t="shared" si="384"/>
        <v>0</v>
      </c>
      <c r="AE364" s="580">
        <f t="shared" si="385"/>
        <v>10</v>
      </c>
      <c r="AF364" s="576">
        <f t="shared" si="355"/>
        <v>19429.3</v>
      </c>
      <c r="AG364" s="576">
        <f t="shared" si="386"/>
        <v>0</v>
      </c>
      <c r="AH364" s="579">
        <f t="shared" si="387"/>
        <v>0</v>
      </c>
      <c r="AI364" s="603"/>
      <c r="AK364" s="617">
        <f t="shared" si="339"/>
        <v>0</v>
      </c>
    </row>
    <row r="365" spans="1:37" s="569" customFormat="1">
      <c r="A365" s="581" t="s">
        <v>27230</v>
      </c>
      <c r="B365" s="582"/>
      <c r="C365" s="583"/>
      <c r="D365" s="584"/>
      <c r="E365" s="584"/>
      <c r="F365" s="585">
        <f t="shared" si="340"/>
        <v>84713.840000000011</v>
      </c>
      <c r="G365" s="586"/>
      <c r="H365" s="584">
        <f>SUM(H340:H364)</f>
        <v>0</v>
      </c>
      <c r="I365" s="584"/>
      <c r="J365" s="584">
        <f>SUM(J340:J364)</f>
        <v>0</v>
      </c>
      <c r="K365" s="584"/>
      <c r="L365" s="584">
        <f>SUM(L340:L364)</f>
        <v>0</v>
      </c>
      <c r="M365" s="584"/>
      <c r="N365" s="584">
        <f>SUM(N340:N364)</f>
        <v>84713.840000000011</v>
      </c>
      <c r="O365" s="584"/>
      <c r="P365" s="584">
        <f>SUM(P340:P364)</f>
        <v>0</v>
      </c>
      <c r="Q365" s="584"/>
      <c r="R365" s="584">
        <f>SUM(R340:R364)</f>
        <v>0</v>
      </c>
      <c r="S365" s="588"/>
      <c r="T365" s="584">
        <f>SUM(T340:T364)</f>
        <v>0</v>
      </c>
      <c r="U365" s="584"/>
      <c r="V365" s="584">
        <f>SUM(V340:V364)</f>
        <v>0</v>
      </c>
      <c r="W365" s="584"/>
      <c r="X365" s="584">
        <f>SUM(X340:X364)</f>
        <v>0</v>
      </c>
      <c r="Y365" s="584"/>
      <c r="Z365" s="584">
        <f>SUM(Z340:Z364)</f>
        <v>0</v>
      </c>
      <c r="AA365" s="584"/>
      <c r="AB365" s="584">
        <f>SUM(AB340:AB364)</f>
        <v>0</v>
      </c>
      <c r="AC365" s="584"/>
      <c r="AD365" s="584">
        <f>SUM(AD340:AD364)</f>
        <v>0</v>
      </c>
      <c r="AE365" s="590">
        <f>AC365+AA365+Y365+W365+U365+S365+Q365+O365+M365+K365+I365+G365</f>
        <v>0</v>
      </c>
      <c r="AF365" s="584">
        <f>SUM(AF340:AF364)</f>
        <v>84713.840000000011</v>
      </c>
      <c r="AG365" s="591">
        <f>D365-AE365</f>
        <v>0</v>
      </c>
      <c r="AH365" s="584">
        <f>SUM(AH340:AH364)</f>
        <v>0</v>
      </c>
      <c r="AI365" s="568"/>
      <c r="AK365" s="617">
        <f t="shared" si="339"/>
        <v>0</v>
      </c>
    </row>
    <row r="366" spans="1:37" s="604" customFormat="1">
      <c r="A366" s="605"/>
      <c r="B366" s="606"/>
      <c r="C366" s="607"/>
      <c r="D366" s="608"/>
      <c r="E366" s="608"/>
      <c r="F366" s="609"/>
      <c r="G366" s="610"/>
      <c r="H366" s="608"/>
      <c r="I366" s="608"/>
      <c r="J366" s="608"/>
      <c r="K366" s="608"/>
      <c r="L366" s="608"/>
      <c r="M366" s="608"/>
      <c r="N366" s="608"/>
      <c r="O366" s="608"/>
      <c r="P366" s="608"/>
      <c r="Q366" s="608"/>
      <c r="R366" s="611"/>
      <c r="S366" s="612"/>
      <c r="T366" s="608"/>
      <c r="U366" s="608"/>
      <c r="V366" s="608"/>
      <c r="W366" s="608"/>
      <c r="X366" s="608"/>
      <c r="Y366" s="608"/>
      <c r="Z366" s="608"/>
      <c r="AA366" s="608"/>
      <c r="AB366" s="608"/>
      <c r="AC366" s="608"/>
      <c r="AD366" s="609"/>
      <c r="AE366" s="613"/>
      <c r="AF366" s="608"/>
      <c r="AG366" s="469"/>
      <c r="AH366" s="609"/>
      <c r="AI366" s="603"/>
      <c r="AK366" s="617">
        <f t="shared" si="339"/>
        <v>0</v>
      </c>
    </row>
    <row r="367" spans="1:37" s="569" customFormat="1">
      <c r="A367" s="581" t="s">
        <v>14617</v>
      </c>
      <c r="B367" s="582"/>
      <c r="C367" s="583"/>
      <c r="D367" s="584"/>
      <c r="E367" s="584"/>
      <c r="F367" s="585">
        <f>VLOOKUP(A367,PLANILHA,$G$6,0)</f>
        <v>350544.81999999995</v>
      </c>
      <c r="G367" s="586"/>
      <c r="H367" s="584">
        <f>SUM(H259:H365)/2</f>
        <v>0</v>
      </c>
      <c r="I367" s="584"/>
      <c r="J367" s="584">
        <f>SUM(J259:J365)/2</f>
        <v>0</v>
      </c>
      <c r="K367" s="584"/>
      <c r="L367" s="584">
        <f>SUM(L259:L365)/2</f>
        <v>0</v>
      </c>
      <c r="M367" s="584"/>
      <c r="N367" s="584">
        <f>SUM(N259:N365)/2</f>
        <v>350544.81999999983</v>
      </c>
      <c r="O367" s="584"/>
      <c r="P367" s="584">
        <f>SUM(P259:P365)/2</f>
        <v>0</v>
      </c>
      <c r="Q367" s="584"/>
      <c r="R367" s="587">
        <f>SUM(R259:R365)/2</f>
        <v>0</v>
      </c>
      <c r="S367" s="588"/>
      <c r="T367" s="584">
        <f>SUM(T259:T365)/2</f>
        <v>0</v>
      </c>
      <c r="U367" s="584"/>
      <c r="V367" s="584">
        <f>SUM(V259:V365)/2</f>
        <v>0</v>
      </c>
      <c r="W367" s="584"/>
      <c r="X367" s="584">
        <f>SUM(X259:X365)/2</f>
        <v>0</v>
      </c>
      <c r="Y367" s="584"/>
      <c r="Z367" s="584">
        <f>SUM(Z259:Z365)/2</f>
        <v>0</v>
      </c>
      <c r="AA367" s="584"/>
      <c r="AB367" s="584">
        <f>SUM(AB259:AB365)/2</f>
        <v>0</v>
      </c>
      <c r="AC367" s="584"/>
      <c r="AD367" s="585">
        <f>SUM(AD259:AD365)/2</f>
        <v>0</v>
      </c>
      <c r="AE367" s="590"/>
      <c r="AF367" s="584">
        <f>SUM(AF259:AF365)/2</f>
        <v>350544.81999999983</v>
      </c>
      <c r="AG367" s="591"/>
      <c r="AH367" s="585">
        <f>SUM(AH259:AH365)/2</f>
        <v>0</v>
      </c>
      <c r="AI367" s="568"/>
      <c r="AK367" s="617">
        <f t="shared" si="339"/>
        <v>0</v>
      </c>
    </row>
    <row r="368" spans="1:37">
      <c r="A368" s="570"/>
      <c r="B368" s="571"/>
      <c r="C368" s="572"/>
      <c r="D368" s="573"/>
      <c r="E368" s="573"/>
      <c r="F368" s="574"/>
      <c r="G368" s="580"/>
      <c r="H368" s="573"/>
      <c r="I368" s="576"/>
      <c r="J368" s="573"/>
      <c r="K368" s="576"/>
      <c r="L368" s="573"/>
      <c r="M368" s="576"/>
      <c r="N368" s="573"/>
      <c r="O368" s="576"/>
      <c r="P368" s="573"/>
      <c r="Q368" s="576"/>
      <c r="R368" s="602"/>
      <c r="S368" s="578"/>
      <c r="T368" s="573"/>
      <c r="U368" s="576"/>
      <c r="V368" s="573"/>
      <c r="W368" s="576"/>
      <c r="X368" s="573"/>
      <c r="Y368" s="576"/>
      <c r="Z368" s="573"/>
      <c r="AA368" s="576"/>
      <c r="AB368" s="573"/>
      <c r="AC368" s="576"/>
      <c r="AD368" s="574"/>
      <c r="AE368" s="580"/>
      <c r="AF368" s="576"/>
      <c r="AG368" s="576"/>
      <c r="AH368" s="579"/>
      <c r="AK368" s="617">
        <f t="shared" si="339"/>
        <v>0</v>
      </c>
    </row>
    <row r="369" spans="1:37" s="569" customFormat="1">
      <c r="A369" s="558" t="s">
        <v>14032</v>
      </c>
      <c r="B369" s="559" t="str">
        <f>PLANILHA!D367</f>
        <v>INSTALAÇÕES HIDRÁULICAS</v>
      </c>
      <c r="C369" s="560"/>
      <c r="D369" s="561"/>
      <c r="E369" s="561"/>
      <c r="F369" s="562">
        <f>VLOOKUP(A369,PLANILHA,$G$6,0)</f>
        <v>0</v>
      </c>
      <c r="G369" s="563"/>
      <c r="H369" s="561"/>
      <c r="I369" s="564"/>
      <c r="J369" s="561"/>
      <c r="K369" s="564"/>
      <c r="L369" s="561"/>
      <c r="M369" s="564"/>
      <c r="N369" s="561"/>
      <c r="O369" s="564"/>
      <c r="P369" s="561"/>
      <c r="Q369" s="564"/>
      <c r="R369" s="614"/>
      <c r="S369" s="566"/>
      <c r="T369" s="561"/>
      <c r="U369" s="564"/>
      <c r="V369" s="561"/>
      <c r="W369" s="564"/>
      <c r="X369" s="561"/>
      <c r="Y369" s="564"/>
      <c r="Z369" s="561"/>
      <c r="AA369" s="564"/>
      <c r="AB369" s="561"/>
      <c r="AC369" s="564"/>
      <c r="AD369" s="562"/>
      <c r="AE369" s="563"/>
      <c r="AF369" s="564"/>
      <c r="AG369" s="564"/>
      <c r="AH369" s="567"/>
      <c r="AI369" s="568"/>
      <c r="AK369" s="617">
        <f t="shared" si="339"/>
        <v>0</v>
      </c>
    </row>
    <row r="370" spans="1:37">
      <c r="A370" s="570"/>
      <c r="B370" s="571"/>
      <c r="C370" s="572"/>
      <c r="D370" s="573"/>
      <c r="E370" s="573"/>
      <c r="F370" s="574"/>
      <c r="G370" s="580"/>
      <c r="H370" s="576"/>
      <c r="I370" s="576"/>
      <c r="J370" s="576"/>
      <c r="K370" s="576"/>
      <c r="L370" s="576"/>
      <c r="M370" s="576"/>
      <c r="N370" s="576"/>
      <c r="O370" s="576"/>
      <c r="P370" s="576"/>
      <c r="Q370" s="576"/>
      <c r="R370" s="577"/>
      <c r="S370" s="578"/>
      <c r="T370" s="576"/>
      <c r="U370" s="576"/>
      <c r="V370" s="576"/>
      <c r="W370" s="576"/>
      <c r="X370" s="576"/>
      <c r="Y370" s="576"/>
      <c r="Z370" s="576"/>
      <c r="AA370" s="576"/>
      <c r="AB370" s="576"/>
      <c r="AC370" s="576"/>
      <c r="AD370" s="579"/>
      <c r="AE370" s="580"/>
      <c r="AF370" s="576"/>
      <c r="AG370" s="576"/>
      <c r="AH370" s="579"/>
      <c r="AK370" s="617">
        <f t="shared" si="339"/>
        <v>0</v>
      </c>
    </row>
    <row r="371" spans="1:37" s="569" customFormat="1">
      <c r="A371" s="592" t="s">
        <v>14033</v>
      </c>
      <c r="B371" s="593" t="str">
        <f>PLANILHA!D368</f>
        <v>TUBULAÇÃO DE ALIMENTAÇÃO DO RESERVATÓRIO DE INCÊNDIO</v>
      </c>
      <c r="C371" s="594"/>
      <c r="D371" s="589"/>
      <c r="E371" s="589"/>
      <c r="F371" s="595">
        <f t="shared" ref="F371:F390" si="388">VLOOKUP(A371,PLANILHA,$G$6,0)</f>
        <v>0</v>
      </c>
      <c r="G371" s="596"/>
      <c r="H371" s="597"/>
      <c r="I371" s="597"/>
      <c r="J371" s="597"/>
      <c r="K371" s="597"/>
      <c r="L371" s="597"/>
      <c r="M371" s="597"/>
      <c r="N371" s="597"/>
      <c r="O371" s="597"/>
      <c r="P371" s="597"/>
      <c r="Q371" s="597"/>
      <c r="R371" s="598"/>
      <c r="S371" s="599"/>
      <c r="T371" s="597"/>
      <c r="U371" s="597"/>
      <c r="V371" s="597"/>
      <c r="W371" s="597"/>
      <c r="X371" s="597"/>
      <c r="Y371" s="597"/>
      <c r="Z371" s="597"/>
      <c r="AA371" s="597"/>
      <c r="AB371" s="597"/>
      <c r="AC371" s="597"/>
      <c r="AD371" s="600"/>
      <c r="AE371" s="596"/>
      <c r="AF371" s="597"/>
      <c r="AG371" s="597"/>
      <c r="AH371" s="600"/>
      <c r="AI371" s="568"/>
      <c r="AK371" s="617">
        <f t="shared" si="339"/>
        <v>0</v>
      </c>
    </row>
    <row r="372" spans="1:37" ht="30">
      <c r="A372" s="570" t="s">
        <v>14034</v>
      </c>
      <c r="B372" s="571" t="str">
        <f>PLANILHA!D369</f>
        <v>RASGO EM ALVENARIA PARA RAMAIS/ DISTRIBUIÇÃO COM DIAMETROS MENORES OU IGUAIS A 40 MM. AF_05/2015</v>
      </c>
      <c r="C372" s="572" t="str">
        <f>PLANILHA!E369</f>
        <v>M</v>
      </c>
      <c r="D372" s="573">
        <f>PLANILHA!F369</f>
        <v>9.3000000000000007</v>
      </c>
      <c r="E372" s="573">
        <f t="shared" ref="E372:E388" si="389">VLOOKUP(A372,PLANILHA,$G$7,0)</f>
        <v>13.01</v>
      </c>
      <c r="F372" s="574">
        <f t="shared" si="388"/>
        <v>120.99</v>
      </c>
      <c r="G372" s="580"/>
      <c r="H372" s="576">
        <f t="shared" ref="H372:H380" si="390">G372*$E372</f>
        <v>0</v>
      </c>
      <c r="I372" s="576"/>
      <c r="J372" s="576">
        <f t="shared" ref="J372:J380" si="391">I372*$E372</f>
        <v>0</v>
      </c>
      <c r="K372" s="576"/>
      <c r="L372" s="576">
        <f t="shared" ref="L372:L380" si="392">K372*$E372</f>
        <v>0</v>
      </c>
      <c r="M372" s="576">
        <f>D372</f>
        <v>9.3000000000000007</v>
      </c>
      <c r="N372" s="576">
        <f t="shared" ref="N372:N388" si="393">TRUNC(M372*$E372,2)</f>
        <v>120.99</v>
      </c>
      <c r="O372" s="576"/>
      <c r="P372" s="576">
        <f t="shared" ref="P372:P380" si="394">O372*$E372</f>
        <v>0</v>
      </c>
      <c r="Q372" s="576"/>
      <c r="R372" s="577">
        <f t="shared" ref="R372:R380" si="395">Q372*$E372</f>
        <v>0</v>
      </c>
      <c r="S372" s="578"/>
      <c r="T372" s="576">
        <f t="shared" ref="T372:T380" si="396">S372*$E372</f>
        <v>0</v>
      </c>
      <c r="U372" s="576"/>
      <c r="V372" s="576">
        <f t="shared" ref="V372:V380" si="397">U372*$E372</f>
        <v>0</v>
      </c>
      <c r="W372" s="576"/>
      <c r="X372" s="576">
        <f t="shared" ref="X372:X380" si="398">W372*$E372</f>
        <v>0</v>
      </c>
      <c r="Y372" s="576"/>
      <c r="Z372" s="576">
        <f t="shared" ref="Z372:Z380" si="399">Y372*$E372</f>
        <v>0</v>
      </c>
      <c r="AA372" s="576"/>
      <c r="AB372" s="576">
        <f t="shared" ref="AB372:AB380" si="400">AA372*$E372</f>
        <v>0</v>
      </c>
      <c r="AC372" s="576"/>
      <c r="AD372" s="579">
        <f t="shared" ref="AD372:AD380" si="401">AC372*$E372</f>
        <v>0</v>
      </c>
      <c r="AE372" s="580">
        <f t="shared" ref="AE372:AE380" si="402">AC372+AA372+Y372+W372+U372+S372+Q372+O372+M372+K372+I372+G372</f>
        <v>9.3000000000000007</v>
      </c>
      <c r="AF372" s="576">
        <f t="shared" ref="AF372:AF388" si="403">TRUNC(AE372*E372,2)</f>
        <v>120.99</v>
      </c>
      <c r="AG372" s="576">
        <f t="shared" ref="AG372:AG380" si="404">D372-AE372</f>
        <v>0</v>
      </c>
      <c r="AH372" s="579">
        <f t="shared" ref="AH372:AH380" si="405">AG372*E372</f>
        <v>0</v>
      </c>
      <c r="AK372" s="617">
        <f t="shared" si="339"/>
        <v>0</v>
      </c>
    </row>
    <row r="373" spans="1:37" ht="45">
      <c r="A373" s="570" t="s">
        <v>14035</v>
      </c>
      <c r="B373" s="571" t="str">
        <f>PLANILHA!D370</f>
        <v>RASGO EM CONTRAPISO PARA RAMAIS/ DISTRIBUIÇÃO COM DIÂMETROS MAIORES QUE 40 MM E MENORES OU IGUAIS A 75 MM. AF_05/2015</v>
      </c>
      <c r="C373" s="572" t="str">
        <f>PLANILHA!E370</f>
        <v>M</v>
      </c>
      <c r="D373" s="573">
        <f>PLANILHA!F370</f>
        <v>1.86</v>
      </c>
      <c r="E373" s="573">
        <f t="shared" si="389"/>
        <v>25.99</v>
      </c>
      <c r="F373" s="574">
        <f t="shared" si="388"/>
        <v>48.34</v>
      </c>
      <c r="G373" s="580"/>
      <c r="H373" s="576">
        <f>G373*$E373</f>
        <v>0</v>
      </c>
      <c r="I373" s="576"/>
      <c r="J373" s="576">
        <f>I373*$E373</f>
        <v>0</v>
      </c>
      <c r="K373" s="576"/>
      <c r="L373" s="576">
        <f>K373*$E373</f>
        <v>0</v>
      </c>
      <c r="M373" s="576">
        <f t="shared" ref="M373:M388" si="406">D373</f>
        <v>1.86</v>
      </c>
      <c r="N373" s="576">
        <f t="shared" si="393"/>
        <v>48.34</v>
      </c>
      <c r="O373" s="576"/>
      <c r="P373" s="576">
        <f>O373*$E373</f>
        <v>0</v>
      </c>
      <c r="Q373" s="576"/>
      <c r="R373" s="577">
        <f>Q373*$E373</f>
        <v>0</v>
      </c>
      <c r="S373" s="578"/>
      <c r="T373" s="576">
        <f>S373*$E373</f>
        <v>0</v>
      </c>
      <c r="U373" s="576"/>
      <c r="V373" s="576">
        <f>U373*$E373</f>
        <v>0</v>
      </c>
      <c r="W373" s="576"/>
      <c r="X373" s="576">
        <f>W373*$E373</f>
        <v>0</v>
      </c>
      <c r="Y373" s="576"/>
      <c r="Z373" s="576">
        <f>Y373*$E373</f>
        <v>0</v>
      </c>
      <c r="AA373" s="576"/>
      <c r="AB373" s="576">
        <f>AA373*$E373</f>
        <v>0</v>
      </c>
      <c r="AC373" s="576"/>
      <c r="AD373" s="579">
        <f>AC373*$E373</f>
        <v>0</v>
      </c>
      <c r="AE373" s="580">
        <f>AC373+AA373+Y373+W373+U373+S373+Q373+O373+M373+K373+I373+G373</f>
        <v>1.86</v>
      </c>
      <c r="AF373" s="576">
        <f t="shared" si="403"/>
        <v>48.34</v>
      </c>
      <c r="AG373" s="576">
        <f t="shared" si="404"/>
        <v>0</v>
      </c>
      <c r="AH373" s="579">
        <f t="shared" si="405"/>
        <v>0</v>
      </c>
      <c r="AK373" s="617">
        <f t="shared" si="339"/>
        <v>0</v>
      </c>
    </row>
    <row r="374" spans="1:37" ht="30">
      <c r="A374" s="570" t="s">
        <v>14036</v>
      </c>
      <c r="B374" s="571" t="str">
        <f>PLANILHA!D371</f>
        <v>RASGO EM CONTRAPISO PARA RAMAIS/ DISTRIBUIÇÃO COM DIÂMETROS MAIORES QUE 75 MM. AF_05/2015</v>
      </c>
      <c r="C374" s="572" t="str">
        <f>PLANILHA!E371</f>
        <v>M</v>
      </c>
      <c r="D374" s="573">
        <f>PLANILHA!F371</f>
        <v>14.12</v>
      </c>
      <c r="E374" s="573">
        <f t="shared" si="389"/>
        <v>28.23</v>
      </c>
      <c r="F374" s="574">
        <f t="shared" si="388"/>
        <v>398.6</v>
      </c>
      <c r="G374" s="580"/>
      <c r="H374" s="576">
        <f>G374*$E374</f>
        <v>0</v>
      </c>
      <c r="I374" s="576"/>
      <c r="J374" s="576">
        <f>I374*$E374</f>
        <v>0</v>
      </c>
      <c r="K374" s="576"/>
      <c r="L374" s="576">
        <f>K374*$E374</f>
        <v>0</v>
      </c>
      <c r="M374" s="576">
        <f t="shared" si="406"/>
        <v>14.12</v>
      </c>
      <c r="N374" s="576">
        <f t="shared" si="393"/>
        <v>398.6</v>
      </c>
      <c r="O374" s="576"/>
      <c r="P374" s="576">
        <f>O374*$E374</f>
        <v>0</v>
      </c>
      <c r="Q374" s="576"/>
      <c r="R374" s="577">
        <f>Q374*$E374</f>
        <v>0</v>
      </c>
      <c r="S374" s="578"/>
      <c r="T374" s="576">
        <f>S374*$E374</f>
        <v>0</v>
      </c>
      <c r="U374" s="576"/>
      <c r="V374" s="576">
        <f>U374*$E374</f>
        <v>0</v>
      </c>
      <c r="W374" s="576"/>
      <c r="X374" s="576">
        <f>W374*$E374</f>
        <v>0</v>
      </c>
      <c r="Y374" s="576"/>
      <c r="Z374" s="576">
        <f>Y374*$E374</f>
        <v>0</v>
      </c>
      <c r="AA374" s="576"/>
      <c r="AB374" s="576">
        <f>AA374*$E374</f>
        <v>0</v>
      </c>
      <c r="AC374" s="576"/>
      <c r="AD374" s="579">
        <f>AC374*$E374</f>
        <v>0</v>
      </c>
      <c r="AE374" s="580">
        <f>AC374+AA374+Y374+W374+U374+S374+Q374+O374+M374+K374+I374+G374</f>
        <v>14.12</v>
      </c>
      <c r="AF374" s="576">
        <f t="shared" si="403"/>
        <v>398.6</v>
      </c>
      <c r="AG374" s="576">
        <f t="shared" si="404"/>
        <v>0</v>
      </c>
      <c r="AH374" s="579">
        <f t="shared" si="405"/>
        <v>0</v>
      </c>
      <c r="AK374" s="617">
        <f t="shared" si="339"/>
        <v>0</v>
      </c>
    </row>
    <row r="375" spans="1:37" ht="45">
      <c r="A375" s="570" t="s">
        <v>14037</v>
      </c>
      <c r="B375" s="571" t="str">
        <f>PLANILHA!D372</f>
        <v>CHUMBAMENTO LINEAR EM CONTRAPISO PARA RAMAIS/DISTRIBUIÇÃO COM DIÂMETROS MENORES OU IGUAIS A 40 MM. AF_05/2015</v>
      </c>
      <c r="C375" s="572" t="str">
        <f>PLANILHA!E372</f>
        <v>M</v>
      </c>
      <c r="D375" s="573">
        <f>PLANILHA!F372</f>
        <v>9.3000000000000007</v>
      </c>
      <c r="E375" s="573">
        <f t="shared" si="389"/>
        <v>6.03</v>
      </c>
      <c r="F375" s="574">
        <f t="shared" si="388"/>
        <v>56.07</v>
      </c>
      <c r="G375" s="580"/>
      <c r="H375" s="576">
        <f t="shared" si="390"/>
        <v>0</v>
      </c>
      <c r="I375" s="576"/>
      <c r="J375" s="576">
        <f t="shared" si="391"/>
        <v>0</v>
      </c>
      <c r="K375" s="576"/>
      <c r="L375" s="576">
        <f t="shared" si="392"/>
        <v>0</v>
      </c>
      <c r="M375" s="576">
        <f t="shared" si="406"/>
        <v>9.3000000000000007</v>
      </c>
      <c r="N375" s="576">
        <f t="shared" si="393"/>
        <v>56.07</v>
      </c>
      <c r="O375" s="576"/>
      <c r="P375" s="576">
        <f t="shared" si="394"/>
        <v>0</v>
      </c>
      <c r="Q375" s="576"/>
      <c r="R375" s="577">
        <f t="shared" si="395"/>
        <v>0</v>
      </c>
      <c r="S375" s="578"/>
      <c r="T375" s="576">
        <f t="shared" si="396"/>
        <v>0</v>
      </c>
      <c r="U375" s="576"/>
      <c r="V375" s="576">
        <f t="shared" si="397"/>
        <v>0</v>
      </c>
      <c r="W375" s="576"/>
      <c r="X375" s="576">
        <f t="shared" si="398"/>
        <v>0</v>
      </c>
      <c r="Y375" s="576"/>
      <c r="Z375" s="576">
        <f t="shared" si="399"/>
        <v>0</v>
      </c>
      <c r="AA375" s="576"/>
      <c r="AB375" s="576">
        <f t="shared" si="400"/>
        <v>0</v>
      </c>
      <c r="AC375" s="576"/>
      <c r="AD375" s="579">
        <f t="shared" si="401"/>
        <v>0</v>
      </c>
      <c r="AE375" s="580">
        <f t="shared" si="402"/>
        <v>9.3000000000000007</v>
      </c>
      <c r="AF375" s="576">
        <f t="shared" si="403"/>
        <v>56.07</v>
      </c>
      <c r="AG375" s="576">
        <f t="shared" si="404"/>
        <v>0</v>
      </c>
      <c r="AH375" s="579">
        <f t="shared" si="405"/>
        <v>0</v>
      </c>
      <c r="AK375" s="617">
        <f t="shared" si="339"/>
        <v>0</v>
      </c>
    </row>
    <row r="376" spans="1:37" ht="45">
      <c r="A376" s="570" t="s">
        <v>14038</v>
      </c>
      <c r="B376" s="571" t="str">
        <f>PLANILHA!D373</f>
        <v>CHUMBAMENTO LINEAR EM CONTRAPISO PARA RAMAIS/DISTRIBUIÇÃO COM DIÂMETROS MAIORES QUE 40 MM E MENORES OU IGUAIS A 75 MM. AF_05/2015</v>
      </c>
      <c r="C376" s="572" t="str">
        <f>PLANILHA!E373</f>
        <v>M</v>
      </c>
      <c r="D376" s="573">
        <f>PLANILHA!F373</f>
        <v>1.86</v>
      </c>
      <c r="E376" s="573">
        <f t="shared" si="389"/>
        <v>9.69</v>
      </c>
      <c r="F376" s="574">
        <f t="shared" si="388"/>
        <v>18.02</v>
      </c>
      <c r="G376" s="580"/>
      <c r="H376" s="576">
        <f>G376*$E376</f>
        <v>0</v>
      </c>
      <c r="I376" s="576"/>
      <c r="J376" s="576">
        <f>I376*$E376</f>
        <v>0</v>
      </c>
      <c r="K376" s="576"/>
      <c r="L376" s="576">
        <f>K376*$E376</f>
        <v>0</v>
      </c>
      <c r="M376" s="576">
        <f t="shared" si="406"/>
        <v>1.86</v>
      </c>
      <c r="N376" s="576">
        <f t="shared" si="393"/>
        <v>18.02</v>
      </c>
      <c r="O376" s="576"/>
      <c r="P376" s="576">
        <f>O376*$E376</f>
        <v>0</v>
      </c>
      <c r="Q376" s="576"/>
      <c r="R376" s="577">
        <f>Q376*$E376</f>
        <v>0</v>
      </c>
      <c r="S376" s="578"/>
      <c r="T376" s="576">
        <f>S376*$E376</f>
        <v>0</v>
      </c>
      <c r="U376" s="576"/>
      <c r="V376" s="576">
        <f>U376*$E376</f>
        <v>0</v>
      </c>
      <c r="W376" s="576"/>
      <c r="X376" s="576">
        <f>W376*$E376</f>
        <v>0</v>
      </c>
      <c r="Y376" s="576"/>
      <c r="Z376" s="576">
        <f>Y376*$E376</f>
        <v>0</v>
      </c>
      <c r="AA376" s="576"/>
      <c r="AB376" s="576">
        <f>AA376*$E376</f>
        <v>0</v>
      </c>
      <c r="AC376" s="576"/>
      <c r="AD376" s="579">
        <f>AC376*$E376</f>
        <v>0</v>
      </c>
      <c r="AE376" s="580">
        <f>AC376+AA376+Y376+W376+U376+S376+Q376+O376+M376+K376+I376+G376</f>
        <v>1.86</v>
      </c>
      <c r="AF376" s="576">
        <f t="shared" si="403"/>
        <v>18.02</v>
      </c>
      <c r="AG376" s="576">
        <f t="shared" si="404"/>
        <v>0</v>
      </c>
      <c r="AH376" s="579">
        <f t="shared" si="405"/>
        <v>0</v>
      </c>
      <c r="AK376" s="617">
        <f t="shared" si="339"/>
        <v>0</v>
      </c>
    </row>
    <row r="377" spans="1:37" ht="45">
      <c r="A377" s="570" t="s">
        <v>14039</v>
      </c>
      <c r="B377" s="571" t="str">
        <f>PLANILHA!D374</f>
        <v>CHUMBAMENTO LINEAR EM CONTRAPISO PARA RAMAIS/DISTRIBUIÇÃO COM DIÂMETROS MAIORES QUE 75 MM. AF_05/2015</v>
      </c>
      <c r="C377" s="572" t="str">
        <f>PLANILHA!E374</f>
        <v>M</v>
      </c>
      <c r="D377" s="573">
        <f>PLANILHA!F374</f>
        <v>14.12</v>
      </c>
      <c r="E377" s="573">
        <f t="shared" si="389"/>
        <v>13.46</v>
      </c>
      <c r="F377" s="574">
        <f t="shared" si="388"/>
        <v>190.05</v>
      </c>
      <c r="G377" s="580"/>
      <c r="H377" s="576">
        <f>G377*$E377</f>
        <v>0</v>
      </c>
      <c r="I377" s="576"/>
      <c r="J377" s="576">
        <f>I377*$E377</f>
        <v>0</v>
      </c>
      <c r="K377" s="576"/>
      <c r="L377" s="576">
        <f>K377*$E377</f>
        <v>0</v>
      </c>
      <c r="M377" s="576">
        <f t="shared" si="406"/>
        <v>14.12</v>
      </c>
      <c r="N377" s="576">
        <f t="shared" si="393"/>
        <v>190.05</v>
      </c>
      <c r="O377" s="576"/>
      <c r="P377" s="576">
        <f>O377*$E377</f>
        <v>0</v>
      </c>
      <c r="Q377" s="576"/>
      <c r="R377" s="577">
        <f>Q377*$E377</f>
        <v>0</v>
      </c>
      <c r="S377" s="578"/>
      <c r="T377" s="576">
        <f>S377*$E377</f>
        <v>0</v>
      </c>
      <c r="U377" s="576"/>
      <c r="V377" s="576">
        <f>U377*$E377</f>
        <v>0</v>
      </c>
      <c r="W377" s="576"/>
      <c r="X377" s="576">
        <f>W377*$E377</f>
        <v>0</v>
      </c>
      <c r="Y377" s="576"/>
      <c r="Z377" s="576">
        <f>Y377*$E377</f>
        <v>0</v>
      </c>
      <c r="AA377" s="576"/>
      <c r="AB377" s="576">
        <f>AA377*$E377</f>
        <v>0</v>
      </c>
      <c r="AC377" s="576"/>
      <c r="AD377" s="579">
        <f>AC377*$E377</f>
        <v>0</v>
      </c>
      <c r="AE377" s="580">
        <f>AC377+AA377+Y377+W377+U377+S377+Q377+O377+M377+K377+I377+G377</f>
        <v>14.12</v>
      </c>
      <c r="AF377" s="576">
        <f t="shared" si="403"/>
        <v>190.05</v>
      </c>
      <c r="AG377" s="576">
        <f t="shared" si="404"/>
        <v>0</v>
      </c>
      <c r="AH377" s="579">
        <f t="shared" si="405"/>
        <v>0</v>
      </c>
      <c r="AK377" s="617">
        <f t="shared" si="339"/>
        <v>0</v>
      </c>
    </row>
    <row r="378" spans="1:37" ht="45">
      <c r="A378" s="570" t="s">
        <v>14040</v>
      </c>
      <c r="B378" s="571" t="str">
        <f>PLANILHA!D375</f>
        <v>JOELHO 90 GRAUS, PVC, SOLDÁVEL, DN 32MM, INSTALADO EM RAMAL OU SUB-RAMAL DE ÁGUA - FORNECIMENTO E INSTALAÇÃO. AF_12/2014</v>
      </c>
      <c r="C378" s="572" t="str">
        <f>PLANILHA!E375</f>
        <v>UN</v>
      </c>
      <c r="D378" s="573">
        <f>PLANILHA!F375</f>
        <v>5</v>
      </c>
      <c r="E378" s="573">
        <f t="shared" si="389"/>
        <v>13.42</v>
      </c>
      <c r="F378" s="574">
        <f t="shared" si="388"/>
        <v>67.099999999999994</v>
      </c>
      <c r="G378" s="580"/>
      <c r="H378" s="576">
        <f t="shared" si="390"/>
        <v>0</v>
      </c>
      <c r="I378" s="576"/>
      <c r="J378" s="576">
        <f t="shared" si="391"/>
        <v>0</v>
      </c>
      <c r="K378" s="576"/>
      <c r="L378" s="576">
        <f t="shared" si="392"/>
        <v>0</v>
      </c>
      <c r="M378" s="576">
        <f t="shared" si="406"/>
        <v>5</v>
      </c>
      <c r="N378" s="576">
        <f t="shared" si="393"/>
        <v>67.099999999999994</v>
      </c>
      <c r="O378" s="576"/>
      <c r="P378" s="576">
        <f t="shared" si="394"/>
        <v>0</v>
      </c>
      <c r="Q378" s="576"/>
      <c r="R378" s="577">
        <f t="shared" si="395"/>
        <v>0</v>
      </c>
      <c r="S378" s="578"/>
      <c r="T378" s="576">
        <f t="shared" si="396"/>
        <v>0</v>
      </c>
      <c r="U378" s="576"/>
      <c r="V378" s="576">
        <f t="shared" si="397"/>
        <v>0</v>
      </c>
      <c r="W378" s="576"/>
      <c r="X378" s="576">
        <f t="shared" si="398"/>
        <v>0</v>
      </c>
      <c r="Y378" s="576"/>
      <c r="Z378" s="576">
        <f t="shared" si="399"/>
        <v>0</v>
      </c>
      <c r="AA378" s="576"/>
      <c r="AB378" s="576">
        <f t="shared" si="400"/>
        <v>0</v>
      </c>
      <c r="AC378" s="576"/>
      <c r="AD378" s="579">
        <f t="shared" si="401"/>
        <v>0</v>
      </c>
      <c r="AE378" s="580">
        <f t="shared" si="402"/>
        <v>5</v>
      </c>
      <c r="AF378" s="576">
        <f t="shared" si="403"/>
        <v>67.099999999999994</v>
      </c>
      <c r="AG378" s="576">
        <f t="shared" si="404"/>
        <v>0</v>
      </c>
      <c r="AH378" s="579">
        <f t="shared" si="405"/>
        <v>0</v>
      </c>
      <c r="AK378" s="617">
        <f t="shared" si="339"/>
        <v>0</v>
      </c>
    </row>
    <row r="379" spans="1:37" ht="45">
      <c r="A379" s="570" t="s">
        <v>14041</v>
      </c>
      <c r="B379" s="571" t="str">
        <f>PLANILHA!D376</f>
        <v>JOELHO 45 GRAUS, PVC, SOLDÁVEL, DN 32MM, INSTALADO EM RAMAL OU SUB-RAMAL DE ÁGUA - FORNECIMENTO E INSTALAÇÃO. AF_12/2014</v>
      </c>
      <c r="C379" s="572" t="str">
        <f>PLANILHA!E376</f>
        <v>UN</v>
      </c>
      <c r="D379" s="573">
        <f>PLANILHA!F376</f>
        <v>4</v>
      </c>
      <c r="E379" s="573">
        <f t="shared" si="389"/>
        <v>16.239999999999998</v>
      </c>
      <c r="F379" s="574">
        <f t="shared" si="388"/>
        <v>64.959999999999994</v>
      </c>
      <c r="G379" s="580"/>
      <c r="H379" s="576">
        <f t="shared" si="390"/>
        <v>0</v>
      </c>
      <c r="I379" s="576"/>
      <c r="J379" s="576">
        <f t="shared" si="391"/>
        <v>0</v>
      </c>
      <c r="K379" s="576"/>
      <c r="L379" s="576">
        <f t="shared" si="392"/>
        <v>0</v>
      </c>
      <c r="M379" s="576">
        <f t="shared" si="406"/>
        <v>4</v>
      </c>
      <c r="N379" s="576">
        <f t="shared" si="393"/>
        <v>64.959999999999994</v>
      </c>
      <c r="O379" s="576"/>
      <c r="P379" s="576">
        <f t="shared" si="394"/>
        <v>0</v>
      </c>
      <c r="Q379" s="576"/>
      <c r="R379" s="577">
        <f t="shared" si="395"/>
        <v>0</v>
      </c>
      <c r="S379" s="578"/>
      <c r="T379" s="576">
        <f t="shared" si="396"/>
        <v>0</v>
      </c>
      <c r="U379" s="576"/>
      <c r="V379" s="576">
        <f t="shared" si="397"/>
        <v>0</v>
      </c>
      <c r="W379" s="576"/>
      <c r="X379" s="576">
        <f t="shared" si="398"/>
        <v>0</v>
      </c>
      <c r="Y379" s="576"/>
      <c r="Z379" s="576">
        <f t="shared" si="399"/>
        <v>0</v>
      </c>
      <c r="AA379" s="576"/>
      <c r="AB379" s="576">
        <f t="shared" si="400"/>
        <v>0</v>
      </c>
      <c r="AC379" s="576"/>
      <c r="AD379" s="579">
        <f t="shared" si="401"/>
        <v>0</v>
      </c>
      <c r="AE379" s="580">
        <f t="shared" si="402"/>
        <v>4</v>
      </c>
      <c r="AF379" s="576">
        <f t="shared" si="403"/>
        <v>64.959999999999994</v>
      </c>
      <c r="AG379" s="576">
        <f t="shared" si="404"/>
        <v>0</v>
      </c>
      <c r="AH379" s="579">
        <f t="shared" si="405"/>
        <v>0</v>
      </c>
      <c r="AK379" s="617">
        <f t="shared" si="339"/>
        <v>0</v>
      </c>
    </row>
    <row r="380" spans="1:37" ht="45">
      <c r="A380" s="570" t="s">
        <v>14042</v>
      </c>
      <c r="B380" s="571" t="str">
        <f>PLANILHA!D377</f>
        <v>ADAPTADOR CURTO COM BOLSA E ROSCA PARA REGISTRO, PVC, SOLDÁVEL, DN 32MM X 1, INSTALADO EM RAMAL OU SUB-RAMAL DE ÁGUA - FORNECIMENTO E INSTALAÇÃO. AF_12/2014</v>
      </c>
      <c r="C380" s="572" t="str">
        <f>PLANILHA!E377</f>
        <v>UN</v>
      </c>
      <c r="D380" s="573">
        <f>PLANILHA!F377</f>
        <v>2</v>
      </c>
      <c r="E380" s="573">
        <f t="shared" si="389"/>
        <v>10.130000000000001</v>
      </c>
      <c r="F380" s="574">
        <f t="shared" si="388"/>
        <v>20.260000000000002</v>
      </c>
      <c r="G380" s="580"/>
      <c r="H380" s="576">
        <f t="shared" si="390"/>
        <v>0</v>
      </c>
      <c r="I380" s="576"/>
      <c r="J380" s="576">
        <f t="shared" si="391"/>
        <v>0</v>
      </c>
      <c r="K380" s="576"/>
      <c r="L380" s="576">
        <f t="shared" si="392"/>
        <v>0</v>
      </c>
      <c r="M380" s="576">
        <f t="shared" si="406"/>
        <v>2</v>
      </c>
      <c r="N380" s="576">
        <f t="shared" si="393"/>
        <v>20.260000000000002</v>
      </c>
      <c r="O380" s="576"/>
      <c r="P380" s="576">
        <f t="shared" si="394"/>
        <v>0</v>
      </c>
      <c r="Q380" s="576"/>
      <c r="R380" s="577">
        <f t="shared" si="395"/>
        <v>0</v>
      </c>
      <c r="S380" s="578"/>
      <c r="T380" s="576">
        <f t="shared" si="396"/>
        <v>0</v>
      </c>
      <c r="U380" s="576"/>
      <c r="V380" s="576">
        <f t="shared" si="397"/>
        <v>0</v>
      </c>
      <c r="W380" s="576"/>
      <c r="X380" s="576">
        <f t="shared" si="398"/>
        <v>0</v>
      </c>
      <c r="Y380" s="576"/>
      <c r="Z380" s="576">
        <f t="shared" si="399"/>
        <v>0</v>
      </c>
      <c r="AA380" s="576"/>
      <c r="AB380" s="576">
        <f t="shared" si="400"/>
        <v>0</v>
      </c>
      <c r="AC380" s="576"/>
      <c r="AD380" s="579">
        <f t="shared" si="401"/>
        <v>0</v>
      </c>
      <c r="AE380" s="580">
        <f t="shared" si="402"/>
        <v>2</v>
      </c>
      <c r="AF380" s="576">
        <f t="shared" si="403"/>
        <v>20.260000000000002</v>
      </c>
      <c r="AG380" s="576">
        <f t="shared" si="404"/>
        <v>0</v>
      </c>
      <c r="AH380" s="579">
        <f t="shared" si="405"/>
        <v>0</v>
      </c>
      <c r="AK380" s="617">
        <f t="shared" si="339"/>
        <v>0</v>
      </c>
    </row>
    <row r="381" spans="1:37" ht="60">
      <c r="A381" s="570" t="s">
        <v>14043</v>
      </c>
      <c r="B381" s="571" t="str">
        <f>PLANILHA!D378</f>
        <v>ADAPTADOR COM FLANGE E ANEL DE VEDAÇÃO, PVC, SOLDÁVEL, DN 32 MM X 1 , INSTALADO EM RESERVAÇÃO DE ÁGUA DE EDIFICAÇÃO QUE POSSUA RESERVATÓRIO DE FIBRA/FIBROCIMENTO   FORNECIMENTO E INSTALAÇÃO. AF_06/2016</v>
      </c>
      <c r="C381" s="572" t="str">
        <f>PLANILHA!E378</f>
        <v>UN</v>
      </c>
      <c r="D381" s="573">
        <f>PLANILHA!F378</f>
        <v>2</v>
      </c>
      <c r="E381" s="573">
        <f t="shared" si="389"/>
        <v>28.02</v>
      </c>
      <c r="F381" s="574">
        <f t="shared" si="388"/>
        <v>56.04</v>
      </c>
      <c r="G381" s="580"/>
      <c r="H381" s="576">
        <f t="shared" ref="H381:H388" si="407">G381*$E381</f>
        <v>0</v>
      </c>
      <c r="I381" s="576"/>
      <c r="J381" s="576">
        <f t="shared" ref="J381:J388" si="408">I381*$E381</f>
        <v>0</v>
      </c>
      <c r="K381" s="576"/>
      <c r="L381" s="576">
        <f t="shared" ref="L381:L388" si="409">K381*$E381</f>
        <v>0</v>
      </c>
      <c r="M381" s="576">
        <f t="shared" si="406"/>
        <v>2</v>
      </c>
      <c r="N381" s="576">
        <f t="shared" si="393"/>
        <v>56.04</v>
      </c>
      <c r="O381" s="576"/>
      <c r="P381" s="576">
        <f t="shared" ref="P381:P388" si="410">O381*$E381</f>
        <v>0</v>
      </c>
      <c r="Q381" s="576"/>
      <c r="R381" s="577">
        <f t="shared" ref="R381:R388" si="411">Q381*$E381</f>
        <v>0</v>
      </c>
      <c r="S381" s="578"/>
      <c r="T381" s="576">
        <f t="shared" ref="T381:T388" si="412">S381*$E381</f>
        <v>0</v>
      </c>
      <c r="U381" s="576"/>
      <c r="V381" s="576">
        <f t="shared" ref="V381:V388" si="413">U381*$E381</f>
        <v>0</v>
      </c>
      <c r="W381" s="576"/>
      <c r="X381" s="576">
        <f t="shared" ref="X381:X388" si="414">W381*$E381</f>
        <v>0</v>
      </c>
      <c r="Y381" s="576"/>
      <c r="Z381" s="576">
        <f t="shared" ref="Z381:Z388" si="415">Y381*$E381</f>
        <v>0</v>
      </c>
      <c r="AA381" s="576"/>
      <c r="AB381" s="576">
        <f t="shared" ref="AB381:AB388" si="416">AA381*$E381</f>
        <v>0</v>
      </c>
      <c r="AC381" s="576"/>
      <c r="AD381" s="579">
        <f t="shared" ref="AD381:AD388" si="417">AC381*$E381</f>
        <v>0</v>
      </c>
      <c r="AE381" s="580">
        <f t="shared" ref="AE381:AE388" si="418">AC381+AA381+Y381+W381+U381+S381+Q381+O381+M381+K381+I381+G381</f>
        <v>2</v>
      </c>
      <c r="AF381" s="576">
        <f t="shared" si="403"/>
        <v>56.04</v>
      </c>
      <c r="AG381" s="576">
        <f t="shared" ref="AG381:AG388" si="419">D381-AE381</f>
        <v>0</v>
      </c>
      <c r="AH381" s="579">
        <f t="shared" ref="AH381:AH388" si="420">AG381*E381</f>
        <v>0</v>
      </c>
      <c r="AK381" s="617">
        <f t="shared" si="339"/>
        <v>0</v>
      </c>
    </row>
    <row r="382" spans="1:37" ht="30">
      <c r="A382" s="570" t="s">
        <v>14044</v>
      </c>
      <c r="B382" s="571" t="str">
        <f>PLANILHA!D379</f>
        <v>TORNEIRA DE BOIA PARA CAIXA D'ÁGUA, ROSCÁVEL, 1" - FORNECIMENTO E INSTALAÇÃO. AF_08/2021</v>
      </c>
      <c r="C382" s="572" t="str">
        <f>PLANILHA!E379</f>
        <v>UN</v>
      </c>
      <c r="D382" s="573">
        <f>PLANILHA!F379</f>
        <v>1</v>
      </c>
      <c r="E382" s="573">
        <f t="shared" si="389"/>
        <v>116.73</v>
      </c>
      <c r="F382" s="574">
        <f t="shared" si="388"/>
        <v>116.73</v>
      </c>
      <c r="G382" s="580"/>
      <c r="H382" s="576">
        <f t="shared" si="407"/>
        <v>0</v>
      </c>
      <c r="I382" s="576"/>
      <c r="J382" s="576">
        <f t="shared" si="408"/>
        <v>0</v>
      </c>
      <c r="K382" s="576"/>
      <c r="L382" s="576">
        <f t="shared" si="409"/>
        <v>0</v>
      </c>
      <c r="M382" s="576">
        <f t="shared" si="406"/>
        <v>1</v>
      </c>
      <c r="N382" s="576">
        <f t="shared" si="393"/>
        <v>116.73</v>
      </c>
      <c r="O382" s="576"/>
      <c r="P382" s="576">
        <f t="shared" si="410"/>
        <v>0</v>
      </c>
      <c r="Q382" s="576"/>
      <c r="R382" s="577">
        <f t="shared" si="411"/>
        <v>0</v>
      </c>
      <c r="S382" s="578"/>
      <c r="T382" s="576">
        <f t="shared" si="412"/>
        <v>0</v>
      </c>
      <c r="U382" s="576"/>
      <c r="V382" s="576">
        <f t="shared" si="413"/>
        <v>0</v>
      </c>
      <c r="W382" s="576"/>
      <c r="X382" s="576">
        <f t="shared" si="414"/>
        <v>0</v>
      </c>
      <c r="Y382" s="576"/>
      <c r="Z382" s="576">
        <f t="shared" si="415"/>
        <v>0</v>
      </c>
      <c r="AA382" s="576"/>
      <c r="AB382" s="576">
        <f t="shared" si="416"/>
        <v>0</v>
      </c>
      <c r="AC382" s="576"/>
      <c r="AD382" s="579">
        <f t="shared" si="417"/>
        <v>0</v>
      </c>
      <c r="AE382" s="580">
        <f t="shared" si="418"/>
        <v>1</v>
      </c>
      <c r="AF382" s="576">
        <f t="shared" si="403"/>
        <v>116.73</v>
      </c>
      <c r="AG382" s="576">
        <f t="shared" si="419"/>
        <v>0</v>
      </c>
      <c r="AH382" s="579">
        <f t="shared" si="420"/>
        <v>0</v>
      </c>
      <c r="AK382" s="617">
        <f t="shared" si="339"/>
        <v>0</v>
      </c>
    </row>
    <row r="383" spans="1:37" ht="30">
      <c r="A383" s="570" t="s">
        <v>14045</v>
      </c>
      <c r="B383" s="571" t="str">
        <f>PLANILHA!D380</f>
        <v>TUBO, PVC, SOLDÁVEL, DN 32MM, INSTALADO EM PRUMADA DE ÁGUA - FORNECIMENTO E INSTALAÇÃO. AF_12/2014</v>
      </c>
      <c r="C383" s="572" t="str">
        <f>PLANILHA!E380</f>
        <v>M</v>
      </c>
      <c r="D383" s="573">
        <f>PLANILHA!F380</f>
        <v>29</v>
      </c>
      <c r="E383" s="573">
        <f t="shared" si="389"/>
        <v>12.56</v>
      </c>
      <c r="F383" s="574">
        <f t="shared" si="388"/>
        <v>364.24</v>
      </c>
      <c r="G383" s="580"/>
      <c r="H383" s="576">
        <f t="shared" si="407"/>
        <v>0</v>
      </c>
      <c r="I383" s="576"/>
      <c r="J383" s="576">
        <f t="shared" si="408"/>
        <v>0</v>
      </c>
      <c r="K383" s="576"/>
      <c r="L383" s="576">
        <f t="shared" si="409"/>
        <v>0</v>
      </c>
      <c r="M383" s="576">
        <f t="shared" si="406"/>
        <v>29</v>
      </c>
      <c r="N383" s="576">
        <f t="shared" si="393"/>
        <v>364.24</v>
      </c>
      <c r="O383" s="576"/>
      <c r="P383" s="576">
        <f t="shared" si="410"/>
        <v>0</v>
      </c>
      <c r="Q383" s="576"/>
      <c r="R383" s="577">
        <f t="shared" si="411"/>
        <v>0</v>
      </c>
      <c r="S383" s="578"/>
      <c r="T383" s="576">
        <f t="shared" si="412"/>
        <v>0</v>
      </c>
      <c r="U383" s="576"/>
      <c r="V383" s="576">
        <f t="shared" si="413"/>
        <v>0</v>
      </c>
      <c r="W383" s="576"/>
      <c r="X383" s="576">
        <f t="shared" si="414"/>
        <v>0</v>
      </c>
      <c r="Y383" s="576"/>
      <c r="Z383" s="576">
        <f t="shared" si="415"/>
        <v>0</v>
      </c>
      <c r="AA383" s="576"/>
      <c r="AB383" s="576">
        <f t="shared" si="416"/>
        <v>0</v>
      </c>
      <c r="AC383" s="576"/>
      <c r="AD383" s="579">
        <f t="shared" si="417"/>
        <v>0</v>
      </c>
      <c r="AE383" s="580">
        <f t="shared" si="418"/>
        <v>29</v>
      </c>
      <c r="AF383" s="576">
        <f t="shared" si="403"/>
        <v>364.24</v>
      </c>
      <c r="AG383" s="576">
        <f t="shared" si="419"/>
        <v>0</v>
      </c>
      <c r="AH383" s="579">
        <f t="shared" si="420"/>
        <v>0</v>
      </c>
      <c r="AK383" s="617">
        <f t="shared" si="339"/>
        <v>0</v>
      </c>
    </row>
    <row r="384" spans="1:37" ht="30">
      <c r="A384" s="570" t="s">
        <v>14046</v>
      </c>
      <c r="B384" s="571" t="str">
        <f>PLANILHA!D381</f>
        <v>REGISTRO DE GAVETA BRUTO, LATÃO, ROSCÁVEL, 1" - FORNECIMENTO E INSTALAÇÃO. AF_08/2021</v>
      </c>
      <c r="C384" s="572" t="str">
        <f>PLANILHA!E381</f>
        <v>UN</v>
      </c>
      <c r="D384" s="573">
        <f>PLANILHA!F381</f>
        <v>1</v>
      </c>
      <c r="E384" s="573">
        <f t="shared" si="389"/>
        <v>59.75</v>
      </c>
      <c r="F384" s="574">
        <f t="shared" si="388"/>
        <v>59.75</v>
      </c>
      <c r="G384" s="580"/>
      <c r="H384" s="576">
        <f t="shared" si="407"/>
        <v>0</v>
      </c>
      <c r="I384" s="576"/>
      <c r="J384" s="576">
        <f t="shared" si="408"/>
        <v>0</v>
      </c>
      <c r="K384" s="576"/>
      <c r="L384" s="576">
        <f t="shared" si="409"/>
        <v>0</v>
      </c>
      <c r="M384" s="576">
        <f t="shared" si="406"/>
        <v>1</v>
      </c>
      <c r="N384" s="576">
        <f t="shared" si="393"/>
        <v>59.75</v>
      </c>
      <c r="O384" s="576"/>
      <c r="P384" s="576">
        <f t="shared" si="410"/>
        <v>0</v>
      </c>
      <c r="Q384" s="576"/>
      <c r="R384" s="577">
        <f t="shared" si="411"/>
        <v>0</v>
      </c>
      <c r="S384" s="578"/>
      <c r="T384" s="576">
        <f t="shared" si="412"/>
        <v>0</v>
      </c>
      <c r="U384" s="576"/>
      <c r="V384" s="576">
        <f t="shared" si="413"/>
        <v>0</v>
      </c>
      <c r="W384" s="576"/>
      <c r="X384" s="576">
        <f t="shared" si="414"/>
        <v>0</v>
      </c>
      <c r="Y384" s="576"/>
      <c r="Z384" s="576">
        <f t="shared" si="415"/>
        <v>0</v>
      </c>
      <c r="AA384" s="576"/>
      <c r="AB384" s="576">
        <f t="shared" si="416"/>
        <v>0</v>
      </c>
      <c r="AC384" s="576"/>
      <c r="AD384" s="579">
        <f t="shared" si="417"/>
        <v>0</v>
      </c>
      <c r="AE384" s="580">
        <f t="shared" si="418"/>
        <v>1</v>
      </c>
      <c r="AF384" s="576">
        <f t="shared" si="403"/>
        <v>59.75</v>
      </c>
      <c r="AG384" s="576">
        <f t="shared" si="419"/>
        <v>0</v>
      </c>
      <c r="AH384" s="579">
        <f t="shared" si="420"/>
        <v>0</v>
      </c>
      <c r="AK384" s="617">
        <f t="shared" si="339"/>
        <v>0</v>
      </c>
    </row>
    <row r="385" spans="1:37" ht="30">
      <c r="A385" s="570" t="s">
        <v>14047</v>
      </c>
      <c r="B385" s="571" t="str">
        <f>PLANILHA!D382</f>
        <v>FURO EM ALVENARIA PARA DIÂMETROS MENORES OU IGUAIS A 40 MM. AF_05/2015</v>
      </c>
      <c r="C385" s="572" t="str">
        <f>PLANILHA!E382</f>
        <v>UN</v>
      </c>
      <c r="D385" s="573">
        <f>PLANILHA!F382</f>
        <v>2</v>
      </c>
      <c r="E385" s="573">
        <f t="shared" si="389"/>
        <v>14.31</v>
      </c>
      <c r="F385" s="574">
        <f t="shared" si="388"/>
        <v>28.62</v>
      </c>
      <c r="G385" s="580"/>
      <c r="H385" s="576">
        <f t="shared" si="407"/>
        <v>0</v>
      </c>
      <c r="I385" s="576"/>
      <c r="J385" s="576">
        <f t="shared" si="408"/>
        <v>0</v>
      </c>
      <c r="K385" s="576"/>
      <c r="L385" s="576">
        <f t="shared" si="409"/>
        <v>0</v>
      </c>
      <c r="M385" s="576">
        <f t="shared" si="406"/>
        <v>2</v>
      </c>
      <c r="N385" s="576">
        <f t="shared" si="393"/>
        <v>28.62</v>
      </c>
      <c r="O385" s="576"/>
      <c r="P385" s="576">
        <f t="shared" si="410"/>
        <v>0</v>
      </c>
      <c r="Q385" s="576"/>
      <c r="R385" s="577">
        <f t="shared" si="411"/>
        <v>0</v>
      </c>
      <c r="S385" s="578"/>
      <c r="T385" s="576">
        <f t="shared" si="412"/>
        <v>0</v>
      </c>
      <c r="U385" s="576"/>
      <c r="V385" s="576">
        <f t="shared" si="413"/>
        <v>0</v>
      </c>
      <c r="W385" s="576"/>
      <c r="X385" s="576">
        <f t="shared" si="414"/>
        <v>0</v>
      </c>
      <c r="Y385" s="576"/>
      <c r="Z385" s="576">
        <f t="shared" si="415"/>
        <v>0</v>
      </c>
      <c r="AA385" s="576"/>
      <c r="AB385" s="576">
        <f t="shared" si="416"/>
        <v>0</v>
      </c>
      <c r="AC385" s="576"/>
      <c r="AD385" s="579">
        <f t="shared" si="417"/>
        <v>0</v>
      </c>
      <c r="AE385" s="580">
        <f t="shared" si="418"/>
        <v>2</v>
      </c>
      <c r="AF385" s="576">
        <f t="shared" si="403"/>
        <v>28.62</v>
      </c>
      <c r="AG385" s="576">
        <f t="shared" si="419"/>
        <v>0</v>
      </c>
      <c r="AH385" s="579">
        <f t="shared" si="420"/>
        <v>0</v>
      </c>
      <c r="AK385" s="617">
        <f t="shared" si="339"/>
        <v>0</v>
      </c>
    </row>
    <row r="386" spans="1:37" ht="30">
      <c r="A386" s="570" t="s">
        <v>14048</v>
      </c>
      <c r="B386" s="571" t="str">
        <f>PLANILHA!D383</f>
        <v>FURO EM CONCRETO PARA DIÂMETROS MENORES OU IGUAIS A 40 MM. AF_05/2015</v>
      </c>
      <c r="C386" s="572" t="str">
        <f>PLANILHA!E383</f>
        <v>UN</v>
      </c>
      <c r="D386" s="573">
        <f>PLANILHA!F383</f>
        <v>1</v>
      </c>
      <c r="E386" s="573">
        <f t="shared" si="389"/>
        <v>56.74</v>
      </c>
      <c r="F386" s="574">
        <f t="shared" si="388"/>
        <v>56.74</v>
      </c>
      <c r="G386" s="580"/>
      <c r="H386" s="576">
        <f t="shared" si="407"/>
        <v>0</v>
      </c>
      <c r="I386" s="576"/>
      <c r="J386" s="576">
        <f t="shared" si="408"/>
        <v>0</v>
      </c>
      <c r="K386" s="576"/>
      <c r="L386" s="576">
        <f t="shared" si="409"/>
        <v>0</v>
      </c>
      <c r="M386" s="576">
        <f t="shared" si="406"/>
        <v>1</v>
      </c>
      <c r="N386" s="576">
        <f t="shared" si="393"/>
        <v>56.74</v>
      </c>
      <c r="O386" s="576"/>
      <c r="P386" s="576">
        <f t="shared" si="410"/>
        <v>0</v>
      </c>
      <c r="Q386" s="576"/>
      <c r="R386" s="577">
        <f t="shared" si="411"/>
        <v>0</v>
      </c>
      <c r="S386" s="578"/>
      <c r="T386" s="576">
        <f t="shared" si="412"/>
        <v>0</v>
      </c>
      <c r="U386" s="576"/>
      <c r="V386" s="576">
        <f t="shared" si="413"/>
        <v>0</v>
      </c>
      <c r="W386" s="576"/>
      <c r="X386" s="576">
        <f t="shared" si="414"/>
        <v>0</v>
      </c>
      <c r="Y386" s="576"/>
      <c r="Z386" s="576">
        <f t="shared" si="415"/>
        <v>0</v>
      </c>
      <c r="AA386" s="576"/>
      <c r="AB386" s="576">
        <f t="shared" si="416"/>
        <v>0</v>
      </c>
      <c r="AC386" s="576"/>
      <c r="AD386" s="579">
        <f t="shared" si="417"/>
        <v>0</v>
      </c>
      <c r="AE386" s="580">
        <f t="shared" si="418"/>
        <v>1</v>
      </c>
      <c r="AF386" s="576">
        <f t="shared" si="403"/>
        <v>56.74</v>
      </c>
      <c r="AG386" s="576">
        <f t="shared" si="419"/>
        <v>0</v>
      </c>
      <c r="AH386" s="579">
        <f t="shared" si="420"/>
        <v>0</v>
      </c>
      <c r="AK386" s="617">
        <f t="shared" si="339"/>
        <v>0</v>
      </c>
    </row>
    <row r="387" spans="1:37" ht="30">
      <c r="A387" s="570" t="s">
        <v>14049</v>
      </c>
      <c r="B387" s="571" t="str">
        <f>PLANILHA!D384</f>
        <v>FURO EM ALVENARIA PARA DIÂMETROS MAIORES QUE 75 MM. AF_05/2015</v>
      </c>
      <c r="C387" s="572" t="str">
        <f>PLANILHA!E384</f>
        <v>UN</v>
      </c>
      <c r="D387" s="573">
        <f>PLANILHA!F384</f>
        <v>4</v>
      </c>
      <c r="E387" s="573">
        <f t="shared" si="389"/>
        <v>49.88</v>
      </c>
      <c r="F387" s="574">
        <f t="shared" si="388"/>
        <v>199.52</v>
      </c>
      <c r="G387" s="580"/>
      <c r="H387" s="576">
        <f t="shared" si="407"/>
        <v>0</v>
      </c>
      <c r="I387" s="576"/>
      <c r="J387" s="576">
        <f t="shared" si="408"/>
        <v>0</v>
      </c>
      <c r="K387" s="576"/>
      <c r="L387" s="576">
        <f t="shared" si="409"/>
        <v>0</v>
      </c>
      <c r="M387" s="576">
        <f t="shared" si="406"/>
        <v>4</v>
      </c>
      <c r="N387" s="576">
        <f t="shared" si="393"/>
        <v>199.52</v>
      </c>
      <c r="O387" s="576"/>
      <c r="P387" s="576">
        <f t="shared" si="410"/>
        <v>0</v>
      </c>
      <c r="Q387" s="576"/>
      <c r="R387" s="577">
        <f t="shared" si="411"/>
        <v>0</v>
      </c>
      <c r="S387" s="578"/>
      <c r="T387" s="576">
        <f t="shared" si="412"/>
        <v>0</v>
      </c>
      <c r="U387" s="576"/>
      <c r="V387" s="576">
        <f t="shared" si="413"/>
        <v>0</v>
      </c>
      <c r="W387" s="576"/>
      <c r="X387" s="576">
        <f t="shared" si="414"/>
        <v>0</v>
      </c>
      <c r="Y387" s="576"/>
      <c r="Z387" s="576">
        <f t="shared" si="415"/>
        <v>0</v>
      </c>
      <c r="AA387" s="576"/>
      <c r="AB387" s="576">
        <f t="shared" si="416"/>
        <v>0</v>
      </c>
      <c r="AC387" s="576"/>
      <c r="AD387" s="579">
        <f t="shared" si="417"/>
        <v>0</v>
      </c>
      <c r="AE387" s="580">
        <f t="shared" si="418"/>
        <v>4</v>
      </c>
      <c r="AF387" s="576">
        <f t="shared" si="403"/>
        <v>199.52</v>
      </c>
      <c r="AG387" s="576">
        <f t="shared" si="419"/>
        <v>0</v>
      </c>
      <c r="AH387" s="579">
        <f t="shared" si="420"/>
        <v>0</v>
      </c>
      <c r="AK387" s="617">
        <f t="shared" si="339"/>
        <v>0</v>
      </c>
    </row>
    <row r="388" spans="1:37" ht="30">
      <c r="A388" s="570" t="s">
        <v>14050</v>
      </c>
      <c r="B388" s="571" t="str">
        <f>PLANILHA!D385</f>
        <v>LUVA DE REDUÇÃO EM PEAD 90X63mm, FORNECIMENTO E INSTALAÇÃO</v>
      </c>
      <c r="C388" s="572" t="str">
        <f>PLANILHA!E385</f>
        <v>UND</v>
      </c>
      <c r="D388" s="573">
        <f>PLANILHA!F385</f>
        <v>25.3</v>
      </c>
      <c r="E388" s="573">
        <f t="shared" si="389"/>
        <v>138.78</v>
      </c>
      <c r="F388" s="574">
        <f t="shared" si="388"/>
        <v>3511.13</v>
      </c>
      <c r="G388" s="580"/>
      <c r="H388" s="576">
        <f t="shared" si="407"/>
        <v>0</v>
      </c>
      <c r="I388" s="576"/>
      <c r="J388" s="576">
        <f t="shared" si="408"/>
        <v>0</v>
      </c>
      <c r="K388" s="576"/>
      <c r="L388" s="576">
        <f t="shared" si="409"/>
        <v>0</v>
      </c>
      <c r="M388" s="576">
        <f t="shared" si="406"/>
        <v>25.3</v>
      </c>
      <c r="N388" s="576">
        <f t="shared" si="393"/>
        <v>3511.13</v>
      </c>
      <c r="O388" s="576"/>
      <c r="P388" s="576">
        <f t="shared" si="410"/>
        <v>0</v>
      </c>
      <c r="Q388" s="576"/>
      <c r="R388" s="577">
        <f t="shared" si="411"/>
        <v>0</v>
      </c>
      <c r="S388" s="578"/>
      <c r="T388" s="576">
        <f t="shared" si="412"/>
        <v>0</v>
      </c>
      <c r="U388" s="576"/>
      <c r="V388" s="576">
        <f t="shared" si="413"/>
        <v>0</v>
      </c>
      <c r="W388" s="576"/>
      <c r="X388" s="576">
        <f t="shared" si="414"/>
        <v>0</v>
      </c>
      <c r="Y388" s="576"/>
      <c r="Z388" s="576">
        <f t="shared" si="415"/>
        <v>0</v>
      </c>
      <c r="AA388" s="576"/>
      <c r="AB388" s="576">
        <f t="shared" si="416"/>
        <v>0</v>
      </c>
      <c r="AC388" s="576"/>
      <c r="AD388" s="579">
        <f t="shared" si="417"/>
        <v>0</v>
      </c>
      <c r="AE388" s="580">
        <f t="shared" si="418"/>
        <v>25.3</v>
      </c>
      <c r="AF388" s="576">
        <f t="shared" si="403"/>
        <v>3511.13</v>
      </c>
      <c r="AG388" s="576">
        <f t="shared" si="419"/>
        <v>0</v>
      </c>
      <c r="AH388" s="579">
        <f t="shared" si="420"/>
        <v>0</v>
      </c>
      <c r="AK388" s="617">
        <f t="shared" si="339"/>
        <v>0</v>
      </c>
    </row>
    <row r="389" spans="1:37" s="569" customFormat="1">
      <c r="A389" s="581" t="s">
        <v>27231</v>
      </c>
      <c r="B389" s="582"/>
      <c r="C389" s="583"/>
      <c r="D389" s="584"/>
      <c r="E389" s="584"/>
      <c r="F389" s="585">
        <f t="shared" si="388"/>
        <v>5377.16</v>
      </c>
      <c r="G389" s="586"/>
      <c r="H389" s="584">
        <f>SUM(H372:H388)</f>
        <v>0</v>
      </c>
      <c r="I389" s="584"/>
      <c r="J389" s="584">
        <f>SUM(J372:J388)</f>
        <v>0</v>
      </c>
      <c r="K389" s="584"/>
      <c r="L389" s="584">
        <f>SUM(L372:L388)</f>
        <v>0</v>
      </c>
      <c r="M389" s="584"/>
      <c r="N389" s="584">
        <f>SUM(N372:N388)</f>
        <v>5377.16</v>
      </c>
      <c r="O389" s="584"/>
      <c r="P389" s="584">
        <f>SUM(P372:P388)</f>
        <v>0</v>
      </c>
      <c r="Q389" s="584"/>
      <c r="R389" s="587">
        <f>SUM(R372:R388)</f>
        <v>0</v>
      </c>
      <c r="S389" s="588"/>
      <c r="T389" s="584">
        <f>SUM(T372:T388)</f>
        <v>0</v>
      </c>
      <c r="U389" s="584"/>
      <c r="V389" s="584">
        <f>SUM(V372:V388)</f>
        <v>0</v>
      </c>
      <c r="W389" s="584"/>
      <c r="X389" s="584">
        <f>SUM(X372:X388)</f>
        <v>0</v>
      </c>
      <c r="Y389" s="584"/>
      <c r="Z389" s="584">
        <f>SUM(Z372:Z388)</f>
        <v>0</v>
      </c>
      <c r="AA389" s="584"/>
      <c r="AB389" s="584">
        <f>SUM(AB372:AB388)</f>
        <v>0</v>
      </c>
      <c r="AC389" s="584"/>
      <c r="AD389" s="585">
        <f>SUM(AD372:AD388)</f>
        <v>0</v>
      </c>
      <c r="AE389" s="590"/>
      <c r="AF389" s="584">
        <f>SUM(AF372:AF388)</f>
        <v>5377.16</v>
      </c>
      <c r="AG389" s="591"/>
      <c r="AH389" s="585">
        <f>SUM(AH372:AH388)</f>
        <v>0</v>
      </c>
      <c r="AI389" s="568"/>
      <c r="AK389" s="617">
        <f t="shared" si="339"/>
        <v>0</v>
      </c>
    </row>
    <row r="390" spans="1:37" s="569" customFormat="1">
      <c r="A390" s="581" t="s">
        <v>14628</v>
      </c>
      <c r="B390" s="582"/>
      <c r="C390" s="583"/>
      <c r="D390" s="584"/>
      <c r="E390" s="584"/>
      <c r="F390" s="585">
        <f t="shared" si="388"/>
        <v>5377.16</v>
      </c>
      <c r="G390" s="586"/>
      <c r="H390" s="584">
        <f>SUM(H370:H389)/2</f>
        <v>0</v>
      </c>
      <c r="I390" s="584"/>
      <c r="J390" s="584">
        <f>SUM(J370:J389)/2</f>
        <v>0</v>
      </c>
      <c r="K390" s="584"/>
      <c r="L390" s="584">
        <f>SUM(L370:L389)/2</f>
        <v>0</v>
      </c>
      <c r="M390" s="584"/>
      <c r="N390" s="584">
        <f>SUM(N370:N389)/2</f>
        <v>5377.16</v>
      </c>
      <c r="O390" s="584"/>
      <c r="P390" s="584">
        <f>SUM(P370:P389)/2</f>
        <v>0</v>
      </c>
      <c r="Q390" s="584"/>
      <c r="R390" s="587">
        <f>SUM(R370:R389)/2</f>
        <v>0</v>
      </c>
      <c r="S390" s="588"/>
      <c r="T390" s="584">
        <f>SUM(T370:T389)/2</f>
        <v>0</v>
      </c>
      <c r="U390" s="584"/>
      <c r="V390" s="584">
        <f>SUM(V370:V389)/2</f>
        <v>0</v>
      </c>
      <c r="W390" s="584"/>
      <c r="X390" s="584">
        <f>SUM(X370:X389)/2</f>
        <v>0</v>
      </c>
      <c r="Y390" s="584"/>
      <c r="Z390" s="584">
        <f>SUM(Z370:Z389)/2</f>
        <v>0</v>
      </c>
      <c r="AA390" s="584"/>
      <c r="AB390" s="584">
        <f>SUM(AB370:AB389)/2</f>
        <v>0</v>
      </c>
      <c r="AC390" s="584"/>
      <c r="AD390" s="585">
        <f>SUM(AD370:AD389)/2</f>
        <v>0</v>
      </c>
      <c r="AE390" s="590"/>
      <c r="AF390" s="584">
        <f>SUM(AF370:AF389)/2</f>
        <v>5377.16</v>
      </c>
      <c r="AG390" s="591"/>
      <c r="AH390" s="585">
        <f>SUM(AH370:AH389)/2</f>
        <v>0</v>
      </c>
      <c r="AI390" s="568"/>
      <c r="AK390" s="617">
        <f t="shared" si="339"/>
        <v>0</v>
      </c>
    </row>
    <row r="391" spans="1:37">
      <c r="A391" s="570"/>
      <c r="B391" s="571"/>
      <c r="C391" s="572"/>
      <c r="D391" s="573"/>
      <c r="E391" s="573"/>
      <c r="F391" s="574"/>
      <c r="G391" s="580"/>
      <c r="H391" s="576"/>
      <c r="I391" s="576"/>
      <c r="J391" s="576"/>
      <c r="K391" s="576"/>
      <c r="L391" s="576"/>
      <c r="M391" s="576"/>
      <c r="N391" s="576"/>
      <c r="O391" s="576"/>
      <c r="P391" s="576"/>
      <c r="Q391" s="576"/>
      <c r="R391" s="577"/>
      <c r="S391" s="578"/>
      <c r="T391" s="576"/>
      <c r="U391" s="576"/>
      <c r="V391" s="576"/>
      <c r="W391" s="576"/>
      <c r="X391" s="576"/>
      <c r="Y391" s="576"/>
      <c r="Z391" s="576"/>
      <c r="AA391" s="576"/>
      <c r="AB391" s="576"/>
      <c r="AC391" s="576"/>
      <c r="AD391" s="579"/>
      <c r="AE391" s="580"/>
      <c r="AF391" s="576"/>
      <c r="AG391" s="576"/>
      <c r="AH391" s="579"/>
      <c r="AK391" s="617">
        <f t="shared" si="339"/>
        <v>0</v>
      </c>
    </row>
    <row r="392" spans="1:37" s="569" customFormat="1">
      <c r="A392" s="558" t="s">
        <v>14051</v>
      </c>
      <c r="B392" s="559" t="str">
        <f>PLANILHA!D389</f>
        <v>DRENAGEM DE AGUAS PLUVIAIS</v>
      </c>
      <c r="C392" s="560"/>
      <c r="D392" s="561"/>
      <c r="E392" s="561"/>
      <c r="F392" s="562">
        <f t="shared" ref="F392:F401" si="421">VLOOKUP(A392,PLANILHA,$G$6,0)</f>
        <v>0</v>
      </c>
      <c r="G392" s="563"/>
      <c r="H392" s="564"/>
      <c r="I392" s="564"/>
      <c r="J392" s="564"/>
      <c r="K392" s="564"/>
      <c r="L392" s="564"/>
      <c r="M392" s="564"/>
      <c r="N392" s="564"/>
      <c r="O392" s="564"/>
      <c r="P392" s="564"/>
      <c r="Q392" s="564"/>
      <c r="R392" s="565"/>
      <c r="S392" s="566"/>
      <c r="T392" s="564"/>
      <c r="U392" s="564"/>
      <c r="V392" s="564"/>
      <c r="W392" s="564"/>
      <c r="X392" s="564"/>
      <c r="Y392" s="564"/>
      <c r="Z392" s="564"/>
      <c r="AA392" s="564"/>
      <c r="AB392" s="564"/>
      <c r="AC392" s="564"/>
      <c r="AD392" s="567"/>
      <c r="AE392" s="563"/>
      <c r="AF392" s="564"/>
      <c r="AG392" s="564"/>
      <c r="AH392" s="567"/>
      <c r="AI392" s="568"/>
      <c r="AK392" s="617">
        <f t="shared" si="339"/>
        <v>0</v>
      </c>
    </row>
    <row r="393" spans="1:37" s="569" customFormat="1">
      <c r="A393" s="592" t="s">
        <v>14052</v>
      </c>
      <c r="B393" s="593" t="str">
        <f>PLANILHA!D390</f>
        <v>DESCIDAS DE CALHA</v>
      </c>
      <c r="C393" s="594"/>
      <c r="D393" s="589"/>
      <c r="E393" s="589"/>
      <c r="F393" s="595">
        <f t="shared" si="421"/>
        <v>0</v>
      </c>
      <c r="G393" s="596"/>
      <c r="H393" s="597"/>
      <c r="I393" s="597"/>
      <c r="J393" s="597"/>
      <c r="K393" s="597"/>
      <c r="L393" s="597"/>
      <c r="M393" s="597"/>
      <c r="N393" s="597"/>
      <c r="O393" s="597"/>
      <c r="P393" s="597"/>
      <c r="Q393" s="597"/>
      <c r="R393" s="598"/>
      <c r="S393" s="599"/>
      <c r="T393" s="597"/>
      <c r="U393" s="597"/>
      <c r="V393" s="597"/>
      <c r="W393" s="597"/>
      <c r="X393" s="597"/>
      <c r="Y393" s="597"/>
      <c r="Z393" s="597"/>
      <c r="AA393" s="597"/>
      <c r="AB393" s="597"/>
      <c r="AC393" s="597"/>
      <c r="AD393" s="600"/>
      <c r="AE393" s="596"/>
      <c r="AF393" s="597"/>
      <c r="AG393" s="597"/>
      <c r="AH393" s="600"/>
      <c r="AI393" s="568"/>
      <c r="AK393" s="617">
        <f t="shared" si="339"/>
        <v>0</v>
      </c>
    </row>
    <row r="394" spans="1:37" ht="30">
      <c r="A394" s="570" t="s">
        <v>14053</v>
      </c>
      <c r="B394" s="571" t="str">
        <f>PLANILHA!D391</f>
        <v>TUBO PVC, SÉRIE R, ÁGUA PLUVIAL, DN 75 MM, FORNECIDO E INSTALADO EM RAMAL DE ENCAMINHAMENTO. AF_12/2014</v>
      </c>
      <c r="C394" s="572" t="str">
        <f>PLANILHA!E391</f>
        <v>M</v>
      </c>
      <c r="D394" s="573">
        <f>PLANILHA!F391</f>
        <v>9</v>
      </c>
      <c r="E394" s="573">
        <f t="shared" ref="E394:E400" si="422">VLOOKUP(A394,PLANILHA,$G$7,0)</f>
        <v>55.63</v>
      </c>
      <c r="F394" s="574">
        <f t="shared" si="421"/>
        <v>500.67</v>
      </c>
      <c r="G394" s="580"/>
      <c r="H394" s="576">
        <f t="shared" ref="H394:H400" si="423">G394*$E394</f>
        <v>0</v>
      </c>
      <c r="I394" s="576"/>
      <c r="J394" s="576">
        <f t="shared" ref="J394:J400" si="424">I394*$E394</f>
        <v>0</v>
      </c>
      <c r="K394" s="576">
        <f>D394</f>
        <v>9</v>
      </c>
      <c r="L394" s="576">
        <f>TRUNC(K394*$E394,2)</f>
        <v>500.67</v>
      </c>
      <c r="M394" s="576"/>
      <c r="N394" s="576">
        <f t="shared" ref="N394:N400" si="425">M394*$E394</f>
        <v>0</v>
      </c>
      <c r="O394" s="576"/>
      <c r="P394" s="576">
        <f t="shared" ref="P394:P400" si="426">O394*$E394</f>
        <v>0</v>
      </c>
      <c r="Q394" s="576"/>
      <c r="R394" s="577">
        <f t="shared" ref="R394:R400" si="427">Q394*$E394</f>
        <v>0</v>
      </c>
      <c r="S394" s="578"/>
      <c r="T394" s="576">
        <f t="shared" ref="T394:T400" si="428">S394*$E394</f>
        <v>0</v>
      </c>
      <c r="U394" s="576"/>
      <c r="V394" s="576">
        <f t="shared" ref="V394:V400" si="429">U394*$E394</f>
        <v>0</v>
      </c>
      <c r="W394" s="576"/>
      <c r="X394" s="576">
        <f t="shared" ref="X394:X400" si="430">W394*$E394</f>
        <v>0</v>
      </c>
      <c r="Y394" s="576"/>
      <c r="Z394" s="576">
        <f t="shared" ref="Z394:Z400" si="431">Y394*$E394</f>
        <v>0</v>
      </c>
      <c r="AA394" s="576"/>
      <c r="AB394" s="576">
        <f t="shared" ref="AB394:AB400" si="432">AA394*$E394</f>
        <v>0</v>
      </c>
      <c r="AC394" s="576"/>
      <c r="AD394" s="579">
        <f t="shared" ref="AD394:AD400" si="433">AC394*$E394</f>
        <v>0</v>
      </c>
      <c r="AE394" s="580">
        <f t="shared" ref="AE394:AE400" si="434">AC394+AA394+Y394+W394+U394+S394+Q394+O394+M394+K394+I394+G394</f>
        <v>9</v>
      </c>
      <c r="AF394" s="576">
        <f t="shared" ref="AF394:AF400" si="435">TRUNC(AE394*E394,2)</f>
        <v>500.67</v>
      </c>
      <c r="AG394" s="576">
        <f t="shared" ref="AG394:AG400" si="436">D394-AE394</f>
        <v>0</v>
      </c>
      <c r="AH394" s="579">
        <f t="shared" ref="AH394:AH400" si="437">AG394*E394</f>
        <v>0</v>
      </c>
      <c r="AK394" s="617">
        <f t="shared" si="339"/>
        <v>0</v>
      </c>
    </row>
    <row r="395" spans="1:37" ht="30">
      <c r="A395" s="570" t="s">
        <v>14054</v>
      </c>
      <c r="B395" s="571" t="str">
        <f>PLANILHA!D392</f>
        <v>TUBO PVC, SÉRIE R, ÁGUA PLUVIAL, DN 100 MM, FORNECIDO E INSTALADO EM RAMAL DE ENCAMINHAMENTO. AF_12/2014</v>
      </c>
      <c r="C395" s="572" t="str">
        <f>PLANILHA!E392</f>
        <v>M</v>
      </c>
      <c r="D395" s="573">
        <f>PLANILHA!F392</f>
        <v>98</v>
      </c>
      <c r="E395" s="573">
        <f t="shared" si="422"/>
        <v>89.73</v>
      </c>
      <c r="F395" s="574">
        <f t="shared" si="421"/>
        <v>8793.5400000000009</v>
      </c>
      <c r="G395" s="580"/>
      <c r="H395" s="576">
        <f t="shared" si="423"/>
        <v>0</v>
      </c>
      <c r="I395" s="576"/>
      <c r="J395" s="576">
        <f t="shared" si="424"/>
        <v>0</v>
      </c>
      <c r="K395" s="576">
        <f t="shared" ref="K395:K400" si="438">D395</f>
        <v>98</v>
      </c>
      <c r="L395" s="576">
        <f t="shared" ref="L395:L400" si="439">TRUNC(K395*$E395,2)</f>
        <v>8793.5400000000009</v>
      </c>
      <c r="M395" s="576"/>
      <c r="N395" s="576">
        <f t="shared" si="425"/>
        <v>0</v>
      </c>
      <c r="O395" s="576"/>
      <c r="P395" s="576">
        <f t="shared" si="426"/>
        <v>0</v>
      </c>
      <c r="Q395" s="576"/>
      <c r="R395" s="577">
        <f t="shared" si="427"/>
        <v>0</v>
      </c>
      <c r="S395" s="578"/>
      <c r="T395" s="576">
        <f t="shared" si="428"/>
        <v>0</v>
      </c>
      <c r="U395" s="576"/>
      <c r="V395" s="576">
        <f t="shared" si="429"/>
        <v>0</v>
      </c>
      <c r="W395" s="576"/>
      <c r="X395" s="576">
        <f t="shared" si="430"/>
        <v>0</v>
      </c>
      <c r="Y395" s="576"/>
      <c r="Z395" s="576">
        <f t="shared" si="431"/>
        <v>0</v>
      </c>
      <c r="AA395" s="576"/>
      <c r="AB395" s="576">
        <f t="shared" si="432"/>
        <v>0</v>
      </c>
      <c r="AC395" s="576"/>
      <c r="AD395" s="579">
        <f t="shared" si="433"/>
        <v>0</v>
      </c>
      <c r="AE395" s="580">
        <f t="shared" si="434"/>
        <v>98</v>
      </c>
      <c r="AF395" s="576">
        <f t="shared" si="435"/>
        <v>8793.5400000000009</v>
      </c>
      <c r="AG395" s="576">
        <f t="shared" si="436"/>
        <v>0</v>
      </c>
      <c r="AH395" s="579">
        <f t="shared" si="437"/>
        <v>0</v>
      </c>
      <c r="AK395" s="617">
        <f t="shared" si="339"/>
        <v>0</v>
      </c>
    </row>
    <row r="396" spans="1:37" ht="45">
      <c r="A396" s="570" t="s">
        <v>14055</v>
      </c>
      <c r="B396" s="571" t="str">
        <f>PLANILHA!D393</f>
        <v>REDUÇÃO EXCÊNTRICA, PVC, SERIE R, ÁGUA PLUVIAL, DN 100 X 50 MM, JUNTA PLÁSTICA, FORNECIDO E INSTALADO EM RAMAL DE ENCAMINHAMENTO. AF_12/2014. FORNECIMENTO E INSTALAÇÃO.</v>
      </c>
      <c r="C396" s="572" t="str">
        <f>PLANILHA!E393</f>
        <v>UND</v>
      </c>
      <c r="D396" s="573">
        <f>PLANILHA!F393</f>
        <v>10</v>
      </c>
      <c r="E396" s="573">
        <f t="shared" si="422"/>
        <v>17.670000000000002</v>
      </c>
      <c r="F396" s="574">
        <f t="shared" si="421"/>
        <v>176.7</v>
      </c>
      <c r="G396" s="580"/>
      <c r="H396" s="576">
        <f t="shared" si="423"/>
        <v>0</v>
      </c>
      <c r="I396" s="576"/>
      <c r="J396" s="576">
        <f t="shared" si="424"/>
        <v>0</v>
      </c>
      <c r="K396" s="576">
        <f t="shared" si="438"/>
        <v>10</v>
      </c>
      <c r="L396" s="576">
        <f t="shared" si="439"/>
        <v>176.7</v>
      </c>
      <c r="M396" s="576"/>
      <c r="N396" s="576">
        <f t="shared" si="425"/>
        <v>0</v>
      </c>
      <c r="O396" s="576"/>
      <c r="P396" s="576">
        <f t="shared" si="426"/>
        <v>0</v>
      </c>
      <c r="Q396" s="576"/>
      <c r="R396" s="577">
        <f t="shared" si="427"/>
        <v>0</v>
      </c>
      <c r="S396" s="578"/>
      <c r="T396" s="576">
        <f t="shared" si="428"/>
        <v>0</v>
      </c>
      <c r="U396" s="576"/>
      <c r="V396" s="576">
        <f t="shared" si="429"/>
        <v>0</v>
      </c>
      <c r="W396" s="576"/>
      <c r="X396" s="576">
        <f t="shared" si="430"/>
        <v>0</v>
      </c>
      <c r="Y396" s="576"/>
      <c r="Z396" s="576">
        <f t="shared" si="431"/>
        <v>0</v>
      </c>
      <c r="AA396" s="576"/>
      <c r="AB396" s="576">
        <f t="shared" si="432"/>
        <v>0</v>
      </c>
      <c r="AC396" s="576"/>
      <c r="AD396" s="579">
        <f t="shared" si="433"/>
        <v>0</v>
      </c>
      <c r="AE396" s="580">
        <f t="shared" si="434"/>
        <v>10</v>
      </c>
      <c r="AF396" s="576">
        <f t="shared" si="435"/>
        <v>176.7</v>
      </c>
      <c r="AG396" s="576">
        <f t="shared" si="436"/>
        <v>0</v>
      </c>
      <c r="AH396" s="579">
        <f t="shared" si="437"/>
        <v>0</v>
      </c>
      <c r="AK396" s="617">
        <f t="shared" si="339"/>
        <v>0</v>
      </c>
    </row>
    <row r="397" spans="1:37" ht="45">
      <c r="A397" s="570" t="s">
        <v>14056</v>
      </c>
      <c r="B397" s="571" t="str">
        <f>PLANILHA!D394</f>
        <v>JOELHO 90 GRAUS, PVC, SERIE NORMAL, ESGOTO PREDIAL, DN 100 MM, JUNTA ELÁSTICA, FORNECIDO E INSTALADO EM SUBCOLETOR AÉREO DE ESGOTO SANITÁRIO. AF_12/2014</v>
      </c>
      <c r="C397" s="572" t="str">
        <f>PLANILHA!E394</f>
        <v>UN</v>
      </c>
      <c r="D397" s="573">
        <f>PLANILHA!F394</f>
        <v>29</v>
      </c>
      <c r="E397" s="573">
        <f t="shared" si="422"/>
        <v>31.55</v>
      </c>
      <c r="F397" s="574">
        <f t="shared" si="421"/>
        <v>914.95</v>
      </c>
      <c r="G397" s="580"/>
      <c r="H397" s="576">
        <f t="shared" si="423"/>
        <v>0</v>
      </c>
      <c r="I397" s="576"/>
      <c r="J397" s="576">
        <f t="shared" si="424"/>
        <v>0</v>
      </c>
      <c r="K397" s="576">
        <f t="shared" si="438"/>
        <v>29</v>
      </c>
      <c r="L397" s="576">
        <f t="shared" si="439"/>
        <v>914.95</v>
      </c>
      <c r="M397" s="576"/>
      <c r="N397" s="576">
        <f t="shared" si="425"/>
        <v>0</v>
      </c>
      <c r="O397" s="576"/>
      <c r="P397" s="576">
        <f t="shared" si="426"/>
        <v>0</v>
      </c>
      <c r="Q397" s="576"/>
      <c r="R397" s="577">
        <f t="shared" si="427"/>
        <v>0</v>
      </c>
      <c r="S397" s="578"/>
      <c r="T397" s="576">
        <f t="shared" si="428"/>
        <v>0</v>
      </c>
      <c r="U397" s="576"/>
      <c r="V397" s="576">
        <f t="shared" si="429"/>
        <v>0</v>
      </c>
      <c r="W397" s="576"/>
      <c r="X397" s="576">
        <f t="shared" si="430"/>
        <v>0</v>
      </c>
      <c r="Y397" s="576"/>
      <c r="Z397" s="576">
        <f t="shared" si="431"/>
        <v>0</v>
      </c>
      <c r="AA397" s="576"/>
      <c r="AB397" s="576">
        <f t="shared" si="432"/>
        <v>0</v>
      </c>
      <c r="AC397" s="576"/>
      <c r="AD397" s="579">
        <f t="shared" si="433"/>
        <v>0</v>
      </c>
      <c r="AE397" s="580">
        <f t="shared" si="434"/>
        <v>29</v>
      </c>
      <c r="AF397" s="576">
        <f t="shared" si="435"/>
        <v>914.95</v>
      </c>
      <c r="AG397" s="576">
        <f t="shared" si="436"/>
        <v>0</v>
      </c>
      <c r="AH397" s="579">
        <f t="shared" si="437"/>
        <v>0</v>
      </c>
      <c r="AK397" s="617">
        <f t="shared" si="339"/>
        <v>0</v>
      </c>
    </row>
    <row r="398" spans="1:37" ht="45">
      <c r="A398" s="570" t="s">
        <v>14057</v>
      </c>
      <c r="B398" s="571" t="str">
        <f>PLANILHA!D395</f>
        <v>JOELHO 90 GRAUS, PVC, SERIE NORMAL, ESGOTO PREDIAL, DN 75 MM, JUNTA ELÁSTICA, FORNECIDO E INSTALADO EM PRUMADA DE ESGOTO SANITÁRIO OU VENTILAÇÃO. AF_12/2014</v>
      </c>
      <c r="C398" s="572" t="str">
        <f>PLANILHA!E395</f>
        <v>UN</v>
      </c>
      <c r="D398" s="573">
        <f>PLANILHA!F395</f>
        <v>3</v>
      </c>
      <c r="E398" s="573">
        <f t="shared" si="422"/>
        <v>19.73</v>
      </c>
      <c r="F398" s="574">
        <f t="shared" si="421"/>
        <v>59.19</v>
      </c>
      <c r="G398" s="580"/>
      <c r="H398" s="576">
        <f t="shared" si="423"/>
        <v>0</v>
      </c>
      <c r="I398" s="576"/>
      <c r="J398" s="576">
        <f t="shared" si="424"/>
        <v>0</v>
      </c>
      <c r="K398" s="576">
        <f t="shared" si="438"/>
        <v>3</v>
      </c>
      <c r="L398" s="576">
        <f t="shared" si="439"/>
        <v>59.19</v>
      </c>
      <c r="M398" s="576"/>
      <c r="N398" s="576">
        <f t="shared" si="425"/>
        <v>0</v>
      </c>
      <c r="O398" s="576"/>
      <c r="P398" s="576">
        <f t="shared" si="426"/>
        <v>0</v>
      </c>
      <c r="Q398" s="576"/>
      <c r="R398" s="577">
        <f t="shared" si="427"/>
        <v>0</v>
      </c>
      <c r="S398" s="578"/>
      <c r="T398" s="576">
        <f t="shared" si="428"/>
        <v>0</v>
      </c>
      <c r="U398" s="576"/>
      <c r="V398" s="576">
        <f t="shared" si="429"/>
        <v>0</v>
      </c>
      <c r="W398" s="576"/>
      <c r="X398" s="576">
        <f t="shared" si="430"/>
        <v>0</v>
      </c>
      <c r="Y398" s="576"/>
      <c r="Z398" s="576">
        <f t="shared" si="431"/>
        <v>0</v>
      </c>
      <c r="AA398" s="576"/>
      <c r="AB398" s="576">
        <f t="shared" si="432"/>
        <v>0</v>
      </c>
      <c r="AC398" s="576"/>
      <c r="AD398" s="579">
        <f t="shared" si="433"/>
        <v>0</v>
      </c>
      <c r="AE398" s="580">
        <f t="shared" si="434"/>
        <v>3</v>
      </c>
      <c r="AF398" s="576">
        <f t="shared" si="435"/>
        <v>59.19</v>
      </c>
      <c r="AG398" s="576">
        <f t="shared" si="436"/>
        <v>0</v>
      </c>
      <c r="AH398" s="579">
        <f t="shared" si="437"/>
        <v>0</v>
      </c>
      <c r="AK398" s="617">
        <f t="shared" ref="AK398:AK461" si="440">F398-AF398</f>
        <v>0</v>
      </c>
    </row>
    <row r="399" spans="1:37" ht="45">
      <c r="A399" s="570" t="s">
        <v>14058</v>
      </c>
      <c r="B399" s="571" t="str">
        <f>PLANILHA!D396</f>
        <v>JOELHO 45 GRAUS, PVC, SERIE NORMAL, ESGOTO PREDIAL, DN 100 MM, JUNTA ELÁSTICA, FORNECIDO E INSTALADO EM SUBCOLETOR AÉREO DE ESGOTO SANITÁRIO. AF_12/2014</v>
      </c>
      <c r="C399" s="572" t="str">
        <f>PLANILHA!E396</f>
        <v>UN</v>
      </c>
      <c r="D399" s="573">
        <f>PLANILHA!F396</f>
        <v>1</v>
      </c>
      <c r="E399" s="573">
        <f t="shared" si="422"/>
        <v>31.47</v>
      </c>
      <c r="F399" s="574">
        <f t="shared" si="421"/>
        <v>31.47</v>
      </c>
      <c r="G399" s="580"/>
      <c r="H399" s="576">
        <f t="shared" si="423"/>
        <v>0</v>
      </c>
      <c r="I399" s="576"/>
      <c r="J399" s="576">
        <f t="shared" si="424"/>
        <v>0</v>
      </c>
      <c r="K399" s="576">
        <f t="shared" si="438"/>
        <v>1</v>
      </c>
      <c r="L399" s="576">
        <f t="shared" si="439"/>
        <v>31.47</v>
      </c>
      <c r="M399" s="576"/>
      <c r="N399" s="576">
        <f t="shared" si="425"/>
        <v>0</v>
      </c>
      <c r="O399" s="576"/>
      <c r="P399" s="576">
        <f t="shared" si="426"/>
        <v>0</v>
      </c>
      <c r="Q399" s="576"/>
      <c r="R399" s="577">
        <f t="shared" si="427"/>
        <v>0</v>
      </c>
      <c r="S399" s="578"/>
      <c r="T399" s="576">
        <f t="shared" si="428"/>
        <v>0</v>
      </c>
      <c r="U399" s="576"/>
      <c r="V399" s="576">
        <f t="shared" si="429"/>
        <v>0</v>
      </c>
      <c r="W399" s="576"/>
      <c r="X399" s="576">
        <f t="shared" si="430"/>
        <v>0</v>
      </c>
      <c r="Y399" s="576"/>
      <c r="Z399" s="576">
        <f t="shared" si="431"/>
        <v>0</v>
      </c>
      <c r="AA399" s="576"/>
      <c r="AB399" s="576">
        <f t="shared" si="432"/>
        <v>0</v>
      </c>
      <c r="AC399" s="576"/>
      <c r="AD399" s="579">
        <f t="shared" si="433"/>
        <v>0</v>
      </c>
      <c r="AE399" s="580">
        <f t="shared" si="434"/>
        <v>1</v>
      </c>
      <c r="AF399" s="576">
        <f t="shared" si="435"/>
        <v>31.47</v>
      </c>
      <c r="AG399" s="576">
        <f t="shared" si="436"/>
        <v>0</v>
      </c>
      <c r="AH399" s="579">
        <f t="shared" si="437"/>
        <v>0</v>
      </c>
      <c r="AK399" s="617">
        <f t="shared" si="440"/>
        <v>0</v>
      </c>
    </row>
    <row r="400" spans="1:37" ht="45">
      <c r="A400" s="570" t="s">
        <v>14059</v>
      </c>
      <c r="B400" s="571" t="str">
        <f>PLANILHA!D397</f>
        <v>JOELHO 45 GRAUS, PVC, SERIE NORMAL, ESGOTO PREDIAL, DN 75 MM, JUNTA ELÁSTICA, FORNECIDO E INSTALADO EM PRUMADA DE ESGOTO SANITÁRIO OU VENTILAÇÃO. AF_12/2014</v>
      </c>
      <c r="C400" s="572" t="str">
        <f>PLANILHA!E397</f>
        <v>UN</v>
      </c>
      <c r="D400" s="573">
        <f>PLANILHA!F397</f>
        <v>1</v>
      </c>
      <c r="E400" s="573">
        <f t="shared" si="422"/>
        <v>21.08</v>
      </c>
      <c r="F400" s="574">
        <f t="shared" si="421"/>
        <v>21.08</v>
      </c>
      <c r="G400" s="580"/>
      <c r="H400" s="576">
        <f t="shared" si="423"/>
        <v>0</v>
      </c>
      <c r="I400" s="576"/>
      <c r="J400" s="576">
        <f t="shared" si="424"/>
        <v>0</v>
      </c>
      <c r="K400" s="576">
        <f t="shared" si="438"/>
        <v>1</v>
      </c>
      <c r="L400" s="576">
        <f t="shared" si="439"/>
        <v>21.08</v>
      </c>
      <c r="M400" s="576"/>
      <c r="N400" s="576">
        <f t="shared" si="425"/>
        <v>0</v>
      </c>
      <c r="O400" s="576"/>
      <c r="P400" s="576">
        <f t="shared" si="426"/>
        <v>0</v>
      </c>
      <c r="Q400" s="576"/>
      <c r="R400" s="577">
        <f t="shared" si="427"/>
        <v>0</v>
      </c>
      <c r="S400" s="578"/>
      <c r="T400" s="576">
        <f t="shared" si="428"/>
        <v>0</v>
      </c>
      <c r="U400" s="576"/>
      <c r="V400" s="576">
        <f t="shared" si="429"/>
        <v>0</v>
      </c>
      <c r="W400" s="576"/>
      <c r="X400" s="576">
        <f t="shared" si="430"/>
        <v>0</v>
      </c>
      <c r="Y400" s="576"/>
      <c r="Z400" s="576">
        <f t="shared" si="431"/>
        <v>0</v>
      </c>
      <c r="AA400" s="576"/>
      <c r="AB400" s="576">
        <f t="shared" si="432"/>
        <v>0</v>
      </c>
      <c r="AC400" s="576"/>
      <c r="AD400" s="579">
        <f t="shared" si="433"/>
        <v>0</v>
      </c>
      <c r="AE400" s="580">
        <f t="shared" si="434"/>
        <v>1</v>
      </c>
      <c r="AF400" s="576">
        <f t="shared" si="435"/>
        <v>21.08</v>
      </c>
      <c r="AG400" s="576">
        <f t="shared" si="436"/>
        <v>0</v>
      </c>
      <c r="AH400" s="579">
        <f t="shared" si="437"/>
        <v>0</v>
      </c>
      <c r="AK400" s="617">
        <f t="shared" si="440"/>
        <v>0</v>
      </c>
    </row>
    <row r="401" spans="1:37" s="569" customFormat="1">
      <c r="A401" s="581" t="s">
        <v>14627</v>
      </c>
      <c r="B401" s="582"/>
      <c r="C401" s="583"/>
      <c r="D401" s="584"/>
      <c r="E401" s="584"/>
      <c r="F401" s="585">
        <f t="shared" si="421"/>
        <v>10497.600000000002</v>
      </c>
      <c r="G401" s="586"/>
      <c r="H401" s="584">
        <f>SUM(H394:H400)</f>
        <v>0</v>
      </c>
      <c r="I401" s="584"/>
      <c r="J401" s="584">
        <f>SUM(J394:J400)</f>
        <v>0</v>
      </c>
      <c r="K401" s="584"/>
      <c r="L401" s="584">
        <f>SUM(L394:L400)</f>
        <v>10497.600000000002</v>
      </c>
      <c r="M401" s="584"/>
      <c r="N401" s="584">
        <f>SUM(N394:N400)</f>
        <v>0</v>
      </c>
      <c r="O401" s="584"/>
      <c r="P401" s="584">
        <f>SUM(P394:P400)</f>
        <v>0</v>
      </c>
      <c r="Q401" s="584"/>
      <c r="R401" s="587">
        <f>SUM(R394:R400)</f>
        <v>0</v>
      </c>
      <c r="S401" s="588"/>
      <c r="T401" s="584">
        <f>SUM(T394:T400)</f>
        <v>0</v>
      </c>
      <c r="U401" s="584"/>
      <c r="V401" s="584">
        <f>SUM(V394:V400)</f>
        <v>0</v>
      </c>
      <c r="W401" s="584"/>
      <c r="X401" s="584">
        <f>SUM(X394:X400)</f>
        <v>0</v>
      </c>
      <c r="Y401" s="584"/>
      <c r="Z401" s="584">
        <f>SUM(Z394:Z400)</f>
        <v>0</v>
      </c>
      <c r="AA401" s="584"/>
      <c r="AB401" s="584">
        <f>SUM(AB394:AB400)</f>
        <v>0</v>
      </c>
      <c r="AC401" s="584"/>
      <c r="AD401" s="585">
        <f>SUM(AD394:AD400)</f>
        <v>0</v>
      </c>
      <c r="AE401" s="590"/>
      <c r="AF401" s="584">
        <f>SUM(AF394:AF400)</f>
        <v>10497.600000000002</v>
      </c>
      <c r="AG401" s="591"/>
      <c r="AH401" s="585">
        <f>SUM(AH394:AH400)</f>
        <v>0</v>
      </c>
      <c r="AI401" s="568"/>
      <c r="AK401" s="617">
        <f t="shared" si="440"/>
        <v>0</v>
      </c>
    </row>
    <row r="402" spans="1:37">
      <c r="A402" s="570"/>
      <c r="B402" s="571"/>
      <c r="C402" s="572"/>
      <c r="D402" s="573"/>
      <c r="E402" s="573"/>
      <c r="F402" s="574"/>
      <c r="G402" s="580"/>
      <c r="H402" s="576"/>
      <c r="I402" s="576"/>
      <c r="J402" s="576"/>
      <c r="K402" s="576"/>
      <c r="L402" s="576"/>
      <c r="M402" s="576"/>
      <c r="N402" s="576"/>
      <c r="O402" s="576"/>
      <c r="P402" s="576"/>
      <c r="Q402" s="576"/>
      <c r="R402" s="577"/>
      <c r="S402" s="578"/>
      <c r="T402" s="576"/>
      <c r="U402" s="576"/>
      <c r="V402" s="576"/>
      <c r="W402" s="576"/>
      <c r="X402" s="576"/>
      <c r="Y402" s="576"/>
      <c r="Z402" s="576"/>
      <c r="AA402" s="576"/>
      <c r="AB402" s="576"/>
      <c r="AC402" s="576"/>
      <c r="AD402" s="579"/>
      <c r="AE402" s="580"/>
      <c r="AF402" s="576"/>
      <c r="AG402" s="576"/>
      <c r="AH402" s="579"/>
      <c r="AK402" s="617">
        <f t="shared" si="440"/>
        <v>0</v>
      </c>
    </row>
    <row r="403" spans="1:37" s="569" customFormat="1">
      <c r="A403" s="558" t="s">
        <v>14060</v>
      </c>
      <c r="B403" s="559" t="str">
        <f>PLANILHA!D401</f>
        <v>SPDA - SISTEMA DE PROTEÇÃO CONTRA DESARGA ATMOSFERICA</v>
      </c>
      <c r="C403" s="560"/>
      <c r="D403" s="561"/>
      <c r="E403" s="561"/>
      <c r="F403" s="562">
        <f t="shared" ref="F403:F421" si="441">VLOOKUP(A403,PLANILHA,$G$6,0)</f>
        <v>0</v>
      </c>
      <c r="G403" s="563"/>
      <c r="H403" s="564"/>
      <c r="I403" s="564"/>
      <c r="J403" s="564"/>
      <c r="K403" s="564"/>
      <c r="L403" s="564"/>
      <c r="M403" s="564"/>
      <c r="N403" s="564"/>
      <c r="O403" s="564"/>
      <c r="P403" s="564"/>
      <c r="Q403" s="564"/>
      <c r="R403" s="565"/>
      <c r="S403" s="566"/>
      <c r="T403" s="564"/>
      <c r="U403" s="564"/>
      <c r="V403" s="564"/>
      <c r="W403" s="564"/>
      <c r="X403" s="564"/>
      <c r="Y403" s="564"/>
      <c r="Z403" s="564"/>
      <c r="AA403" s="564"/>
      <c r="AB403" s="564"/>
      <c r="AC403" s="564"/>
      <c r="AD403" s="567"/>
      <c r="AE403" s="563"/>
      <c r="AF403" s="564"/>
      <c r="AG403" s="564"/>
      <c r="AH403" s="567"/>
      <c r="AI403" s="568"/>
      <c r="AK403" s="617">
        <f t="shared" si="440"/>
        <v>0</v>
      </c>
    </row>
    <row r="404" spans="1:37" ht="30">
      <c r="A404" s="570" t="s">
        <v>14061</v>
      </c>
      <c r="B404" s="571" t="str">
        <f>PLANILHA!D402</f>
        <v>ESCAVAÇÃO MANUAL DE VALA COM PROFUNDIDADE MENOR OU IGUAL A 1,30 M. AF_02/2021</v>
      </c>
      <c r="C404" s="572" t="str">
        <f>PLANILHA!E402</f>
        <v>M3</v>
      </c>
      <c r="D404" s="573">
        <f>PLANILHA!F402</f>
        <v>20.6</v>
      </c>
      <c r="E404" s="573">
        <f t="shared" ref="E404:E420" si="442">VLOOKUP(A404,PLANILHA,$G$7,0)</f>
        <v>81.36</v>
      </c>
      <c r="F404" s="574">
        <f t="shared" si="441"/>
        <v>1676.01</v>
      </c>
      <c r="G404" s="580"/>
      <c r="H404" s="576">
        <f t="shared" ref="H404:H411" si="443">G404*$E404</f>
        <v>0</v>
      </c>
      <c r="I404" s="576"/>
      <c r="J404" s="576">
        <f t="shared" ref="J404:J411" si="444">I404*$E404</f>
        <v>0</v>
      </c>
      <c r="K404" s="576"/>
      <c r="L404" s="576">
        <f t="shared" ref="L404:L411" si="445">K404*$E404</f>
        <v>0</v>
      </c>
      <c r="M404" s="576"/>
      <c r="N404" s="576">
        <f t="shared" ref="N404:N411" si="446">M404*$E404</f>
        <v>0</v>
      </c>
      <c r="O404" s="576"/>
      <c r="P404" s="576">
        <f t="shared" ref="P404:P411" si="447">O404*$E404</f>
        <v>0</v>
      </c>
      <c r="Q404" s="576">
        <f>D404</f>
        <v>20.6</v>
      </c>
      <c r="R404" s="577">
        <f>TRUNC(Q404*$E404,2)</f>
        <v>1676.01</v>
      </c>
      <c r="S404" s="578"/>
      <c r="T404" s="576">
        <f t="shared" ref="T404:T411" si="448">S404*$E404</f>
        <v>0</v>
      </c>
      <c r="U404" s="576"/>
      <c r="V404" s="576">
        <f t="shared" ref="V404:V411" si="449">U404*$E404</f>
        <v>0</v>
      </c>
      <c r="W404" s="576"/>
      <c r="X404" s="576">
        <f t="shared" ref="X404:X411" si="450">W404*$E404</f>
        <v>0</v>
      </c>
      <c r="Y404" s="576"/>
      <c r="Z404" s="576">
        <f t="shared" ref="Z404:Z411" si="451">Y404*$E404</f>
        <v>0</v>
      </c>
      <c r="AA404" s="576"/>
      <c r="AB404" s="576">
        <f t="shared" ref="AB404:AB411" si="452">AA404*$E404</f>
        <v>0</v>
      </c>
      <c r="AC404" s="576"/>
      <c r="AD404" s="579">
        <f t="shared" ref="AD404:AD411" si="453">AC404*$E404</f>
        <v>0</v>
      </c>
      <c r="AE404" s="580">
        <f t="shared" ref="AE404:AE411" si="454">AC404+AA404+Y404+W404+U404+S404+Q404+O404+M404+K404+I404+G404</f>
        <v>20.6</v>
      </c>
      <c r="AF404" s="576">
        <f t="shared" ref="AF404:AF420" si="455">TRUNC(AE404*E404,2)</f>
        <v>1676.01</v>
      </c>
      <c r="AG404" s="576">
        <f t="shared" ref="AG404:AG411" si="456">D404-AE404</f>
        <v>0</v>
      </c>
      <c r="AH404" s="579">
        <f t="shared" ref="AH404:AH411" si="457">AG404*E404</f>
        <v>0</v>
      </c>
      <c r="AK404" s="617">
        <f t="shared" si="440"/>
        <v>0</v>
      </c>
    </row>
    <row r="405" spans="1:37" ht="30">
      <c r="A405" s="570" t="s">
        <v>14062</v>
      </c>
      <c r="B405" s="571" t="str">
        <f>PLANILHA!D403</f>
        <v>REATERRO MANUAL DE VALAS COM COMPACTAÇÃO MECANIZADA. AF_04/2016</v>
      </c>
      <c r="C405" s="572" t="str">
        <f>PLANILHA!E403</f>
        <v>M3</v>
      </c>
      <c r="D405" s="573">
        <f>PLANILHA!F403</f>
        <v>20.6</v>
      </c>
      <c r="E405" s="573">
        <f t="shared" si="442"/>
        <v>29.15</v>
      </c>
      <c r="F405" s="574">
        <f t="shared" si="441"/>
        <v>600.49</v>
      </c>
      <c r="G405" s="580"/>
      <c r="H405" s="576">
        <f t="shared" si="443"/>
        <v>0</v>
      </c>
      <c r="I405" s="576"/>
      <c r="J405" s="576">
        <f t="shared" si="444"/>
        <v>0</v>
      </c>
      <c r="K405" s="576"/>
      <c r="L405" s="576">
        <f t="shared" si="445"/>
        <v>0</v>
      </c>
      <c r="M405" s="576"/>
      <c r="N405" s="576">
        <f t="shared" si="446"/>
        <v>0</v>
      </c>
      <c r="O405" s="576"/>
      <c r="P405" s="576">
        <f t="shared" si="447"/>
        <v>0</v>
      </c>
      <c r="Q405" s="576">
        <f t="shared" ref="Q405:Q420" si="458">D405</f>
        <v>20.6</v>
      </c>
      <c r="R405" s="577">
        <f t="shared" ref="R405:R420" si="459">TRUNC(Q405*$E405,2)</f>
        <v>600.49</v>
      </c>
      <c r="S405" s="578"/>
      <c r="T405" s="576">
        <f t="shared" si="448"/>
        <v>0</v>
      </c>
      <c r="U405" s="576"/>
      <c r="V405" s="576">
        <f t="shared" si="449"/>
        <v>0</v>
      </c>
      <c r="W405" s="576"/>
      <c r="X405" s="576">
        <f t="shared" si="450"/>
        <v>0</v>
      </c>
      <c r="Y405" s="576"/>
      <c r="Z405" s="576">
        <f t="shared" si="451"/>
        <v>0</v>
      </c>
      <c r="AA405" s="576"/>
      <c r="AB405" s="576">
        <f t="shared" si="452"/>
        <v>0</v>
      </c>
      <c r="AC405" s="576"/>
      <c r="AD405" s="579">
        <f t="shared" si="453"/>
        <v>0</v>
      </c>
      <c r="AE405" s="580">
        <f t="shared" si="454"/>
        <v>20.6</v>
      </c>
      <c r="AF405" s="576">
        <f t="shared" si="455"/>
        <v>600.49</v>
      </c>
      <c r="AG405" s="576">
        <f t="shared" si="456"/>
        <v>0</v>
      </c>
      <c r="AH405" s="579">
        <f t="shared" si="457"/>
        <v>0</v>
      </c>
      <c r="AK405" s="617">
        <f t="shared" si="440"/>
        <v>0</v>
      </c>
    </row>
    <row r="406" spans="1:37" ht="30">
      <c r="A406" s="570" t="s">
        <v>14063</v>
      </c>
      <c r="B406" s="571" t="str">
        <f>PLANILHA!D404</f>
        <v>HASTE DE ATERRAMENTO 5/8  PARA SPDA - FORNECIMENTO E INSTALAÇÃO. AF_12/2017</v>
      </c>
      <c r="C406" s="572" t="str">
        <f>PLANILHA!E404</f>
        <v>UN</v>
      </c>
      <c r="D406" s="573">
        <f>PLANILHA!F404</f>
        <v>41</v>
      </c>
      <c r="E406" s="573">
        <f t="shared" si="442"/>
        <v>75.040000000000006</v>
      </c>
      <c r="F406" s="574">
        <f t="shared" si="441"/>
        <v>3076.64</v>
      </c>
      <c r="G406" s="580"/>
      <c r="H406" s="576">
        <f t="shared" si="443"/>
        <v>0</v>
      </c>
      <c r="I406" s="576"/>
      <c r="J406" s="576">
        <f t="shared" si="444"/>
        <v>0</v>
      </c>
      <c r="K406" s="576"/>
      <c r="L406" s="576">
        <f t="shared" si="445"/>
        <v>0</v>
      </c>
      <c r="M406" s="576"/>
      <c r="N406" s="576">
        <f t="shared" si="446"/>
        <v>0</v>
      </c>
      <c r="O406" s="576"/>
      <c r="P406" s="576">
        <f t="shared" si="447"/>
        <v>0</v>
      </c>
      <c r="Q406" s="576">
        <f t="shared" si="458"/>
        <v>41</v>
      </c>
      <c r="R406" s="577">
        <f t="shared" si="459"/>
        <v>3076.64</v>
      </c>
      <c r="S406" s="578"/>
      <c r="T406" s="576">
        <f t="shared" si="448"/>
        <v>0</v>
      </c>
      <c r="U406" s="576"/>
      <c r="V406" s="576">
        <f t="shared" si="449"/>
        <v>0</v>
      </c>
      <c r="W406" s="576"/>
      <c r="X406" s="576">
        <f t="shared" si="450"/>
        <v>0</v>
      </c>
      <c r="Y406" s="576"/>
      <c r="Z406" s="576">
        <f t="shared" si="451"/>
        <v>0</v>
      </c>
      <c r="AA406" s="576"/>
      <c r="AB406" s="576">
        <f t="shared" si="452"/>
        <v>0</v>
      </c>
      <c r="AC406" s="576"/>
      <c r="AD406" s="579">
        <f t="shared" si="453"/>
        <v>0</v>
      </c>
      <c r="AE406" s="580">
        <f t="shared" si="454"/>
        <v>41</v>
      </c>
      <c r="AF406" s="576">
        <f t="shared" si="455"/>
        <v>3076.64</v>
      </c>
      <c r="AG406" s="576">
        <f t="shared" si="456"/>
        <v>0</v>
      </c>
      <c r="AH406" s="579">
        <f t="shared" si="457"/>
        <v>0</v>
      </c>
      <c r="AK406" s="617">
        <f t="shared" si="440"/>
        <v>0</v>
      </c>
    </row>
    <row r="407" spans="1:37" ht="45">
      <c r="A407" s="570" t="s">
        <v>14064</v>
      </c>
      <c r="B407" s="571" t="str">
        <f>PLANILHA!D405</f>
        <v>ELETRODUTO RÍGIDO ROSCÁVEL, PVC, DN 32 MM (1"), PARA CIRCUITOS TERMINAIS, INSTALADO EM PAREDE - FORNECIMENTO E INSTALAÇÃO. AF_12/2015</v>
      </c>
      <c r="C407" s="572" t="str">
        <f>PLANILHA!E405</f>
        <v>M</v>
      </c>
      <c r="D407" s="573">
        <f>PLANILHA!F405</f>
        <v>15</v>
      </c>
      <c r="E407" s="573">
        <f t="shared" si="442"/>
        <v>16.8</v>
      </c>
      <c r="F407" s="574">
        <f t="shared" si="441"/>
        <v>252</v>
      </c>
      <c r="G407" s="580"/>
      <c r="H407" s="576">
        <f t="shared" si="443"/>
        <v>0</v>
      </c>
      <c r="I407" s="576"/>
      <c r="J407" s="576">
        <f t="shared" si="444"/>
        <v>0</v>
      </c>
      <c r="K407" s="576"/>
      <c r="L407" s="576">
        <f t="shared" si="445"/>
        <v>0</v>
      </c>
      <c r="M407" s="576"/>
      <c r="N407" s="576">
        <f t="shared" si="446"/>
        <v>0</v>
      </c>
      <c r="O407" s="576"/>
      <c r="P407" s="576">
        <f t="shared" si="447"/>
        <v>0</v>
      </c>
      <c r="Q407" s="576">
        <f t="shared" si="458"/>
        <v>15</v>
      </c>
      <c r="R407" s="577">
        <f t="shared" si="459"/>
        <v>252</v>
      </c>
      <c r="S407" s="578"/>
      <c r="T407" s="576">
        <f t="shared" si="448"/>
        <v>0</v>
      </c>
      <c r="U407" s="576"/>
      <c r="V407" s="576">
        <f t="shared" si="449"/>
        <v>0</v>
      </c>
      <c r="W407" s="576"/>
      <c r="X407" s="576">
        <f t="shared" si="450"/>
        <v>0</v>
      </c>
      <c r="Y407" s="576"/>
      <c r="Z407" s="576">
        <f t="shared" si="451"/>
        <v>0</v>
      </c>
      <c r="AA407" s="576"/>
      <c r="AB407" s="576">
        <f t="shared" si="452"/>
        <v>0</v>
      </c>
      <c r="AC407" s="576"/>
      <c r="AD407" s="579">
        <f t="shared" si="453"/>
        <v>0</v>
      </c>
      <c r="AE407" s="580">
        <f t="shared" si="454"/>
        <v>15</v>
      </c>
      <c r="AF407" s="576">
        <f t="shared" si="455"/>
        <v>252</v>
      </c>
      <c r="AG407" s="576">
        <f t="shared" si="456"/>
        <v>0</v>
      </c>
      <c r="AH407" s="579">
        <f t="shared" si="457"/>
        <v>0</v>
      </c>
      <c r="AK407" s="617">
        <f t="shared" si="440"/>
        <v>0</v>
      </c>
    </row>
    <row r="408" spans="1:37" ht="30">
      <c r="A408" s="570" t="s">
        <v>14065</v>
      </c>
      <c r="B408" s="571" t="str">
        <f>PLANILHA!D406</f>
        <v>CABO DE COBRE NU 50 MM² - FORNECIMENTO E INSTALAÇÃO. AF_12/2017</v>
      </c>
      <c r="C408" s="572" t="str">
        <f>PLANILHA!E406</f>
        <v>M</v>
      </c>
      <c r="D408" s="573">
        <f>PLANILHA!F406</f>
        <v>132</v>
      </c>
      <c r="E408" s="573">
        <f t="shared" si="442"/>
        <v>68.510000000000005</v>
      </c>
      <c r="F408" s="574">
        <f t="shared" si="441"/>
        <v>9043.32</v>
      </c>
      <c r="G408" s="580"/>
      <c r="H408" s="576">
        <f t="shared" si="443"/>
        <v>0</v>
      </c>
      <c r="I408" s="576"/>
      <c r="J408" s="576">
        <f t="shared" si="444"/>
        <v>0</v>
      </c>
      <c r="K408" s="576"/>
      <c r="L408" s="576">
        <f t="shared" si="445"/>
        <v>0</v>
      </c>
      <c r="M408" s="576"/>
      <c r="N408" s="576">
        <f t="shared" si="446"/>
        <v>0</v>
      </c>
      <c r="O408" s="576"/>
      <c r="P408" s="576">
        <f t="shared" si="447"/>
        <v>0</v>
      </c>
      <c r="Q408" s="576">
        <f t="shared" si="458"/>
        <v>132</v>
      </c>
      <c r="R408" s="577">
        <f t="shared" si="459"/>
        <v>9043.32</v>
      </c>
      <c r="S408" s="578"/>
      <c r="T408" s="576">
        <f t="shared" si="448"/>
        <v>0</v>
      </c>
      <c r="U408" s="576"/>
      <c r="V408" s="576">
        <f t="shared" si="449"/>
        <v>0</v>
      </c>
      <c r="W408" s="576"/>
      <c r="X408" s="576">
        <f t="shared" si="450"/>
        <v>0</v>
      </c>
      <c r="Y408" s="576"/>
      <c r="Z408" s="576">
        <f t="shared" si="451"/>
        <v>0</v>
      </c>
      <c r="AA408" s="576"/>
      <c r="AB408" s="576">
        <f t="shared" si="452"/>
        <v>0</v>
      </c>
      <c r="AC408" s="576"/>
      <c r="AD408" s="579">
        <f t="shared" si="453"/>
        <v>0</v>
      </c>
      <c r="AE408" s="580">
        <f t="shared" si="454"/>
        <v>132</v>
      </c>
      <c r="AF408" s="576">
        <f t="shared" si="455"/>
        <v>9043.32</v>
      </c>
      <c r="AG408" s="576">
        <f t="shared" si="456"/>
        <v>0</v>
      </c>
      <c r="AH408" s="579">
        <f t="shared" si="457"/>
        <v>0</v>
      </c>
      <c r="AK408" s="617">
        <f t="shared" si="440"/>
        <v>0</v>
      </c>
    </row>
    <row r="409" spans="1:37" ht="45">
      <c r="A409" s="570" t="s">
        <v>14066</v>
      </c>
      <c r="B409" s="571" t="str">
        <f>PLANILHA!D407</f>
        <v>TERMINAL A COMPRESSAO EM COBRE ESTANHADO PARA CABO 50 MM2, 1 FURO E 1 COMPRESSAO, PARA PARAFUSO DE FIXACAO M8, FORNECIMENTO E INSTALAÇÃO</v>
      </c>
      <c r="C409" s="572" t="str">
        <f>PLANILHA!E407</f>
        <v>UND</v>
      </c>
      <c r="D409" s="573">
        <f>PLANILHA!F407</f>
        <v>18</v>
      </c>
      <c r="E409" s="573">
        <f t="shared" si="442"/>
        <v>9.7100000000000009</v>
      </c>
      <c r="F409" s="574">
        <f t="shared" si="441"/>
        <v>174.78</v>
      </c>
      <c r="G409" s="580"/>
      <c r="H409" s="576">
        <f t="shared" si="443"/>
        <v>0</v>
      </c>
      <c r="I409" s="576"/>
      <c r="J409" s="576">
        <f t="shared" si="444"/>
        <v>0</v>
      </c>
      <c r="K409" s="576"/>
      <c r="L409" s="576">
        <f t="shared" si="445"/>
        <v>0</v>
      </c>
      <c r="M409" s="576"/>
      <c r="N409" s="576">
        <f t="shared" si="446"/>
        <v>0</v>
      </c>
      <c r="O409" s="576"/>
      <c r="P409" s="576">
        <f t="shared" si="447"/>
        <v>0</v>
      </c>
      <c r="Q409" s="576">
        <f t="shared" si="458"/>
        <v>18</v>
      </c>
      <c r="R409" s="577">
        <f t="shared" si="459"/>
        <v>174.78</v>
      </c>
      <c r="S409" s="578"/>
      <c r="T409" s="576">
        <f t="shared" si="448"/>
        <v>0</v>
      </c>
      <c r="U409" s="576"/>
      <c r="V409" s="576">
        <f t="shared" si="449"/>
        <v>0</v>
      </c>
      <c r="W409" s="576"/>
      <c r="X409" s="576">
        <f t="shared" si="450"/>
        <v>0</v>
      </c>
      <c r="Y409" s="576"/>
      <c r="Z409" s="576">
        <f t="shared" si="451"/>
        <v>0</v>
      </c>
      <c r="AA409" s="576"/>
      <c r="AB409" s="576">
        <f t="shared" si="452"/>
        <v>0</v>
      </c>
      <c r="AC409" s="576"/>
      <c r="AD409" s="579">
        <f t="shared" si="453"/>
        <v>0</v>
      </c>
      <c r="AE409" s="580">
        <f t="shared" si="454"/>
        <v>18</v>
      </c>
      <c r="AF409" s="576">
        <f t="shared" si="455"/>
        <v>174.78</v>
      </c>
      <c r="AG409" s="576">
        <f t="shared" si="456"/>
        <v>0</v>
      </c>
      <c r="AH409" s="579">
        <f t="shared" si="457"/>
        <v>0</v>
      </c>
      <c r="AK409" s="617">
        <f t="shared" si="440"/>
        <v>0</v>
      </c>
    </row>
    <row r="410" spans="1:37" ht="30">
      <c r="A410" s="570" t="s">
        <v>14067</v>
      </c>
      <c r="B410" s="571" t="str">
        <f>PLANILHA!D408</f>
        <v>CARTUCHO PARA SOLDA EXOTÊRMICA Nº 90, FORNECIMENTO E INSTALAÇÃO</v>
      </c>
      <c r="C410" s="572" t="str">
        <f>PLANILHA!E408</f>
        <v>UND</v>
      </c>
      <c r="D410" s="573">
        <f>PLANILHA!F408</f>
        <v>62</v>
      </c>
      <c r="E410" s="573">
        <f t="shared" si="442"/>
        <v>38.92</v>
      </c>
      <c r="F410" s="574">
        <f t="shared" si="441"/>
        <v>2413.04</v>
      </c>
      <c r="G410" s="580"/>
      <c r="H410" s="576">
        <f t="shared" si="443"/>
        <v>0</v>
      </c>
      <c r="I410" s="576"/>
      <c r="J410" s="576">
        <f t="shared" si="444"/>
        <v>0</v>
      </c>
      <c r="K410" s="576"/>
      <c r="L410" s="576">
        <f t="shared" si="445"/>
        <v>0</v>
      </c>
      <c r="M410" s="576"/>
      <c r="N410" s="576">
        <f t="shared" si="446"/>
        <v>0</v>
      </c>
      <c r="O410" s="576"/>
      <c r="P410" s="576">
        <f t="shared" si="447"/>
        <v>0</v>
      </c>
      <c r="Q410" s="576">
        <f t="shared" si="458"/>
        <v>62</v>
      </c>
      <c r="R410" s="577">
        <f t="shared" si="459"/>
        <v>2413.04</v>
      </c>
      <c r="S410" s="578"/>
      <c r="T410" s="576">
        <f t="shared" si="448"/>
        <v>0</v>
      </c>
      <c r="U410" s="576"/>
      <c r="V410" s="576">
        <f t="shared" si="449"/>
        <v>0</v>
      </c>
      <c r="W410" s="576"/>
      <c r="X410" s="576">
        <f t="shared" si="450"/>
        <v>0</v>
      </c>
      <c r="Y410" s="576"/>
      <c r="Z410" s="576">
        <f t="shared" si="451"/>
        <v>0</v>
      </c>
      <c r="AA410" s="576"/>
      <c r="AB410" s="576">
        <f t="shared" si="452"/>
        <v>0</v>
      </c>
      <c r="AC410" s="576"/>
      <c r="AD410" s="579">
        <f t="shared" si="453"/>
        <v>0</v>
      </c>
      <c r="AE410" s="580">
        <f t="shared" si="454"/>
        <v>62</v>
      </c>
      <c r="AF410" s="576">
        <f t="shared" si="455"/>
        <v>2413.04</v>
      </c>
      <c r="AG410" s="576">
        <f t="shared" si="456"/>
        <v>0</v>
      </c>
      <c r="AH410" s="579">
        <f t="shared" si="457"/>
        <v>0</v>
      </c>
      <c r="AK410" s="617">
        <f t="shared" si="440"/>
        <v>0</v>
      </c>
    </row>
    <row r="411" spans="1:37" ht="30">
      <c r="A411" s="570" t="s">
        <v>14068</v>
      </c>
      <c r="B411" s="571" t="str">
        <f>PLANILHA!D409</f>
        <v>TERMINAL AEREO BASE PLANA GALVANIZADO A QUENTE - BARRA CHATA, FORNECIMENTO E INSTALAÇÃO</v>
      </c>
      <c r="C411" s="572" t="str">
        <f>PLANILHA!E409</f>
        <v>UND</v>
      </c>
      <c r="D411" s="573">
        <f>PLANILHA!F409</f>
        <v>58</v>
      </c>
      <c r="E411" s="573">
        <f t="shared" si="442"/>
        <v>18.73</v>
      </c>
      <c r="F411" s="574">
        <f t="shared" si="441"/>
        <v>1086.3399999999999</v>
      </c>
      <c r="G411" s="580"/>
      <c r="H411" s="576">
        <f t="shared" si="443"/>
        <v>0</v>
      </c>
      <c r="I411" s="576"/>
      <c r="J411" s="576">
        <f t="shared" si="444"/>
        <v>0</v>
      </c>
      <c r="K411" s="576"/>
      <c r="L411" s="576">
        <f t="shared" si="445"/>
        <v>0</v>
      </c>
      <c r="M411" s="576"/>
      <c r="N411" s="576">
        <f t="shared" si="446"/>
        <v>0</v>
      </c>
      <c r="O411" s="576"/>
      <c r="P411" s="576">
        <f t="shared" si="447"/>
        <v>0</v>
      </c>
      <c r="Q411" s="576">
        <f t="shared" si="458"/>
        <v>58</v>
      </c>
      <c r="R411" s="577">
        <f t="shared" si="459"/>
        <v>1086.3399999999999</v>
      </c>
      <c r="S411" s="578"/>
      <c r="T411" s="576">
        <f t="shared" si="448"/>
        <v>0</v>
      </c>
      <c r="U411" s="576"/>
      <c r="V411" s="576">
        <f t="shared" si="449"/>
        <v>0</v>
      </c>
      <c r="W411" s="576"/>
      <c r="X411" s="576">
        <f t="shared" si="450"/>
        <v>0</v>
      </c>
      <c r="Y411" s="576"/>
      <c r="Z411" s="576">
        <f t="shared" si="451"/>
        <v>0</v>
      </c>
      <c r="AA411" s="576"/>
      <c r="AB411" s="576">
        <f t="shared" si="452"/>
        <v>0</v>
      </c>
      <c r="AC411" s="576"/>
      <c r="AD411" s="579">
        <f t="shared" si="453"/>
        <v>0</v>
      </c>
      <c r="AE411" s="580">
        <f t="shared" si="454"/>
        <v>58</v>
      </c>
      <c r="AF411" s="576">
        <f t="shared" si="455"/>
        <v>1086.3399999999999</v>
      </c>
      <c r="AG411" s="576">
        <f t="shared" si="456"/>
        <v>0</v>
      </c>
      <c r="AH411" s="579">
        <f t="shared" si="457"/>
        <v>0</v>
      </c>
      <c r="AK411" s="617">
        <f t="shared" si="440"/>
        <v>0</v>
      </c>
    </row>
    <row r="412" spans="1:37" ht="45">
      <c r="A412" s="570" t="s">
        <v>14069</v>
      </c>
      <c r="B412" s="571" t="str">
        <f>PLANILHA!D410</f>
        <v>PISO CIMENTADO, TRAÇO 1:3 (CIMENTO E AREIA), ACABAMENTO LISO, ESPESSURA 4,0 CM, PREPARO MECÂNICO DA ARGAMASSA. AF_09/2020</v>
      </c>
      <c r="C412" s="572" t="str">
        <f>PLANILHA!E410</f>
        <v>M2</v>
      </c>
      <c r="D412" s="573">
        <f>PLANILHA!F410</f>
        <v>34.4</v>
      </c>
      <c r="E412" s="573">
        <f t="shared" si="442"/>
        <v>55.93</v>
      </c>
      <c r="F412" s="574">
        <f t="shared" si="441"/>
        <v>1923.99</v>
      </c>
      <c r="G412" s="580"/>
      <c r="H412" s="576">
        <f t="shared" ref="H412:H420" si="460">G412*$E412</f>
        <v>0</v>
      </c>
      <c r="I412" s="576"/>
      <c r="J412" s="576">
        <f t="shared" ref="J412:J420" si="461">I412*$E412</f>
        <v>0</v>
      </c>
      <c r="K412" s="576"/>
      <c r="L412" s="576">
        <f t="shared" ref="L412:L420" si="462">K412*$E412</f>
        <v>0</v>
      </c>
      <c r="M412" s="576"/>
      <c r="N412" s="576">
        <f t="shared" ref="N412:N420" si="463">M412*$E412</f>
        <v>0</v>
      </c>
      <c r="O412" s="576"/>
      <c r="P412" s="576">
        <f t="shared" ref="P412:P420" si="464">O412*$E412</f>
        <v>0</v>
      </c>
      <c r="Q412" s="576">
        <f t="shared" si="458"/>
        <v>34.4</v>
      </c>
      <c r="R412" s="577">
        <f t="shared" si="459"/>
        <v>1923.99</v>
      </c>
      <c r="S412" s="578"/>
      <c r="T412" s="576">
        <f t="shared" ref="T412:T420" si="465">S412*$E412</f>
        <v>0</v>
      </c>
      <c r="U412" s="576"/>
      <c r="V412" s="576">
        <f t="shared" ref="V412:V420" si="466">U412*$E412</f>
        <v>0</v>
      </c>
      <c r="W412" s="576"/>
      <c r="X412" s="576">
        <f t="shared" ref="X412:X420" si="467">W412*$E412</f>
        <v>0</v>
      </c>
      <c r="Y412" s="576"/>
      <c r="Z412" s="576">
        <f t="shared" ref="Z412:Z420" si="468">Y412*$E412</f>
        <v>0</v>
      </c>
      <c r="AA412" s="576"/>
      <c r="AB412" s="576">
        <f t="shared" ref="AB412:AB420" si="469">AA412*$E412</f>
        <v>0</v>
      </c>
      <c r="AC412" s="576"/>
      <c r="AD412" s="579">
        <f t="shared" ref="AD412:AD420" si="470">AC412*$E412</f>
        <v>0</v>
      </c>
      <c r="AE412" s="580">
        <f t="shared" ref="AE412:AE420" si="471">AC412+AA412+Y412+W412+U412+S412+Q412+O412+M412+K412+I412+G412</f>
        <v>34.4</v>
      </c>
      <c r="AF412" s="576">
        <f t="shared" si="455"/>
        <v>1923.99</v>
      </c>
      <c r="AG412" s="576">
        <f t="shared" ref="AG412:AG420" si="472">D412-AE412</f>
        <v>0</v>
      </c>
      <c r="AH412" s="579">
        <f t="shared" ref="AH412:AH420" si="473">AG412*E412</f>
        <v>0</v>
      </c>
      <c r="AK412" s="617">
        <f t="shared" si="440"/>
        <v>0</v>
      </c>
    </row>
    <row r="413" spans="1:37" ht="30">
      <c r="A413" s="570" t="s">
        <v>14070</v>
      </c>
      <c r="B413" s="571" t="str">
        <f>PLANILHA!D411</f>
        <v>SUPORTE ISOLADOR PARA CORDOALHA DE COBRE - FORNECIMENTO E INSTALAÇÃO. AF_12/2017</v>
      </c>
      <c r="C413" s="572" t="str">
        <f>PLANILHA!E411</f>
        <v>UN</v>
      </c>
      <c r="D413" s="573">
        <f>PLANILHA!F411</f>
        <v>161</v>
      </c>
      <c r="E413" s="573">
        <f t="shared" si="442"/>
        <v>25.26</v>
      </c>
      <c r="F413" s="574">
        <f t="shared" si="441"/>
        <v>4066.86</v>
      </c>
      <c r="G413" s="580"/>
      <c r="H413" s="576">
        <f t="shared" si="460"/>
        <v>0</v>
      </c>
      <c r="I413" s="576"/>
      <c r="J413" s="576">
        <f t="shared" si="461"/>
        <v>0</v>
      </c>
      <c r="K413" s="576"/>
      <c r="L413" s="576">
        <f t="shared" si="462"/>
        <v>0</v>
      </c>
      <c r="M413" s="576"/>
      <c r="N413" s="576">
        <f t="shared" si="463"/>
        <v>0</v>
      </c>
      <c r="O413" s="576"/>
      <c r="P413" s="576">
        <f t="shared" si="464"/>
        <v>0</v>
      </c>
      <c r="Q413" s="576">
        <f t="shared" si="458"/>
        <v>161</v>
      </c>
      <c r="R413" s="577">
        <f t="shared" si="459"/>
        <v>4066.86</v>
      </c>
      <c r="S413" s="578"/>
      <c r="T413" s="576">
        <f t="shared" si="465"/>
        <v>0</v>
      </c>
      <c r="U413" s="576"/>
      <c r="V413" s="576">
        <f t="shared" si="466"/>
        <v>0</v>
      </c>
      <c r="W413" s="576"/>
      <c r="X413" s="576">
        <f t="shared" si="467"/>
        <v>0</v>
      </c>
      <c r="Y413" s="576"/>
      <c r="Z413" s="576">
        <f t="shared" si="468"/>
        <v>0</v>
      </c>
      <c r="AA413" s="576"/>
      <c r="AB413" s="576">
        <f t="shared" si="469"/>
        <v>0</v>
      </c>
      <c r="AC413" s="576"/>
      <c r="AD413" s="579">
        <f t="shared" si="470"/>
        <v>0</v>
      </c>
      <c r="AE413" s="580">
        <f t="shared" si="471"/>
        <v>161</v>
      </c>
      <c r="AF413" s="576">
        <f t="shared" si="455"/>
        <v>4066.86</v>
      </c>
      <c r="AG413" s="576">
        <f t="shared" si="472"/>
        <v>0</v>
      </c>
      <c r="AH413" s="579">
        <f t="shared" si="473"/>
        <v>0</v>
      </c>
      <c r="AK413" s="617">
        <f t="shared" si="440"/>
        <v>0</v>
      </c>
    </row>
    <row r="414" spans="1:37" ht="45">
      <c r="A414" s="570" t="s">
        <v>14071</v>
      </c>
      <c r="B414" s="571" t="str">
        <f>PLANILHA!D412</f>
        <v>TERMINAL A COMPRESSAO EM COBRE ESTANHADO PARA CABO 35 MM2, 1 FURO E 1 COMPRESSAO, PARA PARAFUSO DE FIXACAO M8, FORNECIMENTO E INSTALAÇÃO</v>
      </c>
      <c r="C414" s="572" t="str">
        <f>PLANILHA!E412</f>
        <v>UND</v>
      </c>
      <c r="D414" s="573">
        <f>PLANILHA!F412</f>
        <v>18</v>
      </c>
      <c r="E414" s="573">
        <f t="shared" si="442"/>
        <v>7.6</v>
      </c>
      <c r="F414" s="574">
        <f t="shared" si="441"/>
        <v>136.80000000000001</v>
      </c>
      <c r="G414" s="580"/>
      <c r="H414" s="576">
        <f t="shared" si="460"/>
        <v>0</v>
      </c>
      <c r="I414" s="576"/>
      <c r="J414" s="576">
        <f t="shared" si="461"/>
        <v>0</v>
      </c>
      <c r="K414" s="576"/>
      <c r="L414" s="576">
        <f t="shared" si="462"/>
        <v>0</v>
      </c>
      <c r="M414" s="576"/>
      <c r="N414" s="576">
        <f t="shared" si="463"/>
        <v>0</v>
      </c>
      <c r="O414" s="576"/>
      <c r="P414" s="576">
        <f t="shared" si="464"/>
        <v>0</v>
      </c>
      <c r="Q414" s="576">
        <f t="shared" si="458"/>
        <v>18</v>
      </c>
      <c r="R414" s="577">
        <f t="shared" si="459"/>
        <v>136.80000000000001</v>
      </c>
      <c r="S414" s="578"/>
      <c r="T414" s="576">
        <f t="shared" si="465"/>
        <v>0</v>
      </c>
      <c r="U414" s="576"/>
      <c r="V414" s="576">
        <f t="shared" si="466"/>
        <v>0</v>
      </c>
      <c r="W414" s="576"/>
      <c r="X414" s="576">
        <f t="shared" si="467"/>
        <v>0</v>
      </c>
      <c r="Y414" s="576"/>
      <c r="Z414" s="576">
        <f t="shared" si="468"/>
        <v>0</v>
      </c>
      <c r="AA414" s="576"/>
      <c r="AB414" s="576">
        <f t="shared" si="469"/>
        <v>0</v>
      </c>
      <c r="AC414" s="576"/>
      <c r="AD414" s="579">
        <f t="shared" si="470"/>
        <v>0</v>
      </c>
      <c r="AE414" s="580">
        <f t="shared" si="471"/>
        <v>18</v>
      </c>
      <c r="AF414" s="576">
        <f t="shared" si="455"/>
        <v>136.80000000000001</v>
      </c>
      <c r="AG414" s="576">
        <f t="shared" si="472"/>
        <v>0</v>
      </c>
      <c r="AH414" s="579">
        <f t="shared" si="473"/>
        <v>0</v>
      </c>
      <c r="AK414" s="617">
        <f t="shared" si="440"/>
        <v>0</v>
      </c>
    </row>
    <row r="415" spans="1:37" ht="45">
      <c r="A415" s="570" t="s">
        <v>14072</v>
      </c>
      <c r="B415" s="571" t="str">
        <f>PLANILHA!D413</f>
        <v>LUVA PARA ELETRODUTO, PVC, ROSCÁVEL, DN 32 MM (1"), PARA CIRCUITOS TERMINAIS, INSTALADA EM PAREDE - FORNECIMENTO E INSTALAÇÃO. AF_12/2015</v>
      </c>
      <c r="C415" s="572" t="str">
        <f>PLANILHA!E413</f>
        <v>UN</v>
      </c>
      <c r="D415" s="573">
        <f>PLANILHA!F413</f>
        <v>18</v>
      </c>
      <c r="E415" s="573">
        <f t="shared" si="442"/>
        <v>10.51</v>
      </c>
      <c r="F415" s="574">
        <f t="shared" si="441"/>
        <v>189.18</v>
      </c>
      <c r="G415" s="580"/>
      <c r="H415" s="576">
        <f t="shared" si="460"/>
        <v>0</v>
      </c>
      <c r="I415" s="576"/>
      <c r="J415" s="576">
        <f t="shared" si="461"/>
        <v>0</v>
      </c>
      <c r="K415" s="576"/>
      <c r="L415" s="576">
        <f t="shared" si="462"/>
        <v>0</v>
      </c>
      <c r="M415" s="576"/>
      <c r="N415" s="576">
        <f t="shared" si="463"/>
        <v>0</v>
      </c>
      <c r="O415" s="576"/>
      <c r="P415" s="576">
        <f t="shared" si="464"/>
        <v>0</v>
      </c>
      <c r="Q415" s="576">
        <f t="shared" si="458"/>
        <v>18</v>
      </c>
      <c r="R415" s="577">
        <f t="shared" si="459"/>
        <v>189.18</v>
      </c>
      <c r="S415" s="578"/>
      <c r="T415" s="576">
        <f t="shared" si="465"/>
        <v>0</v>
      </c>
      <c r="U415" s="576"/>
      <c r="V415" s="576">
        <f t="shared" si="466"/>
        <v>0</v>
      </c>
      <c r="W415" s="576"/>
      <c r="X415" s="576">
        <f t="shared" si="467"/>
        <v>0</v>
      </c>
      <c r="Y415" s="576"/>
      <c r="Z415" s="576">
        <f t="shared" si="468"/>
        <v>0</v>
      </c>
      <c r="AA415" s="576"/>
      <c r="AB415" s="576">
        <f t="shared" si="469"/>
        <v>0</v>
      </c>
      <c r="AC415" s="576"/>
      <c r="AD415" s="579">
        <f t="shared" si="470"/>
        <v>0</v>
      </c>
      <c r="AE415" s="580">
        <f t="shared" si="471"/>
        <v>18</v>
      </c>
      <c r="AF415" s="576">
        <f t="shared" si="455"/>
        <v>189.18</v>
      </c>
      <c r="AG415" s="576">
        <f t="shared" si="472"/>
        <v>0</v>
      </c>
      <c r="AH415" s="579">
        <f t="shared" si="473"/>
        <v>0</v>
      </c>
      <c r="AK415" s="617">
        <f t="shared" si="440"/>
        <v>0</v>
      </c>
    </row>
    <row r="416" spans="1:37" ht="45">
      <c r="A416" s="570" t="s">
        <v>14073</v>
      </c>
      <c r="B416" s="571" t="str">
        <f>PLANILHA!D414</f>
        <v>CURVA 90 GRAUS PARA ELETRODUTO, PVC, ROSCÁVEL, DN 32 MM (1"), PARA CIRCUITOS TERMINAIS, INSTALADA EM PAREDE - FORNECIMENTO E INSTALAÇÃO. AF_12/2015</v>
      </c>
      <c r="C416" s="572" t="str">
        <f>PLANILHA!E414</f>
        <v>UN</v>
      </c>
      <c r="D416" s="573">
        <f>PLANILHA!F414</f>
        <v>9</v>
      </c>
      <c r="E416" s="573">
        <f t="shared" si="442"/>
        <v>17.68</v>
      </c>
      <c r="F416" s="574">
        <f t="shared" si="441"/>
        <v>159.12</v>
      </c>
      <c r="G416" s="580"/>
      <c r="H416" s="576">
        <f t="shared" si="460"/>
        <v>0</v>
      </c>
      <c r="I416" s="576"/>
      <c r="J416" s="576">
        <f t="shared" si="461"/>
        <v>0</v>
      </c>
      <c r="K416" s="576"/>
      <c r="L416" s="576">
        <f t="shared" si="462"/>
        <v>0</v>
      </c>
      <c r="M416" s="576"/>
      <c r="N416" s="576">
        <f t="shared" si="463"/>
        <v>0</v>
      </c>
      <c r="O416" s="576"/>
      <c r="P416" s="576">
        <f t="shared" si="464"/>
        <v>0</v>
      </c>
      <c r="Q416" s="576">
        <f t="shared" si="458"/>
        <v>9</v>
      </c>
      <c r="R416" s="577">
        <f t="shared" si="459"/>
        <v>159.12</v>
      </c>
      <c r="S416" s="578"/>
      <c r="T416" s="576">
        <f t="shared" si="465"/>
        <v>0</v>
      </c>
      <c r="U416" s="576"/>
      <c r="V416" s="576">
        <f t="shared" si="466"/>
        <v>0</v>
      </c>
      <c r="W416" s="576"/>
      <c r="X416" s="576">
        <f t="shared" si="467"/>
        <v>0</v>
      </c>
      <c r="Y416" s="576"/>
      <c r="Z416" s="576">
        <f t="shared" si="468"/>
        <v>0</v>
      </c>
      <c r="AA416" s="576"/>
      <c r="AB416" s="576">
        <f t="shared" si="469"/>
        <v>0</v>
      </c>
      <c r="AC416" s="576"/>
      <c r="AD416" s="579">
        <f t="shared" si="470"/>
        <v>0</v>
      </c>
      <c r="AE416" s="580">
        <f t="shared" si="471"/>
        <v>9</v>
      </c>
      <c r="AF416" s="576">
        <f t="shared" si="455"/>
        <v>159.12</v>
      </c>
      <c r="AG416" s="576">
        <f t="shared" si="472"/>
        <v>0</v>
      </c>
      <c r="AH416" s="579">
        <f t="shared" si="473"/>
        <v>0</v>
      </c>
      <c r="AK416" s="617">
        <f t="shared" si="440"/>
        <v>0</v>
      </c>
    </row>
    <row r="417" spans="1:37" ht="45">
      <c r="A417" s="570" t="s">
        <v>14074</v>
      </c>
      <c r="B417" s="571" t="str">
        <f>PLANILHA!D415</f>
        <v>FIXAÇÃO DE TUBOS HORIZONTAIS DE PPR DIÂMETROS MAIORES QUE 40 MM E MENORES OU IGUAIS A 75 MM COM ABRAÇADEIRA METÁLICA RÍGIDA TIPO D 1 1/2", FIXADA EM PERFILADO EM LAJE. AF_05/2015</v>
      </c>
      <c r="C417" s="572" t="str">
        <f>PLANILHA!E415</f>
        <v>M</v>
      </c>
      <c r="D417" s="573">
        <f>PLANILHA!F415</f>
        <v>15</v>
      </c>
      <c r="E417" s="573">
        <f t="shared" si="442"/>
        <v>10.82</v>
      </c>
      <c r="F417" s="574">
        <f t="shared" si="441"/>
        <v>162.30000000000001</v>
      </c>
      <c r="G417" s="580"/>
      <c r="H417" s="576">
        <f t="shared" si="460"/>
        <v>0</v>
      </c>
      <c r="I417" s="576"/>
      <c r="J417" s="576">
        <f t="shared" si="461"/>
        <v>0</v>
      </c>
      <c r="K417" s="576"/>
      <c r="L417" s="576">
        <f t="shared" si="462"/>
        <v>0</v>
      </c>
      <c r="M417" s="576"/>
      <c r="N417" s="576">
        <f t="shared" si="463"/>
        <v>0</v>
      </c>
      <c r="O417" s="576"/>
      <c r="P417" s="576">
        <f t="shared" si="464"/>
        <v>0</v>
      </c>
      <c r="Q417" s="576">
        <f t="shared" si="458"/>
        <v>15</v>
      </c>
      <c r="R417" s="577">
        <f t="shared" si="459"/>
        <v>162.30000000000001</v>
      </c>
      <c r="S417" s="578"/>
      <c r="T417" s="576">
        <f t="shared" si="465"/>
        <v>0</v>
      </c>
      <c r="U417" s="576"/>
      <c r="V417" s="576">
        <f t="shared" si="466"/>
        <v>0</v>
      </c>
      <c r="W417" s="576"/>
      <c r="X417" s="576">
        <f t="shared" si="467"/>
        <v>0</v>
      </c>
      <c r="Y417" s="576"/>
      <c r="Z417" s="576">
        <f t="shared" si="468"/>
        <v>0</v>
      </c>
      <c r="AA417" s="576"/>
      <c r="AB417" s="576">
        <f t="shared" si="469"/>
        <v>0</v>
      </c>
      <c r="AC417" s="576"/>
      <c r="AD417" s="579">
        <f t="shared" si="470"/>
        <v>0</v>
      </c>
      <c r="AE417" s="580">
        <f t="shared" si="471"/>
        <v>15</v>
      </c>
      <c r="AF417" s="576">
        <f t="shared" si="455"/>
        <v>162.30000000000001</v>
      </c>
      <c r="AG417" s="576">
        <f t="shared" si="472"/>
        <v>0</v>
      </c>
      <c r="AH417" s="579">
        <f t="shared" si="473"/>
        <v>0</v>
      </c>
      <c r="AK417" s="617">
        <f t="shared" si="440"/>
        <v>0</v>
      </c>
    </row>
    <row r="418" spans="1:37" ht="45">
      <c r="A418" s="570" t="s">
        <v>14075</v>
      </c>
      <c r="B418" s="571" t="str">
        <f>PLANILHA!D416</f>
        <v>CONDULETE DE PVC, TIPO LL, PARA ELETRODUTO DE PVC SOLDÁVEL DN 32 MM (1''), APARENTE - FORNECIMENTO E INSTALAÇÃO. AF_11/2016</v>
      </c>
      <c r="C418" s="572" t="str">
        <f>PLANILHA!E416</f>
        <v>UN</v>
      </c>
      <c r="D418" s="573">
        <f>PLANILHA!F416</f>
        <v>9</v>
      </c>
      <c r="E418" s="573">
        <f t="shared" si="442"/>
        <v>32.76</v>
      </c>
      <c r="F418" s="574">
        <f t="shared" si="441"/>
        <v>294.83999999999997</v>
      </c>
      <c r="G418" s="580"/>
      <c r="H418" s="576">
        <f t="shared" si="460"/>
        <v>0</v>
      </c>
      <c r="I418" s="576"/>
      <c r="J418" s="576">
        <f t="shared" si="461"/>
        <v>0</v>
      </c>
      <c r="K418" s="576"/>
      <c r="L418" s="576">
        <f t="shared" si="462"/>
        <v>0</v>
      </c>
      <c r="M418" s="576"/>
      <c r="N418" s="576">
        <f t="shared" si="463"/>
        <v>0</v>
      </c>
      <c r="O418" s="576"/>
      <c r="P418" s="576">
        <f t="shared" si="464"/>
        <v>0</v>
      </c>
      <c r="Q418" s="576">
        <f t="shared" si="458"/>
        <v>9</v>
      </c>
      <c r="R418" s="577">
        <f t="shared" si="459"/>
        <v>294.83999999999997</v>
      </c>
      <c r="S418" s="578"/>
      <c r="T418" s="576">
        <f t="shared" si="465"/>
        <v>0</v>
      </c>
      <c r="U418" s="576"/>
      <c r="V418" s="576">
        <f t="shared" si="466"/>
        <v>0</v>
      </c>
      <c r="W418" s="576"/>
      <c r="X418" s="576">
        <f t="shared" si="467"/>
        <v>0</v>
      </c>
      <c r="Y418" s="576"/>
      <c r="Z418" s="576">
        <f t="shared" si="468"/>
        <v>0</v>
      </c>
      <c r="AA418" s="576"/>
      <c r="AB418" s="576">
        <f t="shared" si="469"/>
        <v>0</v>
      </c>
      <c r="AC418" s="576"/>
      <c r="AD418" s="579">
        <f t="shared" si="470"/>
        <v>0</v>
      </c>
      <c r="AE418" s="580">
        <f t="shared" si="471"/>
        <v>9</v>
      </c>
      <c r="AF418" s="576">
        <f t="shared" si="455"/>
        <v>294.83999999999997</v>
      </c>
      <c r="AG418" s="576">
        <f t="shared" si="472"/>
        <v>0</v>
      </c>
      <c r="AH418" s="579">
        <f t="shared" si="473"/>
        <v>0</v>
      </c>
      <c r="AK418" s="617">
        <f t="shared" si="440"/>
        <v>0</v>
      </c>
    </row>
    <row r="419" spans="1:37" ht="30">
      <c r="A419" s="570" t="s">
        <v>14076</v>
      </c>
      <c r="B419" s="571" t="str">
        <f>PLANILHA!D417</f>
        <v>IMPERMEABILIZAÇÃO DE PAREDES COM ARGAMASSA DE CIMENTO E AREIA, COM ADITIVO IMPERMEABILIZANTE, E = 2CM. AF_06/2018</v>
      </c>
      <c r="C419" s="572" t="str">
        <f>PLANILHA!E417</f>
        <v>M2</v>
      </c>
      <c r="D419" s="573">
        <f>PLANILHA!F417</f>
        <v>19</v>
      </c>
      <c r="E419" s="573">
        <f t="shared" si="442"/>
        <v>42.9</v>
      </c>
      <c r="F419" s="574">
        <f t="shared" si="441"/>
        <v>815.1</v>
      </c>
      <c r="G419" s="580"/>
      <c r="H419" s="576">
        <f t="shared" si="460"/>
        <v>0</v>
      </c>
      <c r="I419" s="576"/>
      <c r="J419" s="576">
        <f t="shared" si="461"/>
        <v>0</v>
      </c>
      <c r="K419" s="576"/>
      <c r="L419" s="576">
        <f t="shared" si="462"/>
        <v>0</v>
      </c>
      <c r="M419" s="576"/>
      <c r="N419" s="576">
        <f t="shared" si="463"/>
        <v>0</v>
      </c>
      <c r="O419" s="576"/>
      <c r="P419" s="576">
        <f t="shared" si="464"/>
        <v>0</v>
      </c>
      <c r="Q419" s="576">
        <f t="shared" si="458"/>
        <v>19</v>
      </c>
      <c r="R419" s="577">
        <f t="shared" si="459"/>
        <v>815.1</v>
      </c>
      <c r="S419" s="578"/>
      <c r="T419" s="576">
        <f t="shared" si="465"/>
        <v>0</v>
      </c>
      <c r="U419" s="576"/>
      <c r="V419" s="576">
        <f t="shared" si="466"/>
        <v>0</v>
      </c>
      <c r="W419" s="576"/>
      <c r="X419" s="576">
        <f t="shared" si="467"/>
        <v>0</v>
      </c>
      <c r="Y419" s="576"/>
      <c r="Z419" s="576">
        <f t="shared" si="468"/>
        <v>0</v>
      </c>
      <c r="AA419" s="576"/>
      <c r="AB419" s="576">
        <f t="shared" si="469"/>
        <v>0</v>
      </c>
      <c r="AC419" s="576"/>
      <c r="AD419" s="579">
        <f t="shared" si="470"/>
        <v>0</v>
      </c>
      <c r="AE419" s="580">
        <f t="shared" si="471"/>
        <v>19</v>
      </c>
      <c r="AF419" s="576">
        <f t="shared" si="455"/>
        <v>815.1</v>
      </c>
      <c r="AG419" s="576">
        <f t="shared" si="472"/>
        <v>0</v>
      </c>
      <c r="AH419" s="579">
        <f t="shared" si="473"/>
        <v>0</v>
      </c>
      <c r="AK419" s="617">
        <f t="shared" si="440"/>
        <v>0</v>
      </c>
    </row>
    <row r="420" spans="1:37" ht="30">
      <c r="A420" s="570" t="s">
        <v>14077</v>
      </c>
      <c r="B420" s="571" t="str">
        <f>PLANILHA!D418</f>
        <v>CABO DE COBRE NU 35 MM² - FORNECIMENTO E INSTALAÇÃO. AF_12/2017</v>
      </c>
      <c r="C420" s="572" t="str">
        <f>PLANILHA!E418</f>
        <v>M</v>
      </c>
      <c r="D420" s="573">
        <f>PLANILHA!F418</f>
        <v>236</v>
      </c>
      <c r="E420" s="573">
        <f t="shared" si="442"/>
        <v>51.71</v>
      </c>
      <c r="F420" s="574">
        <f t="shared" si="441"/>
        <v>12203.56</v>
      </c>
      <c r="G420" s="580"/>
      <c r="H420" s="576">
        <f t="shared" si="460"/>
        <v>0</v>
      </c>
      <c r="I420" s="576"/>
      <c r="J420" s="576">
        <f t="shared" si="461"/>
        <v>0</v>
      </c>
      <c r="K420" s="576"/>
      <c r="L420" s="576">
        <f t="shared" si="462"/>
        <v>0</v>
      </c>
      <c r="M420" s="576"/>
      <c r="N420" s="576">
        <f t="shared" si="463"/>
        <v>0</v>
      </c>
      <c r="O420" s="576"/>
      <c r="P420" s="576">
        <f t="shared" si="464"/>
        <v>0</v>
      </c>
      <c r="Q420" s="576">
        <f t="shared" si="458"/>
        <v>236</v>
      </c>
      <c r="R420" s="577">
        <f t="shared" si="459"/>
        <v>12203.56</v>
      </c>
      <c r="S420" s="578"/>
      <c r="T420" s="576">
        <f t="shared" si="465"/>
        <v>0</v>
      </c>
      <c r="U420" s="576"/>
      <c r="V420" s="576">
        <f t="shared" si="466"/>
        <v>0</v>
      </c>
      <c r="W420" s="576"/>
      <c r="X420" s="576">
        <f t="shared" si="467"/>
        <v>0</v>
      </c>
      <c r="Y420" s="576"/>
      <c r="Z420" s="576">
        <f t="shared" si="468"/>
        <v>0</v>
      </c>
      <c r="AA420" s="576"/>
      <c r="AB420" s="576">
        <f t="shared" si="469"/>
        <v>0</v>
      </c>
      <c r="AC420" s="576"/>
      <c r="AD420" s="579">
        <f t="shared" si="470"/>
        <v>0</v>
      </c>
      <c r="AE420" s="580">
        <f t="shared" si="471"/>
        <v>236</v>
      </c>
      <c r="AF420" s="576">
        <f t="shared" si="455"/>
        <v>12203.56</v>
      </c>
      <c r="AG420" s="576">
        <f t="shared" si="472"/>
        <v>0</v>
      </c>
      <c r="AH420" s="579">
        <f t="shared" si="473"/>
        <v>0</v>
      </c>
      <c r="AK420" s="617">
        <f t="shared" si="440"/>
        <v>0</v>
      </c>
    </row>
    <row r="421" spans="1:37" s="569" customFormat="1">
      <c r="A421" s="581" t="s">
        <v>14625</v>
      </c>
      <c r="B421" s="582"/>
      <c r="C421" s="583"/>
      <c r="D421" s="584"/>
      <c r="E421" s="584"/>
      <c r="F421" s="585">
        <f t="shared" si="441"/>
        <v>38274.369999999995</v>
      </c>
      <c r="G421" s="586"/>
      <c r="H421" s="584">
        <f>SUM(H404:H420)</f>
        <v>0</v>
      </c>
      <c r="I421" s="584"/>
      <c r="J421" s="584">
        <f>SUM(J404:J420)</f>
        <v>0</v>
      </c>
      <c r="K421" s="584"/>
      <c r="L421" s="584">
        <f>SUM(L404:L420)</f>
        <v>0</v>
      </c>
      <c r="M421" s="584"/>
      <c r="N421" s="584">
        <f>SUM(N404:N420)</f>
        <v>0</v>
      </c>
      <c r="O421" s="584"/>
      <c r="P421" s="584">
        <f>SUM(P404:P420)</f>
        <v>0</v>
      </c>
      <c r="Q421" s="584"/>
      <c r="R421" s="587">
        <f>SUM(R404:R420)</f>
        <v>38274.369999999995</v>
      </c>
      <c r="S421" s="588"/>
      <c r="T421" s="584">
        <f>SUM(T404:T420)</f>
        <v>0</v>
      </c>
      <c r="U421" s="584"/>
      <c r="V421" s="584">
        <f>SUM(V404:V420)</f>
        <v>0</v>
      </c>
      <c r="W421" s="584"/>
      <c r="X421" s="584">
        <f>SUM(X404:X420)</f>
        <v>0</v>
      </c>
      <c r="Y421" s="584"/>
      <c r="Z421" s="584">
        <f>SUM(Z404:Z420)</f>
        <v>0</v>
      </c>
      <c r="AA421" s="584"/>
      <c r="AB421" s="584">
        <f>SUM(AB404:AB420)</f>
        <v>0</v>
      </c>
      <c r="AC421" s="584"/>
      <c r="AD421" s="585">
        <f>SUM(AD404:AD420)</f>
        <v>0</v>
      </c>
      <c r="AE421" s="590"/>
      <c r="AF421" s="584">
        <f>SUM(AF404:AF420)</f>
        <v>38274.369999999995</v>
      </c>
      <c r="AG421" s="591"/>
      <c r="AH421" s="585">
        <f>SUM(AH404:AH420)</f>
        <v>0</v>
      </c>
      <c r="AI421" s="568"/>
      <c r="AK421" s="617">
        <f t="shared" si="440"/>
        <v>0</v>
      </c>
    </row>
    <row r="422" spans="1:37">
      <c r="A422" s="570"/>
      <c r="B422" s="571"/>
      <c r="C422" s="572"/>
      <c r="D422" s="573"/>
      <c r="E422" s="573"/>
      <c r="F422" s="574"/>
      <c r="G422" s="580"/>
      <c r="H422" s="576"/>
      <c r="I422" s="576"/>
      <c r="J422" s="576"/>
      <c r="K422" s="576"/>
      <c r="L422" s="576"/>
      <c r="M422" s="576"/>
      <c r="N422" s="576"/>
      <c r="O422" s="576"/>
      <c r="P422" s="576"/>
      <c r="Q422" s="576"/>
      <c r="R422" s="577"/>
      <c r="S422" s="578"/>
      <c r="T422" s="576"/>
      <c r="U422" s="576"/>
      <c r="V422" s="576"/>
      <c r="W422" s="576"/>
      <c r="X422" s="576"/>
      <c r="Y422" s="576"/>
      <c r="Z422" s="576"/>
      <c r="AA422" s="576"/>
      <c r="AB422" s="576"/>
      <c r="AC422" s="576"/>
      <c r="AD422" s="579"/>
      <c r="AE422" s="580"/>
      <c r="AF422" s="576"/>
      <c r="AG422" s="576"/>
      <c r="AH422" s="579"/>
      <c r="AK422" s="617">
        <f t="shared" si="440"/>
        <v>0</v>
      </c>
    </row>
    <row r="423" spans="1:37" s="569" customFormat="1">
      <c r="A423" s="558" t="s">
        <v>14078</v>
      </c>
      <c r="B423" s="559" t="str">
        <f>PLANILHA!D421</f>
        <v xml:space="preserve">ESCADA ACESSO </v>
      </c>
      <c r="C423" s="560"/>
      <c r="D423" s="561"/>
      <c r="E423" s="561"/>
      <c r="F423" s="562">
        <f t="shared" ref="F423:F429" si="474">VLOOKUP(A423,PLANILHA,$G$6,0)</f>
        <v>0</v>
      </c>
      <c r="G423" s="563"/>
      <c r="H423" s="564"/>
      <c r="I423" s="564"/>
      <c r="J423" s="564"/>
      <c r="K423" s="564"/>
      <c r="L423" s="564"/>
      <c r="M423" s="564"/>
      <c r="N423" s="564"/>
      <c r="O423" s="564"/>
      <c r="P423" s="564"/>
      <c r="Q423" s="564"/>
      <c r="R423" s="565"/>
      <c r="S423" s="566"/>
      <c r="T423" s="564"/>
      <c r="U423" s="564"/>
      <c r="V423" s="564"/>
      <c r="W423" s="564"/>
      <c r="X423" s="564"/>
      <c r="Y423" s="564"/>
      <c r="Z423" s="564"/>
      <c r="AA423" s="564"/>
      <c r="AB423" s="564"/>
      <c r="AC423" s="564"/>
      <c r="AD423" s="567"/>
      <c r="AE423" s="563"/>
      <c r="AF423" s="564"/>
      <c r="AG423" s="564"/>
      <c r="AH423" s="567"/>
      <c r="AI423" s="568"/>
      <c r="AK423" s="617">
        <f t="shared" si="440"/>
        <v>0</v>
      </c>
    </row>
    <row r="424" spans="1:37" s="569" customFormat="1">
      <c r="A424" s="592" t="s">
        <v>14079</v>
      </c>
      <c r="B424" s="593" t="str">
        <f>PLANILHA!D422</f>
        <v>SERVIÇOS PRELIMINARES</v>
      </c>
      <c r="C424" s="594"/>
      <c r="D424" s="589"/>
      <c r="E424" s="589"/>
      <c r="F424" s="595">
        <f t="shared" si="474"/>
        <v>0</v>
      </c>
      <c r="G424" s="596"/>
      <c r="H424" s="597"/>
      <c r="I424" s="597"/>
      <c r="J424" s="597"/>
      <c r="K424" s="597"/>
      <c r="L424" s="597"/>
      <c r="M424" s="597"/>
      <c r="N424" s="597"/>
      <c r="O424" s="597"/>
      <c r="P424" s="597"/>
      <c r="Q424" s="597"/>
      <c r="R424" s="598"/>
      <c r="S424" s="599"/>
      <c r="T424" s="597"/>
      <c r="U424" s="597"/>
      <c r="V424" s="597"/>
      <c r="W424" s="597"/>
      <c r="X424" s="597"/>
      <c r="Y424" s="597"/>
      <c r="Z424" s="597"/>
      <c r="AA424" s="597"/>
      <c r="AB424" s="597"/>
      <c r="AC424" s="597"/>
      <c r="AD424" s="600"/>
      <c r="AE424" s="596"/>
      <c r="AF424" s="597"/>
      <c r="AG424" s="597"/>
      <c r="AH424" s="600"/>
      <c r="AI424" s="568"/>
      <c r="AK424" s="617">
        <f t="shared" si="440"/>
        <v>0</v>
      </c>
    </row>
    <row r="425" spans="1:37" ht="30">
      <c r="A425" s="570" t="s">
        <v>14080</v>
      </c>
      <c r="B425" s="571" t="str">
        <f>PLANILHA!D423</f>
        <v>DEMOLIÇÃO DE CONCRETO SIMPLES - COM EQUIPAMENTO ELÉTRICO, INCLUSIVE AFASTAMENTO.</v>
      </c>
      <c r="C425" s="572" t="str">
        <f>PLANILHA!E423</f>
        <v>m³</v>
      </c>
      <c r="D425" s="573">
        <f>PLANILHA!F423</f>
        <v>10.67</v>
      </c>
      <c r="E425" s="573">
        <f>VLOOKUP(A425,PLANILHA,$G$7,0)</f>
        <v>158.38</v>
      </c>
      <c r="F425" s="574">
        <f t="shared" si="474"/>
        <v>1689.91</v>
      </c>
      <c r="G425" s="580"/>
      <c r="H425" s="576">
        <f>G425*$E425</f>
        <v>0</v>
      </c>
      <c r="I425" s="576"/>
      <c r="J425" s="576">
        <f>I425*$E425</f>
        <v>0</v>
      </c>
      <c r="K425" s="576"/>
      <c r="L425" s="576">
        <f>K425*$E425</f>
        <v>0</v>
      </c>
      <c r="M425" s="576"/>
      <c r="N425" s="576">
        <f>M425*$E425</f>
        <v>0</v>
      </c>
      <c r="O425" s="576"/>
      <c r="P425" s="576">
        <f>O425*$E425</f>
        <v>0</v>
      </c>
      <c r="Q425" s="576"/>
      <c r="R425" s="577">
        <f>Q425*$E425</f>
        <v>0</v>
      </c>
      <c r="S425" s="578">
        <f>D425</f>
        <v>10.67</v>
      </c>
      <c r="T425" s="576">
        <f>TRUNC(S425*$E425,2)</f>
        <v>1689.91</v>
      </c>
      <c r="U425" s="576"/>
      <c r="V425" s="576">
        <f>U425*$E425</f>
        <v>0</v>
      </c>
      <c r="W425" s="576"/>
      <c r="X425" s="576">
        <f>W425*$E425</f>
        <v>0</v>
      </c>
      <c r="Y425" s="576"/>
      <c r="Z425" s="576">
        <f>Y425*$E425</f>
        <v>0</v>
      </c>
      <c r="AA425" s="576"/>
      <c r="AB425" s="576">
        <f>AA425*$E425</f>
        <v>0</v>
      </c>
      <c r="AC425" s="576"/>
      <c r="AD425" s="579">
        <f>AC425*$E425</f>
        <v>0</v>
      </c>
      <c r="AE425" s="580">
        <f>AC425+AA425+Y425+W425+U425+S425+Q425+O425+M425+K425+I425+G425</f>
        <v>10.67</v>
      </c>
      <c r="AF425" s="576">
        <f t="shared" ref="AF425:AF428" si="475">TRUNC(AE425*E425,2)</f>
        <v>1689.91</v>
      </c>
      <c r="AG425" s="576">
        <f>D425-AE425</f>
        <v>0</v>
      </c>
      <c r="AH425" s="579">
        <f>AG425*E425</f>
        <v>0</v>
      </c>
      <c r="AI425" s="615"/>
      <c r="AK425" s="617">
        <f t="shared" si="440"/>
        <v>0</v>
      </c>
    </row>
    <row r="426" spans="1:37" ht="30">
      <c r="A426" s="570" t="s">
        <v>14081</v>
      </c>
      <c r="B426" s="571" t="str">
        <f>PLANILHA!D424</f>
        <v>TRANSPORTE HORIZONTAL COM JERICA DE 90 L, DE MASSA/ GRANEL (UNIDADE: M3XKM). AF_07/2019</v>
      </c>
      <c r="C426" s="572" t="str">
        <f>PLANILHA!E424</f>
        <v>M3XKM</v>
      </c>
      <c r="D426" s="573">
        <f>PLANILHA!F424</f>
        <v>3.2010000000000001</v>
      </c>
      <c r="E426" s="573">
        <f>VLOOKUP(A426,PLANILHA,$G$7,0)</f>
        <v>1015.65</v>
      </c>
      <c r="F426" s="574">
        <f t="shared" si="474"/>
        <v>3251.09</v>
      </c>
      <c r="G426" s="580"/>
      <c r="H426" s="576">
        <f>G426*$E426</f>
        <v>0</v>
      </c>
      <c r="I426" s="576"/>
      <c r="J426" s="576">
        <f>I426*$E426</f>
        <v>0</v>
      </c>
      <c r="K426" s="576"/>
      <c r="L426" s="576">
        <f>K426*$E426</f>
        <v>0</v>
      </c>
      <c r="M426" s="576"/>
      <c r="N426" s="576">
        <f>M426*$E426</f>
        <v>0</v>
      </c>
      <c r="O426" s="576"/>
      <c r="P426" s="576">
        <f>O426*$E426</f>
        <v>0</v>
      </c>
      <c r="Q426" s="576"/>
      <c r="R426" s="577">
        <f>Q426*$E426</f>
        <v>0</v>
      </c>
      <c r="S426" s="578">
        <f>D426</f>
        <v>3.2010000000000001</v>
      </c>
      <c r="T426" s="576">
        <f t="shared" ref="T426:T428" si="476">TRUNC(S426*$E426,2)</f>
        <v>3251.09</v>
      </c>
      <c r="U426" s="576"/>
      <c r="V426" s="576">
        <f>U426*$E426</f>
        <v>0</v>
      </c>
      <c r="W426" s="576"/>
      <c r="X426" s="576">
        <f>W426*$E426</f>
        <v>0</v>
      </c>
      <c r="Y426" s="576"/>
      <c r="Z426" s="576">
        <f>Y426*$E426</f>
        <v>0</v>
      </c>
      <c r="AA426" s="576"/>
      <c r="AB426" s="576">
        <f>AA426*$E426</f>
        <v>0</v>
      </c>
      <c r="AC426" s="576"/>
      <c r="AD426" s="579">
        <f>AC426*$E426</f>
        <v>0</v>
      </c>
      <c r="AE426" s="580">
        <f>AC426+AA426+Y426+W426+U426+S426+Q426+O426+M426+K426+I426+G426</f>
        <v>3.2010000000000001</v>
      </c>
      <c r="AF426" s="576">
        <f t="shared" si="475"/>
        <v>3251.09</v>
      </c>
      <c r="AG426" s="576">
        <f>D426-AE426</f>
        <v>0</v>
      </c>
      <c r="AH426" s="579">
        <f>AG426*E426</f>
        <v>0</v>
      </c>
      <c r="AI426" s="615"/>
      <c r="AK426" s="617">
        <f t="shared" si="440"/>
        <v>0</v>
      </c>
    </row>
    <row r="427" spans="1:37" ht="30">
      <c r="A427" s="570" t="s">
        <v>14082</v>
      </c>
      <c r="B427" s="571" t="str">
        <f>PLANILHA!D425</f>
        <v>ESCAVAÇÃO MANUAL DE VALA PARA VIGA BALDRAME (SEM ESCAVAÇÃO PARA COLOCAÇÃO DE FÔRMAS). AF_06/2017</v>
      </c>
      <c r="C427" s="572" t="str">
        <f>PLANILHA!E425</f>
        <v>M3</v>
      </c>
      <c r="D427" s="573">
        <f>PLANILHA!F425</f>
        <v>3.38</v>
      </c>
      <c r="E427" s="573">
        <f>VLOOKUP(A427,PLANILHA,$G$7,0)</f>
        <v>295.01</v>
      </c>
      <c r="F427" s="574">
        <f t="shared" si="474"/>
        <v>997.13</v>
      </c>
      <c r="G427" s="580"/>
      <c r="H427" s="576">
        <f>G427*$E427</f>
        <v>0</v>
      </c>
      <c r="I427" s="576"/>
      <c r="J427" s="576">
        <f>I427*$E427</f>
        <v>0</v>
      </c>
      <c r="K427" s="576"/>
      <c r="L427" s="576">
        <f>K427*$E427</f>
        <v>0</v>
      </c>
      <c r="M427" s="576"/>
      <c r="N427" s="576">
        <f>M427*$E427</f>
        <v>0</v>
      </c>
      <c r="O427" s="576"/>
      <c r="P427" s="576">
        <f>O427*$E427</f>
        <v>0</v>
      </c>
      <c r="Q427" s="576"/>
      <c r="R427" s="577">
        <f>Q427*$E427</f>
        <v>0</v>
      </c>
      <c r="S427" s="578">
        <f>D427</f>
        <v>3.38</v>
      </c>
      <c r="T427" s="576">
        <f t="shared" si="476"/>
        <v>997.13</v>
      </c>
      <c r="U427" s="576"/>
      <c r="V427" s="576">
        <f>U427*$E427</f>
        <v>0</v>
      </c>
      <c r="W427" s="576"/>
      <c r="X427" s="576">
        <f>W427*$E427</f>
        <v>0</v>
      </c>
      <c r="Y427" s="576"/>
      <c r="Z427" s="576">
        <f>Y427*$E427</f>
        <v>0</v>
      </c>
      <c r="AA427" s="576"/>
      <c r="AB427" s="576">
        <f>AA427*$E427</f>
        <v>0</v>
      </c>
      <c r="AC427" s="576"/>
      <c r="AD427" s="579">
        <f>AC427*$E427</f>
        <v>0</v>
      </c>
      <c r="AE427" s="580">
        <f>AC427+AA427+Y427+W427+U427+S427+Q427+O427+M427+K427+I427+G427</f>
        <v>3.38</v>
      </c>
      <c r="AF427" s="576">
        <f t="shared" si="475"/>
        <v>997.13</v>
      </c>
      <c r="AG427" s="576">
        <f>D427-AE427</f>
        <v>0</v>
      </c>
      <c r="AH427" s="579">
        <f>AG427*E427</f>
        <v>0</v>
      </c>
      <c r="AI427" s="615"/>
      <c r="AK427" s="617">
        <f t="shared" si="440"/>
        <v>0</v>
      </c>
    </row>
    <row r="428" spans="1:37" ht="30">
      <c r="A428" s="570" t="s">
        <v>14083</v>
      </c>
      <c r="B428" s="571" t="str">
        <f>PLANILHA!D426</f>
        <v>PREPARO DE FUNDO DE VALA COM LARGURA MENOR QUE 1,5 M (ACERTO DO SOLO NATURAL). AF_08/2020</v>
      </c>
      <c r="C428" s="572" t="str">
        <f>PLANILHA!E426</f>
        <v>M2</v>
      </c>
      <c r="D428" s="573">
        <f>PLANILHA!F426</f>
        <v>2.16</v>
      </c>
      <c r="E428" s="573">
        <f>VLOOKUP(A428,PLANILHA,$G$7,0)</f>
        <v>5.94</v>
      </c>
      <c r="F428" s="574">
        <f t="shared" si="474"/>
        <v>12.83</v>
      </c>
      <c r="G428" s="580"/>
      <c r="H428" s="576">
        <f>G428*$E428</f>
        <v>0</v>
      </c>
      <c r="I428" s="576"/>
      <c r="J428" s="576">
        <f>I428*$E428</f>
        <v>0</v>
      </c>
      <c r="K428" s="576"/>
      <c r="L428" s="576">
        <f>K428*$E428</f>
        <v>0</v>
      </c>
      <c r="M428" s="576"/>
      <c r="N428" s="576">
        <f>M428*$E428</f>
        <v>0</v>
      </c>
      <c r="O428" s="576"/>
      <c r="P428" s="576">
        <f>O428*$E428</f>
        <v>0</v>
      </c>
      <c r="Q428" s="576"/>
      <c r="R428" s="577">
        <f>Q428*$E428</f>
        <v>0</v>
      </c>
      <c r="S428" s="578">
        <f>D428</f>
        <v>2.16</v>
      </c>
      <c r="T428" s="576">
        <f t="shared" si="476"/>
        <v>12.83</v>
      </c>
      <c r="U428" s="576"/>
      <c r="V428" s="576">
        <f>U428*$E428</f>
        <v>0</v>
      </c>
      <c r="W428" s="576"/>
      <c r="X428" s="576">
        <f>W428*$E428</f>
        <v>0</v>
      </c>
      <c r="Y428" s="576"/>
      <c r="Z428" s="576">
        <f>Y428*$E428</f>
        <v>0</v>
      </c>
      <c r="AA428" s="576"/>
      <c r="AB428" s="576">
        <f>AA428*$E428</f>
        <v>0</v>
      </c>
      <c r="AC428" s="576"/>
      <c r="AD428" s="579">
        <f>AC428*$E428</f>
        <v>0</v>
      </c>
      <c r="AE428" s="580">
        <f>AC428+AA428+Y428+W428+U428+S428+Q428+O428+M428+K428+I428+G428</f>
        <v>2.16</v>
      </c>
      <c r="AF428" s="576">
        <f t="shared" si="475"/>
        <v>12.83</v>
      </c>
      <c r="AG428" s="576">
        <f>D428-AE428</f>
        <v>0</v>
      </c>
      <c r="AH428" s="579">
        <f>AG428*E428</f>
        <v>0</v>
      </c>
      <c r="AI428" s="615"/>
      <c r="AK428" s="617">
        <f t="shared" si="440"/>
        <v>0</v>
      </c>
    </row>
    <row r="429" spans="1:37" s="569" customFormat="1">
      <c r="A429" s="581" t="s">
        <v>27232</v>
      </c>
      <c r="B429" s="582"/>
      <c r="C429" s="583"/>
      <c r="D429" s="584"/>
      <c r="E429" s="584"/>
      <c r="F429" s="585">
        <f t="shared" si="474"/>
        <v>5950.96</v>
      </c>
      <c r="G429" s="586"/>
      <c r="H429" s="584">
        <f>SUM(H425:H428)</f>
        <v>0</v>
      </c>
      <c r="I429" s="584"/>
      <c r="J429" s="584">
        <f>SUM(J425:J428)</f>
        <v>0</v>
      </c>
      <c r="K429" s="584"/>
      <c r="L429" s="584">
        <f>SUM(L425:L428)</f>
        <v>0</v>
      </c>
      <c r="M429" s="584"/>
      <c r="N429" s="584">
        <f>SUM(N425:N428)</f>
        <v>0</v>
      </c>
      <c r="O429" s="584"/>
      <c r="P429" s="584">
        <f>SUM(P425:P428)</f>
        <v>0</v>
      </c>
      <c r="Q429" s="584"/>
      <c r="R429" s="587">
        <f>SUM(R425:R428)</f>
        <v>0</v>
      </c>
      <c r="S429" s="588"/>
      <c r="T429" s="584">
        <f>SUM(T425:T428)</f>
        <v>5950.96</v>
      </c>
      <c r="U429" s="584"/>
      <c r="V429" s="584">
        <f>SUM(V425:V428)</f>
        <v>0</v>
      </c>
      <c r="W429" s="584"/>
      <c r="X429" s="584">
        <f>SUM(X425:X428)</f>
        <v>0</v>
      </c>
      <c r="Y429" s="584"/>
      <c r="Z429" s="584">
        <f>SUM(Z425:Z428)</f>
        <v>0</v>
      </c>
      <c r="AA429" s="584"/>
      <c r="AB429" s="584">
        <f>SUM(AB425:AB428)</f>
        <v>0</v>
      </c>
      <c r="AC429" s="584"/>
      <c r="AD429" s="585">
        <f>SUM(AD425:AD428)</f>
        <v>0</v>
      </c>
      <c r="AE429" s="590"/>
      <c r="AF429" s="584">
        <f>SUM(AF425:AF428)</f>
        <v>5950.96</v>
      </c>
      <c r="AG429" s="591"/>
      <c r="AH429" s="585">
        <f>SUM(AH425:AH428)</f>
        <v>0</v>
      </c>
      <c r="AI429" s="568"/>
      <c r="AK429" s="617">
        <f t="shared" si="440"/>
        <v>0</v>
      </c>
    </row>
    <row r="430" spans="1:37">
      <c r="A430" s="570"/>
      <c r="B430" s="571"/>
      <c r="C430" s="572"/>
      <c r="D430" s="573"/>
      <c r="E430" s="573"/>
      <c r="F430" s="574"/>
      <c r="G430" s="580"/>
      <c r="H430" s="576"/>
      <c r="I430" s="576"/>
      <c r="J430" s="576"/>
      <c r="K430" s="576"/>
      <c r="L430" s="576"/>
      <c r="M430" s="576"/>
      <c r="N430" s="576"/>
      <c r="O430" s="576"/>
      <c r="P430" s="576"/>
      <c r="Q430" s="576"/>
      <c r="R430" s="577"/>
      <c r="S430" s="578"/>
      <c r="T430" s="576"/>
      <c r="U430" s="576"/>
      <c r="V430" s="576"/>
      <c r="W430" s="576"/>
      <c r="X430" s="576"/>
      <c r="Y430" s="576"/>
      <c r="Z430" s="576"/>
      <c r="AA430" s="576"/>
      <c r="AB430" s="576"/>
      <c r="AC430" s="576"/>
      <c r="AD430" s="579"/>
      <c r="AE430" s="580"/>
      <c r="AF430" s="576"/>
      <c r="AG430" s="576"/>
      <c r="AH430" s="579"/>
      <c r="AK430" s="617">
        <f t="shared" si="440"/>
        <v>0</v>
      </c>
    </row>
    <row r="431" spans="1:37" s="569" customFormat="1">
      <c r="A431" s="592" t="s">
        <v>14084</v>
      </c>
      <c r="B431" s="593" t="str">
        <f>PLANILHA!D429</f>
        <v>FUNDAÇÃO</v>
      </c>
      <c r="C431" s="594"/>
      <c r="D431" s="589"/>
      <c r="E431" s="589"/>
      <c r="F431" s="595">
        <f t="shared" ref="F431:F441" si="477">VLOOKUP(A431,PLANILHA,$G$6,0)</f>
        <v>0</v>
      </c>
      <c r="G431" s="596"/>
      <c r="H431" s="597"/>
      <c r="I431" s="597"/>
      <c r="J431" s="597"/>
      <c r="K431" s="597"/>
      <c r="L431" s="597"/>
      <c r="M431" s="597"/>
      <c r="N431" s="597"/>
      <c r="O431" s="597"/>
      <c r="P431" s="597"/>
      <c r="Q431" s="597"/>
      <c r="R431" s="598"/>
      <c r="S431" s="599"/>
      <c r="T431" s="597"/>
      <c r="U431" s="597"/>
      <c r="V431" s="597"/>
      <c r="W431" s="597"/>
      <c r="X431" s="597"/>
      <c r="Y431" s="597"/>
      <c r="Z431" s="597"/>
      <c r="AA431" s="597"/>
      <c r="AB431" s="597"/>
      <c r="AC431" s="597"/>
      <c r="AD431" s="600"/>
      <c r="AE431" s="596"/>
      <c r="AF431" s="597"/>
      <c r="AG431" s="597"/>
      <c r="AH431" s="600"/>
      <c r="AI431" s="568"/>
      <c r="AK431" s="617">
        <f t="shared" si="440"/>
        <v>0</v>
      </c>
    </row>
    <row r="432" spans="1:37" ht="45">
      <c r="A432" s="570" t="s">
        <v>14085</v>
      </c>
      <c r="B432" s="571" t="str">
        <f>PLANILHA!D430</f>
        <v>CONCRETO MAGRO PARA LASTRO, TRAÇO 1:4,5:4,5 (EM MASSA SECA DE CIMENTO/ AREIA MÉDIA/ SEIXO ROLADO) - PREPARO MECÂNICO COM BETONEIRA 400 L. AF_05/2021</v>
      </c>
      <c r="C432" s="572" t="str">
        <f>PLANILHA!E430</f>
        <v>M3</v>
      </c>
      <c r="D432" s="573">
        <f>PLANILHA!F430</f>
        <v>1.25925</v>
      </c>
      <c r="E432" s="573">
        <f t="shared" ref="E432:E440" si="478">VLOOKUP(A432,PLANILHA,$G$7,0)</f>
        <v>558.29999999999995</v>
      </c>
      <c r="F432" s="574">
        <f t="shared" si="477"/>
        <v>703.03</v>
      </c>
      <c r="G432" s="575"/>
      <c r="H432" s="576">
        <f t="shared" ref="H432:H440" si="479">G432*$E432</f>
        <v>0</v>
      </c>
      <c r="I432" s="576"/>
      <c r="J432" s="576">
        <f t="shared" ref="J432:J440" si="480">I432*$E432</f>
        <v>0</v>
      </c>
      <c r="K432" s="576"/>
      <c r="L432" s="576">
        <f t="shared" ref="L432:L440" si="481">K432*$E432</f>
        <v>0</v>
      </c>
      <c r="M432" s="576"/>
      <c r="N432" s="576">
        <f t="shared" ref="N432:N440" si="482">M432*$E432</f>
        <v>0</v>
      </c>
      <c r="O432" s="576"/>
      <c r="P432" s="576">
        <f t="shared" ref="P432:P440" si="483">O432*$E432</f>
        <v>0</v>
      </c>
      <c r="Q432" s="576"/>
      <c r="R432" s="577">
        <f t="shared" ref="R432:R440" si="484">Q432*$E432</f>
        <v>0</v>
      </c>
      <c r="S432" s="578">
        <f>D432</f>
        <v>1.25925</v>
      </c>
      <c r="T432" s="576">
        <f t="shared" ref="T432:T440" si="485">TRUNC(S432*$E432,2)</f>
        <v>703.03</v>
      </c>
      <c r="U432" s="576"/>
      <c r="V432" s="576">
        <f t="shared" ref="V432:V440" si="486">U432*$E432</f>
        <v>0</v>
      </c>
      <c r="W432" s="576"/>
      <c r="X432" s="576">
        <f t="shared" ref="X432:X440" si="487">W432*$E432</f>
        <v>0</v>
      </c>
      <c r="Y432" s="576"/>
      <c r="Z432" s="576">
        <f t="shared" ref="Z432:Z440" si="488">Y432*$E432</f>
        <v>0</v>
      </c>
      <c r="AA432" s="576"/>
      <c r="AB432" s="576">
        <f t="shared" ref="AB432:AB440" si="489">AA432*$E432</f>
        <v>0</v>
      </c>
      <c r="AC432" s="576"/>
      <c r="AD432" s="579">
        <f t="shared" ref="AD432:AD440" si="490">AC432*$E432</f>
        <v>0</v>
      </c>
      <c r="AE432" s="580">
        <f t="shared" ref="AE432:AE440" si="491">AC432+AA432+Y432+W432+U432+S432+Q432+O432+M432+K432+I432+G432</f>
        <v>1.25925</v>
      </c>
      <c r="AF432" s="576">
        <f t="shared" ref="AF432:AF440" si="492">TRUNC(AE432*E432,2)</f>
        <v>703.03</v>
      </c>
      <c r="AG432" s="576">
        <f t="shared" ref="AG432:AG440" si="493">D432-AE432</f>
        <v>0</v>
      </c>
      <c r="AH432" s="579">
        <f t="shared" ref="AH432:AH440" si="494">AG432*E432</f>
        <v>0</v>
      </c>
      <c r="AI432" s="615"/>
      <c r="AK432" s="617">
        <f t="shared" si="440"/>
        <v>0</v>
      </c>
    </row>
    <row r="433" spans="1:37" ht="45">
      <c r="A433" s="570" t="s">
        <v>14086</v>
      </c>
      <c r="B433" s="571" t="str">
        <f>PLANILHA!D431</f>
        <v>CONCRETAGEM DE BLOCOS DE COROAMENTO E VIGAS BALDRAME, FCK 30 MPA, COM USO DE JERICA  LANÇAMENTO, ADENSAMENTO E ACABAMENTO. AF_06/2017</v>
      </c>
      <c r="C433" s="572" t="str">
        <f>PLANILHA!E431</f>
        <v>M3</v>
      </c>
      <c r="D433" s="573">
        <f>PLANILHA!F431</f>
        <v>8.92</v>
      </c>
      <c r="E433" s="573">
        <f t="shared" si="478"/>
        <v>741.7</v>
      </c>
      <c r="F433" s="574">
        <f t="shared" si="477"/>
        <v>6615.96</v>
      </c>
      <c r="G433" s="575"/>
      <c r="H433" s="576">
        <f t="shared" si="479"/>
        <v>0</v>
      </c>
      <c r="I433" s="576"/>
      <c r="J433" s="576">
        <f t="shared" si="480"/>
        <v>0</v>
      </c>
      <c r="K433" s="576"/>
      <c r="L433" s="576">
        <f t="shared" si="481"/>
        <v>0</v>
      </c>
      <c r="M433" s="576"/>
      <c r="N433" s="576">
        <f t="shared" si="482"/>
        <v>0</v>
      </c>
      <c r="O433" s="576"/>
      <c r="P433" s="576">
        <f t="shared" si="483"/>
        <v>0</v>
      </c>
      <c r="Q433" s="576"/>
      <c r="R433" s="577">
        <f t="shared" si="484"/>
        <v>0</v>
      </c>
      <c r="S433" s="578">
        <f t="shared" ref="S433:S440" si="495">D433</f>
        <v>8.92</v>
      </c>
      <c r="T433" s="576">
        <f t="shared" si="485"/>
        <v>6615.96</v>
      </c>
      <c r="U433" s="576"/>
      <c r="V433" s="576">
        <f t="shared" si="486"/>
        <v>0</v>
      </c>
      <c r="W433" s="576"/>
      <c r="X433" s="576">
        <f t="shared" si="487"/>
        <v>0</v>
      </c>
      <c r="Y433" s="576"/>
      <c r="Z433" s="576">
        <f t="shared" si="488"/>
        <v>0</v>
      </c>
      <c r="AA433" s="576"/>
      <c r="AB433" s="576">
        <f t="shared" si="489"/>
        <v>0</v>
      </c>
      <c r="AC433" s="576"/>
      <c r="AD433" s="579">
        <f t="shared" si="490"/>
        <v>0</v>
      </c>
      <c r="AE433" s="580">
        <f t="shared" si="491"/>
        <v>8.92</v>
      </c>
      <c r="AF433" s="576">
        <f t="shared" si="492"/>
        <v>6615.96</v>
      </c>
      <c r="AG433" s="576">
        <f t="shared" si="493"/>
        <v>0</v>
      </c>
      <c r="AH433" s="579">
        <f t="shared" si="494"/>
        <v>0</v>
      </c>
      <c r="AI433" s="615"/>
      <c r="AK433" s="617">
        <f t="shared" si="440"/>
        <v>0</v>
      </c>
    </row>
    <row r="434" spans="1:37" ht="30">
      <c r="A434" s="570" t="s">
        <v>14087</v>
      </c>
      <c r="B434" s="571" t="str">
        <f>PLANILHA!D432</f>
        <v>ARMAÇÃO DE BLOCO, VIGA BALDRAME E SAPATA UTILIZANDO AÇO CA-60 DE 5 MM - MONTAGEM. AF_06/2017</v>
      </c>
      <c r="C434" s="572" t="str">
        <f>PLANILHA!E432</f>
        <v>KG</v>
      </c>
      <c r="D434" s="573">
        <f>PLANILHA!F432</f>
        <v>87.5</v>
      </c>
      <c r="E434" s="573">
        <f t="shared" si="478"/>
        <v>22.55</v>
      </c>
      <c r="F434" s="574">
        <f t="shared" si="477"/>
        <v>1973.12</v>
      </c>
      <c r="G434" s="575"/>
      <c r="H434" s="576">
        <f>G434*$E434</f>
        <v>0</v>
      </c>
      <c r="I434" s="576"/>
      <c r="J434" s="576">
        <f>I434*$E434</f>
        <v>0</v>
      </c>
      <c r="K434" s="576"/>
      <c r="L434" s="576">
        <f>K434*$E434</f>
        <v>0</v>
      </c>
      <c r="M434" s="576"/>
      <c r="N434" s="576">
        <f>M434*$E434</f>
        <v>0</v>
      </c>
      <c r="O434" s="576"/>
      <c r="P434" s="576">
        <f>O434*$E434</f>
        <v>0</v>
      </c>
      <c r="Q434" s="576"/>
      <c r="R434" s="577">
        <f>Q434*$E434</f>
        <v>0</v>
      </c>
      <c r="S434" s="578">
        <f t="shared" si="495"/>
        <v>87.5</v>
      </c>
      <c r="T434" s="576">
        <f t="shared" si="485"/>
        <v>1973.12</v>
      </c>
      <c r="U434" s="576"/>
      <c r="V434" s="576">
        <f>U434*$E434</f>
        <v>0</v>
      </c>
      <c r="W434" s="576"/>
      <c r="X434" s="576">
        <f>W434*$E434</f>
        <v>0</v>
      </c>
      <c r="Y434" s="576"/>
      <c r="Z434" s="576">
        <f>Y434*$E434</f>
        <v>0</v>
      </c>
      <c r="AA434" s="576"/>
      <c r="AB434" s="576">
        <f>AA434*$E434</f>
        <v>0</v>
      </c>
      <c r="AC434" s="576"/>
      <c r="AD434" s="579">
        <f>AC434*$E434</f>
        <v>0</v>
      </c>
      <c r="AE434" s="580">
        <f>AC434+AA434+Y434+W434+U434+S434+Q434+O434+M434+K434+I434+G434</f>
        <v>87.5</v>
      </c>
      <c r="AF434" s="576">
        <f t="shared" si="492"/>
        <v>1973.12</v>
      </c>
      <c r="AG434" s="576">
        <f>D434-AE434</f>
        <v>0</v>
      </c>
      <c r="AH434" s="579">
        <f>AG434*E434</f>
        <v>0</v>
      </c>
      <c r="AI434" s="615"/>
      <c r="AK434" s="617">
        <f t="shared" si="440"/>
        <v>0</v>
      </c>
    </row>
    <row r="435" spans="1:37" ht="30">
      <c r="A435" s="570" t="s">
        <v>14088</v>
      </c>
      <c r="B435" s="571" t="str">
        <f>PLANILHA!D433</f>
        <v>ARMAÇÃO DE BLOCO, VIGA BALDRAME OU SAPATA UTILIZANDO AÇO CA-50 DE 6,3 MM - MONTAGEM. AF_06/2017</v>
      </c>
      <c r="C435" s="572" t="str">
        <f>PLANILHA!E433</f>
        <v>KG</v>
      </c>
      <c r="D435" s="573">
        <f>PLANILHA!F433</f>
        <v>51.8</v>
      </c>
      <c r="E435" s="573">
        <f t="shared" si="478"/>
        <v>21.42</v>
      </c>
      <c r="F435" s="574">
        <f t="shared" si="477"/>
        <v>1109.55</v>
      </c>
      <c r="G435" s="575"/>
      <c r="H435" s="576">
        <f t="shared" si="479"/>
        <v>0</v>
      </c>
      <c r="I435" s="576"/>
      <c r="J435" s="576">
        <f t="shared" si="480"/>
        <v>0</v>
      </c>
      <c r="K435" s="576"/>
      <c r="L435" s="576">
        <f t="shared" si="481"/>
        <v>0</v>
      </c>
      <c r="M435" s="576"/>
      <c r="N435" s="576">
        <f t="shared" si="482"/>
        <v>0</v>
      </c>
      <c r="O435" s="576"/>
      <c r="P435" s="576">
        <f t="shared" si="483"/>
        <v>0</v>
      </c>
      <c r="Q435" s="576"/>
      <c r="R435" s="577">
        <f t="shared" si="484"/>
        <v>0</v>
      </c>
      <c r="S435" s="578">
        <f t="shared" si="495"/>
        <v>51.8</v>
      </c>
      <c r="T435" s="576">
        <f t="shared" si="485"/>
        <v>1109.55</v>
      </c>
      <c r="U435" s="576"/>
      <c r="V435" s="576">
        <f t="shared" si="486"/>
        <v>0</v>
      </c>
      <c r="W435" s="576"/>
      <c r="X435" s="576">
        <f t="shared" si="487"/>
        <v>0</v>
      </c>
      <c r="Y435" s="576"/>
      <c r="Z435" s="576">
        <f t="shared" si="488"/>
        <v>0</v>
      </c>
      <c r="AA435" s="576"/>
      <c r="AB435" s="576">
        <f t="shared" si="489"/>
        <v>0</v>
      </c>
      <c r="AC435" s="576"/>
      <c r="AD435" s="579">
        <f t="shared" si="490"/>
        <v>0</v>
      </c>
      <c r="AE435" s="580">
        <f t="shared" si="491"/>
        <v>51.8</v>
      </c>
      <c r="AF435" s="576">
        <f t="shared" si="492"/>
        <v>1109.55</v>
      </c>
      <c r="AG435" s="576">
        <f t="shared" si="493"/>
        <v>0</v>
      </c>
      <c r="AH435" s="579">
        <f t="shared" si="494"/>
        <v>0</v>
      </c>
      <c r="AI435" s="615"/>
      <c r="AK435" s="617">
        <f t="shared" si="440"/>
        <v>0</v>
      </c>
    </row>
    <row r="436" spans="1:37" ht="30">
      <c r="A436" s="570" t="s">
        <v>14089</v>
      </c>
      <c r="B436" s="571" t="str">
        <f>PLANILHA!D434</f>
        <v>ARMAÇÃO DE BLOCO, VIGA BALDRAME OU SAPATA UTILIZANDO AÇO CA-50 DE 8 MM - MONTAGEM. AF_06/2017</v>
      </c>
      <c r="C436" s="572" t="str">
        <f>PLANILHA!E434</f>
        <v>KG</v>
      </c>
      <c r="D436" s="573">
        <f>PLANILHA!F434</f>
        <v>36.799999999999997</v>
      </c>
      <c r="E436" s="573">
        <f t="shared" si="478"/>
        <v>20.21</v>
      </c>
      <c r="F436" s="574">
        <f t="shared" si="477"/>
        <v>743.72</v>
      </c>
      <c r="G436" s="575"/>
      <c r="H436" s="576">
        <f t="shared" si="479"/>
        <v>0</v>
      </c>
      <c r="I436" s="576"/>
      <c r="J436" s="576">
        <f t="shared" si="480"/>
        <v>0</v>
      </c>
      <c r="K436" s="576"/>
      <c r="L436" s="576">
        <f t="shared" si="481"/>
        <v>0</v>
      </c>
      <c r="M436" s="576"/>
      <c r="N436" s="576">
        <f t="shared" si="482"/>
        <v>0</v>
      </c>
      <c r="O436" s="576"/>
      <c r="P436" s="576">
        <f t="shared" si="483"/>
        <v>0</v>
      </c>
      <c r="Q436" s="576"/>
      <c r="R436" s="577">
        <f t="shared" si="484"/>
        <v>0</v>
      </c>
      <c r="S436" s="578">
        <f t="shared" si="495"/>
        <v>36.799999999999997</v>
      </c>
      <c r="T436" s="576">
        <f t="shared" si="485"/>
        <v>743.72</v>
      </c>
      <c r="U436" s="576"/>
      <c r="V436" s="576">
        <f t="shared" si="486"/>
        <v>0</v>
      </c>
      <c r="W436" s="576"/>
      <c r="X436" s="576">
        <f t="shared" si="487"/>
        <v>0</v>
      </c>
      <c r="Y436" s="576"/>
      <c r="Z436" s="576">
        <f t="shared" si="488"/>
        <v>0</v>
      </c>
      <c r="AA436" s="576"/>
      <c r="AB436" s="576">
        <f t="shared" si="489"/>
        <v>0</v>
      </c>
      <c r="AC436" s="576"/>
      <c r="AD436" s="579">
        <f t="shared" si="490"/>
        <v>0</v>
      </c>
      <c r="AE436" s="580">
        <f t="shared" si="491"/>
        <v>36.799999999999997</v>
      </c>
      <c r="AF436" s="576">
        <f t="shared" si="492"/>
        <v>743.72</v>
      </c>
      <c r="AG436" s="576">
        <f t="shared" si="493"/>
        <v>0</v>
      </c>
      <c r="AH436" s="579">
        <f t="shared" si="494"/>
        <v>0</v>
      </c>
      <c r="AI436" s="615"/>
      <c r="AK436" s="617">
        <f t="shared" si="440"/>
        <v>0</v>
      </c>
    </row>
    <row r="437" spans="1:37" ht="30">
      <c r="A437" s="570" t="s">
        <v>14090</v>
      </c>
      <c r="B437" s="571" t="str">
        <f>PLANILHA!D435</f>
        <v>ARMAÇÃO DE BLOCO, VIGA BALDRAME OU SAPATA UTILIZANDO AÇO CA-50 DE 10 MM - MONTAGEM. AF_06/2017</v>
      </c>
      <c r="C437" s="572" t="str">
        <f>PLANILHA!E435</f>
        <v>KG</v>
      </c>
      <c r="D437" s="573">
        <f>PLANILHA!F435</f>
        <v>324</v>
      </c>
      <c r="E437" s="573">
        <f t="shared" si="478"/>
        <v>18.149999999999999</v>
      </c>
      <c r="F437" s="574">
        <f t="shared" si="477"/>
        <v>5880.6</v>
      </c>
      <c r="G437" s="575"/>
      <c r="H437" s="576">
        <f t="shared" si="479"/>
        <v>0</v>
      </c>
      <c r="I437" s="576"/>
      <c r="J437" s="576">
        <f t="shared" si="480"/>
        <v>0</v>
      </c>
      <c r="K437" s="576"/>
      <c r="L437" s="576">
        <f t="shared" si="481"/>
        <v>0</v>
      </c>
      <c r="M437" s="576"/>
      <c r="N437" s="576">
        <f t="shared" si="482"/>
        <v>0</v>
      </c>
      <c r="O437" s="576"/>
      <c r="P437" s="576">
        <f t="shared" si="483"/>
        <v>0</v>
      </c>
      <c r="Q437" s="576"/>
      <c r="R437" s="577">
        <f t="shared" si="484"/>
        <v>0</v>
      </c>
      <c r="S437" s="578">
        <f t="shared" si="495"/>
        <v>324</v>
      </c>
      <c r="T437" s="576">
        <f t="shared" si="485"/>
        <v>5880.6</v>
      </c>
      <c r="U437" s="576"/>
      <c r="V437" s="576">
        <f t="shared" si="486"/>
        <v>0</v>
      </c>
      <c r="W437" s="576"/>
      <c r="X437" s="576">
        <f t="shared" si="487"/>
        <v>0</v>
      </c>
      <c r="Y437" s="576"/>
      <c r="Z437" s="576">
        <f t="shared" si="488"/>
        <v>0</v>
      </c>
      <c r="AA437" s="576"/>
      <c r="AB437" s="576">
        <f t="shared" si="489"/>
        <v>0</v>
      </c>
      <c r="AC437" s="576"/>
      <c r="AD437" s="579">
        <f t="shared" si="490"/>
        <v>0</v>
      </c>
      <c r="AE437" s="580">
        <f t="shared" si="491"/>
        <v>324</v>
      </c>
      <c r="AF437" s="576">
        <f t="shared" si="492"/>
        <v>5880.6</v>
      </c>
      <c r="AG437" s="576">
        <f t="shared" si="493"/>
        <v>0</v>
      </c>
      <c r="AH437" s="579">
        <f t="shared" si="494"/>
        <v>0</v>
      </c>
      <c r="AI437" s="615"/>
      <c r="AK437" s="617">
        <f t="shared" si="440"/>
        <v>0</v>
      </c>
    </row>
    <row r="438" spans="1:37" ht="30">
      <c r="A438" s="570" t="s">
        <v>14091</v>
      </c>
      <c r="B438" s="571" t="str">
        <f>PLANILHA!D436</f>
        <v>FABRICAÇÃO DE FÔRMA PARA PILARES E ESTRUTURAS SIMILARES, EM CHAPA DE MADEIRA COMPENSADA RESINADA, E = 17 MM. AF_09/2020</v>
      </c>
      <c r="C438" s="572" t="str">
        <f>PLANILHA!E436</f>
        <v>M2</v>
      </c>
      <c r="D438" s="573">
        <f>PLANILHA!F436</f>
        <v>82</v>
      </c>
      <c r="E438" s="573">
        <f t="shared" si="478"/>
        <v>215.06</v>
      </c>
      <c r="F438" s="574">
        <f t="shared" si="477"/>
        <v>17634.919999999998</v>
      </c>
      <c r="G438" s="575"/>
      <c r="H438" s="576">
        <f t="shared" si="479"/>
        <v>0</v>
      </c>
      <c r="I438" s="576"/>
      <c r="J438" s="576">
        <f t="shared" si="480"/>
        <v>0</v>
      </c>
      <c r="K438" s="576"/>
      <c r="L438" s="576">
        <f t="shared" si="481"/>
        <v>0</v>
      </c>
      <c r="M438" s="576"/>
      <c r="N438" s="576">
        <f t="shared" si="482"/>
        <v>0</v>
      </c>
      <c r="O438" s="576"/>
      <c r="P438" s="576">
        <f t="shared" si="483"/>
        <v>0</v>
      </c>
      <c r="Q438" s="576"/>
      <c r="R438" s="577">
        <f t="shared" si="484"/>
        <v>0</v>
      </c>
      <c r="S438" s="578">
        <f t="shared" si="495"/>
        <v>82</v>
      </c>
      <c r="T438" s="576">
        <f t="shared" si="485"/>
        <v>17634.919999999998</v>
      </c>
      <c r="U438" s="576"/>
      <c r="V438" s="576">
        <f t="shared" si="486"/>
        <v>0</v>
      </c>
      <c r="W438" s="576"/>
      <c r="X438" s="576">
        <f t="shared" si="487"/>
        <v>0</v>
      </c>
      <c r="Y438" s="576"/>
      <c r="Z438" s="576">
        <f t="shared" si="488"/>
        <v>0</v>
      </c>
      <c r="AA438" s="576"/>
      <c r="AB438" s="576">
        <f t="shared" si="489"/>
        <v>0</v>
      </c>
      <c r="AC438" s="576"/>
      <c r="AD438" s="579">
        <f t="shared" si="490"/>
        <v>0</v>
      </c>
      <c r="AE438" s="580">
        <f t="shared" si="491"/>
        <v>82</v>
      </c>
      <c r="AF438" s="576">
        <f t="shared" si="492"/>
        <v>17634.919999999998</v>
      </c>
      <c r="AG438" s="576">
        <f t="shared" si="493"/>
        <v>0</v>
      </c>
      <c r="AH438" s="579">
        <f t="shared" si="494"/>
        <v>0</v>
      </c>
      <c r="AI438" s="615"/>
      <c r="AK438" s="617">
        <f t="shared" si="440"/>
        <v>0</v>
      </c>
    </row>
    <row r="439" spans="1:37" ht="30">
      <c r="A439" s="570" t="s">
        <v>14092</v>
      </c>
      <c r="B439" s="571" t="str">
        <f>PLANILHA!D437</f>
        <v>IMPERMEABILIZAÇÃO DE SUPERFÍCIE COM EMULSÃO ASFÁLTICA, 2 DEMÃOS AF_06/2018</v>
      </c>
      <c r="C439" s="572" t="str">
        <f>PLANILHA!E437</f>
        <v>M2</v>
      </c>
      <c r="D439" s="573">
        <f>PLANILHA!F437</f>
        <v>82</v>
      </c>
      <c r="E439" s="573">
        <f t="shared" si="478"/>
        <v>71.89</v>
      </c>
      <c r="F439" s="574">
        <f t="shared" si="477"/>
        <v>5894.98</v>
      </c>
      <c r="G439" s="575"/>
      <c r="H439" s="576">
        <f t="shared" si="479"/>
        <v>0</v>
      </c>
      <c r="I439" s="576"/>
      <c r="J439" s="576">
        <f t="shared" si="480"/>
        <v>0</v>
      </c>
      <c r="K439" s="576"/>
      <c r="L439" s="576">
        <f t="shared" si="481"/>
        <v>0</v>
      </c>
      <c r="M439" s="576"/>
      <c r="N439" s="576">
        <f t="shared" si="482"/>
        <v>0</v>
      </c>
      <c r="O439" s="576"/>
      <c r="P439" s="576">
        <f t="shared" si="483"/>
        <v>0</v>
      </c>
      <c r="Q439" s="576"/>
      <c r="R439" s="577">
        <f t="shared" si="484"/>
        <v>0</v>
      </c>
      <c r="S439" s="578">
        <f t="shared" si="495"/>
        <v>82</v>
      </c>
      <c r="T439" s="576">
        <f t="shared" si="485"/>
        <v>5894.98</v>
      </c>
      <c r="U439" s="576"/>
      <c r="V439" s="576">
        <f t="shared" si="486"/>
        <v>0</v>
      </c>
      <c r="W439" s="576"/>
      <c r="X439" s="576">
        <f t="shared" si="487"/>
        <v>0</v>
      </c>
      <c r="Y439" s="576"/>
      <c r="Z439" s="576">
        <f t="shared" si="488"/>
        <v>0</v>
      </c>
      <c r="AA439" s="576"/>
      <c r="AB439" s="576">
        <f t="shared" si="489"/>
        <v>0</v>
      </c>
      <c r="AC439" s="576"/>
      <c r="AD439" s="579">
        <f t="shared" si="490"/>
        <v>0</v>
      </c>
      <c r="AE439" s="580">
        <f t="shared" si="491"/>
        <v>82</v>
      </c>
      <c r="AF439" s="576">
        <f t="shared" si="492"/>
        <v>5894.98</v>
      </c>
      <c r="AG439" s="576">
        <f t="shared" si="493"/>
        <v>0</v>
      </c>
      <c r="AH439" s="579">
        <f t="shared" si="494"/>
        <v>0</v>
      </c>
      <c r="AI439" s="615"/>
      <c r="AK439" s="617">
        <f t="shared" si="440"/>
        <v>0</v>
      </c>
    </row>
    <row r="440" spans="1:37">
      <c r="A440" s="570" t="s">
        <v>14093</v>
      </c>
      <c r="B440" s="571" t="str">
        <f>PLANILHA!D438</f>
        <v>REATERRO MANUAL APILOADO COM SOQUETE. AF_10/2017</v>
      </c>
      <c r="C440" s="572" t="str">
        <f>PLANILHA!E438</f>
        <v>M3</v>
      </c>
      <c r="D440" s="573">
        <f>PLANILHA!F438</f>
        <v>3.38</v>
      </c>
      <c r="E440" s="573">
        <f t="shared" si="478"/>
        <v>49.33</v>
      </c>
      <c r="F440" s="574">
        <f t="shared" si="477"/>
        <v>166.73</v>
      </c>
      <c r="G440" s="575"/>
      <c r="H440" s="576">
        <f t="shared" si="479"/>
        <v>0</v>
      </c>
      <c r="I440" s="576"/>
      <c r="J440" s="576">
        <f t="shared" si="480"/>
        <v>0</v>
      </c>
      <c r="K440" s="576"/>
      <c r="L440" s="576">
        <f t="shared" si="481"/>
        <v>0</v>
      </c>
      <c r="M440" s="576"/>
      <c r="N440" s="576">
        <f t="shared" si="482"/>
        <v>0</v>
      </c>
      <c r="O440" s="576"/>
      <c r="P440" s="576">
        <f t="shared" si="483"/>
        <v>0</v>
      </c>
      <c r="Q440" s="576"/>
      <c r="R440" s="577">
        <f t="shared" si="484"/>
        <v>0</v>
      </c>
      <c r="S440" s="578">
        <f t="shared" si="495"/>
        <v>3.38</v>
      </c>
      <c r="T440" s="576">
        <f t="shared" si="485"/>
        <v>166.73</v>
      </c>
      <c r="U440" s="576"/>
      <c r="V440" s="576">
        <f t="shared" si="486"/>
        <v>0</v>
      </c>
      <c r="W440" s="576"/>
      <c r="X440" s="576">
        <f t="shared" si="487"/>
        <v>0</v>
      </c>
      <c r="Y440" s="576"/>
      <c r="Z440" s="576">
        <f t="shared" si="488"/>
        <v>0</v>
      </c>
      <c r="AA440" s="576"/>
      <c r="AB440" s="576">
        <f t="shared" si="489"/>
        <v>0</v>
      </c>
      <c r="AC440" s="576"/>
      <c r="AD440" s="579">
        <f t="shared" si="490"/>
        <v>0</v>
      </c>
      <c r="AE440" s="580">
        <f t="shared" si="491"/>
        <v>3.38</v>
      </c>
      <c r="AF440" s="576">
        <f t="shared" si="492"/>
        <v>166.73</v>
      </c>
      <c r="AG440" s="576">
        <f t="shared" si="493"/>
        <v>0</v>
      </c>
      <c r="AH440" s="579">
        <f t="shared" si="494"/>
        <v>0</v>
      </c>
      <c r="AI440" s="615"/>
      <c r="AK440" s="617">
        <f t="shared" si="440"/>
        <v>0</v>
      </c>
    </row>
    <row r="441" spans="1:37" s="569" customFormat="1">
      <c r="A441" s="581" t="s">
        <v>27233</v>
      </c>
      <c r="B441" s="582"/>
      <c r="C441" s="583"/>
      <c r="D441" s="584"/>
      <c r="E441" s="584"/>
      <c r="F441" s="585">
        <f t="shared" si="477"/>
        <v>40722.609999999993</v>
      </c>
      <c r="G441" s="586"/>
      <c r="H441" s="584">
        <f>SUM(H432:H440)</f>
        <v>0</v>
      </c>
      <c r="I441" s="584"/>
      <c r="J441" s="584">
        <f>SUM(J432:J440)</f>
        <v>0</v>
      </c>
      <c r="K441" s="584"/>
      <c r="L441" s="584">
        <f>SUM(L432:L440)</f>
        <v>0</v>
      </c>
      <c r="M441" s="584"/>
      <c r="N441" s="584">
        <f>SUM(N432:N440)</f>
        <v>0</v>
      </c>
      <c r="O441" s="584"/>
      <c r="P441" s="584">
        <f>SUM(P432:P440)</f>
        <v>0</v>
      </c>
      <c r="Q441" s="584"/>
      <c r="R441" s="587">
        <f>SUM(R432:R440)</f>
        <v>0</v>
      </c>
      <c r="S441" s="588"/>
      <c r="T441" s="584">
        <f>SUM(T432:T440)</f>
        <v>40722.609999999993</v>
      </c>
      <c r="U441" s="584"/>
      <c r="V441" s="584">
        <f>SUM(V432:V440)</f>
        <v>0</v>
      </c>
      <c r="W441" s="584"/>
      <c r="X441" s="584">
        <f>SUM(X432:X440)</f>
        <v>0</v>
      </c>
      <c r="Y441" s="584"/>
      <c r="Z441" s="584">
        <f>SUM(Z432:Z440)</f>
        <v>0</v>
      </c>
      <c r="AA441" s="584"/>
      <c r="AB441" s="584">
        <f>SUM(AB432:AB440)</f>
        <v>0</v>
      </c>
      <c r="AC441" s="584"/>
      <c r="AD441" s="585">
        <f>SUM(AD432:AD440)</f>
        <v>0</v>
      </c>
      <c r="AE441" s="590"/>
      <c r="AF441" s="584">
        <f>SUM(AF432:AF440)</f>
        <v>40722.609999999993</v>
      </c>
      <c r="AG441" s="591"/>
      <c r="AH441" s="585">
        <f>SUM(AH432:AH440)</f>
        <v>0</v>
      </c>
      <c r="AI441" s="568"/>
      <c r="AK441" s="617">
        <f t="shared" si="440"/>
        <v>0</v>
      </c>
    </row>
    <row r="442" spans="1:37">
      <c r="A442" s="570"/>
      <c r="B442" s="571"/>
      <c r="C442" s="572"/>
      <c r="D442" s="573"/>
      <c r="E442" s="573"/>
      <c r="F442" s="574"/>
      <c r="G442" s="580"/>
      <c r="H442" s="576"/>
      <c r="I442" s="576"/>
      <c r="J442" s="576"/>
      <c r="K442" s="576"/>
      <c r="L442" s="576"/>
      <c r="M442" s="576"/>
      <c r="N442" s="576"/>
      <c r="O442" s="576"/>
      <c r="P442" s="576"/>
      <c r="Q442" s="576"/>
      <c r="R442" s="577"/>
      <c r="S442" s="578"/>
      <c r="T442" s="576"/>
      <c r="U442" s="576"/>
      <c r="V442" s="576"/>
      <c r="W442" s="576"/>
      <c r="X442" s="576"/>
      <c r="Y442" s="576"/>
      <c r="Z442" s="576"/>
      <c r="AA442" s="576"/>
      <c r="AB442" s="576"/>
      <c r="AC442" s="576"/>
      <c r="AD442" s="579"/>
      <c r="AE442" s="580"/>
      <c r="AF442" s="576"/>
      <c r="AG442" s="576"/>
      <c r="AH442" s="579"/>
      <c r="AK442" s="617">
        <f t="shared" si="440"/>
        <v>0</v>
      </c>
    </row>
    <row r="443" spans="1:37">
      <c r="A443" s="570"/>
      <c r="B443" s="571"/>
      <c r="C443" s="572"/>
      <c r="D443" s="573"/>
      <c r="E443" s="573"/>
      <c r="F443" s="574"/>
      <c r="G443" s="580"/>
      <c r="H443" s="576"/>
      <c r="I443" s="576"/>
      <c r="J443" s="576"/>
      <c r="K443" s="576"/>
      <c r="L443" s="576"/>
      <c r="M443" s="576"/>
      <c r="N443" s="576"/>
      <c r="O443" s="576"/>
      <c r="P443" s="576"/>
      <c r="Q443" s="576"/>
      <c r="R443" s="577"/>
      <c r="S443" s="578"/>
      <c r="T443" s="576"/>
      <c r="U443" s="576"/>
      <c r="V443" s="576"/>
      <c r="W443" s="576"/>
      <c r="X443" s="576"/>
      <c r="Y443" s="576"/>
      <c r="Z443" s="576"/>
      <c r="AA443" s="576"/>
      <c r="AB443" s="576"/>
      <c r="AC443" s="576"/>
      <c r="AD443" s="579"/>
      <c r="AE443" s="580"/>
      <c r="AF443" s="576"/>
      <c r="AG443" s="576"/>
      <c r="AH443" s="579"/>
      <c r="AK443" s="617">
        <f t="shared" si="440"/>
        <v>0</v>
      </c>
    </row>
    <row r="444" spans="1:37" s="569" customFormat="1">
      <c r="A444" s="592" t="s">
        <v>14094</v>
      </c>
      <c r="B444" s="593" t="str">
        <f>PLANILHA!D441</f>
        <v>PISO E REVESTIMENTO</v>
      </c>
      <c r="C444" s="594"/>
      <c r="D444" s="589"/>
      <c r="E444" s="589"/>
      <c r="F444" s="595">
        <f>VLOOKUP(A444,PLANILHA,$G$6,0)</f>
        <v>0</v>
      </c>
      <c r="G444" s="596"/>
      <c r="H444" s="597"/>
      <c r="I444" s="597"/>
      <c r="J444" s="597"/>
      <c r="K444" s="597"/>
      <c r="L444" s="597"/>
      <c r="M444" s="597"/>
      <c r="N444" s="597"/>
      <c r="O444" s="597"/>
      <c r="P444" s="597"/>
      <c r="Q444" s="597"/>
      <c r="R444" s="598"/>
      <c r="S444" s="599"/>
      <c r="T444" s="597"/>
      <c r="U444" s="597"/>
      <c r="V444" s="597"/>
      <c r="W444" s="597"/>
      <c r="X444" s="597"/>
      <c r="Y444" s="597"/>
      <c r="Z444" s="597"/>
      <c r="AA444" s="597"/>
      <c r="AB444" s="597"/>
      <c r="AC444" s="597"/>
      <c r="AD444" s="600"/>
      <c r="AE444" s="596"/>
      <c r="AF444" s="597"/>
      <c r="AG444" s="597"/>
      <c r="AH444" s="600"/>
      <c r="AI444" s="568"/>
      <c r="AK444" s="617">
        <f t="shared" si="440"/>
        <v>0</v>
      </c>
    </row>
    <row r="445" spans="1:37" ht="60">
      <c r="A445" s="570" t="s">
        <v>14095</v>
      </c>
      <c r="B445" s="571" t="str">
        <f>PLANILHA!D442</f>
        <v>CONTRAPISO EM ARGAMASSA TRAÇO 1:4 (CIMENTO E AREIA), PREPARO MECÂNICO COM BETONEIRA 400 L, APLICADO EM ÁREAS SECAS SOBRE LAJE, ADERIDO, ACABAMENTO NÃO REFORÇADO, ESPESSURA 2CM. AF_07/2021</v>
      </c>
      <c r="C445" s="572" t="str">
        <f>PLANILHA!E442</f>
        <v>M2</v>
      </c>
      <c r="D445" s="573">
        <f>PLANILHA!F442</f>
        <v>41.975000000000001</v>
      </c>
      <c r="E445" s="573">
        <f>VLOOKUP(A445,PLANILHA,$G$7,0)</f>
        <v>34.76</v>
      </c>
      <c r="F445" s="574">
        <f>VLOOKUP(A445,PLANILHA,$G$6,0)</f>
        <v>1459.05</v>
      </c>
      <c r="G445" s="580"/>
      <c r="H445" s="576">
        <f>G445*$E445</f>
        <v>0</v>
      </c>
      <c r="I445" s="576"/>
      <c r="J445" s="576">
        <f>I445*$E445</f>
        <v>0</v>
      </c>
      <c r="K445" s="576"/>
      <c r="L445" s="576">
        <f>K445*$E445</f>
        <v>0</v>
      </c>
      <c r="M445" s="576"/>
      <c r="N445" s="576">
        <f>M445*$E445</f>
        <v>0</v>
      </c>
      <c r="O445" s="576"/>
      <c r="P445" s="576">
        <f>O445*$E445</f>
        <v>0</v>
      </c>
      <c r="Q445" s="576"/>
      <c r="R445" s="577">
        <f>Q445*$E445</f>
        <v>0</v>
      </c>
      <c r="S445" s="578"/>
      <c r="T445" s="576">
        <f>S445*$E445</f>
        <v>0</v>
      </c>
      <c r="U445" s="576">
        <f>D445</f>
        <v>41.975000000000001</v>
      </c>
      <c r="V445" s="576">
        <f>TRUNC(U445*$E445,2)</f>
        <v>1459.05</v>
      </c>
      <c r="W445" s="576"/>
      <c r="X445" s="576">
        <f>W445*$E445</f>
        <v>0</v>
      </c>
      <c r="Y445" s="576"/>
      <c r="Z445" s="576">
        <f>Y445*$E445</f>
        <v>0</v>
      </c>
      <c r="AA445" s="576"/>
      <c r="AB445" s="576">
        <f>AA445*$E445</f>
        <v>0</v>
      </c>
      <c r="AC445" s="576"/>
      <c r="AD445" s="579">
        <f>AC445*$E445</f>
        <v>0</v>
      </c>
      <c r="AE445" s="580">
        <f>AC445+AA445+Y445+W445+U445+S445+Q445+O445+M445+K445+I445+G445</f>
        <v>41.975000000000001</v>
      </c>
      <c r="AF445" s="576">
        <f t="shared" ref="AF445:AF446" si="496">TRUNC(AE445*E445,2)</f>
        <v>1459.05</v>
      </c>
      <c r="AG445" s="576">
        <f>D445-AE445</f>
        <v>0</v>
      </c>
      <c r="AH445" s="579">
        <f>AG445*E445</f>
        <v>0</v>
      </c>
      <c r="AI445" s="615"/>
      <c r="AK445" s="617">
        <f t="shared" si="440"/>
        <v>0</v>
      </c>
    </row>
    <row r="446" spans="1:37" ht="30">
      <c r="A446" s="570" t="s">
        <v>14096</v>
      </c>
      <c r="B446" s="571" t="str">
        <f>PLANILHA!D443</f>
        <v>PISO EM GRANITO APLICADO EM CALÇADAS OU PISOS EXTERNOS. AF_05/2020</v>
      </c>
      <c r="C446" s="572" t="str">
        <f>PLANILHA!E443</f>
        <v>M2</v>
      </c>
      <c r="D446" s="573">
        <f>PLANILHA!F443</f>
        <v>41.975000000000001</v>
      </c>
      <c r="E446" s="573">
        <f>VLOOKUP(A446,PLANILHA,$G$7,0)</f>
        <v>479.02</v>
      </c>
      <c r="F446" s="574">
        <f>VLOOKUP(A446,PLANILHA,$G$6,0)</f>
        <v>20106.86</v>
      </c>
      <c r="G446" s="580"/>
      <c r="H446" s="576">
        <f>G446*$E446</f>
        <v>0</v>
      </c>
      <c r="I446" s="576"/>
      <c r="J446" s="576">
        <f>I446*$E446</f>
        <v>0</v>
      </c>
      <c r="K446" s="576"/>
      <c r="L446" s="576">
        <f>K446*$E446</f>
        <v>0</v>
      </c>
      <c r="M446" s="576"/>
      <c r="N446" s="576">
        <f>M446*$E446</f>
        <v>0</v>
      </c>
      <c r="O446" s="576"/>
      <c r="P446" s="576">
        <f>O446*$E446</f>
        <v>0</v>
      </c>
      <c r="Q446" s="576"/>
      <c r="R446" s="577">
        <f>Q446*$E446</f>
        <v>0</v>
      </c>
      <c r="S446" s="578"/>
      <c r="T446" s="576">
        <f>S446*$E446</f>
        <v>0</v>
      </c>
      <c r="U446" s="576">
        <f>D446</f>
        <v>41.975000000000001</v>
      </c>
      <c r="V446" s="576">
        <f>TRUNC(U446*$E446,2)</f>
        <v>20106.86</v>
      </c>
      <c r="W446" s="576"/>
      <c r="X446" s="576">
        <f>W446*$E446</f>
        <v>0</v>
      </c>
      <c r="Y446" s="576"/>
      <c r="Z446" s="576">
        <f>Y446*$E446</f>
        <v>0</v>
      </c>
      <c r="AA446" s="576"/>
      <c r="AB446" s="576">
        <f>AA446*$E446</f>
        <v>0</v>
      </c>
      <c r="AC446" s="576"/>
      <c r="AD446" s="579">
        <f>AC446*$E446</f>
        <v>0</v>
      </c>
      <c r="AE446" s="580">
        <f>AC446+AA446+Y446+W446+U446+S446+Q446+O446+M446+K446+I446+G446</f>
        <v>41.975000000000001</v>
      </c>
      <c r="AF446" s="576">
        <f t="shared" si="496"/>
        <v>20106.86</v>
      </c>
      <c r="AG446" s="576">
        <f>D446-AE446</f>
        <v>0</v>
      </c>
      <c r="AH446" s="579">
        <f>AG446*E446</f>
        <v>0</v>
      </c>
      <c r="AI446" s="615"/>
      <c r="AK446" s="617">
        <f t="shared" si="440"/>
        <v>0</v>
      </c>
    </row>
    <row r="447" spans="1:37" s="569" customFormat="1">
      <c r="A447" s="581" t="s">
        <v>27234</v>
      </c>
      <c r="B447" s="582"/>
      <c r="C447" s="583"/>
      <c r="D447" s="584"/>
      <c r="E447" s="584"/>
      <c r="F447" s="585">
        <f>VLOOKUP(A447,PLANILHA,$G$6,0)</f>
        <v>21565.91</v>
      </c>
      <c r="G447" s="586"/>
      <c r="H447" s="584">
        <f t="shared" ref="H447:AH447" si="497">SUM(H445:H446)</f>
        <v>0</v>
      </c>
      <c r="I447" s="584"/>
      <c r="J447" s="584">
        <f t="shared" si="497"/>
        <v>0</v>
      </c>
      <c r="K447" s="584"/>
      <c r="L447" s="584">
        <f t="shared" si="497"/>
        <v>0</v>
      </c>
      <c r="M447" s="584"/>
      <c r="N447" s="584">
        <f t="shared" si="497"/>
        <v>0</v>
      </c>
      <c r="O447" s="584"/>
      <c r="P447" s="584">
        <f t="shared" si="497"/>
        <v>0</v>
      </c>
      <c r="Q447" s="584"/>
      <c r="R447" s="587">
        <f t="shared" si="497"/>
        <v>0</v>
      </c>
      <c r="S447" s="588"/>
      <c r="T447" s="584">
        <f t="shared" si="497"/>
        <v>0</v>
      </c>
      <c r="U447" s="584"/>
      <c r="V447" s="584">
        <f t="shared" si="497"/>
        <v>21565.91</v>
      </c>
      <c r="W447" s="584"/>
      <c r="X447" s="584">
        <f t="shared" si="497"/>
        <v>0</v>
      </c>
      <c r="Y447" s="584"/>
      <c r="Z447" s="584">
        <f t="shared" si="497"/>
        <v>0</v>
      </c>
      <c r="AA447" s="584"/>
      <c r="AB447" s="584">
        <f t="shared" si="497"/>
        <v>0</v>
      </c>
      <c r="AC447" s="584"/>
      <c r="AD447" s="585">
        <f t="shared" si="497"/>
        <v>0</v>
      </c>
      <c r="AE447" s="590"/>
      <c r="AF447" s="584">
        <f t="shared" si="497"/>
        <v>21565.91</v>
      </c>
      <c r="AG447" s="591"/>
      <c r="AH447" s="585">
        <f t="shared" si="497"/>
        <v>0</v>
      </c>
      <c r="AI447" s="568"/>
      <c r="AK447" s="617">
        <f t="shared" si="440"/>
        <v>0</v>
      </c>
    </row>
    <row r="448" spans="1:37">
      <c r="A448" s="570"/>
      <c r="B448" s="571"/>
      <c r="C448" s="572"/>
      <c r="D448" s="573"/>
      <c r="E448" s="573"/>
      <c r="F448" s="574"/>
      <c r="G448" s="580"/>
      <c r="H448" s="576"/>
      <c r="I448" s="576"/>
      <c r="J448" s="576"/>
      <c r="K448" s="576"/>
      <c r="L448" s="576"/>
      <c r="M448" s="576"/>
      <c r="N448" s="576"/>
      <c r="O448" s="576"/>
      <c r="P448" s="576"/>
      <c r="Q448" s="576"/>
      <c r="R448" s="577"/>
      <c r="S448" s="578"/>
      <c r="T448" s="576"/>
      <c r="U448" s="576"/>
      <c r="V448" s="576"/>
      <c r="W448" s="576"/>
      <c r="X448" s="576"/>
      <c r="Y448" s="576"/>
      <c r="Z448" s="576"/>
      <c r="AA448" s="576"/>
      <c r="AB448" s="576"/>
      <c r="AC448" s="576"/>
      <c r="AD448" s="579"/>
      <c r="AE448" s="580"/>
      <c r="AF448" s="576"/>
      <c r="AG448" s="576"/>
      <c r="AH448" s="579"/>
      <c r="AK448" s="617">
        <f t="shared" si="440"/>
        <v>0</v>
      </c>
    </row>
    <row r="449" spans="1:37" s="569" customFormat="1">
      <c r="A449" s="592" t="s">
        <v>14097</v>
      </c>
      <c r="B449" s="593" t="str">
        <f>PLANILHA!D446</f>
        <v>SERVIÇOS COMPLEMENTARES</v>
      </c>
      <c r="C449" s="594"/>
      <c r="D449" s="589"/>
      <c r="E449" s="589"/>
      <c r="F449" s="595">
        <f>VLOOKUP(A449,PLANILHA,$G$6,0)</f>
        <v>0</v>
      </c>
      <c r="G449" s="596"/>
      <c r="H449" s="597"/>
      <c r="I449" s="597"/>
      <c r="J449" s="597"/>
      <c r="K449" s="597"/>
      <c r="L449" s="597"/>
      <c r="M449" s="597"/>
      <c r="N449" s="597"/>
      <c r="O449" s="597"/>
      <c r="P449" s="597"/>
      <c r="Q449" s="597"/>
      <c r="R449" s="598"/>
      <c r="S449" s="599"/>
      <c r="T449" s="597"/>
      <c r="U449" s="597"/>
      <c r="V449" s="597"/>
      <c r="W449" s="597"/>
      <c r="X449" s="597"/>
      <c r="Y449" s="597"/>
      <c r="Z449" s="597"/>
      <c r="AA449" s="597"/>
      <c r="AB449" s="597"/>
      <c r="AC449" s="597"/>
      <c r="AD449" s="600"/>
      <c r="AE449" s="596"/>
      <c r="AF449" s="597"/>
      <c r="AG449" s="597"/>
      <c r="AH449" s="600"/>
      <c r="AI449" s="568"/>
      <c r="AK449" s="617">
        <f t="shared" si="440"/>
        <v>0</v>
      </c>
    </row>
    <row r="450" spans="1:37" ht="30">
      <c r="A450" s="570" t="s">
        <v>14098</v>
      </c>
      <c r="B450" s="571" t="str">
        <f>PLANILHA!D447</f>
        <v>GUARDA CORPO COM CORRIMÃO DUPLO  EM TUBO DE AÇO INOXIDAVEL 1 1/2", COM CHUMBADORES PARA FIXAÇÃO NO PISO</v>
      </c>
      <c r="C450" s="572" t="str">
        <f>PLANILHA!E447</f>
        <v>m</v>
      </c>
      <c r="D450" s="573">
        <f>PLANILHA!F447</f>
        <v>18.100000000000001</v>
      </c>
      <c r="E450" s="573">
        <f>VLOOKUP(A450,PLANILHA,$G$7,0)</f>
        <v>495.66</v>
      </c>
      <c r="F450" s="574">
        <f>VLOOKUP(A450,PLANILHA,$G$6,0)</f>
        <v>8971.44</v>
      </c>
      <c r="G450" s="580"/>
      <c r="H450" s="576">
        <f>G450*$E450</f>
        <v>0</v>
      </c>
      <c r="I450" s="576"/>
      <c r="J450" s="576">
        <f>I450*$E450</f>
        <v>0</v>
      </c>
      <c r="K450" s="576"/>
      <c r="L450" s="576">
        <f>K450*$E450</f>
        <v>0</v>
      </c>
      <c r="M450" s="576"/>
      <c r="N450" s="576">
        <f>M450*$E450</f>
        <v>0</v>
      </c>
      <c r="O450" s="576"/>
      <c r="P450" s="576">
        <f>O450*$E450</f>
        <v>0</v>
      </c>
      <c r="Q450" s="576"/>
      <c r="R450" s="577">
        <f>Q450*$E450</f>
        <v>0</v>
      </c>
      <c r="S450" s="578"/>
      <c r="T450" s="576">
        <f>S450*$E450</f>
        <v>0</v>
      </c>
      <c r="U450" s="576">
        <f>D450</f>
        <v>18.100000000000001</v>
      </c>
      <c r="V450" s="576">
        <f t="shared" ref="V450:V451" si="498">TRUNC(U450*$E450,2)</f>
        <v>8971.44</v>
      </c>
      <c r="W450" s="576"/>
      <c r="X450" s="576">
        <f>W450*$E450</f>
        <v>0</v>
      </c>
      <c r="Y450" s="576"/>
      <c r="Z450" s="576">
        <f>Y450*$E450</f>
        <v>0</v>
      </c>
      <c r="AA450" s="576"/>
      <c r="AB450" s="576">
        <f>AA450*$E450</f>
        <v>0</v>
      </c>
      <c r="AC450" s="576"/>
      <c r="AD450" s="579">
        <f>AC450*$E450</f>
        <v>0</v>
      </c>
      <c r="AE450" s="580">
        <f>AC450+AA450+Y450+W450+U450+S450+Q450+O450+M450+K450+I450+G450</f>
        <v>18.100000000000001</v>
      </c>
      <c r="AF450" s="576">
        <f t="shared" ref="AF450:AF451" si="499">TRUNC(AE450*E450,2)</f>
        <v>8971.44</v>
      </c>
      <c r="AG450" s="576">
        <f>D450-AE450</f>
        <v>0</v>
      </c>
      <c r="AH450" s="579">
        <f>AG450*E450</f>
        <v>0</v>
      </c>
      <c r="AI450" s="615"/>
      <c r="AK450" s="617">
        <f t="shared" si="440"/>
        <v>0</v>
      </c>
    </row>
    <row r="451" spans="1:37" ht="45">
      <c r="A451" s="570" t="s">
        <v>14174</v>
      </c>
      <c r="B451" s="571" t="str">
        <f>PLANILHA!D448</f>
        <v>PORTA DE ALUMÍNIO DE ABRIR COM LAMBRI, 2 FOLHAS, 2,00x2,10 COM GUARNIÇÃO, FIXAÇÃO COM PARAFUSOS - FORNECIMENTO E INSTALAÇÃO. AF_12/2019</v>
      </c>
      <c r="C451" s="572" t="str">
        <f>PLANILHA!E448</f>
        <v>UND</v>
      </c>
      <c r="D451" s="573">
        <f>PLANILHA!F448</f>
        <v>7.7199999999999989</v>
      </c>
      <c r="E451" s="573">
        <f>VLOOKUP(A451,PLANILHA,$G$7,0)</f>
        <v>3256.81</v>
      </c>
      <c r="F451" s="574">
        <f>VLOOKUP(A451,PLANILHA,$G$6,0)</f>
        <v>25142.57</v>
      </c>
      <c r="G451" s="580"/>
      <c r="H451" s="576">
        <f>G451*$E451</f>
        <v>0</v>
      </c>
      <c r="I451" s="576"/>
      <c r="J451" s="576">
        <f>I451*$E451</f>
        <v>0</v>
      </c>
      <c r="K451" s="576"/>
      <c r="L451" s="576">
        <f>K451*$E451</f>
        <v>0</v>
      </c>
      <c r="M451" s="576"/>
      <c r="N451" s="576">
        <f>M451*$E451</f>
        <v>0</v>
      </c>
      <c r="O451" s="576"/>
      <c r="P451" s="576">
        <f>O451*$E451</f>
        <v>0</v>
      </c>
      <c r="Q451" s="576"/>
      <c r="R451" s="577">
        <f>Q451*$E451</f>
        <v>0</v>
      </c>
      <c r="S451" s="578"/>
      <c r="T451" s="576">
        <f>S451*$E451</f>
        <v>0</v>
      </c>
      <c r="U451" s="576">
        <f>D451</f>
        <v>7.7199999999999989</v>
      </c>
      <c r="V451" s="576">
        <f t="shared" si="498"/>
        <v>25142.57</v>
      </c>
      <c r="W451" s="576"/>
      <c r="X451" s="576">
        <f>W451*$E451</f>
        <v>0</v>
      </c>
      <c r="Y451" s="576"/>
      <c r="Z451" s="576">
        <f>Y451*$E451</f>
        <v>0</v>
      </c>
      <c r="AA451" s="576"/>
      <c r="AB451" s="576">
        <f>AA451*$E451</f>
        <v>0</v>
      </c>
      <c r="AC451" s="576"/>
      <c r="AD451" s="579">
        <f>AC451*$E451</f>
        <v>0</v>
      </c>
      <c r="AE451" s="580">
        <f>AC451+AA451+Y451+W451+U451+S451+Q451+O451+M451+K451+I451+G451</f>
        <v>7.7199999999999989</v>
      </c>
      <c r="AF451" s="576">
        <f t="shared" si="499"/>
        <v>25142.57</v>
      </c>
      <c r="AG451" s="576">
        <f>D451-AE451</f>
        <v>0</v>
      </c>
      <c r="AH451" s="579">
        <f>AG451*E451</f>
        <v>0</v>
      </c>
      <c r="AI451" s="615"/>
      <c r="AK451" s="617">
        <f t="shared" si="440"/>
        <v>0</v>
      </c>
    </row>
    <row r="452" spans="1:37" s="569" customFormat="1">
      <c r="A452" s="581" t="s">
        <v>27235</v>
      </c>
      <c r="B452" s="582"/>
      <c r="C452" s="583"/>
      <c r="D452" s="584"/>
      <c r="E452" s="584"/>
      <c r="F452" s="585">
        <f>VLOOKUP(A452,PLANILHA,$G$6,0)</f>
        <v>34114.01</v>
      </c>
      <c r="G452" s="586"/>
      <c r="H452" s="584">
        <f>SUM(H450:H451)</f>
        <v>0</v>
      </c>
      <c r="I452" s="584"/>
      <c r="J452" s="584">
        <f>SUM(J450:J451)</f>
        <v>0</v>
      </c>
      <c r="K452" s="584"/>
      <c r="L452" s="584">
        <f>SUM(L450:L451)</f>
        <v>0</v>
      </c>
      <c r="M452" s="584"/>
      <c r="N452" s="584">
        <f>SUM(N450:N451)</f>
        <v>0</v>
      </c>
      <c r="O452" s="584"/>
      <c r="P452" s="584">
        <f>SUM(P450:P451)</f>
        <v>0</v>
      </c>
      <c r="Q452" s="584"/>
      <c r="R452" s="587">
        <f>SUM(R450:R451)</f>
        <v>0</v>
      </c>
      <c r="S452" s="588"/>
      <c r="T452" s="584">
        <f>SUM(T450:T451)</f>
        <v>0</v>
      </c>
      <c r="U452" s="584"/>
      <c r="V452" s="584">
        <f>SUM(V450:V451)</f>
        <v>34114.01</v>
      </c>
      <c r="W452" s="584"/>
      <c r="X452" s="584">
        <f>SUM(X450:X451)</f>
        <v>0</v>
      </c>
      <c r="Y452" s="584"/>
      <c r="Z452" s="584">
        <f>SUM(Z450:Z451)</f>
        <v>0</v>
      </c>
      <c r="AA452" s="584"/>
      <c r="AB452" s="584">
        <f>SUM(AB450:AB451)</f>
        <v>0</v>
      </c>
      <c r="AC452" s="584"/>
      <c r="AD452" s="585">
        <f>SUM(AD450:AD451)</f>
        <v>0</v>
      </c>
      <c r="AE452" s="590"/>
      <c r="AF452" s="584">
        <f>SUM(AF450:AF451)</f>
        <v>34114.01</v>
      </c>
      <c r="AG452" s="591"/>
      <c r="AH452" s="585">
        <f>SUM(AH450:AH451)</f>
        <v>0</v>
      </c>
      <c r="AI452" s="568"/>
      <c r="AK452" s="617">
        <f t="shared" si="440"/>
        <v>0</v>
      </c>
    </row>
    <row r="453" spans="1:37" s="569" customFormat="1">
      <c r="A453" s="581" t="s">
        <v>14622</v>
      </c>
      <c r="B453" s="582"/>
      <c r="C453" s="583"/>
      <c r="D453" s="584"/>
      <c r="E453" s="584"/>
      <c r="F453" s="585">
        <f>VLOOKUP(A453,PLANILHA,$G$6,0)</f>
        <v>102353.49</v>
      </c>
      <c r="G453" s="586"/>
      <c r="H453" s="584">
        <f>SUM(H425:H452)/2</f>
        <v>0</v>
      </c>
      <c r="I453" s="584"/>
      <c r="J453" s="584">
        <f>SUM(J425:J452)/2</f>
        <v>0</v>
      </c>
      <c r="K453" s="584"/>
      <c r="L453" s="584">
        <f>SUM(L425:L452)/2</f>
        <v>0</v>
      </c>
      <c r="M453" s="584"/>
      <c r="N453" s="584">
        <f>SUM(N425:N452)/2</f>
        <v>0</v>
      </c>
      <c r="O453" s="584"/>
      <c r="P453" s="584">
        <f>SUM(P425:P452)/2</f>
        <v>0</v>
      </c>
      <c r="Q453" s="584"/>
      <c r="R453" s="587">
        <f>SUM(R425:R452)/2</f>
        <v>0</v>
      </c>
      <c r="S453" s="588"/>
      <c r="T453" s="584">
        <f>SUM(T425:T452)/2</f>
        <v>46673.57</v>
      </c>
      <c r="U453" s="584"/>
      <c r="V453" s="584">
        <f>SUM(V425:V452)/2</f>
        <v>55679.92</v>
      </c>
      <c r="W453" s="584"/>
      <c r="X453" s="584">
        <f>SUM(X425:X452)/2</f>
        <v>0</v>
      </c>
      <c r="Y453" s="584"/>
      <c r="Z453" s="584">
        <f>SUM(Z425:Z452)/2</f>
        <v>0</v>
      </c>
      <c r="AA453" s="584"/>
      <c r="AB453" s="584">
        <f>SUM(AB425:AB452)/2</f>
        <v>0</v>
      </c>
      <c r="AC453" s="584"/>
      <c r="AD453" s="585">
        <f>SUM(AD425:AD452)/2</f>
        <v>0</v>
      </c>
      <c r="AE453" s="590"/>
      <c r="AF453" s="584">
        <f>SUM(AF425:AF452)/2</f>
        <v>102353.49</v>
      </c>
      <c r="AG453" s="591"/>
      <c r="AH453" s="585">
        <f>SUM(AH425:AH452)/2</f>
        <v>0</v>
      </c>
      <c r="AI453" s="616"/>
      <c r="AK453" s="617">
        <f t="shared" si="440"/>
        <v>0</v>
      </c>
    </row>
    <row r="454" spans="1:37">
      <c r="A454" s="570"/>
      <c r="B454" s="571"/>
      <c r="C454" s="572"/>
      <c r="D454" s="573"/>
      <c r="E454" s="573"/>
      <c r="F454" s="574"/>
      <c r="G454" s="580"/>
      <c r="H454" s="576"/>
      <c r="I454" s="576"/>
      <c r="J454" s="576"/>
      <c r="K454" s="576"/>
      <c r="L454" s="576"/>
      <c r="M454" s="576"/>
      <c r="N454" s="576"/>
      <c r="O454" s="576"/>
      <c r="P454" s="576"/>
      <c r="Q454" s="576"/>
      <c r="R454" s="577"/>
      <c r="S454" s="578"/>
      <c r="T454" s="576"/>
      <c r="U454" s="576"/>
      <c r="V454" s="576"/>
      <c r="W454" s="576"/>
      <c r="X454" s="576"/>
      <c r="Y454" s="576"/>
      <c r="Z454" s="576"/>
      <c r="AA454" s="576"/>
      <c r="AB454" s="576"/>
      <c r="AC454" s="576"/>
      <c r="AD454" s="579"/>
      <c r="AE454" s="580"/>
      <c r="AF454" s="576"/>
      <c r="AG454" s="576"/>
      <c r="AH454" s="579"/>
      <c r="AK454" s="617">
        <f t="shared" si="440"/>
        <v>0</v>
      </c>
    </row>
    <row r="455" spans="1:37" s="569" customFormat="1">
      <c r="A455" s="558" t="s">
        <v>14099</v>
      </c>
      <c r="B455" s="559" t="str">
        <f>PLANILHA!D452</f>
        <v>COBERTURA</v>
      </c>
      <c r="C455" s="560"/>
      <c r="D455" s="561"/>
      <c r="E455" s="561"/>
      <c r="F455" s="562">
        <f t="shared" ref="F455:F460" si="500">VLOOKUP(A455,PLANILHA,$G$6,0)</f>
        <v>0</v>
      </c>
      <c r="G455" s="563"/>
      <c r="H455" s="564"/>
      <c r="I455" s="564"/>
      <c r="J455" s="564"/>
      <c r="K455" s="564"/>
      <c r="L455" s="564"/>
      <c r="M455" s="564"/>
      <c r="N455" s="564"/>
      <c r="O455" s="564"/>
      <c r="P455" s="564"/>
      <c r="Q455" s="564"/>
      <c r="R455" s="565"/>
      <c r="S455" s="566"/>
      <c r="T455" s="564"/>
      <c r="U455" s="564"/>
      <c r="V455" s="564"/>
      <c r="W455" s="564"/>
      <c r="X455" s="564"/>
      <c r="Y455" s="564"/>
      <c r="Z455" s="564"/>
      <c r="AA455" s="564"/>
      <c r="AB455" s="564"/>
      <c r="AC455" s="564"/>
      <c r="AD455" s="567"/>
      <c r="AE455" s="563"/>
      <c r="AF455" s="564"/>
      <c r="AG455" s="564"/>
      <c r="AH455" s="567"/>
      <c r="AI455" s="568"/>
      <c r="AK455" s="617">
        <f t="shared" si="440"/>
        <v>0</v>
      </c>
    </row>
    <row r="456" spans="1:37" s="569" customFormat="1">
      <c r="A456" s="592" t="s">
        <v>14100</v>
      </c>
      <c r="B456" s="593" t="str">
        <f>PLANILHA!D453</f>
        <v>DEMOLIÇÃO</v>
      </c>
      <c r="C456" s="594"/>
      <c r="D456" s="589"/>
      <c r="E456" s="589"/>
      <c r="F456" s="595">
        <f t="shared" si="500"/>
        <v>0</v>
      </c>
      <c r="G456" s="596"/>
      <c r="H456" s="597"/>
      <c r="I456" s="597"/>
      <c r="J456" s="597"/>
      <c r="K456" s="597"/>
      <c r="L456" s="597"/>
      <c r="M456" s="597"/>
      <c r="N456" s="597"/>
      <c r="O456" s="597"/>
      <c r="P456" s="597"/>
      <c r="Q456" s="597"/>
      <c r="R456" s="598"/>
      <c r="S456" s="599"/>
      <c r="T456" s="597"/>
      <c r="U456" s="597"/>
      <c r="V456" s="597"/>
      <c r="W456" s="597"/>
      <c r="X456" s="597"/>
      <c r="Y456" s="597"/>
      <c r="Z456" s="597"/>
      <c r="AA456" s="597"/>
      <c r="AB456" s="597"/>
      <c r="AC456" s="597"/>
      <c r="AD456" s="600"/>
      <c r="AE456" s="596"/>
      <c r="AF456" s="597"/>
      <c r="AG456" s="597"/>
      <c r="AH456" s="600"/>
      <c r="AI456" s="568"/>
      <c r="AK456" s="617">
        <f t="shared" si="440"/>
        <v>0</v>
      </c>
    </row>
    <row r="457" spans="1:37" ht="45">
      <c r="A457" s="570" t="s">
        <v>14101</v>
      </c>
      <c r="B457" s="571" t="str">
        <f>PLANILHA!D454</f>
        <v>REMOÇÃO DE TELHAS DE FIBROCIMENTO, METÁLICA E CERÂMICA, DE FORMA MECANIZADA, COM USO DE GUINDASTE, SEM REAPROVEITAMENTO. AF_12/2017</v>
      </c>
      <c r="C457" s="572" t="str">
        <f>PLANILHA!E454</f>
        <v>M2</v>
      </c>
      <c r="D457" s="573">
        <f>PLANILHA!F454</f>
        <v>307.20999999999998</v>
      </c>
      <c r="E457" s="573">
        <f>VLOOKUP(A457,PLANILHA,$G$7,0)</f>
        <v>4.13</v>
      </c>
      <c r="F457" s="574">
        <f t="shared" si="500"/>
        <v>1268.77</v>
      </c>
      <c r="G457" s="580"/>
      <c r="H457" s="576">
        <f>G457*$E457</f>
        <v>0</v>
      </c>
      <c r="I457" s="576">
        <f>D457</f>
        <v>307.20999999999998</v>
      </c>
      <c r="J457" s="576">
        <f>TRUNC(I457*$E457,2)</f>
        <v>1268.77</v>
      </c>
      <c r="K457" s="576"/>
      <c r="L457" s="576">
        <f t="shared" ref="L457:L459" si="501">K457*$E457</f>
        <v>0</v>
      </c>
      <c r="M457" s="576"/>
      <c r="N457" s="576">
        <f t="shared" ref="N457:N470" si="502">M457*$E457</f>
        <v>0</v>
      </c>
      <c r="O457" s="576"/>
      <c r="P457" s="576">
        <f t="shared" ref="P457:P470" si="503">O457*$E457</f>
        <v>0</v>
      </c>
      <c r="Q457" s="576"/>
      <c r="R457" s="577">
        <f t="shared" ref="R457:R470" si="504">Q457*$E457</f>
        <v>0</v>
      </c>
      <c r="S457" s="578"/>
      <c r="T457" s="576">
        <f t="shared" ref="T457:T470" si="505">S457*$E457</f>
        <v>0</v>
      </c>
      <c r="U457" s="576"/>
      <c r="V457" s="576">
        <f t="shared" ref="V457:V470" si="506">U457*$E457</f>
        <v>0</v>
      </c>
      <c r="W457" s="576"/>
      <c r="X457" s="576">
        <f t="shared" ref="X457:X470" si="507">W457*$E457</f>
        <v>0</v>
      </c>
      <c r="Y457" s="576"/>
      <c r="Z457" s="576">
        <f t="shared" ref="Z457:Z470" si="508">Y457*$E457</f>
        <v>0</v>
      </c>
      <c r="AA457" s="576"/>
      <c r="AB457" s="576">
        <f t="shared" ref="AB457:AB470" si="509">AA457*$E457</f>
        <v>0</v>
      </c>
      <c r="AC457" s="576"/>
      <c r="AD457" s="579">
        <f t="shared" ref="AD457:AD470" si="510">AC457*$E457</f>
        <v>0</v>
      </c>
      <c r="AE457" s="580">
        <f t="shared" ref="AE457:AE473" si="511">AC457+AA457+Y457+W457+U457+S457+Q457+O457+M457+K457+I457+G457</f>
        <v>307.20999999999998</v>
      </c>
      <c r="AF457" s="576">
        <f t="shared" ref="AF457:AF459" si="512">TRUNC(AE457*E457,2)</f>
        <v>1268.77</v>
      </c>
      <c r="AG457" s="576">
        <f t="shared" ref="AG457:AG473" si="513">D457-AE457</f>
        <v>0</v>
      </c>
      <c r="AH457" s="579">
        <f t="shared" ref="AH457:AH473" si="514">AG457*E457</f>
        <v>0</v>
      </c>
      <c r="AI457" s="615"/>
      <c r="AK457" s="617">
        <f t="shared" si="440"/>
        <v>0</v>
      </c>
    </row>
    <row r="458" spans="1:37" ht="30">
      <c r="A458" s="570" t="s">
        <v>14102</v>
      </c>
      <c r="B458" s="571" t="str">
        <f>PLANILHA!D455</f>
        <v>REMOÇÃO DE TRAMA METÁLICA PARA COBERTURA, DE FORMA MANUAL, SEM REAPROVEITAMENTO. AF_12/2017</v>
      </c>
      <c r="C458" s="572" t="str">
        <f>PLANILHA!E455</f>
        <v>M2</v>
      </c>
      <c r="D458" s="573">
        <f>PLANILHA!F455</f>
        <v>307.20999999999998</v>
      </c>
      <c r="E458" s="573">
        <f>VLOOKUP(A458,PLANILHA,$G$7,0)</f>
        <v>22.83</v>
      </c>
      <c r="F458" s="574">
        <f t="shared" si="500"/>
        <v>7013.6</v>
      </c>
      <c r="G458" s="580"/>
      <c r="H458" s="576">
        <f t="shared" ref="H458:H470" si="515">G458*$E458</f>
        <v>0</v>
      </c>
      <c r="I458" s="576">
        <f>D458</f>
        <v>307.20999999999998</v>
      </c>
      <c r="J458" s="576">
        <f t="shared" ref="J458:J459" si="516">TRUNC(I458*$E458,2)</f>
        <v>7013.6</v>
      </c>
      <c r="K458" s="576"/>
      <c r="L458" s="576">
        <f t="shared" si="501"/>
        <v>0</v>
      </c>
      <c r="M458" s="576"/>
      <c r="N458" s="576">
        <f t="shared" si="502"/>
        <v>0</v>
      </c>
      <c r="O458" s="576"/>
      <c r="P458" s="576">
        <f t="shared" si="503"/>
        <v>0</v>
      </c>
      <c r="Q458" s="576"/>
      <c r="R458" s="577">
        <f t="shared" si="504"/>
        <v>0</v>
      </c>
      <c r="S458" s="578"/>
      <c r="T458" s="576">
        <f t="shared" si="505"/>
        <v>0</v>
      </c>
      <c r="U458" s="576"/>
      <c r="V458" s="576">
        <f t="shared" si="506"/>
        <v>0</v>
      </c>
      <c r="W458" s="576"/>
      <c r="X458" s="576">
        <f t="shared" si="507"/>
        <v>0</v>
      </c>
      <c r="Y458" s="576"/>
      <c r="Z458" s="576">
        <f t="shared" si="508"/>
        <v>0</v>
      </c>
      <c r="AA458" s="576"/>
      <c r="AB458" s="576">
        <f t="shared" si="509"/>
        <v>0</v>
      </c>
      <c r="AC458" s="576"/>
      <c r="AD458" s="579">
        <f t="shared" si="510"/>
        <v>0</v>
      </c>
      <c r="AE458" s="580">
        <f t="shared" si="511"/>
        <v>307.20999999999998</v>
      </c>
      <c r="AF458" s="576">
        <f t="shared" si="512"/>
        <v>7013.6</v>
      </c>
      <c r="AG458" s="576">
        <f t="shared" si="513"/>
        <v>0</v>
      </c>
      <c r="AH458" s="579">
        <f t="shared" si="514"/>
        <v>0</v>
      </c>
      <c r="AI458" s="615"/>
      <c r="AK458" s="617">
        <f t="shared" si="440"/>
        <v>0</v>
      </c>
    </row>
    <row r="459" spans="1:37" ht="30">
      <c r="A459" s="570" t="s">
        <v>14103</v>
      </c>
      <c r="B459" s="571" t="str">
        <f>PLANILHA!D456</f>
        <v>REMOÇÃO DE TESOURAS METÁLICAS, COM VÃO MAIOR OU IGUAL A 8M, DE FORMA MANUAL, SEM REAPROVEITAMENTO. AF_12/2017</v>
      </c>
      <c r="C459" s="572" t="str">
        <f>PLANILHA!E456</f>
        <v>UN</v>
      </c>
      <c r="D459" s="573">
        <f>PLANILHA!F456</f>
        <v>8</v>
      </c>
      <c r="E459" s="573">
        <f>VLOOKUP(A459,PLANILHA,$G$7,0)</f>
        <v>441.79</v>
      </c>
      <c r="F459" s="574">
        <f t="shared" si="500"/>
        <v>3534.32</v>
      </c>
      <c r="G459" s="580"/>
      <c r="H459" s="576">
        <f t="shared" si="515"/>
        <v>0</v>
      </c>
      <c r="I459" s="576">
        <f>D459</f>
        <v>8</v>
      </c>
      <c r="J459" s="576">
        <f t="shared" si="516"/>
        <v>3534.32</v>
      </c>
      <c r="K459" s="576"/>
      <c r="L459" s="576">
        <f t="shared" si="501"/>
        <v>0</v>
      </c>
      <c r="M459" s="576"/>
      <c r="N459" s="576">
        <f t="shared" si="502"/>
        <v>0</v>
      </c>
      <c r="O459" s="576"/>
      <c r="P459" s="576">
        <f t="shared" si="503"/>
        <v>0</v>
      </c>
      <c r="Q459" s="576"/>
      <c r="R459" s="577">
        <f t="shared" si="504"/>
        <v>0</v>
      </c>
      <c r="S459" s="578"/>
      <c r="T459" s="576">
        <f t="shared" si="505"/>
        <v>0</v>
      </c>
      <c r="U459" s="576"/>
      <c r="V459" s="576">
        <f t="shared" si="506"/>
        <v>0</v>
      </c>
      <c r="W459" s="576"/>
      <c r="X459" s="576">
        <f t="shared" si="507"/>
        <v>0</v>
      </c>
      <c r="Y459" s="576"/>
      <c r="Z459" s="576">
        <f t="shared" si="508"/>
        <v>0</v>
      </c>
      <c r="AA459" s="576"/>
      <c r="AB459" s="576">
        <f t="shared" si="509"/>
        <v>0</v>
      </c>
      <c r="AC459" s="576"/>
      <c r="AD459" s="579">
        <f t="shared" si="510"/>
        <v>0</v>
      </c>
      <c r="AE459" s="580">
        <f t="shared" si="511"/>
        <v>8</v>
      </c>
      <c r="AF459" s="576">
        <f t="shared" si="512"/>
        <v>3534.32</v>
      </c>
      <c r="AG459" s="576">
        <f t="shared" si="513"/>
        <v>0</v>
      </c>
      <c r="AH459" s="579">
        <f t="shared" si="514"/>
        <v>0</v>
      </c>
      <c r="AI459" s="615"/>
      <c r="AK459" s="617">
        <f t="shared" si="440"/>
        <v>0</v>
      </c>
    </row>
    <row r="460" spans="1:37" s="569" customFormat="1">
      <c r="A460" s="581" t="s">
        <v>27236</v>
      </c>
      <c r="B460" s="582"/>
      <c r="C460" s="583"/>
      <c r="D460" s="584"/>
      <c r="E460" s="584"/>
      <c r="F460" s="585">
        <f t="shared" si="500"/>
        <v>11816.69</v>
      </c>
      <c r="G460" s="586"/>
      <c r="H460" s="584">
        <f>SUM(H457:H459)</f>
        <v>0</v>
      </c>
      <c r="I460" s="584"/>
      <c r="J460" s="584">
        <f>SUM(J457:J459)</f>
        <v>11816.69</v>
      </c>
      <c r="K460" s="584"/>
      <c r="L460" s="584">
        <f>SUM(L457:L459)</f>
        <v>0</v>
      </c>
      <c r="M460" s="584"/>
      <c r="N460" s="584">
        <f>SUM(N457:N459)</f>
        <v>0</v>
      </c>
      <c r="O460" s="584"/>
      <c r="P460" s="584">
        <f>SUM(P457:P459)</f>
        <v>0</v>
      </c>
      <c r="Q460" s="584"/>
      <c r="R460" s="587">
        <f>SUM(R457:R459)</f>
        <v>0</v>
      </c>
      <c r="S460" s="588"/>
      <c r="T460" s="584">
        <f>SUM(T457:T459)</f>
        <v>0</v>
      </c>
      <c r="U460" s="584"/>
      <c r="V460" s="584">
        <f>SUM(V457:V459)</f>
        <v>0</v>
      </c>
      <c r="W460" s="584"/>
      <c r="X460" s="584">
        <f>SUM(X457:X459)</f>
        <v>0</v>
      </c>
      <c r="Y460" s="584"/>
      <c r="Z460" s="584">
        <f>SUM(Z457:Z459)</f>
        <v>0</v>
      </c>
      <c r="AA460" s="584"/>
      <c r="AB460" s="584">
        <f>SUM(AB457:AB459)</f>
        <v>0</v>
      </c>
      <c r="AC460" s="584"/>
      <c r="AD460" s="585">
        <f>SUM(AD457:AD459)</f>
        <v>0</v>
      </c>
      <c r="AE460" s="590"/>
      <c r="AF460" s="584">
        <f>SUM(AF457:AF459)</f>
        <v>11816.69</v>
      </c>
      <c r="AG460" s="591"/>
      <c r="AH460" s="585">
        <f>SUM(AH457:AH459)</f>
        <v>0</v>
      </c>
      <c r="AI460" s="568"/>
      <c r="AK460" s="617">
        <f t="shared" si="440"/>
        <v>0</v>
      </c>
    </row>
    <row r="461" spans="1:37">
      <c r="A461" s="570"/>
      <c r="B461" s="571"/>
      <c r="C461" s="572"/>
      <c r="D461" s="573"/>
      <c r="E461" s="573"/>
      <c r="F461" s="574"/>
      <c r="G461" s="580"/>
      <c r="H461" s="576"/>
      <c r="I461" s="576"/>
      <c r="J461" s="576"/>
      <c r="K461" s="576"/>
      <c r="L461" s="576"/>
      <c r="M461" s="576"/>
      <c r="N461" s="576"/>
      <c r="O461" s="576"/>
      <c r="P461" s="576"/>
      <c r="Q461" s="576"/>
      <c r="R461" s="577"/>
      <c r="S461" s="578"/>
      <c r="T461" s="576"/>
      <c r="U461" s="576"/>
      <c r="V461" s="576"/>
      <c r="W461" s="576"/>
      <c r="X461" s="576"/>
      <c r="Y461" s="576"/>
      <c r="Z461" s="576"/>
      <c r="AA461" s="576"/>
      <c r="AB461" s="576"/>
      <c r="AC461" s="576"/>
      <c r="AD461" s="579"/>
      <c r="AE461" s="580"/>
      <c r="AF461" s="576"/>
      <c r="AG461" s="576"/>
      <c r="AH461" s="579"/>
      <c r="AI461" s="615"/>
      <c r="AK461" s="617">
        <f t="shared" si="440"/>
        <v>0</v>
      </c>
    </row>
    <row r="462" spans="1:37" s="569" customFormat="1">
      <c r="A462" s="592" t="s">
        <v>14104</v>
      </c>
      <c r="B462" s="593" t="str">
        <f>PLANILHA!D459</f>
        <v>COBERTURA METALICA</v>
      </c>
      <c r="C462" s="594"/>
      <c r="D462" s="589"/>
      <c r="E462" s="589"/>
      <c r="F462" s="595">
        <f t="shared" ref="F462:F474" si="517">VLOOKUP(A462,PLANILHA,$G$6,0)</f>
        <v>0</v>
      </c>
      <c r="G462" s="596"/>
      <c r="H462" s="597"/>
      <c r="I462" s="597"/>
      <c r="J462" s="597"/>
      <c r="K462" s="597"/>
      <c r="L462" s="597"/>
      <c r="M462" s="597"/>
      <c r="N462" s="597"/>
      <c r="O462" s="597"/>
      <c r="P462" s="597"/>
      <c r="Q462" s="597"/>
      <c r="R462" s="598"/>
      <c r="S462" s="599"/>
      <c r="T462" s="597"/>
      <c r="U462" s="597"/>
      <c r="V462" s="597"/>
      <c r="W462" s="597"/>
      <c r="X462" s="597"/>
      <c r="Y462" s="597"/>
      <c r="Z462" s="597"/>
      <c r="AA462" s="597"/>
      <c r="AB462" s="597"/>
      <c r="AC462" s="597"/>
      <c r="AD462" s="600"/>
      <c r="AE462" s="596"/>
      <c r="AF462" s="597"/>
      <c r="AG462" s="597"/>
      <c r="AH462" s="600"/>
      <c r="AI462" s="568"/>
      <c r="AK462" s="617">
        <f t="shared" ref="AK462:AK525" si="518">F462-AF462</f>
        <v>0</v>
      </c>
    </row>
    <row r="463" spans="1:37" ht="45">
      <c r="A463" s="570" t="s">
        <v>14105</v>
      </c>
      <c r="B463" s="571" t="str">
        <f>PLANILHA!D460</f>
        <v>IMPERMEABILIZAÇÃO DE SUPERFÍCIE COM MANTA ASFÁLTICA, UMA CAMADA, INCLUSIVE APLICAÇÃO DE PRIMER ASFÁLTICO, E=3MM. AF_06/2018</v>
      </c>
      <c r="C463" s="572" t="str">
        <f>PLANILHA!E460</f>
        <v>M2</v>
      </c>
      <c r="D463" s="573">
        <f>PLANILHA!F460</f>
        <v>54.04</v>
      </c>
      <c r="E463" s="573">
        <f t="shared" ref="E463:E473" si="519">VLOOKUP(A463,PLANILHA,$G$7,0)</f>
        <v>112.61</v>
      </c>
      <c r="F463" s="574">
        <f t="shared" si="517"/>
        <v>6085.44</v>
      </c>
      <c r="G463" s="580"/>
      <c r="H463" s="576">
        <f t="shared" si="515"/>
        <v>0</v>
      </c>
      <c r="I463" s="576"/>
      <c r="J463" s="576">
        <f t="shared" ref="J463:J470" si="520">I463*$E463</f>
        <v>0</v>
      </c>
      <c r="K463" s="576">
        <f>D463</f>
        <v>54.04</v>
      </c>
      <c r="L463" s="576">
        <f>TRUNC(K463*$E463,2)</f>
        <v>6085.44</v>
      </c>
      <c r="M463" s="576"/>
      <c r="N463" s="576">
        <f t="shared" si="502"/>
        <v>0</v>
      </c>
      <c r="O463" s="576"/>
      <c r="P463" s="576">
        <f t="shared" si="503"/>
        <v>0</v>
      </c>
      <c r="Q463" s="576"/>
      <c r="R463" s="577">
        <f t="shared" si="504"/>
        <v>0</v>
      </c>
      <c r="S463" s="578"/>
      <c r="T463" s="576">
        <f t="shared" si="505"/>
        <v>0</v>
      </c>
      <c r="U463" s="576"/>
      <c r="V463" s="576">
        <f t="shared" si="506"/>
        <v>0</v>
      </c>
      <c r="W463" s="576"/>
      <c r="X463" s="576">
        <f t="shared" si="507"/>
        <v>0</v>
      </c>
      <c r="Y463" s="576"/>
      <c r="Z463" s="576">
        <f t="shared" si="508"/>
        <v>0</v>
      </c>
      <c r="AA463" s="576"/>
      <c r="AB463" s="576">
        <f t="shared" si="509"/>
        <v>0</v>
      </c>
      <c r="AC463" s="576"/>
      <c r="AD463" s="579">
        <f t="shared" si="510"/>
        <v>0</v>
      </c>
      <c r="AE463" s="580">
        <f t="shared" si="511"/>
        <v>54.04</v>
      </c>
      <c r="AF463" s="576">
        <f t="shared" ref="AF463:AF473" si="521">TRUNC(AE463*E463,2)</f>
        <v>6085.44</v>
      </c>
      <c r="AG463" s="576">
        <f t="shared" si="513"/>
        <v>0</v>
      </c>
      <c r="AH463" s="579">
        <f t="shared" si="514"/>
        <v>0</v>
      </c>
      <c r="AI463" s="615"/>
      <c r="AK463" s="617">
        <f t="shared" si="518"/>
        <v>0</v>
      </c>
    </row>
    <row r="464" spans="1:37" ht="45">
      <c r="A464" s="570" t="s">
        <v>14106</v>
      </c>
      <c r="B464" s="571" t="str">
        <f>PLANILHA!D461</f>
        <v>FABRICAÇÃO E INSTALAÇÃO DE TESOURA INTEIRA EM AÇO, VÃO DE 12 M, PARA TELHA ONDULADA DE FIBROCIMENTO, METÁLICA, PLÁSTICA OU TERMOACÚSTICA, INCLUSO IÇAMENTO. AF_12/2015</v>
      </c>
      <c r="C464" s="572" t="str">
        <f>PLANILHA!E461</f>
        <v>UN</v>
      </c>
      <c r="D464" s="573">
        <f>PLANILHA!F461</f>
        <v>5</v>
      </c>
      <c r="E464" s="573">
        <f t="shared" si="519"/>
        <v>2829.57</v>
      </c>
      <c r="F464" s="574">
        <f t="shared" si="517"/>
        <v>14147.85</v>
      </c>
      <c r="G464" s="580"/>
      <c r="H464" s="576">
        <f t="shared" si="515"/>
        <v>0</v>
      </c>
      <c r="I464" s="576"/>
      <c r="J464" s="576">
        <f t="shared" si="520"/>
        <v>0</v>
      </c>
      <c r="K464" s="576">
        <f t="shared" ref="K464:K473" si="522">D464</f>
        <v>5</v>
      </c>
      <c r="L464" s="576">
        <f t="shared" ref="L464:L473" si="523">TRUNC(K464*$E464,2)</f>
        <v>14147.85</v>
      </c>
      <c r="M464" s="576"/>
      <c r="N464" s="576">
        <f t="shared" si="502"/>
        <v>0</v>
      </c>
      <c r="O464" s="576"/>
      <c r="P464" s="576">
        <f t="shared" si="503"/>
        <v>0</v>
      </c>
      <c r="Q464" s="576"/>
      <c r="R464" s="577">
        <f t="shared" si="504"/>
        <v>0</v>
      </c>
      <c r="S464" s="578"/>
      <c r="T464" s="576">
        <f t="shared" si="505"/>
        <v>0</v>
      </c>
      <c r="U464" s="576"/>
      <c r="V464" s="576">
        <f t="shared" si="506"/>
        <v>0</v>
      </c>
      <c r="W464" s="576"/>
      <c r="X464" s="576">
        <f t="shared" si="507"/>
        <v>0</v>
      </c>
      <c r="Y464" s="576"/>
      <c r="Z464" s="576">
        <f t="shared" si="508"/>
        <v>0</v>
      </c>
      <c r="AA464" s="576"/>
      <c r="AB464" s="576">
        <f t="shared" si="509"/>
        <v>0</v>
      </c>
      <c r="AC464" s="576"/>
      <c r="AD464" s="579">
        <f t="shared" si="510"/>
        <v>0</v>
      </c>
      <c r="AE464" s="580">
        <f t="shared" si="511"/>
        <v>5</v>
      </c>
      <c r="AF464" s="576">
        <f t="shared" si="521"/>
        <v>14147.85</v>
      </c>
      <c r="AG464" s="576">
        <f t="shared" si="513"/>
        <v>0</v>
      </c>
      <c r="AH464" s="579">
        <f t="shared" si="514"/>
        <v>0</v>
      </c>
      <c r="AI464" s="615"/>
      <c r="AK464" s="617">
        <f t="shared" si="518"/>
        <v>0</v>
      </c>
    </row>
    <row r="465" spans="1:37" ht="45">
      <c r="A465" s="570" t="s">
        <v>14107</v>
      </c>
      <c r="B465" s="571" t="str">
        <f>PLANILHA!D462</f>
        <v>FABRICAÇÃO E INSTALAÇÃO DE TESOURA INTEIRA EM AÇO, VÃO DE 4 M, PARA TELHA ONDULADA DE FIBROCIMENTO, METÁLICA, PLÁSTICA OU TERMOACÚSTICA, INCLUSO IÇAMENTO. AF_12/2015</v>
      </c>
      <c r="C465" s="572" t="str">
        <f>PLANILHA!E462</f>
        <v>UN</v>
      </c>
      <c r="D465" s="573">
        <f>PLANILHA!F462</f>
        <v>4</v>
      </c>
      <c r="E465" s="573">
        <f t="shared" si="519"/>
        <v>1063.68</v>
      </c>
      <c r="F465" s="574">
        <f t="shared" si="517"/>
        <v>4254.72</v>
      </c>
      <c r="G465" s="580"/>
      <c r="H465" s="576">
        <f>G465*$E465</f>
        <v>0</v>
      </c>
      <c r="I465" s="576"/>
      <c r="J465" s="576">
        <f>I465*$E465</f>
        <v>0</v>
      </c>
      <c r="K465" s="576">
        <f t="shared" si="522"/>
        <v>4</v>
      </c>
      <c r="L465" s="576">
        <f t="shared" si="523"/>
        <v>4254.72</v>
      </c>
      <c r="M465" s="576"/>
      <c r="N465" s="576">
        <f>M465*$E465</f>
        <v>0</v>
      </c>
      <c r="O465" s="576"/>
      <c r="P465" s="576">
        <f>O465*$E465</f>
        <v>0</v>
      </c>
      <c r="Q465" s="576"/>
      <c r="R465" s="577">
        <f>Q465*$E465</f>
        <v>0</v>
      </c>
      <c r="S465" s="578"/>
      <c r="T465" s="576">
        <f>S465*$E465</f>
        <v>0</v>
      </c>
      <c r="U465" s="576"/>
      <c r="V465" s="576">
        <f>U465*$E465</f>
        <v>0</v>
      </c>
      <c r="W465" s="576"/>
      <c r="X465" s="576">
        <f>W465*$E465</f>
        <v>0</v>
      </c>
      <c r="Y465" s="576"/>
      <c r="Z465" s="576">
        <f>Y465*$E465</f>
        <v>0</v>
      </c>
      <c r="AA465" s="576"/>
      <c r="AB465" s="576">
        <f>AA465*$E465</f>
        <v>0</v>
      </c>
      <c r="AC465" s="576"/>
      <c r="AD465" s="579">
        <f>AC465*$E465</f>
        <v>0</v>
      </c>
      <c r="AE465" s="580">
        <f>AC465+AA465+Y465+W465+U465+S465+Q465+O465+M465+K465+I465+G465</f>
        <v>4</v>
      </c>
      <c r="AF465" s="576">
        <f t="shared" si="521"/>
        <v>4254.72</v>
      </c>
      <c r="AG465" s="576">
        <f>D465-AE465</f>
        <v>0</v>
      </c>
      <c r="AH465" s="579">
        <f>AG465*E465</f>
        <v>0</v>
      </c>
      <c r="AI465" s="615"/>
      <c r="AK465" s="617">
        <f t="shared" si="518"/>
        <v>0</v>
      </c>
    </row>
    <row r="466" spans="1:37" ht="45">
      <c r="A466" s="570" t="s">
        <v>14108</v>
      </c>
      <c r="B466" s="571" t="str">
        <f>PLANILHA!D463</f>
        <v>FABRICAÇÃO E INSTALAÇÃO DE TESOURA INTEIRA EM AÇO, VÃO DE 6 M, PARA TELHA ONDULADA DE FIBROCIMENTO, METÁLICA, PLÁSTICA OU TERMOACÚSTICA, INCLUSO IÇAMENTO. AF_12/2015</v>
      </c>
      <c r="C466" s="572" t="str">
        <f>PLANILHA!E463</f>
        <v>UN</v>
      </c>
      <c r="D466" s="573">
        <f>PLANILHA!F463</f>
        <v>5</v>
      </c>
      <c r="E466" s="573">
        <f t="shared" si="519"/>
        <v>1529.07</v>
      </c>
      <c r="F466" s="574">
        <f t="shared" si="517"/>
        <v>7645.35</v>
      </c>
      <c r="G466" s="580"/>
      <c r="H466" s="576">
        <f>G466*$E466</f>
        <v>0</v>
      </c>
      <c r="I466" s="576"/>
      <c r="J466" s="576">
        <f>I466*$E466</f>
        <v>0</v>
      </c>
      <c r="K466" s="576">
        <f t="shared" si="522"/>
        <v>5</v>
      </c>
      <c r="L466" s="576">
        <f t="shared" si="523"/>
        <v>7645.35</v>
      </c>
      <c r="M466" s="576"/>
      <c r="N466" s="576">
        <f>M466*$E466</f>
        <v>0</v>
      </c>
      <c r="O466" s="576"/>
      <c r="P466" s="576">
        <f>O466*$E466</f>
        <v>0</v>
      </c>
      <c r="Q466" s="576"/>
      <c r="R466" s="577">
        <f>Q466*$E466</f>
        <v>0</v>
      </c>
      <c r="S466" s="578"/>
      <c r="T466" s="576">
        <f>S466*$E466</f>
        <v>0</v>
      </c>
      <c r="U466" s="576"/>
      <c r="V466" s="576">
        <f>U466*$E466</f>
        <v>0</v>
      </c>
      <c r="W466" s="576"/>
      <c r="X466" s="576">
        <f>W466*$E466</f>
        <v>0</v>
      </c>
      <c r="Y466" s="576"/>
      <c r="Z466" s="576">
        <f>Y466*$E466</f>
        <v>0</v>
      </c>
      <c r="AA466" s="576"/>
      <c r="AB466" s="576">
        <f>AA466*$E466</f>
        <v>0</v>
      </c>
      <c r="AC466" s="576"/>
      <c r="AD466" s="579">
        <f>AC466*$E466</f>
        <v>0</v>
      </c>
      <c r="AE466" s="580">
        <f>AC466+AA466+Y466+W466+U466+S466+Q466+O466+M466+K466+I466+G466</f>
        <v>5</v>
      </c>
      <c r="AF466" s="576">
        <f t="shared" si="521"/>
        <v>7645.35</v>
      </c>
      <c r="AG466" s="576">
        <f>D466-AE466</f>
        <v>0</v>
      </c>
      <c r="AH466" s="579">
        <f>AG466*E466</f>
        <v>0</v>
      </c>
      <c r="AI466" s="615"/>
      <c r="AK466" s="617">
        <f t="shared" si="518"/>
        <v>0</v>
      </c>
    </row>
    <row r="467" spans="1:37" ht="60">
      <c r="A467" s="570" t="s">
        <v>14109</v>
      </c>
      <c r="B467" s="571" t="str">
        <f>PLANILHA!D464</f>
        <v>TRAMA DE AÇO COMPOSTA POR TERÇAS PARA TELHADOS DE ATÉ 2 ÁGUAS PARA TELHA ONDULADA DE FIBROCIMENTO, METÁLICA, PLÁSTICA OU TERMOACÚSTICA, INCLUSO TRANSPORTE VERTICAL. AF_07/2019</v>
      </c>
      <c r="C467" s="572" t="str">
        <f>PLANILHA!E464</f>
        <v>M2</v>
      </c>
      <c r="D467" s="573">
        <f>PLANILHA!F464</f>
        <v>342.14</v>
      </c>
      <c r="E467" s="573">
        <f t="shared" si="519"/>
        <v>66.97</v>
      </c>
      <c r="F467" s="574">
        <f t="shared" si="517"/>
        <v>22913.11</v>
      </c>
      <c r="G467" s="580"/>
      <c r="H467" s="576">
        <f>G467*$E467</f>
        <v>0</v>
      </c>
      <c r="I467" s="576"/>
      <c r="J467" s="576">
        <f>I467*$E467</f>
        <v>0</v>
      </c>
      <c r="K467" s="576">
        <f>D467</f>
        <v>342.14</v>
      </c>
      <c r="L467" s="576">
        <f t="shared" si="523"/>
        <v>22913.11</v>
      </c>
      <c r="M467" s="576"/>
      <c r="N467" s="576">
        <f>M467*$E467</f>
        <v>0</v>
      </c>
      <c r="O467" s="576"/>
      <c r="P467" s="576">
        <f>O467*$E467</f>
        <v>0</v>
      </c>
      <c r="Q467" s="576"/>
      <c r="R467" s="577">
        <f>Q467*$E467</f>
        <v>0</v>
      </c>
      <c r="S467" s="578"/>
      <c r="T467" s="576">
        <f>S467*$E467</f>
        <v>0</v>
      </c>
      <c r="U467" s="576"/>
      <c r="V467" s="576">
        <f>U467*$E467</f>
        <v>0</v>
      </c>
      <c r="W467" s="576"/>
      <c r="X467" s="576">
        <f>W467*$E467</f>
        <v>0</v>
      </c>
      <c r="Y467" s="576"/>
      <c r="Z467" s="576">
        <f>Y467*$E467</f>
        <v>0</v>
      </c>
      <c r="AA467" s="576"/>
      <c r="AB467" s="576">
        <f>AA467*$E467</f>
        <v>0</v>
      </c>
      <c r="AC467" s="576"/>
      <c r="AD467" s="579">
        <f>AC467*$E467</f>
        <v>0</v>
      </c>
      <c r="AE467" s="580">
        <f>AC467+AA467+Y467+W467+U467+S467+Q467+O467+M467+K467+I467+G467</f>
        <v>342.14</v>
      </c>
      <c r="AF467" s="576">
        <f t="shared" si="521"/>
        <v>22913.11</v>
      </c>
      <c r="AG467" s="576">
        <f>D467-AE467</f>
        <v>0</v>
      </c>
      <c r="AH467" s="579">
        <f>AG467*E467</f>
        <v>0</v>
      </c>
      <c r="AI467" s="615"/>
      <c r="AK467" s="617">
        <f t="shared" si="518"/>
        <v>0</v>
      </c>
    </row>
    <row r="468" spans="1:37" ht="30">
      <c r="A468" s="570" t="s">
        <v>14110</v>
      </c>
      <c r="B468" s="571" t="str">
        <f>PLANILHA!D465</f>
        <v>TELHAMENTO COM TELHA DE AÇO/ALUMÍNIO E = 0,5 MM, COM ATÉ 2 ÁGUAS, INCLUSO IÇAMENTO. AF_07/2019</v>
      </c>
      <c r="C468" s="572" t="str">
        <f>PLANILHA!E465</f>
        <v>M2</v>
      </c>
      <c r="D468" s="573">
        <f>PLANILHA!F465</f>
        <v>342.14</v>
      </c>
      <c r="E468" s="573">
        <f t="shared" si="519"/>
        <v>90.59</v>
      </c>
      <c r="F468" s="574">
        <f t="shared" si="517"/>
        <v>30994.46</v>
      </c>
      <c r="G468" s="580"/>
      <c r="H468" s="576">
        <f t="shared" si="515"/>
        <v>0</v>
      </c>
      <c r="I468" s="576"/>
      <c r="J468" s="576">
        <f t="shared" si="520"/>
        <v>0</v>
      </c>
      <c r="K468" s="576">
        <f t="shared" si="522"/>
        <v>342.14</v>
      </c>
      <c r="L468" s="576">
        <f t="shared" si="523"/>
        <v>30994.46</v>
      </c>
      <c r="M468" s="576"/>
      <c r="N468" s="576">
        <f t="shared" si="502"/>
        <v>0</v>
      </c>
      <c r="O468" s="576"/>
      <c r="P468" s="576">
        <f t="shared" si="503"/>
        <v>0</v>
      </c>
      <c r="Q468" s="576"/>
      <c r="R468" s="577">
        <f t="shared" si="504"/>
        <v>0</v>
      </c>
      <c r="S468" s="578"/>
      <c r="T468" s="576">
        <f t="shared" si="505"/>
        <v>0</v>
      </c>
      <c r="U468" s="576"/>
      <c r="V468" s="576">
        <f t="shared" si="506"/>
        <v>0</v>
      </c>
      <c r="W468" s="576"/>
      <c r="X468" s="576">
        <f t="shared" si="507"/>
        <v>0</v>
      </c>
      <c r="Y468" s="576"/>
      <c r="Z468" s="576">
        <f t="shared" si="508"/>
        <v>0</v>
      </c>
      <c r="AA468" s="576"/>
      <c r="AB468" s="576">
        <f t="shared" si="509"/>
        <v>0</v>
      </c>
      <c r="AC468" s="576"/>
      <c r="AD468" s="579">
        <f t="shared" si="510"/>
        <v>0</v>
      </c>
      <c r="AE468" s="580">
        <f t="shared" si="511"/>
        <v>342.14</v>
      </c>
      <c r="AF468" s="576">
        <f t="shared" si="521"/>
        <v>30994.46</v>
      </c>
      <c r="AG468" s="576">
        <f t="shared" si="513"/>
        <v>0</v>
      </c>
      <c r="AH468" s="579">
        <f t="shared" si="514"/>
        <v>0</v>
      </c>
      <c r="AI468" s="615"/>
      <c r="AK468" s="617">
        <f t="shared" si="518"/>
        <v>0</v>
      </c>
    </row>
    <row r="469" spans="1:37" ht="45">
      <c r="A469" s="570" t="s">
        <v>14111</v>
      </c>
      <c r="B469" s="571" t="str">
        <f>PLANILHA!D466</f>
        <v>CALHA EM CHAPA DE AÇO GALVANIZADO NÚMERO 24, DESENVOLVIMENTO DE 100 CM, INCLUSO TRANSPORTE VERTICAL. AF_07/2019</v>
      </c>
      <c r="C469" s="572" t="str">
        <f>PLANILHA!E466</f>
        <v>M</v>
      </c>
      <c r="D469" s="573">
        <f>PLANILHA!F466</f>
        <v>68.94</v>
      </c>
      <c r="E469" s="573">
        <f t="shared" si="519"/>
        <v>212.11</v>
      </c>
      <c r="F469" s="574">
        <f t="shared" si="517"/>
        <v>14622.86</v>
      </c>
      <c r="G469" s="580"/>
      <c r="H469" s="576">
        <f t="shared" si="515"/>
        <v>0</v>
      </c>
      <c r="I469" s="576"/>
      <c r="J469" s="576">
        <f t="shared" si="520"/>
        <v>0</v>
      </c>
      <c r="K469" s="576">
        <f t="shared" si="522"/>
        <v>68.94</v>
      </c>
      <c r="L469" s="576">
        <f t="shared" si="523"/>
        <v>14622.86</v>
      </c>
      <c r="M469" s="576"/>
      <c r="N469" s="576">
        <f t="shared" si="502"/>
        <v>0</v>
      </c>
      <c r="O469" s="576"/>
      <c r="P469" s="576">
        <f t="shared" si="503"/>
        <v>0</v>
      </c>
      <c r="Q469" s="576"/>
      <c r="R469" s="577">
        <f t="shared" si="504"/>
        <v>0</v>
      </c>
      <c r="S469" s="578"/>
      <c r="T469" s="576">
        <f t="shared" si="505"/>
        <v>0</v>
      </c>
      <c r="U469" s="576"/>
      <c r="V469" s="576">
        <f t="shared" si="506"/>
        <v>0</v>
      </c>
      <c r="W469" s="576"/>
      <c r="X469" s="576">
        <f t="shared" si="507"/>
        <v>0</v>
      </c>
      <c r="Y469" s="576"/>
      <c r="Z469" s="576">
        <f t="shared" si="508"/>
        <v>0</v>
      </c>
      <c r="AA469" s="576"/>
      <c r="AB469" s="576">
        <f t="shared" si="509"/>
        <v>0</v>
      </c>
      <c r="AC469" s="576"/>
      <c r="AD469" s="579">
        <f t="shared" si="510"/>
        <v>0</v>
      </c>
      <c r="AE469" s="580">
        <f t="shared" si="511"/>
        <v>68.94</v>
      </c>
      <c r="AF469" s="576">
        <f t="shared" si="521"/>
        <v>14622.86</v>
      </c>
      <c r="AG469" s="576">
        <f t="shared" si="513"/>
        <v>0</v>
      </c>
      <c r="AH469" s="579">
        <f t="shared" si="514"/>
        <v>0</v>
      </c>
      <c r="AI469" s="615"/>
      <c r="AK469" s="617">
        <f t="shared" si="518"/>
        <v>0</v>
      </c>
    </row>
    <row r="470" spans="1:37" ht="30">
      <c r="A470" s="570" t="s">
        <v>14505</v>
      </c>
      <c r="B470" s="571" t="str">
        <f>PLANILHA!D467</f>
        <v>RUFO EM CHAPA DE AÇO GALVANIZADO NÚMERO 24, CORTE DE 25 CM, INCLUSO TRANSPORTE VERTICAL. AF_07/2019</v>
      </c>
      <c r="C470" s="572" t="str">
        <f>PLANILHA!E467</f>
        <v>M</v>
      </c>
      <c r="D470" s="573">
        <f>PLANILHA!F467</f>
        <v>86.69</v>
      </c>
      <c r="E470" s="573">
        <f t="shared" si="519"/>
        <v>63.92</v>
      </c>
      <c r="F470" s="574">
        <f t="shared" si="517"/>
        <v>5541.22</v>
      </c>
      <c r="G470" s="580"/>
      <c r="H470" s="576">
        <f t="shared" si="515"/>
        <v>0</v>
      </c>
      <c r="I470" s="576"/>
      <c r="J470" s="576">
        <f t="shared" si="520"/>
        <v>0</v>
      </c>
      <c r="K470" s="576">
        <f t="shared" si="522"/>
        <v>86.69</v>
      </c>
      <c r="L470" s="576">
        <f t="shared" si="523"/>
        <v>5541.22</v>
      </c>
      <c r="M470" s="576"/>
      <c r="N470" s="576">
        <f t="shared" si="502"/>
        <v>0</v>
      </c>
      <c r="O470" s="576"/>
      <c r="P470" s="576">
        <f t="shared" si="503"/>
        <v>0</v>
      </c>
      <c r="Q470" s="576"/>
      <c r="R470" s="577">
        <f t="shared" si="504"/>
        <v>0</v>
      </c>
      <c r="S470" s="578"/>
      <c r="T470" s="576">
        <f t="shared" si="505"/>
        <v>0</v>
      </c>
      <c r="U470" s="576"/>
      <c r="V470" s="576">
        <f t="shared" si="506"/>
        <v>0</v>
      </c>
      <c r="W470" s="576"/>
      <c r="X470" s="576">
        <f t="shared" si="507"/>
        <v>0</v>
      </c>
      <c r="Y470" s="576"/>
      <c r="Z470" s="576">
        <f t="shared" si="508"/>
        <v>0</v>
      </c>
      <c r="AA470" s="576"/>
      <c r="AB470" s="576">
        <f t="shared" si="509"/>
        <v>0</v>
      </c>
      <c r="AC470" s="576"/>
      <c r="AD470" s="579">
        <f t="shared" si="510"/>
        <v>0</v>
      </c>
      <c r="AE470" s="580">
        <f t="shared" si="511"/>
        <v>86.69</v>
      </c>
      <c r="AF470" s="576">
        <f t="shared" si="521"/>
        <v>5541.22</v>
      </c>
      <c r="AG470" s="576">
        <f t="shared" si="513"/>
        <v>0</v>
      </c>
      <c r="AH470" s="579">
        <f t="shared" si="514"/>
        <v>0</v>
      </c>
      <c r="AI470" s="615"/>
      <c r="AK470" s="617">
        <f t="shared" si="518"/>
        <v>0</v>
      </c>
    </row>
    <row r="471" spans="1:37" ht="30">
      <c r="A471" s="570" t="s">
        <v>14506</v>
      </c>
      <c r="B471" s="571" t="str">
        <f>PLANILHA!D468</f>
        <v>COLOCAÇÃO DE CUMEEIRA GALVANIZADA TRAPEZOIDAL E = 0,50 MM, SIMPLES</v>
      </c>
      <c r="C471" s="572" t="str">
        <f>PLANILHA!E468</f>
        <v>und</v>
      </c>
      <c r="D471" s="573">
        <f>PLANILHA!F468</f>
        <v>17.28</v>
      </c>
      <c r="E471" s="573">
        <f t="shared" si="519"/>
        <v>94.29</v>
      </c>
      <c r="F471" s="574">
        <f t="shared" si="517"/>
        <v>1629.33</v>
      </c>
      <c r="G471" s="580"/>
      <c r="H471" s="576">
        <f>G471*$E471</f>
        <v>0</v>
      </c>
      <c r="I471" s="576"/>
      <c r="J471" s="576">
        <f>I471*$E471</f>
        <v>0</v>
      </c>
      <c r="K471" s="576">
        <f>D471</f>
        <v>17.28</v>
      </c>
      <c r="L471" s="576">
        <f t="shared" si="523"/>
        <v>1629.33</v>
      </c>
      <c r="M471" s="576"/>
      <c r="N471" s="576">
        <f>M471*$E471</f>
        <v>0</v>
      </c>
      <c r="O471" s="576"/>
      <c r="P471" s="576">
        <f>O471*$E471</f>
        <v>0</v>
      </c>
      <c r="Q471" s="576"/>
      <c r="R471" s="577">
        <f>Q471*$E471</f>
        <v>0</v>
      </c>
      <c r="S471" s="578"/>
      <c r="T471" s="576">
        <f>S471*$E471</f>
        <v>0</v>
      </c>
      <c r="U471" s="576"/>
      <c r="V471" s="576">
        <f>U471*$E471</f>
        <v>0</v>
      </c>
      <c r="W471" s="576"/>
      <c r="X471" s="576">
        <f>W471*$E471</f>
        <v>0</v>
      </c>
      <c r="Y471" s="576"/>
      <c r="Z471" s="576">
        <f>Y471*$E471</f>
        <v>0</v>
      </c>
      <c r="AA471" s="576"/>
      <c r="AB471" s="576">
        <f>AA471*$E471</f>
        <v>0</v>
      </c>
      <c r="AC471" s="576"/>
      <c r="AD471" s="579">
        <f>AC471*$E471</f>
        <v>0</v>
      </c>
      <c r="AE471" s="580">
        <f>AC471+AA471+Y471+W471+U471+S471+Q471+O471+M471+K471+I471+G471</f>
        <v>17.28</v>
      </c>
      <c r="AF471" s="576">
        <f t="shared" si="521"/>
        <v>1629.33</v>
      </c>
      <c r="AG471" s="576">
        <f>D471-AE471</f>
        <v>0</v>
      </c>
      <c r="AH471" s="579">
        <f>AG471*E471</f>
        <v>0</v>
      </c>
      <c r="AI471" s="615"/>
      <c r="AK471" s="617">
        <f t="shared" si="518"/>
        <v>0</v>
      </c>
    </row>
    <row r="472" spans="1:37" ht="30">
      <c r="A472" s="570" t="s">
        <v>14683</v>
      </c>
      <c r="B472" s="571" t="str">
        <f>PLANILHA!D469</f>
        <v>CHAPIM METÁLICO, COM PINGADEIRA, CHAPA GALVANIZADA Nº 24, DESENVOLVIMENTO = 35 CM</v>
      </c>
      <c r="C472" s="572" t="str">
        <f>PLANILHA!E469</f>
        <v xml:space="preserve">m </v>
      </c>
      <c r="D472" s="573">
        <f>PLANILHA!F469</f>
        <v>136.22999999999999</v>
      </c>
      <c r="E472" s="573">
        <f t="shared" si="519"/>
        <v>124.32</v>
      </c>
      <c r="F472" s="574">
        <f t="shared" si="517"/>
        <v>16936.11</v>
      </c>
      <c r="G472" s="580"/>
      <c r="H472" s="576">
        <f>G472*$E472</f>
        <v>0</v>
      </c>
      <c r="I472" s="576"/>
      <c r="J472" s="576">
        <f>I472*$E472</f>
        <v>0</v>
      </c>
      <c r="K472" s="576">
        <f>D472</f>
        <v>136.22999999999999</v>
      </c>
      <c r="L472" s="576">
        <f t="shared" si="523"/>
        <v>16936.11</v>
      </c>
      <c r="M472" s="576"/>
      <c r="N472" s="576">
        <f>M472*$E472</f>
        <v>0</v>
      </c>
      <c r="O472" s="576"/>
      <c r="P472" s="576">
        <f>O472*$E472</f>
        <v>0</v>
      </c>
      <c r="Q472" s="576"/>
      <c r="R472" s="577">
        <f>Q472*$E472</f>
        <v>0</v>
      </c>
      <c r="S472" s="578"/>
      <c r="T472" s="576">
        <f>S472*$E472</f>
        <v>0</v>
      </c>
      <c r="U472" s="576"/>
      <c r="V472" s="576">
        <f>U472*$E472</f>
        <v>0</v>
      </c>
      <c r="W472" s="576"/>
      <c r="X472" s="576">
        <f>W472*$E472</f>
        <v>0</v>
      </c>
      <c r="Y472" s="576"/>
      <c r="Z472" s="576">
        <f>Y472*$E472</f>
        <v>0</v>
      </c>
      <c r="AA472" s="576"/>
      <c r="AB472" s="576">
        <f>AA472*$E472</f>
        <v>0</v>
      </c>
      <c r="AC472" s="576"/>
      <c r="AD472" s="579">
        <f>AC472*$E472</f>
        <v>0</v>
      </c>
      <c r="AE472" s="580">
        <f>AC472+AA472+Y472+W472+U472+S472+Q472+O472+M472+K472+I472+G472</f>
        <v>136.22999999999999</v>
      </c>
      <c r="AF472" s="576">
        <f t="shared" si="521"/>
        <v>16936.11</v>
      </c>
      <c r="AG472" s="576">
        <f>D472-AE472</f>
        <v>0</v>
      </c>
      <c r="AH472" s="579">
        <f>AG472*E472</f>
        <v>0</v>
      </c>
      <c r="AI472" s="615"/>
      <c r="AK472" s="617">
        <f t="shared" si="518"/>
        <v>0</v>
      </c>
    </row>
    <row r="473" spans="1:37">
      <c r="A473" s="570" t="s">
        <v>14688</v>
      </c>
      <c r="B473" s="571" t="str">
        <f>PLANILHA!D470</f>
        <v>PASSARELA METALICA TIPO 02, FORNECIMENTO E INSTALAÇÃO</v>
      </c>
      <c r="C473" s="572" t="str">
        <f>PLANILHA!E470</f>
        <v>m</v>
      </c>
      <c r="D473" s="573">
        <f>PLANILHA!F470</f>
        <v>52.49</v>
      </c>
      <c r="E473" s="573">
        <f t="shared" si="519"/>
        <v>224.34</v>
      </c>
      <c r="F473" s="574">
        <f t="shared" si="517"/>
        <v>11775.6</v>
      </c>
      <c r="G473" s="580"/>
      <c r="H473" s="576">
        <f>G473*$E473</f>
        <v>0</v>
      </c>
      <c r="I473" s="576"/>
      <c r="J473" s="576">
        <f>I473*$E473</f>
        <v>0</v>
      </c>
      <c r="K473" s="576">
        <f t="shared" si="522"/>
        <v>52.49</v>
      </c>
      <c r="L473" s="576">
        <f t="shared" si="523"/>
        <v>11775.6</v>
      </c>
      <c r="M473" s="576">
        <f>I473</f>
        <v>0</v>
      </c>
      <c r="N473" s="576">
        <f>M473*$E473</f>
        <v>0</v>
      </c>
      <c r="O473" s="576"/>
      <c r="P473" s="576">
        <f>O473*$E473</f>
        <v>0</v>
      </c>
      <c r="Q473" s="576"/>
      <c r="R473" s="577">
        <f>Q473*$E473</f>
        <v>0</v>
      </c>
      <c r="S473" s="578"/>
      <c r="T473" s="576">
        <f>S473*$E473</f>
        <v>0</v>
      </c>
      <c r="U473" s="576"/>
      <c r="V473" s="576">
        <f>U473*$E473</f>
        <v>0</v>
      </c>
      <c r="W473" s="576"/>
      <c r="X473" s="576">
        <f>W473*$E473</f>
        <v>0</v>
      </c>
      <c r="Y473" s="576"/>
      <c r="Z473" s="576">
        <f>Y473*$E473</f>
        <v>0</v>
      </c>
      <c r="AA473" s="576">
        <f>W473</f>
        <v>0</v>
      </c>
      <c r="AB473" s="576">
        <f>AA473*$E473</f>
        <v>0</v>
      </c>
      <c r="AC473" s="576"/>
      <c r="AD473" s="579">
        <f>AC473*$E473</f>
        <v>0</v>
      </c>
      <c r="AE473" s="580">
        <f t="shared" si="511"/>
        <v>52.49</v>
      </c>
      <c r="AF473" s="576">
        <f t="shared" si="521"/>
        <v>11775.6</v>
      </c>
      <c r="AG473" s="576">
        <f t="shared" si="513"/>
        <v>0</v>
      </c>
      <c r="AH473" s="579">
        <f t="shared" si="514"/>
        <v>0</v>
      </c>
      <c r="AI473" s="615"/>
      <c r="AK473" s="617">
        <f t="shared" si="518"/>
        <v>0</v>
      </c>
    </row>
    <row r="474" spans="1:37" s="569" customFormat="1">
      <c r="A474" s="581" t="s">
        <v>27237</v>
      </c>
      <c r="B474" s="582"/>
      <c r="C474" s="583"/>
      <c r="D474" s="584"/>
      <c r="E474" s="584"/>
      <c r="F474" s="585">
        <f t="shared" si="517"/>
        <v>136546.04999999999</v>
      </c>
      <c r="G474" s="586"/>
      <c r="H474" s="584">
        <f>SUM(H463:H473)</f>
        <v>0</v>
      </c>
      <c r="I474" s="584"/>
      <c r="J474" s="584">
        <f>SUM(J463:J473)</f>
        <v>0</v>
      </c>
      <c r="K474" s="584"/>
      <c r="L474" s="584">
        <f>SUM(L463:L473)</f>
        <v>136546.04999999999</v>
      </c>
      <c r="M474" s="584"/>
      <c r="N474" s="584">
        <f>SUM(N463:N473)</f>
        <v>0</v>
      </c>
      <c r="O474" s="584"/>
      <c r="P474" s="584">
        <f>SUM(P463:P473)</f>
        <v>0</v>
      </c>
      <c r="Q474" s="584"/>
      <c r="R474" s="587">
        <f>SUM(R463:R473)</f>
        <v>0</v>
      </c>
      <c r="S474" s="588"/>
      <c r="T474" s="584">
        <f>SUM(T463:T473)</f>
        <v>0</v>
      </c>
      <c r="U474" s="584"/>
      <c r="V474" s="584">
        <f>SUM(V463:V473)</f>
        <v>0</v>
      </c>
      <c r="W474" s="584"/>
      <c r="X474" s="584">
        <f>SUM(X463:X473)</f>
        <v>0</v>
      </c>
      <c r="Y474" s="584"/>
      <c r="Z474" s="584">
        <f>SUM(Z463:Z473)</f>
        <v>0</v>
      </c>
      <c r="AA474" s="584"/>
      <c r="AB474" s="584">
        <f>SUM(AB463:AB473)</f>
        <v>0</v>
      </c>
      <c r="AC474" s="584"/>
      <c r="AD474" s="585">
        <f>SUM(AD463:AD473)</f>
        <v>0</v>
      </c>
      <c r="AE474" s="590"/>
      <c r="AF474" s="584">
        <f>SUM(AF463:AF473)</f>
        <v>136546.04999999999</v>
      </c>
      <c r="AG474" s="591"/>
      <c r="AH474" s="585">
        <f>SUM(AH463:AH473)</f>
        <v>0</v>
      </c>
      <c r="AI474" s="616"/>
      <c r="AK474" s="617">
        <f t="shared" si="518"/>
        <v>0</v>
      </c>
    </row>
    <row r="475" spans="1:37">
      <c r="A475" s="570"/>
      <c r="B475" s="571"/>
      <c r="C475" s="572"/>
      <c r="D475" s="573"/>
      <c r="E475" s="573"/>
      <c r="F475" s="574"/>
      <c r="G475" s="580"/>
      <c r="H475" s="576"/>
      <c r="I475" s="576"/>
      <c r="J475" s="576"/>
      <c r="K475" s="576"/>
      <c r="L475" s="576"/>
      <c r="M475" s="576"/>
      <c r="N475" s="576"/>
      <c r="O475" s="576"/>
      <c r="P475" s="576"/>
      <c r="Q475" s="576"/>
      <c r="R475" s="577"/>
      <c r="S475" s="578"/>
      <c r="T475" s="576"/>
      <c r="U475" s="576"/>
      <c r="V475" s="576"/>
      <c r="W475" s="576"/>
      <c r="X475" s="576"/>
      <c r="Y475" s="576"/>
      <c r="Z475" s="576"/>
      <c r="AA475" s="576"/>
      <c r="AB475" s="576"/>
      <c r="AC475" s="576"/>
      <c r="AD475" s="579"/>
      <c r="AE475" s="580"/>
      <c r="AF475" s="576"/>
      <c r="AG475" s="576"/>
      <c r="AH475" s="579"/>
      <c r="AK475" s="617">
        <f t="shared" si="518"/>
        <v>0</v>
      </c>
    </row>
    <row r="476" spans="1:37" s="569" customFormat="1">
      <c r="A476" s="592" t="s">
        <v>14112</v>
      </c>
      <c r="B476" s="593" t="str">
        <f>PLANILHA!D473</f>
        <v>ESTRUTURA DE CONCRETO</v>
      </c>
      <c r="C476" s="594"/>
      <c r="D476" s="589"/>
      <c r="E476" s="589"/>
      <c r="F476" s="595">
        <f t="shared" ref="F476:F482" si="524">VLOOKUP(A476,PLANILHA,$G$6,0)</f>
        <v>0</v>
      </c>
      <c r="G476" s="596"/>
      <c r="H476" s="597"/>
      <c r="I476" s="597"/>
      <c r="J476" s="597"/>
      <c r="K476" s="597"/>
      <c r="L476" s="597"/>
      <c r="M476" s="597"/>
      <c r="N476" s="597"/>
      <c r="O476" s="597"/>
      <c r="P476" s="597"/>
      <c r="Q476" s="597"/>
      <c r="R476" s="598"/>
      <c r="S476" s="599"/>
      <c r="T476" s="597"/>
      <c r="U476" s="597"/>
      <c r="V476" s="597"/>
      <c r="W476" s="597"/>
      <c r="X476" s="597"/>
      <c r="Y476" s="597"/>
      <c r="Z476" s="597"/>
      <c r="AA476" s="597"/>
      <c r="AB476" s="597"/>
      <c r="AC476" s="597"/>
      <c r="AD476" s="600"/>
      <c r="AE476" s="596"/>
      <c r="AF476" s="597"/>
      <c r="AG476" s="597"/>
      <c r="AH476" s="600"/>
      <c r="AI476" s="568"/>
      <c r="AK476" s="617">
        <f t="shared" si="518"/>
        <v>0</v>
      </c>
    </row>
    <row r="477" spans="1:37" ht="30">
      <c r="A477" s="570" t="s">
        <v>14113</v>
      </c>
      <c r="B477" s="571" t="str">
        <f>PLANILHA!D474</f>
        <v>FABRICAÇÃO DE FÔRMA PARA VIGAS, EM CHAPA DE MADEIRA COMPENSADA RESINADA, E = 17 MM. AF_09/2020</v>
      </c>
      <c r="C477" s="572" t="str">
        <f>PLANILHA!E474</f>
        <v>M2</v>
      </c>
      <c r="D477" s="573">
        <f>PLANILHA!F474</f>
        <v>123.17</v>
      </c>
      <c r="E477" s="573">
        <f>VLOOKUP(A477,PLANILHA,$G$7,0)</f>
        <v>158.27000000000001</v>
      </c>
      <c r="F477" s="574">
        <f t="shared" si="524"/>
        <v>19494.11</v>
      </c>
      <c r="G477" s="580"/>
      <c r="H477" s="576">
        <f>G477*$E477</f>
        <v>0</v>
      </c>
      <c r="I477" s="576">
        <f>D477</f>
        <v>123.17</v>
      </c>
      <c r="J477" s="576">
        <f>TRUNC(I477*$E477,2)</f>
        <v>19494.11</v>
      </c>
      <c r="K477" s="576"/>
      <c r="L477" s="576">
        <f>K477*$E477</f>
        <v>0</v>
      </c>
      <c r="M477" s="576"/>
      <c r="N477" s="576">
        <f>M477*$E477</f>
        <v>0</v>
      </c>
      <c r="O477" s="576"/>
      <c r="P477" s="576">
        <f>O477*$E477</f>
        <v>0</v>
      </c>
      <c r="Q477" s="576"/>
      <c r="R477" s="577">
        <f>Q477*$E477</f>
        <v>0</v>
      </c>
      <c r="S477" s="578"/>
      <c r="T477" s="576">
        <f>S477*$E477</f>
        <v>0</v>
      </c>
      <c r="U477" s="576"/>
      <c r="V477" s="576">
        <f>U477*$E477</f>
        <v>0</v>
      </c>
      <c r="W477" s="576"/>
      <c r="X477" s="576">
        <f>W477*$E477</f>
        <v>0</v>
      </c>
      <c r="Y477" s="576"/>
      <c r="Z477" s="576">
        <f>Y477*$E477</f>
        <v>0</v>
      </c>
      <c r="AA477" s="576"/>
      <c r="AB477" s="576">
        <f>AA477*$E477</f>
        <v>0</v>
      </c>
      <c r="AC477" s="576"/>
      <c r="AD477" s="579">
        <f>AC477*$E477</f>
        <v>0</v>
      </c>
      <c r="AE477" s="580">
        <f>AC477+AA477+Y477+W477+U477+S477+Q477+O477+M477+K477+I477+G477</f>
        <v>123.17</v>
      </c>
      <c r="AF477" s="576">
        <f t="shared" ref="AF477:AF481" si="525">TRUNC(AE477*E477,2)</f>
        <v>19494.11</v>
      </c>
      <c r="AG477" s="576">
        <f>D477-AE477</f>
        <v>0</v>
      </c>
      <c r="AH477" s="579">
        <f>AG477*E477</f>
        <v>0</v>
      </c>
      <c r="AK477" s="617">
        <f t="shared" si="518"/>
        <v>0</v>
      </c>
    </row>
    <row r="478" spans="1:37" ht="45">
      <c r="A478" s="570" t="s">
        <v>14114</v>
      </c>
      <c r="B478" s="571" t="str">
        <f>PLANILHA!D475</f>
        <v>CONCRETAGEM DE BLOCOS DE COROAMENTO E VIGAS BALDRAME, FCK 30 MPA, COM USO DE JERICA  LANÇAMENTO, ADENSAMENTO E ACABAMENTO. AF_06/2017</v>
      </c>
      <c r="C478" s="572" t="str">
        <f>PLANILHA!E475</f>
        <v>M3</v>
      </c>
      <c r="D478" s="573">
        <f>PLANILHA!F475</f>
        <v>6.29</v>
      </c>
      <c r="E478" s="573">
        <f>VLOOKUP(A478,PLANILHA,$G$7,0)</f>
        <v>741.7</v>
      </c>
      <c r="F478" s="574">
        <f t="shared" si="524"/>
        <v>4665.29</v>
      </c>
      <c r="G478" s="580"/>
      <c r="H478" s="576">
        <f>G478*$E478</f>
        <v>0</v>
      </c>
      <c r="I478" s="576">
        <f>D478</f>
        <v>6.29</v>
      </c>
      <c r="J478" s="576">
        <f t="shared" ref="J478:J481" si="526">TRUNC(I478*$E478,2)</f>
        <v>4665.29</v>
      </c>
      <c r="K478" s="576"/>
      <c r="L478" s="576">
        <f>K478*$E478</f>
        <v>0</v>
      </c>
      <c r="M478" s="576"/>
      <c r="N478" s="576">
        <f>M478*$E478</f>
        <v>0</v>
      </c>
      <c r="O478" s="576"/>
      <c r="P478" s="576">
        <f>O478*$E478</f>
        <v>0</v>
      </c>
      <c r="Q478" s="576"/>
      <c r="R478" s="577">
        <f>Q478*$E478</f>
        <v>0</v>
      </c>
      <c r="S478" s="578"/>
      <c r="T478" s="576">
        <f>S478*$E478</f>
        <v>0</v>
      </c>
      <c r="U478" s="576"/>
      <c r="V478" s="576">
        <f>U478*$E478</f>
        <v>0</v>
      </c>
      <c r="W478" s="576"/>
      <c r="X478" s="576">
        <f>W478*$E478</f>
        <v>0</v>
      </c>
      <c r="Y478" s="576"/>
      <c r="Z478" s="576">
        <f>Y478*$E478</f>
        <v>0</v>
      </c>
      <c r="AA478" s="576"/>
      <c r="AB478" s="576">
        <f>AA478*$E478</f>
        <v>0</v>
      </c>
      <c r="AC478" s="576"/>
      <c r="AD478" s="579">
        <f>AC478*$E478</f>
        <v>0</v>
      </c>
      <c r="AE478" s="580">
        <f>AC478+AA478+Y478+W478+U478+S478+Q478+O478+M478+K478+I478+G478</f>
        <v>6.29</v>
      </c>
      <c r="AF478" s="576">
        <f t="shared" si="525"/>
        <v>4665.29</v>
      </c>
      <c r="AG478" s="576">
        <f>D478-AE478</f>
        <v>0</v>
      </c>
      <c r="AH478" s="579">
        <f>AG478*E478</f>
        <v>0</v>
      </c>
      <c r="AK478" s="617">
        <f t="shared" si="518"/>
        <v>0</v>
      </c>
    </row>
    <row r="479" spans="1:37" ht="45">
      <c r="A479" s="570" t="s">
        <v>14115</v>
      </c>
      <c r="B479" s="571" t="str">
        <f>PLANILHA!D476</f>
        <v>ARMAÇÃO DE PILAR OU VIGA DE UMA ESTRUTURA CONVENCIONAL DE CONCRETO ARMADO EM UMA EDIFICAÇÃO TÉRREA OU SOBRADO UTILIZANDO AÇO CA-60 DE 5,0 MM - MONTAGEM. AF_12/2015</v>
      </c>
      <c r="C479" s="572" t="str">
        <f>PLANILHA!E476</f>
        <v>KG</v>
      </c>
      <c r="D479" s="573">
        <f>PLANILHA!F476</f>
        <v>196</v>
      </c>
      <c r="E479" s="573">
        <f>VLOOKUP(A479,PLANILHA,$G$7,0)</f>
        <v>22.56</v>
      </c>
      <c r="F479" s="574">
        <f t="shared" si="524"/>
        <v>4421.76</v>
      </c>
      <c r="G479" s="580"/>
      <c r="H479" s="576">
        <f>G479*$E479</f>
        <v>0</v>
      </c>
      <c r="I479" s="576">
        <f>D479</f>
        <v>196</v>
      </c>
      <c r="J479" s="576">
        <f t="shared" si="526"/>
        <v>4421.76</v>
      </c>
      <c r="K479" s="576"/>
      <c r="L479" s="576">
        <f>K479*$E479</f>
        <v>0</v>
      </c>
      <c r="M479" s="576"/>
      <c r="N479" s="576">
        <f>M479*$E479</f>
        <v>0</v>
      </c>
      <c r="O479" s="576"/>
      <c r="P479" s="576">
        <f>O479*$E479</f>
        <v>0</v>
      </c>
      <c r="Q479" s="576"/>
      <c r="R479" s="577">
        <f>Q479*$E479</f>
        <v>0</v>
      </c>
      <c r="S479" s="578"/>
      <c r="T479" s="576">
        <f>S479*$E479</f>
        <v>0</v>
      </c>
      <c r="U479" s="576"/>
      <c r="V479" s="576">
        <f>U479*$E479</f>
        <v>0</v>
      </c>
      <c r="W479" s="576"/>
      <c r="X479" s="576">
        <f>W479*$E479</f>
        <v>0</v>
      </c>
      <c r="Y479" s="576"/>
      <c r="Z479" s="576">
        <f>Y479*$E479</f>
        <v>0</v>
      </c>
      <c r="AA479" s="576"/>
      <c r="AB479" s="576">
        <f>AA479*$E479</f>
        <v>0</v>
      </c>
      <c r="AC479" s="576"/>
      <c r="AD479" s="579">
        <f>AC479*$E479</f>
        <v>0</v>
      </c>
      <c r="AE479" s="580">
        <f>AC479+AA479+Y479+W479+U479+S479+Q479+O479+M479+K479+I479+G479</f>
        <v>196</v>
      </c>
      <c r="AF479" s="576">
        <f t="shared" si="525"/>
        <v>4421.76</v>
      </c>
      <c r="AG479" s="576">
        <f>D479-AE479</f>
        <v>0</v>
      </c>
      <c r="AH479" s="579">
        <f>AG479*E479</f>
        <v>0</v>
      </c>
      <c r="AK479" s="617">
        <f t="shared" si="518"/>
        <v>0</v>
      </c>
    </row>
    <row r="480" spans="1:37" ht="45">
      <c r="A480" s="570" t="s">
        <v>14116</v>
      </c>
      <c r="B480" s="571" t="str">
        <f>PLANILHA!D477</f>
        <v>ARMAÇÃO DE PILAR OU VIGA DE UMA ESTRUTURA CONVENCIONAL DE CONCRETO ARMADO EM UMA EDIFICAÇÃO TÉRREA OU SOBRADO UTILIZANDO AÇO CA-50 DE 8,0 MM - MONTAGEM. AF_12/2015</v>
      </c>
      <c r="C480" s="572" t="str">
        <f>PLANILHA!E477</f>
        <v>KG</v>
      </c>
      <c r="D480" s="573">
        <f>PLANILHA!F477</f>
        <v>206.9</v>
      </c>
      <c r="E480" s="573">
        <f>VLOOKUP(A480,PLANILHA,$G$7,0)</f>
        <v>20.190000000000001</v>
      </c>
      <c r="F480" s="574">
        <f t="shared" si="524"/>
        <v>4177.3100000000004</v>
      </c>
      <c r="G480" s="580"/>
      <c r="H480" s="576">
        <f>G480*$E480</f>
        <v>0</v>
      </c>
      <c r="I480" s="576">
        <f>D480</f>
        <v>206.9</v>
      </c>
      <c r="J480" s="576">
        <f t="shared" si="526"/>
        <v>4177.3100000000004</v>
      </c>
      <c r="K480" s="576"/>
      <c r="L480" s="576">
        <f>K480*$E480</f>
        <v>0</v>
      </c>
      <c r="M480" s="576"/>
      <c r="N480" s="576">
        <f>M480*$E480</f>
        <v>0</v>
      </c>
      <c r="O480" s="576"/>
      <c r="P480" s="576">
        <f>O480*$E480</f>
        <v>0</v>
      </c>
      <c r="Q480" s="576"/>
      <c r="R480" s="577">
        <f>Q480*$E480</f>
        <v>0</v>
      </c>
      <c r="S480" s="578"/>
      <c r="T480" s="576">
        <f>S480*$E480</f>
        <v>0</v>
      </c>
      <c r="U480" s="576"/>
      <c r="V480" s="576">
        <f>U480*$E480</f>
        <v>0</v>
      </c>
      <c r="W480" s="576"/>
      <c r="X480" s="576">
        <f>W480*$E480</f>
        <v>0</v>
      </c>
      <c r="Y480" s="576"/>
      <c r="Z480" s="576">
        <f>Y480*$E480</f>
        <v>0</v>
      </c>
      <c r="AA480" s="576"/>
      <c r="AB480" s="576">
        <f>AA480*$E480</f>
        <v>0</v>
      </c>
      <c r="AC480" s="576"/>
      <c r="AD480" s="579">
        <f>AC480*$E480</f>
        <v>0</v>
      </c>
      <c r="AE480" s="580">
        <f>AC480+AA480+Y480+W480+U480+S480+Q480+O480+M480+K480+I480+G480</f>
        <v>206.9</v>
      </c>
      <c r="AF480" s="576">
        <f t="shared" si="525"/>
        <v>4177.3100000000004</v>
      </c>
      <c r="AG480" s="576">
        <f>D480-AE480</f>
        <v>0</v>
      </c>
      <c r="AH480" s="579">
        <f>AG480*E480</f>
        <v>0</v>
      </c>
      <c r="AK480" s="617">
        <f t="shared" si="518"/>
        <v>0</v>
      </c>
    </row>
    <row r="481" spans="1:37" ht="45">
      <c r="A481" s="570" t="s">
        <v>14117</v>
      </c>
      <c r="B481" s="571" t="str">
        <f>PLANILHA!D478</f>
        <v>ARMAÇÃO DE PILAR OU VIGA DE UMA ESTRUTURA CONVENCIONAL DE CONCRETO ARMADO EM UMA EDIFICAÇÃO TÉRREA OU SOBRADO UTILIZANDO AÇO CA-50 DE 10,0 MM - MONTAGEM. AF_12/2015</v>
      </c>
      <c r="C481" s="572" t="str">
        <f>PLANILHA!E478</f>
        <v>KG</v>
      </c>
      <c r="D481" s="573">
        <f>PLANILHA!F478</f>
        <v>196.8</v>
      </c>
      <c r="E481" s="573">
        <f>VLOOKUP(A481,PLANILHA,$G$7,0)</f>
        <v>18.059999999999999</v>
      </c>
      <c r="F481" s="574">
        <f t="shared" si="524"/>
        <v>3554.2</v>
      </c>
      <c r="G481" s="580"/>
      <c r="H481" s="576">
        <f>G481*$E481</f>
        <v>0</v>
      </c>
      <c r="I481" s="576">
        <f>D481</f>
        <v>196.8</v>
      </c>
      <c r="J481" s="576">
        <f t="shared" si="526"/>
        <v>3554.2</v>
      </c>
      <c r="K481" s="576"/>
      <c r="L481" s="576">
        <f>K481*$E481</f>
        <v>0</v>
      </c>
      <c r="M481" s="576"/>
      <c r="N481" s="576">
        <f>M481*$E481</f>
        <v>0</v>
      </c>
      <c r="O481" s="576"/>
      <c r="P481" s="576">
        <f>O481*$E481</f>
        <v>0</v>
      </c>
      <c r="Q481" s="576"/>
      <c r="R481" s="577">
        <f>Q481*$E481</f>
        <v>0</v>
      </c>
      <c r="S481" s="578"/>
      <c r="T481" s="576">
        <f>S481*$E481</f>
        <v>0</v>
      </c>
      <c r="U481" s="576"/>
      <c r="V481" s="576">
        <f>U481*$E481</f>
        <v>0</v>
      </c>
      <c r="W481" s="576"/>
      <c r="X481" s="576">
        <f>W481*$E481</f>
        <v>0</v>
      </c>
      <c r="Y481" s="576"/>
      <c r="Z481" s="576">
        <f>Y481*$E481</f>
        <v>0</v>
      </c>
      <c r="AA481" s="576"/>
      <c r="AB481" s="576">
        <f>AA481*$E481</f>
        <v>0</v>
      </c>
      <c r="AC481" s="576"/>
      <c r="AD481" s="579">
        <f>AC481*$E481</f>
        <v>0</v>
      </c>
      <c r="AE481" s="580">
        <f>AC481+AA481+Y481+W481+U481+S481+Q481+O481+M481+K481+I481+G481</f>
        <v>196.8</v>
      </c>
      <c r="AF481" s="576">
        <f t="shared" si="525"/>
        <v>3554.2</v>
      </c>
      <c r="AG481" s="576">
        <f>D481-AE481</f>
        <v>0</v>
      </c>
      <c r="AH481" s="579">
        <f>AG481*E481</f>
        <v>0</v>
      </c>
      <c r="AK481" s="617">
        <f t="shared" si="518"/>
        <v>0</v>
      </c>
    </row>
    <row r="482" spans="1:37" s="569" customFormat="1">
      <c r="A482" s="581" t="s">
        <v>27238</v>
      </c>
      <c r="B482" s="582"/>
      <c r="C482" s="583"/>
      <c r="D482" s="584"/>
      <c r="E482" s="584"/>
      <c r="F482" s="585">
        <f t="shared" si="524"/>
        <v>36312.670000000006</v>
      </c>
      <c r="G482" s="586"/>
      <c r="H482" s="584">
        <f t="shared" ref="H482:AH482" si="527">SUM(H477:H481)</f>
        <v>0</v>
      </c>
      <c r="I482" s="584"/>
      <c r="J482" s="584">
        <f t="shared" si="527"/>
        <v>36312.670000000006</v>
      </c>
      <c r="K482" s="584"/>
      <c r="L482" s="584">
        <f t="shared" si="527"/>
        <v>0</v>
      </c>
      <c r="M482" s="584"/>
      <c r="N482" s="584">
        <f t="shared" si="527"/>
        <v>0</v>
      </c>
      <c r="O482" s="584"/>
      <c r="P482" s="584">
        <f t="shared" si="527"/>
        <v>0</v>
      </c>
      <c r="Q482" s="584"/>
      <c r="R482" s="587">
        <f t="shared" si="527"/>
        <v>0</v>
      </c>
      <c r="S482" s="588"/>
      <c r="T482" s="584">
        <f t="shared" si="527"/>
        <v>0</v>
      </c>
      <c r="U482" s="584"/>
      <c r="V482" s="584">
        <f t="shared" si="527"/>
        <v>0</v>
      </c>
      <c r="W482" s="584"/>
      <c r="X482" s="584">
        <f t="shared" si="527"/>
        <v>0</v>
      </c>
      <c r="Y482" s="584"/>
      <c r="Z482" s="584">
        <f t="shared" si="527"/>
        <v>0</v>
      </c>
      <c r="AA482" s="584"/>
      <c r="AB482" s="584">
        <f t="shared" si="527"/>
        <v>0</v>
      </c>
      <c r="AC482" s="584"/>
      <c r="AD482" s="585">
        <f t="shared" si="527"/>
        <v>0</v>
      </c>
      <c r="AE482" s="590"/>
      <c r="AF482" s="584">
        <f t="shared" si="527"/>
        <v>36312.670000000006</v>
      </c>
      <c r="AG482" s="591"/>
      <c r="AH482" s="585">
        <f t="shared" si="527"/>
        <v>0</v>
      </c>
      <c r="AI482" s="568"/>
      <c r="AK482" s="617">
        <f t="shared" si="518"/>
        <v>0</v>
      </c>
    </row>
    <row r="483" spans="1:37">
      <c r="A483" s="570"/>
      <c r="B483" s="571"/>
      <c r="C483" s="572"/>
      <c r="D483" s="573"/>
      <c r="E483" s="573"/>
      <c r="F483" s="574"/>
      <c r="G483" s="580"/>
      <c r="H483" s="576"/>
      <c r="I483" s="576"/>
      <c r="J483" s="576"/>
      <c r="K483" s="576"/>
      <c r="L483" s="576"/>
      <c r="M483" s="576"/>
      <c r="N483" s="576"/>
      <c r="O483" s="576"/>
      <c r="P483" s="576"/>
      <c r="Q483" s="576"/>
      <c r="R483" s="577"/>
      <c r="S483" s="578"/>
      <c r="T483" s="576"/>
      <c r="U483" s="576"/>
      <c r="V483" s="576"/>
      <c r="W483" s="576"/>
      <c r="X483" s="576"/>
      <c r="Y483" s="576"/>
      <c r="Z483" s="576"/>
      <c r="AA483" s="576"/>
      <c r="AB483" s="576"/>
      <c r="AC483" s="576"/>
      <c r="AD483" s="579"/>
      <c r="AE483" s="580"/>
      <c r="AF483" s="576"/>
      <c r="AG483" s="576"/>
      <c r="AH483" s="579"/>
      <c r="AK483" s="617">
        <f t="shared" si="518"/>
        <v>0</v>
      </c>
    </row>
    <row r="484" spans="1:37" s="569" customFormat="1">
      <c r="A484" s="592" t="s">
        <v>14118</v>
      </c>
      <c r="B484" s="593" t="str">
        <f>PLANILHA!D481</f>
        <v>ALVENARIA E REVESTIMENTO</v>
      </c>
      <c r="C484" s="594"/>
      <c r="D484" s="589"/>
      <c r="E484" s="589"/>
      <c r="F484" s="595">
        <f t="shared" ref="F484:F489" si="528">VLOOKUP(A484,PLANILHA,$G$6,0)</f>
        <v>0</v>
      </c>
      <c r="G484" s="596"/>
      <c r="H484" s="597"/>
      <c r="I484" s="597"/>
      <c r="J484" s="597"/>
      <c r="K484" s="597"/>
      <c r="L484" s="597"/>
      <c r="M484" s="597"/>
      <c r="N484" s="597"/>
      <c r="O484" s="597"/>
      <c r="P484" s="597"/>
      <c r="Q484" s="597"/>
      <c r="R484" s="598"/>
      <c r="S484" s="599"/>
      <c r="T484" s="597"/>
      <c r="U484" s="597"/>
      <c r="V484" s="597"/>
      <c r="W484" s="597"/>
      <c r="X484" s="597"/>
      <c r="Y484" s="597"/>
      <c r="Z484" s="597"/>
      <c r="AA484" s="597"/>
      <c r="AB484" s="597"/>
      <c r="AC484" s="597"/>
      <c r="AD484" s="600"/>
      <c r="AE484" s="596"/>
      <c r="AF484" s="597"/>
      <c r="AG484" s="597"/>
      <c r="AH484" s="600"/>
      <c r="AI484" s="568"/>
      <c r="AK484" s="617">
        <f t="shared" si="518"/>
        <v>0</v>
      </c>
    </row>
    <row r="485" spans="1:37" ht="45">
      <c r="A485" s="570" t="s">
        <v>14119</v>
      </c>
      <c r="B485" s="571" t="str">
        <f>PLANILHA!D482</f>
        <v>ALVENARIA DE VEDAÇÃO DE BLOCOS CERÂMICOS FURADOS NA HORIZONTAL DE 9X19X19 CM (ESPESSURA 9 CM) E ARGAMASSA DE ASSENTAMENTO COM PREPARO EM BETONEIRA. AF_12/2021</v>
      </c>
      <c r="C485" s="572" t="str">
        <f>PLANILHA!E482</f>
        <v>M2</v>
      </c>
      <c r="D485" s="573">
        <f>PLANILHA!F482</f>
        <v>146.541</v>
      </c>
      <c r="E485" s="573">
        <f>VLOOKUP(A485,PLANILHA,$G$7,0)</f>
        <v>96.44</v>
      </c>
      <c r="F485" s="574">
        <f t="shared" si="528"/>
        <v>14132.41</v>
      </c>
      <c r="G485" s="580"/>
      <c r="H485" s="576">
        <f>G485*$E485</f>
        <v>0</v>
      </c>
      <c r="I485" s="576">
        <f>D485</f>
        <v>146.541</v>
      </c>
      <c r="J485" s="576">
        <f t="shared" ref="J485:J487" si="529">TRUNC(I485*$E485,2)</f>
        <v>14132.41</v>
      </c>
      <c r="K485" s="576"/>
      <c r="L485" s="576">
        <f>K485*$E485</f>
        <v>0</v>
      </c>
      <c r="M485" s="576"/>
      <c r="N485" s="576">
        <f>M485*$E485</f>
        <v>0</v>
      </c>
      <c r="O485" s="576"/>
      <c r="P485" s="576">
        <f>O485*$E485</f>
        <v>0</v>
      </c>
      <c r="Q485" s="576"/>
      <c r="R485" s="577">
        <f>Q485*$E485</f>
        <v>0</v>
      </c>
      <c r="S485" s="578"/>
      <c r="T485" s="576">
        <f>S485*$E485</f>
        <v>0</v>
      </c>
      <c r="U485" s="576"/>
      <c r="V485" s="576">
        <f>U485*$E485</f>
        <v>0</v>
      </c>
      <c r="W485" s="576"/>
      <c r="X485" s="576">
        <f>W485*$E485</f>
        <v>0</v>
      </c>
      <c r="Y485" s="576"/>
      <c r="Z485" s="576">
        <f>Y485*$E485</f>
        <v>0</v>
      </c>
      <c r="AA485" s="576"/>
      <c r="AB485" s="576">
        <f>AA485*$E485</f>
        <v>0</v>
      </c>
      <c r="AC485" s="576"/>
      <c r="AD485" s="579">
        <f>AC485*$E485</f>
        <v>0</v>
      </c>
      <c r="AE485" s="580">
        <f>AC485+AA485+Y485+W485+U485+S485+Q485+O485+M485+K485+I485+G485</f>
        <v>146.541</v>
      </c>
      <c r="AF485" s="576">
        <f t="shared" ref="AF485:AF487" si="530">TRUNC(AE485*E485,2)</f>
        <v>14132.41</v>
      </c>
      <c r="AG485" s="576">
        <f>D485-AE485</f>
        <v>0</v>
      </c>
      <c r="AH485" s="579">
        <f>AG485*E485</f>
        <v>0</v>
      </c>
      <c r="AK485" s="617">
        <f t="shared" si="518"/>
        <v>0</v>
      </c>
    </row>
    <row r="486" spans="1:37" ht="45">
      <c r="A486" s="570" t="s">
        <v>14120</v>
      </c>
      <c r="B486" s="571" t="str">
        <f>PLANILHA!D483</f>
        <v>CHAPISCO APLICADO EM ALVENARIA (SEM PRESENÇA DE VÃOS) E ESTRUTURAS DE CONCRETO DE FACHADA, COM COLHER DE PEDREIRO.  ARGAMASSA TRAÇO 1:3 COM PREPARO MANUAL. AF_06/2014</v>
      </c>
      <c r="C486" s="572" t="str">
        <f>PLANILHA!E483</f>
        <v>M2</v>
      </c>
      <c r="D486" s="573">
        <f>PLANILHA!F483</f>
        <v>293.08199999999999</v>
      </c>
      <c r="E486" s="573">
        <f>VLOOKUP(A486,PLANILHA,$G$7,0)</f>
        <v>7.38</v>
      </c>
      <c r="F486" s="574">
        <f t="shared" si="528"/>
        <v>2162.94</v>
      </c>
      <c r="G486" s="580"/>
      <c r="H486" s="576">
        <f>G486*$E486</f>
        <v>0</v>
      </c>
      <c r="I486" s="576">
        <f>D486</f>
        <v>293.08199999999999</v>
      </c>
      <c r="J486" s="576">
        <f t="shared" si="529"/>
        <v>2162.94</v>
      </c>
      <c r="K486" s="576"/>
      <c r="L486" s="576">
        <f>K486*$E486</f>
        <v>0</v>
      </c>
      <c r="M486" s="576"/>
      <c r="N486" s="576">
        <f>M486*$E486</f>
        <v>0</v>
      </c>
      <c r="O486" s="576"/>
      <c r="P486" s="576">
        <f>O486*$E486</f>
        <v>0</v>
      </c>
      <c r="Q486" s="576"/>
      <c r="R486" s="577">
        <f>Q486*$E486</f>
        <v>0</v>
      </c>
      <c r="S486" s="578"/>
      <c r="T486" s="576">
        <f>S486*$E486</f>
        <v>0</v>
      </c>
      <c r="U486" s="576"/>
      <c r="V486" s="576">
        <f>U486*$E486</f>
        <v>0</v>
      </c>
      <c r="W486" s="576"/>
      <c r="X486" s="576">
        <f>W486*$E486</f>
        <v>0</v>
      </c>
      <c r="Y486" s="576"/>
      <c r="Z486" s="576">
        <f>Y486*$E486</f>
        <v>0</v>
      </c>
      <c r="AA486" s="576"/>
      <c r="AB486" s="576">
        <f>AA486*$E486</f>
        <v>0</v>
      </c>
      <c r="AC486" s="576"/>
      <c r="AD486" s="579">
        <f>AC486*$E486</f>
        <v>0</v>
      </c>
      <c r="AE486" s="580">
        <f>AC486+AA486+Y486+W486+U486+S486+Q486+O486+M486+K486+I486+G486</f>
        <v>293.08199999999999</v>
      </c>
      <c r="AF486" s="576">
        <f t="shared" si="530"/>
        <v>2162.94</v>
      </c>
      <c r="AG486" s="576">
        <f>D486-AE486</f>
        <v>0</v>
      </c>
      <c r="AH486" s="579">
        <f>AG486*E486</f>
        <v>0</v>
      </c>
      <c r="AK486" s="617">
        <f t="shared" si="518"/>
        <v>0</v>
      </c>
    </row>
    <row r="487" spans="1:37" ht="75">
      <c r="A487" s="570" t="s">
        <v>14121</v>
      </c>
      <c r="B487" s="571" t="str">
        <f>PLANILHA!D484</f>
        <v>MASSA ÚNICA, PARA RECEBIMENTO DE PINTURA OU CERÂMICA, ARGAMASSA INDUSTRIALIZADA, PREPARO MECÂNICO, APLICADO COM EQUIPAMENTO DE MISTURA E PROJEÇÃO DE 1,5 M3/H EM FACES INTERNAS DE PAREDES, ESPESSURA DE 5MM, SEM EXECUÇÃO DE TALISCAS. AF_06/2014</v>
      </c>
      <c r="C487" s="572" t="str">
        <f>PLANILHA!E484</f>
        <v>M2</v>
      </c>
      <c r="D487" s="573">
        <f>PLANILHA!F484</f>
        <v>293.08199999999999</v>
      </c>
      <c r="E487" s="573">
        <f>VLOOKUP(A487,PLANILHA,$G$7,0)</f>
        <v>29.82</v>
      </c>
      <c r="F487" s="574">
        <f t="shared" si="528"/>
        <v>8739.7000000000007</v>
      </c>
      <c r="G487" s="580"/>
      <c r="H487" s="576">
        <f>G487*$E487</f>
        <v>0</v>
      </c>
      <c r="I487" s="576">
        <f>D487</f>
        <v>293.08199999999999</v>
      </c>
      <c r="J487" s="576">
        <f t="shared" si="529"/>
        <v>8739.7000000000007</v>
      </c>
      <c r="K487" s="576"/>
      <c r="L487" s="576">
        <f>K487*$E487</f>
        <v>0</v>
      </c>
      <c r="M487" s="576"/>
      <c r="N487" s="576">
        <f>M487*$E487</f>
        <v>0</v>
      </c>
      <c r="O487" s="576"/>
      <c r="P487" s="576">
        <f>O487*$E487</f>
        <v>0</v>
      </c>
      <c r="Q487" s="576"/>
      <c r="R487" s="577">
        <f>Q487*$E487</f>
        <v>0</v>
      </c>
      <c r="S487" s="578"/>
      <c r="T487" s="576">
        <f>S487*$E487</f>
        <v>0</v>
      </c>
      <c r="U487" s="576"/>
      <c r="V487" s="576">
        <f>U487*$E487</f>
        <v>0</v>
      </c>
      <c r="W487" s="576"/>
      <c r="X487" s="576">
        <f>W487*$E487</f>
        <v>0</v>
      </c>
      <c r="Y487" s="576"/>
      <c r="Z487" s="576">
        <f>Y487*$E487</f>
        <v>0</v>
      </c>
      <c r="AA487" s="576"/>
      <c r="AB487" s="576">
        <f>AA487*$E487</f>
        <v>0</v>
      </c>
      <c r="AC487" s="576"/>
      <c r="AD487" s="579">
        <f>AC487*$E487</f>
        <v>0</v>
      </c>
      <c r="AE487" s="580">
        <f>AC487+AA487+Y487+W487+U487+S487+Q487+O487+M487+K487+I487+G487</f>
        <v>293.08199999999999</v>
      </c>
      <c r="AF487" s="576">
        <f t="shared" si="530"/>
        <v>8739.7000000000007</v>
      </c>
      <c r="AG487" s="576">
        <f>D487-AE487</f>
        <v>0</v>
      </c>
      <c r="AH487" s="579">
        <f>AG487*E487</f>
        <v>0</v>
      </c>
      <c r="AK487" s="617">
        <f t="shared" si="518"/>
        <v>0</v>
      </c>
    </row>
    <row r="488" spans="1:37" s="569" customFormat="1">
      <c r="A488" s="581" t="s">
        <v>27239</v>
      </c>
      <c r="B488" s="582"/>
      <c r="C488" s="583"/>
      <c r="D488" s="584"/>
      <c r="E488" s="584"/>
      <c r="F488" s="585">
        <f t="shared" si="528"/>
        <v>25035.050000000003</v>
      </c>
      <c r="G488" s="586"/>
      <c r="H488" s="584">
        <f t="shared" ref="H488:AH488" si="531">SUM(H485:H487)</f>
        <v>0</v>
      </c>
      <c r="I488" s="584"/>
      <c r="J488" s="584">
        <f t="shared" si="531"/>
        <v>25035.050000000003</v>
      </c>
      <c r="K488" s="584"/>
      <c r="L488" s="584">
        <f t="shared" si="531"/>
        <v>0</v>
      </c>
      <c r="M488" s="584"/>
      <c r="N488" s="584">
        <f t="shared" si="531"/>
        <v>0</v>
      </c>
      <c r="O488" s="584"/>
      <c r="P488" s="584">
        <f t="shared" si="531"/>
        <v>0</v>
      </c>
      <c r="Q488" s="584"/>
      <c r="R488" s="587">
        <f t="shared" si="531"/>
        <v>0</v>
      </c>
      <c r="S488" s="588"/>
      <c r="T488" s="584">
        <f t="shared" si="531"/>
        <v>0</v>
      </c>
      <c r="U488" s="584"/>
      <c r="V488" s="584">
        <f t="shared" si="531"/>
        <v>0</v>
      </c>
      <c r="W488" s="584"/>
      <c r="X488" s="584">
        <f t="shared" si="531"/>
        <v>0</v>
      </c>
      <c r="Y488" s="584"/>
      <c r="Z488" s="584">
        <f t="shared" si="531"/>
        <v>0</v>
      </c>
      <c r="AA488" s="584"/>
      <c r="AB488" s="584">
        <f t="shared" si="531"/>
        <v>0</v>
      </c>
      <c r="AC488" s="584"/>
      <c r="AD488" s="585">
        <f t="shared" si="531"/>
        <v>0</v>
      </c>
      <c r="AE488" s="590"/>
      <c r="AF488" s="584">
        <f t="shared" si="531"/>
        <v>25035.050000000003</v>
      </c>
      <c r="AG488" s="591"/>
      <c r="AH488" s="585">
        <f t="shared" si="531"/>
        <v>0</v>
      </c>
      <c r="AI488" s="568"/>
      <c r="AK488" s="617">
        <f t="shared" si="518"/>
        <v>0</v>
      </c>
    </row>
    <row r="489" spans="1:37" s="569" customFormat="1">
      <c r="A489" s="581" t="s">
        <v>14620</v>
      </c>
      <c r="B489" s="582"/>
      <c r="C489" s="583"/>
      <c r="D489" s="584"/>
      <c r="E489" s="584"/>
      <c r="F489" s="585">
        <f t="shared" si="528"/>
        <v>209710.46</v>
      </c>
      <c r="G489" s="586"/>
      <c r="H489" s="584">
        <f>SUM(H457:H488)/2</f>
        <v>0</v>
      </c>
      <c r="I489" s="584"/>
      <c r="J489" s="584">
        <f>SUM(J457:J488)/2</f>
        <v>73164.41</v>
      </c>
      <c r="K489" s="584"/>
      <c r="L489" s="584">
        <f>SUM(L457:L488)/2</f>
        <v>136546.04999999999</v>
      </c>
      <c r="M489" s="584"/>
      <c r="N489" s="584">
        <f>SUM(N457:N488)/2</f>
        <v>0</v>
      </c>
      <c r="O489" s="584"/>
      <c r="P489" s="584">
        <f>SUM(P457:P488)/2</f>
        <v>0</v>
      </c>
      <c r="Q489" s="584"/>
      <c r="R489" s="587">
        <f>SUM(R457:R488)/2</f>
        <v>0</v>
      </c>
      <c r="S489" s="588"/>
      <c r="T489" s="584">
        <f>SUM(T457:T488)/2</f>
        <v>0</v>
      </c>
      <c r="U489" s="584"/>
      <c r="V489" s="584">
        <f>SUM(V457:V488)/2</f>
        <v>0</v>
      </c>
      <c r="W489" s="584"/>
      <c r="X489" s="584">
        <f>SUM(X457:X488)/2</f>
        <v>0</v>
      </c>
      <c r="Y489" s="584"/>
      <c r="Z489" s="584">
        <f>SUM(Z457:Z488)/2</f>
        <v>0</v>
      </c>
      <c r="AA489" s="584"/>
      <c r="AB489" s="584">
        <f>SUM(AB457:AB488)/2</f>
        <v>0</v>
      </c>
      <c r="AC489" s="584"/>
      <c r="AD489" s="585">
        <f>SUM(AD457:AD488)/2</f>
        <v>0</v>
      </c>
      <c r="AE489" s="590"/>
      <c r="AF489" s="584">
        <f>SUM(AF457:AF488)/2</f>
        <v>209710.45999999996</v>
      </c>
      <c r="AG489" s="591"/>
      <c r="AH489" s="585">
        <f>SUM(AH457:AH488)/2</f>
        <v>0</v>
      </c>
      <c r="AI489" s="568"/>
      <c r="AK489" s="617">
        <f t="shared" si="518"/>
        <v>0</v>
      </c>
    </row>
    <row r="490" spans="1:37">
      <c r="A490" s="570"/>
      <c r="B490" s="571"/>
      <c r="C490" s="572"/>
      <c r="D490" s="573"/>
      <c r="E490" s="573"/>
      <c r="F490" s="574"/>
      <c r="G490" s="580"/>
      <c r="H490" s="576"/>
      <c r="I490" s="576"/>
      <c r="J490" s="576"/>
      <c r="K490" s="576"/>
      <c r="L490" s="576"/>
      <c r="M490" s="576"/>
      <c r="N490" s="576"/>
      <c r="O490" s="576"/>
      <c r="P490" s="576"/>
      <c r="Q490" s="576"/>
      <c r="R490" s="577"/>
      <c r="S490" s="578"/>
      <c r="T490" s="576"/>
      <c r="U490" s="576"/>
      <c r="V490" s="576"/>
      <c r="W490" s="576"/>
      <c r="X490" s="576"/>
      <c r="Y490" s="576"/>
      <c r="Z490" s="576"/>
      <c r="AA490" s="576"/>
      <c r="AB490" s="576"/>
      <c r="AC490" s="576"/>
      <c r="AD490" s="579"/>
      <c r="AE490" s="580"/>
      <c r="AF490" s="576"/>
      <c r="AG490" s="576"/>
      <c r="AH490" s="579"/>
      <c r="AK490" s="617">
        <f t="shared" si="518"/>
        <v>0</v>
      </c>
    </row>
    <row r="491" spans="1:37" s="569" customFormat="1">
      <c r="A491" s="558" t="s">
        <v>14122</v>
      </c>
      <c r="B491" s="559" t="str">
        <f>PLANILHA!D488</f>
        <v>FACHADA</v>
      </c>
      <c r="C491" s="560"/>
      <c r="D491" s="561"/>
      <c r="E491" s="561"/>
      <c r="F491" s="562">
        <f t="shared" ref="F491:F496" si="532">VLOOKUP(A491,PLANILHA,$G$6,0)</f>
        <v>0</v>
      </c>
      <c r="G491" s="563"/>
      <c r="H491" s="564"/>
      <c r="I491" s="564"/>
      <c r="J491" s="564"/>
      <c r="K491" s="564"/>
      <c r="L491" s="564"/>
      <c r="M491" s="564"/>
      <c r="N491" s="564"/>
      <c r="O491" s="564"/>
      <c r="P491" s="564"/>
      <c r="Q491" s="564"/>
      <c r="R491" s="565"/>
      <c r="S491" s="566"/>
      <c r="T491" s="564"/>
      <c r="U491" s="564"/>
      <c r="V491" s="564"/>
      <c r="W491" s="564"/>
      <c r="X491" s="564"/>
      <c r="Y491" s="564"/>
      <c r="Z491" s="564"/>
      <c r="AA491" s="564"/>
      <c r="AB491" s="564"/>
      <c r="AC491" s="564"/>
      <c r="AD491" s="567"/>
      <c r="AE491" s="563"/>
      <c r="AF491" s="564"/>
      <c r="AG491" s="564"/>
      <c r="AH491" s="567"/>
      <c r="AI491" s="568"/>
      <c r="AK491" s="617">
        <f t="shared" si="518"/>
        <v>0</v>
      </c>
    </row>
    <row r="492" spans="1:37">
      <c r="A492" s="570" t="s">
        <v>14123</v>
      </c>
      <c r="B492" s="571" t="str">
        <f>PLANILHA!D490</f>
        <v>MARQUISE E PILARES ENTRADA PRINCIPAL</v>
      </c>
      <c r="C492" s="572"/>
      <c r="D492" s="573"/>
      <c r="E492" s="573"/>
      <c r="F492" s="574">
        <f t="shared" si="532"/>
        <v>0</v>
      </c>
      <c r="G492" s="580"/>
      <c r="H492" s="576"/>
      <c r="I492" s="576"/>
      <c r="J492" s="576"/>
      <c r="K492" s="576"/>
      <c r="L492" s="576"/>
      <c r="M492" s="576"/>
      <c r="N492" s="576"/>
      <c r="O492" s="576"/>
      <c r="P492" s="576"/>
      <c r="Q492" s="576"/>
      <c r="R492" s="577"/>
      <c r="S492" s="578"/>
      <c r="T492" s="576"/>
      <c r="U492" s="576"/>
      <c r="V492" s="576"/>
      <c r="W492" s="576"/>
      <c r="X492" s="576"/>
      <c r="Y492" s="576"/>
      <c r="Z492" s="576"/>
      <c r="AA492" s="576"/>
      <c r="AB492" s="576"/>
      <c r="AC492" s="576"/>
      <c r="AD492" s="579"/>
      <c r="AE492" s="580"/>
      <c r="AF492" s="576"/>
      <c r="AG492" s="576"/>
      <c r="AH492" s="579"/>
      <c r="AK492" s="617">
        <f t="shared" si="518"/>
        <v>0</v>
      </c>
    </row>
    <row r="493" spans="1:37">
      <c r="A493" s="570" t="s">
        <v>14216</v>
      </c>
      <c r="B493" s="571" t="str">
        <f>PLANILHA!D491</f>
        <v>SERVIÇOS PRELIMINARES</v>
      </c>
      <c r="C493" s="572"/>
      <c r="D493" s="573"/>
      <c r="E493" s="573"/>
      <c r="F493" s="574">
        <f t="shared" si="532"/>
        <v>0</v>
      </c>
      <c r="G493" s="580"/>
      <c r="H493" s="576"/>
      <c r="I493" s="576"/>
      <c r="J493" s="576"/>
      <c r="K493" s="576"/>
      <c r="L493" s="576"/>
      <c r="M493" s="576"/>
      <c r="N493" s="576"/>
      <c r="O493" s="576"/>
      <c r="P493" s="576"/>
      <c r="Q493" s="576"/>
      <c r="R493" s="577"/>
      <c r="S493" s="578"/>
      <c r="T493" s="576"/>
      <c r="U493" s="576"/>
      <c r="V493" s="576"/>
      <c r="W493" s="576"/>
      <c r="X493" s="576"/>
      <c r="Y493" s="576"/>
      <c r="Z493" s="576"/>
      <c r="AA493" s="576"/>
      <c r="AB493" s="576"/>
      <c r="AC493" s="576"/>
      <c r="AD493" s="579"/>
      <c r="AE493" s="580"/>
      <c r="AF493" s="576"/>
      <c r="AG493" s="576"/>
      <c r="AH493" s="579"/>
      <c r="AK493" s="617">
        <f t="shared" si="518"/>
        <v>0</v>
      </c>
    </row>
    <row r="494" spans="1:37" ht="30">
      <c r="A494" s="570" t="s">
        <v>14217</v>
      </c>
      <c r="B494" s="571" t="str">
        <f>PLANILHA!D492</f>
        <v>ESCAVAÇÃO MANUAL DE VALA PARA VIGA BALDRAME (SEM ESCAVAÇÃO PARA COLOCAÇÃO DE FÔRMAS). AF_06/2017</v>
      </c>
      <c r="C494" s="572" t="str">
        <f>PLANILHA!E492</f>
        <v>M3</v>
      </c>
      <c r="D494" s="573">
        <f>PLANILHA!F492</f>
        <v>4.13</v>
      </c>
      <c r="E494" s="573">
        <f>VLOOKUP(A494,PLANILHA,$G$7,0)</f>
        <v>295.01</v>
      </c>
      <c r="F494" s="574">
        <f t="shared" si="532"/>
        <v>1218.3900000000001</v>
      </c>
      <c r="G494" s="580"/>
      <c r="H494" s="576">
        <f t="shared" ref="H494:H501" si="533">G494*$E494</f>
        <v>0</v>
      </c>
      <c r="I494" s="576"/>
      <c r="J494" s="576">
        <f t="shared" ref="J494:J501" si="534">I494*$E494</f>
        <v>0</v>
      </c>
      <c r="K494" s="576"/>
      <c r="L494" s="576">
        <f t="shared" ref="L494:L501" si="535">K494*$E494</f>
        <v>0</v>
      </c>
      <c r="M494" s="576"/>
      <c r="N494" s="576">
        <f t="shared" ref="N494:N501" si="536">M494*$E494</f>
        <v>0</v>
      </c>
      <c r="O494" s="576"/>
      <c r="P494" s="576">
        <f t="shared" ref="P494:P501" si="537">O494*$E494</f>
        <v>0</v>
      </c>
      <c r="Q494" s="576"/>
      <c r="R494" s="577">
        <f t="shared" ref="R494:R501" si="538">Q494*$E494</f>
        <v>0</v>
      </c>
      <c r="S494" s="578"/>
      <c r="T494" s="576">
        <f t="shared" ref="T494:T501" si="539">S494*$E494</f>
        <v>0</v>
      </c>
      <c r="U494" s="576"/>
      <c r="V494" s="576">
        <f t="shared" ref="V494:V501" si="540">U494*$E494</f>
        <v>0</v>
      </c>
      <c r="W494" s="576">
        <f>D494</f>
        <v>4.13</v>
      </c>
      <c r="X494" s="576">
        <f>TRUNC(W494*$E494,2)</f>
        <v>1218.3900000000001</v>
      </c>
      <c r="Y494" s="576"/>
      <c r="Z494" s="576">
        <f t="shared" ref="Z494:Z501" si="541">Y494*$E494</f>
        <v>0</v>
      </c>
      <c r="AA494" s="576"/>
      <c r="AB494" s="576">
        <f t="shared" ref="AB494:AB501" si="542">AA494*$E494</f>
        <v>0</v>
      </c>
      <c r="AC494" s="576"/>
      <c r="AD494" s="579">
        <f t="shared" ref="AD494:AD501" si="543">AC494*$E494</f>
        <v>0</v>
      </c>
      <c r="AE494" s="580">
        <f t="shared" ref="AE494:AE501" si="544">AC494+AA494+Y494+W494+U494+S494+Q494+O494+M494+K494+I494+G494</f>
        <v>4.13</v>
      </c>
      <c r="AF494" s="576">
        <f t="shared" ref="AF494:AF495" si="545">TRUNC(AE494*E494,2)</f>
        <v>1218.3900000000001</v>
      </c>
      <c r="AG494" s="576">
        <f t="shared" ref="AG494:AG501" si="546">D494-AE494</f>
        <v>0</v>
      </c>
      <c r="AH494" s="579">
        <f t="shared" ref="AH494:AH501" si="547">AG494*E494</f>
        <v>0</v>
      </c>
      <c r="AJ494" s="617"/>
      <c r="AK494" s="617">
        <f t="shared" si="518"/>
        <v>0</v>
      </c>
    </row>
    <row r="495" spans="1:37" ht="30">
      <c r="A495" s="570" t="s">
        <v>14218</v>
      </c>
      <c r="B495" s="571" t="str">
        <f>PLANILHA!D493</f>
        <v>PREPARO DE FUNDO DE VALA COM LARGURA MENOR QUE 1,5 M (ACERTO DO SOLO NATURAL). AF_08/2020</v>
      </c>
      <c r="C495" s="572" t="str">
        <f>PLANILHA!E493</f>
        <v>M2</v>
      </c>
      <c r="D495" s="573">
        <f>PLANILHA!F493</f>
        <v>1.36</v>
      </c>
      <c r="E495" s="573">
        <f>VLOOKUP(A495,PLANILHA,$G$7,0)</f>
        <v>5.94</v>
      </c>
      <c r="F495" s="574">
        <f t="shared" si="532"/>
        <v>8.07</v>
      </c>
      <c r="G495" s="580"/>
      <c r="H495" s="576">
        <f t="shared" si="533"/>
        <v>0</v>
      </c>
      <c r="I495" s="576"/>
      <c r="J495" s="576">
        <f t="shared" si="534"/>
        <v>0</v>
      </c>
      <c r="K495" s="576"/>
      <c r="L495" s="576">
        <f t="shared" si="535"/>
        <v>0</v>
      </c>
      <c r="M495" s="576"/>
      <c r="N495" s="576">
        <f t="shared" si="536"/>
        <v>0</v>
      </c>
      <c r="O495" s="576"/>
      <c r="P495" s="576">
        <f t="shared" si="537"/>
        <v>0</v>
      </c>
      <c r="Q495" s="576"/>
      <c r="R495" s="577">
        <f t="shared" si="538"/>
        <v>0</v>
      </c>
      <c r="S495" s="578"/>
      <c r="T495" s="576">
        <f t="shared" si="539"/>
        <v>0</v>
      </c>
      <c r="U495" s="576"/>
      <c r="V495" s="576">
        <f t="shared" si="540"/>
        <v>0</v>
      </c>
      <c r="W495" s="576">
        <f>D495</f>
        <v>1.36</v>
      </c>
      <c r="X495" s="576">
        <f>TRUNC(W495*$E495,2)</f>
        <v>8.07</v>
      </c>
      <c r="Y495" s="576"/>
      <c r="Z495" s="576">
        <f t="shared" si="541"/>
        <v>0</v>
      </c>
      <c r="AA495" s="576"/>
      <c r="AB495" s="576">
        <f t="shared" si="542"/>
        <v>0</v>
      </c>
      <c r="AC495" s="576"/>
      <c r="AD495" s="579">
        <f t="shared" si="543"/>
        <v>0</v>
      </c>
      <c r="AE495" s="580">
        <f t="shared" si="544"/>
        <v>1.36</v>
      </c>
      <c r="AF495" s="576">
        <f t="shared" si="545"/>
        <v>8.07</v>
      </c>
      <c r="AG495" s="576">
        <f t="shared" si="546"/>
        <v>0</v>
      </c>
      <c r="AH495" s="579">
        <f t="shared" si="547"/>
        <v>0</v>
      </c>
      <c r="AJ495" s="617"/>
      <c r="AK495" s="617">
        <f t="shared" si="518"/>
        <v>0</v>
      </c>
    </row>
    <row r="496" spans="1:37" s="569" customFormat="1">
      <c r="A496" s="581" t="s">
        <v>27255</v>
      </c>
      <c r="B496" s="582"/>
      <c r="C496" s="583"/>
      <c r="D496" s="584"/>
      <c r="E496" s="584"/>
      <c r="F496" s="585">
        <f t="shared" si="532"/>
        <v>1226.46</v>
      </c>
      <c r="G496" s="586"/>
      <c r="H496" s="584">
        <f>SUM(H494:H495)</f>
        <v>0</v>
      </c>
      <c r="I496" s="584"/>
      <c r="J496" s="584">
        <f>SUM(J494:J495)</f>
        <v>0</v>
      </c>
      <c r="K496" s="584"/>
      <c r="L496" s="584">
        <f>SUM(L494:L495)</f>
        <v>0</v>
      </c>
      <c r="M496" s="584"/>
      <c r="N496" s="584">
        <f>SUM(N494:N495)</f>
        <v>0</v>
      </c>
      <c r="O496" s="584"/>
      <c r="P496" s="584">
        <f>SUM(P494:P495)</f>
        <v>0</v>
      </c>
      <c r="Q496" s="584"/>
      <c r="R496" s="587">
        <f>SUM(R494:R495)</f>
        <v>0</v>
      </c>
      <c r="S496" s="588"/>
      <c r="T496" s="584">
        <f>SUM(T494:T495)</f>
        <v>0</v>
      </c>
      <c r="U496" s="584"/>
      <c r="V496" s="584">
        <f>SUM(V494:V495)</f>
        <v>0</v>
      </c>
      <c r="W496" s="584"/>
      <c r="X496" s="584">
        <f>SUM(X494:X495)</f>
        <v>1226.46</v>
      </c>
      <c r="Y496" s="584"/>
      <c r="Z496" s="584">
        <f>SUM(Z494:Z495)</f>
        <v>0</v>
      </c>
      <c r="AA496" s="584"/>
      <c r="AB496" s="584">
        <f>SUM(AB494:AB495)</f>
        <v>0</v>
      </c>
      <c r="AC496" s="584"/>
      <c r="AD496" s="585">
        <f>SUM(AD494:AD495)</f>
        <v>0</v>
      </c>
      <c r="AE496" s="590"/>
      <c r="AF496" s="584">
        <f>SUM(AF494:AF495)</f>
        <v>1226.46</v>
      </c>
      <c r="AG496" s="591"/>
      <c r="AH496" s="585">
        <f>SUM(AH494:AH495)</f>
        <v>0</v>
      </c>
      <c r="AI496" s="568"/>
      <c r="AJ496" s="617"/>
      <c r="AK496" s="617">
        <f t="shared" si="518"/>
        <v>0</v>
      </c>
    </row>
    <row r="497" spans="1:37">
      <c r="A497" s="570"/>
      <c r="B497" s="571"/>
      <c r="C497" s="572"/>
      <c r="D497" s="573"/>
      <c r="E497" s="573"/>
      <c r="F497" s="574"/>
      <c r="G497" s="580"/>
      <c r="H497" s="576"/>
      <c r="I497" s="576"/>
      <c r="J497" s="576"/>
      <c r="K497" s="576"/>
      <c r="L497" s="576"/>
      <c r="M497" s="576"/>
      <c r="N497" s="576"/>
      <c r="O497" s="576"/>
      <c r="P497" s="576"/>
      <c r="Q497" s="576"/>
      <c r="R497" s="577"/>
      <c r="S497" s="578"/>
      <c r="T497" s="576"/>
      <c r="U497" s="576"/>
      <c r="V497" s="576"/>
      <c r="W497" s="576"/>
      <c r="X497" s="576"/>
      <c r="Y497" s="576"/>
      <c r="Z497" s="576"/>
      <c r="AA497" s="576"/>
      <c r="AB497" s="576"/>
      <c r="AC497" s="576"/>
      <c r="AD497" s="579"/>
      <c r="AE497" s="580"/>
      <c r="AF497" s="576"/>
      <c r="AG497" s="576"/>
      <c r="AH497" s="579"/>
      <c r="AJ497" s="617"/>
      <c r="AK497" s="617">
        <f t="shared" si="518"/>
        <v>0</v>
      </c>
    </row>
    <row r="498" spans="1:37">
      <c r="A498" s="570" t="s">
        <v>14219</v>
      </c>
      <c r="B498" s="571" t="str">
        <f>PLANILHA!D496</f>
        <v>FUNDAÇÃO MARQUISE E PILARES METALICOS</v>
      </c>
      <c r="C498" s="572"/>
      <c r="D498" s="573"/>
      <c r="E498" s="573"/>
      <c r="F498" s="574">
        <f t="shared" ref="F498:F507" si="548">VLOOKUP(A498,PLANILHA,$G$6,0)</f>
        <v>0</v>
      </c>
      <c r="G498" s="580"/>
      <c r="H498" s="576"/>
      <c r="I498" s="576"/>
      <c r="J498" s="576"/>
      <c r="K498" s="576"/>
      <c r="L498" s="576"/>
      <c r="M498" s="576"/>
      <c r="N498" s="576"/>
      <c r="O498" s="576"/>
      <c r="P498" s="576"/>
      <c r="Q498" s="576"/>
      <c r="R498" s="577"/>
      <c r="S498" s="578"/>
      <c r="T498" s="576"/>
      <c r="U498" s="576"/>
      <c r="V498" s="576"/>
      <c r="W498" s="576"/>
      <c r="X498" s="576"/>
      <c r="Y498" s="576"/>
      <c r="Z498" s="576"/>
      <c r="AA498" s="576"/>
      <c r="AB498" s="576"/>
      <c r="AC498" s="576"/>
      <c r="AD498" s="579"/>
      <c r="AE498" s="580"/>
      <c r="AF498" s="576"/>
      <c r="AG498" s="576"/>
      <c r="AH498" s="579"/>
      <c r="AJ498" s="617"/>
      <c r="AK498" s="617">
        <f t="shared" si="518"/>
        <v>0</v>
      </c>
    </row>
    <row r="499" spans="1:37" ht="45">
      <c r="A499" s="570" t="s">
        <v>14220</v>
      </c>
      <c r="B499" s="571" t="str">
        <f>PLANILHA!D497</f>
        <v>CONCRETO MAGRO PARA LASTRO, TRAÇO 1:4,5:4,5 (EM MASSA SECA DE CIMENTO/ AREIA MÉDIA/ SEIXO ROLADO) - PREPARO MECÂNICO COM BETONEIRA 400 L. AF_05/2021</v>
      </c>
      <c r="C499" s="572" t="str">
        <f>PLANILHA!E497</f>
        <v>M3</v>
      </c>
      <c r="D499" s="573">
        <f>PLANILHA!F497</f>
        <v>9.9599999999999994E-2</v>
      </c>
      <c r="E499" s="573">
        <f t="shared" ref="E499:E506" si="549">VLOOKUP(A499,PLANILHA,$G$7,0)</f>
        <v>558.29999999999995</v>
      </c>
      <c r="F499" s="574">
        <f t="shared" si="548"/>
        <v>55.6</v>
      </c>
      <c r="G499" s="580"/>
      <c r="H499" s="576">
        <f t="shared" si="533"/>
        <v>0</v>
      </c>
      <c r="I499" s="576"/>
      <c r="J499" s="576">
        <f t="shared" si="534"/>
        <v>0</v>
      </c>
      <c r="K499" s="576"/>
      <c r="L499" s="576">
        <f t="shared" si="535"/>
        <v>0</v>
      </c>
      <c r="M499" s="576"/>
      <c r="N499" s="576">
        <f t="shared" si="536"/>
        <v>0</v>
      </c>
      <c r="O499" s="576"/>
      <c r="P499" s="576">
        <f t="shared" si="537"/>
        <v>0</v>
      </c>
      <c r="Q499" s="576"/>
      <c r="R499" s="577">
        <f t="shared" si="538"/>
        <v>0</v>
      </c>
      <c r="S499" s="578"/>
      <c r="T499" s="576">
        <f t="shared" si="539"/>
        <v>0</v>
      </c>
      <c r="U499" s="576"/>
      <c r="V499" s="576">
        <f t="shared" si="540"/>
        <v>0</v>
      </c>
      <c r="W499" s="576">
        <f>D499</f>
        <v>9.9599999999999994E-2</v>
      </c>
      <c r="X499" s="576">
        <f t="shared" ref="X499:X506" si="550">TRUNC(W499*$E499,2)</f>
        <v>55.6</v>
      </c>
      <c r="Y499" s="576"/>
      <c r="Z499" s="576">
        <f t="shared" si="541"/>
        <v>0</v>
      </c>
      <c r="AA499" s="576"/>
      <c r="AB499" s="576">
        <f t="shared" si="542"/>
        <v>0</v>
      </c>
      <c r="AC499" s="576"/>
      <c r="AD499" s="579">
        <f t="shared" si="543"/>
        <v>0</v>
      </c>
      <c r="AE499" s="580">
        <f t="shared" si="544"/>
        <v>9.9599999999999994E-2</v>
      </c>
      <c r="AF499" s="576">
        <f t="shared" ref="AF499:AF506" si="551">TRUNC(AE499*E499,2)</f>
        <v>55.6</v>
      </c>
      <c r="AG499" s="576">
        <f t="shared" si="546"/>
        <v>0</v>
      </c>
      <c r="AH499" s="579">
        <f t="shared" si="547"/>
        <v>0</v>
      </c>
      <c r="AJ499" s="617"/>
      <c r="AK499" s="617">
        <f t="shared" si="518"/>
        <v>0</v>
      </c>
    </row>
    <row r="500" spans="1:37" ht="30">
      <c r="A500" s="570" t="s">
        <v>14221</v>
      </c>
      <c r="B500" s="571" t="str">
        <f>PLANILHA!D498</f>
        <v>CONCRETAGEM DE SAPATAS, FCK 30 MPA, COM USO DE BOMBA  LANÇAMENTO, ADENSAMENTO E ACABAMENTO. AF_11/2016</v>
      </c>
      <c r="C500" s="572" t="str">
        <f>PLANILHA!E498</f>
        <v>M3</v>
      </c>
      <c r="D500" s="573">
        <f>PLANILHA!F498</f>
        <v>5.48</v>
      </c>
      <c r="E500" s="573">
        <f t="shared" si="549"/>
        <v>867.34</v>
      </c>
      <c r="F500" s="574">
        <f t="shared" si="548"/>
        <v>4753.0200000000004</v>
      </c>
      <c r="G500" s="580"/>
      <c r="H500" s="576">
        <f t="shared" si="533"/>
        <v>0</v>
      </c>
      <c r="I500" s="576"/>
      <c r="J500" s="576">
        <f t="shared" si="534"/>
        <v>0</v>
      </c>
      <c r="K500" s="576"/>
      <c r="L500" s="576">
        <f t="shared" si="535"/>
        <v>0</v>
      </c>
      <c r="M500" s="576"/>
      <c r="N500" s="576">
        <f t="shared" si="536"/>
        <v>0</v>
      </c>
      <c r="O500" s="576"/>
      <c r="P500" s="576">
        <f t="shared" si="537"/>
        <v>0</v>
      </c>
      <c r="Q500" s="576"/>
      <c r="R500" s="577">
        <f t="shared" si="538"/>
        <v>0</v>
      </c>
      <c r="S500" s="578"/>
      <c r="T500" s="576">
        <f t="shared" si="539"/>
        <v>0</v>
      </c>
      <c r="U500" s="576"/>
      <c r="V500" s="576">
        <f t="shared" si="540"/>
        <v>0</v>
      </c>
      <c r="W500" s="576">
        <f t="shared" ref="W500:W506" si="552">D500</f>
        <v>5.48</v>
      </c>
      <c r="X500" s="576">
        <f t="shared" si="550"/>
        <v>4753.0200000000004</v>
      </c>
      <c r="Y500" s="576"/>
      <c r="Z500" s="576">
        <f t="shared" si="541"/>
        <v>0</v>
      </c>
      <c r="AA500" s="576"/>
      <c r="AB500" s="576">
        <f t="shared" si="542"/>
        <v>0</v>
      </c>
      <c r="AC500" s="576"/>
      <c r="AD500" s="579">
        <f t="shared" si="543"/>
        <v>0</v>
      </c>
      <c r="AE500" s="580">
        <f t="shared" si="544"/>
        <v>5.48</v>
      </c>
      <c r="AF500" s="576">
        <f t="shared" si="551"/>
        <v>4753.0200000000004</v>
      </c>
      <c r="AG500" s="576">
        <f t="shared" si="546"/>
        <v>0</v>
      </c>
      <c r="AH500" s="579">
        <f t="shared" si="547"/>
        <v>0</v>
      </c>
      <c r="AJ500" s="617"/>
      <c r="AK500" s="617">
        <f t="shared" si="518"/>
        <v>0</v>
      </c>
    </row>
    <row r="501" spans="1:37" ht="30">
      <c r="A501" s="570" t="s">
        <v>14222</v>
      </c>
      <c r="B501" s="571" t="str">
        <f>PLANILHA!D499</f>
        <v>ARMAÇÃO DE BLOCO, VIGA BALDRAME E SAPATA UTILIZANDO AÇO CA-60 DE 5 MM - MONTAGEM. AF_06/2017</v>
      </c>
      <c r="C501" s="572" t="str">
        <f>PLANILHA!E499</f>
        <v>KG</v>
      </c>
      <c r="D501" s="573">
        <f>PLANILHA!F499</f>
        <v>123.8</v>
      </c>
      <c r="E501" s="573">
        <f t="shared" si="549"/>
        <v>22.55</v>
      </c>
      <c r="F501" s="574">
        <f t="shared" si="548"/>
        <v>2791.69</v>
      </c>
      <c r="G501" s="580"/>
      <c r="H501" s="576">
        <f t="shared" si="533"/>
        <v>0</v>
      </c>
      <c r="I501" s="576"/>
      <c r="J501" s="576">
        <f t="shared" si="534"/>
        <v>0</v>
      </c>
      <c r="K501" s="576"/>
      <c r="L501" s="576">
        <f t="shared" si="535"/>
        <v>0</v>
      </c>
      <c r="M501" s="576"/>
      <c r="N501" s="576">
        <f t="shared" si="536"/>
        <v>0</v>
      </c>
      <c r="O501" s="576"/>
      <c r="P501" s="576">
        <f t="shared" si="537"/>
        <v>0</v>
      </c>
      <c r="Q501" s="576"/>
      <c r="R501" s="577">
        <f t="shared" si="538"/>
        <v>0</v>
      </c>
      <c r="S501" s="578"/>
      <c r="T501" s="576">
        <f t="shared" si="539"/>
        <v>0</v>
      </c>
      <c r="U501" s="576"/>
      <c r="V501" s="576">
        <f t="shared" si="540"/>
        <v>0</v>
      </c>
      <c r="W501" s="576">
        <f t="shared" si="552"/>
        <v>123.8</v>
      </c>
      <c r="X501" s="576">
        <f t="shared" si="550"/>
        <v>2791.69</v>
      </c>
      <c r="Y501" s="576"/>
      <c r="Z501" s="576">
        <f t="shared" si="541"/>
        <v>0</v>
      </c>
      <c r="AA501" s="576"/>
      <c r="AB501" s="576">
        <f t="shared" si="542"/>
        <v>0</v>
      </c>
      <c r="AC501" s="576"/>
      <c r="AD501" s="579">
        <f t="shared" si="543"/>
        <v>0</v>
      </c>
      <c r="AE501" s="580">
        <f t="shared" si="544"/>
        <v>123.8</v>
      </c>
      <c r="AF501" s="576">
        <f t="shared" si="551"/>
        <v>2791.69</v>
      </c>
      <c r="AG501" s="576">
        <f t="shared" si="546"/>
        <v>0</v>
      </c>
      <c r="AH501" s="579">
        <f t="shared" si="547"/>
        <v>0</v>
      </c>
      <c r="AJ501" s="617"/>
      <c r="AK501" s="617">
        <f t="shared" si="518"/>
        <v>0</v>
      </c>
    </row>
    <row r="502" spans="1:37" ht="30">
      <c r="A502" s="570" t="s">
        <v>14481</v>
      </c>
      <c r="B502" s="571" t="str">
        <f>PLANILHA!D500</f>
        <v>ARMAÇÃO DE BLOCO, VIGA BALDRAME OU SAPATA UTILIZANDO AÇO CA-50 DE 8 MM - MONTAGEM. AF_06/2017</v>
      </c>
      <c r="C502" s="572" t="str">
        <f>PLANILHA!E500</f>
        <v>KG</v>
      </c>
      <c r="D502" s="573">
        <f>PLANILHA!F500</f>
        <v>42.400000000000006</v>
      </c>
      <c r="E502" s="573">
        <f t="shared" si="549"/>
        <v>20.21</v>
      </c>
      <c r="F502" s="574">
        <f t="shared" si="548"/>
        <v>856.9</v>
      </c>
      <c r="G502" s="580"/>
      <c r="H502" s="576">
        <f>G502*$E502</f>
        <v>0</v>
      </c>
      <c r="I502" s="576"/>
      <c r="J502" s="576">
        <f>I502*$E502</f>
        <v>0</v>
      </c>
      <c r="K502" s="576"/>
      <c r="L502" s="576">
        <f>K502*$E502</f>
        <v>0</v>
      </c>
      <c r="M502" s="576"/>
      <c r="N502" s="576">
        <f>M502*$E502</f>
        <v>0</v>
      </c>
      <c r="O502" s="576"/>
      <c r="P502" s="576">
        <f>O502*$E502</f>
        <v>0</v>
      </c>
      <c r="Q502" s="576"/>
      <c r="R502" s="577">
        <f>Q502*$E502</f>
        <v>0</v>
      </c>
      <c r="S502" s="578"/>
      <c r="T502" s="576">
        <f>S502*$E502</f>
        <v>0</v>
      </c>
      <c r="U502" s="576"/>
      <c r="V502" s="576">
        <f>U502*$E502</f>
        <v>0</v>
      </c>
      <c r="W502" s="576">
        <f t="shared" si="552"/>
        <v>42.400000000000006</v>
      </c>
      <c r="X502" s="576">
        <f t="shared" si="550"/>
        <v>856.9</v>
      </c>
      <c r="Y502" s="576"/>
      <c r="Z502" s="576">
        <f>Y502*$E502</f>
        <v>0</v>
      </c>
      <c r="AA502" s="576"/>
      <c r="AB502" s="576">
        <f>AA502*$E502</f>
        <v>0</v>
      </c>
      <c r="AC502" s="576"/>
      <c r="AD502" s="579">
        <f>AC502*$E502</f>
        <v>0</v>
      </c>
      <c r="AE502" s="580">
        <f>AC502+AA502+Y502+W502+U502+S502+Q502+O502+M502+K502+I502+G502</f>
        <v>42.400000000000006</v>
      </c>
      <c r="AF502" s="576">
        <f t="shared" si="551"/>
        <v>856.9</v>
      </c>
      <c r="AG502" s="576">
        <f>D502-AE502</f>
        <v>0</v>
      </c>
      <c r="AH502" s="579">
        <f>AG502*E502</f>
        <v>0</v>
      </c>
      <c r="AJ502" s="617"/>
      <c r="AK502" s="617">
        <f t="shared" si="518"/>
        <v>0</v>
      </c>
    </row>
    <row r="503" spans="1:37" ht="30">
      <c r="A503" s="570" t="s">
        <v>14223</v>
      </c>
      <c r="B503" s="571" t="str">
        <f>PLANILHA!D501</f>
        <v>ARMAÇÃO DE BLOCO, VIGA BALDRAME OU SAPATA UTILIZANDO AÇO CA-50 DE 10 MM - MONTAGEM. AF_06/2017</v>
      </c>
      <c r="C503" s="572" t="str">
        <f>PLANILHA!E501</f>
        <v>KG</v>
      </c>
      <c r="D503" s="573">
        <f>PLANILHA!F501</f>
        <v>137.80000000000001</v>
      </c>
      <c r="E503" s="573">
        <f t="shared" si="549"/>
        <v>18.149999999999999</v>
      </c>
      <c r="F503" s="574">
        <f t="shared" si="548"/>
        <v>2501.0700000000002</v>
      </c>
      <c r="G503" s="580"/>
      <c r="H503" s="576">
        <f>G503*$E503</f>
        <v>0</v>
      </c>
      <c r="I503" s="576"/>
      <c r="J503" s="576">
        <f>I503*$E503</f>
        <v>0</v>
      </c>
      <c r="K503" s="576"/>
      <c r="L503" s="576">
        <f>K503*$E503</f>
        <v>0</v>
      </c>
      <c r="M503" s="576"/>
      <c r="N503" s="576">
        <f>M503*$E503</f>
        <v>0</v>
      </c>
      <c r="O503" s="576"/>
      <c r="P503" s="576">
        <f>O503*$E503</f>
        <v>0</v>
      </c>
      <c r="Q503" s="576"/>
      <c r="R503" s="577">
        <f>Q503*$E503</f>
        <v>0</v>
      </c>
      <c r="S503" s="578"/>
      <c r="T503" s="576">
        <f>S503*$E503</f>
        <v>0</v>
      </c>
      <c r="U503" s="576"/>
      <c r="V503" s="576">
        <f>U503*$E503</f>
        <v>0</v>
      </c>
      <c r="W503" s="576">
        <f t="shared" si="552"/>
        <v>137.80000000000001</v>
      </c>
      <c r="X503" s="576">
        <f t="shared" si="550"/>
        <v>2501.0700000000002</v>
      </c>
      <c r="Y503" s="576"/>
      <c r="Z503" s="576">
        <f>Y503*$E503</f>
        <v>0</v>
      </c>
      <c r="AA503" s="576"/>
      <c r="AB503" s="576">
        <f>AA503*$E503</f>
        <v>0</v>
      </c>
      <c r="AC503" s="576"/>
      <c r="AD503" s="579">
        <f>AC503*$E503</f>
        <v>0</v>
      </c>
      <c r="AE503" s="580">
        <f>AC503+AA503+Y503+W503+U503+S503+Q503+O503+M503+K503+I503+G503</f>
        <v>137.80000000000001</v>
      </c>
      <c r="AF503" s="576">
        <f t="shared" si="551"/>
        <v>2501.0700000000002</v>
      </c>
      <c r="AG503" s="576">
        <f>D503-AE503</f>
        <v>0</v>
      </c>
      <c r="AH503" s="579">
        <f>AG503*E503</f>
        <v>0</v>
      </c>
      <c r="AJ503" s="617"/>
      <c r="AK503" s="617">
        <f t="shared" si="518"/>
        <v>0</v>
      </c>
    </row>
    <row r="504" spans="1:37" ht="30">
      <c r="A504" s="570" t="s">
        <v>14224</v>
      </c>
      <c r="B504" s="571" t="str">
        <f>PLANILHA!D502</f>
        <v>FABRICAÇÃO DE FÔRMA PARA PILARES E ESTRUTURAS SIMILARES, EM CHAPA DE MADEIRA COMPENSADA RESINADA, E = 17 MM. AF_09/2020</v>
      </c>
      <c r="C504" s="572" t="str">
        <f>PLANILHA!E502</f>
        <v>M2</v>
      </c>
      <c r="D504" s="573">
        <f>PLANILHA!F502</f>
        <v>22.02</v>
      </c>
      <c r="E504" s="573">
        <f t="shared" si="549"/>
        <v>215.06</v>
      </c>
      <c r="F504" s="574">
        <f t="shared" si="548"/>
        <v>4735.62</v>
      </c>
      <c r="G504" s="580"/>
      <c r="H504" s="576">
        <f>G504*$E504</f>
        <v>0</v>
      </c>
      <c r="I504" s="576"/>
      <c r="J504" s="576">
        <f>I504*$E504</f>
        <v>0</v>
      </c>
      <c r="K504" s="576"/>
      <c r="L504" s="576">
        <f>K504*$E504</f>
        <v>0</v>
      </c>
      <c r="M504" s="576"/>
      <c r="N504" s="576">
        <f>M504*$E504</f>
        <v>0</v>
      </c>
      <c r="O504" s="576"/>
      <c r="P504" s="576">
        <f>O504*$E504</f>
        <v>0</v>
      </c>
      <c r="Q504" s="576"/>
      <c r="R504" s="577">
        <f>Q504*$E504</f>
        <v>0</v>
      </c>
      <c r="S504" s="578"/>
      <c r="T504" s="576">
        <f>S504*$E504</f>
        <v>0</v>
      </c>
      <c r="U504" s="576"/>
      <c r="V504" s="576">
        <f>U504*$E504</f>
        <v>0</v>
      </c>
      <c r="W504" s="576">
        <f t="shared" si="552"/>
        <v>22.02</v>
      </c>
      <c r="X504" s="576">
        <f t="shared" si="550"/>
        <v>4735.62</v>
      </c>
      <c r="Y504" s="576"/>
      <c r="Z504" s="576">
        <f>Y504*$E504</f>
        <v>0</v>
      </c>
      <c r="AA504" s="576"/>
      <c r="AB504" s="576">
        <f>AA504*$E504</f>
        <v>0</v>
      </c>
      <c r="AC504" s="576"/>
      <c r="AD504" s="579">
        <f>AC504*$E504</f>
        <v>0</v>
      </c>
      <c r="AE504" s="580">
        <f>AC504+AA504+Y504+W504+U504+S504+Q504+O504+M504+K504+I504+G504</f>
        <v>22.02</v>
      </c>
      <c r="AF504" s="576">
        <f t="shared" si="551"/>
        <v>4735.62</v>
      </c>
      <c r="AG504" s="576">
        <f>D504-AE504</f>
        <v>0</v>
      </c>
      <c r="AH504" s="579">
        <f>AG504*E504</f>
        <v>0</v>
      </c>
      <c r="AJ504" s="617"/>
      <c r="AK504" s="617">
        <f t="shared" si="518"/>
        <v>0</v>
      </c>
    </row>
    <row r="505" spans="1:37" ht="30">
      <c r="A505" s="570" t="s">
        <v>14225</v>
      </c>
      <c r="B505" s="571" t="str">
        <f>PLANILHA!D503</f>
        <v>IMPERMEABILIZAÇÃO DE SUPERFÍCIE COM EMULSÃO ASFÁLTICA, 2 DEMÃOS AF_06/2018</v>
      </c>
      <c r="C505" s="572" t="str">
        <f>PLANILHA!E503</f>
        <v>M2</v>
      </c>
      <c r="D505" s="573">
        <f>PLANILHA!F503</f>
        <v>22.02</v>
      </c>
      <c r="E505" s="573">
        <f t="shared" si="549"/>
        <v>71.89</v>
      </c>
      <c r="F505" s="574">
        <f t="shared" si="548"/>
        <v>1583.01</v>
      </c>
      <c r="G505" s="580"/>
      <c r="H505" s="576">
        <f t="shared" ref="H505:H511" si="553">G505*$E505</f>
        <v>0</v>
      </c>
      <c r="I505" s="576"/>
      <c r="J505" s="576">
        <f t="shared" ref="J505:J511" si="554">I505*$E505</f>
        <v>0</v>
      </c>
      <c r="K505" s="576"/>
      <c r="L505" s="576">
        <f t="shared" ref="L505:L511" si="555">K505*$E505</f>
        <v>0</v>
      </c>
      <c r="M505" s="576"/>
      <c r="N505" s="576">
        <f t="shared" ref="N505:N511" si="556">M505*$E505</f>
        <v>0</v>
      </c>
      <c r="O505" s="576"/>
      <c r="P505" s="576">
        <f t="shared" ref="P505:P511" si="557">O505*$E505</f>
        <v>0</v>
      </c>
      <c r="Q505" s="576"/>
      <c r="R505" s="577">
        <f t="shared" ref="R505:R511" si="558">Q505*$E505</f>
        <v>0</v>
      </c>
      <c r="S505" s="578"/>
      <c r="T505" s="576">
        <f t="shared" ref="T505:T511" si="559">S505*$E505</f>
        <v>0</v>
      </c>
      <c r="U505" s="576"/>
      <c r="V505" s="576">
        <f t="shared" ref="V505:V511" si="560">U505*$E505</f>
        <v>0</v>
      </c>
      <c r="W505" s="576">
        <f t="shared" si="552"/>
        <v>22.02</v>
      </c>
      <c r="X505" s="576">
        <f t="shared" si="550"/>
        <v>1583.01</v>
      </c>
      <c r="Y505" s="576"/>
      <c r="Z505" s="576">
        <f t="shared" ref="Z505:Z511" si="561">Y505*$E505</f>
        <v>0</v>
      </c>
      <c r="AA505" s="576"/>
      <c r="AB505" s="576">
        <f t="shared" ref="AB505:AB511" si="562">AA505*$E505</f>
        <v>0</v>
      </c>
      <c r="AC505" s="576"/>
      <c r="AD505" s="579">
        <f t="shared" ref="AD505:AD511" si="563">AC505*$E505</f>
        <v>0</v>
      </c>
      <c r="AE505" s="580">
        <f t="shared" ref="AE505:AE511" si="564">AC505+AA505+Y505+W505+U505+S505+Q505+O505+M505+K505+I505+G505</f>
        <v>22.02</v>
      </c>
      <c r="AF505" s="576">
        <f t="shared" si="551"/>
        <v>1583.01</v>
      </c>
      <c r="AG505" s="576">
        <f t="shared" ref="AG505:AG511" si="565">D505-AE505</f>
        <v>0</v>
      </c>
      <c r="AH505" s="579">
        <f t="shared" ref="AH505:AH511" si="566">AG505*E505</f>
        <v>0</v>
      </c>
      <c r="AJ505" s="617"/>
      <c r="AK505" s="617">
        <f t="shared" si="518"/>
        <v>0</v>
      </c>
    </row>
    <row r="506" spans="1:37" ht="45">
      <c r="A506" s="570" t="s">
        <v>14226</v>
      </c>
      <c r="B506" s="571" t="str">
        <f>PLANILHA!D504</f>
        <v>ESTACA HÉLICE CONTÍNUA, DIÂMETRO DE 30 CM, INCLUSO CONCRETO FCK=30MPA E ARMADURA MÍNIMA (EXCLUSIVE MOBILIZAÇÃO, DESMOBILIZAÇÃO E BOMBEAMENTO). AF_12/2019</v>
      </c>
      <c r="C506" s="572" t="str">
        <f>PLANILHA!E504</f>
        <v>M</v>
      </c>
      <c r="D506" s="573">
        <f>PLANILHA!F504</f>
        <v>37</v>
      </c>
      <c r="E506" s="573">
        <f t="shared" si="549"/>
        <v>170.66</v>
      </c>
      <c r="F506" s="574">
        <f t="shared" si="548"/>
        <v>6314.42</v>
      </c>
      <c r="G506" s="580"/>
      <c r="H506" s="576">
        <f t="shared" si="553"/>
        <v>0</v>
      </c>
      <c r="I506" s="576"/>
      <c r="J506" s="576">
        <f t="shared" si="554"/>
        <v>0</v>
      </c>
      <c r="K506" s="576"/>
      <c r="L506" s="576">
        <f t="shared" si="555"/>
        <v>0</v>
      </c>
      <c r="M506" s="576"/>
      <c r="N506" s="576">
        <f t="shared" si="556"/>
        <v>0</v>
      </c>
      <c r="O506" s="576"/>
      <c r="P506" s="576">
        <f t="shared" si="557"/>
        <v>0</v>
      </c>
      <c r="Q506" s="576"/>
      <c r="R506" s="577">
        <f t="shared" si="558"/>
        <v>0</v>
      </c>
      <c r="S506" s="578"/>
      <c r="T506" s="576">
        <f t="shared" si="559"/>
        <v>0</v>
      </c>
      <c r="U506" s="576"/>
      <c r="V506" s="576">
        <f t="shared" si="560"/>
        <v>0</v>
      </c>
      <c r="W506" s="576">
        <f t="shared" si="552"/>
        <v>37</v>
      </c>
      <c r="X506" s="576">
        <f t="shared" si="550"/>
        <v>6314.42</v>
      </c>
      <c r="Y506" s="576"/>
      <c r="Z506" s="576">
        <f t="shared" si="561"/>
        <v>0</v>
      </c>
      <c r="AA506" s="576"/>
      <c r="AB506" s="576">
        <f t="shared" si="562"/>
        <v>0</v>
      </c>
      <c r="AC506" s="576"/>
      <c r="AD506" s="579">
        <f t="shared" si="563"/>
        <v>0</v>
      </c>
      <c r="AE506" s="580">
        <f t="shared" si="564"/>
        <v>37</v>
      </c>
      <c r="AF506" s="576">
        <f t="shared" si="551"/>
        <v>6314.42</v>
      </c>
      <c r="AG506" s="576">
        <f t="shared" si="565"/>
        <v>0</v>
      </c>
      <c r="AH506" s="579">
        <f t="shared" si="566"/>
        <v>0</v>
      </c>
      <c r="AJ506" s="617"/>
      <c r="AK506" s="617">
        <f t="shared" si="518"/>
        <v>0</v>
      </c>
    </row>
    <row r="507" spans="1:37" s="569" customFormat="1">
      <c r="A507" s="581" t="s">
        <v>27256</v>
      </c>
      <c r="B507" s="582"/>
      <c r="C507" s="583"/>
      <c r="D507" s="584"/>
      <c r="E507" s="584"/>
      <c r="F507" s="585">
        <f t="shared" si="548"/>
        <v>23591.33</v>
      </c>
      <c r="G507" s="586"/>
      <c r="H507" s="584">
        <f>SUM(H499:H506)</f>
        <v>0</v>
      </c>
      <c r="I507" s="584"/>
      <c r="J507" s="584">
        <f>SUM(J499:J506)</f>
        <v>0</v>
      </c>
      <c r="K507" s="584"/>
      <c r="L507" s="584">
        <f>SUM(L499:L506)</f>
        <v>0</v>
      </c>
      <c r="M507" s="584"/>
      <c r="N507" s="584">
        <f>SUM(N499:N506)</f>
        <v>0</v>
      </c>
      <c r="O507" s="584"/>
      <c r="P507" s="584">
        <f>SUM(P499:P506)</f>
        <v>0</v>
      </c>
      <c r="Q507" s="584"/>
      <c r="R507" s="587">
        <f>SUM(R499:R506)</f>
        <v>0</v>
      </c>
      <c r="S507" s="588"/>
      <c r="T507" s="584">
        <f>SUM(T499:T506)</f>
        <v>0</v>
      </c>
      <c r="U507" s="584"/>
      <c r="V507" s="584">
        <f>SUM(V499:V506)</f>
        <v>0</v>
      </c>
      <c r="W507" s="584"/>
      <c r="X507" s="584">
        <f>SUM(X499:X506)</f>
        <v>23591.33</v>
      </c>
      <c r="Y507" s="584"/>
      <c r="Z507" s="584">
        <f>SUM(Z499:Z506)</f>
        <v>0</v>
      </c>
      <c r="AA507" s="584"/>
      <c r="AB507" s="584">
        <f>SUM(AB499:AB506)</f>
        <v>0</v>
      </c>
      <c r="AC507" s="584"/>
      <c r="AD507" s="585">
        <f>SUM(AD499:AD506)</f>
        <v>0</v>
      </c>
      <c r="AE507" s="590"/>
      <c r="AF507" s="584">
        <f>SUM(AF499:AF506)</f>
        <v>23591.33</v>
      </c>
      <c r="AG507" s="591"/>
      <c r="AH507" s="585">
        <f>SUM(AH499:AH506)</f>
        <v>0</v>
      </c>
      <c r="AI507" s="568"/>
      <c r="AJ507" s="617"/>
      <c r="AK507" s="617">
        <f t="shared" si="518"/>
        <v>0</v>
      </c>
    </row>
    <row r="508" spans="1:37">
      <c r="A508" s="570"/>
      <c r="B508" s="571"/>
      <c r="C508" s="572"/>
      <c r="D508" s="573"/>
      <c r="E508" s="573"/>
      <c r="F508" s="574"/>
      <c r="G508" s="580"/>
      <c r="H508" s="576"/>
      <c r="I508" s="576"/>
      <c r="J508" s="576"/>
      <c r="K508" s="576"/>
      <c r="L508" s="576"/>
      <c r="M508" s="576"/>
      <c r="N508" s="576"/>
      <c r="O508" s="576"/>
      <c r="P508" s="576"/>
      <c r="Q508" s="576"/>
      <c r="R508" s="577"/>
      <c r="S508" s="578"/>
      <c r="T508" s="576"/>
      <c r="U508" s="576"/>
      <c r="V508" s="576"/>
      <c r="W508" s="576"/>
      <c r="X508" s="576"/>
      <c r="Y508" s="576"/>
      <c r="Z508" s="576"/>
      <c r="AA508" s="576"/>
      <c r="AB508" s="576"/>
      <c r="AC508" s="576"/>
      <c r="AD508" s="579"/>
      <c r="AE508" s="580"/>
      <c r="AF508" s="576"/>
      <c r="AG508" s="576"/>
      <c r="AH508" s="579"/>
      <c r="AJ508" s="617"/>
      <c r="AK508" s="617">
        <f t="shared" si="518"/>
        <v>0</v>
      </c>
    </row>
    <row r="509" spans="1:37">
      <c r="A509" s="570" t="s">
        <v>14227</v>
      </c>
      <c r="B509" s="571" t="str">
        <f>PLANILHA!D507</f>
        <v>ESTRUTURA METALICA</v>
      </c>
      <c r="C509" s="572"/>
      <c r="D509" s="573"/>
      <c r="E509" s="573"/>
      <c r="F509" s="574">
        <f t="shared" ref="F509:F521" si="567">VLOOKUP(A509,PLANILHA,$G$6,0)</f>
        <v>0</v>
      </c>
      <c r="G509" s="580"/>
      <c r="H509" s="576"/>
      <c r="I509" s="576"/>
      <c r="J509" s="576"/>
      <c r="K509" s="576"/>
      <c r="L509" s="576"/>
      <c r="M509" s="576"/>
      <c r="N509" s="576"/>
      <c r="O509" s="576"/>
      <c r="P509" s="576"/>
      <c r="Q509" s="576"/>
      <c r="R509" s="577"/>
      <c r="S509" s="578"/>
      <c r="T509" s="576"/>
      <c r="U509" s="576"/>
      <c r="V509" s="576"/>
      <c r="W509" s="576"/>
      <c r="X509" s="576"/>
      <c r="Y509" s="576"/>
      <c r="Z509" s="576"/>
      <c r="AA509" s="576"/>
      <c r="AB509" s="576"/>
      <c r="AC509" s="576"/>
      <c r="AD509" s="579"/>
      <c r="AE509" s="580"/>
      <c r="AF509" s="576"/>
      <c r="AG509" s="576"/>
      <c r="AH509" s="579"/>
      <c r="AJ509" s="617"/>
      <c r="AK509" s="617">
        <f t="shared" si="518"/>
        <v>0</v>
      </c>
    </row>
    <row r="510" spans="1:37">
      <c r="A510" s="570" t="s">
        <v>14228</v>
      </c>
      <c r="B510" s="571" t="str">
        <f>PLANILHA!D508</f>
        <v>MARQUISE ENTRADA PRINCIPAL, FORNECIMENTO E INSTALAÇÃO.</v>
      </c>
      <c r="C510" s="572" t="str">
        <f>PLANILHA!E508</f>
        <v>UND</v>
      </c>
      <c r="D510" s="573">
        <f>PLANILHA!F508</f>
        <v>1</v>
      </c>
      <c r="E510" s="573">
        <f t="shared" ref="E510:E521" si="568">VLOOKUP(A510,PLANILHA,$G$7,0)</f>
        <v>35468.93</v>
      </c>
      <c r="F510" s="574">
        <f t="shared" si="567"/>
        <v>35468.93</v>
      </c>
      <c r="G510" s="580"/>
      <c r="H510" s="576">
        <f t="shared" si="553"/>
        <v>0</v>
      </c>
      <c r="I510" s="576"/>
      <c r="J510" s="576">
        <f t="shared" si="554"/>
        <v>0</v>
      </c>
      <c r="K510" s="576"/>
      <c r="L510" s="576">
        <f t="shared" si="555"/>
        <v>0</v>
      </c>
      <c r="M510" s="576"/>
      <c r="N510" s="576">
        <f t="shared" si="556"/>
        <v>0</v>
      </c>
      <c r="O510" s="576"/>
      <c r="P510" s="576">
        <f t="shared" si="557"/>
        <v>0</v>
      </c>
      <c r="Q510" s="576"/>
      <c r="R510" s="577">
        <f t="shared" si="558"/>
        <v>0</v>
      </c>
      <c r="S510" s="578"/>
      <c r="T510" s="576">
        <f t="shared" si="559"/>
        <v>0</v>
      </c>
      <c r="U510" s="576"/>
      <c r="V510" s="576">
        <f t="shared" si="560"/>
        <v>0</v>
      </c>
      <c r="W510" s="576">
        <f>D510</f>
        <v>1</v>
      </c>
      <c r="X510" s="576">
        <f t="shared" ref="X510:X517" si="569">TRUNC(W510*$E510,2)</f>
        <v>35468.93</v>
      </c>
      <c r="Y510" s="576"/>
      <c r="Z510" s="576">
        <f t="shared" si="561"/>
        <v>0</v>
      </c>
      <c r="AA510" s="576"/>
      <c r="AB510" s="576">
        <f t="shared" si="562"/>
        <v>0</v>
      </c>
      <c r="AC510" s="576"/>
      <c r="AD510" s="579">
        <f t="shared" si="563"/>
        <v>0</v>
      </c>
      <c r="AE510" s="580">
        <f t="shared" si="564"/>
        <v>1</v>
      </c>
      <c r="AF510" s="576">
        <f t="shared" ref="AF510:AF521" si="570">TRUNC(AE510*E510,2)</f>
        <v>35468.93</v>
      </c>
      <c r="AG510" s="576">
        <f t="shared" si="565"/>
        <v>0</v>
      </c>
      <c r="AH510" s="579">
        <f t="shared" si="566"/>
        <v>0</v>
      </c>
      <c r="AJ510" s="617"/>
      <c r="AK510" s="617">
        <f t="shared" si="518"/>
        <v>0</v>
      </c>
    </row>
    <row r="511" spans="1:37" ht="30">
      <c r="A511" s="570" t="s">
        <v>14229</v>
      </c>
      <c r="B511" s="571" t="str">
        <f>PLANILHA!D509</f>
        <v>REVESTIMENTO EM ACM (ALUMINIO COMPOSTO) FIXADO EM ESTRUTURA METALICA. FORNCECIMENTO E INSTALAÇÃO.</v>
      </c>
      <c r="C511" s="572" t="str">
        <f>PLANILHA!E509</f>
        <v>M²</v>
      </c>
      <c r="D511" s="573">
        <f>PLANILHA!F509</f>
        <v>62.769999999999996</v>
      </c>
      <c r="E511" s="573">
        <f t="shared" si="568"/>
        <v>138.05000000000001</v>
      </c>
      <c r="F511" s="574">
        <f t="shared" si="567"/>
        <v>8665.39</v>
      </c>
      <c r="G511" s="580"/>
      <c r="H511" s="576">
        <f t="shared" si="553"/>
        <v>0</v>
      </c>
      <c r="I511" s="576"/>
      <c r="J511" s="576">
        <f t="shared" si="554"/>
        <v>0</v>
      </c>
      <c r="K511" s="576"/>
      <c r="L511" s="576">
        <f t="shared" si="555"/>
        <v>0</v>
      </c>
      <c r="M511" s="576"/>
      <c r="N511" s="576">
        <f t="shared" si="556"/>
        <v>0</v>
      </c>
      <c r="O511" s="576"/>
      <c r="P511" s="576">
        <f t="shared" si="557"/>
        <v>0</v>
      </c>
      <c r="Q511" s="576"/>
      <c r="R511" s="577">
        <f t="shared" si="558"/>
        <v>0</v>
      </c>
      <c r="S511" s="578"/>
      <c r="T511" s="576">
        <f t="shared" si="559"/>
        <v>0</v>
      </c>
      <c r="U511" s="576"/>
      <c r="V511" s="576">
        <f t="shared" si="560"/>
        <v>0</v>
      </c>
      <c r="W511" s="576">
        <f t="shared" ref="W511:W517" si="571">D511</f>
        <v>62.769999999999996</v>
      </c>
      <c r="X511" s="576">
        <f t="shared" si="569"/>
        <v>8665.39</v>
      </c>
      <c r="Y511" s="576"/>
      <c r="Z511" s="576">
        <f t="shared" si="561"/>
        <v>0</v>
      </c>
      <c r="AA511" s="576"/>
      <c r="AB511" s="576">
        <f t="shared" si="562"/>
        <v>0</v>
      </c>
      <c r="AC511" s="576"/>
      <c r="AD511" s="579">
        <f t="shared" si="563"/>
        <v>0</v>
      </c>
      <c r="AE511" s="580">
        <f t="shared" si="564"/>
        <v>62.769999999999996</v>
      </c>
      <c r="AF511" s="576">
        <f t="shared" si="570"/>
        <v>8665.39</v>
      </c>
      <c r="AG511" s="576">
        <f t="shared" si="565"/>
        <v>0</v>
      </c>
      <c r="AH511" s="579">
        <f t="shared" si="566"/>
        <v>0</v>
      </c>
      <c r="AJ511" s="617"/>
      <c r="AK511" s="617">
        <f t="shared" si="518"/>
        <v>0</v>
      </c>
    </row>
    <row r="512" spans="1:37" ht="30">
      <c r="A512" s="570" t="s">
        <v>14477</v>
      </c>
      <c r="B512" s="571" t="str">
        <f>PLANILHA!D510</f>
        <v>PILARES ENTRADA PRINCIPAL , H=12,23 M - TIPO 01, FORNECIMENTO E INSTALAÇÃO.</v>
      </c>
      <c r="C512" s="572" t="str">
        <f>PLANILHA!E510</f>
        <v>UND</v>
      </c>
      <c r="D512" s="573">
        <f>PLANILHA!F510</f>
        <v>4</v>
      </c>
      <c r="E512" s="573">
        <f t="shared" si="568"/>
        <v>2992.54</v>
      </c>
      <c r="F512" s="574">
        <f t="shared" si="567"/>
        <v>11970.16</v>
      </c>
      <c r="G512" s="580"/>
      <c r="H512" s="576">
        <f t="shared" ref="H512:H521" si="572">G512*$E512</f>
        <v>0</v>
      </c>
      <c r="I512" s="576"/>
      <c r="J512" s="576">
        <f t="shared" ref="J512:J521" si="573">I512*$E512</f>
        <v>0</v>
      </c>
      <c r="K512" s="576"/>
      <c r="L512" s="576">
        <f t="shared" ref="L512:L521" si="574">K512*$E512</f>
        <v>0</v>
      </c>
      <c r="M512" s="576"/>
      <c r="N512" s="576">
        <f t="shared" ref="N512:N521" si="575">M512*$E512</f>
        <v>0</v>
      </c>
      <c r="O512" s="576"/>
      <c r="P512" s="576">
        <f t="shared" ref="P512:P521" si="576">O512*$E512</f>
        <v>0</v>
      </c>
      <c r="Q512" s="576"/>
      <c r="R512" s="577">
        <f t="shared" ref="R512:R521" si="577">Q512*$E512</f>
        <v>0</v>
      </c>
      <c r="S512" s="578"/>
      <c r="T512" s="576">
        <f t="shared" ref="T512:T521" si="578">S512*$E512</f>
        <v>0</v>
      </c>
      <c r="U512" s="576"/>
      <c r="V512" s="576">
        <f t="shared" ref="V512:V521" si="579">U512*$E512</f>
        <v>0</v>
      </c>
      <c r="W512" s="576">
        <f t="shared" si="571"/>
        <v>4</v>
      </c>
      <c r="X512" s="576">
        <f t="shared" si="569"/>
        <v>11970.16</v>
      </c>
      <c r="Y512" s="576"/>
      <c r="Z512" s="576">
        <f t="shared" ref="Z512:Z517" si="580">Y512*$E512</f>
        <v>0</v>
      </c>
      <c r="AA512" s="576"/>
      <c r="AB512" s="576">
        <f t="shared" ref="AB512:AB521" si="581">AA512*$E512</f>
        <v>0</v>
      </c>
      <c r="AC512" s="576"/>
      <c r="AD512" s="579">
        <f t="shared" ref="AD512:AD521" si="582">AC512*$E512</f>
        <v>0</v>
      </c>
      <c r="AE512" s="580">
        <f t="shared" ref="AE512:AE521" si="583">AC512+AA512+Y512+W512+U512+S512+Q512+O512+M512+K512+I512+G512</f>
        <v>4</v>
      </c>
      <c r="AF512" s="576">
        <f t="shared" si="570"/>
        <v>11970.16</v>
      </c>
      <c r="AG512" s="576">
        <f t="shared" ref="AG512:AG521" si="584">D512-AE512</f>
        <v>0</v>
      </c>
      <c r="AH512" s="579">
        <f t="shared" ref="AH512:AH521" si="585">AG512*E512</f>
        <v>0</v>
      </c>
      <c r="AJ512" s="617"/>
      <c r="AK512" s="617">
        <f t="shared" si="518"/>
        <v>0</v>
      </c>
    </row>
    <row r="513" spans="1:37" ht="30">
      <c r="A513" s="570" t="s">
        <v>14478</v>
      </c>
      <c r="B513" s="571" t="str">
        <f>PLANILHA!D511</f>
        <v>PILARES ENTRADA PRINCIPAL,  H=8,155 M  - TIPO 03, FORNECIMENTO E INSTALAÇÃO.</v>
      </c>
      <c r="C513" s="572" t="str">
        <f>PLANILHA!E511</f>
        <v>UND</v>
      </c>
      <c r="D513" s="573">
        <f>PLANILHA!F511</f>
        <v>1</v>
      </c>
      <c r="E513" s="573">
        <f t="shared" si="568"/>
        <v>2021.03</v>
      </c>
      <c r="F513" s="574">
        <f t="shared" si="567"/>
        <v>2021.03</v>
      </c>
      <c r="G513" s="580"/>
      <c r="H513" s="576">
        <f t="shared" si="572"/>
        <v>0</v>
      </c>
      <c r="I513" s="576"/>
      <c r="J513" s="576">
        <f t="shared" si="573"/>
        <v>0</v>
      </c>
      <c r="K513" s="576"/>
      <c r="L513" s="576">
        <f t="shared" si="574"/>
        <v>0</v>
      </c>
      <c r="M513" s="576"/>
      <c r="N513" s="576">
        <f t="shared" si="575"/>
        <v>0</v>
      </c>
      <c r="O513" s="576"/>
      <c r="P513" s="576">
        <f t="shared" si="576"/>
        <v>0</v>
      </c>
      <c r="Q513" s="576"/>
      <c r="R513" s="577">
        <f t="shared" si="577"/>
        <v>0</v>
      </c>
      <c r="S513" s="578"/>
      <c r="T513" s="576">
        <f t="shared" si="578"/>
        <v>0</v>
      </c>
      <c r="U513" s="576"/>
      <c r="V513" s="576">
        <f t="shared" si="579"/>
        <v>0</v>
      </c>
      <c r="W513" s="576">
        <f t="shared" si="571"/>
        <v>1</v>
      </c>
      <c r="X513" s="576">
        <f t="shared" si="569"/>
        <v>2021.03</v>
      </c>
      <c r="Y513" s="576"/>
      <c r="Z513" s="576">
        <f t="shared" si="580"/>
        <v>0</v>
      </c>
      <c r="AA513" s="576"/>
      <c r="AB513" s="576">
        <f t="shared" si="581"/>
        <v>0</v>
      </c>
      <c r="AC513" s="576"/>
      <c r="AD513" s="579">
        <f t="shared" si="582"/>
        <v>0</v>
      </c>
      <c r="AE513" s="580">
        <f t="shared" si="583"/>
        <v>1</v>
      </c>
      <c r="AF513" s="576">
        <f t="shared" si="570"/>
        <v>2021.03</v>
      </c>
      <c r="AG513" s="576">
        <f t="shared" si="584"/>
        <v>0</v>
      </c>
      <c r="AH513" s="579">
        <f t="shared" si="585"/>
        <v>0</v>
      </c>
      <c r="AJ513" s="617"/>
      <c r="AK513" s="617">
        <f t="shared" si="518"/>
        <v>0</v>
      </c>
    </row>
    <row r="514" spans="1:37" ht="30">
      <c r="A514" s="570" t="s">
        <v>14479</v>
      </c>
      <c r="B514" s="571" t="str">
        <f>PLANILHA!D512</f>
        <v>PILARES ENTRADA PRINCIPAL, H=7,348 M - TIPO 02, FORNECIMENTO E INSTALAÇÃO.</v>
      </c>
      <c r="C514" s="572" t="str">
        <f>PLANILHA!E512</f>
        <v>UND</v>
      </c>
      <c r="D514" s="573">
        <f>PLANILHA!F512</f>
        <v>1</v>
      </c>
      <c r="E514" s="573">
        <f t="shared" si="568"/>
        <v>1924.91</v>
      </c>
      <c r="F514" s="574">
        <f t="shared" si="567"/>
        <v>1924.91</v>
      </c>
      <c r="G514" s="580"/>
      <c r="H514" s="576">
        <f t="shared" si="572"/>
        <v>0</v>
      </c>
      <c r="I514" s="576"/>
      <c r="J514" s="576">
        <f t="shared" si="573"/>
        <v>0</v>
      </c>
      <c r="K514" s="576"/>
      <c r="L514" s="576">
        <f t="shared" si="574"/>
        <v>0</v>
      </c>
      <c r="M514" s="576"/>
      <c r="N514" s="576">
        <f t="shared" si="575"/>
        <v>0</v>
      </c>
      <c r="O514" s="576"/>
      <c r="P514" s="576">
        <f t="shared" si="576"/>
        <v>0</v>
      </c>
      <c r="Q514" s="576"/>
      <c r="R514" s="577">
        <f t="shared" si="577"/>
        <v>0</v>
      </c>
      <c r="S514" s="578"/>
      <c r="T514" s="576">
        <f t="shared" si="578"/>
        <v>0</v>
      </c>
      <c r="U514" s="576"/>
      <c r="V514" s="576">
        <f t="shared" si="579"/>
        <v>0</v>
      </c>
      <c r="W514" s="576">
        <f t="shared" si="571"/>
        <v>1</v>
      </c>
      <c r="X514" s="576">
        <f t="shared" si="569"/>
        <v>1924.91</v>
      </c>
      <c r="Y514" s="576"/>
      <c r="Z514" s="576">
        <f t="shared" si="580"/>
        <v>0</v>
      </c>
      <c r="AA514" s="576"/>
      <c r="AB514" s="576">
        <f t="shared" si="581"/>
        <v>0</v>
      </c>
      <c r="AC514" s="576"/>
      <c r="AD514" s="579">
        <f t="shared" si="582"/>
        <v>0</v>
      </c>
      <c r="AE514" s="580">
        <f t="shared" si="583"/>
        <v>1</v>
      </c>
      <c r="AF514" s="576">
        <f t="shared" si="570"/>
        <v>1924.91</v>
      </c>
      <c r="AG514" s="576">
        <f t="shared" si="584"/>
        <v>0</v>
      </c>
      <c r="AH514" s="579">
        <f t="shared" si="585"/>
        <v>0</v>
      </c>
      <c r="AJ514" s="617"/>
      <c r="AK514" s="617">
        <f t="shared" si="518"/>
        <v>0</v>
      </c>
    </row>
    <row r="515" spans="1:37" ht="30">
      <c r="A515" s="570" t="s">
        <v>14480</v>
      </c>
      <c r="B515" s="571" t="str">
        <f>PLANILHA!D513</f>
        <v>REVESTIMENTO EM ACM (ALUMINIO COMPOSTO) FIXADO EM ESTRUTURA METALICA. FORNCECIMENTO E INSTALAÇÃO.</v>
      </c>
      <c r="C515" s="572" t="str">
        <f>PLANILHA!E513</f>
        <v>M²</v>
      </c>
      <c r="D515" s="573">
        <f>PLANILHA!F513</f>
        <v>76.647899999999993</v>
      </c>
      <c r="E515" s="573">
        <f t="shared" si="568"/>
        <v>138.05000000000001</v>
      </c>
      <c r="F515" s="574">
        <f t="shared" si="567"/>
        <v>10581.24</v>
      </c>
      <c r="G515" s="580"/>
      <c r="H515" s="576">
        <f t="shared" si="572"/>
        <v>0</v>
      </c>
      <c r="I515" s="576"/>
      <c r="J515" s="576">
        <f t="shared" si="573"/>
        <v>0</v>
      </c>
      <c r="K515" s="576"/>
      <c r="L515" s="576">
        <f t="shared" si="574"/>
        <v>0</v>
      </c>
      <c r="M515" s="576"/>
      <c r="N515" s="576">
        <f t="shared" si="575"/>
        <v>0</v>
      </c>
      <c r="O515" s="576"/>
      <c r="P515" s="576">
        <f t="shared" si="576"/>
        <v>0</v>
      </c>
      <c r="Q515" s="576"/>
      <c r="R515" s="577">
        <f t="shared" si="577"/>
        <v>0</v>
      </c>
      <c r="S515" s="578"/>
      <c r="T515" s="576">
        <f t="shared" si="578"/>
        <v>0</v>
      </c>
      <c r="U515" s="576"/>
      <c r="V515" s="576">
        <f t="shared" si="579"/>
        <v>0</v>
      </c>
      <c r="W515" s="576">
        <f t="shared" si="571"/>
        <v>76.647899999999993</v>
      </c>
      <c r="X515" s="576">
        <f t="shared" si="569"/>
        <v>10581.24</v>
      </c>
      <c r="Y515" s="576"/>
      <c r="Z515" s="576">
        <f t="shared" si="580"/>
        <v>0</v>
      </c>
      <c r="AA515" s="576"/>
      <c r="AB515" s="576">
        <f t="shared" si="581"/>
        <v>0</v>
      </c>
      <c r="AC515" s="576"/>
      <c r="AD515" s="579">
        <f t="shared" si="582"/>
        <v>0</v>
      </c>
      <c r="AE515" s="580">
        <f t="shared" si="583"/>
        <v>76.647899999999993</v>
      </c>
      <c r="AF515" s="576">
        <f t="shared" si="570"/>
        <v>10581.24</v>
      </c>
      <c r="AG515" s="576">
        <f t="shared" si="584"/>
        <v>0</v>
      </c>
      <c r="AH515" s="579">
        <f t="shared" si="585"/>
        <v>0</v>
      </c>
      <c r="AJ515" s="617"/>
      <c r="AK515" s="617">
        <f t="shared" si="518"/>
        <v>0</v>
      </c>
    </row>
    <row r="516" spans="1:37">
      <c r="A516" s="570" t="s">
        <v>14690</v>
      </c>
      <c r="B516" s="571" t="str">
        <f>PLANILHA!D514</f>
        <v>SUPORTE METALICO FACHADA MTI, FORNECIMENTO E INSTALAÇÃO.</v>
      </c>
      <c r="C516" s="572" t="str">
        <f>PLANILHA!E514</f>
        <v>UND</v>
      </c>
      <c r="D516" s="573">
        <f>PLANILHA!F514</f>
        <v>1</v>
      </c>
      <c r="E516" s="573">
        <f t="shared" si="568"/>
        <v>34750.71</v>
      </c>
      <c r="F516" s="574">
        <f t="shared" si="567"/>
        <v>34750.71</v>
      </c>
      <c r="G516" s="580"/>
      <c r="H516" s="576">
        <f t="shared" si="572"/>
        <v>0</v>
      </c>
      <c r="I516" s="576"/>
      <c r="J516" s="576">
        <f t="shared" si="573"/>
        <v>0</v>
      </c>
      <c r="K516" s="576"/>
      <c r="L516" s="576">
        <f t="shared" si="574"/>
        <v>0</v>
      </c>
      <c r="M516" s="576"/>
      <c r="N516" s="576">
        <f t="shared" si="575"/>
        <v>0</v>
      </c>
      <c r="O516" s="576"/>
      <c r="P516" s="576">
        <f t="shared" si="576"/>
        <v>0</v>
      </c>
      <c r="Q516" s="576"/>
      <c r="R516" s="577">
        <f t="shared" si="577"/>
        <v>0</v>
      </c>
      <c r="S516" s="578"/>
      <c r="T516" s="576">
        <f t="shared" si="578"/>
        <v>0</v>
      </c>
      <c r="U516" s="576"/>
      <c r="V516" s="576">
        <f t="shared" si="579"/>
        <v>0</v>
      </c>
      <c r="W516" s="576">
        <f t="shared" si="571"/>
        <v>1</v>
      </c>
      <c r="X516" s="576">
        <f t="shared" si="569"/>
        <v>34750.71</v>
      </c>
      <c r="Y516" s="576"/>
      <c r="Z516" s="576">
        <f t="shared" si="580"/>
        <v>0</v>
      </c>
      <c r="AA516" s="576"/>
      <c r="AB516" s="576">
        <f t="shared" si="581"/>
        <v>0</v>
      </c>
      <c r="AC516" s="576"/>
      <c r="AD516" s="579">
        <f t="shared" si="582"/>
        <v>0</v>
      </c>
      <c r="AE516" s="580">
        <f t="shared" si="583"/>
        <v>1</v>
      </c>
      <c r="AF516" s="576">
        <f t="shared" si="570"/>
        <v>34750.71</v>
      </c>
      <c r="AG516" s="576">
        <f t="shared" si="584"/>
        <v>0</v>
      </c>
      <c r="AH516" s="579">
        <f t="shared" si="585"/>
        <v>0</v>
      </c>
      <c r="AJ516" s="617"/>
      <c r="AK516" s="617">
        <f t="shared" si="518"/>
        <v>0</v>
      </c>
    </row>
    <row r="517" spans="1:37" ht="30">
      <c r="A517" s="570" t="s">
        <v>14691</v>
      </c>
      <c r="B517" s="571" t="str">
        <f>PLANILHA!D515</f>
        <v>REVESTIMENTO EM ACM (ALUMINIO COMPOSTO) FIXADO EM ESTRUTURA METALICA. FORNCECIMENTO E INSTALAÇÃO.</v>
      </c>
      <c r="C517" s="572" t="str">
        <f>PLANILHA!E515</f>
        <v>M²</v>
      </c>
      <c r="D517" s="573">
        <f>PLANILHA!F515</f>
        <v>119.31</v>
      </c>
      <c r="E517" s="573">
        <f t="shared" si="568"/>
        <v>138.05000000000001</v>
      </c>
      <c r="F517" s="574">
        <f t="shared" si="567"/>
        <v>16470.740000000002</v>
      </c>
      <c r="G517" s="580"/>
      <c r="H517" s="576">
        <f t="shared" si="572"/>
        <v>0</v>
      </c>
      <c r="I517" s="576"/>
      <c r="J517" s="576">
        <f t="shared" si="573"/>
        <v>0</v>
      </c>
      <c r="K517" s="576"/>
      <c r="L517" s="576">
        <f t="shared" si="574"/>
        <v>0</v>
      </c>
      <c r="M517" s="576"/>
      <c r="N517" s="576">
        <f t="shared" si="575"/>
        <v>0</v>
      </c>
      <c r="O517" s="576"/>
      <c r="P517" s="576">
        <f t="shared" si="576"/>
        <v>0</v>
      </c>
      <c r="Q517" s="576"/>
      <c r="R517" s="577">
        <f t="shared" si="577"/>
        <v>0</v>
      </c>
      <c r="S517" s="578"/>
      <c r="T517" s="576">
        <f t="shared" si="578"/>
        <v>0</v>
      </c>
      <c r="U517" s="576"/>
      <c r="V517" s="576">
        <f t="shared" si="579"/>
        <v>0</v>
      </c>
      <c r="W517" s="576">
        <f t="shared" si="571"/>
        <v>119.31</v>
      </c>
      <c r="X517" s="576">
        <f t="shared" si="569"/>
        <v>16470.740000000002</v>
      </c>
      <c r="Y517" s="576"/>
      <c r="Z517" s="576">
        <f t="shared" si="580"/>
        <v>0</v>
      </c>
      <c r="AA517" s="576"/>
      <c r="AB517" s="576">
        <f t="shared" si="581"/>
        <v>0</v>
      </c>
      <c r="AC517" s="576"/>
      <c r="AD517" s="579">
        <f t="shared" si="582"/>
        <v>0</v>
      </c>
      <c r="AE517" s="580">
        <f t="shared" si="583"/>
        <v>119.31</v>
      </c>
      <c r="AF517" s="576">
        <f t="shared" si="570"/>
        <v>16470.740000000002</v>
      </c>
      <c r="AG517" s="576">
        <f t="shared" si="584"/>
        <v>0</v>
      </c>
      <c r="AH517" s="579">
        <f t="shared" si="585"/>
        <v>0</v>
      </c>
      <c r="AJ517" s="617"/>
      <c r="AK517" s="617">
        <f t="shared" si="518"/>
        <v>0</v>
      </c>
    </row>
    <row r="518" spans="1:37" ht="30">
      <c r="A518" s="570" t="s">
        <v>14692</v>
      </c>
      <c r="B518" s="571" t="str">
        <f>PLANILHA!D516</f>
        <v>SUPORTE METALICO FACHADA (PRINCIPAL/LATERAL), FORNECIMENTO E INSTALAÇÃO.</v>
      </c>
      <c r="C518" s="572" t="str">
        <f>PLANILHA!E516</f>
        <v>UND</v>
      </c>
      <c r="D518" s="573">
        <f>PLANILHA!F516</f>
        <v>1</v>
      </c>
      <c r="E518" s="573">
        <f t="shared" si="568"/>
        <v>31013.75</v>
      </c>
      <c r="F518" s="574">
        <f t="shared" si="567"/>
        <v>31013.75</v>
      </c>
      <c r="G518" s="580"/>
      <c r="H518" s="576">
        <f t="shared" si="572"/>
        <v>0</v>
      </c>
      <c r="I518" s="576"/>
      <c r="J518" s="576">
        <f t="shared" si="573"/>
        <v>0</v>
      </c>
      <c r="K518" s="576"/>
      <c r="L518" s="576">
        <f t="shared" si="574"/>
        <v>0</v>
      </c>
      <c r="M518" s="576"/>
      <c r="N518" s="576">
        <f t="shared" si="575"/>
        <v>0</v>
      </c>
      <c r="O518" s="576"/>
      <c r="P518" s="576">
        <f t="shared" si="576"/>
        <v>0</v>
      </c>
      <c r="Q518" s="576"/>
      <c r="R518" s="577">
        <f t="shared" si="577"/>
        <v>0</v>
      </c>
      <c r="S518" s="578"/>
      <c r="T518" s="576">
        <f t="shared" si="578"/>
        <v>0</v>
      </c>
      <c r="U518" s="576"/>
      <c r="V518" s="576">
        <f t="shared" si="579"/>
        <v>0</v>
      </c>
      <c r="W518" s="576"/>
      <c r="X518" s="576">
        <f t="shared" ref="X518:X521" si="586">W518*$E518</f>
        <v>0</v>
      </c>
      <c r="Y518" s="576">
        <f>D518</f>
        <v>1</v>
      </c>
      <c r="Z518" s="576">
        <f>TRUNC(Y518*$E518,2)</f>
        <v>31013.75</v>
      </c>
      <c r="AA518" s="576"/>
      <c r="AB518" s="576">
        <f t="shared" si="581"/>
        <v>0</v>
      </c>
      <c r="AC518" s="576"/>
      <c r="AD518" s="579">
        <f t="shared" si="582"/>
        <v>0</v>
      </c>
      <c r="AE518" s="580">
        <f t="shared" si="583"/>
        <v>1</v>
      </c>
      <c r="AF518" s="576">
        <f t="shared" si="570"/>
        <v>31013.75</v>
      </c>
      <c r="AG518" s="576">
        <f t="shared" si="584"/>
        <v>0</v>
      </c>
      <c r="AH518" s="579">
        <f t="shared" si="585"/>
        <v>0</v>
      </c>
      <c r="AJ518" s="617"/>
      <c r="AK518" s="617">
        <f t="shared" si="518"/>
        <v>0</v>
      </c>
    </row>
    <row r="519" spans="1:37" ht="30">
      <c r="A519" s="570" t="s">
        <v>14693</v>
      </c>
      <c r="B519" s="571" t="str">
        <f>PLANILHA!D517</f>
        <v>REVESTIMENTO EM ACM (ALUMINIO COMPOSTO) FIXADO EM ESTRUTURA METALICA. FORNCECIMENTO E INSTALAÇÃO.</v>
      </c>
      <c r="C519" s="572" t="str">
        <f>PLANILHA!E517</f>
        <v>M²</v>
      </c>
      <c r="D519" s="573">
        <f>PLANILHA!F517</f>
        <v>97.289999999999992</v>
      </c>
      <c r="E519" s="573">
        <f t="shared" si="568"/>
        <v>138.05000000000001</v>
      </c>
      <c r="F519" s="574">
        <f t="shared" si="567"/>
        <v>13430.88</v>
      </c>
      <c r="G519" s="580"/>
      <c r="H519" s="576">
        <f t="shared" si="572"/>
        <v>0</v>
      </c>
      <c r="I519" s="576"/>
      <c r="J519" s="576">
        <f t="shared" si="573"/>
        <v>0</v>
      </c>
      <c r="K519" s="576"/>
      <c r="L519" s="576">
        <f t="shared" si="574"/>
        <v>0</v>
      </c>
      <c r="M519" s="576"/>
      <c r="N519" s="576">
        <f t="shared" si="575"/>
        <v>0</v>
      </c>
      <c r="O519" s="576"/>
      <c r="P519" s="576">
        <f t="shared" si="576"/>
        <v>0</v>
      </c>
      <c r="Q519" s="576"/>
      <c r="R519" s="577">
        <f t="shared" si="577"/>
        <v>0</v>
      </c>
      <c r="S519" s="578"/>
      <c r="T519" s="576">
        <f t="shared" si="578"/>
        <v>0</v>
      </c>
      <c r="U519" s="576"/>
      <c r="V519" s="576">
        <f t="shared" si="579"/>
        <v>0</v>
      </c>
      <c r="W519" s="576"/>
      <c r="X519" s="576">
        <f t="shared" si="586"/>
        <v>0</v>
      </c>
      <c r="Y519" s="576">
        <f>D519</f>
        <v>97.289999999999992</v>
      </c>
      <c r="Z519" s="576">
        <f t="shared" ref="Z519:Z521" si="587">TRUNC(Y519*$E519,2)</f>
        <v>13430.88</v>
      </c>
      <c r="AA519" s="576"/>
      <c r="AB519" s="576">
        <f t="shared" si="581"/>
        <v>0</v>
      </c>
      <c r="AC519" s="576"/>
      <c r="AD519" s="579">
        <f t="shared" si="582"/>
        <v>0</v>
      </c>
      <c r="AE519" s="580">
        <f t="shared" si="583"/>
        <v>97.289999999999992</v>
      </c>
      <c r="AF519" s="576">
        <f t="shared" si="570"/>
        <v>13430.88</v>
      </c>
      <c r="AG519" s="576">
        <f t="shared" si="584"/>
        <v>0</v>
      </c>
      <c r="AH519" s="579">
        <f t="shared" si="585"/>
        <v>0</v>
      </c>
      <c r="AJ519" s="617"/>
      <c r="AK519" s="617">
        <f t="shared" si="518"/>
        <v>0</v>
      </c>
    </row>
    <row r="520" spans="1:37" ht="30">
      <c r="A520" s="570" t="s">
        <v>14696</v>
      </c>
      <c r="B520" s="571" t="str">
        <f>PLANILHA!D518</f>
        <v>FACHADA DE VIDRO TEMPERADO DE 10mm FIXADO EM ESTRUTURA METALICA. FORNECIMENTO E INSTALAÇÃO.</v>
      </c>
      <c r="C520" s="572" t="str">
        <f>PLANILHA!E518</f>
        <v>M²</v>
      </c>
      <c r="D520" s="573">
        <f>PLANILHA!F518</f>
        <v>174.12</v>
      </c>
      <c r="E520" s="573">
        <f t="shared" si="568"/>
        <v>922.31</v>
      </c>
      <c r="F520" s="574">
        <f t="shared" si="567"/>
        <v>160592.60999999999</v>
      </c>
      <c r="G520" s="580"/>
      <c r="H520" s="576">
        <f t="shared" si="572"/>
        <v>0</v>
      </c>
      <c r="I520" s="576"/>
      <c r="J520" s="576">
        <f t="shared" si="573"/>
        <v>0</v>
      </c>
      <c r="K520" s="576"/>
      <c r="L520" s="576">
        <f t="shared" si="574"/>
        <v>0</v>
      </c>
      <c r="M520" s="576"/>
      <c r="N520" s="576">
        <f t="shared" si="575"/>
        <v>0</v>
      </c>
      <c r="O520" s="576"/>
      <c r="P520" s="576">
        <f t="shared" si="576"/>
        <v>0</v>
      </c>
      <c r="Q520" s="576"/>
      <c r="R520" s="577">
        <f t="shared" si="577"/>
        <v>0</v>
      </c>
      <c r="S520" s="578"/>
      <c r="T520" s="576">
        <f t="shared" si="578"/>
        <v>0</v>
      </c>
      <c r="U520" s="576"/>
      <c r="V520" s="576">
        <f t="shared" si="579"/>
        <v>0</v>
      </c>
      <c r="W520" s="576"/>
      <c r="X520" s="576">
        <f t="shared" si="586"/>
        <v>0</v>
      </c>
      <c r="Y520" s="576">
        <f>D520</f>
        <v>174.12</v>
      </c>
      <c r="Z520" s="576">
        <f t="shared" si="587"/>
        <v>160592.60999999999</v>
      </c>
      <c r="AA520" s="576"/>
      <c r="AB520" s="576">
        <f t="shared" si="581"/>
        <v>0</v>
      </c>
      <c r="AC520" s="576"/>
      <c r="AD520" s="579">
        <f t="shared" si="582"/>
        <v>0</v>
      </c>
      <c r="AE520" s="580">
        <f t="shared" si="583"/>
        <v>174.12</v>
      </c>
      <c r="AF520" s="576">
        <f t="shared" si="570"/>
        <v>160592.60999999999</v>
      </c>
      <c r="AG520" s="576">
        <f t="shared" si="584"/>
        <v>0</v>
      </c>
      <c r="AH520" s="579">
        <f t="shared" si="585"/>
        <v>0</v>
      </c>
      <c r="AJ520" s="617"/>
      <c r="AK520" s="617">
        <f t="shared" si="518"/>
        <v>0</v>
      </c>
    </row>
    <row r="521" spans="1:37" ht="30">
      <c r="A521" s="570" t="s">
        <v>14697</v>
      </c>
      <c r="B521" s="571" t="str">
        <f>PLANILHA!D519</f>
        <v>FACHADA PELE DE VIDRO (BASCULANTE). FORNECIMENTO E INSTALAÇÃO.</v>
      </c>
      <c r="C521" s="572" t="str">
        <f>PLANILHA!E519</f>
        <v>m²</v>
      </c>
      <c r="D521" s="573">
        <f>PLANILHA!F519</f>
        <v>87.06</v>
      </c>
      <c r="E521" s="573">
        <f t="shared" si="568"/>
        <v>1079.52</v>
      </c>
      <c r="F521" s="574">
        <f t="shared" si="567"/>
        <v>93983.01</v>
      </c>
      <c r="G521" s="580"/>
      <c r="H521" s="576">
        <f t="shared" si="572"/>
        <v>0</v>
      </c>
      <c r="I521" s="576"/>
      <c r="J521" s="576">
        <f t="shared" si="573"/>
        <v>0</v>
      </c>
      <c r="K521" s="576"/>
      <c r="L521" s="576">
        <f t="shared" si="574"/>
        <v>0</v>
      </c>
      <c r="M521" s="576"/>
      <c r="N521" s="576">
        <f t="shared" si="575"/>
        <v>0</v>
      </c>
      <c r="O521" s="576"/>
      <c r="P521" s="576">
        <f t="shared" si="576"/>
        <v>0</v>
      </c>
      <c r="Q521" s="576"/>
      <c r="R521" s="577">
        <f t="shared" si="577"/>
        <v>0</v>
      </c>
      <c r="S521" s="578"/>
      <c r="T521" s="576">
        <f t="shared" si="578"/>
        <v>0</v>
      </c>
      <c r="U521" s="576"/>
      <c r="V521" s="576">
        <f t="shared" si="579"/>
        <v>0</v>
      </c>
      <c r="W521" s="576"/>
      <c r="X521" s="576">
        <f t="shared" si="586"/>
        <v>0</v>
      </c>
      <c r="Y521" s="576">
        <f>D521</f>
        <v>87.06</v>
      </c>
      <c r="Z521" s="576">
        <f t="shared" si="587"/>
        <v>93983.01</v>
      </c>
      <c r="AA521" s="576"/>
      <c r="AB521" s="576">
        <f t="shared" si="581"/>
        <v>0</v>
      </c>
      <c r="AC521" s="576"/>
      <c r="AD521" s="579">
        <f t="shared" si="582"/>
        <v>0</v>
      </c>
      <c r="AE521" s="580">
        <f t="shared" si="583"/>
        <v>87.06</v>
      </c>
      <c r="AF521" s="576">
        <f t="shared" si="570"/>
        <v>93983.01</v>
      </c>
      <c r="AG521" s="576">
        <f t="shared" si="584"/>
        <v>0</v>
      </c>
      <c r="AH521" s="579">
        <f t="shared" si="585"/>
        <v>0</v>
      </c>
      <c r="AJ521" s="617"/>
      <c r="AK521" s="617">
        <f t="shared" si="518"/>
        <v>0</v>
      </c>
    </row>
    <row r="522" spans="1:37" s="569" customFormat="1">
      <c r="A522" s="581" t="s">
        <v>27240</v>
      </c>
      <c r="B522" s="582"/>
      <c r="C522" s="583"/>
      <c r="D522" s="584"/>
      <c r="E522" s="584"/>
      <c r="F522" s="584">
        <f>SUM(F510:F521)</f>
        <v>420873.36</v>
      </c>
      <c r="G522" s="586"/>
      <c r="H522" s="584">
        <f>SUM(H510:H521)</f>
        <v>0</v>
      </c>
      <c r="I522" s="584"/>
      <c r="J522" s="584">
        <f>SUM(J510:J521)</f>
        <v>0</v>
      </c>
      <c r="K522" s="584"/>
      <c r="L522" s="584">
        <f>SUM(L510:L521)</f>
        <v>0</v>
      </c>
      <c r="M522" s="584"/>
      <c r="N522" s="584">
        <f>SUM(N510:N521)</f>
        <v>0</v>
      </c>
      <c r="O522" s="584"/>
      <c r="P522" s="584">
        <f>SUM(P510:P521)</f>
        <v>0</v>
      </c>
      <c r="Q522" s="584"/>
      <c r="R522" s="587">
        <f>SUM(R510:R521)</f>
        <v>0</v>
      </c>
      <c r="S522" s="588"/>
      <c r="T522" s="584">
        <f>SUM(T510:T521)</f>
        <v>0</v>
      </c>
      <c r="U522" s="584"/>
      <c r="V522" s="584">
        <f>SUM(V510:V521)</f>
        <v>0</v>
      </c>
      <c r="W522" s="584"/>
      <c r="X522" s="584">
        <f>SUM(X510:X521)</f>
        <v>121853.11</v>
      </c>
      <c r="Y522" s="584"/>
      <c r="Z522" s="584">
        <f>SUM(Z510:Z521)</f>
        <v>299020.25</v>
      </c>
      <c r="AA522" s="584"/>
      <c r="AB522" s="584">
        <f>SUM(AB510:AB521)</f>
        <v>0</v>
      </c>
      <c r="AC522" s="584"/>
      <c r="AD522" s="585">
        <f>SUM(AD510:AD521)</f>
        <v>0</v>
      </c>
      <c r="AE522" s="590"/>
      <c r="AF522" s="584">
        <f>SUM(AF510:AF521)</f>
        <v>420873.36</v>
      </c>
      <c r="AG522" s="591"/>
      <c r="AH522" s="585">
        <f>SUM(AH510:AH521)</f>
        <v>0</v>
      </c>
      <c r="AI522" s="568"/>
      <c r="AJ522" s="617"/>
      <c r="AK522" s="617">
        <f t="shared" si="518"/>
        <v>0</v>
      </c>
    </row>
    <row r="523" spans="1:37">
      <c r="A523" s="570"/>
      <c r="B523" s="571"/>
      <c r="C523" s="572"/>
      <c r="D523" s="573"/>
      <c r="E523" s="573"/>
      <c r="F523" s="574"/>
      <c r="G523" s="580"/>
      <c r="H523" s="576"/>
      <c r="I523" s="576"/>
      <c r="J523" s="576"/>
      <c r="K523" s="576"/>
      <c r="L523" s="576"/>
      <c r="M523" s="576"/>
      <c r="N523" s="576"/>
      <c r="O523" s="576"/>
      <c r="P523" s="576"/>
      <c r="Q523" s="576"/>
      <c r="R523" s="577"/>
      <c r="S523" s="578"/>
      <c r="T523" s="576"/>
      <c r="U523" s="576"/>
      <c r="V523" s="576"/>
      <c r="W523" s="576"/>
      <c r="X523" s="576"/>
      <c r="Y523" s="576"/>
      <c r="Z523" s="576"/>
      <c r="AA523" s="576"/>
      <c r="AB523" s="576"/>
      <c r="AC523" s="576"/>
      <c r="AD523" s="579"/>
      <c r="AE523" s="580"/>
      <c r="AF523" s="576"/>
      <c r="AG523" s="576"/>
      <c r="AH523" s="579"/>
      <c r="AJ523" s="617"/>
      <c r="AK523" s="617">
        <f t="shared" si="518"/>
        <v>0</v>
      </c>
    </row>
    <row r="524" spans="1:37" s="569" customFormat="1">
      <c r="A524" s="592" t="s">
        <v>14124</v>
      </c>
      <c r="B524" s="593" t="str">
        <f>PLANILHA!D522</f>
        <v>BRISE FACHADA</v>
      </c>
      <c r="C524" s="594"/>
      <c r="D524" s="589"/>
      <c r="E524" s="589"/>
      <c r="F524" s="595">
        <f>VLOOKUP(A524,PLANILHA,$G$6,0)</f>
        <v>0</v>
      </c>
      <c r="G524" s="596"/>
      <c r="H524" s="597"/>
      <c r="I524" s="597"/>
      <c r="J524" s="597"/>
      <c r="K524" s="597"/>
      <c r="L524" s="597"/>
      <c r="M524" s="597"/>
      <c r="N524" s="597"/>
      <c r="O524" s="597"/>
      <c r="P524" s="597"/>
      <c r="Q524" s="597"/>
      <c r="R524" s="598"/>
      <c r="S524" s="599"/>
      <c r="T524" s="597"/>
      <c r="U524" s="597"/>
      <c r="V524" s="597"/>
      <c r="W524" s="597"/>
      <c r="X524" s="597"/>
      <c r="Y524" s="597"/>
      <c r="Z524" s="597"/>
      <c r="AA524" s="597"/>
      <c r="AB524" s="597"/>
      <c r="AC524" s="597"/>
      <c r="AD524" s="600"/>
      <c r="AE524" s="580"/>
      <c r="AF524" s="576"/>
      <c r="AG524" s="576"/>
      <c r="AH524" s="579"/>
      <c r="AI524" s="568"/>
      <c r="AJ524" s="617"/>
      <c r="AK524" s="617">
        <f t="shared" si="518"/>
        <v>0</v>
      </c>
    </row>
    <row r="525" spans="1:37">
      <c r="A525" s="570"/>
      <c r="B525" s="571"/>
      <c r="C525" s="572"/>
      <c r="D525" s="573"/>
      <c r="E525" s="573"/>
      <c r="F525" s="574"/>
      <c r="G525" s="580"/>
      <c r="H525" s="576"/>
      <c r="I525" s="576"/>
      <c r="J525" s="576"/>
      <c r="K525" s="576"/>
      <c r="L525" s="576"/>
      <c r="M525" s="576"/>
      <c r="N525" s="576"/>
      <c r="O525" s="576"/>
      <c r="P525" s="576"/>
      <c r="Q525" s="576"/>
      <c r="R525" s="577"/>
      <c r="S525" s="578"/>
      <c r="T525" s="576"/>
      <c r="U525" s="576"/>
      <c r="V525" s="576"/>
      <c r="W525" s="576"/>
      <c r="X525" s="576"/>
      <c r="Y525" s="576"/>
      <c r="Z525" s="576"/>
      <c r="AA525" s="576"/>
      <c r="AB525" s="576"/>
      <c r="AC525" s="576"/>
      <c r="AD525" s="579"/>
      <c r="AE525" s="580"/>
      <c r="AF525" s="576"/>
      <c r="AG525" s="576"/>
      <c r="AH525" s="579"/>
      <c r="AJ525" s="617"/>
      <c r="AK525" s="617">
        <f t="shared" si="518"/>
        <v>0</v>
      </c>
    </row>
    <row r="526" spans="1:37" s="569" customFormat="1">
      <c r="A526" s="592" t="s">
        <v>14125</v>
      </c>
      <c r="B526" s="593" t="str">
        <f>PLANILHA!D524</f>
        <v>ESTRUTURA METÁLICA</v>
      </c>
      <c r="C526" s="594"/>
      <c r="D526" s="589"/>
      <c r="E526" s="589"/>
      <c r="F526" s="595">
        <f>VLOOKUP(A526,PLANILHA,$G$6,0)</f>
        <v>0</v>
      </c>
      <c r="G526" s="596"/>
      <c r="H526" s="597"/>
      <c r="I526" s="597"/>
      <c r="J526" s="597"/>
      <c r="K526" s="597"/>
      <c r="L526" s="597"/>
      <c r="M526" s="597"/>
      <c r="N526" s="597"/>
      <c r="O526" s="597"/>
      <c r="P526" s="597"/>
      <c r="Q526" s="597"/>
      <c r="R526" s="598"/>
      <c r="S526" s="599"/>
      <c r="T526" s="597"/>
      <c r="U526" s="597"/>
      <c r="V526" s="597"/>
      <c r="W526" s="597"/>
      <c r="X526" s="597"/>
      <c r="Y526" s="597"/>
      <c r="Z526" s="597"/>
      <c r="AA526" s="597"/>
      <c r="AB526" s="597"/>
      <c r="AC526" s="597"/>
      <c r="AD526" s="600"/>
      <c r="AE526" s="580"/>
      <c r="AF526" s="576"/>
      <c r="AG526" s="576"/>
      <c r="AH526" s="579"/>
      <c r="AI526" s="568"/>
      <c r="AJ526" s="617"/>
      <c r="AK526" s="617">
        <f t="shared" ref="AK526:AK589" si="588">F526-AF526</f>
        <v>0</v>
      </c>
    </row>
    <row r="527" spans="1:37" ht="30">
      <c r="A527" s="570" t="s">
        <v>14511</v>
      </c>
      <c r="B527" s="571" t="str">
        <f>PLANILHA!D525</f>
        <v>ESTRUTURA PARA SUPORTE DAS BRISES, FORNECIMENTO E INSTALAÇÃO.</v>
      </c>
      <c r="C527" s="572" t="str">
        <f>PLANILHA!E525</f>
        <v>UND</v>
      </c>
      <c r="D527" s="573">
        <f>PLANILHA!F525</f>
        <v>2</v>
      </c>
      <c r="E527" s="573">
        <f>VLOOKUP(A527,PLANILHA,$G$7,0)</f>
        <v>53026.26</v>
      </c>
      <c r="F527" s="574">
        <f>VLOOKUP(A527,PLANILHA,$G$6,0)</f>
        <v>106052.52</v>
      </c>
      <c r="G527" s="580"/>
      <c r="H527" s="576">
        <f>G527*$E527</f>
        <v>0</v>
      </c>
      <c r="I527" s="576"/>
      <c r="J527" s="576">
        <f>I527*$E527</f>
        <v>0</v>
      </c>
      <c r="K527" s="576"/>
      <c r="L527" s="576">
        <f>K527*$E527</f>
        <v>0</v>
      </c>
      <c r="M527" s="576"/>
      <c r="N527" s="576">
        <f>M527*$E527</f>
        <v>0</v>
      </c>
      <c r="O527" s="576"/>
      <c r="P527" s="576">
        <f>O527*$E527</f>
        <v>0</v>
      </c>
      <c r="Q527" s="576"/>
      <c r="R527" s="577">
        <f>Q527*$E527</f>
        <v>0</v>
      </c>
      <c r="S527" s="578"/>
      <c r="T527" s="576">
        <f>S527*$E527</f>
        <v>0</v>
      </c>
      <c r="U527" s="576"/>
      <c r="V527" s="576">
        <f>U527*$E527</f>
        <v>0</v>
      </c>
      <c r="W527" s="576"/>
      <c r="X527" s="576">
        <f>W527*$E527</f>
        <v>0</v>
      </c>
      <c r="Y527" s="576"/>
      <c r="Z527" s="576">
        <f>Y527*$E527</f>
        <v>0</v>
      </c>
      <c r="AA527" s="576">
        <f>D527</f>
        <v>2</v>
      </c>
      <c r="AB527" s="576">
        <f>TRUNC(AA527*$E527,2)</f>
        <v>106052.52</v>
      </c>
      <c r="AC527" s="576"/>
      <c r="AD527" s="579">
        <f>AC527*$E527</f>
        <v>0</v>
      </c>
      <c r="AE527" s="580">
        <f>AC527+AA527+Y527+W527+U527+S527+Q527+O527+M527+K527+I527+G527</f>
        <v>2</v>
      </c>
      <c r="AF527" s="576">
        <f t="shared" ref="AF527:AF528" si="589">TRUNC(AE527*E527,2)</f>
        <v>106052.52</v>
      </c>
      <c r="AG527" s="576">
        <f>D527-AE527</f>
        <v>0</v>
      </c>
      <c r="AH527" s="579">
        <f>AG527*E527</f>
        <v>0</v>
      </c>
      <c r="AJ527" s="617"/>
      <c r="AK527" s="617">
        <f t="shared" si="588"/>
        <v>0</v>
      </c>
    </row>
    <row r="528" spans="1:37" ht="30">
      <c r="A528" s="570" t="s">
        <v>14512</v>
      </c>
      <c r="B528" s="571" t="str">
        <f>PLANILHA!D526</f>
        <v>REVESTIMENTO METALICO HUNTER DOUGLAS - BRISE SCREENPANELL J #805 OU SIMILAR, FORNECIMENTO E INSTALAÇÃO.</v>
      </c>
      <c r="C528" s="572" t="str">
        <f>PLANILHA!E526</f>
        <v>M²</v>
      </c>
      <c r="D528" s="573">
        <f>PLANILHA!F526</f>
        <v>45.82</v>
      </c>
      <c r="E528" s="573">
        <f>VLOOKUP(A528,PLANILHA,$G$7,0)</f>
        <v>1681.55</v>
      </c>
      <c r="F528" s="574">
        <f>VLOOKUP(A528,PLANILHA,$G$6,0)</f>
        <v>77048.62</v>
      </c>
      <c r="G528" s="580"/>
      <c r="H528" s="576">
        <f>G528*$E528</f>
        <v>0</v>
      </c>
      <c r="I528" s="576"/>
      <c r="J528" s="576">
        <f>I528*$E528</f>
        <v>0</v>
      </c>
      <c r="K528" s="576"/>
      <c r="L528" s="576">
        <f>K528*$E528</f>
        <v>0</v>
      </c>
      <c r="M528" s="576"/>
      <c r="N528" s="576">
        <f>M528*$E528</f>
        <v>0</v>
      </c>
      <c r="O528" s="576"/>
      <c r="P528" s="576">
        <f>O528*$E528</f>
        <v>0</v>
      </c>
      <c r="Q528" s="576"/>
      <c r="R528" s="577">
        <f>Q528*$E528</f>
        <v>0</v>
      </c>
      <c r="S528" s="578"/>
      <c r="T528" s="576">
        <f>S528*$E528</f>
        <v>0</v>
      </c>
      <c r="U528" s="576"/>
      <c r="V528" s="576">
        <f>U528*$E528</f>
        <v>0</v>
      </c>
      <c r="W528" s="576"/>
      <c r="X528" s="576">
        <f>W528*$E528</f>
        <v>0</v>
      </c>
      <c r="Y528" s="576"/>
      <c r="Z528" s="576">
        <f>Y528*$E528</f>
        <v>0</v>
      </c>
      <c r="AA528" s="576">
        <f>D528</f>
        <v>45.82</v>
      </c>
      <c r="AB528" s="576">
        <f>TRUNC(AA528*$E528,2)</f>
        <v>77048.62</v>
      </c>
      <c r="AC528" s="576"/>
      <c r="AD528" s="579">
        <f>AC528*$E528</f>
        <v>0</v>
      </c>
      <c r="AE528" s="580">
        <f>AC528+AA528+Y528+W528+U528+S528+Q528+O528+M528+K528+I528+G528</f>
        <v>45.82</v>
      </c>
      <c r="AF528" s="576">
        <f t="shared" si="589"/>
        <v>77048.62</v>
      </c>
      <c r="AG528" s="576">
        <f>D528-AE528</f>
        <v>0</v>
      </c>
      <c r="AH528" s="579">
        <f>AG528*E528</f>
        <v>0</v>
      </c>
      <c r="AJ528" s="617"/>
      <c r="AK528" s="617">
        <f t="shared" si="588"/>
        <v>0</v>
      </c>
    </row>
    <row r="529" spans="1:37" s="569" customFormat="1">
      <c r="A529" s="581" t="s">
        <v>27241</v>
      </c>
      <c r="B529" s="582"/>
      <c r="C529" s="583"/>
      <c r="D529" s="584"/>
      <c r="E529" s="584"/>
      <c r="F529" s="585">
        <f>VLOOKUP(A529,PLANILHA,$G$6,0)</f>
        <v>183101.14</v>
      </c>
      <c r="G529" s="586"/>
      <c r="H529" s="584">
        <f>SUM(H527:H528)</f>
        <v>0</v>
      </c>
      <c r="I529" s="584"/>
      <c r="J529" s="584">
        <f>SUM(J527:J528)</f>
        <v>0</v>
      </c>
      <c r="K529" s="584"/>
      <c r="L529" s="584">
        <f>SUM(L527:L528)</f>
        <v>0</v>
      </c>
      <c r="M529" s="584"/>
      <c r="N529" s="584">
        <f>SUM(N527:N528)</f>
        <v>0</v>
      </c>
      <c r="O529" s="584"/>
      <c r="P529" s="584">
        <f>SUM(P527:P528)</f>
        <v>0</v>
      </c>
      <c r="Q529" s="584"/>
      <c r="R529" s="587">
        <f>SUM(R527:R528)</f>
        <v>0</v>
      </c>
      <c r="S529" s="588"/>
      <c r="T529" s="584">
        <f>SUM(T527:T528)</f>
        <v>0</v>
      </c>
      <c r="U529" s="584"/>
      <c r="V529" s="584">
        <f>SUM(V527:V528)</f>
        <v>0</v>
      </c>
      <c r="W529" s="584"/>
      <c r="X529" s="584">
        <f>SUM(X527:X528)</f>
        <v>0</v>
      </c>
      <c r="Y529" s="584"/>
      <c r="Z529" s="584">
        <f>SUM(Z527:Z528)</f>
        <v>0</v>
      </c>
      <c r="AA529" s="584"/>
      <c r="AB529" s="584">
        <f>SUM(AB527:AB528)</f>
        <v>183101.14</v>
      </c>
      <c r="AC529" s="584"/>
      <c r="AD529" s="585">
        <f>SUM(AD527:AD528)</f>
        <v>0</v>
      </c>
      <c r="AE529" s="590"/>
      <c r="AF529" s="584">
        <f>SUM(AF527:AF528)</f>
        <v>183101.14</v>
      </c>
      <c r="AG529" s="591"/>
      <c r="AH529" s="585">
        <f>SUM(AH527:AH528)</f>
        <v>0</v>
      </c>
      <c r="AI529" s="568"/>
      <c r="AJ529" s="617"/>
      <c r="AK529" s="617">
        <f t="shared" si="588"/>
        <v>0</v>
      </c>
    </row>
    <row r="530" spans="1:37">
      <c r="A530" s="570"/>
      <c r="B530" s="571"/>
      <c r="C530" s="572"/>
      <c r="D530" s="573"/>
      <c r="E530" s="573"/>
      <c r="F530" s="574"/>
      <c r="G530" s="580"/>
      <c r="H530" s="576"/>
      <c r="I530" s="576"/>
      <c r="J530" s="576"/>
      <c r="K530" s="576"/>
      <c r="L530" s="576"/>
      <c r="M530" s="576"/>
      <c r="N530" s="576"/>
      <c r="O530" s="576"/>
      <c r="P530" s="576"/>
      <c r="Q530" s="576"/>
      <c r="R530" s="577"/>
      <c r="S530" s="578"/>
      <c r="T530" s="576"/>
      <c r="U530" s="576"/>
      <c r="V530" s="576"/>
      <c r="W530" s="576"/>
      <c r="X530" s="576"/>
      <c r="Y530" s="576"/>
      <c r="Z530" s="576"/>
      <c r="AA530" s="576"/>
      <c r="AB530" s="576"/>
      <c r="AC530" s="576"/>
      <c r="AD530" s="579"/>
      <c r="AE530" s="580"/>
      <c r="AF530" s="576"/>
      <c r="AG530" s="576"/>
      <c r="AH530" s="579"/>
      <c r="AJ530" s="617"/>
      <c r="AK530" s="617">
        <f t="shared" si="588"/>
        <v>0</v>
      </c>
    </row>
    <row r="531" spans="1:37" s="569" customFormat="1">
      <c r="A531" s="592" t="s">
        <v>14126</v>
      </c>
      <c r="B531" s="593" t="str">
        <f>PLANILHA!D529</f>
        <v>PINTURA</v>
      </c>
      <c r="C531" s="594"/>
      <c r="D531" s="589"/>
      <c r="E531" s="589"/>
      <c r="F531" s="595">
        <f>VLOOKUP(A531,PLANILHA,$G$6,0)</f>
        <v>0</v>
      </c>
      <c r="G531" s="596"/>
      <c r="H531" s="597"/>
      <c r="I531" s="597"/>
      <c r="J531" s="597"/>
      <c r="K531" s="597"/>
      <c r="L531" s="597"/>
      <c r="M531" s="597"/>
      <c r="N531" s="597"/>
      <c r="O531" s="597"/>
      <c r="P531" s="597"/>
      <c r="Q531" s="597"/>
      <c r="R531" s="598"/>
      <c r="S531" s="599"/>
      <c r="T531" s="597"/>
      <c r="U531" s="597"/>
      <c r="V531" s="597"/>
      <c r="W531" s="597"/>
      <c r="X531" s="597"/>
      <c r="Y531" s="597"/>
      <c r="Z531" s="597"/>
      <c r="AA531" s="597"/>
      <c r="AB531" s="597"/>
      <c r="AC531" s="597"/>
      <c r="AD531" s="600"/>
      <c r="AE531" s="580"/>
      <c r="AF531" s="576"/>
      <c r="AG531" s="576"/>
      <c r="AH531" s="579"/>
      <c r="AI531" s="568"/>
      <c r="AJ531" s="617"/>
      <c r="AK531" s="617">
        <f t="shared" si="588"/>
        <v>0</v>
      </c>
    </row>
    <row r="532" spans="1:37" ht="45">
      <c r="A532" s="570" t="s">
        <v>14127</v>
      </c>
      <c r="B532" s="571" t="str">
        <f>PLANILHA!D530</f>
        <v>APLICAÇÃO MANUAL DE FUNDO SELADOR ACRÍLICO EM PANOS CEGOS DE FACHADA (SEM PRESENÇA DE VÃOS) DE EDIFÍCIOS DE MÚLTIPLOS PAVIMENTOS. AF_06/2014</v>
      </c>
      <c r="C532" s="572" t="str">
        <f>PLANILHA!E530</f>
        <v>M2</v>
      </c>
      <c r="D532" s="573">
        <f>PLANILHA!F530</f>
        <v>1183.8800000000001</v>
      </c>
      <c r="E532" s="573">
        <f>VLOOKUP(A532,PLANILHA,$G$7,0)</f>
        <v>1.66</v>
      </c>
      <c r="F532" s="574">
        <f>VLOOKUP(A532,PLANILHA,$G$6,0)</f>
        <v>1965.24</v>
      </c>
      <c r="G532" s="580"/>
      <c r="H532" s="576">
        <f>G532*$E532</f>
        <v>0</v>
      </c>
      <c r="I532" s="576"/>
      <c r="J532" s="576">
        <f>I532*$E532</f>
        <v>0</v>
      </c>
      <c r="K532" s="576"/>
      <c r="L532" s="576">
        <f>K532*$E532</f>
        <v>0</v>
      </c>
      <c r="M532" s="576"/>
      <c r="N532" s="576">
        <f>M532*$E532</f>
        <v>0</v>
      </c>
      <c r="O532" s="576"/>
      <c r="P532" s="576">
        <f>O532*$E532</f>
        <v>0</v>
      </c>
      <c r="Q532" s="576"/>
      <c r="R532" s="577">
        <f>Q532*$E532</f>
        <v>0</v>
      </c>
      <c r="S532" s="578"/>
      <c r="T532" s="576">
        <f>S532*$E532</f>
        <v>0</v>
      </c>
      <c r="U532" s="576"/>
      <c r="V532" s="576">
        <f>U532*$E532</f>
        <v>0</v>
      </c>
      <c r="W532" s="576">
        <f>D532/2</f>
        <v>591.94000000000005</v>
      </c>
      <c r="X532" s="576">
        <f t="shared" ref="X532:X534" si="590">TRUNC(W532*$E532,2)</f>
        <v>982.62</v>
      </c>
      <c r="Y532" s="576"/>
      <c r="Z532" s="576">
        <f>Y532*$E532</f>
        <v>0</v>
      </c>
      <c r="AA532" s="576">
        <f>D532-W532</f>
        <v>591.94000000000005</v>
      </c>
      <c r="AB532" s="576">
        <f t="shared" ref="AB532:AB534" si="591">TRUNC(AA532*$E532,2)</f>
        <v>982.62</v>
      </c>
      <c r="AC532" s="576"/>
      <c r="AD532" s="579">
        <f>AC532*$E532</f>
        <v>0</v>
      </c>
      <c r="AE532" s="580">
        <f>AC532+AA532+Y532+W532+U532+S532+Q532+O532+M532+K532+I532+G532</f>
        <v>1183.8800000000001</v>
      </c>
      <c r="AF532" s="576">
        <f t="shared" ref="AF532:AF534" si="592">TRUNC(AE532*E532,2)</f>
        <v>1965.24</v>
      </c>
      <c r="AG532" s="576">
        <f>D532-AE532</f>
        <v>0</v>
      </c>
      <c r="AH532" s="579">
        <f>AG532*E532</f>
        <v>0</v>
      </c>
      <c r="AJ532" s="617"/>
      <c r="AK532" s="617">
        <f t="shared" si="588"/>
        <v>0</v>
      </c>
    </row>
    <row r="533" spans="1:37" ht="45">
      <c r="A533" s="570" t="s">
        <v>14128</v>
      </c>
      <c r="B533" s="571" t="str">
        <f>PLANILHA!D531</f>
        <v>APLICAÇÃO MANUAL DE MASSA ACRÍLICA EM PANOS DE FACHADA COM PRESENÇA DE VÃOS, DE EDIFÍCIOS DE MÚLTIPLOS PAVIMENTOS, DUAS DEMÃOS. AF_05/2017</v>
      </c>
      <c r="C533" s="572" t="str">
        <f>PLANILHA!E531</f>
        <v>M2</v>
      </c>
      <c r="D533" s="573">
        <f>PLANILHA!F531</f>
        <v>1183.8800000000001</v>
      </c>
      <c r="E533" s="573">
        <f>VLOOKUP(A533,PLANILHA,$G$7,0)</f>
        <v>28.03</v>
      </c>
      <c r="F533" s="574">
        <f>VLOOKUP(A533,PLANILHA,$G$6,0)</f>
        <v>33184.15</v>
      </c>
      <c r="G533" s="580"/>
      <c r="H533" s="576">
        <f>G533*$E533</f>
        <v>0</v>
      </c>
      <c r="I533" s="576"/>
      <c r="J533" s="576">
        <f>I533*$E533</f>
        <v>0</v>
      </c>
      <c r="K533" s="576"/>
      <c r="L533" s="576">
        <f>K533*$E533</f>
        <v>0</v>
      </c>
      <c r="M533" s="576"/>
      <c r="N533" s="576">
        <f>M533*$E533</f>
        <v>0</v>
      </c>
      <c r="O533" s="576"/>
      <c r="P533" s="576">
        <f>O533*$E533</f>
        <v>0</v>
      </c>
      <c r="Q533" s="576"/>
      <c r="R533" s="577">
        <f>Q533*$E533</f>
        <v>0</v>
      </c>
      <c r="S533" s="578"/>
      <c r="T533" s="576">
        <f>S533*$E533</f>
        <v>0</v>
      </c>
      <c r="U533" s="576"/>
      <c r="V533" s="576">
        <f>U533*$E533</f>
        <v>0</v>
      </c>
      <c r="W533" s="576">
        <f>D533/2</f>
        <v>591.94000000000005</v>
      </c>
      <c r="X533" s="576">
        <f t="shared" si="590"/>
        <v>16592.07</v>
      </c>
      <c r="Y533" s="576"/>
      <c r="Z533" s="576">
        <f>Y533*$E533</f>
        <v>0</v>
      </c>
      <c r="AA533" s="576">
        <f>D533-W533</f>
        <v>591.94000000000005</v>
      </c>
      <c r="AB533" s="576">
        <f t="shared" si="591"/>
        <v>16592.07</v>
      </c>
      <c r="AC533" s="576"/>
      <c r="AD533" s="579">
        <f>AC533*$E533</f>
        <v>0</v>
      </c>
      <c r="AE533" s="580">
        <f>AC533+AA533+Y533+W533+U533+S533+Q533+O533+M533+K533+I533+G533</f>
        <v>1183.8800000000001</v>
      </c>
      <c r="AF533" s="576">
        <f t="shared" si="592"/>
        <v>33184.15</v>
      </c>
      <c r="AG533" s="576">
        <f>D533-AE533</f>
        <v>0</v>
      </c>
      <c r="AH533" s="579">
        <f>AG533*E533</f>
        <v>0</v>
      </c>
      <c r="AJ533" s="617"/>
      <c r="AK533" s="617">
        <f t="shared" si="588"/>
        <v>0</v>
      </c>
    </row>
    <row r="534" spans="1:37" ht="45">
      <c r="A534" s="570" t="s">
        <v>14129</v>
      </c>
      <c r="B534" s="571" t="str">
        <f>PLANILHA!D532</f>
        <v>APLICAÇÃO MANUAL DE TINTA LÁTEX ACRÍLICA EM PANOS SEM PRESENÇA DE VÃOS DE EDIFÍCIOS DE MÚLTIPLOS PAVIMENTOS, DUAS DEMÃOS. AF_11/2016</v>
      </c>
      <c r="C534" s="572" t="str">
        <f>PLANILHA!E532</f>
        <v>M2</v>
      </c>
      <c r="D534" s="573">
        <f>PLANILHA!F532</f>
        <v>1183.8800000000001</v>
      </c>
      <c r="E534" s="573">
        <f>VLOOKUP(A534,PLANILHA,$G$7,0)</f>
        <v>11.94</v>
      </c>
      <c r="F534" s="574">
        <f>VLOOKUP(A534,PLANILHA,$G$6,0)</f>
        <v>14135.52</v>
      </c>
      <c r="G534" s="580"/>
      <c r="H534" s="576">
        <f>G534*$E534</f>
        <v>0</v>
      </c>
      <c r="I534" s="576"/>
      <c r="J534" s="576">
        <f>I534*$E534</f>
        <v>0</v>
      </c>
      <c r="K534" s="576"/>
      <c r="L534" s="576">
        <f>K534*$E534</f>
        <v>0</v>
      </c>
      <c r="M534" s="576"/>
      <c r="N534" s="576">
        <f>M534*$E534</f>
        <v>0</v>
      </c>
      <c r="O534" s="576"/>
      <c r="P534" s="576">
        <f>O534*$E534</f>
        <v>0</v>
      </c>
      <c r="Q534" s="576"/>
      <c r="R534" s="577">
        <f>Q534*$E534</f>
        <v>0</v>
      </c>
      <c r="S534" s="578"/>
      <c r="T534" s="576">
        <f>S534*$E534</f>
        <v>0</v>
      </c>
      <c r="U534" s="576"/>
      <c r="V534" s="576">
        <f>U534*$E534</f>
        <v>0</v>
      </c>
      <c r="W534" s="576">
        <f>D534/2</f>
        <v>591.94000000000005</v>
      </c>
      <c r="X534" s="576">
        <f t="shared" si="590"/>
        <v>7067.76</v>
      </c>
      <c r="Y534" s="576"/>
      <c r="Z534" s="576">
        <f>Y534*$E534</f>
        <v>0</v>
      </c>
      <c r="AA534" s="576">
        <f>D534-W534</f>
        <v>591.94000000000005</v>
      </c>
      <c r="AB534" s="576">
        <f t="shared" si="591"/>
        <v>7067.76</v>
      </c>
      <c r="AC534" s="576"/>
      <c r="AD534" s="579">
        <f>AC534*$E534</f>
        <v>0</v>
      </c>
      <c r="AE534" s="580">
        <f>AC534+AA534+Y534+W534+U534+S534+Q534+O534+M534+K534+I534+G534</f>
        <v>1183.8800000000001</v>
      </c>
      <c r="AF534" s="576">
        <f t="shared" si="592"/>
        <v>14135.52</v>
      </c>
      <c r="AG534" s="576">
        <f>D534-AE534</f>
        <v>0</v>
      </c>
      <c r="AH534" s="579">
        <f>AG534*E534</f>
        <v>0</v>
      </c>
      <c r="AJ534" s="617"/>
      <c r="AK534" s="617">
        <f t="shared" si="588"/>
        <v>0</v>
      </c>
    </row>
    <row r="535" spans="1:37" s="569" customFormat="1">
      <c r="A535" s="581" t="s">
        <v>27242</v>
      </c>
      <c r="B535" s="582"/>
      <c r="C535" s="583"/>
      <c r="D535" s="584"/>
      <c r="E535" s="584"/>
      <c r="F535" s="585">
        <f>VLOOKUP(A535,PLANILHA,$G$6,0)</f>
        <v>49284.91</v>
      </c>
      <c r="G535" s="586"/>
      <c r="H535" s="584">
        <f t="shared" ref="H535:AH535" si="593">SUM(H532:H534)</f>
        <v>0</v>
      </c>
      <c r="I535" s="584"/>
      <c r="J535" s="584">
        <f t="shared" si="593"/>
        <v>0</v>
      </c>
      <c r="K535" s="584"/>
      <c r="L535" s="584">
        <f t="shared" si="593"/>
        <v>0</v>
      </c>
      <c r="M535" s="584"/>
      <c r="N535" s="584">
        <f t="shared" si="593"/>
        <v>0</v>
      </c>
      <c r="O535" s="584"/>
      <c r="P535" s="584">
        <f t="shared" si="593"/>
        <v>0</v>
      </c>
      <c r="Q535" s="584"/>
      <c r="R535" s="587">
        <f t="shared" si="593"/>
        <v>0</v>
      </c>
      <c r="S535" s="588"/>
      <c r="T535" s="584">
        <f t="shared" si="593"/>
        <v>0</v>
      </c>
      <c r="U535" s="584"/>
      <c r="V535" s="584">
        <f t="shared" si="593"/>
        <v>0</v>
      </c>
      <c r="W535" s="584"/>
      <c r="X535" s="584">
        <f t="shared" si="593"/>
        <v>24642.449999999997</v>
      </c>
      <c r="Y535" s="584"/>
      <c r="Z535" s="584">
        <f t="shared" si="593"/>
        <v>0</v>
      </c>
      <c r="AA535" s="584"/>
      <c r="AB535" s="584">
        <f t="shared" si="593"/>
        <v>24642.449999999997</v>
      </c>
      <c r="AC535" s="584"/>
      <c r="AD535" s="585">
        <f t="shared" si="593"/>
        <v>0</v>
      </c>
      <c r="AE535" s="590"/>
      <c r="AF535" s="584">
        <f t="shared" si="593"/>
        <v>49284.91</v>
      </c>
      <c r="AG535" s="591"/>
      <c r="AH535" s="585">
        <f t="shared" si="593"/>
        <v>0</v>
      </c>
      <c r="AI535" s="568"/>
      <c r="AJ535" s="617"/>
      <c r="AK535" s="617">
        <f t="shared" si="588"/>
        <v>0</v>
      </c>
    </row>
    <row r="536" spans="1:37">
      <c r="A536" s="570"/>
      <c r="B536" s="571"/>
      <c r="C536" s="572"/>
      <c r="D536" s="573"/>
      <c r="E536" s="573"/>
      <c r="F536" s="574"/>
      <c r="G536" s="580"/>
      <c r="H536" s="576"/>
      <c r="I536" s="576"/>
      <c r="J536" s="576"/>
      <c r="K536" s="576"/>
      <c r="L536" s="576"/>
      <c r="M536" s="576"/>
      <c r="N536" s="576"/>
      <c r="O536" s="576"/>
      <c r="P536" s="576"/>
      <c r="Q536" s="576"/>
      <c r="R536" s="577"/>
      <c r="S536" s="578"/>
      <c r="T536" s="576"/>
      <c r="U536" s="576"/>
      <c r="V536" s="576"/>
      <c r="W536" s="576"/>
      <c r="X536" s="576"/>
      <c r="Y536" s="576"/>
      <c r="Z536" s="576"/>
      <c r="AA536" s="576"/>
      <c r="AB536" s="576"/>
      <c r="AC536" s="576"/>
      <c r="AD536" s="579"/>
      <c r="AE536" s="580"/>
      <c r="AF536" s="576"/>
      <c r="AG536" s="576"/>
      <c r="AH536" s="579"/>
      <c r="AJ536" s="617"/>
      <c r="AK536" s="617">
        <f t="shared" si="588"/>
        <v>0</v>
      </c>
    </row>
    <row r="537" spans="1:37" s="569" customFormat="1">
      <c r="A537" s="592" t="s">
        <v>27979</v>
      </c>
      <c r="B537" s="593" t="str">
        <f>PLANILHA!D535</f>
        <v>FACHADA POSTERIOR - ENVOLTÓRIA DA ESCADA</v>
      </c>
      <c r="C537" s="594"/>
      <c r="D537" s="589"/>
      <c r="E537" s="589"/>
      <c r="F537" s="595">
        <f>VLOOKUP(A537,PLANILHA,$G$6,0)</f>
        <v>0</v>
      </c>
      <c r="G537" s="596"/>
      <c r="H537" s="597"/>
      <c r="I537" s="597"/>
      <c r="J537" s="597"/>
      <c r="K537" s="597"/>
      <c r="L537" s="597"/>
      <c r="M537" s="597"/>
      <c r="N537" s="597"/>
      <c r="O537" s="597"/>
      <c r="P537" s="597"/>
      <c r="Q537" s="597"/>
      <c r="R537" s="598"/>
      <c r="S537" s="599"/>
      <c r="T537" s="597"/>
      <c r="U537" s="597"/>
      <c r="V537" s="597"/>
      <c r="W537" s="597"/>
      <c r="X537" s="597"/>
      <c r="Y537" s="597"/>
      <c r="Z537" s="597"/>
      <c r="AA537" s="597"/>
      <c r="AB537" s="597"/>
      <c r="AC537" s="597"/>
      <c r="AD537" s="600"/>
      <c r="AE537" s="596"/>
      <c r="AF537" s="597"/>
      <c r="AG537" s="597"/>
      <c r="AH537" s="600"/>
      <c r="AI537" s="568"/>
      <c r="AJ537" s="617"/>
      <c r="AK537" s="617">
        <f t="shared" si="588"/>
        <v>0</v>
      </c>
    </row>
    <row r="538" spans="1:37">
      <c r="A538" s="570" t="s">
        <v>27980</v>
      </c>
      <c r="B538" s="571" t="str">
        <f>PLANILHA!D536</f>
        <v>SERVIÇOS PRELIMINARES</v>
      </c>
      <c r="C538" s="572"/>
      <c r="D538" s="573"/>
      <c r="E538" s="573"/>
      <c r="F538" s="574">
        <f>VLOOKUP(A538,PLANILHA,$G$6,0)</f>
        <v>0</v>
      </c>
      <c r="G538" s="580"/>
      <c r="H538" s="576"/>
      <c r="I538" s="576"/>
      <c r="J538" s="576"/>
      <c r="K538" s="576"/>
      <c r="L538" s="576"/>
      <c r="M538" s="576"/>
      <c r="N538" s="576"/>
      <c r="O538" s="576"/>
      <c r="P538" s="576"/>
      <c r="Q538" s="576"/>
      <c r="R538" s="577"/>
      <c r="S538" s="578"/>
      <c r="T538" s="576"/>
      <c r="U538" s="576"/>
      <c r="V538" s="576"/>
      <c r="W538" s="576"/>
      <c r="X538" s="576"/>
      <c r="Y538" s="576"/>
      <c r="Z538" s="576"/>
      <c r="AA538" s="576"/>
      <c r="AB538" s="576"/>
      <c r="AC538" s="576"/>
      <c r="AD538" s="579"/>
      <c r="AE538" s="580"/>
      <c r="AF538" s="576"/>
      <c r="AG538" s="576"/>
      <c r="AH538" s="579"/>
      <c r="AJ538" s="617"/>
      <c r="AK538" s="617">
        <f t="shared" si="588"/>
        <v>0</v>
      </c>
    </row>
    <row r="539" spans="1:37" ht="30">
      <c r="A539" s="570" t="s">
        <v>27981</v>
      </c>
      <c r="B539" s="571" t="str">
        <f>PLANILHA!D537</f>
        <v>ESCAVAÇÃO MANUAL DE VALA PARA VIGA BALDRAME (SEM ESCAVAÇÃO PARA COLOCAÇÃO DE FÔRMAS). AF_06/2017</v>
      </c>
      <c r="C539" s="572" t="str">
        <f>PLANILHA!E537</f>
        <v>M3</v>
      </c>
      <c r="D539" s="573">
        <f>PLANILHA!F537</f>
        <v>0.55000000000000004</v>
      </c>
      <c r="E539" s="573">
        <f>VLOOKUP(A539,PLANILHA,$G$7,0)</f>
        <v>295.01</v>
      </c>
      <c r="F539" s="574">
        <f>VLOOKUP(A539,PLANILHA,$G$6,0)</f>
        <v>162.25</v>
      </c>
      <c r="G539" s="580">
        <f>D539</f>
        <v>0.55000000000000004</v>
      </c>
      <c r="H539" s="576">
        <f>TRUNC(G539*$E539,2)</f>
        <v>162.25</v>
      </c>
      <c r="I539" s="576"/>
      <c r="J539" s="576">
        <f t="shared" ref="J539:J546" si="594">I539*$E539</f>
        <v>0</v>
      </c>
      <c r="K539" s="576"/>
      <c r="L539" s="576">
        <f t="shared" ref="L539:L546" si="595">K539*$E539</f>
        <v>0</v>
      </c>
      <c r="M539" s="576"/>
      <c r="N539" s="576">
        <f t="shared" ref="N539:N546" si="596">M539*$E539</f>
        <v>0</v>
      </c>
      <c r="O539" s="576"/>
      <c r="P539" s="576">
        <f t="shared" ref="P539:P546" si="597">O539*$E539</f>
        <v>0</v>
      </c>
      <c r="Q539" s="576"/>
      <c r="R539" s="577">
        <f t="shared" ref="R539:R546" si="598">Q539*$E539</f>
        <v>0</v>
      </c>
      <c r="S539" s="578"/>
      <c r="T539" s="576">
        <f t="shared" ref="T539:T546" si="599">S539*$E539</f>
        <v>0</v>
      </c>
      <c r="U539" s="576"/>
      <c r="V539" s="576">
        <f t="shared" ref="V539:V546" si="600">U539*$E539</f>
        <v>0</v>
      </c>
      <c r="W539" s="576"/>
      <c r="X539" s="576">
        <f t="shared" ref="X539:X546" si="601">W539*$E539</f>
        <v>0</v>
      </c>
      <c r="Y539" s="576"/>
      <c r="Z539" s="576">
        <f t="shared" ref="Z539:Z546" si="602">Y539*$E539</f>
        <v>0</v>
      </c>
      <c r="AA539" s="576"/>
      <c r="AB539" s="576">
        <f t="shared" ref="AB539:AB546" si="603">AA539*$E539</f>
        <v>0</v>
      </c>
      <c r="AC539" s="576"/>
      <c r="AD539" s="579">
        <f t="shared" ref="AD539:AD546" si="604">AC539*$E539</f>
        <v>0</v>
      </c>
      <c r="AE539" s="580">
        <f t="shared" ref="AE539:AE546" si="605">AC539+AA539+Y539+W539+U539+S539+Q539+O539+M539+K539+I539+G539</f>
        <v>0.55000000000000004</v>
      </c>
      <c r="AF539" s="576">
        <f t="shared" ref="AF539:AF540" si="606">TRUNC(AE539*E539,2)</f>
        <v>162.25</v>
      </c>
      <c r="AG539" s="576">
        <f t="shared" ref="AG539:AG546" si="607">D539-AE539</f>
        <v>0</v>
      </c>
      <c r="AH539" s="579">
        <f t="shared" ref="AH539:AH546" si="608">AG539*E539</f>
        <v>0</v>
      </c>
      <c r="AJ539" s="617"/>
      <c r="AK539" s="617">
        <f t="shared" si="588"/>
        <v>0</v>
      </c>
    </row>
    <row r="540" spans="1:37" ht="30">
      <c r="A540" s="570" t="s">
        <v>27982</v>
      </c>
      <c r="B540" s="571" t="str">
        <f>PLANILHA!D538</f>
        <v>PREPARO DE FUNDO DE VALA COM LARGURA MENOR QUE 1,5 M (ACERTO DO SOLO NATURAL). AF_08/2020</v>
      </c>
      <c r="C540" s="572" t="str">
        <f>PLANILHA!E538</f>
        <v>M2</v>
      </c>
      <c r="D540" s="573">
        <f>PLANILHA!F538</f>
        <v>1</v>
      </c>
      <c r="E540" s="573">
        <f>VLOOKUP(A540,PLANILHA,$G$7,0)</f>
        <v>5.94</v>
      </c>
      <c r="F540" s="574">
        <f>VLOOKUP(A540,PLANILHA,$G$6,0)</f>
        <v>5.94</v>
      </c>
      <c r="G540" s="580">
        <f>D540</f>
        <v>1</v>
      </c>
      <c r="H540" s="576">
        <f>TRUNC(G540*$E540,2)</f>
        <v>5.94</v>
      </c>
      <c r="I540" s="576"/>
      <c r="J540" s="576">
        <f t="shared" si="594"/>
        <v>0</v>
      </c>
      <c r="K540" s="576"/>
      <c r="L540" s="576">
        <f t="shared" si="595"/>
        <v>0</v>
      </c>
      <c r="M540" s="576"/>
      <c r="N540" s="576">
        <f t="shared" si="596"/>
        <v>0</v>
      </c>
      <c r="O540" s="576"/>
      <c r="P540" s="576">
        <f t="shared" si="597"/>
        <v>0</v>
      </c>
      <c r="Q540" s="576"/>
      <c r="R540" s="577">
        <f t="shared" si="598"/>
        <v>0</v>
      </c>
      <c r="S540" s="578"/>
      <c r="T540" s="576">
        <f t="shared" si="599"/>
        <v>0</v>
      </c>
      <c r="U540" s="576"/>
      <c r="V540" s="576">
        <f t="shared" si="600"/>
        <v>0</v>
      </c>
      <c r="W540" s="576"/>
      <c r="X540" s="576">
        <f t="shared" si="601"/>
        <v>0</v>
      </c>
      <c r="Y540" s="576"/>
      <c r="Z540" s="576">
        <f t="shared" si="602"/>
        <v>0</v>
      </c>
      <c r="AA540" s="576"/>
      <c r="AB540" s="576">
        <f t="shared" si="603"/>
        <v>0</v>
      </c>
      <c r="AC540" s="576"/>
      <c r="AD540" s="579">
        <f t="shared" si="604"/>
        <v>0</v>
      </c>
      <c r="AE540" s="580">
        <f t="shared" si="605"/>
        <v>1</v>
      </c>
      <c r="AF540" s="576">
        <f t="shared" si="606"/>
        <v>5.94</v>
      </c>
      <c r="AG540" s="576">
        <f t="shared" si="607"/>
        <v>0</v>
      </c>
      <c r="AH540" s="579">
        <f t="shared" si="608"/>
        <v>0</v>
      </c>
      <c r="AJ540" s="617"/>
      <c r="AK540" s="617">
        <f t="shared" si="588"/>
        <v>0</v>
      </c>
    </row>
    <row r="541" spans="1:37" s="569" customFormat="1">
      <c r="A541" s="581" t="s">
        <v>27243</v>
      </c>
      <c r="B541" s="582"/>
      <c r="C541" s="583"/>
      <c r="D541" s="584"/>
      <c r="E541" s="584"/>
      <c r="F541" s="584">
        <f>SUM(F539:F540)</f>
        <v>168.19</v>
      </c>
      <c r="G541" s="586"/>
      <c r="H541" s="584">
        <f>SUM(H539:H540)</f>
        <v>168.19</v>
      </c>
      <c r="I541" s="584"/>
      <c r="J541" s="584">
        <f>SUM(J539:J540)</f>
        <v>0</v>
      </c>
      <c r="K541" s="584"/>
      <c r="L541" s="584">
        <f>SUM(L539:L540)</f>
        <v>0</v>
      </c>
      <c r="M541" s="584"/>
      <c r="N541" s="584">
        <f>SUM(N539:N540)</f>
        <v>0</v>
      </c>
      <c r="O541" s="584"/>
      <c r="P541" s="584">
        <f>SUM(P539:P540)</f>
        <v>0</v>
      </c>
      <c r="Q541" s="584"/>
      <c r="R541" s="587">
        <f>SUM(R539:R540)</f>
        <v>0</v>
      </c>
      <c r="S541" s="588"/>
      <c r="T541" s="584">
        <f>SUM(T539:T540)</f>
        <v>0</v>
      </c>
      <c r="U541" s="584"/>
      <c r="V541" s="584">
        <f>SUM(V539:V540)</f>
        <v>0</v>
      </c>
      <c r="W541" s="584"/>
      <c r="X541" s="584">
        <f>SUM(X539:X540)</f>
        <v>0</v>
      </c>
      <c r="Y541" s="584"/>
      <c r="Z541" s="584">
        <f>SUM(Z539:Z540)</f>
        <v>0</v>
      </c>
      <c r="AA541" s="584"/>
      <c r="AB541" s="584">
        <f>SUM(AB539:AB540)</f>
        <v>0</v>
      </c>
      <c r="AC541" s="584"/>
      <c r="AD541" s="585">
        <f>SUM(AD539:AD540)</f>
        <v>0</v>
      </c>
      <c r="AE541" s="590">
        <f t="shared" si="605"/>
        <v>0</v>
      </c>
      <c r="AF541" s="584">
        <f>SUM(AF539:AF540)</f>
        <v>168.19</v>
      </c>
      <c r="AG541" s="591">
        <f t="shared" si="607"/>
        <v>0</v>
      </c>
      <c r="AH541" s="585">
        <f>SUM(AH539:AH540)</f>
        <v>0</v>
      </c>
      <c r="AI541" s="568"/>
      <c r="AJ541" s="617"/>
      <c r="AK541" s="617">
        <f t="shared" si="588"/>
        <v>0</v>
      </c>
    </row>
    <row r="542" spans="1:37">
      <c r="A542" s="570"/>
      <c r="B542" s="571"/>
      <c r="C542" s="572"/>
      <c r="D542" s="573"/>
      <c r="E542" s="573"/>
      <c r="F542" s="574"/>
      <c r="G542" s="580"/>
      <c r="H542" s="576"/>
      <c r="I542" s="576"/>
      <c r="J542" s="576"/>
      <c r="K542" s="576"/>
      <c r="L542" s="576"/>
      <c r="M542" s="576"/>
      <c r="N542" s="576"/>
      <c r="O542" s="576"/>
      <c r="P542" s="576"/>
      <c r="Q542" s="576"/>
      <c r="R542" s="577"/>
      <c r="S542" s="578"/>
      <c r="T542" s="576"/>
      <c r="U542" s="576"/>
      <c r="V542" s="576"/>
      <c r="W542" s="576"/>
      <c r="X542" s="576"/>
      <c r="Y542" s="576"/>
      <c r="Z542" s="576"/>
      <c r="AA542" s="576"/>
      <c r="AB542" s="576"/>
      <c r="AC542" s="576"/>
      <c r="AD542" s="579"/>
      <c r="AE542" s="580"/>
      <c r="AF542" s="576"/>
      <c r="AG542" s="576"/>
      <c r="AH542" s="579"/>
      <c r="AJ542" s="617"/>
      <c r="AK542" s="617">
        <f t="shared" si="588"/>
        <v>0</v>
      </c>
    </row>
    <row r="543" spans="1:37" s="569" customFormat="1">
      <c r="A543" s="592" t="s">
        <v>27983</v>
      </c>
      <c r="B543" s="593" t="str">
        <f>PLANILHA!D541</f>
        <v>FUNDAÇÃO</v>
      </c>
      <c r="C543" s="594"/>
      <c r="D543" s="589"/>
      <c r="E543" s="589"/>
      <c r="F543" s="595">
        <f t="shared" ref="F543:F549" si="609">VLOOKUP(A543,PLANILHA,$G$6,0)</f>
        <v>0</v>
      </c>
      <c r="G543" s="596"/>
      <c r="H543" s="597"/>
      <c r="I543" s="597"/>
      <c r="J543" s="597"/>
      <c r="K543" s="597"/>
      <c r="L543" s="597"/>
      <c r="M543" s="597"/>
      <c r="N543" s="597"/>
      <c r="O543" s="597"/>
      <c r="P543" s="597"/>
      <c r="Q543" s="597"/>
      <c r="R543" s="598"/>
      <c r="S543" s="599"/>
      <c r="T543" s="597"/>
      <c r="U543" s="597"/>
      <c r="V543" s="597"/>
      <c r="W543" s="597"/>
      <c r="X543" s="597"/>
      <c r="Y543" s="597"/>
      <c r="Z543" s="597"/>
      <c r="AA543" s="597"/>
      <c r="AB543" s="597"/>
      <c r="AC543" s="597"/>
      <c r="AD543" s="600"/>
      <c r="AE543" s="596"/>
      <c r="AF543" s="597"/>
      <c r="AG543" s="597"/>
      <c r="AH543" s="600"/>
      <c r="AI543" s="568"/>
      <c r="AJ543" s="617"/>
      <c r="AK543" s="617">
        <f t="shared" si="588"/>
        <v>0</v>
      </c>
    </row>
    <row r="544" spans="1:37" ht="30">
      <c r="A544" s="570" t="s">
        <v>27984</v>
      </c>
      <c r="B544" s="571" t="str">
        <f>PLANILHA!D542</f>
        <v>CONCRETAGEM DE SAPATAS, FCK 30 MPA, COM USO DE BOMBA  LANÇAMENTO, ADENSAMENTO E ACABAMENTO. AF_11/2016</v>
      </c>
      <c r="C544" s="572" t="str">
        <f>PLANILHA!E542</f>
        <v>M3</v>
      </c>
      <c r="D544" s="573">
        <f>PLANILHA!F542</f>
        <v>3</v>
      </c>
      <c r="E544" s="573">
        <f t="shared" ref="E544:E549" si="610">VLOOKUP(A544,PLANILHA,$G$7,0)</f>
        <v>867.34</v>
      </c>
      <c r="F544" s="574">
        <f t="shared" si="609"/>
        <v>2602.02</v>
      </c>
      <c r="G544" s="580">
        <f t="shared" ref="G544:G549" si="611">D544</f>
        <v>3</v>
      </c>
      <c r="H544" s="576">
        <f t="shared" ref="H544:H549" si="612">TRUNC(G544*$E544,2)</f>
        <v>2602.02</v>
      </c>
      <c r="I544" s="576"/>
      <c r="J544" s="576">
        <f t="shared" si="594"/>
        <v>0</v>
      </c>
      <c r="K544" s="576"/>
      <c r="L544" s="576">
        <f t="shared" si="595"/>
        <v>0</v>
      </c>
      <c r="M544" s="576"/>
      <c r="N544" s="576">
        <f t="shared" si="596"/>
        <v>0</v>
      </c>
      <c r="O544" s="576"/>
      <c r="P544" s="576">
        <f t="shared" si="597"/>
        <v>0</v>
      </c>
      <c r="Q544" s="576"/>
      <c r="R544" s="577">
        <f t="shared" si="598"/>
        <v>0</v>
      </c>
      <c r="S544" s="578"/>
      <c r="T544" s="576">
        <f t="shared" si="599"/>
        <v>0</v>
      </c>
      <c r="U544" s="576"/>
      <c r="V544" s="576">
        <f t="shared" si="600"/>
        <v>0</v>
      </c>
      <c r="W544" s="576"/>
      <c r="X544" s="576">
        <f t="shared" si="601"/>
        <v>0</v>
      </c>
      <c r="Y544" s="576"/>
      <c r="Z544" s="576">
        <f t="shared" si="602"/>
        <v>0</v>
      </c>
      <c r="AA544" s="576"/>
      <c r="AB544" s="576">
        <f t="shared" si="603"/>
        <v>0</v>
      </c>
      <c r="AC544" s="576"/>
      <c r="AD544" s="579">
        <f t="shared" si="604"/>
        <v>0</v>
      </c>
      <c r="AE544" s="580">
        <f t="shared" si="605"/>
        <v>3</v>
      </c>
      <c r="AF544" s="576">
        <f t="shared" ref="AF544:AF549" si="613">TRUNC(AE544*E544,2)</f>
        <v>2602.02</v>
      </c>
      <c r="AG544" s="576">
        <f t="shared" si="607"/>
        <v>0</v>
      </c>
      <c r="AH544" s="579">
        <f t="shared" si="608"/>
        <v>0</v>
      </c>
      <c r="AJ544" s="617"/>
      <c r="AK544" s="617">
        <f t="shared" si="588"/>
        <v>0</v>
      </c>
    </row>
    <row r="545" spans="1:37" ht="30">
      <c r="A545" s="570" t="s">
        <v>27985</v>
      </c>
      <c r="B545" s="571" t="str">
        <f>PLANILHA!D543</f>
        <v>ARMAÇÃO DE BLOCO, VIGA BALDRAME E SAPATA UTILIZANDO AÇO CA-60 DE 5 MM - MONTAGEM. AF_06/2017</v>
      </c>
      <c r="C545" s="572" t="str">
        <f>PLANILHA!E543</f>
        <v>KG</v>
      </c>
      <c r="D545" s="573">
        <f>PLANILHA!F543</f>
        <v>66.599999999999994</v>
      </c>
      <c r="E545" s="573">
        <f t="shared" si="610"/>
        <v>22.55</v>
      </c>
      <c r="F545" s="574">
        <f t="shared" si="609"/>
        <v>1501.83</v>
      </c>
      <c r="G545" s="580">
        <f t="shared" si="611"/>
        <v>66.599999999999994</v>
      </c>
      <c r="H545" s="576">
        <f t="shared" si="612"/>
        <v>1501.83</v>
      </c>
      <c r="I545" s="576"/>
      <c r="J545" s="576">
        <f t="shared" si="594"/>
        <v>0</v>
      </c>
      <c r="K545" s="576"/>
      <c r="L545" s="576">
        <f t="shared" si="595"/>
        <v>0</v>
      </c>
      <c r="M545" s="576"/>
      <c r="N545" s="576">
        <f t="shared" si="596"/>
        <v>0</v>
      </c>
      <c r="O545" s="576"/>
      <c r="P545" s="576">
        <f t="shared" si="597"/>
        <v>0</v>
      </c>
      <c r="Q545" s="576"/>
      <c r="R545" s="577">
        <f t="shared" si="598"/>
        <v>0</v>
      </c>
      <c r="S545" s="578"/>
      <c r="T545" s="576">
        <f t="shared" si="599"/>
        <v>0</v>
      </c>
      <c r="U545" s="576"/>
      <c r="V545" s="576">
        <f t="shared" si="600"/>
        <v>0</v>
      </c>
      <c r="W545" s="576"/>
      <c r="X545" s="576">
        <f t="shared" si="601"/>
        <v>0</v>
      </c>
      <c r="Y545" s="576"/>
      <c r="Z545" s="576">
        <f t="shared" si="602"/>
        <v>0</v>
      </c>
      <c r="AA545" s="576"/>
      <c r="AB545" s="576">
        <f t="shared" si="603"/>
        <v>0</v>
      </c>
      <c r="AC545" s="576"/>
      <c r="AD545" s="579">
        <f t="shared" si="604"/>
        <v>0</v>
      </c>
      <c r="AE545" s="580">
        <f t="shared" si="605"/>
        <v>66.599999999999994</v>
      </c>
      <c r="AF545" s="576">
        <f t="shared" si="613"/>
        <v>1501.83</v>
      </c>
      <c r="AG545" s="576">
        <f t="shared" si="607"/>
        <v>0</v>
      </c>
      <c r="AH545" s="579">
        <f t="shared" si="608"/>
        <v>0</v>
      </c>
      <c r="AJ545" s="617"/>
      <c r="AK545" s="617">
        <f t="shared" si="588"/>
        <v>0</v>
      </c>
    </row>
    <row r="546" spans="1:37" ht="30">
      <c r="A546" s="570" t="s">
        <v>27986</v>
      </c>
      <c r="B546" s="571" t="str">
        <f>PLANILHA!D544</f>
        <v>ARMAÇÃO DE BLOCO, VIGA BALDRAME OU SAPATA UTILIZANDO AÇO CA-50 DE 10 MM - MONTAGEM. AF_06/2017</v>
      </c>
      <c r="C546" s="572" t="str">
        <f>PLANILHA!E544</f>
        <v>KG</v>
      </c>
      <c r="D546" s="573">
        <f>PLANILHA!F544</f>
        <v>146.1</v>
      </c>
      <c r="E546" s="573">
        <f t="shared" si="610"/>
        <v>18.149999999999999</v>
      </c>
      <c r="F546" s="574">
        <f t="shared" si="609"/>
        <v>2651.71</v>
      </c>
      <c r="G546" s="580">
        <f t="shared" si="611"/>
        <v>146.1</v>
      </c>
      <c r="H546" s="576">
        <f t="shared" si="612"/>
        <v>2651.71</v>
      </c>
      <c r="I546" s="576"/>
      <c r="J546" s="576">
        <f t="shared" si="594"/>
        <v>0</v>
      </c>
      <c r="K546" s="576"/>
      <c r="L546" s="576">
        <f t="shared" si="595"/>
        <v>0</v>
      </c>
      <c r="M546" s="576"/>
      <c r="N546" s="576">
        <f t="shared" si="596"/>
        <v>0</v>
      </c>
      <c r="O546" s="576"/>
      <c r="P546" s="576">
        <f t="shared" si="597"/>
        <v>0</v>
      </c>
      <c r="Q546" s="576"/>
      <c r="R546" s="577">
        <f t="shared" si="598"/>
        <v>0</v>
      </c>
      <c r="S546" s="578"/>
      <c r="T546" s="576">
        <f t="shared" si="599"/>
        <v>0</v>
      </c>
      <c r="U546" s="576"/>
      <c r="V546" s="576">
        <f t="shared" si="600"/>
        <v>0</v>
      </c>
      <c r="W546" s="576"/>
      <c r="X546" s="576">
        <f t="shared" si="601"/>
        <v>0</v>
      </c>
      <c r="Y546" s="576"/>
      <c r="Z546" s="576">
        <f t="shared" si="602"/>
        <v>0</v>
      </c>
      <c r="AA546" s="576"/>
      <c r="AB546" s="576">
        <f t="shared" si="603"/>
        <v>0</v>
      </c>
      <c r="AC546" s="576"/>
      <c r="AD546" s="579">
        <f t="shared" si="604"/>
        <v>0</v>
      </c>
      <c r="AE546" s="580">
        <f t="shared" si="605"/>
        <v>146.1</v>
      </c>
      <c r="AF546" s="576">
        <f t="shared" si="613"/>
        <v>2651.71</v>
      </c>
      <c r="AG546" s="576">
        <f t="shared" si="607"/>
        <v>0</v>
      </c>
      <c r="AH546" s="579">
        <f t="shared" si="608"/>
        <v>0</v>
      </c>
      <c r="AJ546" s="617"/>
      <c r="AK546" s="617">
        <f t="shared" si="588"/>
        <v>0</v>
      </c>
    </row>
    <row r="547" spans="1:37" ht="30">
      <c r="A547" s="570" t="s">
        <v>27987</v>
      </c>
      <c r="B547" s="571" t="str">
        <f>PLANILHA!D545</f>
        <v>FABRICAÇÃO DE FÔRMA PARA PILARES E ESTRUTURAS SIMILARES, EM CHAPA DE MADEIRA COMPENSADA RESINADA, E = 17 MM. AF_09/2020</v>
      </c>
      <c r="C547" s="572" t="str">
        <f>PLANILHA!E545</f>
        <v>M2</v>
      </c>
      <c r="D547" s="573">
        <f>PLANILHA!F545</f>
        <v>38.340000000000003</v>
      </c>
      <c r="E547" s="573">
        <f t="shared" si="610"/>
        <v>215.06</v>
      </c>
      <c r="F547" s="574">
        <f t="shared" si="609"/>
        <v>8245.4</v>
      </c>
      <c r="G547" s="580">
        <f t="shared" si="611"/>
        <v>38.340000000000003</v>
      </c>
      <c r="H547" s="576">
        <f t="shared" si="612"/>
        <v>8245.4</v>
      </c>
      <c r="I547" s="576"/>
      <c r="J547" s="576">
        <f t="shared" ref="J547:J549" si="614">I547*$E547</f>
        <v>0</v>
      </c>
      <c r="K547" s="576"/>
      <c r="L547" s="576">
        <f t="shared" ref="L547:L554" si="615">K547*$E547</f>
        <v>0</v>
      </c>
      <c r="M547" s="576"/>
      <c r="N547" s="576">
        <f t="shared" ref="N547:N554" si="616">M547*$E547</f>
        <v>0</v>
      </c>
      <c r="O547" s="576"/>
      <c r="P547" s="576">
        <f t="shared" ref="P547:P554" si="617">O547*$E547</f>
        <v>0</v>
      </c>
      <c r="Q547" s="576"/>
      <c r="R547" s="577">
        <f t="shared" ref="R547:R554" si="618">Q547*$E547</f>
        <v>0</v>
      </c>
      <c r="S547" s="578"/>
      <c r="T547" s="576">
        <f t="shared" ref="T547:T554" si="619">S547*$E547</f>
        <v>0</v>
      </c>
      <c r="U547" s="576"/>
      <c r="V547" s="576">
        <f t="shared" ref="V547:V554" si="620">U547*$E547</f>
        <v>0</v>
      </c>
      <c r="W547" s="576"/>
      <c r="X547" s="576">
        <f t="shared" ref="X547:X554" si="621">W547*$E547</f>
        <v>0</v>
      </c>
      <c r="Y547" s="576"/>
      <c r="Z547" s="576">
        <f t="shared" ref="Z547:Z554" si="622">Y547*$E547</f>
        <v>0</v>
      </c>
      <c r="AA547" s="576"/>
      <c r="AB547" s="576">
        <f t="shared" ref="AB547:AB554" si="623">AA547*$E547</f>
        <v>0</v>
      </c>
      <c r="AC547" s="576"/>
      <c r="AD547" s="579">
        <f t="shared" ref="AD547:AD554" si="624">AC547*$E547</f>
        <v>0</v>
      </c>
      <c r="AE547" s="580">
        <f t="shared" ref="AE547:AE553" si="625">AC547+AA547+Y547+W547+U547+S547+Q547+O547+M547+K547+I547+G547</f>
        <v>38.340000000000003</v>
      </c>
      <c r="AF547" s="576">
        <f t="shared" si="613"/>
        <v>8245.4</v>
      </c>
      <c r="AG547" s="576">
        <f t="shared" ref="AG547:AG554" si="626">D547-AE547</f>
        <v>0</v>
      </c>
      <c r="AH547" s="579">
        <f t="shared" ref="AH547:AH554" si="627">AG547*E547</f>
        <v>0</v>
      </c>
      <c r="AJ547" s="617"/>
      <c r="AK547" s="617">
        <f t="shared" si="588"/>
        <v>0</v>
      </c>
    </row>
    <row r="548" spans="1:37" ht="30">
      <c r="A548" s="570" t="s">
        <v>27988</v>
      </c>
      <c r="B548" s="571" t="str">
        <f>PLANILHA!D546</f>
        <v>IMPERMEABILIZAÇÃO DE SUPERFÍCIE COM EMULSÃO ASFÁLTICA, 2 DEMÃOS AF_06/2018</v>
      </c>
      <c r="C548" s="572" t="str">
        <f>PLANILHA!E546</f>
        <v>M2</v>
      </c>
      <c r="D548" s="573">
        <f>PLANILHA!F546</f>
        <v>38.340000000000003</v>
      </c>
      <c r="E548" s="573">
        <f t="shared" si="610"/>
        <v>71.89</v>
      </c>
      <c r="F548" s="574">
        <f t="shared" si="609"/>
        <v>2756.26</v>
      </c>
      <c r="G548" s="580">
        <f t="shared" si="611"/>
        <v>38.340000000000003</v>
      </c>
      <c r="H548" s="576">
        <f t="shared" si="612"/>
        <v>2756.26</v>
      </c>
      <c r="I548" s="576"/>
      <c r="J548" s="576">
        <f t="shared" si="614"/>
        <v>0</v>
      </c>
      <c r="K548" s="576"/>
      <c r="L548" s="576">
        <f t="shared" si="615"/>
        <v>0</v>
      </c>
      <c r="M548" s="576"/>
      <c r="N548" s="576">
        <f t="shared" si="616"/>
        <v>0</v>
      </c>
      <c r="O548" s="576"/>
      <c r="P548" s="576">
        <f t="shared" si="617"/>
        <v>0</v>
      </c>
      <c r="Q548" s="576"/>
      <c r="R548" s="577">
        <f t="shared" si="618"/>
        <v>0</v>
      </c>
      <c r="S548" s="578"/>
      <c r="T548" s="576">
        <f t="shared" si="619"/>
        <v>0</v>
      </c>
      <c r="U548" s="576"/>
      <c r="V548" s="576">
        <f t="shared" si="620"/>
        <v>0</v>
      </c>
      <c r="W548" s="576"/>
      <c r="X548" s="576">
        <f t="shared" si="621"/>
        <v>0</v>
      </c>
      <c r="Y548" s="576"/>
      <c r="Z548" s="576">
        <f t="shared" si="622"/>
        <v>0</v>
      </c>
      <c r="AA548" s="576"/>
      <c r="AB548" s="576">
        <f t="shared" si="623"/>
        <v>0</v>
      </c>
      <c r="AC548" s="576"/>
      <c r="AD548" s="579">
        <f t="shared" si="624"/>
        <v>0</v>
      </c>
      <c r="AE548" s="580">
        <f t="shared" si="625"/>
        <v>38.340000000000003</v>
      </c>
      <c r="AF548" s="576">
        <f t="shared" si="613"/>
        <v>2756.26</v>
      </c>
      <c r="AG548" s="576">
        <f t="shared" si="626"/>
        <v>0</v>
      </c>
      <c r="AH548" s="579">
        <f t="shared" si="627"/>
        <v>0</v>
      </c>
      <c r="AJ548" s="617"/>
      <c r="AK548" s="617">
        <f t="shared" si="588"/>
        <v>0</v>
      </c>
    </row>
    <row r="549" spans="1:37" ht="45">
      <c r="A549" s="570" t="s">
        <v>27989</v>
      </c>
      <c r="B549" s="571" t="str">
        <f>PLANILHA!D547</f>
        <v>ESTACA HÉLICE CONTÍNUA, DIÂMETRO DE 30 CM, INCLUSO CONCRETO FCK=30MPA E ARMADURA MÍNIMA (EXCLUSIVE MOBILIZAÇÃO, DESMOBILIZAÇÃO E BOMBEAMENTO). AF_12/2019</v>
      </c>
      <c r="C549" s="572" t="str">
        <f>PLANILHA!E547</f>
        <v>M</v>
      </c>
      <c r="D549" s="573">
        <f>PLANILHA!F547</f>
        <v>8</v>
      </c>
      <c r="E549" s="573">
        <f t="shared" si="610"/>
        <v>170.66</v>
      </c>
      <c r="F549" s="574">
        <f t="shared" si="609"/>
        <v>1365.28</v>
      </c>
      <c r="G549" s="580">
        <f t="shared" si="611"/>
        <v>8</v>
      </c>
      <c r="H549" s="576">
        <f t="shared" si="612"/>
        <v>1365.28</v>
      </c>
      <c r="I549" s="576"/>
      <c r="J549" s="576">
        <f t="shared" si="614"/>
        <v>0</v>
      </c>
      <c r="K549" s="576"/>
      <c r="L549" s="576">
        <f t="shared" si="615"/>
        <v>0</v>
      </c>
      <c r="M549" s="576"/>
      <c r="N549" s="576">
        <f t="shared" si="616"/>
        <v>0</v>
      </c>
      <c r="O549" s="576"/>
      <c r="P549" s="576">
        <f t="shared" si="617"/>
        <v>0</v>
      </c>
      <c r="Q549" s="576"/>
      <c r="R549" s="577">
        <f t="shared" si="618"/>
        <v>0</v>
      </c>
      <c r="S549" s="578"/>
      <c r="T549" s="576">
        <f t="shared" si="619"/>
        <v>0</v>
      </c>
      <c r="U549" s="576"/>
      <c r="V549" s="576">
        <f t="shared" si="620"/>
        <v>0</v>
      </c>
      <c r="W549" s="576"/>
      <c r="X549" s="576">
        <f t="shared" si="621"/>
        <v>0</v>
      </c>
      <c r="Y549" s="576"/>
      <c r="Z549" s="576">
        <f t="shared" si="622"/>
        <v>0</v>
      </c>
      <c r="AA549" s="576"/>
      <c r="AB549" s="576">
        <f t="shared" si="623"/>
        <v>0</v>
      </c>
      <c r="AC549" s="576"/>
      <c r="AD549" s="579">
        <f t="shared" si="624"/>
        <v>0</v>
      </c>
      <c r="AE549" s="580">
        <f t="shared" si="625"/>
        <v>8</v>
      </c>
      <c r="AF549" s="576">
        <f t="shared" si="613"/>
        <v>1365.28</v>
      </c>
      <c r="AG549" s="576">
        <f t="shared" si="626"/>
        <v>0</v>
      </c>
      <c r="AH549" s="579">
        <f t="shared" si="627"/>
        <v>0</v>
      </c>
      <c r="AJ549" s="617"/>
      <c r="AK549" s="617">
        <f t="shared" si="588"/>
        <v>0</v>
      </c>
    </row>
    <row r="550" spans="1:37" s="569" customFormat="1">
      <c r="A550" s="581" t="s">
        <v>27244</v>
      </c>
      <c r="B550" s="582"/>
      <c r="C550" s="583"/>
      <c r="D550" s="584"/>
      <c r="E550" s="584"/>
      <c r="F550" s="584">
        <f>SUM(F544:F549)</f>
        <v>19122.5</v>
      </c>
      <c r="G550" s="586"/>
      <c r="H550" s="584">
        <f>SUM(H544:H549)</f>
        <v>19122.5</v>
      </c>
      <c r="I550" s="584"/>
      <c r="J550" s="584">
        <f>SUM(J544:J549)</f>
        <v>0</v>
      </c>
      <c r="K550" s="584"/>
      <c r="L550" s="584">
        <f>SUM(L544:L549)</f>
        <v>0</v>
      </c>
      <c r="M550" s="584"/>
      <c r="N550" s="584">
        <f>SUM(N544:N549)</f>
        <v>0</v>
      </c>
      <c r="O550" s="584"/>
      <c r="P550" s="584">
        <f>SUM(P544:P549)</f>
        <v>0</v>
      </c>
      <c r="Q550" s="584"/>
      <c r="R550" s="587">
        <f>SUM(R544:R549)</f>
        <v>0</v>
      </c>
      <c r="S550" s="588"/>
      <c r="T550" s="584">
        <f>SUM(T544:T549)</f>
        <v>0</v>
      </c>
      <c r="U550" s="584"/>
      <c r="V550" s="584">
        <f>SUM(V544:V549)</f>
        <v>0</v>
      </c>
      <c r="W550" s="584"/>
      <c r="X550" s="584">
        <f>SUM(X544:X549)</f>
        <v>0</v>
      </c>
      <c r="Y550" s="584"/>
      <c r="Z550" s="584">
        <f>SUM(Z544:Z549)</f>
        <v>0</v>
      </c>
      <c r="AA550" s="584"/>
      <c r="AB550" s="584">
        <f>SUM(AB544:AB549)</f>
        <v>0</v>
      </c>
      <c r="AC550" s="584"/>
      <c r="AD550" s="585">
        <f>SUM(AD544:AD549)</f>
        <v>0</v>
      </c>
      <c r="AE550" s="590">
        <f t="shared" si="625"/>
        <v>0</v>
      </c>
      <c r="AF550" s="584">
        <f>SUM(AF544:AF549)</f>
        <v>19122.5</v>
      </c>
      <c r="AG550" s="591">
        <f t="shared" si="626"/>
        <v>0</v>
      </c>
      <c r="AH550" s="585">
        <f>SUM(AH544:AH549)</f>
        <v>0</v>
      </c>
      <c r="AI550" s="568"/>
      <c r="AJ550" s="617"/>
      <c r="AK550" s="617">
        <f t="shared" si="588"/>
        <v>0</v>
      </c>
    </row>
    <row r="551" spans="1:37">
      <c r="A551" s="570"/>
      <c r="B551" s="571"/>
      <c r="C551" s="572"/>
      <c r="D551" s="573"/>
      <c r="E551" s="573"/>
      <c r="F551" s="574"/>
      <c r="G551" s="580"/>
      <c r="H551" s="576"/>
      <c r="I551" s="576"/>
      <c r="J551" s="576"/>
      <c r="K551" s="576"/>
      <c r="L551" s="576"/>
      <c r="M551" s="576"/>
      <c r="N551" s="576"/>
      <c r="O551" s="576"/>
      <c r="P551" s="576"/>
      <c r="Q551" s="576"/>
      <c r="R551" s="577"/>
      <c r="S551" s="578"/>
      <c r="T551" s="576"/>
      <c r="U551" s="576"/>
      <c r="V551" s="576"/>
      <c r="W551" s="576"/>
      <c r="X551" s="576"/>
      <c r="Y551" s="576"/>
      <c r="Z551" s="576"/>
      <c r="AA551" s="576"/>
      <c r="AB551" s="576"/>
      <c r="AC551" s="576"/>
      <c r="AD551" s="579"/>
      <c r="AE551" s="580"/>
      <c r="AF551" s="576"/>
      <c r="AG551" s="576"/>
      <c r="AH551" s="579"/>
      <c r="AJ551" s="617"/>
      <c r="AK551" s="617">
        <f t="shared" si="588"/>
        <v>0</v>
      </c>
    </row>
    <row r="552" spans="1:37" s="569" customFormat="1">
      <c r="A552" s="592" t="s">
        <v>27990</v>
      </c>
      <c r="B552" s="593" t="str">
        <f>PLANILHA!D550</f>
        <v>ESTRUTURA METÁLICA</v>
      </c>
      <c r="C552" s="594"/>
      <c r="D552" s="589"/>
      <c r="E552" s="589"/>
      <c r="F552" s="595">
        <f t="shared" ref="F552:F556" si="628">VLOOKUP(A552,PLANILHA,$G$6,0)</f>
        <v>0</v>
      </c>
      <c r="G552" s="596"/>
      <c r="H552" s="597"/>
      <c r="I552" s="597"/>
      <c r="J552" s="597"/>
      <c r="K552" s="597"/>
      <c r="L552" s="597"/>
      <c r="M552" s="597"/>
      <c r="N552" s="597"/>
      <c r="O552" s="597"/>
      <c r="P552" s="597"/>
      <c r="Q552" s="597"/>
      <c r="R552" s="598"/>
      <c r="S552" s="599"/>
      <c r="T552" s="597"/>
      <c r="U552" s="597"/>
      <c r="V552" s="597"/>
      <c r="W552" s="597"/>
      <c r="X552" s="597"/>
      <c r="Y552" s="597"/>
      <c r="Z552" s="597"/>
      <c r="AA552" s="597"/>
      <c r="AB552" s="597"/>
      <c r="AC552" s="597"/>
      <c r="AD552" s="600"/>
      <c r="AE552" s="596"/>
      <c r="AF552" s="597"/>
      <c r="AG552" s="597"/>
      <c r="AH552" s="600"/>
      <c r="AI552" s="568"/>
      <c r="AJ552" s="617"/>
      <c r="AK552" s="617">
        <f t="shared" si="588"/>
        <v>0</v>
      </c>
    </row>
    <row r="553" spans="1:37" ht="30">
      <c r="A553" s="570" t="s">
        <v>27991</v>
      </c>
      <c r="B553" s="571" t="str">
        <f>PLANILHA!D551</f>
        <v>ESTRUTURA METALICA FACHADA POSTERIOR ESCOLA , FORNECIMENTO E INSTALAÇÃO</v>
      </c>
      <c r="C553" s="572" t="str">
        <f>PLANILHA!E551</f>
        <v>UND</v>
      </c>
      <c r="D553" s="573">
        <f>PLANILHA!F551</f>
        <v>1</v>
      </c>
      <c r="E553" s="573">
        <f>VLOOKUP(A553,PLANILHA,$G$7,0)</f>
        <v>48674.51</v>
      </c>
      <c r="F553" s="574">
        <f t="shared" si="628"/>
        <v>48674.51</v>
      </c>
      <c r="G553" s="580">
        <f>D553/2</f>
        <v>0.5</v>
      </c>
      <c r="H553" s="576">
        <f t="shared" ref="H553:H556" si="629">TRUNC(G553*$E553,2)</f>
        <v>24337.25</v>
      </c>
      <c r="I553" s="576">
        <f>D553-G553</f>
        <v>0.5</v>
      </c>
      <c r="J553" s="576">
        <f>TRUNC(I553*$E553,2)</f>
        <v>24337.25</v>
      </c>
      <c r="K553" s="576"/>
      <c r="L553" s="576">
        <f t="shared" si="615"/>
        <v>0</v>
      </c>
      <c r="M553" s="576"/>
      <c r="N553" s="576">
        <f t="shared" si="616"/>
        <v>0</v>
      </c>
      <c r="O553" s="576"/>
      <c r="P553" s="576">
        <f t="shared" si="617"/>
        <v>0</v>
      </c>
      <c r="Q553" s="576"/>
      <c r="R553" s="577">
        <f t="shared" si="618"/>
        <v>0</v>
      </c>
      <c r="S553" s="578"/>
      <c r="T553" s="576">
        <f t="shared" si="619"/>
        <v>0</v>
      </c>
      <c r="U553" s="576"/>
      <c r="V553" s="576">
        <f t="shared" si="620"/>
        <v>0</v>
      </c>
      <c r="W553" s="576"/>
      <c r="X553" s="576">
        <f t="shared" si="621"/>
        <v>0</v>
      </c>
      <c r="Y553" s="576"/>
      <c r="Z553" s="576">
        <f t="shared" si="622"/>
        <v>0</v>
      </c>
      <c r="AA553" s="576"/>
      <c r="AB553" s="576">
        <f t="shared" si="623"/>
        <v>0</v>
      </c>
      <c r="AC553" s="576"/>
      <c r="AD553" s="579">
        <f t="shared" si="624"/>
        <v>0</v>
      </c>
      <c r="AE553" s="580">
        <f t="shared" si="625"/>
        <v>1</v>
      </c>
      <c r="AF553" s="576">
        <f t="shared" ref="AF553:AF556" si="630">TRUNC(AE553*E553,2)</f>
        <v>48674.51</v>
      </c>
      <c r="AG553" s="576">
        <f t="shared" si="626"/>
        <v>0</v>
      </c>
      <c r="AH553" s="579">
        <f t="shared" si="627"/>
        <v>0</v>
      </c>
      <c r="AJ553" s="617"/>
      <c r="AK553" s="617">
        <f t="shared" si="588"/>
        <v>0</v>
      </c>
    </row>
    <row r="554" spans="1:37" ht="30">
      <c r="A554" s="570" t="s">
        <v>27992</v>
      </c>
      <c r="B554" s="571" t="str">
        <f>PLANILHA!D552</f>
        <v>REVESTIMENTO EM ACM (ALUMINIO COMPOSTO) FIXADO EM ESTRUTURA METALICA. FORNCECIMENTO E INSTALAÇÃO.</v>
      </c>
      <c r="C554" s="572" t="str">
        <f>PLANILHA!E552</f>
        <v>M²</v>
      </c>
      <c r="D554" s="573">
        <f>PLANILHA!F552</f>
        <v>58.01</v>
      </c>
      <c r="E554" s="573">
        <f>VLOOKUP(A554,PLANILHA,$G$7,0)</f>
        <v>138.05000000000001</v>
      </c>
      <c r="F554" s="574">
        <f t="shared" si="628"/>
        <v>8008.28</v>
      </c>
      <c r="G554" s="580">
        <f>D554/2</f>
        <v>29.004999999999999</v>
      </c>
      <c r="H554" s="576">
        <f t="shared" si="629"/>
        <v>4004.14</v>
      </c>
      <c r="I554" s="576">
        <f>D554-G554</f>
        <v>29.004999999999999</v>
      </c>
      <c r="J554" s="576">
        <f t="shared" ref="J554:J556" si="631">TRUNC(I554*$E554,2)</f>
        <v>4004.14</v>
      </c>
      <c r="K554" s="576"/>
      <c r="L554" s="576">
        <f t="shared" si="615"/>
        <v>0</v>
      </c>
      <c r="M554" s="576"/>
      <c r="N554" s="576">
        <f t="shared" si="616"/>
        <v>0</v>
      </c>
      <c r="O554" s="576"/>
      <c r="P554" s="576">
        <f t="shared" si="617"/>
        <v>0</v>
      </c>
      <c r="Q554" s="576"/>
      <c r="R554" s="577">
        <f t="shared" si="618"/>
        <v>0</v>
      </c>
      <c r="S554" s="578"/>
      <c r="T554" s="576">
        <f t="shared" si="619"/>
        <v>0</v>
      </c>
      <c r="U554" s="576"/>
      <c r="V554" s="576">
        <f t="shared" si="620"/>
        <v>0</v>
      </c>
      <c r="W554" s="576"/>
      <c r="X554" s="576">
        <f t="shared" si="621"/>
        <v>0</v>
      </c>
      <c r="Y554" s="576"/>
      <c r="Z554" s="576">
        <f t="shared" si="622"/>
        <v>0</v>
      </c>
      <c r="AA554" s="576"/>
      <c r="AB554" s="576">
        <f t="shared" si="623"/>
        <v>0</v>
      </c>
      <c r="AC554" s="576"/>
      <c r="AD554" s="579">
        <f t="shared" si="624"/>
        <v>0</v>
      </c>
      <c r="AE554" s="580">
        <f>AC554+AA554+Y554+W554+U554+S554+Q554+O554+M554+K554+I554+G554</f>
        <v>58.01</v>
      </c>
      <c r="AF554" s="576">
        <f t="shared" si="630"/>
        <v>8008.28</v>
      </c>
      <c r="AG554" s="576">
        <f t="shared" si="626"/>
        <v>0</v>
      </c>
      <c r="AH554" s="579">
        <f t="shared" si="627"/>
        <v>0</v>
      </c>
      <c r="AJ554" s="617"/>
      <c r="AK554" s="617">
        <f t="shared" si="588"/>
        <v>0</v>
      </c>
    </row>
    <row r="555" spans="1:37" ht="30">
      <c r="A555" s="570" t="s">
        <v>27993</v>
      </c>
      <c r="B555" s="571" t="str">
        <f>PLANILHA!D553</f>
        <v>FACHADA DE VIDRO TEMPERADO DE 10mm FIXADO EM ESTRUTURA METALICA. FORNECIMENTO E INSTALAÇÃO.</v>
      </c>
      <c r="C555" s="572" t="str">
        <f>PLANILHA!E553</f>
        <v>M²</v>
      </c>
      <c r="D555" s="573">
        <f>PLANILHA!F553</f>
        <v>35.340000000000003</v>
      </c>
      <c r="E555" s="573">
        <f>VLOOKUP(A555,PLANILHA,$G$7,0)</f>
        <v>922.31</v>
      </c>
      <c r="F555" s="574">
        <f t="shared" si="628"/>
        <v>32594.43</v>
      </c>
      <c r="G555" s="580">
        <f>D555/2</f>
        <v>17.670000000000002</v>
      </c>
      <c r="H555" s="576">
        <f t="shared" si="629"/>
        <v>16297.21</v>
      </c>
      <c r="I555" s="576">
        <f>D555-G555</f>
        <v>17.670000000000002</v>
      </c>
      <c r="J555" s="576">
        <f t="shared" si="631"/>
        <v>16297.21</v>
      </c>
      <c r="K555" s="576"/>
      <c r="L555" s="576">
        <f>K555*$E555</f>
        <v>0</v>
      </c>
      <c r="M555" s="576"/>
      <c r="N555" s="576">
        <f>M555*$E555</f>
        <v>0</v>
      </c>
      <c r="O555" s="576"/>
      <c r="P555" s="576">
        <f>O555*$E555</f>
        <v>0</v>
      </c>
      <c r="Q555" s="576"/>
      <c r="R555" s="577">
        <f>Q555*$E555</f>
        <v>0</v>
      </c>
      <c r="S555" s="578"/>
      <c r="T555" s="576">
        <f>S555*$E555</f>
        <v>0</v>
      </c>
      <c r="U555" s="576"/>
      <c r="V555" s="576">
        <f>U555*$E555</f>
        <v>0</v>
      </c>
      <c r="W555" s="576"/>
      <c r="X555" s="576">
        <f>W555*$E555</f>
        <v>0</v>
      </c>
      <c r="Y555" s="576"/>
      <c r="Z555" s="576">
        <f>Y555*$E555</f>
        <v>0</v>
      </c>
      <c r="AA555" s="576"/>
      <c r="AB555" s="576">
        <f>AA555*$E555</f>
        <v>0</v>
      </c>
      <c r="AC555" s="576"/>
      <c r="AD555" s="579">
        <f>AC555*$E555</f>
        <v>0</v>
      </c>
      <c r="AE555" s="580">
        <f>AC555+AA555+Y555+W555+U555+S555+Q555+O555+M555+K555+I555+G555</f>
        <v>35.340000000000003</v>
      </c>
      <c r="AF555" s="576">
        <f t="shared" si="630"/>
        <v>32594.43</v>
      </c>
      <c r="AG555" s="576">
        <f>D555-AE555</f>
        <v>0</v>
      </c>
      <c r="AH555" s="579">
        <f>AG555*E555</f>
        <v>0</v>
      </c>
      <c r="AJ555" s="617"/>
      <c r="AK555" s="617">
        <f t="shared" si="588"/>
        <v>0</v>
      </c>
    </row>
    <row r="556" spans="1:37" ht="30">
      <c r="A556" s="570" t="s">
        <v>27994</v>
      </c>
      <c r="B556" s="571" t="str">
        <f>PLANILHA!D554</f>
        <v>FACHADA PELE DE VIDRO (BASCULANTE). FORNECIMENTO E INSTALAÇÃO.</v>
      </c>
      <c r="C556" s="572" t="str">
        <f>PLANILHA!E554</f>
        <v>m²</v>
      </c>
      <c r="D556" s="573">
        <f>PLANILHA!F554</f>
        <v>25.25</v>
      </c>
      <c r="E556" s="573">
        <f>VLOOKUP(A556,PLANILHA,$G$7,0)</f>
        <v>1079.52</v>
      </c>
      <c r="F556" s="574">
        <f t="shared" si="628"/>
        <v>27257.88</v>
      </c>
      <c r="G556" s="580">
        <f>D556/2</f>
        <v>12.625</v>
      </c>
      <c r="H556" s="576">
        <f t="shared" si="629"/>
        <v>13628.94</v>
      </c>
      <c r="I556" s="576">
        <f>D556-G556</f>
        <v>12.625</v>
      </c>
      <c r="J556" s="576">
        <f t="shared" si="631"/>
        <v>13628.94</v>
      </c>
      <c r="K556" s="576"/>
      <c r="L556" s="576">
        <f>K556*$E556</f>
        <v>0</v>
      </c>
      <c r="M556" s="576"/>
      <c r="N556" s="576">
        <f>M556*$E556</f>
        <v>0</v>
      </c>
      <c r="O556" s="576"/>
      <c r="P556" s="576">
        <f>O556*$E556</f>
        <v>0</v>
      </c>
      <c r="Q556" s="576"/>
      <c r="R556" s="577">
        <f>Q556*$E556</f>
        <v>0</v>
      </c>
      <c r="S556" s="578"/>
      <c r="T556" s="576">
        <f>S556*$E556</f>
        <v>0</v>
      </c>
      <c r="U556" s="576"/>
      <c r="V556" s="576">
        <f>U556*$E556</f>
        <v>0</v>
      </c>
      <c r="W556" s="576"/>
      <c r="X556" s="576">
        <f>W556*$E556</f>
        <v>0</v>
      </c>
      <c r="Y556" s="576"/>
      <c r="Z556" s="576">
        <f>Y556*$E556</f>
        <v>0</v>
      </c>
      <c r="AA556" s="576"/>
      <c r="AB556" s="576">
        <f>AA556*$E556</f>
        <v>0</v>
      </c>
      <c r="AC556" s="576"/>
      <c r="AD556" s="579">
        <f>AC556*$E556</f>
        <v>0</v>
      </c>
      <c r="AE556" s="580">
        <f>AC556+AA556+Y556+W556+U556+S556+Q556+O556+M556+K556+I556+G556</f>
        <v>25.25</v>
      </c>
      <c r="AF556" s="576">
        <f t="shared" si="630"/>
        <v>27257.88</v>
      </c>
      <c r="AG556" s="576">
        <f>D556-AE556</f>
        <v>0</v>
      </c>
      <c r="AH556" s="579">
        <f>AG556*E556</f>
        <v>0</v>
      </c>
      <c r="AJ556" s="617"/>
      <c r="AK556" s="617">
        <f t="shared" si="588"/>
        <v>0</v>
      </c>
    </row>
    <row r="557" spans="1:37" s="569" customFormat="1">
      <c r="A557" s="581" t="s">
        <v>27245</v>
      </c>
      <c r="B557" s="582"/>
      <c r="C557" s="583"/>
      <c r="D557" s="584"/>
      <c r="E557" s="584"/>
      <c r="F557" s="585">
        <f>SUM(F552:F556)</f>
        <v>116535.1</v>
      </c>
      <c r="G557" s="586"/>
      <c r="H557" s="584">
        <f>SUM(H553:H556)</f>
        <v>58267.54</v>
      </c>
      <c r="I557" s="584"/>
      <c r="J557" s="584">
        <f>SUM(J553:J556)</f>
        <v>58267.54</v>
      </c>
      <c r="K557" s="584"/>
      <c r="L557" s="584">
        <f>SUM(L553:L556)</f>
        <v>0</v>
      </c>
      <c r="M557" s="584"/>
      <c r="N557" s="584">
        <f>SUM(N553:N556)</f>
        <v>0</v>
      </c>
      <c r="O557" s="584"/>
      <c r="P557" s="584">
        <f>SUM(P553:P556)</f>
        <v>0</v>
      </c>
      <c r="Q557" s="584"/>
      <c r="R557" s="587">
        <f>SUM(R553:R556)</f>
        <v>0</v>
      </c>
      <c r="S557" s="588"/>
      <c r="T557" s="584">
        <f>SUM(T553:T556)</f>
        <v>0</v>
      </c>
      <c r="U557" s="584"/>
      <c r="V557" s="584">
        <f>SUM(V553:V556)</f>
        <v>0</v>
      </c>
      <c r="W557" s="584"/>
      <c r="X557" s="584">
        <f>SUM(X553:X556)</f>
        <v>0</v>
      </c>
      <c r="Y557" s="584"/>
      <c r="Z557" s="584">
        <f>SUM(Z553:Z556)</f>
        <v>0</v>
      </c>
      <c r="AA557" s="584"/>
      <c r="AB557" s="584">
        <f>SUM(AB553:AB556)</f>
        <v>0</v>
      </c>
      <c r="AC557" s="584"/>
      <c r="AD557" s="585">
        <f>SUM(AD553:AD556)</f>
        <v>0</v>
      </c>
      <c r="AE557" s="590">
        <f>AC557+AA557+Y557+W557+U557+S557+Q557+O557+M557+K557+I557+G557</f>
        <v>0</v>
      </c>
      <c r="AF557" s="584">
        <f>SUM(AF553:AF556)</f>
        <v>116535.1</v>
      </c>
      <c r="AG557" s="591">
        <f>D557-AE557</f>
        <v>0</v>
      </c>
      <c r="AH557" s="585">
        <f>SUM(AH553:AH556)</f>
        <v>0</v>
      </c>
      <c r="AI557" s="568"/>
      <c r="AJ557" s="617"/>
      <c r="AK557" s="617">
        <f t="shared" si="588"/>
        <v>0</v>
      </c>
    </row>
    <row r="558" spans="1:37">
      <c r="A558" s="570"/>
      <c r="B558" s="571"/>
      <c r="C558" s="572"/>
      <c r="D558" s="573"/>
      <c r="E558" s="573"/>
      <c r="F558" s="574"/>
      <c r="G558" s="580"/>
      <c r="H558" s="576"/>
      <c r="I558" s="576"/>
      <c r="J558" s="576"/>
      <c r="K558" s="576"/>
      <c r="L558" s="576"/>
      <c r="M558" s="576"/>
      <c r="N558" s="576"/>
      <c r="O558" s="576"/>
      <c r="P558" s="576"/>
      <c r="Q558" s="576"/>
      <c r="R558" s="577"/>
      <c r="S558" s="578"/>
      <c r="T558" s="576"/>
      <c r="U558" s="576"/>
      <c r="V558" s="576"/>
      <c r="W558" s="576"/>
      <c r="X558" s="576"/>
      <c r="Y558" s="576"/>
      <c r="Z558" s="576"/>
      <c r="AA558" s="576"/>
      <c r="AB558" s="576"/>
      <c r="AC558" s="576"/>
      <c r="AD558" s="579"/>
      <c r="AE558" s="580"/>
      <c r="AF558" s="576"/>
      <c r="AG558" s="576"/>
      <c r="AH558" s="579"/>
      <c r="AK558" s="617">
        <f t="shared" si="588"/>
        <v>0</v>
      </c>
    </row>
    <row r="559" spans="1:37" s="569" customFormat="1">
      <c r="A559" s="581" t="s">
        <v>14614</v>
      </c>
      <c r="B559" s="582"/>
      <c r="C559" s="583"/>
      <c r="D559" s="584"/>
      <c r="E559" s="584"/>
      <c r="F559" s="584">
        <f>SUM(F492:F557)/2</f>
        <v>813902.98999999987</v>
      </c>
      <c r="G559" s="586"/>
      <c r="H559" s="584">
        <f>SUM(H492:H557)/2</f>
        <v>77558.23000000001</v>
      </c>
      <c r="I559" s="584"/>
      <c r="J559" s="584">
        <f>SUM(J492:J557)/2</f>
        <v>58267.54</v>
      </c>
      <c r="K559" s="584"/>
      <c r="L559" s="584">
        <f>SUM(L492:L557)/2</f>
        <v>0</v>
      </c>
      <c r="M559" s="584"/>
      <c r="N559" s="584">
        <f>SUM(N492:N557)/2</f>
        <v>0</v>
      </c>
      <c r="O559" s="584"/>
      <c r="P559" s="584">
        <f>SUM(P492:P557)/2</f>
        <v>0</v>
      </c>
      <c r="Q559" s="584"/>
      <c r="R559" s="587">
        <f>SUM(R492:R557)/2</f>
        <v>0</v>
      </c>
      <c r="S559" s="588"/>
      <c r="T559" s="584">
        <f>SUM(T492:T557)/2</f>
        <v>0</v>
      </c>
      <c r="U559" s="584"/>
      <c r="V559" s="584">
        <f>SUM(V492:V557)/2</f>
        <v>0</v>
      </c>
      <c r="W559" s="584"/>
      <c r="X559" s="584">
        <f>SUM(X492:X557)/2</f>
        <v>171313.35</v>
      </c>
      <c r="Y559" s="584"/>
      <c r="Z559" s="584">
        <f>SUM(Z492:Z557)/2</f>
        <v>299020.25</v>
      </c>
      <c r="AA559" s="584"/>
      <c r="AB559" s="584">
        <f>SUM(AB492:AB557)/2</f>
        <v>207743.59000000003</v>
      </c>
      <c r="AC559" s="584"/>
      <c r="AD559" s="585">
        <f>AD557+AD550+AD541+AD535+AD522+AD507+AD496+AD529</f>
        <v>0</v>
      </c>
      <c r="AE559" s="590"/>
      <c r="AF559" s="584">
        <f>SUM(AF492:AF557)/2</f>
        <v>813902.98999999987</v>
      </c>
      <c r="AG559" s="591"/>
      <c r="AH559" s="585">
        <f>AH557+AH550+AH541+AH535+AH522+AH507+AH496+AH529</f>
        <v>0</v>
      </c>
      <c r="AI559" s="568"/>
      <c r="AJ559" s="618"/>
      <c r="AK559" s="617">
        <f t="shared" si="588"/>
        <v>0</v>
      </c>
    </row>
    <row r="560" spans="1:37">
      <c r="A560" s="570"/>
      <c r="B560" s="571"/>
      <c r="C560" s="572"/>
      <c r="D560" s="573"/>
      <c r="E560" s="573"/>
      <c r="F560" s="574"/>
      <c r="G560" s="580"/>
      <c r="H560" s="576"/>
      <c r="I560" s="576"/>
      <c r="J560" s="576"/>
      <c r="K560" s="576"/>
      <c r="L560" s="576"/>
      <c r="M560" s="576"/>
      <c r="N560" s="576"/>
      <c r="O560" s="576"/>
      <c r="P560" s="576"/>
      <c r="Q560" s="576"/>
      <c r="R560" s="577"/>
      <c r="S560" s="578"/>
      <c r="T560" s="576"/>
      <c r="U560" s="576"/>
      <c r="V560" s="576"/>
      <c r="W560" s="576"/>
      <c r="X560" s="576"/>
      <c r="Y560" s="576"/>
      <c r="Z560" s="576"/>
      <c r="AA560" s="576"/>
      <c r="AB560" s="576"/>
      <c r="AC560" s="576"/>
      <c r="AD560" s="579"/>
      <c r="AE560" s="580"/>
      <c r="AF560" s="576"/>
      <c r="AG560" s="576"/>
      <c r="AH560" s="579"/>
      <c r="AJ560" s="617"/>
      <c r="AK560" s="617">
        <f t="shared" si="588"/>
        <v>0</v>
      </c>
    </row>
    <row r="561" spans="1:37" s="569" customFormat="1">
      <c r="A561" s="558" t="s">
        <v>14130</v>
      </c>
      <c r="B561" s="559" t="str">
        <f>PLANILHA!D559</f>
        <v>ACESSIBILIDADE</v>
      </c>
      <c r="C561" s="560"/>
      <c r="D561" s="561"/>
      <c r="E561" s="561"/>
      <c r="F561" s="562">
        <f t="shared" ref="F561:F568" si="632">VLOOKUP(A561,PLANILHA,$G$6,0)</f>
        <v>0</v>
      </c>
      <c r="G561" s="563"/>
      <c r="H561" s="564"/>
      <c r="I561" s="564"/>
      <c r="J561" s="564"/>
      <c r="K561" s="564"/>
      <c r="L561" s="564"/>
      <c r="M561" s="564"/>
      <c r="N561" s="564"/>
      <c r="O561" s="564"/>
      <c r="P561" s="564"/>
      <c r="Q561" s="564"/>
      <c r="R561" s="565"/>
      <c r="S561" s="566"/>
      <c r="T561" s="564"/>
      <c r="U561" s="564"/>
      <c r="V561" s="564"/>
      <c r="W561" s="564"/>
      <c r="X561" s="564"/>
      <c r="Y561" s="564"/>
      <c r="Z561" s="564"/>
      <c r="AA561" s="564"/>
      <c r="AB561" s="564"/>
      <c r="AC561" s="564"/>
      <c r="AD561" s="567"/>
      <c r="AE561" s="563"/>
      <c r="AF561" s="564"/>
      <c r="AG561" s="564"/>
      <c r="AH561" s="567"/>
      <c r="AI561" s="568"/>
      <c r="AK561" s="617">
        <f t="shared" si="588"/>
        <v>0</v>
      </c>
    </row>
    <row r="562" spans="1:37" ht="30">
      <c r="A562" s="570" t="s">
        <v>14131</v>
      </c>
      <c r="B562" s="571" t="str">
        <f>PLANILHA!D560</f>
        <v>MAPA TÁTIL C/ PEDESTAL EM AÇO(40X60). FORNECIMENTO E INSTALAÇÃO.</v>
      </c>
      <c r="C562" s="572" t="str">
        <f>PLANILHA!E560</f>
        <v>UND</v>
      </c>
      <c r="D562" s="573">
        <f>PLANILHA!F560</f>
        <v>3</v>
      </c>
      <c r="E562" s="573">
        <f t="shared" ref="E562:E567" si="633">VLOOKUP(A562,PLANILHA,$G$7,0)</f>
        <v>1806.41</v>
      </c>
      <c r="F562" s="574">
        <f t="shared" si="632"/>
        <v>5419.23</v>
      </c>
      <c r="G562" s="580"/>
      <c r="H562" s="576">
        <f t="shared" ref="H562:H567" si="634">G562*$E562</f>
        <v>0</v>
      </c>
      <c r="I562" s="576"/>
      <c r="J562" s="576">
        <f t="shared" ref="J562:J567" si="635">I562*$E562</f>
        <v>0</v>
      </c>
      <c r="K562" s="576"/>
      <c r="L562" s="576">
        <f t="shared" ref="L562:L567" si="636">K562*$E562</f>
        <v>0</v>
      </c>
      <c r="M562" s="576"/>
      <c r="N562" s="576">
        <f t="shared" ref="N562:N567" si="637">M562*$E562</f>
        <v>0</v>
      </c>
      <c r="O562" s="576"/>
      <c r="P562" s="576">
        <f t="shared" ref="P562:P567" si="638">O562*$E562</f>
        <v>0</v>
      </c>
      <c r="Q562" s="576"/>
      <c r="R562" s="577">
        <f t="shared" ref="R562:R567" si="639">Q562*$E562</f>
        <v>0</v>
      </c>
      <c r="S562" s="578"/>
      <c r="T562" s="576">
        <f t="shared" ref="T562:T567" si="640">S562*$E562</f>
        <v>0</v>
      </c>
      <c r="U562" s="576"/>
      <c r="V562" s="576">
        <f t="shared" ref="V562:V567" si="641">U562*$E562</f>
        <v>0</v>
      </c>
      <c r="W562" s="576"/>
      <c r="X562" s="576">
        <f t="shared" ref="X562:X567" si="642">W562*$E562</f>
        <v>0</v>
      </c>
      <c r="Y562" s="576"/>
      <c r="Z562" s="576">
        <f t="shared" ref="Z562:Z567" si="643">Y562*$E562</f>
        <v>0</v>
      </c>
      <c r="AA562" s="576"/>
      <c r="AB562" s="576">
        <f t="shared" ref="AB562:AB567" si="644">AA562*$E562</f>
        <v>0</v>
      </c>
      <c r="AC562" s="576">
        <f t="shared" ref="AC562:AC567" si="645">D562</f>
        <v>3</v>
      </c>
      <c r="AD562" s="579">
        <f t="shared" ref="AD562:AD567" si="646">AC562*$E562</f>
        <v>5419.2300000000005</v>
      </c>
      <c r="AE562" s="580">
        <f t="shared" ref="AE562:AE567" si="647">AC562+AA562+Y562+W562+U562+S562+Q562+O562+M562+K562+I562+G562</f>
        <v>3</v>
      </c>
      <c r="AF562" s="576">
        <f t="shared" ref="AF562:AF567" si="648">TRUNC(AE562*E562,2)</f>
        <v>5419.23</v>
      </c>
      <c r="AG562" s="576">
        <f t="shared" ref="AG562:AG567" si="649">D562-AE562</f>
        <v>0</v>
      </c>
      <c r="AH562" s="579">
        <f t="shared" ref="AH562:AH567" si="650">AG562*E562</f>
        <v>0</v>
      </c>
      <c r="AK562" s="617">
        <f t="shared" si="588"/>
        <v>0</v>
      </c>
    </row>
    <row r="563" spans="1:37" ht="30">
      <c r="A563" s="570" t="s">
        <v>14132</v>
      </c>
      <c r="B563" s="571" t="str">
        <f>PLANILHA!D561</f>
        <v>PLACA DE PORTA EM BRAILE 20X8CM (AMBIENTES EM GERAL). FORNECIMENTO E INSTALAÇÃO.</v>
      </c>
      <c r="C563" s="572" t="str">
        <f>PLANILHA!E561</f>
        <v>UND</v>
      </c>
      <c r="D563" s="573">
        <f>PLANILHA!F561</f>
        <v>24</v>
      </c>
      <c r="E563" s="573">
        <f t="shared" si="633"/>
        <v>79.08</v>
      </c>
      <c r="F563" s="574">
        <f t="shared" si="632"/>
        <v>1897.92</v>
      </c>
      <c r="G563" s="580"/>
      <c r="H563" s="576">
        <f t="shared" si="634"/>
        <v>0</v>
      </c>
      <c r="I563" s="576"/>
      <c r="J563" s="576">
        <f t="shared" si="635"/>
        <v>0</v>
      </c>
      <c r="K563" s="576"/>
      <c r="L563" s="576">
        <f t="shared" si="636"/>
        <v>0</v>
      </c>
      <c r="M563" s="576"/>
      <c r="N563" s="576">
        <f t="shared" si="637"/>
        <v>0</v>
      </c>
      <c r="O563" s="576"/>
      <c r="P563" s="576">
        <f t="shared" si="638"/>
        <v>0</v>
      </c>
      <c r="Q563" s="576"/>
      <c r="R563" s="577">
        <f t="shared" si="639"/>
        <v>0</v>
      </c>
      <c r="S563" s="578"/>
      <c r="T563" s="576">
        <f t="shared" si="640"/>
        <v>0</v>
      </c>
      <c r="U563" s="576"/>
      <c r="V563" s="576">
        <f t="shared" si="641"/>
        <v>0</v>
      </c>
      <c r="W563" s="576"/>
      <c r="X563" s="576">
        <f t="shared" si="642"/>
        <v>0</v>
      </c>
      <c r="Y563" s="576"/>
      <c r="Z563" s="576">
        <f t="shared" si="643"/>
        <v>0</v>
      </c>
      <c r="AA563" s="576"/>
      <c r="AB563" s="576">
        <f t="shared" si="644"/>
        <v>0</v>
      </c>
      <c r="AC563" s="576">
        <f t="shared" si="645"/>
        <v>24</v>
      </c>
      <c r="AD563" s="579">
        <f t="shared" si="646"/>
        <v>1897.92</v>
      </c>
      <c r="AE563" s="580">
        <f t="shared" si="647"/>
        <v>24</v>
      </c>
      <c r="AF563" s="576">
        <f t="shared" si="648"/>
        <v>1897.92</v>
      </c>
      <c r="AG563" s="576">
        <f t="shared" si="649"/>
        <v>0</v>
      </c>
      <c r="AH563" s="579">
        <f t="shared" si="650"/>
        <v>0</v>
      </c>
      <c r="AK563" s="617">
        <f t="shared" si="588"/>
        <v>0</v>
      </c>
    </row>
    <row r="564" spans="1:37" ht="30">
      <c r="A564" s="570" t="s">
        <v>14133</v>
      </c>
      <c r="B564" s="571" t="str">
        <f>PLANILHA!D562</f>
        <v>PLACA DE PORTA EM BRAILE (SANITARIOS)                               (5X15CM). FORNECIMENTO E INSTALAÇÃO.</v>
      </c>
      <c r="C564" s="572" t="str">
        <f>PLANILHA!E562</f>
        <v>UND</v>
      </c>
      <c r="D564" s="573">
        <f>PLANILHA!F562</f>
        <v>7</v>
      </c>
      <c r="E564" s="573">
        <f t="shared" si="633"/>
        <v>53.9</v>
      </c>
      <c r="F564" s="574">
        <f t="shared" si="632"/>
        <v>377.3</v>
      </c>
      <c r="G564" s="580"/>
      <c r="H564" s="576">
        <f t="shared" si="634"/>
        <v>0</v>
      </c>
      <c r="I564" s="576"/>
      <c r="J564" s="576">
        <f t="shared" si="635"/>
        <v>0</v>
      </c>
      <c r="K564" s="576"/>
      <c r="L564" s="576">
        <f t="shared" si="636"/>
        <v>0</v>
      </c>
      <c r="M564" s="576"/>
      <c r="N564" s="576">
        <f t="shared" si="637"/>
        <v>0</v>
      </c>
      <c r="O564" s="576"/>
      <c r="P564" s="576">
        <f t="shared" si="638"/>
        <v>0</v>
      </c>
      <c r="Q564" s="576"/>
      <c r="R564" s="577">
        <f t="shared" si="639"/>
        <v>0</v>
      </c>
      <c r="S564" s="578"/>
      <c r="T564" s="576">
        <f t="shared" si="640"/>
        <v>0</v>
      </c>
      <c r="U564" s="576"/>
      <c r="V564" s="576">
        <f t="shared" si="641"/>
        <v>0</v>
      </c>
      <c r="W564" s="576"/>
      <c r="X564" s="576">
        <f t="shared" si="642"/>
        <v>0</v>
      </c>
      <c r="Y564" s="576"/>
      <c r="Z564" s="576">
        <f t="shared" si="643"/>
        <v>0</v>
      </c>
      <c r="AA564" s="576"/>
      <c r="AB564" s="576">
        <f t="shared" si="644"/>
        <v>0</v>
      </c>
      <c r="AC564" s="576">
        <f t="shared" si="645"/>
        <v>7</v>
      </c>
      <c r="AD564" s="579">
        <f t="shared" si="646"/>
        <v>377.3</v>
      </c>
      <c r="AE564" s="580">
        <f t="shared" si="647"/>
        <v>7</v>
      </c>
      <c r="AF564" s="576">
        <f t="shared" si="648"/>
        <v>377.3</v>
      </c>
      <c r="AG564" s="576">
        <f t="shared" si="649"/>
        <v>0</v>
      </c>
      <c r="AH564" s="579">
        <f t="shared" si="650"/>
        <v>0</v>
      </c>
      <c r="AK564" s="617">
        <f t="shared" si="588"/>
        <v>0</v>
      </c>
    </row>
    <row r="565" spans="1:37" ht="30">
      <c r="A565" s="570" t="s">
        <v>14134</v>
      </c>
      <c r="B565" s="571" t="str">
        <f>PLANILHA!D563</f>
        <v>SINALIZAÇÃO VISUAL P/ DEGRAU DE ESCADA - ESPELHO E PISO   (FOTOLUMINESCENTE). FORNECIMENTO E INSTALAÇÃO.</v>
      </c>
      <c r="C565" s="572" t="str">
        <f>PLANILHA!E563</f>
        <v>UND</v>
      </c>
      <c r="D565" s="573">
        <f>PLANILHA!F563</f>
        <v>352</v>
      </c>
      <c r="E565" s="573">
        <f t="shared" si="633"/>
        <v>9.32</v>
      </c>
      <c r="F565" s="574">
        <f t="shared" si="632"/>
        <v>3280.64</v>
      </c>
      <c r="G565" s="580"/>
      <c r="H565" s="576">
        <f t="shared" si="634"/>
        <v>0</v>
      </c>
      <c r="I565" s="576"/>
      <c r="J565" s="576">
        <f t="shared" si="635"/>
        <v>0</v>
      </c>
      <c r="K565" s="576"/>
      <c r="L565" s="576">
        <f t="shared" si="636"/>
        <v>0</v>
      </c>
      <c r="M565" s="576"/>
      <c r="N565" s="576">
        <f t="shared" si="637"/>
        <v>0</v>
      </c>
      <c r="O565" s="576"/>
      <c r="P565" s="576">
        <f t="shared" si="638"/>
        <v>0</v>
      </c>
      <c r="Q565" s="576"/>
      <c r="R565" s="577">
        <f t="shared" si="639"/>
        <v>0</v>
      </c>
      <c r="S565" s="578"/>
      <c r="T565" s="576">
        <f t="shared" si="640"/>
        <v>0</v>
      </c>
      <c r="U565" s="576"/>
      <c r="V565" s="576">
        <f t="shared" si="641"/>
        <v>0</v>
      </c>
      <c r="W565" s="576"/>
      <c r="X565" s="576">
        <f t="shared" si="642"/>
        <v>0</v>
      </c>
      <c r="Y565" s="576"/>
      <c r="Z565" s="576">
        <f t="shared" si="643"/>
        <v>0</v>
      </c>
      <c r="AA565" s="576"/>
      <c r="AB565" s="576">
        <f t="shared" si="644"/>
        <v>0</v>
      </c>
      <c r="AC565" s="576">
        <f t="shared" si="645"/>
        <v>352</v>
      </c>
      <c r="AD565" s="579">
        <f t="shared" si="646"/>
        <v>3280.6400000000003</v>
      </c>
      <c r="AE565" s="580">
        <f t="shared" si="647"/>
        <v>352</v>
      </c>
      <c r="AF565" s="576">
        <f t="shared" si="648"/>
        <v>3280.64</v>
      </c>
      <c r="AG565" s="576">
        <f t="shared" si="649"/>
        <v>0</v>
      </c>
      <c r="AH565" s="579">
        <f t="shared" si="650"/>
        <v>0</v>
      </c>
      <c r="AK565" s="617">
        <f t="shared" si="588"/>
        <v>0</v>
      </c>
    </row>
    <row r="566" spans="1:37" ht="30">
      <c r="A566" s="570" t="s">
        <v>14135</v>
      </c>
      <c r="B566" s="571" t="str">
        <f>PLANILHA!D564</f>
        <v>SINALIZAÇÃO TATIL DE PAVIMENTO- PARA CORRIMÃO E RAMPA. FORNECIMENTO E INSTALAÇÃO.</v>
      </c>
      <c r="C566" s="572" t="str">
        <f>PLANILHA!E564</f>
        <v>UND</v>
      </c>
      <c r="D566" s="573">
        <f>PLANILHA!F564</f>
        <v>35</v>
      </c>
      <c r="E566" s="573">
        <f t="shared" si="633"/>
        <v>17.57</v>
      </c>
      <c r="F566" s="574">
        <f t="shared" si="632"/>
        <v>614.95000000000005</v>
      </c>
      <c r="G566" s="580"/>
      <c r="H566" s="576">
        <f t="shared" si="634"/>
        <v>0</v>
      </c>
      <c r="I566" s="576"/>
      <c r="J566" s="576">
        <f t="shared" si="635"/>
        <v>0</v>
      </c>
      <c r="K566" s="576"/>
      <c r="L566" s="576">
        <f t="shared" si="636"/>
        <v>0</v>
      </c>
      <c r="M566" s="576"/>
      <c r="N566" s="576">
        <f t="shared" si="637"/>
        <v>0</v>
      </c>
      <c r="O566" s="576"/>
      <c r="P566" s="576">
        <f t="shared" si="638"/>
        <v>0</v>
      </c>
      <c r="Q566" s="576"/>
      <c r="R566" s="577">
        <f t="shared" si="639"/>
        <v>0</v>
      </c>
      <c r="S566" s="578"/>
      <c r="T566" s="576">
        <f t="shared" si="640"/>
        <v>0</v>
      </c>
      <c r="U566" s="576"/>
      <c r="V566" s="576">
        <f t="shared" si="641"/>
        <v>0</v>
      </c>
      <c r="W566" s="576"/>
      <c r="X566" s="576">
        <f t="shared" si="642"/>
        <v>0</v>
      </c>
      <c r="Y566" s="576"/>
      <c r="Z566" s="576">
        <f t="shared" si="643"/>
        <v>0</v>
      </c>
      <c r="AA566" s="576"/>
      <c r="AB566" s="576">
        <f t="shared" si="644"/>
        <v>0</v>
      </c>
      <c r="AC566" s="576">
        <f t="shared" si="645"/>
        <v>35</v>
      </c>
      <c r="AD566" s="579">
        <f t="shared" si="646"/>
        <v>614.95000000000005</v>
      </c>
      <c r="AE566" s="580">
        <f t="shared" si="647"/>
        <v>35</v>
      </c>
      <c r="AF566" s="576">
        <f t="shared" si="648"/>
        <v>614.95000000000005</v>
      </c>
      <c r="AG566" s="576">
        <f t="shared" si="649"/>
        <v>0</v>
      </c>
      <c r="AH566" s="579">
        <f t="shared" si="650"/>
        <v>0</v>
      </c>
      <c r="AK566" s="617">
        <f t="shared" si="588"/>
        <v>0</v>
      </c>
    </row>
    <row r="567" spans="1:37" ht="30">
      <c r="A567" s="570" t="s">
        <v>14136</v>
      </c>
      <c r="B567" s="571" t="str">
        <f>PLANILHA!D565</f>
        <v>PISO TATIL ALERTA INTERNO CINZA (EM PORCELANATO) 25X25. FORNECIMENTO E INSTALAÇÃO.</v>
      </c>
      <c r="C567" s="572" t="str">
        <f>PLANILHA!E565</f>
        <v>UND</v>
      </c>
      <c r="D567" s="573">
        <f>PLANILHA!F565</f>
        <v>44</v>
      </c>
      <c r="E567" s="573">
        <f t="shared" si="633"/>
        <v>51.44</v>
      </c>
      <c r="F567" s="574">
        <f t="shared" si="632"/>
        <v>2263.36</v>
      </c>
      <c r="G567" s="580"/>
      <c r="H567" s="576">
        <f t="shared" si="634"/>
        <v>0</v>
      </c>
      <c r="I567" s="576"/>
      <c r="J567" s="576">
        <f t="shared" si="635"/>
        <v>0</v>
      </c>
      <c r="K567" s="576"/>
      <c r="L567" s="576">
        <f t="shared" si="636"/>
        <v>0</v>
      </c>
      <c r="M567" s="576"/>
      <c r="N567" s="576">
        <f t="shared" si="637"/>
        <v>0</v>
      </c>
      <c r="O567" s="576"/>
      <c r="P567" s="576">
        <f t="shared" si="638"/>
        <v>0</v>
      </c>
      <c r="Q567" s="576"/>
      <c r="R567" s="577">
        <f t="shared" si="639"/>
        <v>0</v>
      </c>
      <c r="S567" s="578"/>
      <c r="T567" s="576">
        <f t="shared" si="640"/>
        <v>0</v>
      </c>
      <c r="U567" s="576"/>
      <c r="V567" s="576">
        <f t="shared" si="641"/>
        <v>0</v>
      </c>
      <c r="W567" s="576"/>
      <c r="X567" s="576">
        <f t="shared" si="642"/>
        <v>0</v>
      </c>
      <c r="Y567" s="576"/>
      <c r="Z567" s="576">
        <f t="shared" si="643"/>
        <v>0</v>
      </c>
      <c r="AA567" s="576"/>
      <c r="AB567" s="576">
        <f t="shared" si="644"/>
        <v>0</v>
      </c>
      <c r="AC567" s="576">
        <f t="shared" si="645"/>
        <v>44</v>
      </c>
      <c r="AD567" s="579">
        <f t="shared" si="646"/>
        <v>2263.3599999999997</v>
      </c>
      <c r="AE567" s="580">
        <f t="shared" si="647"/>
        <v>44</v>
      </c>
      <c r="AF567" s="576">
        <f t="shared" si="648"/>
        <v>2263.36</v>
      </c>
      <c r="AG567" s="576">
        <f t="shared" si="649"/>
        <v>0</v>
      </c>
      <c r="AH567" s="579">
        <f t="shared" si="650"/>
        <v>0</v>
      </c>
      <c r="AK567" s="617">
        <f t="shared" si="588"/>
        <v>0</v>
      </c>
    </row>
    <row r="568" spans="1:37" s="569" customFormat="1">
      <c r="A568" s="581" t="s">
        <v>14626</v>
      </c>
      <c r="B568" s="582"/>
      <c r="C568" s="583"/>
      <c r="D568" s="584"/>
      <c r="E568" s="584"/>
      <c r="F568" s="585">
        <f t="shared" si="632"/>
        <v>13853.400000000001</v>
      </c>
      <c r="G568" s="586"/>
      <c r="H568" s="584">
        <f>SUM(H562:H567)</f>
        <v>0</v>
      </c>
      <c r="I568" s="584"/>
      <c r="J568" s="584">
        <f>SUM(J562:J567)</f>
        <v>0</v>
      </c>
      <c r="K568" s="584"/>
      <c r="L568" s="584">
        <f>SUM(L562:L567)</f>
        <v>0</v>
      </c>
      <c r="M568" s="584"/>
      <c r="N568" s="584">
        <f>SUM(N562:N567)</f>
        <v>0</v>
      </c>
      <c r="O568" s="584"/>
      <c r="P568" s="584">
        <f>SUM(P562:P567)</f>
        <v>0</v>
      </c>
      <c r="Q568" s="584"/>
      <c r="R568" s="587">
        <f>SUM(R562:R567)</f>
        <v>0</v>
      </c>
      <c r="S568" s="588"/>
      <c r="T568" s="584">
        <f>SUM(T562:T567)</f>
        <v>0</v>
      </c>
      <c r="U568" s="584"/>
      <c r="V568" s="584">
        <f>SUM(V562:V567)</f>
        <v>0</v>
      </c>
      <c r="W568" s="584"/>
      <c r="X568" s="584">
        <f>SUM(X562:X567)</f>
        <v>0</v>
      </c>
      <c r="Y568" s="584"/>
      <c r="Z568" s="584">
        <f>SUM(Z562:Z567)</f>
        <v>0</v>
      </c>
      <c r="AA568" s="584"/>
      <c r="AB568" s="584">
        <f>SUM(AB562:AB567)</f>
        <v>0</v>
      </c>
      <c r="AC568" s="584"/>
      <c r="AD568" s="585">
        <f>SUM(AD562:AD567)</f>
        <v>13853.400000000001</v>
      </c>
      <c r="AE568" s="590"/>
      <c r="AF568" s="584">
        <f>SUM(AF562:AF567)</f>
        <v>13853.400000000001</v>
      </c>
      <c r="AG568" s="591"/>
      <c r="AH568" s="585">
        <f>SUM(AH562:AH567)</f>
        <v>0</v>
      </c>
      <c r="AI568" s="568"/>
      <c r="AK568" s="617">
        <f t="shared" si="588"/>
        <v>0</v>
      </c>
    </row>
    <row r="569" spans="1:37">
      <c r="A569" s="570"/>
      <c r="B569" s="571"/>
      <c r="C569" s="572"/>
      <c r="D569" s="573"/>
      <c r="E569" s="573"/>
      <c r="F569" s="574"/>
      <c r="G569" s="580"/>
      <c r="H569" s="576"/>
      <c r="I569" s="576"/>
      <c r="J569" s="576"/>
      <c r="K569" s="576"/>
      <c r="L569" s="576"/>
      <c r="M569" s="576"/>
      <c r="N569" s="576"/>
      <c r="O569" s="576"/>
      <c r="P569" s="576"/>
      <c r="Q569" s="576"/>
      <c r="R569" s="577"/>
      <c r="S569" s="578"/>
      <c r="T569" s="576"/>
      <c r="U569" s="576"/>
      <c r="V569" s="576"/>
      <c r="W569" s="576"/>
      <c r="X569" s="576"/>
      <c r="Y569" s="576"/>
      <c r="Z569" s="576"/>
      <c r="AA569" s="576"/>
      <c r="AB569" s="576"/>
      <c r="AC569" s="576"/>
      <c r="AD569" s="579"/>
      <c r="AE569" s="580"/>
      <c r="AF569" s="576"/>
      <c r="AG569" s="576"/>
      <c r="AH569" s="579"/>
      <c r="AK569" s="617">
        <f t="shared" si="588"/>
        <v>0</v>
      </c>
    </row>
    <row r="570" spans="1:37" s="569" customFormat="1">
      <c r="A570" s="558" t="s">
        <v>13108</v>
      </c>
      <c r="B570" s="559" t="str">
        <f>PLANILHA!D568</f>
        <v>RAMPA DE ACESSO</v>
      </c>
      <c r="C570" s="560"/>
      <c r="D570" s="561"/>
      <c r="E570" s="561"/>
      <c r="F570" s="562">
        <f t="shared" ref="F570:F576" si="651">VLOOKUP(A570,PLANILHA,$G$6,0)</f>
        <v>0</v>
      </c>
      <c r="G570" s="563"/>
      <c r="H570" s="564"/>
      <c r="I570" s="564"/>
      <c r="J570" s="564"/>
      <c r="K570" s="564"/>
      <c r="L570" s="564"/>
      <c r="M570" s="564"/>
      <c r="N570" s="564"/>
      <c r="O570" s="564"/>
      <c r="P570" s="564"/>
      <c r="Q570" s="564"/>
      <c r="R570" s="565"/>
      <c r="S570" s="566"/>
      <c r="T570" s="564"/>
      <c r="U570" s="564"/>
      <c r="V570" s="564"/>
      <c r="W570" s="564"/>
      <c r="X570" s="564"/>
      <c r="Y570" s="564"/>
      <c r="Z570" s="564"/>
      <c r="AA570" s="564"/>
      <c r="AB570" s="564"/>
      <c r="AC570" s="564"/>
      <c r="AD570" s="567"/>
      <c r="AE570" s="563"/>
      <c r="AF570" s="564"/>
      <c r="AG570" s="564"/>
      <c r="AH570" s="567"/>
      <c r="AI570" s="568"/>
      <c r="AK570" s="617">
        <f t="shared" si="588"/>
        <v>0</v>
      </c>
    </row>
    <row r="571" spans="1:37" s="569" customFormat="1">
      <c r="A571" s="592" t="s">
        <v>413</v>
      </c>
      <c r="B571" s="593" t="str">
        <f>PLANILHA!D569</f>
        <v>SERVIÇOS PRELIMINARES</v>
      </c>
      <c r="C571" s="594"/>
      <c r="D571" s="589"/>
      <c r="E571" s="589"/>
      <c r="F571" s="595">
        <f t="shared" si="651"/>
        <v>0</v>
      </c>
      <c r="G571" s="596"/>
      <c r="H571" s="597"/>
      <c r="I571" s="597"/>
      <c r="J571" s="597"/>
      <c r="K571" s="597"/>
      <c r="L571" s="597"/>
      <c r="M571" s="597"/>
      <c r="N571" s="597"/>
      <c r="O571" s="597"/>
      <c r="P571" s="597"/>
      <c r="Q571" s="597"/>
      <c r="R571" s="598"/>
      <c r="S571" s="599"/>
      <c r="T571" s="597"/>
      <c r="U571" s="597"/>
      <c r="V571" s="597"/>
      <c r="W571" s="597"/>
      <c r="X571" s="597"/>
      <c r="Y571" s="597"/>
      <c r="Z571" s="597"/>
      <c r="AA571" s="597"/>
      <c r="AB571" s="597"/>
      <c r="AC571" s="597"/>
      <c r="AD571" s="600"/>
      <c r="AE571" s="596"/>
      <c r="AF571" s="597"/>
      <c r="AG571" s="597"/>
      <c r="AH571" s="600"/>
      <c r="AI571" s="568"/>
      <c r="AK571" s="617">
        <f t="shared" si="588"/>
        <v>0</v>
      </c>
    </row>
    <row r="572" spans="1:37" ht="30">
      <c r="A572" s="570" t="s">
        <v>7279</v>
      </c>
      <c r="B572" s="571" t="str">
        <f>PLANILHA!D570</f>
        <v>DEMOLIÇÃO DE CONCRETO SIMPLES - COM EQUIPAMENTO ELÉTRICO, INCLUSIVE AFASTAMENTO.</v>
      </c>
      <c r="C572" s="572" t="str">
        <f>PLANILHA!E570</f>
        <v>m³</v>
      </c>
      <c r="D572" s="573">
        <f>PLANILHA!F570</f>
        <v>6.3209999999999997</v>
      </c>
      <c r="E572" s="573">
        <f>VLOOKUP(A572,PLANILHA,$G$7,0)</f>
        <v>158.38</v>
      </c>
      <c r="F572" s="574">
        <f t="shared" si="651"/>
        <v>1001.11</v>
      </c>
      <c r="G572" s="580">
        <f>D572</f>
        <v>6.3209999999999997</v>
      </c>
      <c r="H572" s="576">
        <f t="shared" ref="H572:H575" si="652">TRUNC(G572*$E572,2)</f>
        <v>1001.11</v>
      </c>
      <c r="I572" s="576"/>
      <c r="J572" s="576">
        <f>I572*$E572</f>
        <v>0</v>
      </c>
      <c r="K572" s="576"/>
      <c r="L572" s="576">
        <f>K572*$E572</f>
        <v>0</v>
      </c>
      <c r="M572" s="576"/>
      <c r="N572" s="576">
        <f>M572*$E572</f>
        <v>0</v>
      </c>
      <c r="O572" s="576"/>
      <c r="P572" s="576">
        <f>O572*$E572</f>
        <v>0</v>
      </c>
      <c r="Q572" s="576"/>
      <c r="R572" s="577">
        <f>Q572*$E572</f>
        <v>0</v>
      </c>
      <c r="S572" s="578"/>
      <c r="T572" s="576">
        <f>S572*$E572</f>
        <v>0</v>
      </c>
      <c r="U572" s="576"/>
      <c r="V572" s="576">
        <f>U572*$E572</f>
        <v>0</v>
      </c>
      <c r="W572" s="576"/>
      <c r="X572" s="576">
        <f>W572*$E572</f>
        <v>0</v>
      </c>
      <c r="Y572" s="576"/>
      <c r="Z572" s="576">
        <f>Y572*$E572</f>
        <v>0</v>
      </c>
      <c r="AA572" s="576"/>
      <c r="AB572" s="576">
        <f>AA572*$E572</f>
        <v>0</v>
      </c>
      <c r="AC572" s="576"/>
      <c r="AD572" s="579">
        <f>AC572*$E572</f>
        <v>0</v>
      </c>
      <c r="AE572" s="580">
        <f>AC572+AA572+Y572+W572+U572+S572+Q572+O572+M572+K572+I572+G572</f>
        <v>6.3209999999999997</v>
      </c>
      <c r="AF572" s="576">
        <f t="shared" ref="AF572:AF575" si="653">TRUNC(AE572*E572,2)</f>
        <v>1001.11</v>
      </c>
      <c r="AG572" s="576">
        <f>D572-AE572</f>
        <v>0</v>
      </c>
      <c r="AH572" s="579">
        <f>AG572*E572</f>
        <v>0</v>
      </c>
      <c r="AK572" s="617">
        <f t="shared" si="588"/>
        <v>0</v>
      </c>
    </row>
    <row r="573" spans="1:37" ht="30">
      <c r="A573" s="570" t="s">
        <v>7280</v>
      </c>
      <c r="B573" s="571" t="str">
        <f>PLANILHA!D571</f>
        <v>TRANSPORTE HORIZONTAL COM JERICA DE 90 L, DE MASSA/ GRANEL (UNIDADE: M3XKM). AF_07/2019</v>
      </c>
      <c r="C573" s="572" t="str">
        <f>PLANILHA!E571</f>
        <v>M3XKM</v>
      </c>
      <c r="D573" s="573">
        <f>PLANILHA!F571</f>
        <v>1.2642</v>
      </c>
      <c r="E573" s="573">
        <f>VLOOKUP(A573,PLANILHA,$G$7,0)</f>
        <v>1015.65</v>
      </c>
      <c r="F573" s="574">
        <f t="shared" si="651"/>
        <v>1283.98</v>
      </c>
      <c r="G573" s="580">
        <f>D573</f>
        <v>1.2642</v>
      </c>
      <c r="H573" s="576">
        <f t="shared" si="652"/>
        <v>1283.98</v>
      </c>
      <c r="I573" s="576"/>
      <c r="J573" s="576">
        <f>I573*$E573</f>
        <v>0</v>
      </c>
      <c r="K573" s="576"/>
      <c r="L573" s="576">
        <f>K573*$E573</f>
        <v>0</v>
      </c>
      <c r="M573" s="576"/>
      <c r="N573" s="576">
        <f>M573*$E573</f>
        <v>0</v>
      </c>
      <c r="O573" s="576"/>
      <c r="P573" s="576">
        <f>O573*$E573</f>
        <v>0</v>
      </c>
      <c r="Q573" s="576"/>
      <c r="R573" s="577">
        <f>Q573*$E573</f>
        <v>0</v>
      </c>
      <c r="S573" s="578"/>
      <c r="T573" s="576">
        <f>S573*$E573</f>
        <v>0</v>
      </c>
      <c r="U573" s="576"/>
      <c r="V573" s="576">
        <f>U573*$E573</f>
        <v>0</v>
      </c>
      <c r="W573" s="576"/>
      <c r="X573" s="576">
        <f>W573*$E573</f>
        <v>0</v>
      </c>
      <c r="Y573" s="576"/>
      <c r="Z573" s="576">
        <f>Y573*$E573</f>
        <v>0</v>
      </c>
      <c r="AA573" s="576"/>
      <c r="AB573" s="576">
        <f>AA573*$E573</f>
        <v>0</v>
      </c>
      <c r="AC573" s="576"/>
      <c r="AD573" s="579">
        <f>AC573*$E573</f>
        <v>0</v>
      </c>
      <c r="AE573" s="580">
        <f>AC573+AA573+Y573+W573+U573+S573+Q573+O573+M573+K573+I573+G573</f>
        <v>1.2642</v>
      </c>
      <c r="AF573" s="576">
        <f t="shared" si="653"/>
        <v>1283.98</v>
      </c>
      <c r="AG573" s="576">
        <f>D573-AE573</f>
        <v>0</v>
      </c>
      <c r="AH573" s="579">
        <f>AG573*E573</f>
        <v>0</v>
      </c>
      <c r="AK573" s="617">
        <f t="shared" si="588"/>
        <v>0</v>
      </c>
    </row>
    <row r="574" spans="1:37" ht="30">
      <c r="A574" s="570" t="s">
        <v>7281</v>
      </c>
      <c r="B574" s="571" t="str">
        <f>PLANILHA!D572</f>
        <v>ESCAVAÇÃO MANUAL DE VALA PARA VIGA BALDRAME (SEM ESCAVAÇÃO PARA COLOCAÇÃO DE FÔRMAS). AF_06/2017</v>
      </c>
      <c r="C574" s="572" t="str">
        <f>PLANILHA!E572</f>
        <v>M3</v>
      </c>
      <c r="D574" s="573">
        <f>PLANILHA!F572</f>
        <v>3.67</v>
      </c>
      <c r="E574" s="573">
        <f>VLOOKUP(A574,PLANILHA,$G$7,0)</f>
        <v>295.01</v>
      </c>
      <c r="F574" s="574">
        <f t="shared" si="651"/>
        <v>1082.68</v>
      </c>
      <c r="G574" s="580">
        <f>D574</f>
        <v>3.67</v>
      </c>
      <c r="H574" s="576">
        <f t="shared" si="652"/>
        <v>1082.68</v>
      </c>
      <c r="I574" s="576"/>
      <c r="J574" s="576">
        <f>I574*$E574</f>
        <v>0</v>
      </c>
      <c r="K574" s="576"/>
      <c r="L574" s="576">
        <f>K574*$E574</f>
        <v>0</v>
      </c>
      <c r="M574" s="576"/>
      <c r="N574" s="576">
        <f>M574*$E574</f>
        <v>0</v>
      </c>
      <c r="O574" s="576"/>
      <c r="P574" s="576">
        <f>O574*$E574</f>
        <v>0</v>
      </c>
      <c r="Q574" s="576"/>
      <c r="R574" s="577">
        <f>Q574*$E574</f>
        <v>0</v>
      </c>
      <c r="S574" s="578"/>
      <c r="T574" s="576">
        <f>S574*$E574</f>
        <v>0</v>
      </c>
      <c r="U574" s="576"/>
      <c r="V574" s="576">
        <f>U574*$E574</f>
        <v>0</v>
      </c>
      <c r="W574" s="576"/>
      <c r="X574" s="576">
        <f>W574*$E574</f>
        <v>0</v>
      </c>
      <c r="Y574" s="576"/>
      <c r="Z574" s="576">
        <f>Y574*$E574</f>
        <v>0</v>
      </c>
      <c r="AA574" s="576"/>
      <c r="AB574" s="576">
        <f>AA574*$E574</f>
        <v>0</v>
      </c>
      <c r="AC574" s="576"/>
      <c r="AD574" s="579">
        <f>AC574*$E574</f>
        <v>0</v>
      </c>
      <c r="AE574" s="580">
        <f>AC574+AA574+Y574+W574+U574+S574+Q574+O574+M574+K574+I574+G574</f>
        <v>3.67</v>
      </c>
      <c r="AF574" s="576">
        <f t="shared" si="653"/>
        <v>1082.68</v>
      </c>
      <c r="AG574" s="576">
        <f>D574-AE574</f>
        <v>0</v>
      </c>
      <c r="AH574" s="579">
        <f>AG574*E574</f>
        <v>0</v>
      </c>
      <c r="AK574" s="617">
        <f t="shared" si="588"/>
        <v>0</v>
      </c>
    </row>
    <row r="575" spans="1:37" ht="30">
      <c r="A575" s="570" t="s">
        <v>7282</v>
      </c>
      <c r="B575" s="571" t="str">
        <f>PLANILHA!D573</f>
        <v>PREPARO DE FUNDO DE VALA COM LARGURA MENOR QUE 1,5 M (ACERTO DO SOLO NATURAL). AF_08/2020</v>
      </c>
      <c r="C575" s="572" t="str">
        <f>PLANILHA!E573</f>
        <v>M2</v>
      </c>
      <c r="D575" s="573">
        <f>PLANILHA!F573</f>
        <v>55.37</v>
      </c>
      <c r="E575" s="573">
        <f>VLOOKUP(A575,PLANILHA,$G$7,0)</f>
        <v>5.94</v>
      </c>
      <c r="F575" s="574">
        <f t="shared" si="651"/>
        <v>328.89</v>
      </c>
      <c r="G575" s="580">
        <f>D575</f>
        <v>55.37</v>
      </c>
      <c r="H575" s="576">
        <f t="shared" si="652"/>
        <v>328.89</v>
      </c>
      <c r="I575" s="576"/>
      <c r="J575" s="576">
        <f>I575*$E575</f>
        <v>0</v>
      </c>
      <c r="K575" s="576"/>
      <c r="L575" s="576">
        <f>K575*$E575</f>
        <v>0</v>
      </c>
      <c r="M575" s="576"/>
      <c r="N575" s="576">
        <f>M575*$E575</f>
        <v>0</v>
      </c>
      <c r="O575" s="576"/>
      <c r="P575" s="576">
        <f>O575*$E575</f>
        <v>0</v>
      </c>
      <c r="Q575" s="576"/>
      <c r="R575" s="577">
        <f>Q575*$E575</f>
        <v>0</v>
      </c>
      <c r="S575" s="578"/>
      <c r="T575" s="576">
        <f>S575*$E575</f>
        <v>0</v>
      </c>
      <c r="U575" s="576"/>
      <c r="V575" s="576">
        <f>U575*$E575</f>
        <v>0</v>
      </c>
      <c r="W575" s="576"/>
      <c r="X575" s="576">
        <f>W575*$E575</f>
        <v>0</v>
      </c>
      <c r="Y575" s="576"/>
      <c r="Z575" s="576">
        <f>Y575*$E575</f>
        <v>0</v>
      </c>
      <c r="AA575" s="576"/>
      <c r="AB575" s="576">
        <f>AA575*$E575</f>
        <v>0</v>
      </c>
      <c r="AC575" s="576"/>
      <c r="AD575" s="579">
        <f>AC575*$E575</f>
        <v>0</v>
      </c>
      <c r="AE575" s="580">
        <f>AC575+AA575+Y575+W575+U575+S575+Q575+O575+M575+K575+I575+G575</f>
        <v>55.37</v>
      </c>
      <c r="AF575" s="576">
        <f t="shared" si="653"/>
        <v>328.89</v>
      </c>
      <c r="AG575" s="576">
        <f>D575-AE575</f>
        <v>0</v>
      </c>
      <c r="AH575" s="579">
        <f>AG575*E575</f>
        <v>0</v>
      </c>
      <c r="AK575" s="617">
        <f t="shared" si="588"/>
        <v>0</v>
      </c>
    </row>
    <row r="576" spans="1:37" s="569" customFormat="1">
      <c r="A576" s="581" t="s">
        <v>27246</v>
      </c>
      <c r="B576" s="582"/>
      <c r="C576" s="583"/>
      <c r="D576" s="584"/>
      <c r="E576" s="584"/>
      <c r="F576" s="585">
        <f t="shared" si="651"/>
        <v>3696.6600000000003</v>
      </c>
      <c r="G576" s="586"/>
      <c r="H576" s="584">
        <f>SUM(H572:H575)</f>
        <v>3696.6600000000003</v>
      </c>
      <c r="I576" s="584"/>
      <c r="J576" s="584">
        <f>SUM(J572:J575)</f>
        <v>0</v>
      </c>
      <c r="K576" s="584"/>
      <c r="L576" s="584">
        <f>SUM(L572:L575)</f>
        <v>0</v>
      </c>
      <c r="M576" s="584"/>
      <c r="N576" s="584">
        <f>SUM(N572:N575)</f>
        <v>0</v>
      </c>
      <c r="O576" s="584"/>
      <c r="P576" s="584">
        <f>SUM(P572:P575)</f>
        <v>0</v>
      </c>
      <c r="Q576" s="584"/>
      <c r="R576" s="587">
        <f>SUM(R572:R575)</f>
        <v>0</v>
      </c>
      <c r="S576" s="588"/>
      <c r="T576" s="584">
        <f>SUM(T572:T575)</f>
        <v>0</v>
      </c>
      <c r="U576" s="584"/>
      <c r="V576" s="584">
        <f>SUM(V572:V575)</f>
        <v>0</v>
      </c>
      <c r="W576" s="584"/>
      <c r="X576" s="584">
        <f>SUM(X572:X575)</f>
        <v>0</v>
      </c>
      <c r="Y576" s="584"/>
      <c r="Z576" s="584">
        <f>SUM(Z572:Z575)</f>
        <v>0</v>
      </c>
      <c r="AA576" s="584"/>
      <c r="AB576" s="584">
        <f>SUM(AB572:AB575)</f>
        <v>0</v>
      </c>
      <c r="AC576" s="584"/>
      <c r="AD576" s="585">
        <f>SUM(AD572:AD575)</f>
        <v>0</v>
      </c>
      <c r="AE576" s="590"/>
      <c r="AF576" s="584">
        <f>SUM(AF572:AF575)</f>
        <v>3696.6600000000003</v>
      </c>
      <c r="AG576" s="591"/>
      <c r="AH576" s="585">
        <f>SUM(AH572:AH575)</f>
        <v>0</v>
      </c>
      <c r="AI576" s="568"/>
      <c r="AK576" s="617">
        <f t="shared" si="588"/>
        <v>0</v>
      </c>
    </row>
    <row r="577" spans="1:37">
      <c r="A577" s="570"/>
      <c r="B577" s="571"/>
      <c r="C577" s="572"/>
      <c r="D577" s="573"/>
      <c r="E577" s="573"/>
      <c r="F577" s="574"/>
      <c r="G577" s="580"/>
      <c r="H577" s="576"/>
      <c r="I577" s="576"/>
      <c r="J577" s="576"/>
      <c r="K577" s="576"/>
      <c r="L577" s="576"/>
      <c r="M577" s="576"/>
      <c r="N577" s="576"/>
      <c r="O577" s="576"/>
      <c r="P577" s="576"/>
      <c r="Q577" s="576"/>
      <c r="R577" s="577"/>
      <c r="S577" s="578"/>
      <c r="T577" s="576"/>
      <c r="U577" s="576"/>
      <c r="V577" s="576"/>
      <c r="W577" s="576"/>
      <c r="X577" s="576"/>
      <c r="Y577" s="576"/>
      <c r="Z577" s="576"/>
      <c r="AA577" s="576"/>
      <c r="AB577" s="576"/>
      <c r="AC577" s="576"/>
      <c r="AD577" s="579"/>
      <c r="AE577" s="580"/>
      <c r="AF577" s="576"/>
      <c r="AG577" s="576"/>
      <c r="AH577" s="579"/>
      <c r="AK577" s="617">
        <f t="shared" si="588"/>
        <v>0</v>
      </c>
    </row>
    <row r="578" spans="1:37" s="569" customFormat="1">
      <c r="A578" s="592" t="s">
        <v>414</v>
      </c>
      <c r="B578" s="593" t="str">
        <f>PLANILHA!D576</f>
        <v>FUNDAÇÃO</v>
      </c>
      <c r="C578" s="594"/>
      <c r="D578" s="589"/>
      <c r="E578" s="589"/>
      <c r="F578" s="595">
        <f t="shared" ref="F578:F588" si="654">VLOOKUP(A578,PLANILHA,$G$6,0)</f>
        <v>0</v>
      </c>
      <c r="G578" s="596"/>
      <c r="H578" s="597"/>
      <c r="I578" s="597"/>
      <c r="J578" s="597"/>
      <c r="K578" s="597"/>
      <c r="L578" s="597"/>
      <c r="M578" s="597"/>
      <c r="N578" s="597"/>
      <c r="O578" s="597"/>
      <c r="P578" s="597"/>
      <c r="Q578" s="597"/>
      <c r="R578" s="598"/>
      <c r="S578" s="599"/>
      <c r="T578" s="597"/>
      <c r="U578" s="597"/>
      <c r="V578" s="597"/>
      <c r="W578" s="597"/>
      <c r="X578" s="597"/>
      <c r="Y578" s="597"/>
      <c r="Z578" s="597"/>
      <c r="AA578" s="597"/>
      <c r="AB578" s="597"/>
      <c r="AC578" s="597"/>
      <c r="AD578" s="600"/>
      <c r="AE578" s="596"/>
      <c r="AF578" s="597"/>
      <c r="AG578" s="597"/>
      <c r="AH578" s="600"/>
      <c r="AI578" s="568"/>
      <c r="AK578" s="617">
        <f t="shared" si="588"/>
        <v>0</v>
      </c>
    </row>
    <row r="579" spans="1:37" ht="45">
      <c r="A579" s="570" t="s">
        <v>7283</v>
      </c>
      <c r="B579" s="571" t="str">
        <f>PLANILHA!D577</f>
        <v>CONCRETO MAGRO PARA LASTRO, TRAÇO 1:4,5:4,5 (EM MASSA SECA DE CIMENTO/ AREIA MÉDIA/ SEIXO ROLADO) - PREPARO MECÂNICO COM BETONEIRA 400 L. AF_05/2021</v>
      </c>
      <c r="C579" s="572" t="str">
        <f>PLANILHA!E577</f>
        <v>M3</v>
      </c>
      <c r="D579" s="573">
        <f>PLANILHA!F577</f>
        <v>2.1070000000000002</v>
      </c>
      <c r="E579" s="573">
        <f t="shared" ref="E579:E587" si="655">VLOOKUP(A579,PLANILHA,$G$7,0)</f>
        <v>558.29999999999995</v>
      </c>
      <c r="F579" s="574">
        <f t="shared" si="654"/>
        <v>1176.33</v>
      </c>
      <c r="G579" s="580"/>
      <c r="H579" s="576">
        <f t="shared" ref="H579:H587" si="656">TRUNC(G579*$E579,2)</f>
        <v>0</v>
      </c>
      <c r="I579" s="576">
        <f>D579</f>
        <v>2.1070000000000002</v>
      </c>
      <c r="J579" s="576">
        <f t="shared" ref="J579:J587" si="657">TRUNC(I579*$E579,2)</f>
        <v>1176.33</v>
      </c>
      <c r="K579" s="576"/>
      <c r="L579" s="576">
        <f t="shared" ref="L579:L587" si="658">K579*$E579</f>
        <v>0</v>
      </c>
      <c r="M579" s="576"/>
      <c r="N579" s="576">
        <f t="shared" ref="N579:N587" si="659">M579*$E579</f>
        <v>0</v>
      </c>
      <c r="O579" s="576"/>
      <c r="P579" s="576">
        <f t="shared" ref="P579:P587" si="660">O579*$E579</f>
        <v>0</v>
      </c>
      <c r="Q579" s="576"/>
      <c r="R579" s="577">
        <f t="shared" ref="R579:R587" si="661">Q579*$E579</f>
        <v>0</v>
      </c>
      <c r="S579" s="578"/>
      <c r="T579" s="576">
        <f t="shared" ref="T579:T587" si="662">S579*$E579</f>
        <v>0</v>
      </c>
      <c r="U579" s="576"/>
      <c r="V579" s="576">
        <f t="shared" ref="V579:V587" si="663">U579*$E579</f>
        <v>0</v>
      </c>
      <c r="W579" s="576"/>
      <c r="X579" s="576">
        <f t="shared" ref="X579:X587" si="664">W579*$E579</f>
        <v>0</v>
      </c>
      <c r="Y579" s="576"/>
      <c r="Z579" s="576">
        <f t="shared" ref="Z579:Z587" si="665">Y579*$E579</f>
        <v>0</v>
      </c>
      <c r="AA579" s="576"/>
      <c r="AB579" s="576">
        <f t="shared" ref="AB579:AB587" si="666">AA579*$E579</f>
        <v>0</v>
      </c>
      <c r="AC579" s="576"/>
      <c r="AD579" s="579">
        <f t="shared" ref="AD579:AD587" si="667">AC579*$E579</f>
        <v>0</v>
      </c>
      <c r="AE579" s="580">
        <f t="shared" ref="AE579:AE587" si="668">AC579+AA579+Y579+W579+U579+S579+Q579+O579+M579+K579+I579+G579</f>
        <v>2.1070000000000002</v>
      </c>
      <c r="AF579" s="576">
        <f t="shared" ref="AF579:AF587" si="669">TRUNC(AE579*E579,2)</f>
        <v>1176.33</v>
      </c>
      <c r="AG579" s="576">
        <f t="shared" ref="AG579:AG587" si="670">D579-AE579</f>
        <v>0</v>
      </c>
      <c r="AH579" s="579">
        <f t="shared" ref="AH579:AH587" si="671">AG579*E579</f>
        <v>0</v>
      </c>
      <c r="AK579" s="617">
        <f t="shared" si="588"/>
        <v>0</v>
      </c>
    </row>
    <row r="580" spans="1:37" ht="45">
      <c r="A580" s="570" t="s">
        <v>7284</v>
      </c>
      <c r="B580" s="571" t="str">
        <f>PLANILHA!D578</f>
        <v>CONCRETAGEM DE BLOCOS DE COROAMENTO E VIGAS BALDRAME, FCK 30 MPA, COM USO DE JERICA  LANÇAMENTO, ADENSAMENTO E ACABAMENTO. AF_06/2017</v>
      </c>
      <c r="C580" s="572" t="str">
        <f>PLANILHA!E578</f>
        <v>M3</v>
      </c>
      <c r="D580" s="573">
        <f>PLANILHA!F578</f>
        <v>6</v>
      </c>
      <c r="E580" s="573">
        <f t="shared" si="655"/>
        <v>741.7</v>
      </c>
      <c r="F580" s="574">
        <f t="shared" si="654"/>
        <v>4450.2</v>
      </c>
      <c r="G580" s="580"/>
      <c r="H580" s="576">
        <f t="shared" si="656"/>
        <v>0</v>
      </c>
      <c r="I580" s="576">
        <f t="shared" ref="I580:I585" si="672">D580</f>
        <v>6</v>
      </c>
      <c r="J580" s="576">
        <f t="shared" si="657"/>
        <v>4450.2</v>
      </c>
      <c r="K580" s="576"/>
      <c r="L580" s="576">
        <f t="shared" si="658"/>
        <v>0</v>
      </c>
      <c r="M580" s="576"/>
      <c r="N580" s="576">
        <f t="shared" si="659"/>
        <v>0</v>
      </c>
      <c r="O580" s="576"/>
      <c r="P580" s="576">
        <f t="shared" si="660"/>
        <v>0</v>
      </c>
      <c r="Q580" s="576"/>
      <c r="R580" s="577">
        <f t="shared" si="661"/>
        <v>0</v>
      </c>
      <c r="S580" s="578"/>
      <c r="T580" s="576">
        <f t="shared" si="662"/>
        <v>0</v>
      </c>
      <c r="U580" s="576"/>
      <c r="V580" s="576">
        <f t="shared" si="663"/>
        <v>0</v>
      </c>
      <c r="W580" s="576"/>
      <c r="X580" s="576">
        <f t="shared" si="664"/>
        <v>0</v>
      </c>
      <c r="Y580" s="576"/>
      <c r="Z580" s="576">
        <f t="shared" si="665"/>
        <v>0</v>
      </c>
      <c r="AA580" s="576"/>
      <c r="AB580" s="576">
        <f t="shared" si="666"/>
        <v>0</v>
      </c>
      <c r="AC580" s="576"/>
      <c r="AD580" s="579">
        <f t="shared" si="667"/>
        <v>0</v>
      </c>
      <c r="AE580" s="580">
        <f t="shared" si="668"/>
        <v>6</v>
      </c>
      <c r="AF580" s="576">
        <f t="shared" si="669"/>
        <v>4450.2</v>
      </c>
      <c r="AG580" s="576">
        <f t="shared" si="670"/>
        <v>0</v>
      </c>
      <c r="AH580" s="579">
        <f t="shared" si="671"/>
        <v>0</v>
      </c>
      <c r="AK580" s="617">
        <f t="shared" si="588"/>
        <v>0</v>
      </c>
    </row>
    <row r="581" spans="1:37" ht="30">
      <c r="A581" s="570" t="s">
        <v>7285</v>
      </c>
      <c r="B581" s="571" t="str">
        <f>PLANILHA!D579</f>
        <v>ARMAÇÃO DE BLOCO, VIGA BALDRAME E SAPATA UTILIZANDO AÇO CA-60 DE 5 MM - MONTAGEM. AF_06/2017</v>
      </c>
      <c r="C581" s="572" t="str">
        <f>PLANILHA!E579</f>
        <v>KG</v>
      </c>
      <c r="D581" s="573">
        <f>PLANILHA!F579</f>
        <v>132.69999999999999</v>
      </c>
      <c r="E581" s="573">
        <f t="shared" si="655"/>
        <v>22.55</v>
      </c>
      <c r="F581" s="574">
        <f t="shared" si="654"/>
        <v>2992.38</v>
      </c>
      <c r="G581" s="580"/>
      <c r="H581" s="576">
        <f t="shared" si="656"/>
        <v>0</v>
      </c>
      <c r="I581" s="576">
        <f t="shared" si="672"/>
        <v>132.69999999999999</v>
      </c>
      <c r="J581" s="576">
        <f t="shared" si="657"/>
        <v>2992.38</v>
      </c>
      <c r="K581" s="576"/>
      <c r="L581" s="576">
        <f t="shared" si="658"/>
        <v>0</v>
      </c>
      <c r="M581" s="576"/>
      <c r="N581" s="576">
        <f t="shared" si="659"/>
        <v>0</v>
      </c>
      <c r="O581" s="576"/>
      <c r="P581" s="576">
        <f t="shared" si="660"/>
        <v>0</v>
      </c>
      <c r="Q581" s="576"/>
      <c r="R581" s="577">
        <f t="shared" si="661"/>
        <v>0</v>
      </c>
      <c r="S581" s="578"/>
      <c r="T581" s="576">
        <f t="shared" si="662"/>
        <v>0</v>
      </c>
      <c r="U581" s="576"/>
      <c r="V581" s="576">
        <f t="shared" si="663"/>
        <v>0</v>
      </c>
      <c r="W581" s="576"/>
      <c r="X581" s="576">
        <f t="shared" si="664"/>
        <v>0</v>
      </c>
      <c r="Y581" s="576"/>
      <c r="Z581" s="576">
        <f t="shared" si="665"/>
        <v>0</v>
      </c>
      <c r="AA581" s="576"/>
      <c r="AB581" s="576">
        <f t="shared" si="666"/>
        <v>0</v>
      </c>
      <c r="AC581" s="576"/>
      <c r="AD581" s="579">
        <f t="shared" si="667"/>
        <v>0</v>
      </c>
      <c r="AE581" s="580">
        <f t="shared" si="668"/>
        <v>132.69999999999999</v>
      </c>
      <c r="AF581" s="576">
        <f t="shared" si="669"/>
        <v>2992.38</v>
      </c>
      <c r="AG581" s="576">
        <f t="shared" si="670"/>
        <v>0</v>
      </c>
      <c r="AH581" s="579">
        <f t="shared" si="671"/>
        <v>0</v>
      </c>
      <c r="AK581" s="617">
        <f t="shared" si="588"/>
        <v>0</v>
      </c>
    </row>
    <row r="582" spans="1:37" ht="30">
      <c r="A582" s="570" t="s">
        <v>7286</v>
      </c>
      <c r="B582" s="571" t="str">
        <f>PLANILHA!D580</f>
        <v>ARMAÇÃO DE BLOCO, VIGA BALDRAME OU SAPATA UTILIZANDO AÇO CA-50 DE 6,3 MM - MONTAGEM. AF_06/2017</v>
      </c>
      <c r="C582" s="572" t="str">
        <f>PLANILHA!E580</f>
        <v>KG</v>
      </c>
      <c r="D582" s="573">
        <f>PLANILHA!F580</f>
        <v>200.9</v>
      </c>
      <c r="E582" s="573">
        <f t="shared" si="655"/>
        <v>21.42</v>
      </c>
      <c r="F582" s="574">
        <f t="shared" si="654"/>
        <v>4303.2700000000004</v>
      </c>
      <c r="G582" s="580"/>
      <c r="H582" s="576">
        <f t="shared" si="656"/>
        <v>0</v>
      </c>
      <c r="I582" s="576">
        <f t="shared" si="672"/>
        <v>200.9</v>
      </c>
      <c r="J582" s="576">
        <f t="shared" si="657"/>
        <v>4303.2700000000004</v>
      </c>
      <c r="K582" s="576"/>
      <c r="L582" s="576">
        <f t="shared" si="658"/>
        <v>0</v>
      </c>
      <c r="M582" s="576"/>
      <c r="N582" s="576">
        <f t="shared" si="659"/>
        <v>0</v>
      </c>
      <c r="O582" s="576"/>
      <c r="P582" s="576">
        <f t="shared" si="660"/>
        <v>0</v>
      </c>
      <c r="Q582" s="576"/>
      <c r="R582" s="577">
        <f t="shared" si="661"/>
        <v>0</v>
      </c>
      <c r="S582" s="578"/>
      <c r="T582" s="576">
        <f t="shared" si="662"/>
        <v>0</v>
      </c>
      <c r="U582" s="576"/>
      <c r="V582" s="576">
        <f t="shared" si="663"/>
        <v>0</v>
      </c>
      <c r="W582" s="576"/>
      <c r="X582" s="576">
        <f t="shared" si="664"/>
        <v>0</v>
      </c>
      <c r="Y582" s="576"/>
      <c r="Z582" s="576">
        <f t="shared" si="665"/>
        <v>0</v>
      </c>
      <c r="AA582" s="576"/>
      <c r="AB582" s="576">
        <f t="shared" si="666"/>
        <v>0</v>
      </c>
      <c r="AC582" s="576"/>
      <c r="AD582" s="579">
        <f t="shared" si="667"/>
        <v>0</v>
      </c>
      <c r="AE582" s="580">
        <f t="shared" si="668"/>
        <v>200.9</v>
      </c>
      <c r="AF582" s="576">
        <f t="shared" si="669"/>
        <v>4303.2700000000004</v>
      </c>
      <c r="AG582" s="576">
        <f t="shared" si="670"/>
        <v>0</v>
      </c>
      <c r="AH582" s="579">
        <f t="shared" si="671"/>
        <v>0</v>
      </c>
      <c r="AK582" s="617">
        <f t="shared" si="588"/>
        <v>0</v>
      </c>
    </row>
    <row r="583" spans="1:37" ht="30">
      <c r="A583" s="570" t="s">
        <v>13109</v>
      </c>
      <c r="B583" s="571" t="str">
        <f>PLANILHA!D581</f>
        <v>ARMAÇÃO DE BLOCO, VIGA BALDRAME OU SAPATA UTILIZANDO AÇO CA-50 DE 8 MM - MONTAGEM. AF_06/2017</v>
      </c>
      <c r="C583" s="572" t="str">
        <f>PLANILHA!E581</f>
        <v>KG</v>
      </c>
      <c r="D583" s="573">
        <f>PLANILHA!F581</f>
        <v>112.9</v>
      </c>
      <c r="E583" s="573">
        <f t="shared" si="655"/>
        <v>20.21</v>
      </c>
      <c r="F583" s="574">
        <f t="shared" si="654"/>
        <v>2281.6999999999998</v>
      </c>
      <c r="G583" s="580"/>
      <c r="H583" s="576">
        <f t="shared" si="656"/>
        <v>0</v>
      </c>
      <c r="I583" s="576">
        <f t="shared" si="672"/>
        <v>112.9</v>
      </c>
      <c r="J583" s="576">
        <f t="shared" si="657"/>
        <v>2281.6999999999998</v>
      </c>
      <c r="K583" s="576"/>
      <c r="L583" s="576">
        <f t="shared" si="658"/>
        <v>0</v>
      </c>
      <c r="M583" s="576"/>
      <c r="N583" s="576">
        <f t="shared" si="659"/>
        <v>0</v>
      </c>
      <c r="O583" s="576"/>
      <c r="P583" s="576">
        <f t="shared" si="660"/>
        <v>0</v>
      </c>
      <c r="Q583" s="576"/>
      <c r="R583" s="577">
        <f t="shared" si="661"/>
        <v>0</v>
      </c>
      <c r="S583" s="578"/>
      <c r="T583" s="576">
        <f t="shared" si="662"/>
        <v>0</v>
      </c>
      <c r="U583" s="576"/>
      <c r="V583" s="576">
        <f t="shared" si="663"/>
        <v>0</v>
      </c>
      <c r="W583" s="576"/>
      <c r="X583" s="576">
        <f t="shared" si="664"/>
        <v>0</v>
      </c>
      <c r="Y583" s="576"/>
      <c r="Z583" s="576">
        <f t="shared" si="665"/>
        <v>0</v>
      </c>
      <c r="AA583" s="576"/>
      <c r="AB583" s="576">
        <f t="shared" si="666"/>
        <v>0</v>
      </c>
      <c r="AC583" s="576"/>
      <c r="AD583" s="579">
        <f t="shared" si="667"/>
        <v>0</v>
      </c>
      <c r="AE583" s="580">
        <f t="shared" si="668"/>
        <v>112.9</v>
      </c>
      <c r="AF583" s="576">
        <f t="shared" si="669"/>
        <v>2281.6999999999998</v>
      </c>
      <c r="AG583" s="576">
        <f t="shared" si="670"/>
        <v>0</v>
      </c>
      <c r="AH583" s="579">
        <f t="shared" si="671"/>
        <v>0</v>
      </c>
      <c r="AK583" s="617">
        <f t="shared" si="588"/>
        <v>0</v>
      </c>
    </row>
    <row r="584" spans="1:37" ht="30">
      <c r="A584" s="570" t="s">
        <v>13110</v>
      </c>
      <c r="B584" s="571" t="str">
        <f>PLANILHA!D582</f>
        <v>ARMAÇÃO DE BLOCO, VIGA BALDRAME OU SAPATA UTILIZANDO AÇO CA-50 DE 10 MM - MONTAGEM. AF_06/2017</v>
      </c>
      <c r="C584" s="572" t="str">
        <f>PLANILHA!E582</f>
        <v>KG</v>
      </c>
      <c r="D584" s="573">
        <f>PLANILHA!F582</f>
        <v>149.69999999999999</v>
      </c>
      <c r="E584" s="573">
        <f t="shared" si="655"/>
        <v>18.149999999999999</v>
      </c>
      <c r="F584" s="574">
        <f t="shared" si="654"/>
        <v>2717.05</v>
      </c>
      <c r="G584" s="580"/>
      <c r="H584" s="576">
        <f t="shared" si="656"/>
        <v>0</v>
      </c>
      <c r="I584" s="576">
        <f t="shared" si="672"/>
        <v>149.69999999999999</v>
      </c>
      <c r="J584" s="576">
        <f t="shared" si="657"/>
        <v>2717.05</v>
      </c>
      <c r="K584" s="576"/>
      <c r="L584" s="576">
        <f t="shared" si="658"/>
        <v>0</v>
      </c>
      <c r="M584" s="576"/>
      <c r="N584" s="576">
        <f t="shared" si="659"/>
        <v>0</v>
      </c>
      <c r="O584" s="576"/>
      <c r="P584" s="576">
        <f t="shared" si="660"/>
        <v>0</v>
      </c>
      <c r="Q584" s="576"/>
      <c r="R584" s="577">
        <f t="shared" si="661"/>
        <v>0</v>
      </c>
      <c r="S584" s="578"/>
      <c r="T584" s="576">
        <f t="shared" si="662"/>
        <v>0</v>
      </c>
      <c r="U584" s="576"/>
      <c r="V584" s="576">
        <f t="shared" si="663"/>
        <v>0</v>
      </c>
      <c r="W584" s="576"/>
      <c r="X584" s="576">
        <f t="shared" si="664"/>
        <v>0</v>
      </c>
      <c r="Y584" s="576"/>
      <c r="Z584" s="576">
        <f t="shared" si="665"/>
        <v>0</v>
      </c>
      <c r="AA584" s="576"/>
      <c r="AB584" s="576">
        <f t="shared" si="666"/>
        <v>0</v>
      </c>
      <c r="AC584" s="576"/>
      <c r="AD584" s="579">
        <f t="shared" si="667"/>
        <v>0</v>
      </c>
      <c r="AE584" s="580">
        <f t="shared" si="668"/>
        <v>149.69999999999999</v>
      </c>
      <c r="AF584" s="576">
        <f t="shared" si="669"/>
        <v>2717.05</v>
      </c>
      <c r="AG584" s="576">
        <f t="shared" si="670"/>
        <v>0</v>
      </c>
      <c r="AH584" s="579">
        <f t="shared" si="671"/>
        <v>0</v>
      </c>
      <c r="AK584" s="617">
        <f t="shared" si="588"/>
        <v>0</v>
      </c>
    </row>
    <row r="585" spans="1:37" ht="30">
      <c r="A585" s="570" t="s">
        <v>13111</v>
      </c>
      <c r="B585" s="571" t="str">
        <f>PLANILHA!D583</f>
        <v>FABRICAÇÃO DE FÔRMA PARA PILARES E ESTRUTURAS SIMILARES, EM CHAPA DE MADEIRA COMPENSADA RESINADA, E = 17 MM. AF_09/2020</v>
      </c>
      <c r="C585" s="572" t="str">
        <f>PLANILHA!E583</f>
        <v>M2</v>
      </c>
      <c r="D585" s="573">
        <f>PLANILHA!F583</f>
        <v>74.2</v>
      </c>
      <c r="E585" s="573">
        <f t="shared" si="655"/>
        <v>215.06</v>
      </c>
      <c r="F585" s="574">
        <f t="shared" si="654"/>
        <v>15957.45</v>
      </c>
      <c r="G585" s="580"/>
      <c r="H585" s="576">
        <f t="shared" si="656"/>
        <v>0</v>
      </c>
      <c r="I585" s="576">
        <f t="shared" si="672"/>
        <v>74.2</v>
      </c>
      <c r="J585" s="576">
        <f t="shared" si="657"/>
        <v>15957.45</v>
      </c>
      <c r="K585" s="576"/>
      <c r="L585" s="576">
        <f t="shared" si="658"/>
        <v>0</v>
      </c>
      <c r="M585" s="576"/>
      <c r="N585" s="576">
        <f t="shared" si="659"/>
        <v>0</v>
      </c>
      <c r="O585" s="576"/>
      <c r="P585" s="576">
        <f t="shared" si="660"/>
        <v>0</v>
      </c>
      <c r="Q585" s="576"/>
      <c r="R585" s="577">
        <f t="shared" si="661"/>
        <v>0</v>
      </c>
      <c r="S585" s="578"/>
      <c r="T585" s="576">
        <f t="shared" si="662"/>
        <v>0</v>
      </c>
      <c r="U585" s="576"/>
      <c r="V585" s="576">
        <f t="shared" si="663"/>
        <v>0</v>
      </c>
      <c r="W585" s="576"/>
      <c r="X585" s="576">
        <f t="shared" si="664"/>
        <v>0</v>
      </c>
      <c r="Y585" s="576"/>
      <c r="Z585" s="576">
        <f t="shared" si="665"/>
        <v>0</v>
      </c>
      <c r="AA585" s="576"/>
      <c r="AB585" s="576">
        <f t="shared" si="666"/>
        <v>0</v>
      </c>
      <c r="AC585" s="576"/>
      <c r="AD585" s="579">
        <f t="shared" si="667"/>
        <v>0</v>
      </c>
      <c r="AE585" s="580">
        <f t="shared" si="668"/>
        <v>74.2</v>
      </c>
      <c r="AF585" s="576">
        <f t="shared" si="669"/>
        <v>15957.45</v>
      </c>
      <c r="AG585" s="576">
        <f t="shared" si="670"/>
        <v>0</v>
      </c>
      <c r="AH585" s="579">
        <f t="shared" si="671"/>
        <v>0</v>
      </c>
      <c r="AK585" s="617">
        <f t="shared" si="588"/>
        <v>0</v>
      </c>
    </row>
    <row r="586" spans="1:37" ht="30">
      <c r="A586" s="570" t="s">
        <v>13112</v>
      </c>
      <c r="B586" s="571" t="str">
        <f>PLANILHA!D584</f>
        <v>IMPERMEABILIZAÇÃO DE SUPERFÍCIE COM EMULSÃO ASFÁLTICA, 2 DEMÃOS AF_06/2018</v>
      </c>
      <c r="C586" s="572" t="str">
        <f>PLANILHA!E584</f>
        <v>M2</v>
      </c>
      <c r="D586" s="573">
        <f>PLANILHA!F584</f>
        <v>74.2</v>
      </c>
      <c r="E586" s="573">
        <f t="shared" si="655"/>
        <v>71.89</v>
      </c>
      <c r="F586" s="574">
        <f t="shared" si="654"/>
        <v>5334.23</v>
      </c>
      <c r="G586" s="580">
        <v>74.2</v>
      </c>
      <c r="H586" s="576">
        <f t="shared" si="656"/>
        <v>5334.23</v>
      </c>
      <c r="I586" s="576"/>
      <c r="J586" s="576">
        <f t="shared" si="657"/>
        <v>0</v>
      </c>
      <c r="K586" s="576"/>
      <c r="L586" s="576">
        <f t="shared" si="658"/>
        <v>0</v>
      </c>
      <c r="M586" s="576"/>
      <c r="N586" s="576">
        <f t="shared" si="659"/>
        <v>0</v>
      </c>
      <c r="O586" s="576"/>
      <c r="P586" s="576">
        <f t="shared" si="660"/>
        <v>0</v>
      </c>
      <c r="Q586" s="576"/>
      <c r="R586" s="577">
        <f t="shared" si="661"/>
        <v>0</v>
      </c>
      <c r="S586" s="578"/>
      <c r="T586" s="576">
        <f t="shared" si="662"/>
        <v>0</v>
      </c>
      <c r="U586" s="576"/>
      <c r="V586" s="576">
        <f t="shared" si="663"/>
        <v>0</v>
      </c>
      <c r="W586" s="576"/>
      <c r="X586" s="576">
        <f t="shared" si="664"/>
        <v>0</v>
      </c>
      <c r="Y586" s="576"/>
      <c r="Z586" s="576">
        <f t="shared" si="665"/>
        <v>0</v>
      </c>
      <c r="AA586" s="576"/>
      <c r="AB586" s="576">
        <f t="shared" si="666"/>
        <v>0</v>
      </c>
      <c r="AC586" s="576"/>
      <c r="AD586" s="579">
        <f t="shared" si="667"/>
        <v>0</v>
      </c>
      <c r="AE586" s="580">
        <f t="shared" si="668"/>
        <v>74.2</v>
      </c>
      <c r="AF586" s="576">
        <f t="shared" si="669"/>
        <v>5334.23</v>
      </c>
      <c r="AG586" s="576">
        <f t="shared" si="670"/>
        <v>0</v>
      </c>
      <c r="AH586" s="579">
        <f t="shared" si="671"/>
        <v>0</v>
      </c>
      <c r="AK586" s="617">
        <f t="shared" si="588"/>
        <v>0</v>
      </c>
    </row>
    <row r="587" spans="1:37" ht="45">
      <c r="A587" s="570" t="s">
        <v>13113</v>
      </c>
      <c r="B587" s="571" t="str">
        <f>PLANILHA!D585</f>
        <v>ESTACA HÉLICE CONTÍNUA, DIÂMETRO DE 30 CM, INCLUSO CONCRETO FCK=30MPA E ARMADURA MÍNIMA (EXCLUSIVE MOBILIZAÇÃO, DESMOBILIZAÇÃO E BOMBEAMENTO). AF_12/2019</v>
      </c>
      <c r="C587" s="572" t="str">
        <f>PLANILHA!E585</f>
        <v>M</v>
      </c>
      <c r="D587" s="573">
        <f>PLANILHA!F585</f>
        <v>32</v>
      </c>
      <c r="E587" s="573">
        <f t="shared" si="655"/>
        <v>170.66</v>
      </c>
      <c r="F587" s="574">
        <f t="shared" si="654"/>
        <v>5461.12</v>
      </c>
      <c r="G587" s="580">
        <v>32</v>
      </c>
      <c r="H587" s="576">
        <f t="shared" si="656"/>
        <v>5461.12</v>
      </c>
      <c r="I587" s="576"/>
      <c r="J587" s="576">
        <f t="shared" si="657"/>
        <v>0</v>
      </c>
      <c r="K587" s="576"/>
      <c r="L587" s="576">
        <f t="shared" si="658"/>
        <v>0</v>
      </c>
      <c r="M587" s="576"/>
      <c r="N587" s="576">
        <f t="shared" si="659"/>
        <v>0</v>
      </c>
      <c r="O587" s="576"/>
      <c r="P587" s="576">
        <f t="shared" si="660"/>
        <v>0</v>
      </c>
      <c r="Q587" s="576"/>
      <c r="R587" s="577">
        <f t="shared" si="661"/>
        <v>0</v>
      </c>
      <c r="S587" s="578"/>
      <c r="T587" s="576">
        <f t="shared" si="662"/>
        <v>0</v>
      </c>
      <c r="U587" s="576"/>
      <c r="V587" s="576">
        <f t="shared" si="663"/>
        <v>0</v>
      </c>
      <c r="W587" s="576"/>
      <c r="X587" s="576">
        <f t="shared" si="664"/>
        <v>0</v>
      </c>
      <c r="Y587" s="576"/>
      <c r="Z587" s="576">
        <f t="shared" si="665"/>
        <v>0</v>
      </c>
      <c r="AA587" s="576"/>
      <c r="AB587" s="576">
        <f t="shared" si="666"/>
        <v>0</v>
      </c>
      <c r="AC587" s="576"/>
      <c r="AD587" s="579">
        <f t="shared" si="667"/>
        <v>0</v>
      </c>
      <c r="AE587" s="580">
        <f t="shared" si="668"/>
        <v>32</v>
      </c>
      <c r="AF587" s="576">
        <f t="shared" si="669"/>
        <v>5461.12</v>
      </c>
      <c r="AG587" s="576">
        <f t="shared" si="670"/>
        <v>0</v>
      </c>
      <c r="AH587" s="579">
        <f t="shared" si="671"/>
        <v>0</v>
      </c>
      <c r="AK587" s="617">
        <f t="shared" si="588"/>
        <v>0</v>
      </c>
    </row>
    <row r="588" spans="1:37" s="569" customFormat="1">
      <c r="A588" s="581" t="s">
        <v>27247</v>
      </c>
      <c r="B588" s="582"/>
      <c r="C588" s="583"/>
      <c r="D588" s="584"/>
      <c r="E588" s="584"/>
      <c r="F588" s="585">
        <f t="shared" si="654"/>
        <v>44673.73</v>
      </c>
      <c r="G588" s="586"/>
      <c r="H588" s="584">
        <f>SUM(H579:H587)</f>
        <v>10795.349999999999</v>
      </c>
      <c r="I588" s="584"/>
      <c r="J588" s="584">
        <f>SUM(J579:J587)</f>
        <v>33878.380000000005</v>
      </c>
      <c r="K588" s="584"/>
      <c r="L588" s="584">
        <f>SUM(L579:L587)</f>
        <v>0</v>
      </c>
      <c r="M588" s="584"/>
      <c r="N588" s="584">
        <f>SUM(N579:N587)</f>
        <v>0</v>
      </c>
      <c r="O588" s="584"/>
      <c r="P588" s="584">
        <f>SUM(P579:P587)</f>
        <v>0</v>
      </c>
      <c r="Q588" s="584"/>
      <c r="R588" s="587">
        <f>SUM(R579:R587)</f>
        <v>0</v>
      </c>
      <c r="S588" s="588"/>
      <c r="T588" s="584">
        <f>SUM(T579:T587)</f>
        <v>0</v>
      </c>
      <c r="U588" s="584"/>
      <c r="V588" s="584">
        <f>SUM(V579:V587)</f>
        <v>0</v>
      </c>
      <c r="W588" s="584"/>
      <c r="X588" s="584">
        <f>SUM(X579:X587)</f>
        <v>0</v>
      </c>
      <c r="Y588" s="584"/>
      <c r="Z588" s="584">
        <f>SUM(Z579:Z587)</f>
        <v>0</v>
      </c>
      <c r="AA588" s="584"/>
      <c r="AB588" s="584">
        <f>SUM(AB579:AB587)</f>
        <v>0</v>
      </c>
      <c r="AC588" s="584"/>
      <c r="AD588" s="585">
        <f>SUM(AD579:AD587)</f>
        <v>0</v>
      </c>
      <c r="AE588" s="590"/>
      <c r="AF588" s="584">
        <f>SUM(AF579:AF587)</f>
        <v>44673.73</v>
      </c>
      <c r="AG588" s="591"/>
      <c r="AH588" s="585">
        <f>SUM(AH579:AH587)</f>
        <v>0</v>
      </c>
      <c r="AI588" s="568"/>
      <c r="AK588" s="617">
        <f t="shared" si="588"/>
        <v>0</v>
      </c>
    </row>
    <row r="589" spans="1:37">
      <c r="A589" s="570"/>
      <c r="B589" s="571"/>
      <c r="C589" s="572"/>
      <c r="D589" s="573"/>
      <c r="E589" s="573"/>
      <c r="F589" s="574"/>
      <c r="G589" s="580"/>
      <c r="H589" s="576"/>
      <c r="I589" s="576"/>
      <c r="J589" s="576"/>
      <c r="K589" s="576"/>
      <c r="L589" s="576"/>
      <c r="M589" s="576"/>
      <c r="N589" s="576"/>
      <c r="O589" s="576"/>
      <c r="P589" s="576"/>
      <c r="Q589" s="576"/>
      <c r="R589" s="577"/>
      <c r="S589" s="578"/>
      <c r="T589" s="576"/>
      <c r="U589" s="576"/>
      <c r="V589" s="576"/>
      <c r="W589" s="576"/>
      <c r="X589" s="576"/>
      <c r="Y589" s="576"/>
      <c r="Z589" s="576"/>
      <c r="AA589" s="576"/>
      <c r="AB589" s="576"/>
      <c r="AC589" s="576"/>
      <c r="AD589" s="579"/>
      <c r="AE589" s="580"/>
      <c r="AF589" s="576"/>
      <c r="AG589" s="576"/>
      <c r="AH589" s="579"/>
      <c r="AK589" s="617">
        <f t="shared" si="588"/>
        <v>0</v>
      </c>
    </row>
    <row r="590" spans="1:37" s="569" customFormat="1">
      <c r="A590" s="592" t="s">
        <v>13114</v>
      </c>
      <c r="B590" s="593" t="str">
        <f>PLANILHA!D588</f>
        <v>SERVIÇOS COMPLEMENTARES</v>
      </c>
      <c r="C590" s="594"/>
      <c r="D590" s="589"/>
      <c r="E590" s="589"/>
      <c r="F590" s="595">
        <f>VLOOKUP(A590,PLANILHA,$G$6,0)</f>
        <v>0</v>
      </c>
      <c r="G590" s="596"/>
      <c r="H590" s="597"/>
      <c r="I590" s="597"/>
      <c r="J590" s="597"/>
      <c r="K590" s="597"/>
      <c r="L590" s="597"/>
      <c r="M590" s="597"/>
      <c r="N590" s="597"/>
      <c r="O590" s="597"/>
      <c r="P590" s="597"/>
      <c r="Q590" s="597"/>
      <c r="R590" s="598"/>
      <c r="S590" s="599"/>
      <c r="T590" s="597"/>
      <c r="U590" s="597"/>
      <c r="V590" s="597"/>
      <c r="W590" s="597"/>
      <c r="X590" s="597"/>
      <c r="Y590" s="597"/>
      <c r="Z590" s="597"/>
      <c r="AA590" s="597"/>
      <c r="AB590" s="597"/>
      <c r="AC590" s="597"/>
      <c r="AD590" s="600"/>
      <c r="AE590" s="596"/>
      <c r="AF590" s="597"/>
      <c r="AG590" s="597"/>
      <c r="AH590" s="600"/>
      <c r="AI590" s="568"/>
      <c r="AK590" s="617">
        <f t="shared" ref="AK590:AK633" si="673">F590-AF590</f>
        <v>0</v>
      </c>
    </row>
    <row r="591" spans="1:37" ht="30">
      <c r="A591" s="570" t="s">
        <v>13115</v>
      </c>
      <c r="B591" s="571" t="str">
        <f>PLANILHA!D589</f>
        <v>GUARDA CORPO COM CORRIMÃO DUPLO  EM TUBO DE AÇO INOXIDAVEL 1 1/2", COM CHUMBADORES PARA FIXAÇÃO NO PISO</v>
      </c>
      <c r="C591" s="572" t="str">
        <f>PLANILHA!E589</f>
        <v>m</v>
      </c>
      <c r="D591" s="573">
        <f>PLANILHA!F589</f>
        <v>44.65</v>
      </c>
      <c r="E591" s="573">
        <f>VLOOKUP(A591,PLANILHA,$G$7,0)</f>
        <v>495.66</v>
      </c>
      <c r="F591" s="574">
        <f>VLOOKUP(A591,PLANILHA,$G$6,0)</f>
        <v>22131.21</v>
      </c>
      <c r="G591" s="580"/>
      <c r="H591" s="576">
        <f>G591*$E591</f>
        <v>0</v>
      </c>
      <c r="I591" s="576">
        <v>44.65</v>
      </c>
      <c r="J591" s="576">
        <f t="shared" ref="J591" si="674">TRUNC(I591*$E591,2)</f>
        <v>22131.21</v>
      </c>
      <c r="K591" s="576"/>
      <c r="L591" s="576">
        <f>K591*$E591</f>
        <v>0</v>
      </c>
      <c r="M591" s="576"/>
      <c r="N591" s="576">
        <f>M591*$E591</f>
        <v>0</v>
      </c>
      <c r="O591" s="576"/>
      <c r="P591" s="576">
        <f>O591*$E591</f>
        <v>0</v>
      </c>
      <c r="Q591" s="576"/>
      <c r="R591" s="577">
        <f>Q591*$E591</f>
        <v>0</v>
      </c>
      <c r="S591" s="578"/>
      <c r="T591" s="576">
        <f>S591*$E591</f>
        <v>0</v>
      </c>
      <c r="U591" s="576"/>
      <c r="V591" s="576">
        <f>U591*$E591</f>
        <v>0</v>
      </c>
      <c r="W591" s="576"/>
      <c r="X591" s="576">
        <f>W591*$E591</f>
        <v>0</v>
      </c>
      <c r="Y591" s="576"/>
      <c r="Z591" s="576">
        <f>Y591*$E591</f>
        <v>0</v>
      </c>
      <c r="AA591" s="576"/>
      <c r="AB591" s="576">
        <f>AA591*$E591</f>
        <v>0</v>
      </c>
      <c r="AC591" s="576"/>
      <c r="AD591" s="579">
        <f>AC591*$E591</f>
        <v>0</v>
      </c>
      <c r="AE591" s="580">
        <f>AC591+AA591+Y591+W591+U591+S591+Q591+O591+M591+K591+I591+G591</f>
        <v>44.65</v>
      </c>
      <c r="AF591" s="576">
        <f t="shared" ref="AF591" si="675">TRUNC(AE591*E591,2)</f>
        <v>22131.21</v>
      </c>
      <c r="AG591" s="576">
        <f>D591-AE591</f>
        <v>0</v>
      </c>
      <c r="AH591" s="579">
        <f>AG591*E591</f>
        <v>0</v>
      </c>
      <c r="AK591" s="617">
        <f t="shared" si="673"/>
        <v>0</v>
      </c>
    </row>
    <row r="592" spans="1:37" s="569" customFormat="1">
      <c r="A592" s="581" t="s">
        <v>27248</v>
      </c>
      <c r="B592" s="582"/>
      <c r="C592" s="583"/>
      <c r="D592" s="584"/>
      <c r="E592" s="584"/>
      <c r="F592" s="585">
        <f>VLOOKUP(A592,PLANILHA,$G$6,0)</f>
        <v>22131.21</v>
      </c>
      <c r="G592" s="586"/>
      <c r="H592" s="584">
        <f>SUM(H591:H591)</f>
        <v>0</v>
      </c>
      <c r="I592" s="584"/>
      <c r="J592" s="584">
        <f>SUM(J591:J591)</f>
        <v>22131.21</v>
      </c>
      <c r="K592" s="584"/>
      <c r="L592" s="584">
        <f>SUM(L591:L591)</f>
        <v>0</v>
      </c>
      <c r="M592" s="584"/>
      <c r="N592" s="584">
        <f>SUM(N591:N591)</f>
        <v>0</v>
      </c>
      <c r="O592" s="584"/>
      <c r="P592" s="584">
        <f>SUM(P591:P591)</f>
        <v>0</v>
      </c>
      <c r="Q592" s="584"/>
      <c r="R592" s="587">
        <f>SUM(R591:R591)</f>
        <v>0</v>
      </c>
      <c r="S592" s="588"/>
      <c r="T592" s="584">
        <f>SUM(T591:T591)</f>
        <v>0</v>
      </c>
      <c r="U592" s="584"/>
      <c r="V592" s="584">
        <f>SUM(V591:V591)</f>
        <v>0</v>
      </c>
      <c r="W592" s="584"/>
      <c r="X592" s="584">
        <f>SUM(X591:X591)</f>
        <v>0</v>
      </c>
      <c r="Y592" s="584"/>
      <c r="Z592" s="584">
        <f>SUM(Z591:Z591)</f>
        <v>0</v>
      </c>
      <c r="AA592" s="584"/>
      <c r="AB592" s="584">
        <f>SUM(AB591:AB591)</f>
        <v>0</v>
      </c>
      <c r="AC592" s="584"/>
      <c r="AD592" s="585">
        <f>SUM(AD591:AD591)</f>
        <v>0</v>
      </c>
      <c r="AE592" s="590"/>
      <c r="AF592" s="584">
        <f>SUM(AF591:AF591)</f>
        <v>22131.21</v>
      </c>
      <c r="AG592" s="591"/>
      <c r="AH592" s="585">
        <f>SUM(AH591:AH591)</f>
        <v>0</v>
      </c>
      <c r="AI592" s="568"/>
      <c r="AK592" s="617">
        <f t="shared" si="673"/>
        <v>0</v>
      </c>
    </row>
    <row r="593" spans="1:37" s="569" customFormat="1">
      <c r="A593" s="581" t="s">
        <v>14624</v>
      </c>
      <c r="B593" s="582"/>
      <c r="C593" s="583"/>
      <c r="D593" s="584"/>
      <c r="E593" s="584"/>
      <c r="F593" s="585">
        <f>VLOOKUP(A593,PLANILHA,$G$6,0)</f>
        <v>70501.600000000006</v>
      </c>
      <c r="G593" s="586"/>
      <c r="H593" s="584">
        <f>SUM(H572:H592)/2</f>
        <v>14492.009999999998</v>
      </c>
      <c r="I593" s="584"/>
      <c r="J593" s="584">
        <f>SUM(J572:J592)/2</f>
        <v>56009.59</v>
      </c>
      <c r="K593" s="584"/>
      <c r="L593" s="584">
        <f>SUM(L572:L592)/2</f>
        <v>0</v>
      </c>
      <c r="M593" s="584"/>
      <c r="N593" s="584">
        <f>SUM(N572:N592)/2</f>
        <v>0</v>
      </c>
      <c r="O593" s="584"/>
      <c r="P593" s="584">
        <f>SUM(P572:P592)/2</f>
        <v>0</v>
      </c>
      <c r="Q593" s="584"/>
      <c r="R593" s="587">
        <f>SUM(R572:R592)/2</f>
        <v>0</v>
      </c>
      <c r="S593" s="588"/>
      <c r="T593" s="584">
        <f>SUM(T572:T592)/2</f>
        <v>0</v>
      </c>
      <c r="U593" s="584"/>
      <c r="V593" s="584">
        <f>SUM(V572:V592)/2</f>
        <v>0</v>
      </c>
      <c r="W593" s="584"/>
      <c r="X593" s="584">
        <f>SUM(X572:X592)/2</f>
        <v>0</v>
      </c>
      <c r="Y593" s="584"/>
      <c r="Z593" s="584">
        <f>SUM(Z572:Z592)/2</f>
        <v>0</v>
      </c>
      <c r="AA593" s="584"/>
      <c r="AB593" s="584">
        <f>SUM(AB572:AB592)/2</f>
        <v>0</v>
      </c>
      <c r="AC593" s="584"/>
      <c r="AD593" s="585">
        <f>SUM(AD572:AD592)/2</f>
        <v>0</v>
      </c>
      <c r="AE593" s="590"/>
      <c r="AF593" s="584">
        <f>SUM(AF572:AF592)/2</f>
        <v>70501.600000000006</v>
      </c>
      <c r="AG593" s="591"/>
      <c r="AH593" s="585">
        <f>SUM(AH572:AH592)/2</f>
        <v>0</v>
      </c>
      <c r="AI593" s="568"/>
      <c r="AK593" s="617">
        <f t="shared" si="673"/>
        <v>0</v>
      </c>
    </row>
    <row r="594" spans="1:37">
      <c r="A594" s="570"/>
      <c r="B594" s="571"/>
      <c r="C594" s="572"/>
      <c r="D594" s="573"/>
      <c r="E594" s="573"/>
      <c r="F594" s="574"/>
      <c r="G594" s="580"/>
      <c r="H594" s="576"/>
      <c r="I594" s="576"/>
      <c r="J594" s="576"/>
      <c r="K594" s="576"/>
      <c r="L594" s="576"/>
      <c r="M594" s="576"/>
      <c r="N594" s="576"/>
      <c r="O594" s="576"/>
      <c r="P594" s="576"/>
      <c r="Q594" s="576"/>
      <c r="R594" s="577"/>
      <c r="S594" s="578"/>
      <c r="T594" s="576"/>
      <c r="U594" s="576"/>
      <c r="V594" s="576"/>
      <c r="W594" s="576"/>
      <c r="X594" s="576"/>
      <c r="Y594" s="576"/>
      <c r="Z594" s="576"/>
      <c r="AA594" s="576"/>
      <c r="AB594" s="576"/>
      <c r="AC594" s="576"/>
      <c r="AD594" s="579"/>
      <c r="AE594" s="580"/>
      <c r="AF594" s="576"/>
      <c r="AG594" s="576"/>
      <c r="AH594" s="579"/>
      <c r="AK594" s="617">
        <f t="shared" si="673"/>
        <v>0</v>
      </c>
    </row>
    <row r="595" spans="1:37">
      <c r="A595" s="570"/>
      <c r="B595" s="571"/>
      <c r="C595" s="572"/>
      <c r="D595" s="573"/>
      <c r="E595" s="573"/>
      <c r="F595" s="574"/>
      <c r="G595" s="580"/>
      <c r="H595" s="576"/>
      <c r="I595" s="576"/>
      <c r="J595" s="576"/>
      <c r="K595" s="576"/>
      <c r="L595" s="576"/>
      <c r="M595" s="576"/>
      <c r="N595" s="576"/>
      <c r="O595" s="576"/>
      <c r="P595" s="576"/>
      <c r="Q595" s="576"/>
      <c r="R595" s="577"/>
      <c r="S595" s="578"/>
      <c r="T595" s="576"/>
      <c r="U595" s="576"/>
      <c r="V595" s="576"/>
      <c r="W595" s="576"/>
      <c r="X595" s="576"/>
      <c r="Y595" s="576"/>
      <c r="Z595" s="576"/>
      <c r="AA595" s="576"/>
      <c r="AB595" s="576"/>
      <c r="AC595" s="576"/>
      <c r="AD595" s="579"/>
      <c r="AE595" s="580"/>
      <c r="AF595" s="576"/>
      <c r="AG595" s="576"/>
      <c r="AH595" s="579"/>
      <c r="AK595" s="617">
        <f t="shared" si="673"/>
        <v>0</v>
      </c>
    </row>
    <row r="596" spans="1:37" s="569" customFormat="1">
      <c r="A596" s="558" t="s">
        <v>7287</v>
      </c>
      <c r="B596" s="559" t="str">
        <f>PLANILHA!D593</f>
        <v>ELEVADOR</v>
      </c>
      <c r="C596" s="560"/>
      <c r="D596" s="561"/>
      <c r="E596" s="561"/>
      <c r="F596" s="562">
        <f t="shared" ref="F596:F601" si="676">VLOOKUP(A596,PLANILHA,$G$6,0)</f>
        <v>0</v>
      </c>
      <c r="G596" s="563"/>
      <c r="H596" s="564"/>
      <c r="I596" s="564"/>
      <c r="J596" s="564"/>
      <c r="K596" s="564"/>
      <c r="L596" s="564"/>
      <c r="M596" s="564"/>
      <c r="N596" s="564"/>
      <c r="O596" s="564"/>
      <c r="P596" s="564"/>
      <c r="Q596" s="564"/>
      <c r="R596" s="565"/>
      <c r="S596" s="566"/>
      <c r="T596" s="564"/>
      <c r="U596" s="564"/>
      <c r="V596" s="564"/>
      <c r="W596" s="564"/>
      <c r="X596" s="564"/>
      <c r="Y596" s="564"/>
      <c r="Z596" s="564"/>
      <c r="AA596" s="564"/>
      <c r="AB596" s="564"/>
      <c r="AC596" s="564"/>
      <c r="AD596" s="567"/>
      <c r="AE596" s="563"/>
      <c r="AF596" s="564"/>
      <c r="AG596" s="564"/>
      <c r="AH596" s="567"/>
      <c r="AI596" s="568"/>
      <c r="AK596" s="617">
        <f t="shared" si="673"/>
        <v>0</v>
      </c>
    </row>
    <row r="597" spans="1:37" s="569" customFormat="1">
      <c r="A597" s="592" t="s">
        <v>7230</v>
      </c>
      <c r="B597" s="593" t="str">
        <f>PLANILHA!D594</f>
        <v>MOVIMENTO DE SOLO</v>
      </c>
      <c r="C597" s="594"/>
      <c r="D597" s="589"/>
      <c r="E597" s="589"/>
      <c r="F597" s="595">
        <f t="shared" si="676"/>
        <v>0</v>
      </c>
      <c r="G597" s="596"/>
      <c r="H597" s="597"/>
      <c r="I597" s="597"/>
      <c r="J597" s="597"/>
      <c r="K597" s="597"/>
      <c r="L597" s="597"/>
      <c r="M597" s="597"/>
      <c r="N597" s="597"/>
      <c r="O597" s="597"/>
      <c r="P597" s="597"/>
      <c r="Q597" s="597"/>
      <c r="R597" s="598"/>
      <c r="S597" s="599"/>
      <c r="T597" s="597"/>
      <c r="U597" s="597"/>
      <c r="V597" s="597"/>
      <c r="W597" s="597"/>
      <c r="X597" s="597"/>
      <c r="Y597" s="597"/>
      <c r="Z597" s="597"/>
      <c r="AA597" s="597"/>
      <c r="AB597" s="597"/>
      <c r="AC597" s="597"/>
      <c r="AD597" s="600"/>
      <c r="AE597" s="596"/>
      <c r="AF597" s="597"/>
      <c r="AG597" s="597"/>
      <c r="AH597" s="600"/>
      <c r="AI597" s="568"/>
      <c r="AK597" s="617">
        <f t="shared" si="673"/>
        <v>0</v>
      </c>
    </row>
    <row r="598" spans="1:37" ht="45">
      <c r="A598" s="570" t="s">
        <v>7231</v>
      </c>
      <c r="B598" s="571" t="str">
        <f>PLANILHA!D595</f>
        <v>ESCAVAÇÃO MANUAL PARA BLOCO DE COROAMENTO OU SAPATA (INCLUINDO ESCAVAÇÃO PARA COLOCAÇÃO DE FÔRMAS). AF_06/2017</v>
      </c>
      <c r="C598" s="572" t="str">
        <f>PLANILHA!E595</f>
        <v>M3</v>
      </c>
      <c r="D598" s="573">
        <f>PLANILHA!F595</f>
        <v>10.8</v>
      </c>
      <c r="E598" s="573">
        <f>VLOOKUP(A598,PLANILHA,$G$7,0)</f>
        <v>93.45</v>
      </c>
      <c r="F598" s="574">
        <f t="shared" si="676"/>
        <v>1009.26</v>
      </c>
      <c r="G598" s="580">
        <f>D598</f>
        <v>10.8</v>
      </c>
      <c r="H598" s="576">
        <f t="shared" ref="H598:H601" si="677">TRUNC(G598*$E598,2)</f>
        <v>1009.26</v>
      </c>
      <c r="I598" s="576"/>
      <c r="J598" s="576">
        <f>I598*$E598</f>
        <v>0</v>
      </c>
      <c r="K598" s="576"/>
      <c r="L598" s="576">
        <f>K598*$E598</f>
        <v>0</v>
      </c>
      <c r="M598" s="576"/>
      <c r="N598" s="576">
        <f>M598*$E598</f>
        <v>0</v>
      </c>
      <c r="O598" s="576"/>
      <c r="P598" s="576">
        <f>O598*$E598</f>
        <v>0</v>
      </c>
      <c r="Q598" s="576"/>
      <c r="R598" s="577">
        <f>Q598*$E598</f>
        <v>0</v>
      </c>
      <c r="S598" s="578"/>
      <c r="T598" s="576">
        <f>S598*$E598</f>
        <v>0</v>
      </c>
      <c r="U598" s="576"/>
      <c r="V598" s="576">
        <f>U598*$E598</f>
        <v>0</v>
      </c>
      <c r="W598" s="576"/>
      <c r="X598" s="576">
        <f>W598*$E598</f>
        <v>0</v>
      </c>
      <c r="Y598" s="576"/>
      <c r="Z598" s="576">
        <f>Y598*$E598</f>
        <v>0</v>
      </c>
      <c r="AA598" s="576"/>
      <c r="AB598" s="576">
        <f>AA598*$E598</f>
        <v>0</v>
      </c>
      <c r="AC598" s="576"/>
      <c r="AD598" s="579">
        <f>AC598*$E598</f>
        <v>0</v>
      </c>
      <c r="AE598" s="580">
        <f>AC598+AA598+Y598+W598+U598+S598+Q598+O598+M598+K598+I598+G598</f>
        <v>10.8</v>
      </c>
      <c r="AF598" s="576">
        <f t="shared" ref="AF598:AF601" si="678">TRUNC(AE598*E598,2)</f>
        <v>1009.26</v>
      </c>
      <c r="AG598" s="576">
        <f>D598-AE598</f>
        <v>0</v>
      </c>
      <c r="AH598" s="579">
        <f>AG598*E598</f>
        <v>0</v>
      </c>
      <c r="AK598" s="617">
        <f t="shared" si="673"/>
        <v>0</v>
      </c>
    </row>
    <row r="599" spans="1:37" ht="30">
      <c r="A599" s="570" t="s">
        <v>7232</v>
      </c>
      <c r="B599" s="571" t="str">
        <f>PLANILHA!D596</f>
        <v>PREPARO DE FUNDO DE VALA COM LARGURA MENOR QUE 1,5 M (ACERTO DO SOLO NATURAL). AF_08/2020</v>
      </c>
      <c r="C599" s="572" t="str">
        <f>PLANILHA!E596</f>
        <v>M2</v>
      </c>
      <c r="D599" s="573">
        <f>PLANILHA!F596</f>
        <v>11.4</v>
      </c>
      <c r="E599" s="573">
        <f>VLOOKUP(A599,PLANILHA,$G$7,0)</f>
        <v>5.94</v>
      </c>
      <c r="F599" s="574">
        <f t="shared" si="676"/>
        <v>67.709999999999994</v>
      </c>
      <c r="G599" s="580">
        <f>D599</f>
        <v>11.4</v>
      </c>
      <c r="H599" s="576">
        <f t="shared" si="677"/>
        <v>67.709999999999994</v>
      </c>
      <c r="I599" s="576"/>
      <c r="J599" s="576">
        <f>I599*$E599</f>
        <v>0</v>
      </c>
      <c r="K599" s="576"/>
      <c r="L599" s="576">
        <f>K599*$E599</f>
        <v>0</v>
      </c>
      <c r="M599" s="576"/>
      <c r="N599" s="576">
        <f>M599*$E599</f>
        <v>0</v>
      </c>
      <c r="O599" s="576"/>
      <c r="P599" s="576">
        <f>O599*$E599</f>
        <v>0</v>
      </c>
      <c r="Q599" s="576"/>
      <c r="R599" s="577">
        <f>Q599*$E599</f>
        <v>0</v>
      </c>
      <c r="S599" s="578"/>
      <c r="T599" s="576">
        <f>S599*$E599</f>
        <v>0</v>
      </c>
      <c r="U599" s="576"/>
      <c r="V599" s="576">
        <f>U599*$E599</f>
        <v>0</v>
      </c>
      <c r="W599" s="576"/>
      <c r="X599" s="576">
        <f>W599*$E599</f>
        <v>0</v>
      </c>
      <c r="Y599" s="576"/>
      <c r="Z599" s="576">
        <f>Y599*$E599</f>
        <v>0</v>
      </c>
      <c r="AA599" s="576"/>
      <c r="AB599" s="576">
        <f>AA599*$E599</f>
        <v>0</v>
      </c>
      <c r="AC599" s="576"/>
      <c r="AD599" s="579">
        <f>AC599*$E599</f>
        <v>0</v>
      </c>
      <c r="AE599" s="580">
        <f>AC599+AA599+Y599+W599+U599+S599+Q599+O599+M599+K599+I599+G599</f>
        <v>11.4</v>
      </c>
      <c r="AF599" s="576">
        <f t="shared" si="678"/>
        <v>67.709999999999994</v>
      </c>
      <c r="AG599" s="576">
        <f>D599-AE599</f>
        <v>0</v>
      </c>
      <c r="AH599" s="579">
        <f>AG599*E599</f>
        <v>0</v>
      </c>
      <c r="AK599" s="617">
        <f t="shared" si="673"/>
        <v>0</v>
      </c>
    </row>
    <row r="600" spans="1:37" ht="30">
      <c r="A600" s="570" t="s">
        <v>7288</v>
      </c>
      <c r="B600" s="571" t="str">
        <f>PLANILHA!D597</f>
        <v>LASTRO DE CONCRETO MAGRO, APLICADO EM BLOCOS DE COROAMENTO OU SAPATAS. AF_08/2017</v>
      </c>
      <c r="C600" s="572" t="str">
        <f>PLANILHA!E597</f>
        <v>M3</v>
      </c>
      <c r="D600" s="573">
        <f>PLANILHA!F597</f>
        <v>0.34199999999999997</v>
      </c>
      <c r="E600" s="573">
        <f>VLOOKUP(A600,PLANILHA,$G$7,0)</f>
        <v>654.55999999999995</v>
      </c>
      <c r="F600" s="574">
        <f t="shared" si="676"/>
        <v>223.85</v>
      </c>
      <c r="G600" s="580">
        <f>D600</f>
        <v>0.34199999999999997</v>
      </c>
      <c r="H600" s="576">
        <f t="shared" si="677"/>
        <v>223.85</v>
      </c>
      <c r="I600" s="576"/>
      <c r="J600" s="576">
        <f>I600*$E600</f>
        <v>0</v>
      </c>
      <c r="K600" s="576"/>
      <c r="L600" s="576">
        <f>K600*$E600</f>
        <v>0</v>
      </c>
      <c r="M600" s="576"/>
      <c r="N600" s="576">
        <f>M600*$E600</f>
        <v>0</v>
      </c>
      <c r="O600" s="576"/>
      <c r="P600" s="576">
        <f>O600*$E600</f>
        <v>0</v>
      </c>
      <c r="Q600" s="576"/>
      <c r="R600" s="577">
        <f>Q600*$E600</f>
        <v>0</v>
      </c>
      <c r="S600" s="578"/>
      <c r="T600" s="576">
        <f>S600*$E600</f>
        <v>0</v>
      </c>
      <c r="U600" s="576"/>
      <c r="V600" s="576">
        <f>U600*$E600</f>
        <v>0</v>
      </c>
      <c r="W600" s="576"/>
      <c r="X600" s="576">
        <f>W600*$E600</f>
        <v>0</v>
      </c>
      <c r="Y600" s="576"/>
      <c r="Z600" s="576">
        <f>Y600*$E600</f>
        <v>0</v>
      </c>
      <c r="AA600" s="576"/>
      <c r="AB600" s="576">
        <f>AA600*$E600</f>
        <v>0</v>
      </c>
      <c r="AC600" s="576"/>
      <c r="AD600" s="579">
        <f>AC600*$E600</f>
        <v>0</v>
      </c>
      <c r="AE600" s="580">
        <f>AC600+AA600+Y600+W600+U600+S600+Q600+O600+M600+K600+I600+G600</f>
        <v>0.34199999999999997</v>
      </c>
      <c r="AF600" s="576">
        <f t="shared" si="678"/>
        <v>223.85</v>
      </c>
      <c r="AG600" s="576">
        <f>D600-AE600</f>
        <v>0</v>
      </c>
      <c r="AH600" s="579">
        <f>AG600*E600</f>
        <v>0</v>
      </c>
      <c r="AK600" s="617">
        <f t="shared" si="673"/>
        <v>0</v>
      </c>
    </row>
    <row r="601" spans="1:37" ht="30">
      <c r="A601" s="570" t="s">
        <v>7289</v>
      </c>
      <c r="B601" s="571" t="str">
        <f>PLANILHA!D598</f>
        <v>REATERRO MANUAL DE VALAS COM COMPACTAÇÃO MECANIZADA. AF_04/2016</v>
      </c>
      <c r="C601" s="572" t="str">
        <f>PLANILHA!E598</f>
        <v>M3</v>
      </c>
      <c r="D601" s="573">
        <f>PLANILHA!F598</f>
        <v>6.26</v>
      </c>
      <c r="E601" s="573">
        <f>VLOOKUP(A601,PLANILHA,$G$7,0)</f>
        <v>29.15</v>
      </c>
      <c r="F601" s="574">
        <f t="shared" si="676"/>
        <v>182.47</v>
      </c>
      <c r="G601" s="580">
        <f>D601</f>
        <v>6.26</v>
      </c>
      <c r="H601" s="576">
        <f t="shared" si="677"/>
        <v>182.47</v>
      </c>
      <c r="I601" s="576"/>
      <c r="J601" s="576">
        <f>I601*$E601</f>
        <v>0</v>
      </c>
      <c r="K601" s="576"/>
      <c r="L601" s="576">
        <f>K601*$E601</f>
        <v>0</v>
      </c>
      <c r="M601" s="576"/>
      <c r="N601" s="576">
        <f>M601*$E601</f>
        <v>0</v>
      </c>
      <c r="O601" s="576"/>
      <c r="P601" s="576">
        <f>O601*$E601</f>
        <v>0</v>
      </c>
      <c r="Q601" s="576"/>
      <c r="R601" s="577">
        <f>Q601*$E601</f>
        <v>0</v>
      </c>
      <c r="S601" s="578"/>
      <c r="T601" s="576">
        <f>S601*$E601</f>
        <v>0</v>
      </c>
      <c r="U601" s="576"/>
      <c r="V601" s="576">
        <f>U601*$E601</f>
        <v>0</v>
      </c>
      <c r="W601" s="576"/>
      <c r="X601" s="576">
        <f>W601*$E601</f>
        <v>0</v>
      </c>
      <c r="Y601" s="576"/>
      <c r="Z601" s="576">
        <f>Y601*$E601</f>
        <v>0</v>
      </c>
      <c r="AA601" s="576"/>
      <c r="AB601" s="576">
        <f>AA601*$E601</f>
        <v>0</v>
      </c>
      <c r="AC601" s="576"/>
      <c r="AD601" s="579">
        <f>AC601*$E601</f>
        <v>0</v>
      </c>
      <c r="AE601" s="580">
        <f>AC601+AA601+Y601+W601+U601+S601+Q601+O601+M601+K601+I601+G601</f>
        <v>6.26</v>
      </c>
      <c r="AF601" s="576">
        <f t="shared" si="678"/>
        <v>182.47</v>
      </c>
      <c r="AG601" s="576">
        <f>D601-AE601</f>
        <v>0</v>
      </c>
      <c r="AH601" s="579">
        <f>AG601*E601</f>
        <v>0</v>
      </c>
      <c r="AK601" s="617">
        <f t="shared" si="673"/>
        <v>0</v>
      </c>
    </row>
    <row r="602" spans="1:37" s="569" customFormat="1">
      <c r="A602" s="581" t="s">
        <v>27249</v>
      </c>
      <c r="B602" s="582"/>
      <c r="C602" s="583"/>
      <c r="D602" s="584"/>
      <c r="E602" s="584"/>
      <c r="F602" s="584">
        <f>SUM(F595:F601)</f>
        <v>1483.29</v>
      </c>
      <c r="G602" s="586"/>
      <c r="H602" s="584">
        <f>SUM(H595:H601)</f>
        <v>1483.29</v>
      </c>
      <c r="I602" s="584"/>
      <c r="J602" s="584">
        <f t="shared" ref="J602:AH602" si="679">SUM(J598:J601)</f>
        <v>0</v>
      </c>
      <c r="K602" s="584"/>
      <c r="L602" s="584">
        <f t="shared" si="679"/>
        <v>0</v>
      </c>
      <c r="M602" s="584"/>
      <c r="N602" s="584">
        <f t="shared" si="679"/>
        <v>0</v>
      </c>
      <c r="O602" s="584"/>
      <c r="P602" s="584">
        <f t="shared" si="679"/>
        <v>0</v>
      </c>
      <c r="Q602" s="584"/>
      <c r="R602" s="587">
        <f t="shared" si="679"/>
        <v>0</v>
      </c>
      <c r="S602" s="588"/>
      <c r="T602" s="584">
        <f t="shared" si="679"/>
        <v>0</v>
      </c>
      <c r="U602" s="584"/>
      <c r="V602" s="584">
        <f t="shared" si="679"/>
        <v>0</v>
      </c>
      <c r="W602" s="584"/>
      <c r="X602" s="584">
        <f t="shared" si="679"/>
        <v>0</v>
      </c>
      <c r="Y602" s="584"/>
      <c r="Z602" s="584">
        <f t="shared" si="679"/>
        <v>0</v>
      </c>
      <c r="AA602" s="584"/>
      <c r="AB602" s="584">
        <f t="shared" si="679"/>
        <v>0</v>
      </c>
      <c r="AC602" s="584"/>
      <c r="AD602" s="585">
        <f t="shared" si="679"/>
        <v>0</v>
      </c>
      <c r="AE602" s="590"/>
      <c r="AF602" s="584">
        <f t="shared" si="679"/>
        <v>1483.29</v>
      </c>
      <c r="AG602" s="591"/>
      <c r="AH602" s="585">
        <f t="shared" si="679"/>
        <v>0</v>
      </c>
      <c r="AI602" s="568"/>
      <c r="AK602" s="617">
        <f t="shared" si="673"/>
        <v>0</v>
      </c>
    </row>
    <row r="603" spans="1:37">
      <c r="A603" s="570"/>
      <c r="B603" s="571"/>
      <c r="C603" s="572"/>
      <c r="D603" s="573"/>
      <c r="E603" s="573"/>
      <c r="F603" s="574"/>
      <c r="G603" s="580"/>
      <c r="H603" s="576"/>
      <c r="I603" s="576"/>
      <c r="J603" s="576"/>
      <c r="K603" s="576"/>
      <c r="L603" s="576"/>
      <c r="M603" s="576"/>
      <c r="N603" s="576"/>
      <c r="O603" s="576"/>
      <c r="P603" s="576"/>
      <c r="Q603" s="576"/>
      <c r="R603" s="577"/>
      <c r="S603" s="578"/>
      <c r="T603" s="576"/>
      <c r="U603" s="576"/>
      <c r="V603" s="576"/>
      <c r="W603" s="576"/>
      <c r="X603" s="576"/>
      <c r="Y603" s="576"/>
      <c r="Z603" s="576"/>
      <c r="AA603" s="576"/>
      <c r="AB603" s="576"/>
      <c r="AC603" s="576"/>
      <c r="AD603" s="579"/>
      <c r="AE603" s="580"/>
      <c r="AF603" s="576"/>
      <c r="AG603" s="576"/>
      <c r="AH603" s="579"/>
      <c r="AK603" s="617">
        <f t="shared" si="673"/>
        <v>0</v>
      </c>
    </row>
    <row r="604" spans="1:37" s="569" customFormat="1">
      <c r="A604" s="592" t="s">
        <v>14137</v>
      </c>
      <c r="B604" s="593" t="str">
        <f>PLANILHA!D601</f>
        <v>ESTRUTURA DE CONCRETO - INFRAESTRUTURA</v>
      </c>
      <c r="C604" s="594"/>
      <c r="D604" s="589"/>
      <c r="E604" s="589"/>
      <c r="F604" s="595">
        <f t="shared" ref="F604:F611" si="680">VLOOKUP(A604,PLANILHA,$G$6,0)</f>
        <v>0</v>
      </c>
      <c r="G604" s="596"/>
      <c r="H604" s="597"/>
      <c r="I604" s="597"/>
      <c r="J604" s="597"/>
      <c r="K604" s="597"/>
      <c r="L604" s="597"/>
      <c r="M604" s="597"/>
      <c r="N604" s="597"/>
      <c r="O604" s="597"/>
      <c r="P604" s="597"/>
      <c r="Q604" s="597"/>
      <c r="R604" s="598"/>
      <c r="S604" s="599"/>
      <c r="T604" s="597"/>
      <c r="U604" s="597"/>
      <c r="V604" s="597"/>
      <c r="W604" s="597"/>
      <c r="X604" s="597"/>
      <c r="Y604" s="597"/>
      <c r="Z604" s="597"/>
      <c r="AA604" s="597"/>
      <c r="AB604" s="597"/>
      <c r="AC604" s="597"/>
      <c r="AD604" s="600"/>
      <c r="AE604" s="596"/>
      <c r="AF604" s="597"/>
      <c r="AG604" s="597"/>
      <c r="AH604" s="600"/>
      <c r="AI604" s="568"/>
      <c r="AK604" s="617">
        <f t="shared" si="673"/>
        <v>0</v>
      </c>
    </row>
    <row r="605" spans="1:37" ht="30">
      <c r="A605" s="570" t="s">
        <v>14138</v>
      </c>
      <c r="B605" s="571" t="str">
        <f>PLANILHA!D602</f>
        <v>ARMAÇÃO DE BLOCO, VIGA BALDRAME E SAPATA UTILIZANDO AÇO CA-60 DE 5 MM - MONTAGEM. AF_06/2017</v>
      </c>
      <c r="C605" s="572" t="str">
        <f>PLANILHA!E602</f>
        <v>KG</v>
      </c>
      <c r="D605" s="573">
        <f>PLANILHA!F602</f>
        <v>14.8</v>
      </c>
      <c r="E605" s="573">
        <f t="shared" ref="E605:E611" si="681">VLOOKUP(A605,PLANILHA,$G$7,0)</f>
        <v>22.55</v>
      </c>
      <c r="F605" s="574">
        <f t="shared" si="680"/>
        <v>333.74</v>
      </c>
      <c r="G605" s="580">
        <f>D605</f>
        <v>14.8</v>
      </c>
      <c r="H605" s="576">
        <f t="shared" ref="H605:H611" si="682">TRUNC(G605*$E605,2)</f>
        <v>333.74</v>
      </c>
      <c r="I605" s="576"/>
      <c r="J605" s="576">
        <f t="shared" ref="J605:J611" si="683">I605*$E605</f>
        <v>0</v>
      </c>
      <c r="K605" s="576"/>
      <c r="L605" s="576">
        <f t="shared" ref="L605:L611" si="684">K605*$E605</f>
        <v>0</v>
      </c>
      <c r="M605" s="576"/>
      <c r="N605" s="576">
        <f t="shared" ref="N605:N611" si="685">M605*$E605</f>
        <v>0</v>
      </c>
      <c r="O605" s="576"/>
      <c r="P605" s="576">
        <f t="shared" ref="P605:P611" si="686">O605*$E605</f>
        <v>0</v>
      </c>
      <c r="Q605" s="576"/>
      <c r="R605" s="577">
        <f t="shared" ref="R605:R611" si="687">Q605*$E605</f>
        <v>0</v>
      </c>
      <c r="S605" s="578"/>
      <c r="T605" s="576">
        <f t="shared" ref="T605:T611" si="688">S605*$E605</f>
        <v>0</v>
      </c>
      <c r="U605" s="576"/>
      <c r="V605" s="576">
        <f t="shared" ref="V605:V611" si="689">U605*$E605</f>
        <v>0</v>
      </c>
      <c r="W605" s="576"/>
      <c r="X605" s="576">
        <f t="shared" ref="X605:X611" si="690">W605*$E605</f>
        <v>0</v>
      </c>
      <c r="Y605" s="576"/>
      <c r="Z605" s="576">
        <f t="shared" ref="Z605:Z611" si="691">Y605*$E605</f>
        <v>0</v>
      </c>
      <c r="AA605" s="576"/>
      <c r="AB605" s="576">
        <f t="shared" ref="AB605:AB611" si="692">AA605*$E605</f>
        <v>0</v>
      </c>
      <c r="AC605" s="576"/>
      <c r="AD605" s="579">
        <f t="shared" ref="AD605:AD611" si="693">AC605*$E605</f>
        <v>0</v>
      </c>
      <c r="AE605" s="580">
        <f t="shared" ref="AE605:AE611" si="694">AC605+AA605+Y605+W605+U605+S605+Q605+O605+M605+K605+I605+G605</f>
        <v>14.8</v>
      </c>
      <c r="AF605" s="576">
        <f t="shared" ref="AF605:AF611" si="695">TRUNC(AE605*E605,2)</f>
        <v>333.74</v>
      </c>
      <c r="AG605" s="576">
        <f t="shared" ref="AG605:AG611" si="696">D605-AE605</f>
        <v>0</v>
      </c>
      <c r="AH605" s="579">
        <f t="shared" ref="AH605:AH611" si="697">AG605*E605</f>
        <v>0</v>
      </c>
      <c r="AK605" s="617">
        <f t="shared" si="673"/>
        <v>0</v>
      </c>
    </row>
    <row r="606" spans="1:37" ht="30">
      <c r="A606" s="570" t="s">
        <v>14139</v>
      </c>
      <c r="B606" s="571" t="str">
        <f>PLANILHA!D603</f>
        <v>ARMAÇÃO DE BLOCO, VIGA BALDRAME OU SAPATA UTILIZANDO AÇO CA-50 DE 8 MM - MONTAGEM. AF_06/2017</v>
      </c>
      <c r="C606" s="572" t="str">
        <f>PLANILHA!E603</f>
        <v>KG</v>
      </c>
      <c r="D606" s="573">
        <f>PLANILHA!F603</f>
        <v>321.10000000000002</v>
      </c>
      <c r="E606" s="573">
        <f t="shared" si="681"/>
        <v>20.21</v>
      </c>
      <c r="F606" s="574">
        <f t="shared" si="680"/>
        <v>6489.43</v>
      </c>
      <c r="G606" s="580">
        <f t="shared" ref="G606:G611" si="698">D606</f>
        <v>321.10000000000002</v>
      </c>
      <c r="H606" s="576">
        <f t="shared" si="682"/>
        <v>6489.43</v>
      </c>
      <c r="I606" s="576"/>
      <c r="J606" s="576">
        <f t="shared" si="683"/>
        <v>0</v>
      </c>
      <c r="K606" s="576"/>
      <c r="L606" s="576">
        <f t="shared" si="684"/>
        <v>0</v>
      </c>
      <c r="M606" s="576"/>
      <c r="N606" s="576">
        <f t="shared" si="685"/>
        <v>0</v>
      </c>
      <c r="O606" s="576"/>
      <c r="P606" s="576">
        <f t="shared" si="686"/>
        <v>0</v>
      </c>
      <c r="Q606" s="576"/>
      <c r="R606" s="577">
        <f t="shared" si="687"/>
        <v>0</v>
      </c>
      <c r="S606" s="578"/>
      <c r="T606" s="576">
        <f t="shared" si="688"/>
        <v>0</v>
      </c>
      <c r="U606" s="576"/>
      <c r="V606" s="576">
        <f t="shared" si="689"/>
        <v>0</v>
      </c>
      <c r="W606" s="576"/>
      <c r="X606" s="576">
        <f t="shared" si="690"/>
        <v>0</v>
      </c>
      <c r="Y606" s="576"/>
      <c r="Z606" s="576">
        <f t="shared" si="691"/>
        <v>0</v>
      </c>
      <c r="AA606" s="576"/>
      <c r="AB606" s="576">
        <f t="shared" si="692"/>
        <v>0</v>
      </c>
      <c r="AC606" s="576"/>
      <c r="AD606" s="579">
        <f t="shared" si="693"/>
        <v>0</v>
      </c>
      <c r="AE606" s="580">
        <f t="shared" si="694"/>
        <v>321.10000000000002</v>
      </c>
      <c r="AF606" s="576">
        <f t="shared" si="695"/>
        <v>6489.43</v>
      </c>
      <c r="AG606" s="576">
        <f t="shared" si="696"/>
        <v>0</v>
      </c>
      <c r="AH606" s="579">
        <f t="shared" si="697"/>
        <v>0</v>
      </c>
      <c r="AK606" s="617">
        <f t="shared" si="673"/>
        <v>0</v>
      </c>
    </row>
    <row r="607" spans="1:37" ht="30">
      <c r="A607" s="570" t="s">
        <v>14140</v>
      </c>
      <c r="B607" s="571" t="str">
        <f>PLANILHA!D604</f>
        <v>ARMAÇÃO DE BLOCO, VIGA BALDRAME OU SAPATA UTILIZANDO AÇO CA-50 DE 10 MM - MONTAGEM. AF_06/2017</v>
      </c>
      <c r="C607" s="572" t="str">
        <f>PLANILHA!E604</f>
        <v>KG</v>
      </c>
      <c r="D607" s="573">
        <f>PLANILHA!F604</f>
        <v>20.8</v>
      </c>
      <c r="E607" s="573">
        <f t="shared" si="681"/>
        <v>18.149999999999999</v>
      </c>
      <c r="F607" s="574">
        <f t="shared" si="680"/>
        <v>377.52</v>
      </c>
      <c r="G607" s="580">
        <f t="shared" si="698"/>
        <v>20.8</v>
      </c>
      <c r="H607" s="576">
        <f t="shared" si="682"/>
        <v>377.52</v>
      </c>
      <c r="I607" s="576"/>
      <c r="J607" s="576">
        <f>I607*$E607</f>
        <v>0</v>
      </c>
      <c r="K607" s="576"/>
      <c r="L607" s="576">
        <f>K607*$E607</f>
        <v>0</v>
      </c>
      <c r="M607" s="576"/>
      <c r="N607" s="576">
        <f>M607*$E607</f>
        <v>0</v>
      </c>
      <c r="O607" s="576"/>
      <c r="P607" s="576">
        <f>O607*$E607</f>
        <v>0</v>
      </c>
      <c r="Q607" s="576"/>
      <c r="R607" s="577">
        <f>Q607*$E607</f>
        <v>0</v>
      </c>
      <c r="S607" s="578"/>
      <c r="T607" s="576">
        <f>S607*$E607</f>
        <v>0</v>
      </c>
      <c r="U607" s="576"/>
      <c r="V607" s="576">
        <f>U607*$E607</f>
        <v>0</v>
      </c>
      <c r="W607" s="576"/>
      <c r="X607" s="576">
        <f>W607*$E607</f>
        <v>0</v>
      </c>
      <c r="Y607" s="576"/>
      <c r="Z607" s="576">
        <f>Y607*$E607</f>
        <v>0</v>
      </c>
      <c r="AA607" s="576"/>
      <c r="AB607" s="576">
        <f>AA607*$E607</f>
        <v>0</v>
      </c>
      <c r="AC607" s="576"/>
      <c r="AD607" s="579">
        <f>AC607*$E607</f>
        <v>0</v>
      </c>
      <c r="AE607" s="580">
        <f>AC607+AA607+Y607+W607+U607+S607+Q607+O607+M607+K607+I607+G607</f>
        <v>20.8</v>
      </c>
      <c r="AF607" s="576">
        <f t="shared" si="695"/>
        <v>377.52</v>
      </c>
      <c r="AG607" s="576">
        <f>D607-AE607</f>
        <v>0</v>
      </c>
      <c r="AH607" s="579">
        <f>AG607*E607</f>
        <v>0</v>
      </c>
      <c r="AK607" s="617">
        <f t="shared" si="673"/>
        <v>0</v>
      </c>
    </row>
    <row r="608" spans="1:37" ht="45">
      <c r="A608" s="570" t="s">
        <v>14141</v>
      </c>
      <c r="B608" s="571" t="str">
        <f>PLANILHA!D605</f>
        <v>FABRICAÇÃO, MONTAGEM E DESMONTAGEM DE FÔRMA PARA VIGA BALDRAME, EM MADEIRA SERRADA, E=25 MM, 4 UTILIZAÇÕES. AF_06/2017</v>
      </c>
      <c r="C608" s="572" t="str">
        <f>PLANILHA!E605</f>
        <v>M2</v>
      </c>
      <c r="D608" s="573">
        <f>PLANILHA!F605</f>
        <v>6.3</v>
      </c>
      <c r="E608" s="573">
        <f t="shared" si="681"/>
        <v>77.319999999999993</v>
      </c>
      <c r="F608" s="574">
        <f t="shared" si="680"/>
        <v>487.11</v>
      </c>
      <c r="G608" s="580">
        <f t="shared" si="698"/>
        <v>6.3</v>
      </c>
      <c r="H608" s="576">
        <f t="shared" si="682"/>
        <v>487.11</v>
      </c>
      <c r="I608" s="576"/>
      <c r="J608" s="576">
        <f t="shared" si="683"/>
        <v>0</v>
      </c>
      <c r="K608" s="576"/>
      <c r="L608" s="576">
        <f t="shared" si="684"/>
        <v>0</v>
      </c>
      <c r="M608" s="576"/>
      <c r="N608" s="576">
        <f t="shared" si="685"/>
        <v>0</v>
      </c>
      <c r="O608" s="576"/>
      <c r="P608" s="576">
        <f t="shared" si="686"/>
        <v>0</v>
      </c>
      <c r="Q608" s="576"/>
      <c r="R608" s="577">
        <f t="shared" si="687"/>
        <v>0</v>
      </c>
      <c r="S608" s="578"/>
      <c r="T608" s="576">
        <f t="shared" si="688"/>
        <v>0</v>
      </c>
      <c r="U608" s="576"/>
      <c r="V608" s="576">
        <f t="shared" si="689"/>
        <v>0</v>
      </c>
      <c r="W608" s="576"/>
      <c r="X608" s="576">
        <f t="shared" si="690"/>
        <v>0</v>
      </c>
      <c r="Y608" s="576"/>
      <c r="Z608" s="576">
        <f t="shared" si="691"/>
        <v>0</v>
      </c>
      <c r="AA608" s="576"/>
      <c r="AB608" s="576">
        <f t="shared" si="692"/>
        <v>0</v>
      </c>
      <c r="AC608" s="576"/>
      <c r="AD608" s="579">
        <f t="shared" si="693"/>
        <v>0</v>
      </c>
      <c r="AE608" s="580">
        <f t="shared" si="694"/>
        <v>6.3</v>
      </c>
      <c r="AF608" s="576">
        <f t="shared" si="695"/>
        <v>487.11</v>
      </c>
      <c r="AG608" s="576">
        <f t="shared" si="696"/>
        <v>0</v>
      </c>
      <c r="AH608" s="579">
        <f t="shared" si="697"/>
        <v>0</v>
      </c>
      <c r="AK608" s="617">
        <f t="shared" si="673"/>
        <v>0</v>
      </c>
    </row>
    <row r="609" spans="1:37" ht="45">
      <c r="A609" s="570" t="s">
        <v>14142</v>
      </c>
      <c r="B609" s="571" t="str">
        <f>PLANILHA!D606</f>
        <v>CONCRETO FCK = 20MPA, TRAÇO 1:2,6:2,9 (EM MASSA SECA DE CIMENTO/ AREIA MÉDIA/ SEIXO ROLADO) - PREPARO MECÂNICO COM BETONEIRA 600 L. AF_05/2021</v>
      </c>
      <c r="C609" s="572" t="str">
        <f>PLANILHA!E606</f>
        <v>M3</v>
      </c>
      <c r="D609" s="573">
        <f>PLANILHA!F606</f>
        <v>4.54</v>
      </c>
      <c r="E609" s="573">
        <f t="shared" si="681"/>
        <v>648.72</v>
      </c>
      <c r="F609" s="574">
        <f t="shared" si="680"/>
        <v>2945.18</v>
      </c>
      <c r="G609" s="580">
        <f t="shared" si="698"/>
        <v>4.54</v>
      </c>
      <c r="H609" s="576">
        <f t="shared" si="682"/>
        <v>2945.18</v>
      </c>
      <c r="I609" s="576"/>
      <c r="J609" s="576">
        <f t="shared" si="683"/>
        <v>0</v>
      </c>
      <c r="K609" s="576"/>
      <c r="L609" s="576">
        <f t="shared" si="684"/>
        <v>0</v>
      </c>
      <c r="M609" s="576"/>
      <c r="N609" s="576">
        <f t="shared" si="685"/>
        <v>0</v>
      </c>
      <c r="O609" s="576"/>
      <c r="P609" s="576">
        <f t="shared" si="686"/>
        <v>0</v>
      </c>
      <c r="Q609" s="576"/>
      <c r="R609" s="577">
        <f t="shared" si="687"/>
        <v>0</v>
      </c>
      <c r="S609" s="578"/>
      <c r="T609" s="576">
        <f t="shared" si="688"/>
        <v>0</v>
      </c>
      <c r="U609" s="576"/>
      <c r="V609" s="576">
        <f t="shared" si="689"/>
        <v>0</v>
      </c>
      <c r="W609" s="576"/>
      <c r="X609" s="576">
        <f t="shared" si="690"/>
        <v>0</v>
      </c>
      <c r="Y609" s="576"/>
      <c r="Z609" s="576">
        <f t="shared" si="691"/>
        <v>0</v>
      </c>
      <c r="AA609" s="576"/>
      <c r="AB609" s="576">
        <f t="shared" si="692"/>
        <v>0</v>
      </c>
      <c r="AC609" s="576"/>
      <c r="AD609" s="579">
        <f t="shared" si="693"/>
        <v>0</v>
      </c>
      <c r="AE609" s="580">
        <f t="shared" si="694"/>
        <v>4.54</v>
      </c>
      <c r="AF609" s="576">
        <f t="shared" si="695"/>
        <v>2945.18</v>
      </c>
      <c r="AG609" s="576">
        <f t="shared" si="696"/>
        <v>0</v>
      </c>
      <c r="AH609" s="579">
        <f t="shared" si="697"/>
        <v>0</v>
      </c>
      <c r="AK609" s="617">
        <f t="shared" si="673"/>
        <v>0</v>
      </c>
    </row>
    <row r="610" spans="1:37" ht="30">
      <c r="A610" s="570" t="s">
        <v>14143</v>
      </c>
      <c r="B610" s="571" t="str">
        <f>PLANILHA!D607</f>
        <v>LANÇAMENTO COM USO DE BALDES, ADENSAMENTO E ACABAMENTO DE CONCRETO EM ESTRUTURAS. AF_02/2022</v>
      </c>
      <c r="C610" s="572" t="str">
        <f>PLANILHA!E607</f>
        <v>M3</v>
      </c>
      <c r="D610" s="573">
        <f>PLANILHA!F607</f>
        <v>4.54</v>
      </c>
      <c r="E610" s="573">
        <f t="shared" si="681"/>
        <v>280.13</v>
      </c>
      <c r="F610" s="574">
        <f t="shared" si="680"/>
        <v>1271.79</v>
      </c>
      <c r="G610" s="580">
        <f t="shared" si="698"/>
        <v>4.54</v>
      </c>
      <c r="H610" s="576">
        <f t="shared" si="682"/>
        <v>1271.79</v>
      </c>
      <c r="I610" s="576"/>
      <c r="J610" s="576">
        <f t="shared" si="683"/>
        <v>0</v>
      </c>
      <c r="K610" s="576"/>
      <c r="L610" s="576">
        <f t="shared" si="684"/>
        <v>0</v>
      </c>
      <c r="M610" s="576"/>
      <c r="N610" s="576">
        <f t="shared" si="685"/>
        <v>0</v>
      </c>
      <c r="O610" s="576"/>
      <c r="P610" s="576">
        <f t="shared" si="686"/>
        <v>0</v>
      </c>
      <c r="Q610" s="576"/>
      <c r="R610" s="577">
        <f t="shared" si="687"/>
        <v>0</v>
      </c>
      <c r="S610" s="578"/>
      <c r="T610" s="576">
        <f t="shared" si="688"/>
        <v>0</v>
      </c>
      <c r="U610" s="576"/>
      <c r="V610" s="576">
        <f t="shared" si="689"/>
        <v>0</v>
      </c>
      <c r="W610" s="576"/>
      <c r="X610" s="576">
        <f t="shared" si="690"/>
        <v>0</v>
      </c>
      <c r="Y610" s="576"/>
      <c r="Z610" s="576">
        <f t="shared" si="691"/>
        <v>0</v>
      </c>
      <c r="AA610" s="576"/>
      <c r="AB610" s="576">
        <f t="shared" si="692"/>
        <v>0</v>
      </c>
      <c r="AC610" s="576"/>
      <c r="AD610" s="579">
        <f t="shared" si="693"/>
        <v>0</v>
      </c>
      <c r="AE610" s="580">
        <f t="shared" si="694"/>
        <v>4.54</v>
      </c>
      <c r="AF610" s="576">
        <f t="shared" si="695"/>
        <v>1271.79</v>
      </c>
      <c r="AG610" s="576">
        <f t="shared" si="696"/>
        <v>0</v>
      </c>
      <c r="AH610" s="579">
        <f t="shared" si="697"/>
        <v>0</v>
      </c>
      <c r="AK610" s="617">
        <f t="shared" si="673"/>
        <v>0</v>
      </c>
    </row>
    <row r="611" spans="1:37" ht="30">
      <c r="A611" s="570" t="s">
        <v>14144</v>
      </c>
      <c r="B611" s="571" t="str">
        <f>PLANILHA!D608</f>
        <v>IMPERMEABILIZAÇÃO DE SUPERFÍCIE COM EMULSÃO ASFÁLTICA, 2 DEMÃOS AF_06/2018</v>
      </c>
      <c r="C611" s="572" t="str">
        <f>PLANILHA!E608</f>
        <v>M2</v>
      </c>
      <c r="D611" s="573">
        <f>PLANILHA!F608</f>
        <v>6.3</v>
      </c>
      <c r="E611" s="573">
        <f t="shared" si="681"/>
        <v>71.89</v>
      </c>
      <c r="F611" s="574">
        <f t="shared" si="680"/>
        <v>452.9</v>
      </c>
      <c r="G611" s="580">
        <f t="shared" si="698"/>
        <v>6.3</v>
      </c>
      <c r="H611" s="576">
        <f t="shared" si="682"/>
        <v>452.9</v>
      </c>
      <c r="I611" s="576"/>
      <c r="J611" s="576">
        <f t="shared" si="683"/>
        <v>0</v>
      </c>
      <c r="K611" s="576"/>
      <c r="L611" s="576">
        <f t="shared" si="684"/>
        <v>0</v>
      </c>
      <c r="M611" s="576"/>
      <c r="N611" s="576">
        <f t="shared" si="685"/>
        <v>0</v>
      </c>
      <c r="O611" s="576"/>
      <c r="P611" s="576">
        <f t="shared" si="686"/>
        <v>0</v>
      </c>
      <c r="Q611" s="576"/>
      <c r="R611" s="577">
        <f t="shared" si="687"/>
        <v>0</v>
      </c>
      <c r="S611" s="578"/>
      <c r="T611" s="576">
        <f t="shared" si="688"/>
        <v>0</v>
      </c>
      <c r="U611" s="576"/>
      <c r="V611" s="576">
        <f t="shared" si="689"/>
        <v>0</v>
      </c>
      <c r="W611" s="576"/>
      <c r="X611" s="576">
        <f t="shared" si="690"/>
        <v>0</v>
      </c>
      <c r="Y611" s="576"/>
      <c r="Z611" s="576">
        <f t="shared" si="691"/>
        <v>0</v>
      </c>
      <c r="AA611" s="576"/>
      <c r="AB611" s="576">
        <f t="shared" si="692"/>
        <v>0</v>
      </c>
      <c r="AC611" s="576"/>
      <c r="AD611" s="579">
        <f t="shared" si="693"/>
        <v>0</v>
      </c>
      <c r="AE611" s="580">
        <f t="shared" si="694"/>
        <v>6.3</v>
      </c>
      <c r="AF611" s="576">
        <f t="shared" si="695"/>
        <v>452.9</v>
      </c>
      <c r="AG611" s="576">
        <f t="shared" si="696"/>
        <v>0</v>
      </c>
      <c r="AH611" s="579">
        <f t="shared" si="697"/>
        <v>0</v>
      </c>
      <c r="AK611" s="617">
        <f t="shared" si="673"/>
        <v>0</v>
      </c>
    </row>
    <row r="612" spans="1:37" s="569" customFormat="1">
      <c r="A612" s="581" t="s">
        <v>27250</v>
      </c>
      <c r="B612" s="582"/>
      <c r="C612" s="583"/>
      <c r="D612" s="584"/>
      <c r="E612" s="584"/>
      <c r="F612" s="584">
        <f>SUM(F605:F611)</f>
        <v>12357.67</v>
      </c>
      <c r="G612" s="586"/>
      <c r="H612" s="584">
        <f>SUM(H605:H611)</f>
        <v>12357.67</v>
      </c>
      <c r="I612" s="584"/>
      <c r="J612" s="584">
        <f>SUM(J605:J611)</f>
        <v>0</v>
      </c>
      <c r="K612" s="584"/>
      <c r="L612" s="584">
        <f>SUM(L605:L611)</f>
        <v>0</v>
      </c>
      <c r="M612" s="584"/>
      <c r="N612" s="584">
        <f>SUM(N605:N611)</f>
        <v>0</v>
      </c>
      <c r="O612" s="584"/>
      <c r="P612" s="584">
        <f>SUM(P605:P611)</f>
        <v>0</v>
      </c>
      <c r="Q612" s="584"/>
      <c r="R612" s="587">
        <f>SUM(R605:R611)</f>
        <v>0</v>
      </c>
      <c r="S612" s="588"/>
      <c r="T612" s="584">
        <f>SUM(T605:T611)</f>
        <v>0</v>
      </c>
      <c r="U612" s="584"/>
      <c r="V612" s="584">
        <f>SUM(V605:V611)</f>
        <v>0</v>
      </c>
      <c r="W612" s="584"/>
      <c r="X612" s="584">
        <f>SUM(X605:X611)</f>
        <v>0</v>
      </c>
      <c r="Y612" s="584"/>
      <c r="Z612" s="584">
        <f>SUM(Z605:Z611)</f>
        <v>0</v>
      </c>
      <c r="AA612" s="584"/>
      <c r="AB612" s="584">
        <f>SUM(AB605:AB611)</f>
        <v>0</v>
      </c>
      <c r="AC612" s="584"/>
      <c r="AD612" s="585">
        <f>SUM(AD605:AD611)</f>
        <v>0</v>
      </c>
      <c r="AE612" s="590"/>
      <c r="AF612" s="584">
        <f>SUM(AF605:AF611)</f>
        <v>12357.67</v>
      </c>
      <c r="AG612" s="591"/>
      <c r="AH612" s="585">
        <f>SUM(AH605:AH611)</f>
        <v>0</v>
      </c>
      <c r="AI612" s="568"/>
      <c r="AK612" s="617">
        <f t="shared" si="673"/>
        <v>0</v>
      </c>
    </row>
    <row r="613" spans="1:37">
      <c r="A613" s="570"/>
      <c r="B613" s="571"/>
      <c r="C613" s="572"/>
      <c r="D613" s="573"/>
      <c r="E613" s="573"/>
      <c r="F613" s="574"/>
      <c r="G613" s="580"/>
      <c r="H613" s="576"/>
      <c r="I613" s="576"/>
      <c r="J613" s="576"/>
      <c r="K613" s="576"/>
      <c r="L613" s="576"/>
      <c r="M613" s="576"/>
      <c r="N613" s="576"/>
      <c r="O613" s="576"/>
      <c r="P613" s="576"/>
      <c r="Q613" s="576"/>
      <c r="R613" s="577"/>
      <c r="S613" s="578"/>
      <c r="T613" s="576"/>
      <c r="U613" s="576"/>
      <c r="V613" s="576"/>
      <c r="W613" s="576"/>
      <c r="X613" s="576"/>
      <c r="Y613" s="576"/>
      <c r="Z613" s="576"/>
      <c r="AA613" s="576"/>
      <c r="AB613" s="576"/>
      <c r="AC613" s="576"/>
      <c r="AD613" s="579"/>
      <c r="AE613" s="580"/>
      <c r="AF613" s="576"/>
      <c r="AG613" s="576"/>
      <c r="AH613" s="579"/>
      <c r="AK613" s="617">
        <f t="shared" si="673"/>
        <v>0</v>
      </c>
    </row>
    <row r="614" spans="1:37" s="569" customFormat="1">
      <c r="A614" s="592" t="s">
        <v>14145</v>
      </c>
      <c r="B614" s="593" t="str">
        <f>PLANILHA!D611</f>
        <v>ESTRUTURA - SUPERESTRUTURA</v>
      </c>
      <c r="C614" s="594"/>
      <c r="D614" s="589"/>
      <c r="E614" s="589"/>
      <c r="F614" s="595">
        <f t="shared" ref="F614:F623" si="699">VLOOKUP(A614,PLANILHA,$G$6,0)</f>
        <v>0</v>
      </c>
      <c r="G614" s="596"/>
      <c r="H614" s="597"/>
      <c r="I614" s="597"/>
      <c r="J614" s="597"/>
      <c r="K614" s="597"/>
      <c r="L614" s="597"/>
      <c r="M614" s="597"/>
      <c r="N614" s="597"/>
      <c r="O614" s="597"/>
      <c r="P614" s="597"/>
      <c r="Q614" s="597"/>
      <c r="R614" s="598"/>
      <c r="S614" s="599"/>
      <c r="T614" s="597"/>
      <c r="U614" s="597"/>
      <c r="V614" s="597"/>
      <c r="W614" s="597"/>
      <c r="X614" s="597"/>
      <c r="Y614" s="597"/>
      <c r="Z614" s="597"/>
      <c r="AA614" s="597"/>
      <c r="AB614" s="597"/>
      <c r="AC614" s="597"/>
      <c r="AD614" s="600"/>
      <c r="AE614" s="596"/>
      <c r="AF614" s="597"/>
      <c r="AG614" s="597"/>
      <c r="AH614" s="600"/>
      <c r="AI614" s="568"/>
      <c r="AK614" s="617">
        <f t="shared" si="673"/>
        <v>0</v>
      </c>
    </row>
    <row r="615" spans="1:37" ht="45">
      <c r="A615" s="570" t="s">
        <v>14146</v>
      </c>
      <c r="B615" s="571" t="str">
        <f>PLANILHA!D612</f>
        <v>ARMAÇÃO DE PILAR OU VIGA DE UMA ESTRUTURA CONVENCIONAL DE CONCRETO ARMADO EM UM EDIFÍCIO DE MÚLTIPLOS PAVIMENTOS UTILIZANDO AÇO CA-60 DE 5,0 MM - MONTAGEM. AF_12/2015</v>
      </c>
      <c r="C615" s="572" t="str">
        <f>PLANILHA!E612</f>
        <v>KG</v>
      </c>
      <c r="D615" s="573">
        <f>PLANILHA!F612</f>
        <v>305.89999999999998</v>
      </c>
      <c r="E615" s="573">
        <f t="shared" ref="E615:E623" si="700">VLOOKUP(A615,PLANILHA,$G$7,0)</f>
        <v>19.66</v>
      </c>
      <c r="F615" s="574">
        <f t="shared" si="699"/>
        <v>6013.99</v>
      </c>
      <c r="G615" s="580"/>
      <c r="H615" s="576">
        <f t="shared" ref="H615:H620" si="701">G615*$E615</f>
        <v>0</v>
      </c>
      <c r="I615" s="576">
        <f>D615</f>
        <v>305.89999999999998</v>
      </c>
      <c r="J615" s="576">
        <f t="shared" ref="J615:J623" si="702">TRUNC(I615*$E615,2)</f>
        <v>6013.99</v>
      </c>
      <c r="K615" s="576"/>
      <c r="L615" s="576">
        <f t="shared" ref="L615:L620" si="703">K615*$E615</f>
        <v>0</v>
      </c>
      <c r="M615" s="576"/>
      <c r="N615" s="576">
        <f t="shared" ref="N615:N620" si="704">M615*$E615</f>
        <v>0</v>
      </c>
      <c r="O615" s="576"/>
      <c r="P615" s="576">
        <f t="shared" ref="P615:P620" si="705">O615*$E615</f>
        <v>0</v>
      </c>
      <c r="Q615" s="576"/>
      <c r="R615" s="577">
        <f t="shared" ref="R615:R620" si="706">Q615*$E615</f>
        <v>0</v>
      </c>
      <c r="S615" s="578"/>
      <c r="T615" s="576">
        <f t="shared" ref="T615:T620" si="707">S615*$E615</f>
        <v>0</v>
      </c>
      <c r="U615" s="576"/>
      <c r="V615" s="576">
        <f t="shared" ref="V615:V620" si="708">U615*$E615</f>
        <v>0</v>
      </c>
      <c r="W615" s="576"/>
      <c r="X615" s="576">
        <f t="shared" ref="X615:X620" si="709">W615*$E615</f>
        <v>0</v>
      </c>
      <c r="Y615" s="576"/>
      <c r="Z615" s="576">
        <f t="shared" ref="Z615:Z620" si="710">Y615*$E615</f>
        <v>0</v>
      </c>
      <c r="AA615" s="576"/>
      <c r="AB615" s="576">
        <f t="shared" ref="AB615:AB620" si="711">AA615*$E615</f>
        <v>0</v>
      </c>
      <c r="AC615" s="576"/>
      <c r="AD615" s="579">
        <f t="shared" ref="AD615:AD620" si="712">AC615*$E615</f>
        <v>0</v>
      </c>
      <c r="AE615" s="580">
        <f t="shared" ref="AE615:AE620" si="713">AC615+AA615+Y615+W615+U615+S615+Q615+O615+M615+K615+I615+G615</f>
        <v>305.89999999999998</v>
      </c>
      <c r="AF615" s="576">
        <f t="shared" ref="AF615:AF623" si="714">TRUNC(AE615*E615,2)</f>
        <v>6013.99</v>
      </c>
      <c r="AG615" s="576">
        <f t="shared" ref="AG615:AG620" si="715">D615-AE615</f>
        <v>0</v>
      </c>
      <c r="AH615" s="579">
        <f t="shared" ref="AH615:AH620" si="716">AG615*E615</f>
        <v>0</v>
      </c>
      <c r="AK615" s="617">
        <f t="shared" si="673"/>
        <v>0</v>
      </c>
    </row>
    <row r="616" spans="1:37" ht="45">
      <c r="A616" s="570" t="s">
        <v>14147</v>
      </c>
      <c r="B616" s="571" t="str">
        <f>PLANILHA!D613</f>
        <v>ARMAÇÃO DE PILAR OU VIGA DE UMA ESTRUTURA CONVENCIONAL DE CONCRETO ARMADO EM UM EDIFÍCIO DE MÚLTIPLOS PAVIMENTOS UTILIZANDO AÇO CA-50 DE 6,3 MM - MONTAGEM. AF_12/2015</v>
      </c>
      <c r="C616" s="572" t="str">
        <f>PLANILHA!E613</f>
        <v>KG</v>
      </c>
      <c r="D616" s="573">
        <f>PLANILHA!F613</f>
        <v>2.4</v>
      </c>
      <c r="E616" s="573">
        <f t="shared" si="700"/>
        <v>19.23</v>
      </c>
      <c r="F616" s="574">
        <f t="shared" si="699"/>
        <v>46.15</v>
      </c>
      <c r="G616" s="580"/>
      <c r="H616" s="576">
        <f t="shared" si="701"/>
        <v>0</v>
      </c>
      <c r="I616" s="576">
        <f t="shared" ref="I616:I621" si="717">D616</f>
        <v>2.4</v>
      </c>
      <c r="J616" s="576">
        <f t="shared" si="702"/>
        <v>46.15</v>
      </c>
      <c r="K616" s="576"/>
      <c r="L616" s="576">
        <f t="shared" si="703"/>
        <v>0</v>
      </c>
      <c r="M616" s="576"/>
      <c r="N616" s="576">
        <f t="shared" si="704"/>
        <v>0</v>
      </c>
      <c r="O616" s="576"/>
      <c r="P616" s="576">
        <f t="shared" si="705"/>
        <v>0</v>
      </c>
      <c r="Q616" s="576"/>
      <c r="R616" s="577">
        <f t="shared" si="706"/>
        <v>0</v>
      </c>
      <c r="S616" s="578"/>
      <c r="T616" s="576">
        <f t="shared" si="707"/>
        <v>0</v>
      </c>
      <c r="U616" s="576"/>
      <c r="V616" s="576">
        <f t="shared" si="708"/>
        <v>0</v>
      </c>
      <c r="W616" s="576"/>
      <c r="X616" s="576">
        <f t="shared" si="709"/>
        <v>0</v>
      </c>
      <c r="Y616" s="576"/>
      <c r="Z616" s="576">
        <f t="shared" si="710"/>
        <v>0</v>
      </c>
      <c r="AA616" s="576"/>
      <c r="AB616" s="576">
        <f t="shared" si="711"/>
        <v>0</v>
      </c>
      <c r="AC616" s="576"/>
      <c r="AD616" s="579">
        <f t="shared" si="712"/>
        <v>0</v>
      </c>
      <c r="AE616" s="580">
        <f t="shared" si="713"/>
        <v>2.4</v>
      </c>
      <c r="AF616" s="576">
        <f t="shared" si="714"/>
        <v>46.15</v>
      </c>
      <c r="AG616" s="576">
        <f t="shared" si="715"/>
        <v>0</v>
      </c>
      <c r="AH616" s="579">
        <f t="shared" si="716"/>
        <v>0</v>
      </c>
      <c r="AK616" s="617">
        <f t="shared" si="673"/>
        <v>0</v>
      </c>
    </row>
    <row r="617" spans="1:37" ht="45">
      <c r="A617" s="570" t="s">
        <v>14148</v>
      </c>
      <c r="B617" s="571" t="str">
        <f>PLANILHA!D614</f>
        <v>ARMAÇÃO DE PILAR OU VIGA DE UMA ESTRUTURA CONVENCIONAL DE CONCRETO ARMADO EM UM EDIFÍCIO DE MÚLTIPLOS PAVIMENTOS UTILIZANDO AÇO CA-50 DE 8,0 MM - MONTAGEM. AF_12/2015</v>
      </c>
      <c r="C617" s="572" t="str">
        <f>PLANILHA!E614</f>
        <v>KG</v>
      </c>
      <c r="D617" s="573">
        <f>PLANILHA!F614</f>
        <v>188.9</v>
      </c>
      <c r="E617" s="573">
        <f t="shared" si="700"/>
        <v>18.54</v>
      </c>
      <c r="F617" s="574">
        <f t="shared" si="699"/>
        <v>3502.2</v>
      </c>
      <c r="G617" s="580"/>
      <c r="H617" s="576">
        <f t="shared" si="701"/>
        <v>0</v>
      </c>
      <c r="I617" s="576">
        <f t="shared" si="717"/>
        <v>188.9</v>
      </c>
      <c r="J617" s="576">
        <f t="shared" si="702"/>
        <v>3502.2</v>
      </c>
      <c r="K617" s="576"/>
      <c r="L617" s="576">
        <f t="shared" si="703"/>
        <v>0</v>
      </c>
      <c r="M617" s="576"/>
      <c r="N617" s="576">
        <f t="shared" si="704"/>
        <v>0</v>
      </c>
      <c r="O617" s="576"/>
      <c r="P617" s="576">
        <f t="shared" si="705"/>
        <v>0</v>
      </c>
      <c r="Q617" s="576"/>
      <c r="R617" s="577">
        <f t="shared" si="706"/>
        <v>0</v>
      </c>
      <c r="S617" s="578"/>
      <c r="T617" s="576">
        <f t="shared" si="707"/>
        <v>0</v>
      </c>
      <c r="U617" s="576"/>
      <c r="V617" s="576">
        <f t="shared" si="708"/>
        <v>0</v>
      </c>
      <c r="W617" s="576"/>
      <c r="X617" s="576">
        <f t="shared" si="709"/>
        <v>0</v>
      </c>
      <c r="Y617" s="576"/>
      <c r="Z617" s="576">
        <f t="shared" si="710"/>
        <v>0</v>
      </c>
      <c r="AA617" s="576"/>
      <c r="AB617" s="576">
        <f t="shared" si="711"/>
        <v>0</v>
      </c>
      <c r="AC617" s="576"/>
      <c r="AD617" s="579">
        <f t="shared" si="712"/>
        <v>0</v>
      </c>
      <c r="AE617" s="580">
        <f t="shared" si="713"/>
        <v>188.9</v>
      </c>
      <c r="AF617" s="576">
        <f t="shared" si="714"/>
        <v>3502.2</v>
      </c>
      <c r="AG617" s="576">
        <f t="shared" si="715"/>
        <v>0</v>
      </c>
      <c r="AH617" s="579">
        <f t="shared" si="716"/>
        <v>0</v>
      </c>
      <c r="AK617" s="617">
        <f t="shared" si="673"/>
        <v>0</v>
      </c>
    </row>
    <row r="618" spans="1:37" ht="45">
      <c r="A618" s="570" t="s">
        <v>14149</v>
      </c>
      <c r="B618" s="571" t="str">
        <f>PLANILHA!D615</f>
        <v>ARMAÇÃO DE PILAR OU VIGA DE UMA ESTRUTURA CONVENCIONAL DE CONCRETO ARMADO EM UM EDIFÍCIO DE MÚLTIPLOS PAVIMENTOS UTILIZANDO AÇO CA-50 DE 10,0 MM - MONTAGEM. AF_12/2015</v>
      </c>
      <c r="C618" s="572" t="str">
        <f>PLANILHA!E615</f>
        <v>KG</v>
      </c>
      <c r="D618" s="573">
        <f>PLANILHA!F615</f>
        <v>438.7</v>
      </c>
      <c r="E618" s="573">
        <f t="shared" si="700"/>
        <v>16.809999999999999</v>
      </c>
      <c r="F618" s="574">
        <f t="shared" si="699"/>
        <v>7374.54</v>
      </c>
      <c r="G618" s="580"/>
      <c r="H618" s="576">
        <f t="shared" si="701"/>
        <v>0</v>
      </c>
      <c r="I618" s="576">
        <f t="shared" si="717"/>
        <v>438.7</v>
      </c>
      <c r="J618" s="576">
        <f t="shared" si="702"/>
        <v>7374.54</v>
      </c>
      <c r="K618" s="576"/>
      <c r="L618" s="576">
        <f t="shared" si="703"/>
        <v>0</v>
      </c>
      <c r="M618" s="576"/>
      <c r="N618" s="576">
        <f t="shared" si="704"/>
        <v>0</v>
      </c>
      <c r="O618" s="576"/>
      <c r="P618" s="576">
        <f t="shared" si="705"/>
        <v>0</v>
      </c>
      <c r="Q618" s="576"/>
      <c r="R618" s="577">
        <f t="shared" si="706"/>
        <v>0</v>
      </c>
      <c r="S618" s="578"/>
      <c r="T618" s="576">
        <f t="shared" si="707"/>
        <v>0</v>
      </c>
      <c r="U618" s="576"/>
      <c r="V618" s="576">
        <f t="shared" si="708"/>
        <v>0</v>
      </c>
      <c r="W618" s="576"/>
      <c r="X618" s="576">
        <f t="shared" si="709"/>
        <v>0</v>
      </c>
      <c r="Y618" s="576"/>
      <c r="Z618" s="576">
        <f t="shared" si="710"/>
        <v>0</v>
      </c>
      <c r="AA618" s="576"/>
      <c r="AB618" s="576">
        <f t="shared" si="711"/>
        <v>0</v>
      </c>
      <c r="AC618" s="576"/>
      <c r="AD618" s="579">
        <f t="shared" si="712"/>
        <v>0</v>
      </c>
      <c r="AE618" s="580">
        <f t="shared" si="713"/>
        <v>438.7</v>
      </c>
      <c r="AF618" s="576">
        <f t="shared" si="714"/>
        <v>7374.54</v>
      </c>
      <c r="AG618" s="576">
        <f t="shared" si="715"/>
        <v>0</v>
      </c>
      <c r="AH618" s="579">
        <f t="shared" si="716"/>
        <v>0</v>
      </c>
      <c r="AK618" s="617">
        <f t="shared" si="673"/>
        <v>0</v>
      </c>
    </row>
    <row r="619" spans="1:37" ht="30">
      <c r="A619" s="570" t="s">
        <v>14150</v>
      </c>
      <c r="B619" s="571" t="str">
        <f>PLANILHA!D616</f>
        <v>FABRICAÇÃO DE FÔRMA PARA VIGAS, EM CHAPA DE MADEIRA COMPENSADA RESINADA, E = 17 MM. AF_09/2020</v>
      </c>
      <c r="C619" s="572" t="str">
        <f>PLANILHA!E616</f>
        <v>M2</v>
      </c>
      <c r="D619" s="573">
        <f>PLANILHA!F616</f>
        <v>147</v>
      </c>
      <c r="E619" s="573">
        <f t="shared" si="700"/>
        <v>158.27000000000001</v>
      </c>
      <c r="F619" s="574">
        <f t="shared" si="699"/>
        <v>23265.69</v>
      </c>
      <c r="G619" s="580"/>
      <c r="H619" s="576">
        <f t="shared" si="701"/>
        <v>0</v>
      </c>
      <c r="I619" s="576">
        <f t="shared" si="717"/>
        <v>147</v>
      </c>
      <c r="J619" s="576">
        <f t="shared" si="702"/>
        <v>23265.69</v>
      </c>
      <c r="K619" s="576"/>
      <c r="L619" s="576">
        <f t="shared" si="703"/>
        <v>0</v>
      </c>
      <c r="M619" s="576"/>
      <c r="N619" s="576">
        <f t="shared" si="704"/>
        <v>0</v>
      </c>
      <c r="O619" s="576"/>
      <c r="P619" s="576">
        <f t="shared" si="705"/>
        <v>0</v>
      </c>
      <c r="Q619" s="576"/>
      <c r="R619" s="577">
        <f t="shared" si="706"/>
        <v>0</v>
      </c>
      <c r="S619" s="578"/>
      <c r="T619" s="576">
        <f t="shared" si="707"/>
        <v>0</v>
      </c>
      <c r="U619" s="576"/>
      <c r="V619" s="576">
        <f t="shared" si="708"/>
        <v>0</v>
      </c>
      <c r="W619" s="576"/>
      <c r="X619" s="576">
        <f t="shared" si="709"/>
        <v>0</v>
      </c>
      <c r="Y619" s="576"/>
      <c r="Z619" s="576">
        <f t="shared" si="710"/>
        <v>0</v>
      </c>
      <c r="AA619" s="576"/>
      <c r="AB619" s="576">
        <f t="shared" si="711"/>
        <v>0</v>
      </c>
      <c r="AC619" s="576"/>
      <c r="AD619" s="579">
        <f t="shared" si="712"/>
        <v>0</v>
      </c>
      <c r="AE619" s="580">
        <f t="shared" si="713"/>
        <v>147</v>
      </c>
      <c r="AF619" s="576">
        <f t="shared" si="714"/>
        <v>23265.69</v>
      </c>
      <c r="AG619" s="576">
        <f t="shared" si="715"/>
        <v>0</v>
      </c>
      <c r="AH619" s="579">
        <f t="shared" si="716"/>
        <v>0</v>
      </c>
      <c r="AK619" s="617">
        <f t="shared" si="673"/>
        <v>0</v>
      </c>
    </row>
    <row r="620" spans="1:37" ht="60">
      <c r="A620" s="570" t="s">
        <v>14151</v>
      </c>
      <c r="B620" s="571" t="str">
        <f>PLANILHA!D617</f>
        <v>CONCRETAGEM DE LAJES EM EDIFICAÇÕES UNIFAMILIARES FEITAS COM SISTEMA DE FÔRMAS MANUSEÁVEIS, COM CONCRETO USINADO BOMBEÁVEL FCK 25 MPA - LANÇAMENTO, ADENSAMENTO E ACABAMENTO (EXCLUSIVE BOMBA LANÇA). AF_10/2021</v>
      </c>
      <c r="C620" s="572" t="str">
        <f>PLANILHA!E617</f>
        <v>M3</v>
      </c>
      <c r="D620" s="573">
        <f>PLANILHA!F617</f>
        <v>15.4</v>
      </c>
      <c r="E620" s="573">
        <f t="shared" si="700"/>
        <v>860.67</v>
      </c>
      <c r="F620" s="574">
        <f t="shared" si="699"/>
        <v>13254.31</v>
      </c>
      <c r="G620" s="580"/>
      <c r="H620" s="576">
        <f t="shared" si="701"/>
        <v>0</v>
      </c>
      <c r="I620" s="576">
        <f t="shared" si="717"/>
        <v>15.4</v>
      </c>
      <c r="J620" s="576">
        <f t="shared" si="702"/>
        <v>13254.31</v>
      </c>
      <c r="K620" s="576"/>
      <c r="L620" s="576">
        <f t="shared" si="703"/>
        <v>0</v>
      </c>
      <c r="M620" s="576"/>
      <c r="N620" s="576">
        <f t="shared" si="704"/>
        <v>0</v>
      </c>
      <c r="O620" s="576"/>
      <c r="P620" s="576">
        <f t="shared" si="705"/>
        <v>0</v>
      </c>
      <c r="Q620" s="576"/>
      <c r="R620" s="577">
        <f t="shared" si="706"/>
        <v>0</v>
      </c>
      <c r="S620" s="578"/>
      <c r="T620" s="576">
        <f t="shared" si="707"/>
        <v>0</v>
      </c>
      <c r="U620" s="576"/>
      <c r="V620" s="576">
        <f t="shared" si="708"/>
        <v>0</v>
      </c>
      <c r="W620" s="576"/>
      <c r="X620" s="576">
        <f t="shared" si="709"/>
        <v>0</v>
      </c>
      <c r="Y620" s="576"/>
      <c r="Z620" s="576">
        <f t="shared" si="710"/>
        <v>0</v>
      </c>
      <c r="AA620" s="576"/>
      <c r="AB620" s="576">
        <f t="shared" si="711"/>
        <v>0</v>
      </c>
      <c r="AC620" s="576"/>
      <c r="AD620" s="579">
        <f t="shared" si="712"/>
        <v>0</v>
      </c>
      <c r="AE620" s="580">
        <f t="shared" si="713"/>
        <v>15.4</v>
      </c>
      <c r="AF620" s="576">
        <f t="shared" si="714"/>
        <v>13254.31</v>
      </c>
      <c r="AG620" s="576">
        <f t="shared" si="715"/>
        <v>0</v>
      </c>
      <c r="AH620" s="579">
        <f t="shared" si="716"/>
        <v>0</v>
      </c>
      <c r="AK620" s="617">
        <f t="shared" si="673"/>
        <v>0</v>
      </c>
    </row>
    <row r="621" spans="1:37" ht="45">
      <c r="A621" s="570" t="s">
        <v>14152</v>
      </c>
      <c r="B621" s="571" t="str">
        <f>PLANILHA!D618</f>
        <v>LAJE PRÉ-MOLDADA UNIDIRECIONAL, BIAPOIADA, PARA PISO, ENCHIMENTO EM CERÂMICA, VIGOTA CONVENCIONAL, ALTURA TOTAL DA LAJE (ENCHIMENTO+CAPA) = (8+4). AF_11/2020</v>
      </c>
      <c r="C621" s="572" t="str">
        <f>PLANILHA!E618</f>
        <v>M2</v>
      </c>
      <c r="D621" s="573">
        <f>PLANILHA!F618</f>
        <v>25.16</v>
      </c>
      <c r="E621" s="573">
        <f t="shared" si="700"/>
        <v>233.56</v>
      </c>
      <c r="F621" s="574">
        <f t="shared" si="699"/>
        <v>5876.36</v>
      </c>
      <c r="G621" s="580"/>
      <c r="H621" s="576">
        <f>G621*$E621</f>
        <v>0</v>
      </c>
      <c r="I621" s="576">
        <f t="shared" si="717"/>
        <v>25.16</v>
      </c>
      <c r="J621" s="576">
        <f t="shared" si="702"/>
        <v>5876.36</v>
      </c>
      <c r="K621" s="576"/>
      <c r="L621" s="576">
        <f>K621*$E621</f>
        <v>0</v>
      </c>
      <c r="M621" s="576"/>
      <c r="N621" s="576">
        <f>M621*$E621</f>
        <v>0</v>
      </c>
      <c r="O621" s="576"/>
      <c r="P621" s="576">
        <f>O621*$E621</f>
        <v>0</v>
      </c>
      <c r="Q621" s="576"/>
      <c r="R621" s="577">
        <f>Q621*$E621</f>
        <v>0</v>
      </c>
      <c r="S621" s="578"/>
      <c r="T621" s="576">
        <f>S621*$E621</f>
        <v>0</v>
      </c>
      <c r="U621" s="576"/>
      <c r="V621" s="576">
        <f>U621*$E621</f>
        <v>0</v>
      </c>
      <c r="W621" s="576"/>
      <c r="X621" s="576">
        <f>W621*$E621</f>
        <v>0</v>
      </c>
      <c r="Y621" s="576"/>
      <c r="Z621" s="576">
        <f>Y621*$E621</f>
        <v>0</v>
      </c>
      <c r="AA621" s="576"/>
      <c r="AB621" s="576">
        <f>AA621*$E621</f>
        <v>0</v>
      </c>
      <c r="AC621" s="576"/>
      <c r="AD621" s="579">
        <f>AC621*$E621</f>
        <v>0</v>
      </c>
      <c r="AE621" s="580">
        <f>AC621+AA621+Y621+W621+U621+S621+Q621+O621+M621+K621+I621+G621</f>
        <v>25.16</v>
      </c>
      <c r="AF621" s="576">
        <f t="shared" si="714"/>
        <v>5876.36</v>
      </c>
      <c r="AG621" s="576">
        <f>D621-AE621</f>
        <v>0</v>
      </c>
      <c r="AH621" s="579">
        <f>AG621*E621</f>
        <v>0</v>
      </c>
      <c r="AK621" s="617">
        <f t="shared" si="673"/>
        <v>0</v>
      </c>
    </row>
    <row r="622" spans="1:37" ht="30">
      <c r="A622" s="570" t="s">
        <v>27201</v>
      </c>
      <c r="B622" s="571" t="str">
        <f>PLANILHA!D619</f>
        <v xml:space="preserve"> VIGA SUPORTE METALICO PARA LAJE, FORNECIMENTO E INSTALAÇÃO.</v>
      </c>
      <c r="C622" s="572" t="str">
        <f>PLANILHA!E619</f>
        <v>UND</v>
      </c>
      <c r="D622" s="573">
        <f>PLANILHA!F619</f>
        <v>1</v>
      </c>
      <c r="E622" s="573">
        <f t="shared" si="700"/>
        <v>3263.42</v>
      </c>
      <c r="F622" s="574">
        <f t="shared" si="699"/>
        <v>3263.42</v>
      </c>
      <c r="G622" s="580"/>
      <c r="H622" s="576">
        <f>G622*$E622</f>
        <v>0</v>
      </c>
      <c r="I622" s="576">
        <f>D622</f>
        <v>1</v>
      </c>
      <c r="J622" s="576">
        <f t="shared" si="702"/>
        <v>3263.42</v>
      </c>
      <c r="K622" s="576"/>
      <c r="L622" s="576">
        <f>K622*$E622</f>
        <v>0</v>
      </c>
      <c r="M622" s="576"/>
      <c r="N622" s="576">
        <f>M622*$E622</f>
        <v>0</v>
      </c>
      <c r="O622" s="576"/>
      <c r="P622" s="576">
        <f>O622*$E622</f>
        <v>0</v>
      </c>
      <c r="Q622" s="576"/>
      <c r="R622" s="577">
        <f>Q622*$E622</f>
        <v>0</v>
      </c>
      <c r="S622" s="578"/>
      <c r="T622" s="576">
        <f>S622*$E622</f>
        <v>0</v>
      </c>
      <c r="U622" s="576"/>
      <c r="V622" s="576">
        <f>U622*$E622</f>
        <v>0</v>
      </c>
      <c r="W622" s="576"/>
      <c r="X622" s="576">
        <f>W622*$E622</f>
        <v>0</v>
      </c>
      <c r="Y622" s="576"/>
      <c r="Z622" s="576">
        <f>Y622*$E622</f>
        <v>0</v>
      </c>
      <c r="AA622" s="576"/>
      <c r="AB622" s="576">
        <f>AA622*$E622</f>
        <v>0</v>
      </c>
      <c r="AC622" s="576"/>
      <c r="AD622" s="579">
        <f>AC622*$E622</f>
        <v>0</v>
      </c>
      <c r="AE622" s="580">
        <f>AC622+AA622+Y622+W622+U622+S622+Q622+O622+M622+K622+I622+G622</f>
        <v>1</v>
      </c>
      <c r="AF622" s="576">
        <f t="shared" si="714"/>
        <v>3263.42</v>
      </c>
      <c r="AG622" s="576">
        <f>D622-AE622</f>
        <v>0</v>
      </c>
      <c r="AH622" s="579">
        <f>AG622*E622</f>
        <v>0</v>
      </c>
      <c r="AK622" s="617">
        <f t="shared" si="673"/>
        <v>0</v>
      </c>
    </row>
    <row r="623" spans="1:37" ht="30">
      <c r="A623" s="570" t="s">
        <v>27202</v>
      </c>
      <c r="B623" s="571" t="str">
        <f>PLANILHA!D620</f>
        <v xml:space="preserve"> VIGA SUPORTE METALICO PARA ELEVADOR, FORNECIMENTO E INSTALAÇÃO.</v>
      </c>
      <c r="C623" s="572" t="str">
        <f>PLANILHA!E620</f>
        <v>UND</v>
      </c>
      <c r="D623" s="573">
        <f>PLANILHA!F620</f>
        <v>1</v>
      </c>
      <c r="E623" s="573">
        <f t="shared" si="700"/>
        <v>2854.95</v>
      </c>
      <c r="F623" s="574">
        <f t="shared" si="699"/>
        <v>2854.95</v>
      </c>
      <c r="G623" s="580"/>
      <c r="H623" s="576">
        <f>G623*$E623</f>
        <v>0</v>
      </c>
      <c r="I623" s="576">
        <f>D623</f>
        <v>1</v>
      </c>
      <c r="J623" s="576">
        <f t="shared" si="702"/>
        <v>2854.95</v>
      </c>
      <c r="K623" s="576"/>
      <c r="L623" s="576">
        <f>K623*$E623</f>
        <v>0</v>
      </c>
      <c r="M623" s="576"/>
      <c r="N623" s="576">
        <f>M623*$E623</f>
        <v>0</v>
      </c>
      <c r="O623" s="576"/>
      <c r="P623" s="576">
        <f>O623*$E623</f>
        <v>0</v>
      </c>
      <c r="Q623" s="576"/>
      <c r="R623" s="577">
        <f>Q623*$E623</f>
        <v>0</v>
      </c>
      <c r="S623" s="578"/>
      <c r="T623" s="576">
        <f>S623*$E623</f>
        <v>0</v>
      </c>
      <c r="U623" s="576"/>
      <c r="V623" s="576">
        <f>U623*$E623</f>
        <v>0</v>
      </c>
      <c r="W623" s="576"/>
      <c r="X623" s="576">
        <f>W623*$E623</f>
        <v>0</v>
      </c>
      <c r="Y623" s="576"/>
      <c r="Z623" s="576">
        <f>Y623*$E623</f>
        <v>0</v>
      </c>
      <c r="AA623" s="576"/>
      <c r="AB623" s="576">
        <f>AA623*$E623</f>
        <v>0</v>
      </c>
      <c r="AC623" s="576"/>
      <c r="AD623" s="579">
        <f>AC623*$E623</f>
        <v>0</v>
      </c>
      <c r="AE623" s="580">
        <f>AC623+AA623+Y623+W623+U623+S623+Q623+O623+M623+K623+I623+G623</f>
        <v>1</v>
      </c>
      <c r="AF623" s="576">
        <f t="shared" si="714"/>
        <v>2854.95</v>
      </c>
      <c r="AG623" s="576">
        <f>D623-AE623</f>
        <v>0</v>
      </c>
      <c r="AH623" s="579">
        <f>AG623*E623</f>
        <v>0</v>
      </c>
      <c r="AK623" s="617">
        <f t="shared" si="673"/>
        <v>0</v>
      </c>
    </row>
    <row r="624" spans="1:37" s="569" customFormat="1">
      <c r="A624" s="581" t="s">
        <v>27251</v>
      </c>
      <c r="B624" s="582"/>
      <c r="C624" s="583"/>
      <c r="D624" s="584"/>
      <c r="E624" s="584"/>
      <c r="F624" s="584">
        <f>SUM(F615:F623)</f>
        <v>65451.609999999993</v>
      </c>
      <c r="G624" s="586"/>
      <c r="H624" s="584">
        <f>SUM(H615:H623)</f>
        <v>0</v>
      </c>
      <c r="I624" s="584"/>
      <c r="J624" s="584">
        <f>SUM(J615:J623)</f>
        <v>65451.609999999993</v>
      </c>
      <c r="K624" s="584"/>
      <c r="L624" s="584">
        <f>SUM(L615:L623)</f>
        <v>0</v>
      </c>
      <c r="M624" s="584"/>
      <c r="N624" s="584">
        <f>SUM(N615:N623)</f>
        <v>0</v>
      </c>
      <c r="O624" s="584"/>
      <c r="P624" s="584">
        <f>SUM(P615:P623)</f>
        <v>0</v>
      </c>
      <c r="Q624" s="584"/>
      <c r="R624" s="584">
        <f>SUM(R615:R623)</f>
        <v>0</v>
      </c>
      <c r="S624" s="588"/>
      <c r="T624" s="584">
        <f>SUM(T615:T623)</f>
        <v>0</v>
      </c>
      <c r="U624" s="584"/>
      <c r="V624" s="584">
        <f>SUM(V615:V623)</f>
        <v>0</v>
      </c>
      <c r="W624" s="584"/>
      <c r="X624" s="584">
        <f>SUM(X615:X623)</f>
        <v>0</v>
      </c>
      <c r="Y624" s="584"/>
      <c r="Z624" s="584">
        <f>SUM(Z615:Z623)</f>
        <v>0</v>
      </c>
      <c r="AA624" s="584"/>
      <c r="AB624" s="584">
        <f>SUM(AB615:AB623)</f>
        <v>0</v>
      </c>
      <c r="AC624" s="584"/>
      <c r="AD624" s="584">
        <f>SUM(AD615:AD623)</f>
        <v>0</v>
      </c>
      <c r="AE624" s="590"/>
      <c r="AF624" s="584">
        <f>SUM(AF615:AF623)</f>
        <v>65451.609999999993</v>
      </c>
      <c r="AG624" s="591"/>
      <c r="AH624" s="584">
        <f>SUM(AH615:AH623)</f>
        <v>0</v>
      </c>
      <c r="AI624" s="568"/>
      <c r="AK624" s="617">
        <f t="shared" si="673"/>
        <v>0</v>
      </c>
    </row>
    <row r="625" spans="1:37">
      <c r="A625" s="570"/>
      <c r="B625" s="571"/>
      <c r="C625" s="572"/>
      <c r="D625" s="573"/>
      <c r="E625" s="573"/>
      <c r="F625" s="574"/>
      <c r="G625" s="580"/>
      <c r="H625" s="576"/>
      <c r="I625" s="576"/>
      <c r="J625" s="576"/>
      <c r="K625" s="576"/>
      <c r="L625" s="576"/>
      <c r="M625" s="576"/>
      <c r="N625" s="576"/>
      <c r="O625" s="576"/>
      <c r="P625" s="576"/>
      <c r="Q625" s="576"/>
      <c r="R625" s="577"/>
      <c r="S625" s="578"/>
      <c r="T625" s="576"/>
      <c r="U625" s="576"/>
      <c r="V625" s="576"/>
      <c r="W625" s="576"/>
      <c r="X625" s="576"/>
      <c r="Y625" s="576"/>
      <c r="Z625" s="576"/>
      <c r="AA625" s="576"/>
      <c r="AB625" s="576"/>
      <c r="AC625" s="576"/>
      <c r="AD625" s="579"/>
      <c r="AE625" s="580"/>
      <c r="AF625" s="576"/>
      <c r="AG625" s="576"/>
      <c r="AH625" s="579"/>
      <c r="AK625" s="617">
        <f t="shared" si="673"/>
        <v>0</v>
      </c>
    </row>
    <row r="626" spans="1:37" s="569" customFormat="1">
      <c r="A626" s="592" t="s">
        <v>14153</v>
      </c>
      <c r="B626" s="593" t="str">
        <f>PLANILHA!D623</f>
        <v>ALVENARIA E FECHAMENTO</v>
      </c>
      <c r="C626" s="594"/>
      <c r="D626" s="589"/>
      <c r="E626" s="589"/>
      <c r="F626" s="595">
        <f t="shared" ref="F626:F629" si="718">VLOOKUP(A626,PLANILHA,$G$6,0)</f>
        <v>0</v>
      </c>
      <c r="G626" s="596"/>
      <c r="H626" s="597"/>
      <c r="I626" s="597"/>
      <c r="J626" s="597"/>
      <c r="K626" s="597"/>
      <c r="L626" s="597"/>
      <c r="M626" s="597"/>
      <c r="N626" s="597"/>
      <c r="O626" s="597"/>
      <c r="P626" s="597"/>
      <c r="Q626" s="597"/>
      <c r="R626" s="598"/>
      <c r="S626" s="599"/>
      <c r="T626" s="597"/>
      <c r="U626" s="597"/>
      <c r="V626" s="597"/>
      <c r="W626" s="597"/>
      <c r="X626" s="597"/>
      <c r="Y626" s="597"/>
      <c r="Z626" s="597"/>
      <c r="AA626" s="597"/>
      <c r="AB626" s="597"/>
      <c r="AC626" s="597"/>
      <c r="AD626" s="600"/>
      <c r="AE626" s="596"/>
      <c r="AF626" s="597"/>
      <c r="AG626" s="597"/>
      <c r="AH626" s="600"/>
      <c r="AI626" s="568"/>
      <c r="AK626" s="617">
        <f t="shared" si="673"/>
        <v>0</v>
      </c>
    </row>
    <row r="627" spans="1:37" ht="45">
      <c r="A627" s="570" t="s">
        <v>14154</v>
      </c>
      <c r="B627" s="571" t="str">
        <f>PLANILHA!D624</f>
        <v>ALVENARIA DE VEDAÇÃO DE BLOCOS CERÂMICOS FURADOS NA HORIZONTAL DE 9X19X19 CM (ESPESSURA 9 CM) E ARGAMASSA DE ASSENTAMENTO COM PREPARO EM BETONEIRA. AF_12/2021</v>
      </c>
      <c r="C627" s="572" t="str">
        <f>PLANILHA!E624</f>
        <v>M2</v>
      </c>
      <c r="D627" s="573">
        <f>PLANILHA!F624</f>
        <v>22.95</v>
      </c>
      <c r="E627" s="573">
        <f>VLOOKUP(A627,PLANILHA,$G$7,0)</f>
        <v>96.44</v>
      </c>
      <c r="F627" s="574">
        <f t="shared" si="718"/>
        <v>2213.29</v>
      </c>
      <c r="G627" s="580"/>
      <c r="H627" s="576">
        <f>G627*$E627</f>
        <v>0</v>
      </c>
      <c r="I627" s="576"/>
      <c r="J627" s="576">
        <f>I627*$E627</f>
        <v>0</v>
      </c>
      <c r="K627" s="576">
        <f>D627</f>
        <v>22.95</v>
      </c>
      <c r="L627" s="576">
        <f>TRUNC(K627*$E627,2)</f>
        <v>2213.29</v>
      </c>
      <c r="M627" s="576"/>
      <c r="N627" s="576">
        <f>M627*$E627</f>
        <v>0</v>
      </c>
      <c r="O627" s="576"/>
      <c r="P627" s="576">
        <f>O627*$E627</f>
        <v>0</v>
      </c>
      <c r="Q627" s="576"/>
      <c r="R627" s="577">
        <f>Q627*$E627</f>
        <v>0</v>
      </c>
      <c r="S627" s="578"/>
      <c r="T627" s="576">
        <f>S627*$E627</f>
        <v>0</v>
      </c>
      <c r="U627" s="576"/>
      <c r="V627" s="576">
        <f>U627*$E627</f>
        <v>0</v>
      </c>
      <c r="W627" s="576"/>
      <c r="X627" s="576">
        <f>W627*$E627</f>
        <v>0</v>
      </c>
      <c r="Y627" s="576"/>
      <c r="Z627" s="576">
        <f>Y627*$E627</f>
        <v>0</v>
      </c>
      <c r="AA627" s="576"/>
      <c r="AB627" s="576">
        <f>AA627*$E627</f>
        <v>0</v>
      </c>
      <c r="AC627" s="576"/>
      <c r="AD627" s="579">
        <f>AC627*$E627</f>
        <v>0</v>
      </c>
      <c r="AE627" s="580">
        <f>AC627+AA627+Y627+W627+U627+S627+Q627+O627+M627+K627+I627+G627</f>
        <v>22.95</v>
      </c>
      <c r="AF627" s="576">
        <f t="shared" ref="AF627:AF629" si="719">TRUNC(AE627*E627,2)</f>
        <v>2213.29</v>
      </c>
      <c r="AG627" s="576">
        <f>D627-AE627</f>
        <v>0</v>
      </c>
      <c r="AH627" s="579">
        <f>AG627*E627</f>
        <v>0</v>
      </c>
      <c r="AK627" s="617">
        <f t="shared" si="673"/>
        <v>0</v>
      </c>
    </row>
    <row r="628" spans="1:37" ht="45">
      <c r="A628" s="570" t="s">
        <v>14155</v>
      </c>
      <c r="B628" s="571" t="str">
        <f>PLANILHA!D625</f>
        <v>CHAPISCO APLICADO EM ALVENARIA (SEM PRESENÇA DE VÃOS) E ESTRUTURAS DE CONCRETO DE FACHADA, COM COLHER DE PEDREIRO.  ARGAMASSA TRAÇO 1:3 COM PREPARO MANUAL. AF_06/2014</v>
      </c>
      <c r="C628" s="572" t="str">
        <f>PLANILHA!E625</f>
        <v>M2</v>
      </c>
      <c r="D628" s="573">
        <f>PLANILHA!F625</f>
        <v>144</v>
      </c>
      <c r="E628" s="573">
        <f>VLOOKUP(A628,PLANILHA,$G$7,0)</f>
        <v>7.38</v>
      </c>
      <c r="F628" s="574">
        <f t="shared" si="718"/>
        <v>1062.72</v>
      </c>
      <c r="G628" s="580"/>
      <c r="H628" s="576">
        <f>G628*$E628</f>
        <v>0</v>
      </c>
      <c r="I628" s="576"/>
      <c r="J628" s="576">
        <f>I628*$E628</f>
        <v>0</v>
      </c>
      <c r="K628" s="576">
        <f>D628</f>
        <v>144</v>
      </c>
      <c r="L628" s="576">
        <f t="shared" ref="L628:L629" si="720">TRUNC(K628*$E628,2)</f>
        <v>1062.72</v>
      </c>
      <c r="M628" s="576"/>
      <c r="N628" s="576">
        <f>M628*$E628</f>
        <v>0</v>
      </c>
      <c r="O628" s="576"/>
      <c r="P628" s="576">
        <f>O628*$E628</f>
        <v>0</v>
      </c>
      <c r="Q628" s="576"/>
      <c r="R628" s="577">
        <f>Q628*$E628</f>
        <v>0</v>
      </c>
      <c r="S628" s="578"/>
      <c r="T628" s="576">
        <f>S628*$E628</f>
        <v>0</v>
      </c>
      <c r="U628" s="576"/>
      <c r="V628" s="576">
        <f>U628*$E628</f>
        <v>0</v>
      </c>
      <c r="W628" s="576"/>
      <c r="X628" s="576">
        <f>W628*$E628</f>
        <v>0</v>
      </c>
      <c r="Y628" s="576"/>
      <c r="Z628" s="576">
        <f>Y628*$E628</f>
        <v>0</v>
      </c>
      <c r="AA628" s="576"/>
      <c r="AB628" s="576">
        <f>AA628*$E628</f>
        <v>0</v>
      </c>
      <c r="AC628" s="576"/>
      <c r="AD628" s="579">
        <f>AC628*$E628</f>
        <v>0</v>
      </c>
      <c r="AE628" s="580">
        <f>AC628+AA628+Y628+W628+U628+S628+Q628+O628+M628+K628+I628+G628</f>
        <v>144</v>
      </c>
      <c r="AF628" s="576">
        <f t="shared" si="719"/>
        <v>1062.72</v>
      </c>
      <c r="AG628" s="576">
        <f>D628-AE628</f>
        <v>0</v>
      </c>
      <c r="AH628" s="579">
        <f>AG628*E628</f>
        <v>0</v>
      </c>
      <c r="AK628" s="617">
        <f t="shared" si="673"/>
        <v>0</v>
      </c>
    </row>
    <row r="629" spans="1:37" ht="75">
      <c r="A629" s="570" t="s">
        <v>14156</v>
      </c>
      <c r="B629" s="571" t="str">
        <f>PLANILHA!D626</f>
        <v>MASSA ÚNICA, PARA RECEBIMENTO DE PINTURA OU CERÂMICA, ARGAMASSA INDUSTRIALIZADA, PREPARO MECÂNICO, APLICADO COM EQUIPAMENTO DE MISTURA E PROJEÇÃO DE 1,5 M3/H EM FACES INTERNAS DE PAREDES, ESPESSURA DE 5MM, SEM EXECUÇÃO DE TALISCAS. AF_06/2014</v>
      </c>
      <c r="C629" s="572" t="str">
        <f>PLANILHA!E626</f>
        <v>M2</v>
      </c>
      <c r="D629" s="573">
        <f>PLANILHA!F626</f>
        <v>144</v>
      </c>
      <c r="E629" s="573">
        <f>VLOOKUP(A629,PLANILHA,$G$7,0)</f>
        <v>29.82</v>
      </c>
      <c r="F629" s="574">
        <f t="shared" si="718"/>
        <v>4294.08</v>
      </c>
      <c r="G629" s="580"/>
      <c r="H629" s="576">
        <f>G629*$E629</f>
        <v>0</v>
      </c>
      <c r="I629" s="576"/>
      <c r="J629" s="576">
        <f>I629*$E629</f>
        <v>0</v>
      </c>
      <c r="K629" s="576">
        <f>D629</f>
        <v>144</v>
      </c>
      <c r="L629" s="576">
        <f t="shared" si="720"/>
        <v>4294.08</v>
      </c>
      <c r="M629" s="576"/>
      <c r="N629" s="576">
        <f>M629*$E629</f>
        <v>0</v>
      </c>
      <c r="O629" s="576"/>
      <c r="P629" s="576">
        <f>O629*$E629</f>
        <v>0</v>
      </c>
      <c r="Q629" s="576"/>
      <c r="R629" s="577">
        <f>Q629*$E629</f>
        <v>0</v>
      </c>
      <c r="S629" s="578"/>
      <c r="T629" s="576">
        <f>S629*$E629</f>
        <v>0</v>
      </c>
      <c r="U629" s="576"/>
      <c r="V629" s="576">
        <f>U629*$E629</f>
        <v>0</v>
      </c>
      <c r="W629" s="576"/>
      <c r="X629" s="576">
        <f>W629*$E629</f>
        <v>0</v>
      </c>
      <c r="Y629" s="576"/>
      <c r="Z629" s="576">
        <f>Y629*$E629</f>
        <v>0</v>
      </c>
      <c r="AA629" s="576"/>
      <c r="AB629" s="576">
        <f>AA629*$E629</f>
        <v>0</v>
      </c>
      <c r="AC629" s="576"/>
      <c r="AD629" s="579">
        <f>AC629*$E629</f>
        <v>0</v>
      </c>
      <c r="AE629" s="580">
        <f>AC629+AA629+Y629+W629+U629+S629+Q629+O629+M629+K629+I629+G629</f>
        <v>144</v>
      </c>
      <c r="AF629" s="576">
        <f t="shared" si="719"/>
        <v>4294.08</v>
      </c>
      <c r="AG629" s="576">
        <f>D629-AE629</f>
        <v>0</v>
      </c>
      <c r="AH629" s="579">
        <f>AG629*E629</f>
        <v>0</v>
      </c>
      <c r="AK629" s="617">
        <f t="shared" si="673"/>
        <v>0</v>
      </c>
    </row>
    <row r="630" spans="1:37" s="569" customFormat="1">
      <c r="A630" s="581" t="s">
        <v>27252</v>
      </c>
      <c r="B630" s="582"/>
      <c r="C630" s="583"/>
      <c r="D630" s="584"/>
      <c r="E630" s="584"/>
      <c r="F630" s="584">
        <f t="shared" ref="F630:AH630" si="721">SUM(F627:F629)</f>
        <v>7570.09</v>
      </c>
      <c r="G630" s="586"/>
      <c r="H630" s="584">
        <f t="shared" si="721"/>
        <v>0</v>
      </c>
      <c r="I630" s="584"/>
      <c r="J630" s="584">
        <f t="shared" si="721"/>
        <v>0</v>
      </c>
      <c r="K630" s="584"/>
      <c r="L630" s="584">
        <f t="shared" si="721"/>
        <v>7570.09</v>
      </c>
      <c r="M630" s="584"/>
      <c r="N630" s="584">
        <f t="shared" si="721"/>
        <v>0</v>
      </c>
      <c r="O630" s="584"/>
      <c r="P630" s="584">
        <f t="shared" si="721"/>
        <v>0</v>
      </c>
      <c r="Q630" s="584"/>
      <c r="R630" s="587">
        <f t="shared" si="721"/>
        <v>0</v>
      </c>
      <c r="S630" s="588"/>
      <c r="T630" s="584">
        <f t="shared" si="721"/>
        <v>0</v>
      </c>
      <c r="U630" s="584"/>
      <c r="V630" s="584">
        <f t="shared" si="721"/>
        <v>0</v>
      </c>
      <c r="W630" s="584"/>
      <c r="X630" s="584">
        <f t="shared" si="721"/>
        <v>0</v>
      </c>
      <c r="Y630" s="584"/>
      <c r="Z630" s="584">
        <f t="shared" si="721"/>
        <v>0</v>
      </c>
      <c r="AA630" s="584"/>
      <c r="AB630" s="584">
        <f t="shared" si="721"/>
        <v>0</v>
      </c>
      <c r="AC630" s="584"/>
      <c r="AD630" s="585">
        <f t="shared" si="721"/>
        <v>0</v>
      </c>
      <c r="AE630" s="590"/>
      <c r="AF630" s="584">
        <f>SUM(AF627:AF629)</f>
        <v>7570.09</v>
      </c>
      <c r="AG630" s="591"/>
      <c r="AH630" s="585">
        <f t="shared" si="721"/>
        <v>0</v>
      </c>
      <c r="AI630" s="568"/>
      <c r="AK630" s="617">
        <f t="shared" si="673"/>
        <v>0</v>
      </c>
    </row>
    <row r="631" spans="1:37" s="569" customFormat="1">
      <c r="A631" s="581" t="s">
        <v>14623</v>
      </c>
      <c r="B631" s="582"/>
      <c r="C631" s="583"/>
      <c r="D631" s="584"/>
      <c r="E631" s="584"/>
      <c r="F631" s="584">
        <f>SUM(F598:F630)/2</f>
        <v>86862.659999999989</v>
      </c>
      <c r="G631" s="586"/>
      <c r="H631" s="584">
        <f>SUM(H598:H630)/2</f>
        <v>13840.960000000001</v>
      </c>
      <c r="I631" s="584"/>
      <c r="J631" s="584">
        <f>SUM(J598:J630)/2</f>
        <v>65451.609999999993</v>
      </c>
      <c r="K631" s="584"/>
      <c r="L631" s="584">
        <f>SUM(L598:L630)/2</f>
        <v>7570.09</v>
      </c>
      <c r="M631" s="584"/>
      <c r="N631" s="584">
        <f>SUM(N598:N630)/2</f>
        <v>0</v>
      </c>
      <c r="O631" s="584"/>
      <c r="P631" s="584">
        <f>SUM(P598:P630)/2</f>
        <v>0</v>
      </c>
      <c r="Q631" s="584"/>
      <c r="R631" s="587">
        <f>SUM(R598:R630)/2</f>
        <v>0</v>
      </c>
      <c r="S631" s="588"/>
      <c r="T631" s="584">
        <f>SUM(T598:T630)/2</f>
        <v>0</v>
      </c>
      <c r="U631" s="584"/>
      <c r="V631" s="584">
        <f>SUM(V598:V630)/2</f>
        <v>0</v>
      </c>
      <c r="W631" s="584"/>
      <c r="X631" s="584">
        <f>SUM(X598:X630)/2</f>
        <v>0</v>
      </c>
      <c r="Y631" s="584"/>
      <c r="Z631" s="584">
        <f>SUM(Z598:Z630)/2</f>
        <v>0</v>
      </c>
      <c r="AA631" s="584"/>
      <c r="AB631" s="584">
        <f>SUM(AB598:AB630)/2</f>
        <v>0</v>
      </c>
      <c r="AC631" s="584"/>
      <c r="AD631" s="585">
        <f>SUM(AD598:AD630)/2</f>
        <v>0</v>
      </c>
      <c r="AE631" s="590"/>
      <c r="AF631" s="584">
        <f>SUM(AF598:AF630)/2</f>
        <v>86862.659999999989</v>
      </c>
      <c r="AG631" s="591"/>
      <c r="AH631" s="585">
        <f>SUM(AH598:AH630)/2</f>
        <v>0</v>
      </c>
      <c r="AI631" s="568"/>
      <c r="AK631" s="617">
        <f t="shared" si="673"/>
        <v>0</v>
      </c>
    </row>
    <row r="632" spans="1:37">
      <c r="A632" s="570"/>
      <c r="B632" s="571"/>
      <c r="C632" s="572"/>
      <c r="D632" s="573"/>
      <c r="E632" s="573"/>
      <c r="F632" s="574"/>
      <c r="G632" s="580"/>
      <c r="H632" s="573"/>
      <c r="I632" s="576"/>
      <c r="J632" s="573"/>
      <c r="K632" s="576"/>
      <c r="L632" s="573"/>
      <c r="M632" s="576"/>
      <c r="N632" s="573"/>
      <c r="O632" s="576"/>
      <c r="P632" s="573"/>
      <c r="Q632" s="576"/>
      <c r="R632" s="602"/>
      <c r="S632" s="578"/>
      <c r="T632" s="573"/>
      <c r="U632" s="576"/>
      <c r="V632" s="573"/>
      <c r="W632" s="576"/>
      <c r="X632" s="573"/>
      <c r="Y632" s="576"/>
      <c r="Z632" s="573"/>
      <c r="AA632" s="576"/>
      <c r="AB632" s="573"/>
      <c r="AC632" s="576"/>
      <c r="AD632" s="574"/>
      <c r="AE632" s="580"/>
      <c r="AF632" s="573"/>
      <c r="AG632" s="576"/>
      <c r="AH632" s="574"/>
      <c r="AK632" s="617">
        <f t="shared" si="673"/>
        <v>0</v>
      </c>
    </row>
    <row r="633" spans="1:37" s="569" customFormat="1" ht="15.75" thickBot="1">
      <c r="A633" s="619" t="s">
        <v>14598</v>
      </c>
      <c r="B633" s="620"/>
      <c r="C633" s="621"/>
      <c r="D633" s="622"/>
      <c r="E633" s="622"/>
      <c r="F633" s="622">
        <f>F631+F593+F568+F559+F489+F453+F421+F401+F390+F367+F255+F174+F137+F95+F24+F20</f>
        <v>2824037.77</v>
      </c>
      <c r="G633" s="623"/>
      <c r="H633" s="622">
        <f>H631+H593+H568+H559+H489+H453+H421+H401+H390+H367+H255+H174+H137+H95+H24+H20</f>
        <v>374170.53</v>
      </c>
      <c r="I633" s="622"/>
      <c r="J633" s="622">
        <f>J631+J593+J568+J559+J489+J453+J421+J401+J390+J367+J255+J174+J137+J95+J24+J20</f>
        <v>364637.51999999996</v>
      </c>
      <c r="K633" s="622"/>
      <c r="L633" s="622">
        <f>L631+L593+L568+L559+L489+L453+L421+L401+L390+L367+L255+L174+L137+L95+L24+L20</f>
        <v>171385.40999999997</v>
      </c>
      <c r="M633" s="622"/>
      <c r="N633" s="622">
        <f>N631+N593+N568+N559+N489+N453+N421+N401+N390+N367+N255+N174+N137+N95+N24+N20</f>
        <v>372693.64999999979</v>
      </c>
      <c r="O633" s="622"/>
      <c r="P633" s="622">
        <f>P631+P593+P568+P559+P489+P453+P421+P401+P390+P367+P255+P174+P137+P95+P24+P20</f>
        <v>207136.52999999997</v>
      </c>
      <c r="Q633" s="622"/>
      <c r="R633" s="624">
        <f>R631+R593+R568+R559+R489+R453+R421+R401+R390+R367+R255+R174+R137+R95+R24+R20</f>
        <v>210714.90999999997</v>
      </c>
      <c r="S633" s="625"/>
      <c r="T633" s="622">
        <f>T631+T593+T568+T559+T489+T453+T421+T401+T390+T367+T255+T174+T137+T95+T24+T20</f>
        <v>215613.22999999998</v>
      </c>
      <c r="U633" s="622"/>
      <c r="V633" s="622">
        <f>V631+V593+V568+V559+V489+V453+V421+V401+V390+V367+V255+V174+V137+V95+V24+V20</f>
        <v>144922.87</v>
      </c>
      <c r="W633" s="622"/>
      <c r="X633" s="622">
        <f>X631+X593+X568+X559+X489+X453+X421+X401+X390+X367+X255+X174+X137+X95+X24+X20</f>
        <v>188085.02000000002</v>
      </c>
      <c r="Y633" s="622"/>
      <c r="Z633" s="622">
        <f>Z631+Z593+Z568+Z559+Z489+Z453+Z421+Z401+Z390+Z367+Z255+Z174+Z137+Z95+Z24+Z20</f>
        <v>315791.92</v>
      </c>
      <c r="AA633" s="622"/>
      <c r="AB633" s="622">
        <f>AB631+AB593+AB568+AB559+AB489+AB453+AB421+AB401+AB390+AB367+AB255+AB174+AB137+AB95+AB24+AB20</f>
        <v>224515.26</v>
      </c>
      <c r="AC633" s="622"/>
      <c r="AD633" s="626">
        <f>AD631+AD593+AD568+AD559+AD489+AD453+AD421+AD401+AD390+AD367+AD255+AD174+AD137+AD95+AD24+AD20</f>
        <v>34370.89</v>
      </c>
      <c r="AE633" s="627"/>
      <c r="AF633" s="626">
        <f>AF631+AF593+AF568+AF559+AF489+AF453+AF421+AF401+AF390+AF367+AF255+AF174+AF137+AF95+AF24+AF20</f>
        <v>2824037.7649999997</v>
      </c>
      <c r="AG633" s="628"/>
      <c r="AH633" s="626">
        <f>AH631+AH593+AH568+AH559+AH489+AH453+AH421+AH401+AH390+AH367+AH255+AH174+AH137+AH95+AH24+AH20</f>
        <v>0</v>
      </c>
      <c r="AI633" s="568"/>
      <c r="AK633" s="617">
        <f t="shared" si="673"/>
        <v>5.0000003539025784E-3</v>
      </c>
    </row>
    <row r="634" spans="1:37">
      <c r="B634" s="629"/>
    </row>
    <row r="635" spans="1:37">
      <c r="B635" s="629"/>
    </row>
    <row r="636" spans="1:37">
      <c r="B636" s="629"/>
    </row>
    <row r="637" spans="1:37">
      <c r="B637" s="629"/>
    </row>
    <row r="638" spans="1:37">
      <c r="B638" s="630"/>
      <c r="AF638" s="171">
        <f>F633-AF633</f>
        <v>5.0000003539025784E-3</v>
      </c>
    </row>
    <row r="639" spans="1:37">
      <c r="B639" s="630"/>
      <c r="F639" s="549">
        <f>RESUMO!C94</f>
        <v>2824037.77</v>
      </c>
    </row>
    <row r="640" spans="1:37">
      <c r="B640" s="630"/>
    </row>
    <row r="641" spans="2:2">
      <c r="B641" s="630"/>
    </row>
    <row r="642" spans="2:2">
      <c r="B642" s="629"/>
    </row>
    <row r="643" spans="2:2">
      <c r="B643" s="630"/>
    </row>
    <row r="644" spans="2:2">
      <c r="B644" s="630"/>
    </row>
    <row r="645" spans="2:2">
      <c r="B645" s="630"/>
    </row>
    <row r="646" spans="2:2">
      <c r="B646" s="630"/>
    </row>
    <row r="647" spans="2:2">
      <c r="B647" s="630"/>
    </row>
    <row r="648" spans="2:2">
      <c r="B648" s="630"/>
    </row>
    <row r="649" spans="2:2">
      <c r="B649" s="630"/>
    </row>
    <row r="650" spans="2:2">
      <c r="B650" s="630"/>
    </row>
    <row r="651" spans="2:2">
      <c r="B651" s="630"/>
    </row>
    <row r="652" spans="2:2">
      <c r="B652" s="630"/>
    </row>
    <row r="653" spans="2:2">
      <c r="B653" s="630"/>
    </row>
    <row r="654" spans="2:2">
      <c r="B654" s="630"/>
    </row>
    <row r="655" spans="2:2">
      <c r="B655" s="630"/>
    </row>
    <row r="656" spans="2:2">
      <c r="B656" s="630"/>
    </row>
    <row r="657" spans="2:2">
      <c r="B657" s="630"/>
    </row>
    <row r="658" spans="2:2">
      <c r="B658" s="630"/>
    </row>
    <row r="659" spans="2:2">
      <c r="B659" s="630"/>
    </row>
    <row r="660" spans="2:2">
      <c r="B660" s="629"/>
    </row>
    <row r="661" spans="2:2">
      <c r="B661" s="629"/>
    </row>
    <row r="662" spans="2:2">
      <c r="B662" s="629"/>
    </row>
    <row r="663" spans="2:2">
      <c r="B663" s="629"/>
    </row>
    <row r="664" spans="2:2">
      <c r="B664" s="629"/>
    </row>
    <row r="665" spans="2:2">
      <c r="B665" s="629"/>
    </row>
    <row r="666" spans="2:2">
      <c r="B666" s="629"/>
    </row>
    <row r="667" spans="2:2">
      <c r="B667" s="629"/>
    </row>
    <row r="668" spans="2:2">
      <c r="B668" s="629"/>
    </row>
    <row r="669" spans="2:2">
      <c r="B669" s="629"/>
    </row>
    <row r="670" spans="2:2">
      <c r="B670" s="629"/>
    </row>
    <row r="671" spans="2:2">
      <c r="B671" s="629"/>
    </row>
    <row r="672" spans="2:2">
      <c r="B672" s="629"/>
    </row>
    <row r="673" spans="2:2">
      <c r="B673" s="629"/>
    </row>
    <row r="674" spans="2:2">
      <c r="B674" s="629"/>
    </row>
    <row r="675" spans="2:2">
      <c r="B675" s="629"/>
    </row>
    <row r="676" spans="2:2">
      <c r="B676" s="629"/>
    </row>
    <row r="677" spans="2:2">
      <c r="B677" s="629"/>
    </row>
    <row r="678" spans="2:2">
      <c r="B678" s="629"/>
    </row>
    <row r="679" spans="2:2">
      <c r="B679" s="629"/>
    </row>
    <row r="680" spans="2:2">
      <c r="B680" s="629"/>
    </row>
    <row r="681" spans="2:2">
      <c r="B681" s="629"/>
    </row>
    <row r="682" spans="2:2">
      <c r="B682" s="629"/>
    </row>
    <row r="683" spans="2:2">
      <c r="B683" s="629"/>
    </row>
    <row r="684" spans="2:2">
      <c r="B684" s="629"/>
    </row>
    <row r="685" spans="2:2">
      <c r="B685" s="629"/>
    </row>
    <row r="686" spans="2:2">
      <c r="B686" s="629"/>
    </row>
    <row r="687" spans="2:2">
      <c r="B687" s="629"/>
    </row>
    <row r="688" spans="2:2">
      <c r="B688" s="629"/>
    </row>
    <row r="689" spans="2:2">
      <c r="B689" s="629"/>
    </row>
    <row r="690" spans="2:2">
      <c r="B690" s="629"/>
    </row>
    <row r="691" spans="2:2">
      <c r="B691" s="629"/>
    </row>
    <row r="692" spans="2:2">
      <c r="B692" s="629"/>
    </row>
    <row r="693" spans="2:2">
      <c r="B693" s="629"/>
    </row>
    <row r="694" spans="2:2">
      <c r="B694" s="629"/>
    </row>
    <row r="695" spans="2:2">
      <c r="B695" s="629"/>
    </row>
    <row r="696" spans="2:2">
      <c r="B696" s="629"/>
    </row>
    <row r="697" spans="2:2">
      <c r="B697" s="629"/>
    </row>
    <row r="698" spans="2:2">
      <c r="B698" s="629"/>
    </row>
    <row r="699" spans="2:2">
      <c r="B699" s="629"/>
    </row>
    <row r="700" spans="2:2">
      <c r="B700" s="629"/>
    </row>
    <row r="701" spans="2:2">
      <c r="B701" s="629"/>
    </row>
    <row r="702" spans="2:2">
      <c r="B702" s="629"/>
    </row>
    <row r="703" spans="2:2">
      <c r="B703" s="629"/>
    </row>
    <row r="704" spans="2:2">
      <c r="B704" s="629"/>
    </row>
    <row r="705" spans="2:2">
      <c r="B705" s="629"/>
    </row>
    <row r="706" spans="2:2">
      <c r="B706" s="629"/>
    </row>
    <row r="707" spans="2:2">
      <c r="B707" s="629"/>
    </row>
    <row r="708" spans="2:2">
      <c r="B708" s="629"/>
    </row>
    <row r="709" spans="2:2">
      <c r="B709" s="629"/>
    </row>
    <row r="710" spans="2:2">
      <c r="B710" s="629"/>
    </row>
    <row r="711" spans="2:2">
      <c r="B711" s="629"/>
    </row>
    <row r="712" spans="2:2">
      <c r="B712" s="629"/>
    </row>
    <row r="713" spans="2:2">
      <c r="B713" s="629"/>
    </row>
    <row r="714" spans="2:2">
      <c r="B714" s="629"/>
    </row>
    <row r="715" spans="2:2">
      <c r="B715" s="629"/>
    </row>
    <row r="716" spans="2:2">
      <c r="B716" s="629"/>
    </row>
    <row r="717" spans="2:2">
      <c r="B717" s="629"/>
    </row>
    <row r="718" spans="2:2">
      <c r="B718" s="629"/>
    </row>
    <row r="719" spans="2:2">
      <c r="B719" s="629"/>
    </row>
    <row r="720" spans="2:2">
      <c r="B720" s="629"/>
    </row>
    <row r="721" spans="2:2">
      <c r="B721" s="629"/>
    </row>
    <row r="722" spans="2:2">
      <c r="B722" s="629"/>
    </row>
    <row r="723" spans="2:2">
      <c r="B723" s="629"/>
    </row>
    <row r="724" spans="2:2">
      <c r="B724" s="629"/>
    </row>
    <row r="725" spans="2:2">
      <c r="B725" s="629"/>
    </row>
    <row r="726" spans="2:2">
      <c r="B726" s="629"/>
    </row>
    <row r="727" spans="2:2">
      <c r="B727" s="629"/>
    </row>
    <row r="728" spans="2:2">
      <c r="B728" s="629"/>
    </row>
    <row r="729" spans="2:2">
      <c r="B729" s="629"/>
    </row>
    <row r="730" spans="2:2">
      <c r="B730" s="629"/>
    </row>
    <row r="731" spans="2:2">
      <c r="B731" s="629"/>
    </row>
    <row r="1118" spans="2:35" s="635" customFormat="1">
      <c r="B1118" s="545"/>
      <c r="C1118" s="631"/>
      <c r="D1118" s="632"/>
      <c r="E1118" s="632"/>
      <c r="F1118" s="632"/>
      <c r="G1118" s="633"/>
      <c r="H1118" s="633"/>
      <c r="I1118" s="633"/>
      <c r="J1118" s="633"/>
      <c r="K1118" s="633"/>
      <c r="L1118" s="633"/>
      <c r="M1118" s="633"/>
      <c r="N1118" s="633"/>
      <c r="O1118" s="633"/>
      <c r="P1118" s="633"/>
      <c r="Q1118" s="633"/>
      <c r="R1118" s="633"/>
      <c r="S1118" s="633"/>
      <c r="T1118" s="633"/>
      <c r="U1118" s="633"/>
      <c r="V1118" s="633"/>
      <c r="W1118" s="633"/>
      <c r="X1118" s="633"/>
      <c r="Y1118" s="633"/>
      <c r="Z1118" s="633"/>
      <c r="AA1118" s="633"/>
      <c r="AB1118" s="633"/>
      <c r="AC1118" s="633"/>
      <c r="AD1118" s="633"/>
      <c r="AE1118" s="633"/>
      <c r="AF1118" s="633"/>
      <c r="AG1118" s="633"/>
      <c r="AH1118" s="633"/>
      <c r="AI1118" s="634"/>
    </row>
    <row r="1660" spans="2:35" s="635" customFormat="1">
      <c r="B1660" s="545"/>
      <c r="C1660" s="631"/>
      <c r="D1660" s="632"/>
      <c r="E1660" s="632"/>
      <c r="F1660" s="632"/>
      <c r="G1660" s="633"/>
      <c r="H1660" s="633"/>
      <c r="I1660" s="633"/>
      <c r="J1660" s="633"/>
      <c r="K1660" s="633"/>
      <c r="L1660" s="633"/>
      <c r="M1660" s="633"/>
      <c r="N1660" s="633"/>
      <c r="O1660" s="633"/>
      <c r="P1660" s="633"/>
      <c r="Q1660" s="633"/>
      <c r="R1660" s="633"/>
      <c r="S1660" s="633"/>
      <c r="T1660" s="633"/>
      <c r="U1660" s="633"/>
      <c r="V1660" s="633"/>
      <c r="W1660" s="633"/>
      <c r="X1660" s="633"/>
      <c r="Y1660" s="633"/>
      <c r="Z1660" s="633"/>
      <c r="AA1660" s="633"/>
      <c r="AB1660" s="633"/>
      <c r="AC1660" s="633"/>
      <c r="AD1660" s="633"/>
      <c r="AE1660" s="633"/>
      <c r="AF1660" s="633"/>
      <c r="AG1660" s="633"/>
      <c r="AH1660" s="633"/>
      <c r="AI1660" s="634"/>
    </row>
    <row r="1661" spans="2:35" s="635" customFormat="1">
      <c r="B1661" s="545"/>
      <c r="C1661" s="631"/>
      <c r="D1661" s="632"/>
      <c r="E1661" s="632"/>
      <c r="F1661" s="632"/>
      <c r="G1661" s="633"/>
      <c r="H1661" s="633"/>
      <c r="I1661" s="633"/>
      <c r="J1661" s="633"/>
      <c r="K1661" s="633"/>
      <c r="L1661" s="633"/>
      <c r="M1661" s="633"/>
      <c r="N1661" s="633"/>
      <c r="O1661" s="633"/>
      <c r="P1661" s="633"/>
      <c r="Q1661" s="633"/>
      <c r="R1661" s="633"/>
      <c r="S1661" s="633"/>
      <c r="T1661" s="633"/>
      <c r="U1661" s="633"/>
      <c r="V1661" s="633"/>
      <c r="W1661" s="633"/>
      <c r="X1661" s="633"/>
      <c r="Y1661" s="633"/>
      <c r="Z1661" s="633"/>
      <c r="AA1661" s="633"/>
      <c r="AB1661" s="633"/>
      <c r="AC1661" s="633"/>
      <c r="AD1661" s="633"/>
      <c r="AE1661" s="633"/>
      <c r="AF1661" s="633"/>
      <c r="AG1661" s="633"/>
      <c r="AH1661" s="633"/>
      <c r="AI1661" s="634"/>
    </row>
  </sheetData>
  <sheetProtection password="CA35" sheet="1" formatCells="0" formatColumns="0" formatRows="0" insertColumns="0" insertRows="0" insertHyperlinks="0" deleteColumns="0" deleteRows="0" sort="0" autoFilter="0" pivotTables="0"/>
  <mergeCells count="22">
    <mergeCell ref="A1:AH1"/>
    <mergeCell ref="A2:AH2"/>
    <mergeCell ref="AG9:AH10"/>
    <mergeCell ref="G9:R9"/>
    <mergeCell ref="AE9:AF10"/>
    <mergeCell ref="S9:AD9"/>
    <mergeCell ref="AA10:AB10"/>
    <mergeCell ref="O10:P10"/>
    <mergeCell ref="Q10:R10"/>
    <mergeCell ref="S10:T10"/>
    <mergeCell ref="U10:V10"/>
    <mergeCell ref="W10:X10"/>
    <mergeCell ref="G10:H10"/>
    <mergeCell ref="Y10:Z10"/>
    <mergeCell ref="AC10:AD10"/>
    <mergeCell ref="B10:B11"/>
    <mergeCell ref="I10:J10"/>
    <mergeCell ref="K10:L10"/>
    <mergeCell ref="M10:N10"/>
    <mergeCell ref="A9:F9"/>
    <mergeCell ref="C10:F10"/>
    <mergeCell ref="A10:A11"/>
  </mergeCells>
  <dataValidations count="1">
    <dataValidation type="list" allowBlank="1" showInputMessage="1" showErrorMessage="1" sqref="F6">
      <formula1>"NÃO DESONERADO, DESONERADO"</formula1>
    </dataValidation>
  </dataValidations>
  <printOptions horizontalCentered="1"/>
  <pageMargins left="0.23622047244094491" right="0.43307086614173229" top="1.0236220472440944" bottom="1.5748031496062993" header="0.31496062992125984" footer="0.31496062992125984"/>
  <pageSetup paperSize="9" scale="19"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5" manualBreakCount="5">
    <brk id="194" max="33" man="1"/>
    <brk id="229" max="33" man="1"/>
    <brk id="507" max="33" man="1"/>
    <brk id="576" max="33" man="1"/>
    <brk id="590" max="33" man="1"/>
  </rowBreaks>
  <ignoredErrors>
    <ignoredError sqref="I579 I580:I585" 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636"/>
  <sheetViews>
    <sheetView showGridLines="0" view="pageBreakPreview" topLeftCell="C1" zoomScale="60" zoomScaleNormal="100" zoomScalePageLayoutView="25" workbookViewId="0">
      <selection activeCell="K214" sqref="K214"/>
    </sheetView>
  </sheetViews>
  <sheetFormatPr defaultRowHeight="15"/>
  <cols>
    <col min="1" max="1" width="8.85546875" style="531" bestFit="1" customWidth="1"/>
    <col min="2" max="2" width="68.85546875" style="532" bestFit="1" customWidth="1"/>
    <col min="3" max="3" width="21.28515625" style="531" customWidth="1"/>
    <col min="4" max="4" width="10" style="531" customWidth="1"/>
    <col min="5" max="5" width="14.42578125" style="531" bestFit="1" customWidth="1"/>
    <col min="6" max="6" width="9.5703125" style="531" bestFit="1" customWidth="1"/>
    <col min="7" max="7" width="14.42578125" style="531" bestFit="1" customWidth="1"/>
    <col min="8" max="8" width="8.7109375" style="539" bestFit="1" customWidth="1"/>
    <col min="9" max="9" width="15.42578125" style="531" bestFit="1" customWidth="1"/>
    <col min="10" max="10" width="9.5703125" style="539" bestFit="1" customWidth="1"/>
    <col min="11" max="11" width="15.85546875" style="531" bestFit="1" customWidth="1"/>
    <col min="12" max="12" width="9.5703125" style="539" bestFit="1" customWidth="1"/>
    <col min="13" max="13" width="15.85546875" style="531" bestFit="1" customWidth="1"/>
    <col min="14" max="14" width="9.5703125" style="531" bestFit="1" customWidth="1"/>
    <col min="15" max="15" width="15.85546875" style="531" bestFit="1" customWidth="1"/>
    <col min="16" max="16" width="9.5703125" style="531" bestFit="1" customWidth="1"/>
    <col min="17" max="17" width="16.28515625" style="531" bestFit="1" customWidth="1"/>
    <col min="18" max="18" width="9.5703125" style="531" bestFit="1" customWidth="1"/>
    <col min="19" max="19" width="16.42578125" style="531" bestFit="1" customWidth="1"/>
    <col min="20" max="20" width="8.7109375" style="531" bestFit="1" customWidth="1"/>
    <col min="21" max="21" width="16.5703125" style="531" bestFit="1" customWidth="1"/>
    <col min="22" max="22" width="9.5703125" style="531" bestFit="1" customWidth="1"/>
    <col min="23" max="23" width="16.42578125" style="531" bestFit="1" customWidth="1"/>
    <col min="24" max="24" width="10" style="531" bestFit="1" customWidth="1"/>
    <col min="25" max="25" width="15.85546875" style="531" bestFit="1" customWidth="1"/>
    <col min="26" max="26" width="10" style="531" bestFit="1" customWidth="1"/>
    <col min="27" max="27" width="15.85546875" style="531" bestFit="1" customWidth="1"/>
    <col min="28" max="28" width="10" style="531" bestFit="1" customWidth="1"/>
    <col min="29" max="29" width="17.85546875" style="531" bestFit="1" customWidth="1"/>
    <col min="30" max="30" width="12.5703125" style="531" bestFit="1" customWidth="1"/>
    <col min="31" max="16384" width="9.140625" style="480"/>
  </cols>
  <sheetData>
    <row r="1" spans="1:30" ht="15.75">
      <c r="A1" s="1451" t="str">
        <f>'MEM CAL'!A1</f>
        <v>GOVERNO DO ESTADO DE MATO GROSSO</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3"/>
    </row>
    <row r="2" spans="1:30" ht="15.75">
      <c r="A2" s="1454" t="str">
        <f>'MEM CAL'!A2</f>
        <v>SEPLAG - SECRETARIA DE ESTADO DE PLANEJAMENTO E GESTÃO/MT</v>
      </c>
      <c r="B2" s="1455"/>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6"/>
    </row>
    <row r="3" spans="1:30" ht="15.75" thickBot="1">
      <c r="A3" s="1457"/>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58"/>
    </row>
    <row r="4" spans="1:30">
      <c r="A4" s="481" t="str">
        <f>'MEM CAL'!A4</f>
        <v>OBRA:</v>
      </c>
      <c r="B4" s="1433" t="str">
        <f>'MEM CAL'!B4</f>
        <v>REFORMA DO PREDIO ESCOLA DO GOVERNO</v>
      </c>
      <c r="C4" s="1434"/>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59" t="str">
        <f>PLANILHA!K4</f>
        <v>BDI NÃO DESON</v>
      </c>
      <c r="AD4" s="1460"/>
    </row>
    <row r="5" spans="1:30" ht="15" customHeight="1">
      <c r="A5" s="482" t="str">
        <f>'MEM CAL'!A5</f>
        <v>LOCAL:</v>
      </c>
      <c r="B5" s="1435" t="str">
        <f>'MEM CAL'!B5</f>
        <v>CENTRO POLITICO ADMINISTRATIVO</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61"/>
      <c r="AD5" s="1462"/>
    </row>
    <row r="6" spans="1:30" ht="15" customHeight="1">
      <c r="A6" s="482" t="str">
        <f>'MEM CAL'!A6</f>
        <v>PROP:</v>
      </c>
      <c r="B6" s="1435" t="str">
        <f>'MEM CAL'!B6</f>
        <v>GOVERNO DO ESTADO DE MATO GROSSO</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63">
        <f>PLANILHA!K6</f>
        <v>0.22226164190779008</v>
      </c>
      <c r="AD6" s="1464"/>
    </row>
    <row r="7" spans="1:30" ht="15.75" thickBot="1">
      <c r="A7" s="483" t="str">
        <f>'MEM CAL'!A7</f>
        <v>END:</v>
      </c>
      <c r="B7" s="1437" t="str">
        <f>'MEM CAL'!B7</f>
        <v>RUA C, CENTRO POLÍTICO ADMINISTRATIVO, CUIABÁ – MT</v>
      </c>
      <c r="C7" s="1438"/>
      <c r="D7" s="1438"/>
      <c r="E7" s="1438"/>
      <c r="F7" s="1438"/>
      <c r="G7" s="1438"/>
      <c r="H7" s="1438"/>
      <c r="I7" s="1438"/>
      <c r="J7" s="1438"/>
      <c r="K7" s="1438"/>
      <c r="L7" s="1438"/>
      <c r="M7" s="1438"/>
      <c r="N7" s="1438"/>
      <c r="O7" s="1438"/>
      <c r="P7" s="1438"/>
      <c r="Q7" s="1438"/>
      <c r="R7" s="1438"/>
      <c r="S7" s="1438"/>
      <c r="T7" s="1438"/>
      <c r="U7" s="1438"/>
      <c r="V7" s="1438"/>
      <c r="W7" s="1438"/>
      <c r="X7" s="1438"/>
      <c r="Y7" s="1438"/>
      <c r="Z7" s="1438"/>
      <c r="AA7" s="1438"/>
      <c r="AB7" s="1438"/>
      <c r="AC7" s="1465"/>
      <c r="AD7" s="1466"/>
    </row>
    <row r="8" spans="1:30" ht="15.75" thickBot="1">
      <c r="A8" s="1442"/>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4"/>
    </row>
    <row r="9" spans="1:30" ht="15.75" thickBot="1">
      <c r="A9" s="1439" t="s">
        <v>87</v>
      </c>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c r="AB9" s="1440"/>
      <c r="AC9" s="1440"/>
      <c r="AD9" s="1441"/>
    </row>
    <row r="10" spans="1:30" ht="15.75" thickBot="1">
      <c r="A10" s="1415"/>
      <c r="B10" s="1416"/>
      <c r="C10" s="1416"/>
      <c r="D10" s="1417"/>
      <c r="E10" s="1424" t="s">
        <v>13304</v>
      </c>
      <c r="F10" s="1425"/>
      <c r="G10" s="1425"/>
      <c r="H10" s="1425"/>
      <c r="I10" s="1425"/>
      <c r="J10" s="1425"/>
      <c r="K10" s="1425"/>
      <c r="L10" s="1425"/>
      <c r="M10" s="1425"/>
      <c r="N10" s="1425"/>
      <c r="O10" s="1425"/>
      <c r="P10" s="1426"/>
      <c r="Q10" s="1427" t="s">
        <v>13305</v>
      </c>
      <c r="R10" s="1428"/>
      <c r="S10" s="1428"/>
      <c r="T10" s="1428"/>
      <c r="U10" s="1428"/>
      <c r="V10" s="1428"/>
      <c r="W10" s="1428"/>
      <c r="X10" s="1428"/>
      <c r="Y10" s="1428"/>
      <c r="Z10" s="1428"/>
      <c r="AA10" s="1428"/>
      <c r="AB10" s="1429"/>
      <c r="AC10" s="484"/>
      <c r="AD10" s="485"/>
    </row>
    <row r="11" spans="1:30" s="486" customFormat="1">
      <c r="A11" s="1422" t="s">
        <v>6</v>
      </c>
      <c r="B11" s="1446" t="s">
        <v>88</v>
      </c>
      <c r="C11" s="1423" t="s">
        <v>20</v>
      </c>
      <c r="D11" s="1449" t="s">
        <v>72</v>
      </c>
      <c r="E11" s="1418" t="s">
        <v>89</v>
      </c>
      <c r="F11" s="1419"/>
      <c r="G11" s="1420" t="s">
        <v>90</v>
      </c>
      <c r="H11" s="1421"/>
      <c r="I11" s="1418" t="s">
        <v>91</v>
      </c>
      <c r="J11" s="1419"/>
      <c r="K11" s="1420" t="s">
        <v>92</v>
      </c>
      <c r="L11" s="1421"/>
      <c r="M11" s="1418" t="s">
        <v>97</v>
      </c>
      <c r="N11" s="1419"/>
      <c r="O11" s="1420" t="s">
        <v>98</v>
      </c>
      <c r="P11" s="1421"/>
      <c r="Q11" s="1418" t="s">
        <v>99</v>
      </c>
      <c r="R11" s="1419"/>
      <c r="S11" s="1420" t="s">
        <v>100</v>
      </c>
      <c r="T11" s="1421"/>
      <c r="U11" s="1418" t="s">
        <v>101</v>
      </c>
      <c r="V11" s="1419"/>
      <c r="W11" s="1420" t="s">
        <v>102</v>
      </c>
      <c r="X11" s="1421"/>
      <c r="Y11" s="1418" t="s">
        <v>103</v>
      </c>
      <c r="Z11" s="1419"/>
      <c r="AA11" s="1420" t="s">
        <v>104</v>
      </c>
      <c r="AB11" s="1421"/>
      <c r="AC11" s="1418" t="s">
        <v>93</v>
      </c>
      <c r="AD11" s="1419"/>
    </row>
    <row r="12" spans="1:30" s="486" customFormat="1" ht="28.5" customHeight="1">
      <c r="A12" s="1445"/>
      <c r="B12" s="1447"/>
      <c r="C12" s="1448"/>
      <c r="D12" s="1450"/>
      <c r="E12" s="487" t="s">
        <v>94</v>
      </c>
      <c r="F12" s="488" t="s">
        <v>72</v>
      </c>
      <c r="G12" s="128" t="s">
        <v>94</v>
      </c>
      <c r="H12" s="489" t="s">
        <v>72</v>
      </c>
      <c r="I12" s="487" t="s">
        <v>94</v>
      </c>
      <c r="J12" s="490" t="s">
        <v>72</v>
      </c>
      <c r="K12" s="128" t="s">
        <v>94</v>
      </c>
      <c r="L12" s="489" t="s">
        <v>72</v>
      </c>
      <c r="M12" s="487" t="s">
        <v>94</v>
      </c>
      <c r="N12" s="488" t="s">
        <v>72</v>
      </c>
      <c r="O12" s="128" t="s">
        <v>94</v>
      </c>
      <c r="P12" s="491" t="s">
        <v>72</v>
      </c>
      <c r="Q12" s="487" t="s">
        <v>94</v>
      </c>
      <c r="R12" s="488" t="s">
        <v>72</v>
      </c>
      <c r="S12" s="128" t="s">
        <v>94</v>
      </c>
      <c r="T12" s="491" t="s">
        <v>72</v>
      </c>
      <c r="U12" s="487" t="s">
        <v>94</v>
      </c>
      <c r="V12" s="488" t="s">
        <v>72</v>
      </c>
      <c r="W12" s="128" t="s">
        <v>94</v>
      </c>
      <c r="X12" s="491" t="s">
        <v>72</v>
      </c>
      <c r="Y12" s="487" t="s">
        <v>94</v>
      </c>
      <c r="Z12" s="488" t="s">
        <v>72</v>
      </c>
      <c r="AA12" s="128" t="s">
        <v>94</v>
      </c>
      <c r="AB12" s="491" t="s">
        <v>72</v>
      </c>
      <c r="AC12" s="487" t="s">
        <v>94</v>
      </c>
      <c r="AD12" s="488" t="s">
        <v>72</v>
      </c>
    </row>
    <row r="13" spans="1:30" ht="28.5" customHeight="1">
      <c r="A13" s="482" t="str">
        <f>RESUMO!A13</f>
        <v>1.0</v>
      </c>
      <c r="B13" s="492" t="str">
        <f>RESUMO!B13</f>
        <v>SERVIÇOS PRELIMINARES</v>
      </c>
      <c r="C13" s="493">
        <f>RESUMO!C13</f>
        <v>251507.66</v>
      </c>
      <c r="D13" s="494">
        <f t="shared" ref="D13:D28" si="0">C13/$C$33</f>
        <v>8.905959497843402E-2</v>
      </c>
      <c r="E13" s="495">
        <f>'MED CRON'!H20</f>
        <v>251507.66</v>
      </c>
      <c r="F13" s="496">
        <f>E13/C13</f>
        <v>1</v>
      </c>
      <c r="G13" s="497">
        <f>'MED CRON'!J20</f>
        <v>0</v>
      </c>
      <c r="H13" s="494">
        <f>G13/C13</f>
        <v>0</v>
      </c>
      <c r="I13" s="495">
        <f>'MED CRON'!L20</f>
        <v>0</v>
      </c>
      <c r="J13" s="496">
        <f>I13/C13</f>
        <v>0</v>
      </c>
      <c r="K13" s="497">
        <f>'MED CRON'!N20</f>
        <v>0</v>
      </c>
      <c r="L13" s="494">
        <f>K13/C13</f>
        <v>0</v>
      </c>
      <c r="M13" s="495">
        <f>'MED CRON'!P20</f>
        <v>0</v>
      </c>
      <c r="N13" s="496">
        <f>M13/C13</f>
        <v>0</v>
      </c>
      <c r="O13" s="497">
        <f>'MED CRON'!R20</f>
        <v>0</v>
      </c>
      <c r="P13" s="494">
        <f>O13/C13</f>
        <v>0</v>
      </c>
      <c r="Q13" s="495">
        <f>'MED CRON'!T20</f>
        <v>0</v>
      </c>
      <c r="R13" s="496">
        <f>Q13/C13</f>
        <v>0</v>
      </c>
      <c r="S13" s="497">
        <f>'MED CRON'!V20</f>
        <v>0</v>
      </c>
      <c r="T13" s="494">
        <f>S13/C13</f>
        <v>0</v>
      </c>
      <c r="U13" s="495">
        <f>'MED CRON'!X20</f>
        <v>0</v>
      </c>
      <c r="V13" s="496">
        <f>U13/C13</f>
        <v>0</v>
      </c>
      <c r="W13" s="497">
        <f>'MED CRON'!Z20</f>
        <v>0</v>
      </c>
      <c r="X13" s="494">
        <f>W13/C13</f>
        <v>0</v>
      </c>
      <c r="Y13" s="495">
        <f>'MED CRON'!AB20</f>
        <v>0</v>
      </c>
      <c r="Z13" s="496">
        <f>Y13/C13</f>
        <v>0</v>
      </c>
      <c r="AA13" s="497">
        <f>'MED CRON'!AD20</f>
        <v>0</v>
      </c>
      <c r="AB13" s="498">
        <f>AA13/C13</f>
        <v>0</v>
      </c>
      <c r="AC13" s="495">
        <f>AA13+Y13+W13+U13+S13+Q13+O13+M13+K13+I13+G13+E13</f>
        <v>251507.66</v>
      </c>
      <c r="AD13" s="499">
        <f t="shared" ref="AD13:AD28" si="1">AC13/C13</f>
        <v>1</v>
      </c>
    </row>
    <row r="14" spans="1:30" ht="28.5" customHeight="1">
      <c r="A14" s="482" t="str">
        <f>RESUMO!A15</f>
        <v>2.0</v>
      </c>
      <c r="B14" s="492" t="str">
        <f>RESUMO!B15</f>
        <v>ADMINISTRAÇÃO LOCAL DE OBRA</v>
      </c>
      <c r="C14" s="493">
        <f>RESUMO!C15</f>
        <v>201260.04</v>
      </c>
      <c r="D14" s="494">
        <f t="shared" si="0"/>
        <v>7.1266766378977997E-2</v>
      </c>
      <c r="E14" s="495">
        <f>'MED CRON'!H24</f>
        <v>16771.669999999998</v>
      </c>
      <c r="F14" s="496">
        <f>E14/C14</f>
        <v>8.3333333333333315E-2</v>
      </c>
      <c r="G14" s="497">
        <f>'MED CRON'!J24</f>
        <v>16771.669999999998</v>
      </c>
      <c r="H14" s="494">
        <f t="shared" ref="H14:H28" si="2">G14/C14</f>
        <v>8.3333333333333315E-2</v>
      </c>
      <c r="I14" s="495">
        <f>'MED CRON'!L24</f>
        <v>16771.669999999998</v>
      </c>
      <c r="J14" s="496">
        <f t="shared" ref="J14:J28" si="3">I14/C14</f>
        <v>8.3333333333333315E-2</v>
      </c>
      <c r="K14" s="497">
        <f>'MED CRON'!N24</f>
        <v>16771.669999999998</v>
      </c>
      <c r="L14" s="494">
        <f t="shared" ref="L14:L28" si="4">K14/C14</f>
        <v>8.3333333333333315E-2</v>
      </c>
      <c r="M14" s="495">
        <f>'MED CRON'!P24</f>
        <v>16771.669999999998</v>
      </c>
      <c r="N14" s="496">
        <f t="shared" ref="N14:N28" si="5">M14/C14</f>
        <v>8.3333333333333315E-2</v>
      </c>
      <c r="O14" s="497">
        <f>'MED CRON'!R24</f>
        <v>16771.669999999998</v>
      </c>
      <c r="P14" s="494">
        <f t="shared" ref="P14:P28" si="6">O14/C14</f>
        <v>8.3333333333333315E-2</v>
      </c>
      <c r="Q14" s="495">
        <f>'MED CRON'!T24</f>
        <v>16771.669999999998</v>
      </c>
      <c r="R14" s="496">
        <f t="shared" ref="R14:R28" si="7">Q14/C14</f>
        <v>8.3333333333333315E-2</v>
      </c>
      <c r="S14" s="497">
        <f>'MED CRON'!V24</f>
        <v>16771.669999999998</v>
      </c>
      <c r="T14" s="494">
        <f t="shared" ref="T14:T28" si="8">S14/C14</f>
        <v>8.3333333333333315E-2</v>
      </c>
      <c r="U14" s="495">
        <f>'MED CRON'!X24</f>
        <v>16771.669999999998</v>
      </c>
      <c r="V14" s="496">
        <f t="shared" ref="V14:V28" si="9">U14/C14</f>
        <v>8.3333333333333315E-2</v>
      </c>
      <c r="W14" s="497">
        <f>'MED CRON'!Z24</f>
        <v>16771.669999999998</v>
      </c>
      <c r="X14" s="494">
        <f t="shared" ref="X14:X28" si="10">W14/C14</f>
        <v>8.3333333333333315E-2</v>
      </c>
      <c r="Y14" s="495">
        <f>'MED CRON'!AB24</f>
        <v>16771.669999999998</v>
      </c>
      <c r="Z14" s="496">
        <f t="shared" ref="Z14:Z28" si="11">Y14/C14</f>
        <v>8.3333333333333315E-2</v>
      </c>
      <c r="AA14" s="497">
        <f>'MED CRON'!AD24</f>
        <v>16771.669999999998</v>
      </c>
      <c r="AB14" s="498">
        <f t="shared" ref="AB14:AB28" si="12">AA14/C14</f>
        <v>8.3333333333333315E-2</v>
      </c>
      <c r="AC14" s="495">
        <f t="shared" ref="AC14:AC28" si="13">AA14+Y14+W14+U14+S14+Q14+O14+M14+K14+I14+G14+E14</f>
        <v>201260.03999999992</v>
      </c>
      <c r="AD14" s="499">
        <f t="shared" si="1"/>
        <v>0.99999999999999956</v>
      </c>
    </row>
    <row r="15" spans="1:30" ht="28.5" customHeight="1">
      <c r="A15" s="482" t="str">
        <f>RESUMO!A17</f>
        <v>3.0</v>
      </c>
      <c r="B15" s="492" t="str">
        <f>RESUMO!B17</f>
        <v>SUBSOLO</v>
      </c>
      <c r="C15" s="493">
        <f>RESUMO!C17</f>
        <v>144198.14000000001</v>
      </c>
      <c r="D15" s="494">
        <f t="shared" si="0"/>
        <v>5.1060981383404092E-2</v>
      </c>
      <c r="E15" s="495">
        <f>'MED CRON'!H95</f>
        <v>0</v>
      </c>
      <c r="F15" s="496">
        <f t="shared" ref="F15:F28" si="14">E15/C15</f>
        <v>0</v>
      </c>
      <c r="G15" s="497">
        <f>'MED CRON'!J95</f>
        <v>0</v>
      </c>
      <c r="H15" s="494">
        <f t="shared" si="2"/>
        <v>0</v>
      </c>
      <c r="I15" s="495">
        <f>'MED CRON'!L95</f>
        <v>0</v>
      </c>
      <c r="J15" s="496">
        <f t="shared" si="3"/>
        <v>0</v>
      </c>
      <c r="K15" s="497">
        <f>'MED CRON'!N95</f>
        <v>0</v>
      </c>
      <c r="L15" s="494">
        <f t="shared" si="4"/>
        <v>0</v>
      </c>
      <c r="M15" s="495">
        <f>'MED CRON'!P95</f>
        <v>0</v>
      </c>
      <c r="N15" s="496">
        <f t="shared" si="5"/>
        <v>0</v>
      </c>
      <c r="O15" s="497">
        <f>'MED CRON'!R95</f>
        <v>0</v>
      </c>
      <c r="P15" s="494">
        <f t="shared" si="6"/>
        <v>0</v>
      </c>
      <c r="Q15" s="495">
        <f>'MED CRON'!T95</f>
        <v>119147.66000000002</v>
      </c>
      <c r="R15" s="496">
        <f t="shared" si="7"/>
        <v>0.82627737084542152</v>
      </c>
      <c r="S15" s="497">
        <f>'MED CRON'!V95</f>
        <v>25050.479999999996</v>
      </c>
      <c r="T15" s="494">
        <f t="shared" si="8"/>
        <v>0.17372262915457851</v>
      </c>
      <c r="U15" s="495">
        <f>'MED CRON'!X95</f>
        <v>0</v>
      </c>
      <c r="V15" s="496">
        <f t="shared" si="9"/>
        <v>0</v>
      </c>
      <c r="W15" s="497">
        <f>'MED CRON'!Z95</f>
        <v>0</v>
      </c>
      <c r="X15" s="494">
        <f t="shared" si="10"/>
        <v>0</v>
      </c>
      <c r="Y15" s="495">
        <f>'MED CRON'!AB95</f>
        <v>0</v>
      </c>
      <c r="Z15" s="496">
        <f t="shared" si="11"/>
        <v>0</v>
      </c>
      <c r="AA15" s="497">
        <f>'MED CRON'!AD95</f>
        <v>0</v>
      </c>
      <c r="AB15" s="498">
        <f t="shared" si="12"/>
        <v>0</v>
      </c>
      <c r="AC15" s="495">
        <f t="shared" si="13"/>
        <v>144198.14000000001</v>
      </c>
      <c r="AD15" s="499">
        <f t="shared" si="1"/>
        <v>1</v>
      </c>
    </row>
    <row r="16" spans="1:30" ht="28.5" customHeight="1">
      <c r="A16" s="482" t="str">
        <f>RESUMO!A28</f>
        <v>4.0</v>
      </c>
      <c r="B16" s="492" t="str">
        <f>RESUMO!B28</f>
        <v>TERREO</v>
      </c>
      <c r="C16" s="493">
        <f>RESUMO!C28</f>
        <v>190364.86</v>
      </c>
      <c r="D16" s="494">
        <f t="shared" si="0"/>
        <v>6.7408751406324144E-2</v>
      </c>
      <c r="E16" s="495">
        <f>'MED CRON'!H137</f>
        <v>0</v>
      </c>
      <c r="F16" s="496">
        <f t="shared" si="14"/>
        <v>0</v>
      </c>
      <c r="G16" s="497">
        <f>'MED CRON'!J137</f>
        <v>0</v>
      </c>
      <c r="H16" s="494">
        <f t="shared" si="2"/>
        <v>0</v>
      </c>
      <c r="I16" s="495">
        <f>'MED CRON'!L137</f>
        <v>0</v>
      </c>
      <c r="J16" s="496">
        <f t="shared" si="3"/>
        <v>0</v>
      </c>
      <c r="K16" s="497">
        <f>'MED CRON'!N137</f>
        <v>0</v>
      </c>
      <c r="L16" s="494">
        <f t="shared" si="4"/>
        <v>0</v>
      </c>
      <c r="M16" s="495">
        <f>'MED CRON'!P137</f>
        <v>190364.86</v>
      </c>
      <c r="N16" s="496">
        <f t="shared" si="5"/>
        <v>1</v>
      </c>
      <c r="O16" s="497">
        <f>'MED CRON'!R137</f>
        <v>0</v>
      </c>
      <c r="P16" s="494">
        <f t="shared" si="6"/>
        <v>0</v>
      </c>
      <c r="Q16" s="495">
        <f>'MED CRON'!T137</f>
        <v>0</v>
      </c>
      <c r="R16" s="496">
        <f t="shared" si="7"/>
        <v>0</v>
      </c>
      <c r="S16" s="497">
        <f>'MED CRON'!V137</f>
        <v>0</v>
      </c>
      <c r="T16" s="494">
        <f t="shared" si="8"/>
        <v>0</v>
      </c>
      <c r="U16" s="495">
        <f>'MED CRON'!X137</f>
        <v>0</v>
      </c>
      <c r="V16" s="496">
        <f t="shared" si="9"/>
        <v>0</v>
      </c>
      <c r="W16" s="497">
        <f>'MED CRON'!Z137</f>
        <v>0</v>
      </c>
      <c r="X16" s="494">
        <f t="shared" si="10"/>
        <v>0</v>
      </c>
      <c r="Y16" s="495">
        <f>'MED CRON'!AB137</f>
        <v>0</v>
      </c>
      <c r="Z16" s="496">
        <f t="shared" si="11"/>
        <v>0</v>
      </c>
      <c r="AA16" s="497">
        <f>'MED CRON'!AD137</f>
        <v>0</v>
      </c>
      <c r="AB16" s="498">
        <f t="shared" si="12"/>
        <v>0</v>
      </c>
      <c r="AC16" s="495">
        <f t="shared" si="13"/>
        <v>190364.86</v>
      </c>
      <c r="AD16" s="499">
        <f t="shared" si="1"/>
        <v>1</v>
      </c>
    </row>
    <row r="17" spans="1:30" ht="28.5" customHeight="1">
      <c r="A17" s="482" t="str">
        <f>RESUMO!A35</f>
        <v>5.0</v>
      </c>
      <c r="B17" s="492" t="str">
        <f>RESUMO!B35</f>
        <v>1º PAVIMENTO</v>
      </c>
      <c r="C17" s="493">
        <f>RESUMO!C35</f>
        <v>188689.19999999998</v>
      </c>
      <c r="D17" s="494">
        <f t="shared" si="0"/>
        <v>6.68153953195888E-2</v>
      </c>
      <c r="E17" s="495">
        <f>'MED CRON'!H174</f>
        <v>0</v>
      </c>
      <c r="F17" s="496">
        <f t="shared" si="14"/>
        <v>0</v>
      </c>
      <c r="G17" s="497">
        <f>'MED CRON'!J174</f>
        <v>0</v>
      </c>
      <c r="H17" s="494">
        <f t="shared" si="2"/>
        <v>0</v>
      </c>
      <c r="I17" s="495">
        <f>'MED CRON'!L174</f>
        <v>0</v>
      </c>
      <c r="J17" s="496">
        <f t="shared" si="3"/>
        <v>0</v>
      </c>
      <c r="K17" s="497">
        <f>'MED CRON'!N174</f>
        <v>0</v>
      </c>
      <c r="L17" s="494">
        <f t="shared" si="4"/>
        <v>0</v>
      </c>
      <c r="M17" s="495">
        <f>'MED CRON'!P174</f>
        <v>0</v>
      </c>
      <c r="N17" s="496">
        <f t="shared" si="5"/>
        <v>0</v>
      </c>
      <c r="O17" s="497">
        <f>'MED CRON'!R174</f>
        <v>155668.87</v>
      </c>
      <c r="P17" s="494">
        <f t="shared" si="6"/>
        <v>0.82500148392170836</v>
      </c>
      <c r="Q17" s="495">
        <f>'MED CRON'!T174</f>
        <v>33020.33</v>
      </c>
      <c r="R17" s="496">
        <f t="shared" si="7"/>
        <v>0.17499851607829173</v>
      </c>
      <c r="S17" s="497">
        <f>'MED CRON'!V174</f>
        <v>0</v>
      </c>
      <c r="T17" s="494">
        <f t="shared" si="8"/>
        <v>0</v>
      </c>
      <c r="U17" s="495">
        <f>'MED CRON'!X174</f>
        <v>0</v>
      </c>
      <c r="V17" s="496">
        <f t="shared" si="9"/>
        <v>0</v>
      </c>
      <c r="W17" s="497">
        <f>'MED CRON'!Z174</f>
        <v>0</v>
      </c>
      <c r="X17" s="494">
        <f t="shared" si="10"/>
        <v>0</v>
      </c>
      <c r="Y17" s="495">
        <f>'MED CRON'!AB174</f>
        <v>0</v>
      </c>
      <c r="Z17" s="496">
        <f t="shared" si="11"/>
        <v>0</v>
      </c>
      <c r="AA17" s="497">
        <f>'MED CRON'!AD174</f>
        <v>0</v>
      </c>
      <c r="AB17" s="498">
        <f t="shared" si="12"/>
        <v>0</v>
      </c>
      <c r="AC17" s="495">
        <f t="shared" si="13"/>
        <v>188689.2</v>
      </c>
      <c r="AD17" s="499">
        <f t="shared" si="1"/>
        <v>1.0000000000000002</v>
      </c>
    </row>
    <row r="18" spans="1:30" ht="28.5" customHeight="1">
      <c r="A18" s="482" t="str">
        <f>RESUMO!A42</f>
        <v>6.0</v>
      </c>
      <c r="B18" s="492" t="str">
        <f>RESUMO!B42</f>
        <v>PREVENÇÃO E COMBATE A INCÊNDIO</v>
      </c>
      <c r="C18" s="493">
        <f>RESUMO!C42</f>
        <v>146139.32</v>
      </c>
      <c r="D18" s="494">
        <f t="shared" si="0"/>
        <v>5.1748358875525945E-2</v>
      </c>
      <c r="E18" s="495">
        <f>'MED CRON'!H255</f>
        <v>0</v>
      </c>
      <c r="F18" s="496">
        <f t="shared" si="14"/>
        <v>0</v>
      </c>
      <c r="G18" s="497">
        <f>'MED CRON'!J255</f>
        <v>94972.7</v>
      </c>
      <c r="H18" s="494">
        <f t="shared" si="2"/>
        <v>0.64987780153896979</v>
      </c>
      <c r="I18" s="495">
        <f>'MED CRON'!L255</f>
        <v>0</v>
      </c>
      <c r="J18" s="496">
        <f t="shared" si="3"/>
        <v>0</v>
      </c>
      <c r="K18" s="497">
        <f>'MED CRON'!N255</f>
        <v>0</v>
      </c>
      <c r="L18" s="494">
        <f t="shared" si="4"/>
        <v>0</v>
      </c>
      <c r="M18" s="495">
        <f>'MED CRON'!P255</f>
        <v>0</v>
      </c>
      <c r="N18" s="496">
        <f t="shared" si="5"/>
        <v>0</v>
      </c>
      <c r="O18" s="497">
        <f>'MED CRON'!R255</f>
        <v>0</v>
      </c>
      <c r="P18" s="494">
        <f t="shared" si="6"/>
        <v>0</v>
      </c>
      <c r="Q18" s="495">
        <f>'MED CRON'!T255</f>
        <v>0</v>
      </c>
      <c r="R18" s="496">
        <f t="shared" si="7"/>
        <v>0</v>
      </c>
      <c r="S18" s="497">
        <f>'MED CRON'!V255</f>
        <v>47420.800000000017</v>
      </c>
      <c r="T18" s="494">
        <f t="shared" si="8"/>
        <v>0.32449035618887523</v>
      </c>
      <c r="U18" s="495">
        <f>'MED CRON'!X255</f>
        <v>0</v>
      </c>
      <c r="V18" s="496">
        <f t="shared" si="9"/>
        <v>0</v>
      </c>
      <c r="W18" s="497">
        <f>'MED CRON'!Z255</f>
        <v>0</v>
      </c>
      <c r="X18" s="494">
        <f t="shared" si="10"/>
        <v>0</v>
      </c>
      <c r="Y18" s="495">
        <f>'MED CRON'!AB255</f>
        <v>0</v>
      </c>
      <c r="Z18" s="496">
        <f t="shared" si="11"/>
        <v>0</v>
      </c>
      <c r="AA18" s="497">
        <f>'MED CRON'!AD255</f>
        <v>3745.82</v>
      </c>
      <c r="AB18" s="498">
        <f t="shared" si="12"/>
        <v>2.5631842272155092E-2</v>
      </c>
      <c r="AC18" s="495">
        <f t="shared" si="13"/>
        <v>146139.32</v>
      </c>
      <c r="AD18" s="499">
        <f t="shared" si="1"/>
        <v>1</v>
      </c>
    </row>
    <row r="19" spans="1:30" ht="28.5" customHeight="1">
      <c r="A19" s="482" t="str">
        <f>RESUMO!A49</f>
        <v>7.0</v>
      </c>
      <c r="B19" s="492" t="str">
        <f>RESUMO!B49</f>
        <v xml:space="preserve">ELÉTRICA </v>
      </c>
      <c r="C19" s="493">
        <f>RESUMO!C49</f>
        <v>350544.81999999995</v>
      </c>
      <c r="D19" s="494">
        <f t="shared" si="0"/>
        <v>0.12412894180236121</v>
      </c>
      <c r="E19" s="495">
        <f>'MED CRON'!H367</f>
        <v>0</v>
      </c>
      <c r="F19" s="496">
        <f t="shared" si="14"/>
        <v>0</v>
      </c>
      <c r="G19" s="497">
        <f>'MED CRON'!J367</f>
        <v>0</v>
      </c>
      <c r="H19" s="494">
        <f t="shared" si="2"/>
        <v>0</v>
      </c>
      <c r="I19" s="495">
        <f>'MED CRON'!L367</f>
        <v>0</v>
      </c>
      <c r="J19" s="496">
        <f t="shared" si="3"/>
        <v>0</v>
      </c>
      <c r="K19" s="497">
        <f>'MED CRON'!N367</f>
        <v>350544.81999999983</v>
      </c>
      <c r="L19" s="494">
        <f t="shared" si="4"/>
        <v>0.99999999999999967</v>
      </c>
      <c r="M19" s="495">
        <f>'MED CRON'!P367</f>
        <v>0</v>
      </c>
      <c r="N19" s="496">
        <f t="shared" si="5"/>
        <v>0</v>
      </c>
      <c r="O19" s="497">
        <f>'MED CRON'!R367</f>
        <v>0</v>
      </c>
      <c r="P19" s="494">
        <f t="shared" si="6"/>
        <v>0</v>
      </c>
      <c r="Q19" s="495">
        <f>'MED CRON'!T367</f>
        <v>0</v>
      </c>
      <c r="R19" s="496">
        <f t="shared" si="7"/>
        <v>0</v>
      </c>
      <c r="S19" s="497">
        <f>'MED CRON'!V367</f>
        <v>0</v>
      </c>
      <c r="T19" s="494">
        <f t="shared" si="8"/>
        <v>0</v>
      </c>
      <c r="U19" s="495">
        <f>'MED CRON'!X367</f>
        <v>0</v>
      </c>
      <c r="V19" s="496">
        <f t="shared" si="9"/>
        <v>0</v>
      </c>
      <c r="W19" s="497">
        <f>'MED CRON'!Z367</f>
        <v>0</v>
      </c>
      <c r="X19" s="494">
        <f t="shared" si="10"/>
        <v>0</v>
      </c>
      <c r="Y19" s="495">
        <f>'MED CRON'!AB367</f>
        <v>0</v>
      </c>
      <c r="Z19" s="496">
        <f t="shared" si="11"/>
        <v>0</v>
      </c>
      <c r="AA19" s="497">
        <f>'MED CRON'!AD367</f>
        <v>0</v>
      </c>
      <c r="AB19" s="498">
        <f t="shared" si="12"/>
        <v>0</v>
      </c>
      <c r="AC19" s="495">
        <f t="shared" si="13"/>
        <v>350544.81999999983</v>
      </c>
      <c r="AD19" s="499">
        <f t="shared" si="1"/>
        <v>0.99999999999999967</v>
      </c>
    </row>
    <row r="20" spans="1:30" ht="28.5" customHeight="1">
      <c r="A20" s="482" t="str">
        <f>RESUMO!A54</f>
        <v>8.0</v>
      </c>
      <c r="B20" s="492" t="str">
        <f>RESUMO!B54</f>
        <v>INSTALAÇÕES HIDRÁULICAS</v>
      </c>
      <c r="C20" s="493">
        <f>RESUMO!C54</f>
        <v>5377.16</v>
      </c>
      <c r="D20" s="494">
        <f t="shared" si="0"/>
        <v>1.9040680181837653E-3</v>
      </c>
      <c r="E20" s="495">
        <f>'MED CRON'!H390</f>
        <v>0</v>
      </c>
      <c r="F20" s="496">
        <f t="shared" si="14"/>
        <v>0</v>
      </c>
      <c r="G20" s="497">
        <f>'MED CRON'!J390</f>
        <v>0</v>
      </c>
      <c r="H20" s="494">
        <f t="shared" si="2"/>
        <v>0</v>
      </c>
      <c r="I20" s="495">
        <f>'MED CRON'!L390</f>
        <v>0</v>
      </c>
      <c r="J20" s="496">
        <f t="shared" si="3"/>
        <v>0</v>
      </c>
      <c r="K20" s="497">
        <f>'MED CRON'!N390</f>
        <v>5377.16</v>
      </c>
      <c r="L20" s="494">
        <f t="shared" si="4"/>
        <v>1</v>
      </c>
      <c r="M20" s="495">
        <f>'MED CRON'!P390</f>
        <v>0</v>
      </c>
      <c r="N20" s="496">
        <f t="shared" si="5"/>
        <v>0</v>
      </c>
      <c r="O20" s="497">
        <f>'MED CRON'!R390</f>
        <v>0</v>
      </c>
      <c r="P20" s="494">
        <f t="shared" si="6"/>
        <v>0</v>
      </c>
      <c r="Q20" s="495">
        <f>'MED CRON'!T390</f>
        <v>0</v>
      </c>
      <c r="R20" s="496">
        <f t="shared" si="7"/>
        <v>0</v>
      </c>
      <c r="S20" s="497">
        <f>'MED CRON'!V390</f>
        <v>0</v>
      </c>
      <c r="T20" s="494">
        <f t="shared" si="8"/>
        <v>0</v>
      </c>
      <c r="U20" s="495">
        <f>'MED CRON'!X390</f>
        <v>0</v>
      </c>
      <c r="V20" s="496">
        <f t="shared" si="9"/>
        <v>0</v>
      </c>
      <c r="W20" s="497">
        <f>'MED CRON'!Z390</f>
        <v>0</v>
      </c>
      <c r="X20" s="494">
        <f t="shared" si="10"/>
        <v>0</v>
      </c>
      <c r="Y20" s="495">
        <f>'MED CRON'!AB390</f>
        <v>0</v>
      </c>
      <c r="Z20" s="496">
        <f t="shared" si="11"/>
        <v>0</v>
      </c>
      <c r="AA20" s="497">
        <f>'MED CRON'!AD390</f>
        <v>0</v>
      </c>
      <c r="AB20" s="498">
        <f t="shared" si="12"/>
        <v>0</v>
      </c>
      <c r="AC20" s="495">
        <f t="shared" si="13"/>
        <v>5377.16</v>
      </c>
      <c r="AD20" s="499">
        <f t="shared" si="1"/>
        <v>1</v>
      </c>
    </row>
    <row r="21" spans="1:30" ht="28.5" customHeight="1">
      <c r="A21" s="482" t="str">
        <f>RESUMO!A57</f>
        <v>9.0</v>
      </c>
      <c r="B21" s="492" t="str">
        <f>RESUMO!B57</f>
        <v>DRENAGEM DE AGUAS PLUVIAIS</v>
      </c>
      <c r="C21" s="493">
        <f>RESUMO!C57</f>
        <v>10497.600000000002</v>
      </c>
      <c r="D21" s="494">
        <f t="shared" si="0"/>
        <v>3.7172307366129887E-3</v>
      </c>
      <c r="E21" s="495">
        <f>'MED CRON'!H401</f>
        <v>0</v>
      </c>
      <c r="F21" s="496">
        <f t="shared" si="14"/>
        <v>0</v>
      </c>
      <c r="G21" s="495">
        <f>'MED CRON'!J401</f>
        <v>0</v>
      </c>
      <c r="H21" s="494">
        <f t="shared" si="2"/>
        <v>0</v>
      </c>
      <c r="I21" s="495">
        <f>'MED CRON'!L401</f>
        <v>10497.600000000002</v>
      </c>
      <c r="J21" s="496">
        <f t="shared" si="3"/>
        <v>1</v>
      </c>
      <c r="K21" s="497">
        <f>'MED CRON'!N401</f>
        <v>0</v>
      </c>
      <c r="L21" s="494">
        <f t="shared" si="4"/>
        <v>0</v>
      </c>
      <c r="M21" s="495">
        <f>'MED CRON'!P401</f>
        <v>0</v>
      </c>
      <c r="N21" s="496">
        <f t="shared" si="5"/>
        <v>0</v>
      </c>
      <c r="O21" s="497">
        <f>'MED CRON'!R401</f>
        <v>0</v>
      </c>
      <c r="P21" s="494">
        <f t="shared" si="6"/>
        <v>0</v>
      </c>
      <c r="Q21" s="495">
        <f>'MED CRON'!T401</f>
        <v>0</v>
      </c>
      <c r="R21" s="496">
        <f t="shared" si="7"/>
        <v>0</v>
      </c>
      <c r="S21" s="497">
        <f>'MED CRON'!V401</f>
        <v>0</v>
      </c>
      <c r="T21" s="494">
        <f t="shared" si="8"/>
        <v>0</v>
      </c>
      <c r="U21" s="495">
        <f>'MED CRON'!X401</f>
        <v>0</v>
      </c>
      <c r="V21" s="496">
        <f t="shared" si="9"/>
        <v>0</v>
      </c>
      <c r="W21" s="497">
        <f>'MED CRON'!Z401</f>
        <v>0</v>
      </c>
      <c r="X21" s="494">
        <f t="shared" si="10"/>
        <v>0</v>
      </c>
      <c r="Y21" s="495">
        <f>'MED CRON'!AB401</f>
        <v>0</v>
      </c>
      <c r="Z21" s="496">
        <f t="shared" si="11"/>
        <v>0</v>
      </c>
      <c r="AA21" s="497">
        <f>'MED CRON'!AD401</f>
        <v>0</v>
      </c>
      <c r="AB21" s="498">
        <f t="shared" si="12"/>
        <v>0</v>
      </c>
      <c r="AC21" s="495">
        <f t="shared" si="13"/>
        <v>10497.600000000002</v>
      </c>
      <c r="AD21" s="499">
        <f t="shared" si="1"/>
        <v>1</v>
      </c>
    </row>
    <row r="22" spans="1:30" ht="28.5" customHeight="1">
      <c r="A22" s="482" t="str">
        <f>RESUMO!A60</f>
        <v>10.0</v>
      </c>
      <c r="B22" s="492" t="str">
        <f>RESUMO!B60</f>
        <v>SPDA - SISTEMA DE PROTEÇÃO CONTRA DESARGA ATMOSFERICA</v>
      </c>
      <c r="C22" s="493">
        <f>RESUMO!C60</f>
        <v>38274.369999999995</v>
      </c>
      <c r="D22" s="494">
        <f t="shared" si="0"/>
        <v>1.3553065899681645E-2</v>
      </c>
      <c r="E22" s="495">
        <f>'MED CRON'!H421</f>
        <v>0</v>
      </c>
      <c r="F22" s="496">
        <f t="shared" si="14"/>
        <v>0</v>
      </c>
      <c r="G22" s="497">
        <f>'MED CRON'!J421</f>
        <v>0</v>
      </c>
      <c r="H22" s="494">
        <f t="shared" si="2"/>
        <v>0</v>
      </c>
      <c r="I22" s="495">
        <f>'MED CRON'!L421</f>
        <v>0</v>
      </c>
      <c r="J22" s="496">
        <f t="shared" si="3"/>
        <v>0</v>
      </c>
      <c r="K22" s="497">
        <f>'MED CRON'!N421</f>
        <v>0</v>
      </c>
      <c r="L22" s="494">
        <f t="shared" si="4"/>
        <v>0</v>
      </c>
      <c r="M22" s="495">
        <f>'MED CRON'!P421</f>
        <v>0</v>
      </c>
      <c r="N22" s="496">
        <f t="shared" si="5"/>
        <v>0</v>
      </c>
      <c r="O22" s="497">
        <f>'MED CRON'!R421</f>
        <v>38274.369999999995</v>
      </c>
      <c r="P22" s="494">
        <f t="shared" si="6"/>
        <v>1</v>
      </c>
      <c r="Q22" s="495">
        <f>'MED CRON'!T421</f>
        <v>0</v>
      </c>
      <c r="R22" s="496">
        <f t="shared" si="7"/>
        <v>0</v>
      </c>
      <c r="S22" s="497">
        <f>'MED CRON'!V421</f>
        <v>0</v>
      </c>
      <c r="T22" s="494">
        <f t="shared" si="8"/>
        <v>0</v>
      </c>
      <c r="U22" s="495">
        <f>'MED CRON'!X421</f>
        <v>0</v>
      </c>
      <c r="V22" s="496">
        <f t="shared" si="9"/>
        <v>0</v>
      </c>
      <c r="W22" s="497">
        <f>'MED CRON'!Z421</f>
        <v>0</v>
      </c>
      <c r="X22" s="494">
        <f t="shared" si="10"/>
        <v>0</v>
      </c>
      <c r="Y22" s="495">
        <f>'MED CRON'!AB421</f>
        <v>0</v>
      </c>
      <c r="Z22" s="496">
        <f t="shared" si="11"/>
        <v>0</v>
      </c>
      <c r="AA22" s="497">
        <f>'MED CRON'!AD421</f>
        <v>0</v>
      </c>
      <c r="AB22" s="498">
        <f t="shared" si="12"/>
        <v>0</v>
      </c>
      <c r="AC22" s="495">
        <f t="shared" si="13"/>
        <v>38274.369999999995</v>
      </c>
      <c r="AD22" s="499">
        <f t="shared" si="1"/>
        <v>1</v>
      </c>
    </row>
    <row r="23" spans="1:30" ht="28.5" customHeight="1">
      <c r="A23" s="482" t="str">
        <f>RESUMO!A62</f>
        <v>11.0</v>
      </c>
      <c r="B23" s="492" t="str">
        <f>RESUMO!B62</f>
        <v xml:space="preserve">ESCADA ACESSO </v>
      </c>
      <c r="C23" s="493">
        <f>RESUMO!C62</f>
        <v>102353.49</v>
      </c>
      <c r="D23" s="494">
        <f t="shared" si="0"/>
        <v>3.6243668936481684E-2</v>
      </c>
      <c r="E23" s="495">
        <f>'MED CRON'!H453</f>
        <v>0</v>
      </c>
      <c r="F23" s="496">
        <f t="shared" si="14"/>
        <v>0</v>
      </c>
      <c r="G23" s="497">
        <f>'MED CRON'!J453</f>
        <v>0</v>
      </c>
      <c r="H23" s="494">
        <f t="shared" si="2"/>
        <v>0</v>
      </c>
      <c r="I23" s="495">
        <f>'MED CRON'!L453</f>
        <v>0</v>
      </c>
      <c r="J23" s="496">
        <f t="shared" si="3"/>
        <v>0</v>
      </c>
      <c r="K23" s="497">
        <f>'MED CRON'!N453</f>
        <v>0</v>
      </c>
      <c r="L23" s="494">
        <f t="shared" si="4"/>
        <v>0</v>
      </c>
      <c r="M23" s="495">
        <f>'MED CRON'!P453</f>
        <v>0</v>
      </c>
      <c r="N23" s="496">
        <f t="shared" si="5"/>
        <v>0</v>
      </c>
      <c r="O23" s="497">
        <f>'MED CRON'!R453</f>
        <v>0</v>
      </c>
      <c r="P23" s="494">
        <f t="shared" si="6"/>
        <v>0</v>
      </c>
      <c r="Q23" s="495">
        <f>'MED CRON'!T453</f>
        <v>46673.57</v>
      </c>
      <c r="R23" s="496">
        <f t="shared" si="7"/>
        <v>0.45600369855488071</v>
      </c>
      <c r="S23" s="497">
        <f>'MED CRON'!V453</f>
        <v>55679.92</v>
      </c>
      <c r="T23" s="494">
        <f t="shared" si="8"/>
        <v>0.54399630144511923</v>
      </c>
      <c r="U23" s="495">
        <f>'MED CRON'!X453</f>
        <v>0</v>
      </c>
      <c r="V23" s="496">
        <f t="shared" si="9"/>
        <v>0</v>
      </c>
      <c r="W23" s="497">
        <f>'MED CRON'!Z453</f>
        <v>0</v>
      </c>
      <c r="X23" s="494">
        <f t="shared" si="10"/>
        <v>0</v>
      </c>
      <c r="Y23" s="495">
        <f>'MED CRON'!AB453</f>
        <v>0</v>
      </c>
      <c r="Z23" s="496">
        <f t="shared" si="11"/>
        <v>0</v>
      </c>
      <c r="AA23" s="497">
        <f>'MED CRON'!AD453</f>
        <v>0</v>
      </c>
      <c r="AB23" s="498">
        <f t="shared" si="12"/>
        <v>0</v>
      </c>
      <c r="AC23" s="495">
        <f t="shared" si="13"/>
        <v>102353.48999999999</v>
      </c>
      <c r="AD23" s="499">
        <f t="shared" si="1"/>
        <v>0.99999999999999989</v>
      </c>
    </row>
    <row r="24" spans="1:30" ht="28.5" customHeight="1">
      <c r="A24" s="482" t="str">
        <f>RESUMO!A68</f>
        <v>12.0</v>
      </c>
      <c r="B24" s="492" t="str">
        <f>RESUMO!B68</f>
        <v>COBERTURA</v>
      </c>
      <c r="C24" s="493">
        <f>RESUMO!C68</f>
        <v>209710.46</v>
      </c>
      <c r="D24" s="494">
        <f t="shared" si="0"/>
        <v>7.4259084714720369E-2</v>
      </c>
      <c r="E24" s="495">
        <f>'MED CRON'!H489</f>
        <v>0</v>
      </c>
      <c r="F24" s="496">
        <f t="shared" si="14"/>
        <v>0</v>
      </c>
      <c r="G24" s="497">
        <f>'MED CRON'!J489</f>
        <v>73164.41</v>
      </c>
      <c r="H24" s="494">
        <f t="shared" si="2"/>
        <v>0.34888297894153686</v>
      </c>
      <c r="I24" s="495">
        <f>'MED CRON'!L489</f>
        <v>136546.04999999999</v>
      </c>
      <c r="J24" s="496">
        <f t="shared" si="3"/>
        <v>0.65111702105846314</v>
      </c>
      <c r="K24" s="497">
        <f>'MED CRON'!N489</f>
        <v>0</v>
      </c>
      <c r="L24" s="494">
        <f t="shared" si="4"/>
        <v>0</v>
      </c>
      <c r="M24" s="495">
        <f>'MED CRON'!P489</f>
        <v>0</v>
      </c>
      <c r="N24" s="496">
        <f t="shared" si="5"/>
        <v>0</v>
      </c>
      <c r="O24" s="497">
        <f>'MED CRON'!R489</f>
        <v>0</v>
      </c>
      <c r="P24" s="494">
        <f t="shared" si="6"/>
        <v>0</v>
      </c>
      <c r="Q24" s="495">
        <f>'MED CRON'!T489</f>
        <v>0</v>
      </c>
      <c r="R24" s="496">
        <f t="shared" si="7"/>
        <v>0</v>
      </c>
      <c r="S24" s="497">
        <f>'MED CRON'!V489</f>
        <v>0</v>
      </c>
      <c r="T24" s="494">
        <f t="shared" si="8"/>
        <v>0</v>
      </c>
      <c r="U24" s="495">
        <f>'MED CRON'!X489</f>
        <v>0</v>
      </c>
      <c r="V24" s="496">
        <f t="shared" si="9"/>
        <v>0</v>
      </c>
      <c r="W24" s="497">
        <f>'MED CRON'!Z489</f>
        <v>0</v>
      </c>
      <c r="X24" s="494">
        <f t="shared" si="10"/>
        <v>0</v>
      </c>
      <c r="Y24" s="495">
        <f>'MED CRON'!AB489</f>
        <v>0</v>
      </c>
      <c r="Z24" s="496">
        <f t="shared" si="11"/>
        <v>0</v>
      </c>
      <c r="AA24" s="497">
        <f>'MED CRON'!AD489</f>
        <v>0</v>
      </c>
      <c r="AB24" s="498">
        <f t="shared" si="12"/>
        <v>0</v>
      </c>
      <c r="AC24" s="495">
        <f t="shared" si="13"/>
        <v>209710.46</v>
      </c>
      <c r="AD24" s="500">
        <f t="shared" si="1"/>
        <v>1</v>
      </c>
    </row>
    <row r="25" spans="1:30" ht="28.5" customHeight="1">
      <c r="A25" s="482" t="str">
        <f>RESUMO!A74</f>
        <v>13.0</v>
      </c>
      <c r="B25" s="492" t="str">
        <f>RESUMO!B74</f>
        <v>FACHADA</v>
      </c>
      <c r="C25" s="493">
        <f>RESUMO!C74</f>
        <v>813902.98999999987</v>
      </c>
      <c r="D25" s="494">
        <f t="shared" si="0"/>
        <v>0.28820541943389089</v>
      </c>
      <c r="E25" s="495">
        <f>'MED CRON'!H559</f>
        <v>77558.23000000001</v>
      </c>
      <c r="F25" s="496">
        <f t="shared" si="14"/>
        <v>9.5291737409638977E-2</v>
      </c>
      <c r="G25" s="497">
        <f>'MED CRON'!J559</f>
        <v>58267.54</v>
      </c>
      <c r="H25" s="494">
        <f t="shared" si="2"/>
        <v>7.1590276379252527E-2</v>
      </c>
      <c r="I25" s="495">
        <f>'MED CRON'!L559</f>
        <v>0</v>
      </c>
      <c r="J25" s="496">
        <f t="shared" si="3"/>
        <v>0</v>
      </c>
      <c r="K25" s="497">
        <f>'MED CRON'!N559</f>
        <v>0</v>
      </c>
      <c r="L25" s="494">
        <f t="shared" si="4"/>
        <v>0</v>
      </c>
      <c r="M25" s="495">
        <f>'MED CRON'!P559</f>
        <v>0</v>
      </c>
      <c r="N25" s="496">
        <f t="shared" si="5"/>
        <v>0</v>
      </c>
      <c r="O25" s="497">
        <f>'MED CRON'!R559</f>
        <v>0</v>
      </c>
      <c r="P25" s="494">
        <f t="shared" si="6"/>
        <v>0</v>
      </c>
      <c r="Q25" s="495">
        <f>'MED CRON'!T559</f>
        <v>0</v>
      </c>
      <c r="R25" s="496">
        <f t="shared" si="7"/>
        <v>0</v>
      </c>
      <c r="S25" s="497">
        <f>'MED CRON'!V559</f>
        <v>0</v>
      </c>
      <c r="T25" s="494">
        <f t="shared" si="8"/>
        <v>0</v>
      </c>
      <c r="U25" s="495">
        <f>'MED CRON'!X559</f>
        <v>171313.35</v>
      </c>
      <c r="V25" s="496">
        <f t="shared" si="9"/>
        <v>0.2104837457348572</v>
      </c>
      <c r="W25" s="497">
        <f>'MED CRON'!Z559</f>
        <v>299020.25</v>
      </c>
      <c r="X25" s="494">
        <f t="shared" si="10"/>
        <v>0.36739052893760721</v>
      </c>
      <c r="Y25" s="495">
        <v>207743.61999999988</v>
      </c>
      <c r="Z25" s="496">
        <f t="shared" si="11"/>
        <v>0.25524371153864406</v>
      </c>
      <c r="AA25" s="497">
        <f>'MED CRON'!AD559</f>
        <v>0</v>
      </c>
      <c r="AB25" s="498">
        <f t="shared" si="12"/>
        <v>0</v>
      </c>
      <c r="AC25" s="495">
        <f>AA25+Y25+W25+U25+S25+Q25+O25+M25+K25+I25+G25+E25</f>
        <v>813902.98999999987</v>
      </c>
      <c r="AD25" s="499">
        <f t="shared" si="1"/>
        <v>1</v>
      </c>
    </row>
    <row r="26" spans="1:30" ht="28.5" customHeight="1">
      <c r="A26" s="482" t="str">
        <f>RESUMO!A80</f>
        <v>14.0</v>
      </c>
      <c r="B26" s="492" t="str">
        <f>RESUMO!B80</f>
        <v>ACESSIBILIDADE</v>
      </c>
      <c r="C26" s="493">
        <f>RESUMO!C80</f>
        <v>13853.400000000001</v>
      </c>
      <c r="D26" s="494">
        <f t="shared" si="0"/>
        <v>4.9055292911326757E-3</v>
      </c>
      <c r="E26" s="495">
        <f>'MED CRON'!H568</f>
        <v>0</v>
      </c>
      <c r="F26" s="496">
        <f t="shared" si="14"/>
        <v>0</v>
      </c>
      <c r="G26" s="497">
        <f>'MED CRON'!J568</f>
        <v>0</v>
      </c>
      <c r="H26" s="494">
        <f t="shared" si="2"/>
        <v>0</v>
      </c>
      <c r="I26" s="495">
        <f>'MED CRON'!L568</f>
        <v>0</v>
      </c>
      <c r="J26" s="496">
        <f t="shared" si="3"/>
        <v>0</v>
      </c>
      <c r="K26" s="497">
        <f>'MED CRON'!N568</f>
        <v>0</v>
      </c>
      <c r="L26" s="494">
        <f t="shared" si="4"/>
        <v>0</v>
      </c>
      <c r="M26" s="495">
        <f>'MED CRON'!P568</f>
        <v>0</v>
      </c>
      <c r="N26" s="496">
        <f t="shared" si="5"/>
        <v>0</v>
      </c>
      <c r="O26" s="497">
        <f>'MED CRON'!R568</f>
        <v>0</v>
      </c>
      <c r="P26" s="494">
        <f t="shared" si="6"/>
        <v>0</v>
      </c>
      <c r="Q26" s="495">
        <f>'MED CRON'!T568</f>
        <v>0</v>
      </c>
      <c r="R26" s="496">
        <f t="shared" si="7"/>
        <v>0</v>
      </c>
      <c r="S26" s="497">
        <f>'MED CRON'!V568</f>
        <v>0</v>
      </c>
      <c r="T26" s="494">
        <f t="shared" si="8"/>
        <v>0</v>
      </c>
      <c r="U26" s="495">
        <f>'MED CRON'!X568</f>
        <v>0</v>
      </c>
      <c r="V26" s="496">
        <f t="shared" si="9"/>
        <v>0</v>
      </c>
      <c r="W26" s="497">
        <f>'MED CRON'!Z568</f>
        <v>0</v>
      </c>
      <c r="X26" s="494">
        <f t="shared" si="10"/>
        <v>0</v>
      </c>
      <c r="Y26" s="495">
        <f>'MED CRON'!AB568</f>
        <v>0</v>
      </c>
      <c r="Z26" s="496">
        <f t="shared" si="11"/>
        <v>0</v>
      </c>
      <c r="AA26" s="497">
        <f>'MED CRON'!AD568</f>
        <v>13853.400000000001</v>
      </c>
      <c r="AB26" s="498">
        <f t="shared" si="12"/>
        <v>1</v>
      </c>
      <c r="AC26" s="495">
        <f t="shared" si="13"/>
        <v>13853.400000000001</v>
      </c>
      <c r="AD26" s="499">
        <f t="shared" si="1"/>
        <v>1</v>
      </c>
    </row>
    <row r="27" spans="1:30" ht="28.5" customHeight="1">
      <c r="A27" s="482" t="str">
        <f>RESUMO!A82</f>
        <v>15.0</v>
      </c>
      <c r="B27" s="492" t="str">
        <f>RESUMO!B82</f>
        <v>RAMPA DE ACESSO</v>
      </c>
      <c r="C27" s="493">
        <f>RESUMO!C82</f>
        <v>70501.600000000006</v>
      </c>
      <c r="D27" s="494">
        <f t="shared" si="0"/>
        <v>2.4964821911712606E-2</v>
      </c>
      <c r="E27" s="495">
        <f>'MED CRON'!H593</f>
        <v>14492.009999999998</v>
      </c>
      <c r="F27" s="496">
        <f t="shared" si="14"/>
        <v>0.20555576043664253</v>
      </c>
      <c r="G27" s="497">
        <f>'MED CRON'!J593</f>
        <v>56009.59</v>
      </c>
      <c r="H27" s="494">
        <f t="shared" si="2"/>
        <v>0.7944442395633573</v>
      </c>
      <c r="I27" s="495">
        <f>'MED CRON'!L593</f>
        <v>0</v>
      </c>
      <c r="J27" s="496">
        <f t="shared" si="3"/>
        <v>0</v>
      </c>
      <c r="K27" s="497">
        <f>'MED CRON'!N593</f>
        <v>0</v>
      </c>
      <c r="L27" s="494">
        <f t="shared" si="4"/>
        <v>0</v>
      </c>
      <c r="M27" s="495">
        <f>'MED CRON'!P593</f>
        <v>0</v>
      </c>
      <c r="N27" s="496">
        <f t="shared" si="5"/>
        <v>0</v>
      </c>
      <c r="O27" s="497">
        <f>'MED CRON'!R593</f>
        <v>0</v>
      </c>
      <c r="P27" s="494">
        <f t="shared" si="6"/>
        <v>0</v>
      </c>
      <c r="Q27" s="495">
        <f>'MED CRON'!T593</f>
        <v>0</v>
      </c>
      <c r="R27" s="496">
        <f t="shared" si="7"/>
        <v>0</v>
      </c>
      <c r="S27" s="497">
        <f>'MED CRON'!V593</f>
        <v>0</v>
      </c>
      <c r="T27" s="494">
        <f t="shared" si="8"/>
        <v>0</v>
      </c>
      <c r="U27" s="495">
        <f>'MED CRON'!X593</f>
        <v>0</v>
      </c>
      <c r="V27" s="496">
        <f t="shared" si="9"/>
        <v>0</v>
      </c>
      <c r="W27" s="497">
        <f>'MED CRON'!Z593</f>
        <v>0</v>
      </c>
      <c r="X27" s="494">
        <f t="shared" si="10"/>
        <v>0</v>
      </c>
      <c r="Y27" s="495">
        <f>'MED CRON'!AB593</f>
        <v>0</v>
      </c>
      <c r="Z27" s="496">
        <f t="shared" si="11"/>
        <v>0</v>
      </c>
      <c r="AA27" s="497">
        <f>'MED CRON'!AD593</f>
        <v>0</v>
      </c>
      <c r="AB27" s="498">
        <f t="shared" si="12"/>
        <v>0</v>
      </c>
      <c r="AC27" s="495">
        <f t="shared" si="13"/>
        <v>70501.599999999991</v>
      </c>
      <c r="AD27" s="499">
        <f t="shared" si="1"/>
        <v>0.99999999999999978</v>
      </c>
    </row>
    <row r="28" spans="1:30" ht="28.5" customHeight="1">
      <c r="A28" s="482" t="str">
        <f>RESUMO!A87</f>
        <v>16.0</v>
      </c>
      <c r="B28" s="492" t="str">
        <f>RESUMO!B87</f>
        <v>ELEVADOR</v>
      </c>
      <c r="C28" s="493">
        <f>RESUMO!C87</f>
        <v>86862.659999999989</v>
      </c>
      <c r="D28" s="494">
        <f t="shared" si="0"/>
        <v>3.0758320912967107E-2</v>
      </c>
      <c r="E28" s="495">
        <f>'MED CRON'!H631</f>
        <v>13840.960000000001</v>
      </c>
      <c r="F28" s="496">
        <f t="shared" si="14"/>
        <v>0.15934303646699285</v>
      </c>
      <c r="G28" s="497">
        <f>'MED CRON'!J631</f>
        <v>65451.609999999993</v>
      </c>
      <c r="H28" s="494">
        <f t="shared" si="2"/>
        <v>0.75350685783741833</v>
      </c>
      <c r="I28" s="495">
        <f>'MED CRON'!L631</f>
        <v>7570.09</v>
      </c>
      <c r="J28" s="496">
        <f t="shared" si="3"/>
        <v>8.7150105695588884E-2</v>
      </c>
      <c r="K28" s="497">
        <f>'MED CRON'!N631</f>
        <v>0</v>
      </c>
      <c r="L28" s="494">
        <f t="shared" si="4"/>
        <v>0</v>
      </c>
      <c r="M28" s="495">
        <f>'MED CRON'!P631</f>
        <v>0</v>
      </c>
      <c r="N28" s="496">
        <f t="shared" si="5"/>
        <v>0</v>
      </c>
      <c r="O28" s="497">
        <f>'MED CRON'!R631</f>
        <v>0</v>
      </c>
      <c r="P28" s="494">
        <f t="shared" si="6"/>
        <v>0</v>
      </c>
      <c r="Q28" s="495">
        <f>'MED CRON'!T631</f>
        <v>0</v>
      </c>
      <c r="R28" s="496">
        <f t="shared" si="7"/>
        <v>0</v>
      </c>
      <c r="S28" s="497">
        <f>'MED CRON'!V631</f>
        <v>0</v>
      </c>
      <c r="T28" s="494">
        <f t="shared" si="8"/>
        <v>0</v>
      </c>
      <c r="U28" s="495">
        <f>'MED CRON'!X631</f>
        <v>0</v>
      </c>
      <c r="V28" s="496">
        <f t="shared" si="9"/>
        <v>0</v>
      </c>
      <c r="W28" s="497">
        <f>'MED CRON'!Z631</f>
        <v>0</v>
      </c>
      <c r="X28" s="494">
        <f t="shared" si="10"/>
        <v>0</v>
      </c>
      <c r="Y28" s="495">
        <f>'MED CRON'!AB631</f>
        <v>0</v>
      </c>
      <c r="Z28" s="496">
        <f t="shared" si="11"/>
        <v>0</v>
      </c>
      <c r="AA28" s="497">
        <f>'MED CRON'!AD631</f>
        <v>0</v>
      </c>
      <c r="AB28" s="498">
        <f t="shared" si="12"/>
        <v>0</v>
      </c>
      <c r="AC28" s="495">
        <f t="shared" si="13"/>
        <v>86862.66</v>
      </c>
      <c r="AD28" s="499">
        <f t="shared" si="1"/>
        <v>1.0000000000000002</v>
      </c>
    </row>
    <row r="29" spans="1:30">
      <c r="A29" s="482"/>
      <c r="B29" s="492"/>
      <c r="C29" s="501"/>
      <c r="D29" s="498"/>
      <c r="E29" s="495"/>
      <c r="F29" s="499"/>
      <c r="G29" s="497"/>
      <c r="H29" s="494"/>
      <c r="I29" s="495"/>
      <c r="J29" s="496"/>
      <c r="K29" s="497"/>
      <c r="L29" s="502"/>
      <c r="M29" s="495"/>
      <c r="N29" s="503"/>
      <c r="O29" s="497"/>
      <c r="P29" s="504"/>
      <c r="Q29" s="505"/>
      <c r="R29" s="503"/>
      <c r="S29" s="506"/>
      <c r="T29" s="504"/>
      <c r="U29" s="505"/>
      <c r="V29" s="503"/>
      <c r="W29" s="506"/>
      <c r="X29" s="504"/>
      <c r="Y29" s="505"/>
      <c r="Z29" s="503"/>
      <c r="AA29" s="506"/>
      <c r="AB29" s="504"/>
      <c r="AC29" s="495"/>
      <c r="AD29" s="499"/>
    </row>
    <row r="30" spans="1:30">
      <c r="A30" s="482"/>
      <c r="B30" s="492"/>
      <c r="C30" s="501"/>
      <c r="D30" s="498"/>
      <c r="E30" s="495"/>
      <c r="F30" s="499"/>
      <c r="G30" s="497"/>
      <c r="H30" s="494"/>
      <c r="I30" s="495"/>
      <c r="J30" s="496"/>
      <c r="K30" s="497"/>
      <c r="L30" s="502"/>
      <c r="M30" s="495"/>
      <c r="N30" s="503"/>
      <c r="O30" s="497"/>
      <c r="P30" s="504"/>
      <c r="Q30" s="505"/>
      <c r="R30" s="503"/>
      <c r="S30" s="506"/>
      <c r="T30" s="504"/>
      <c r="U30" s="505"/>
      <c r="V30" s="503"/>
      <c r="W30" s="506"/>
      <c r="X30" s="504"/>
      <c r="Y30" s="505"/>
      <c r="Z30" s="503"/>
      <c r="AA30" s="506"/>
      <c r="AB30" s="504"/>
      <c r="AC30" s="495"/>
      <c r="AD30" s="499"/>
    </row>
    <row r="31" spans="1:30">
      <c r="A31" s="482"/>
      <c r="B31" s="492"/>
      <c r="C31" s="501"/>
      <c r="D31" s="498"/>
      <c r="E31" s="495"/>
      <c r="F31" s="499"/>
      <c r="G31" s="497"/>
      <c r="H31" s="494"/>
      <c r="I31" s="495"/>
      <c r="J31" s="496"/>
      <c r="K31" s="497"/>
      <c r="L31" s="502"/>
      <c r="M31" s="495"/>
      <c r="N31" s="503"/>
      <c r="O31" s="497"/>
      <c r="P31" s="504"/>
      <c r="Q31" s="505"/>
      <c r="R31" s="503"/>
      <c r="S31" s="506"/>
      <c r="T31" s="504"/>
      <c r="U31" s="505"/>
      <c r="V31" s="503"/>
      <c r="W31" s="506"/>
      <c r="X31" s="504"/>
      <c r="Y31" s="505"/>
      <c r="Z31" s="503"/>
      <c r="AA31" s="506"/>
      <c r="AB31" s="504"/>
      <c r="AC31" s="495"/>
      <c r="AD31" s="499"/>
    </row>
    <row r="32" spans="1:30" ht="15.75" thickBot="1">
      <c r="A32" s="507"/>
      <c r="B32" s="508"/>
      <c r="C32" s="509"/>
      <c r="D32" s="510"/>
      <c r="E32" s="511"/>
      <c r="F32" s="512"/>
      <c r="G32" s="513"/>
      <c r="H32" s="514"/>
      <c r="I32" s="511"/>
      <c r="J32" s="515"/>
      <c r="K32" s="513"/>
      <c r="L32" s="516"/>
      <c r="M32" s="511"/>
      <c r="N32" s="517"/>
      <c r="O32" s="513"/>
      <c r="P32" s="518"/>
      <c r="Q32" s="519"/>
      <c r="R32" s="517"/>
      <c r="S32" s="520"/>
      <c r="T32" s="518"/>
      <c r="U32" s="519"/>
      <c r="V32" s="517"/>
      <c r="W32" s="520"/>
      <c r="X32" s="518"/>
      <c r="Y32" s="519"/>
      <c r="Z32" s="517"/>
      <c r="AA32" s="520"/>
      <c r="AB32" s="518"/>
      <c r="AC32" s="511"/>
      <c r="AD32" s="512"/>
    </row>
    <row r="33" spans="1:30">
      <c r="A33" s="1422" t="s">
        <v>95</v>
      </c>
      <c r="B33" s="1423"/>
      <c r="C33" s="521">
        <f>SUM(C13:C32)</f>
        <v>2824037.77</v>
      </c>
      <c r="D33" s="522">
        <f>SUM(D13:D32)</f>
        <v>0.99999999999999978</v>
      </c>
      <c r="E33" s="523">
        <f>SUM(E13:E29)</f>
        <v>374170.53000000009</v>
      </c>
      <c r="F33" s="524">
        <f>E33/$C$33</f>
        <v>0.13249487452853723</v>
      </c>
      <c r="G33" s="523">
        <f>SUM(G13:G32)</f>
        <v>364637.52</v>
      </c>
      <c r="H33" s="524">
        <f>G33/$C$33</f>
        <v>0.12911920792050879</v>
      </c>
      <c r="I33" s="525">
        <f>SUM(I13:I32)</f>
        <v>171385.40999999997</v>
      </c>
      <c r="J33" s="524">
        <f>I33/$C$33</f>
        <v>6.0688072879421857E-2</v>
      </c>
      <c r="K33" s="525">
        <f>SUM(K13:K32)</f>
        <v>372693.64999999979</v>
      </c>
      <c r="L33" s="524">
        <f>K33/$C$33</f>
        <v>0.13197190701879308</v>
      </c>
      <c r="M33" s="523">
        <f>SUM(M13:M32)</f>
        <v>207136.52999999997</v>
      </c>
      <c r="N33" s="524">
        <f>M33/$C$33</f>
        <v>7.3347648604572296E-2</v>
      </c>
      <c r="O33" s="525">
        <f>SUM(O13:O32)</f>
        <v>210714.90999999997</v>
      </c>
      <c r="P33" s="524">
        <f>O33/$C$33</f>
        <v>7.4614763385406124E-2</v>
      </c>
      <c r="Q33" s="523">
        <f t="shared" ref="Q33:AA33" si="15">SUM(Q13:Q32)</f>
        <v>215613.23000000004</v>
      </c>
      <c r="R33" s="526">
        <f>Q33/$C$33</f>
        <v>7.6349272764861087E-2</v>
      </c>
      <c r="S33" s="525">
        <f t="shared" si="15"/>
        <v>144922.87</v>
      </c>
      <c r="T33" s="526">
        <f>S33/$C$33</f>
        <v>5.1317610387342658E-2</v>
      </c>
      <c r="U33" s="523">
        <f t="shared" si="15"/>
        <v>188085.02000000002</v>
      </c>
      <c r="V33" s="526">
        <f>U33/$C$33</f>
        <v>6.660145342177913E-2</v>
      </c>
      <c r="W33" s="523">
        <f t="shared" si="15"/>
        <v>315791.92</v>
      </c>
      <c r="X33" s="526">
        <f>W33/$C$33</f>
        <v>0.11182283868675028</v>
      </c>
      <c r="Y33" s="525">
        <f t="shared" si="15"/>
        <v>224515.28999999986</v>
      </c>
      <c r="Z33" s="526">
        <f>Y33/$C$33</f>
        <v>7.9501518140106128E-2</v>
      </c>
      <c r="AA33" s="525">
        <f t="shared" si="15"/>
        <v>34370.89</v>
      </c>
      <c r="AB33" s="526">
        <f>AA33/$C$33</f>
        <v>1.2170832261921199E-2</v>
      </c>
      <c r="AC33" s="523">
        <f>SUM(AC13:AC32)</f>
        <v>2824037.77</v>
      </c>
      <c r="AD33" s="526">
        <f>AC33/$C$33</f>
        <v>1</v>
      </c>
    </row>
    <row r="34" spans="1:30" ht="15.75" thickBot="1">
      <c r="A34" s="1430" t="s">
        <v>105</v>
      </c>
      <c r="B34" s="1431"/>
      <c r="C34" s="1431"/>
      <c r="D34" s="1432"/>
      <c r="E34" s="527">
        <f>E33</f>
        <v>374170.53000000009</v>
      </c>
      <c r="F34" s="528">
        <f>E34/$C$33</f>
        <v>0.13249487452853723</v>
      </c>
      <c r="G34" s="527">
        <f>G33+E34</f>
        <v>738808.05</v>
      </c>
      <c r="H34" s="528">
        <f>G34/$C$33</f>
        <v>0.26161408244904599</v>
      </c>
      <c r="I34" s="529">
        <f>I33+G34</f>
        <v>910193.46</v>
      </c>
      <c r="J34" s="528">
        <f>I34/$C$33</f>
        <v>0.32230215532846784</v>
      </c>
      <c r="K34" s="529">
        <f>K33+I34</f>
        <v>1282887.1099999999</v>
      </c>
      <c r="L34" s="528">
        <f>K34/$C$33</f>
        <v>0.45427406234726098</v>
      </c>
      <c r="M34" s="527">
        <f>M33+K34</f>
        <v>1490023.64</v>
      </c>
      <c r="N34" s="528">
        <f>M34/$C$33</f>
        <v>0.5276217109518333</v>
      </c>
      <c r="O34" s="529">
        <f>O33+M34</f>
        <v>1700738.5499999998</v>
      </c>
      <c r="P34" s="528">
        <f>O34/$C$33</f>
        <v>0.60223647433723937</v>
      </c>
      <c r="Q34" s="527">
        <f t="shared" ref="Q34:AA34" si="16">Q33+O34</f>
        <v>1916351.7799999998</v>
      </c>
      <c r="R34" s="530">
        <f>Q34/$C$33</f>
        <v>0.67858574710210051</v>
      </c>
      <c r="S34" s="529">
        <f t="shared" si="16"/>
        <v>2061274.65</v>
      </c>
      <c r="T34" s="530">
        <f>S34/$C$33</f>
        <v>0.72990335748944313</v>
      </c>
      <c r="U34" s="527">
        <f t="shared" si="16"/>
        <v>2249359.67</v>
      </c>
      <c r="V34" s="530">
        <f>U34/$C$33</f>
        <v>0.79650481091122227</v>
      </c>
      <c r="W34" s="527">
        <f t="shared" si="16"/>
        <v>2565151.59</v>
      </c>
      <c r="X34" s="530">
        <f>W34/$C$33</f>
        <v>0.90832764959797252</v>
      </c>
      <c r="Y34" s="529">
        <f t="shared" si="16"/>
        <v>2789666.88</v>
      </c>
      <c r="Z34" s="530">
        <f>Y34/$C$33</f>
        <v>0.98782916773807872</v>
      </c>
      <c r="AA34" s="529">
        <f t="shared" si="16"/>
        <v>2824037.77</v>
      </c>
      <c r="AB34" s="530">
        <f>AA34/$C$33</f>
        <v>1</v>
      </c>
      <c r="AC34" s="527"/>
      <c r="AD34" s="530">
        <f>AC34/$C$33</f>
        <v>0</v>
      </c>
    </row>
    <row r="36" spans="1:30">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row>
    <row r="37" spans="1:30">
      <c r="B37" s="534"/>
      <c r="C37" s="534"/>
      <c r="E37" s="535"/>
      <c r="F37" s="535"/>
      <c r="G37" s="535"/>
      <c r="H37" s="536"/>
      <c r="I37" s="535"/>
      <c r="J37" s="536"/>
      <c r="K37" s="535"/>
      <c r="L37" s="536"/>
      <c r="M37" s="535"/>
      <c r="N37" s="535"/>
      <c r="O37" s="535"/>
      <c r="P37" s="535"/>
      <c r="Q37" s="535"/>
      <c r="R37" s="535"/>
      <c r="S37" s="535"/>
      <c r="T37" s="535"/>
      <c r="U37" s="535"/>
      <c r="V37" s="535"/>
      <c r="W37" s="535"/>
      <c r="X37" s="535"/>
      <c r="Y37" s="535"/>
      <c r="Z37" s="535"/>
      <c r="AA37" s="535"/>
      <c r="AB37" s="535"/>
      <c r="AC37" s="535"/>
      <c r="AD37" s="535"/>
    </row>
    <row r="38" spans="1:30" ht="18.75" customHeight="1">
      <c r="B38" s="480"/>
      <c r="C38" s="480"/>
      <c r="D38" s="480"/>
      <c r="E38" s="533"/>
      <c r="F38" s="535"/>
      <c r="G38" s="535"/>
      <c r="H38" s="536"/>
      <c r="I38" s="535"/>
      <c r="J38" s="536"/>
      <c r="K38" s="535"/>
      <c r="L38" s="536"/>
      <c r="M38" s="535"/>
      <c r="N38" s="535"/>
      <c r="O38" s="535"/>
      <c r="P38" s="535"/>
      <c r="Q38" s="533"/>
      <c r="R38" s="535"/>
      <c r="S38" s="535"/>
      <c r="T38" s="535"/>
      <c r="U38" s="535"/>
      <c r="V38" s="535"/>
      <c r="W38" s="535"/>
      <c r="X38" s="535"/>
      <c r="Y38" s="535"/>
      <c r="Z38" s="535"/>
      <c r="AA38" s="535"/>
      <c r="AB38" s="535"/>
      <c r="AC38" s="533"/>
      <c r="AD38" s="535"/>
    </row>
    <row r="39" spans="1:30">
      <c r="B39" s="537"/>
      <c r="C39" s="540">
        <f>RESUMO!C94</f>
        <v>2824037.77</v>
      </c>
      <c r="D39" s="480"/>
      <c r="E39" s="535"/>
      <c r="F39" s="535"/>
      <c r="G39" s="535"/>
      <c r="H39" s="536"/>
      <c r="I39" s="535"/>
      <c r="J39" s="536"/>
      <c r="K39" s="535"/>
      <c r="L39" s="536"/>
      <c r="M39" s="535"/>
      <c r="N39" s="535"/>
      <c r="O39" s="535"/>
      <c r="P39" s="535"/>
      <c r="Q39" s="535"/>
      <c r="R39" s="535"/>
      <c r="S39" s="535"/>
      <c r="T39" s="535"/>
      <c r="U39" s="535"/>
      <c r="V39" s="535"/>
      <c r="W39" s="535"/>
      <c r="X39" s="535"/>
      <c r="Y39" s="535"/>
      <c r="Z39" s="535"/>
      <c r="AA39" s="535"/>
      <c r="AB39" s="535"/>
      <c r="AC39" s="535"/>
      <c r="AD39" s="535"/>
    </row>
    <row r="40" spans="1:30">
      <c r="B40" s="537"/>
      <c r="C40" s="537"/>
      <c r="D40" s="480"/>
      <c r="E40" s="538"/>
      <c r="F40" s="535"/>
      <c r="G40" s="538"/>
      <c r="H40" s="536"/>
      <c r="I40" s="538"/>
      <c r="J40" s="536"/>
      <c r="K40" s="538"/>
      <c r="L40" s="536"/>
      <c r="M40" s="538"/>
      <c r="N40" s="535"/>
      <c r="O40" s="538"/>
      <c r="P40" s="535"/>
      <c r="Q40" s="538"/>
      <c r="R40" s="535"/>
      <c r="S40" s="538"/>
      <c r="T40" s="535"/>
      <c r="U40" s="538"/>
      <c r="V40" s="535"/>
      <c r="W40" s="538"/>
      <c r="X40" s="535"/>
      <c r="Y40" s="538"/>
      <c r="Z40" s="535"/>
      <c r="AA40" s="538"/>
      <c r="AB40" s="535"/>
      <c r="AC40" s="533">
        <f>C33-AC33</f>
        <v>0</v>
      </c>
      <c r="AD40" s="535"/>
    </row>
    <row r="41" spans="1:30">
      <c r="B41" s="480"/>
      <c r="C41" s="480"/>
      <c r="D41" s="480"/>
      <c r="E41" s="533"/>
      <c r="F41" s="535"/>
      <c r="G41" s="535"/>
      <c r="H41" s="536"/>
      <c r="I41" s="535"/>
      <c r="J41" s="536"/>
      <c r="K41" s="535"/>
      <c r="L41" s="536"/>
      <c r="M41" s="535"/>
      <c r="N41" s="535"/>
      <c r="O41" s="535"/>
      <c r="P41" s="535"/>
      <c r="Q41" s="535"/>
      <c r="R41" s="535"/>
      <c r="S41" s="535"/>
      <c r="T41" s="535"/>
      <c r="U41" s="535"/>
      <c r="V41" s="535"/>
      <c r="W41" s="535"/>
      <c r="X41" s="535"/>
      <c r="Y41" s="535"/>
      <c r="Z41" s="535"/>
      <c r="AA41" s="535"/>
      <c r="AB41" s="535"/>
      <c r="AC41" s="535"/>
      <c r="AD41" s="535"/>
    </row>
    <row r="42" spans="1:30">
      <c r="B42" s="480"/>
      <c r="C42" s="480"/>
      <c r="D42" s="480"/>
      <c r="E42" s="535"/>
      <c r="F42" s="535"/>
      <c r="G42" s="535"/>
      <c r="H42" s="536"/>
      <c r="I42" s="535"/>
      <c r="J42" s="536"/>
      <c r="K42" s="535"/>
      <c r="L42" s="536"/>
      <c r="M42" s="535"/>
      <c r="N42" s="535"/>
      <c r="O42" s="535"/>
      <c r="P42" s="535"/>
      <c r="Q42" s="535"/>
      <c r="R42" s="535"/>
      <c r="S42" s="535"/>
      <c r="T42" s="535"/>
      <c r="U42" s="535"/>
      <c r="V42" s="535"/>
      <c r="W42" s="535"/>
      <c r="X42" s="535"/>
      <c r="Y42" s="535"/>
      <c r="Z42" s="535"/>
      <c r="AA42" s="535"/>
      <c r="AB42" s="535"/>
      <c r="AC42" s="535"/>
      <c r="AD42" s="535"/>
    </row>
    <row r="43" spans="1:30">
      <c r="B43" s="480"/>
      <c r="C43" s="537"/>
      <c r="D43" s="480"/>
      <c r="AC43" s="1310">
        <f>SUM(AC13:AC28)</f>
        <v>2824037.77</v>
      </c>
    </row>
    <row r="44" spans="1:30">
      <c r="B44" s="480"/>
      <c r="C44" s="540"/>
      <c r="D44" s="480"/>
    </row>
    <row r="45" spans="1:30">
      <c r="B45" s="480"/>
      <c r="C45" s="480"/>
      <c r="D45" s="480"/>
      <c r="AC45" s="1310">
        <f>C33-AC33</f>
        <v>0</v>
      </c>
    </row>
    <row r="46" spans="1:30">
      <c r="B46" s="480"/>
      <c r="C46" s="480"/>
      <c r="D46" s="480"/>
    </row>
    <row r="47" spans="1:30">
      <c r="B47" s="480"/>
      <c r="C47" s="537"/>
      <c r="D47" s="480"/>
      <c r="M47" s="541" t="s">
        <v>421</v>
      </c>
    </row>
    <row r="48" spans="1:30">
      <c r="B48" s="480"/>
      <c r="C48" s="537"/>
      <c r="D48" s="480"/>
    </row>
    <row r="1093" spans="1:30" s="545" customFormat="1">
      <c r="A1093" s="542"/>
      <c r="B1093" s="543"/>
      <c r="C1093" s="542"/>
      <c r="D1093" s="542"/>
      <c r="E1093" s="542"/>
      <c r="F1093" s="542"/>
      <c r="G1093" s="542"/>
      <c r="H1093" s="544"/>
      <c r="I1093" s="542"/>
      <c r="J1093" s="544"/>
      <c r="K1093" s="542"/>
      <c r="L1093" s="544"/>
      <c r="M1093" s="542"/>
      <c r="N1093" s="542"/>
      <c r="O1093" s="542"/>
      <c r="P1093" s="542"/>
      <c r="Q1093" s="542"/>
      <c r="R1093" s="542"/>
      <c r="S1093" s="542"/>
      <c r="T1093" s="542"/>
      <c r="U1093" s="542"/>
      <c r="V1093" s="542"/>
      <c r="W1093" s="542"/>
      <c r="X1093" s="542"/>
      <c r="Y1093" s="542"/>
      <c r="Z1093" s="542"/>
      <c r="AA1093" s="542"/>
      <c r="AB1093" s="542"/>
      <c r="AC1093" s="542"/>
      <c r="AD1093" s="542"/>
    </row>
    <row r="1635" spans="1:30" s="545" customFormat="1">
      <c r="A1635" s="542"/>
      <c r="B1635" s="543"/>
      <c r="C1635" s="542"/>
      <c r="D1635" s="542"/>
      <c r="E1635" s="542"/>
      <c r="F1635" s="542"/>
      <c r="G1635" s="542"/>
      <c r="H1635" s="544"/>
      <c r="I1635" s="542"/>
      <c r="J1635" s="544"/>
      <c r="K1635" s="542"/>
      <c r="L1635" s="544"/>
      <c r="M1635" s="542"/>
      <c r="N1635" s="542"/>
      <c r="O1635" s="542"/>
      <c r="P1635" s="542"/>
      <c r="Q1635" s="542"/>
      <c r="R1635" s="542"/>
      <c r="S1635" s="542"/>
      <c r="T1635" s="542"/>
      <c r="U1635" s="542"/>
      <c r="V1635" s="542"/>
      <c r="W1635" s="542"/>
      <c r="X1635" s="542"/>
      <c r="Y1635" s="542"/>
      <c r="Z1635" s="542"/>
      <c r="AA1635" s="542"/>
      <c r="AB1635" s="542"/>
      <c r="AC1635" s="542"/>
      <c r="AD1635" s="542"/>
    </row>
    <row r="1636" spans="1:30" s="545" customFormat="1">
      <c r="A1636" s="542"/>
      <c r="B1636" s="543"/>
      <c r="C1636" s="542"/>
      <c r="D1636" s="542"/>
      <c r="E1636" s="542"/>
      <c r="F1636" s="542"/>
      <c r="G1636" s="542"/>
      <c r="H1636" s="544"/>
      <c r="I1636" s="542"/>
      <c r="J1636" s="544"/>
      <c r="K1636" s="542"/>
      <c r="L1636" s="544"/>
      <c r="M1636" s="542"/>
      <c r="N1636" s="542"/>
      <c r="O1636" s="542"/>
      <c r="P1636" s="542"/>
      <c r="Q1636" s="542"/>
      <c r="R1636" s="542"/>
      <c r="S1636" s="542"/>
      <c r="T1636" s="542"/>
      <c r="U1636" s="542"/>
      <c r="V1636" s="542"/>
      <c r="W1636" s="542"/>
      <c r="X1636" s="542"/>
      <c r="Y1636" s="542"/>
      <c r="Z1636" s="542"/>
      <c r="AA1636" s="542"/>
      <c r="AB1636" s="542"/>
      <c r="AC1636" s="542"/>
      <c r="AD1636" s="542"/>
    </row>
  </sheetData>
  <sheetProtection password="CA35" sheet="1" formatCells="0" formatColumns="0" formatRows="0" insertColumns="0" insertRows="0" insertHyperlinks="0" deleteColumns="0" deleteRows="0" sort="0" autoFilter="0" pivotTables="0"/>
  <mergeCells count="33">
    <mergeCell ref="A1:AD1"/>
    <mergeCell ref="A2:AD2"/>
    <mergeCell ref="A3:AD3"/>
    <mergeCell ref="AC4:AD5"/>
    <mergeCell ref="AC6:AD7"/>
    <mergeCell ref="A34:D34"/>
    <mergeCell ref="B4:AB4"/>
    <mergeCell ref="B5:AB5"/>
    <mergeCell ref="B6:AB6"/>
    <mergeCell ref="B7:AB7"/>
    <mergeCell ref="A9:AD9"/>
    <mergeCell ref="K11:L11"/>
    <mergeCell ref="M11:N11"/>
    <mergeCell ref="O11:P11"/>
    <mergeCell ref="G11:H11"/>
    <mergeCell ref="AC11:AD11"/>
    <mergeCell ref="A8:AD8"/>
    <mergeCell ref="A11:A12"/>
    <mergeCell ref="B11:B12"/>
    <mergeCell ref="C11:C12"/>
    <mergeCell ref="D11:D12"/>
    <mergeCell ref="A10:D10"/>
    <mergeCell ref="Y11:Z11"/>
    <mergeCell ref="AA11:AB11"/>
    <mergeCell ref="I11:J11"/>
    <mergeCell ref="A33:B33"/>
    <mergeCell ref="E11:F11"/>
    <mergeCell ref="E10:P10"/>
    <mergeCell ref="Q10:AB10"/>
    <mergeCell ref="Q11:R11"/>
    <mergeCell ref="S11:T11"/>
    <mergeCell ref="U11:V11"/>
    <mergeCell ref="W11:X11"/>
  </mergeCells>
  <printOptions horizontalCentered="1"/>
  <pageMargins left="0.23622047244094491" right="0.43307086614173229" top="1.0236220472440944" bottom="1.5748031496062993" header="0.31496062992125984" footer="0.31496062992125984"/>
  <pageSetup paperSize="9" scale="21" fitToHeight="0" orientation="portrait" r:id="rId1"/>
  <headerFooter>
    <oddHeader xml:space="preserve">&amp;L&amp;G&amp;RSecretaria de Estado de Planejamento e Gestão - SEPLAG
(65) 3613-3619
GERENCIA DE INFRAESTRUTURA
(65) 3611-3753
</oddHeader>
    <oddFooter>&amp;L&amp;G&amp;C&amp;P
&amp;R&amp;A
&amp;D&amp;T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1"/>
  <sheetViews>
    <sheetView showGridLines="0" view="pageBreakPreview" topLeftCell="A127" zoomScale="70" zoomScaleNormal="100" zoomScaleSheetLayoutView="70" zoomScalePageLayoutView="70" workbookViewId="0">
      <selection activeCell="K214" sqref="K214"/>
    </sheetView>
  </sheetViews>
  <sheetFormatPr defaultRowHeight="15"/>
  <cols>
    <col min="1" max="1" width="25.7109375" style="186" customWidth="1"/>
    <col min="2" max="2" width="154" style="186" customWidth="1"/>
    <col min="3" max="3" width="18.28515625" style="186" customWidth="1"/>
    <col min="4" max="4" width="11.28515625" style="186" customWidth="1"/>
    <col min="5" max="5" width="15.5703125" style="186" customWidth="1"/>
    <col min="6" max="16384" width="9.140625" style="186"/>
  </cols>
  <sheetData>
    <row r="1" spans="1:5">
      <c r="A1" s="1467" t="str">
        <f>PLANILHA!A1</f>
        <v>GOVERNO DO ESTADO DE MATO GROSSO</v>
      </c>
      <c r="B1" s="1468"/>
      <c r="C1" s="1468"/>
      <c r="D1" s="1468"/>
      <c r="E1" s="1469"/>
    </row>
    <row r="2" spans="1:5">
      <c r="A2" s="1467" t="str">
        <f>PLANILHA!A2</f>
        <v>SEPLAG - SECRETARIA DE ESTADO DE PLANEJAMENTO E GESTÃO/MT</v>
      </c>
      <c r="B2" s="1468"/>
      <c r="C2" s="1468"/>
      <c r="D2" s="1468"/>
      <c r="E2" s="1469"/>
    </row>
    <row r="3" spans="1:5">
      <c r="A3" s="1467"/>
      <c r="B3" s="1468"/>
      <c r="C3" s="1468"/>
      <c r="D3" s="1468"/>
      <c r="E3" s="1469"/>
    </row>
    <row r="4" spans="1:5">
      <c r="A4" s="187" t="str">
        <f>PLANILHA!A4</f>
        <v>OBRA:</v>
      </c>
      <c r="B4" s="187" t="str">
        <f>PLANILHA!B4</f>
        <v>REFORMA DO PREDIO ESCOLA DE GOVERNO</v>
      </c>
      <c r="C4" s="1471" t="str">
        <f>PLANILHA!I4</f>
        <v>FONTE:</v>
      </c>
      <c r="D4" s="1472" t="str">
        <f>PLANILHA!I5</f>
        <v>TABELA SINAPI 02/2022, SETOP 04/2021</v>
      </c>
      <c r="E4" s="1472"/>
    </row>
    <row r="5" spans="1:5">
      <c r="A5" s="187" t="str">
        <f>PLANILHA!A5</f>
        <v>LOCAL:</v>
      </c>
      <c r="B5" s="187" t="str">
        <f>PLANILHA!B5</f>
        <v>CENTRO POLITICO ADMINISTRATIVO</v>
      </c>
      <c r="C5" s="1471"/>
      <c r="D5" s="1472"/>
      <c r="E5" s="1472"/>
    </row>
    <row r="6" spans="1:5">
      <c r="A6" s="187" t="str">
        <f>PLANILHA!A6</f>
        <v>PROP:</v>
      </c>
      <c r="B6" s="187" t="str">
        <f>PLANILHA!B6</f>
        <v>GOVERNO DO ESTADO DE MATO GROSSO</v>
      </c>
      <c r="C6" s="1470" t="str">
        <f>PLANILHA!K4</f>
        <v>BDI NÃO DESON</v>
      </c>
      <c r="D6" s="1470"/>
      <c r="E6" s="188">
        <f>PLANILHA!K6</f>
        <v>0.22226164190779008</v>
      </c>
    </row>
    <row r="7" spans="1:5" ht="30" customHeight="1">
      <c r="A7" s="187" t="str">
        <f>PLANILHA!A7</f>
        <v>END:</v>
      </c>
      <c r="B7" s="187" t="str">
        <f>PLANILHA!B7</f>
        <v>RUA C, CENTRO POLÍTICO ADMINISTRATIVO, CUIABÁ – MT</v>
      </c>
      <c r="C7" s="1472" t="str">
        <f>PLANILHA!L4</f>
        <v>BDI DESON</v>
      </c>
      <c r="D7" s="1472"/>
      <c r="E7" s="188">
        <f>PLANILHA!L6</f>
        <v>0.28347674918197008</v>
      </c>
    </row>
    <row r="8" spans="1:5">
      <c r="A8" s="1467"/>
      <c r="B8" s="1468"/>
      <c r="C8" s="1468"/>
      <c r="D8" s="1468"/>
      <c r="E8" s="1469"/>
    </row>
    <row r="9" spans="1:5">
      <c r="A9" s="1470" t="s">
        <v>7193</v>
      </c>
      <c r="B9" s="1470"/>
      <c r="C9" s="1470"/>
      <c r="D9" s="1470"/>
      <c r="E9" s="1470"/>
    </row>
    <row r="10" spans="1:5" hidden="1"/>
    <row r="11" spans="1:5" hidden="1">
      <c r="A11" s="172" t="s">
        <v>7018</v>
      </c>
    </row>
    <row r="12" spans="1:5" ht="15.75" hidden="1">
      <c r="A12" s="1473" t="s">
        <v>7019</v>
      </c>
      <c r="B12" s="1473"/>
      <c r="C12" s="1473"/>
      <c r="D12" s="1473"/>
    </row>
    <row r="13" spans="1:5" hidden="1">
      <c r="A13" s="1474" t="s">
        <v>7020</v>
      </c>
      <c r="B13" s="1475"/>
      <c r="C13" s="1475"/>
      <c r="D13" s="1475"/>
    </row>
    <row r="14" spans="1:5" hidden="1"/>
    <row r="15" spans="1:5" hidden="1">
      <c r="B15" s="189" t="s">
        <v>7021</v>
      </c>
      <c r="C15" s="189" t="s">
        <v>7022</v>
      </c>
    </row>
    <row r="16" spans="1:5" hidden="1">
      <c r="B16" s="173"/>
      <c r="C16" s="174"/>
    </row>
    <row r="17" spans="1:4" hidden="1">
      <c r="B17" s="175" t="s">
        <v>7023</v>
      </c>
      <c r="C17" s="176">
        <v>0.04</v>
      </c>
    </row>
    <row r="18" spans="1:4" hidden="1">
      <c r="B18" s="177"/>
      <c r="C18" s="178"/>
    </row>
    <row r="19" spans="1:4" s="190" customFormat="1" ht="15.75" hidden="1">
      <c r="A19" s="186"/>
      <c r="B19" s="175" t="s">
        <v>7024</v>
      </c>
      <c r="C19" s="176">
        <v>1.23E-2</v>
      </c>
      <c r="D19" s="186"/>
    </row>
    <row r="20" spans="1:4" s="190" customFormat="1" ht="15.75" hidden="1">
      <c r="A20" s="186"/>
      <c r="B20" s="175"/>
      <c r="C20" s="179"/>
      <c r="D20" s="186"/>
    </row>
    <row r="21" spans="1:4" s="190" customFormat="1" ht="15.75" hidden="1">
      <c r="A21" s="186"/>
      <c r="B21" s="175" t="s">
        <v>7025</v>
      </c>
      <c r="C21" s="176">
        <v>1.2699999999999999E-2</v>
      </c>
      <c r="D21" s="186"/>
    </row>
    <row r="22" spans="1:4" hidden="1">
      <c r="B22" s="191"/>
      <c r="C22" s="191"/>
    </row>
    <row r="23" spans="1:4" hidden="1">
      <c r="B23" s="175" t="s">
        <v>7026</v>
      </c>
      <c r="C23" s="176">
        <v>8.0000000000000002E-3</v>
      </c>
    </row>
    <row r="24" spans="1:4" hidden="1">
      <c r="B24" s="175"/>
      <c r="C24" s="179"/>
    </row>
    <row r="25" spans="1:4" hidden="1">
      <c r="B25" s="175" t="s">
        <v>7027</v>
      </c>
      <c r="C25" s="176">
        <v>7.3999999999999996E-2</v>
      </c>
    </row>
    <row r="26" spans="1:4" hidden="1">
      <c r="B26" s="191"/>
      <c r="C26" s="191"/>
    </row>
    <row r="27" spans="1:4" hidden="1">
      <c r="B27" s="192" t="s">
        <v>7028</v>
      </c>
      <c r="C27" s="179">
        <f>SUM(C28:C31)</f>
        <v>0.10149999999999999</v>
      </c>
    </row>
    <row r="28" spans="1:4" hidden="1">
      <c r="B28" s="175" t="s">
        <v>37</v>
      </c>
      <c r="C28" s="176">
        <v>0.03</v>
      </c>
    </row>
    <row r="29" spans="1:4" hidden="1">
      <c r="B29" s="175" t="s">
        <v>36</v>
      </c>
      <c r="C29" s="176">
        <v>6.4999999999999997E-3</v>
      </c>
    </row>
    <row r="30" spans="1:4" hidden="1">
      <c r="B30" s="175" t="s">
        <v>35</v>
      </c>
      <c r="C30" s="176">
        <v>0.02</v>
      </c>
    </row>
    <row r="31" spans="1:4" hidden="1">
      <c r="B31" s="180" t="s">
        <v>7029</v>
      </c>
      <c r="C31" s="181">
        <v>4.4999999999999998E-2</v>
      </c>
    </row>
    <row r="32" spans="1:4" hidden="1">
      <c r="B32" s="180"/>
      <c r="C32" s="182"/>
    </row>
    <row r="33" spans="1:3" hidden="1">
      <c r="B33" s="193" t="s">
        <v>7030</v>
      </c>
      <c r="C33" s="194">
        <f>(((1+C17+C23+C21)*(1+C19)*(1+C25))/(1-C27))-1</f>
        <v>0.28347674918197008</v>
      </c>
    </row>
    <row r="34" spans="1:3" hidden="1"/>
    <row r="35" spans="1:3" hidden="1"/>
    <row r="36" spans="1:3" hidden="1">
      <c r="A36" s="195"/>
      <c r="B36" s="195"/>
    </row>
    <row r="37" spans="1:3" hidden="1">
      <c r="A37" s="183"/>
      <c r="B37" s="184"/>
    </row>
    <row r="38" spans="1:3" hidden="1">
      <c r="A38" s="185"/>
      <c r="B38" s="184"/>
    </row>
    <row r="39" spans="1:3" hidden="1">
      <c r="A39" s="185"/>
      <c r="B39" s="184"/>
    </row>
    <row r="40" spans="1:3" hidden="1">
      <c r="A40" s="185" t="s">
        <v>7031</v>
      </c>
      <c r="B40" s="184"/>
    </row>
    <row r="41" spans="1:3" hidden="1">
      <c r="A41" s="185"/>
      <c r="B41" s="184"/>
    </row>
    <row r="42" spans="1:3" hidden="1">
      <c r="A42" s="185" t="s">
        <v>7032</v>
      </c>
      <c r="B42" s="184"/>
    </row>
    <row r="43" spans="1:3" hidden="1">
      <c r="A43" s="185"/>
      <c r="B43" s="184"/>
    </row>
    <row r="44" spans="1:3" hidden="1">
      <c r="A44" s="185" t="s">
        <v>7033</v>
      </c>
      <c r="B44" s="184"/>
    </row>
    <row r="45" spans="1:3" hidden="1">
      <c r="A45" s="185"/>
      <c r="B45" s="184"/>
    </row>
    <row r="46" spans="1:3" hidden="1">
      <c r="A46" s="185" t="s">
        <v>7034</v>
      </c>
      <c r="B46" s="184"/>
    </row>
    <row r="47" spans="1:3" hidden="1">
      <c r="A47" s="185"/>
      <c r="B47" s="184"/>
    </row>
    <row r="48" spans="1:3" hidden="1">
      <c r="A48" s="185" t="s">
        <v>7035</v>
      </c>
      <c r="B48" s="184"/>
    </row>
    <row r="49" spans="1:4" hidden="1">
      <c r="A49" s="185"/>
      <c r="B49" s="184"/>
    </row>
    <row r="50" spans="1:4" hidden="1">
      <c r="A50" s="185" t="s">
        <v>7036</v>
      </c>
      <c r="B50" s="184"/>
    </row>
    <row r="51" spans="1:4" hidden="1">
      <c r="A51" s="185"/>
      <c r="B51" s="184"/>
    </row>
    <row r="52" spans="1:4" hidden="1">
      <c r="A52" s="185" t="s">
        <v>7037</v>
      </c>
      <c r="B52" s="184"/>
    </row>
    <row r="53" spans="1:4" hidden="1">
      <c r="A53" s="185"/>
      <c r="B53" s="184"/>
    </row>
    <row r="54" spans="1:4" hidden="1">
      <c r="A54" s="185" t="s">
        <v>7038</v>
      </c>
      <c r="B54" s="184"/>
    </row>
    <row r="55" spans="1:4" hidden="1">
      <c r="A55" s="185"/>
      <c r="B55" s="184"/>
    </row>
    <row r="56" spans="1:4" hidden="1">
      <c r="A56" s="1476" t="s">
        <v>7039</v>
      </c>
      <c r="B56" s="1476"/>
      <c r="C56" s="1476"/>
      <c r="D56" s="1476"/>
    </row>
    <row r="57" spans="1:4" hidden="1">
      <c r="A57" s="196"/>
      <c r="B57" s="196"/>
      <c r="C57" s="196"/>
      <c r="D57" s="196"/>
    </row>
    <row r="58" spans="1:4" hidden="1">
      <c r="A58" s="196"/>
      <c r="B58" s="196"/>
      <c r="C58" s="196"/>
      <c r="D58" s="196"/>
    </row>
    <row r="59" spans="1:4" hidden="1">
      <c r="A59" s="196"/>
      <c r="B59" s="196"/>
      <c r="C59" s="196"/>
      <c r="D59" s="196"/>
    </row>
    <row r="60" spans="1:4" hidden="1">
      <c r="A60" s="196"/>
      <c r="B60" s="196"/>
      <c r="C60" s="196"/>
      <c r="D60" s="196"/>
    </row>
    <row r="61" spans="1:4" hidden="1">
      <c r="A61" s="196"/>
      <c r="B61" s="196"/>
      <c r="C61" s="196"/>
      <c r="D61" s="196"/>
    </row>
    <row r="62" spans="1:4" hidden="1">
      <c r="A62" s="196"/>
      <c r="B62" s="196"/>
      <c r="C62" s="196"/>
      <c r="D62" s="196"/>
    </row>
    <row r="63" spans="1:4" hidden="1">
      <c r="A63" s="196"/>
      <c r="B63" s="196"/>
      <c r="C63" s="196"/>
      <c r="D63" s="196"/>
    </row>
    <row r="64" spans="1:4" hidden="1">
      <c r="A64" s="196"/>
      <c r="B64" s="196"/>
      <c r="C64" s="196"/>
      <c r="D64" s="196"/>
    </row>
    <row r="65" spans="1:4" hidden="1">
      <c r="A65" s="196"/>
      <c r="B65" s="196"/>
      <c r="C65" s="196"/>
      <c r="D65" s="196"/>
    </row>
    <row r="66" spans="1:4" hidden="1">
      <c r="A66" s="196"/>
      <c r="B66" s="196"/>
      <c r="C66" s="196"/>
      <c r="D66" s="196"/>
    </row>
    <row r="67" spans="1:4" hidden="1">
      <c r="A67" s="196"/>
      <c r="B67" s="196"/>
      <c r="C67" s="196"/>
      <c r="D67" s="196"/>
    </row>
    <row r="68" spans="1:4" hidden="1">
      <c r="A68" s="196"/>
      <c r="B68" s="196"/>
      <c r="C68" s="196"/>
      <c r="D68" s="196"/>
    </row>
    <row r="69" spans="1:4" hidden="1">
      <c r="A69" s="196"/>
      <c r="B69" s="196"/>
      <c r="C69" s="196"/>
      <c r="D69" s="196"/>
    </row>
    <row r="70" spans="1:4" hidden="1">
      <c r="A70" s="196"/>
      <c r="B70" s="196"/>
      <c r="C70" s="196"/>
      <c r="D70" s="196"/>
    </row>
    <row r="71" spans="1:4" hidden="1">
      <c r="A71" s="196"/>
      <c r="B71" s="196"/>
      <c r="C71" s="196"/>
      <c r="D71" s="196"/>
    </row>
    <row r="72" spans="1:4" hidden="1">
      <c r="A72" s="196"/>
      <c r="B72" s="196"/>
      <c r="C72" s="196"/>
      <c r="D72" s="196"/>
    </row>
    <row r="73" spans="1:4" hidden="1">
      <c r="A73" s="196"/>
      <c r="B73" s="196"/>
      <c r="C73" s="196"/>
      <c r="D73" s="196"/>
    </row>
    <row r="74" spans="1:4" hidden="1">
      <c r="A74" s="196"/>
      <c r="B74" s="196"/>
      <c r="C74" s="196"/>
      <c r="D74" s="196"/>
    </row>
    <row r="75" spans="1:4" hidden="1">
      <c r="A75" s="196"/>
      <c r="B75" s="196"/>
      <c r="C75" s="196"/>
      <c r="D75" s="196"/>
    </row>
    <row r="76" spans="1:4" hidden="1">
      <c r="A76" s="196"/>
      <c r="B76" s="196"/>
      <c r="C76" s="196"/>
      <c r="D76" s="196"/>
    </row>
    <row r="77" spans="1:4" hidden="1">
      <c r="A77" s="196"/>
      <c r="B77" s="196"/>
      <c r="C77" s="196"/>
      <c r="D77" s="196"/>
    </row>
    <row r="78" spans="1:4" hidden="1">
      <c r="A78" s="196"/>
      <c r="B78" s="196"/>
      <c r="C78" s="196"/>
      <c r="D78" s="196"/>
    </row>
    <row r="79" spans="1:4" hidden="1">
      <c r="A79" s="196"/>
      <c r="B79" s="196"/>
      <c r="C79" s="196"/>
      <c r="D79" s="196"/>
    </row>
    <row r="80" spans="1:4" hidden="1">
      <c r="A80" s="196"/>
      <c r="B80" s="196"/>
      <c r="C80" s="196"/>
      <c r="D80" s="196"/>
    </row>
    <row r="81" spans="1:4" hidden="1">
      <c r="A81" s="196"/>
      <c r="B81" s="196"/>
      <c r="C81" s="196"/>
      <c r="D81" s="196"/>
    </row>
    <row r="82" spans="1:4" hidden="1">
      <c r="A82" s="196"/>
      <c r="B82" s="196"/>
      <c r="C82" s="196"/>
      <c r="D82" s="196"/>
    </row>
    <row r="83" spans="1:4" hidden="1">
      <c r="A83" s="197"/>
      <c r="B83" s="184"/>
    </row>
    <row r="84" spans="1:4" hidden="1">
      <c r="A84" s="197"/>
      <c r="B84" s="184"/>
    </row>
    <row r="85" spans="1:4">
      <c r="A85" s="185"/>
      <c r="B85" s="184"/>
    </row>
    <row r="86" spans="1:4">
      <c r="A86" s="172" t="s">
        <v>7040</v>
      </c>
    </row>
    <row r="87" spans="1:4">
      <c r="A87" s="172"/>
    </row>
    <row r="88" spans="1:4" ht="15.75">
      <c r="A88" s="1473" t="s">
        <v>7019</v>
      </c>
      <c r="B88" s="1473"/>
      <c r="C88" s="1473"/>
      <c r="D88" s="1473"/>
    </row>
    <row r="89" spans="1:4">
      <c r="A89" s="1474" t="s">
        <v>7020</v>
      </c>
      <c r="B89" s="1475"/>
      <c r="C89" s="1475"/>
      <c r="D89" s="1475"/>
    </row>
    <row r="91" spans="1:4">
      <c r="B91" s="189" t="s">
        <v>7021</v>
      </c>
      <c r="C91" s="189" t="s">
        <v>7022</v>
      </c>
    </row>
    <row r="92" spans="1:4">
      <c r="B92" s="173"/>
      <c r="C92" s="174"/>
    </row>
    <row r="93" spans="1:4">
      <c r="B93" s="175" t="s">
        <v>7023</v>
      </c>
      <c r="C93" s="176">
        <v>0.04</v>
      </c>
    </row>
    <row r="94" spans="1:4">
      <c r="B94" s="177"/>
      <c r="C94" s="178"/>
    </row>
    <row r="95" spans="1:4">
      <c r="B95" s="175" t="s">
        <v>7024</v>
      </c>
      <c r="C95" s="176">
        <v>1.23E-2</v>
      </c>
    </row>
    <row r="96" spans="1:4">
      <c r="B96" s="175"/>
      <c r="C96" s="179"/>
    </row>
    <row r="97" spans="1:3">
      <c r="B97" s="175" t="s">
        <v>7025</v>
      </c>
      <c r="C97" s="176">
        <v>1.2699999999999999E-2</v>
      </c>
    </row>
    <row r="98" spans="1:3">
      <c r="B98" s="191"/>
      <c r="C98" s="191"/>
    </row>
    <row r="99" spans="1:3">
      <c r="B99" s="175" t="s">
        <v>7026</v>
      </c>
      <c r="C99" s="176">
        <v>8.0000000000000002E-3</v>
      </c>
    </row>
    <row r="100" spans="1:3">
      <c r="B100" s="175"/>
      <c r="C100" s="179"/>
    </row>
    <row r="101" spans="1:3">
      <c r="B101" s="175" t="s">
        <v>7027</v>
      </c>
      <c r="C101" s="176">
        <v>7.3999999999999996E-2</v>
      </c>
    </row>
    <row r="102" spans="1:3">
      <c r="B102" s="191"/>
      <c r="C102" s="191"/>
    </row>
    <row r="103" spans="1:3">
      <c r="B103" s="192" t="s">
        <v>7028</v>
      </c>
      <c r="C103" s="179">
        <f>SUM(C104:C107)</f>
        <v>5.6499999999999995E-2</v>
      </c>
    </row>
    <row r="104" spans="1:3">
      <c r="B104" s="175" t="s">
        <v>37</v>
      </c>
      <c r="C104" s="176">
        <v>0.03</v>
      </c>
    </row>
    <row r="105" spans="1:3">
      <c r="B105" s="175" t="s">
        <v>36</v>
      </c>
      <c r="C105" s="176">
        <v>6.4999999999999997E-3</v>
      </c>
    </row>
    <row r="106" spans="1:3">
      <c r="B106" s="175" t="s">
        <v>35</v>
      </c>
      <c r="C106" s="176">
        <v>0.02</v>
      </c>
    </row>
    <row r="107" spans="1:3">
      <c r="B107" s="180"/>
      <c r="C107" s="181"/>
    </row>
    <row r="108" spans="1:3" ht="14.25" customHeight="1">
      <c r="B108" s="180"/>
      <c r="C108" s="194"/>
    </row>
    <row r="109" spans="1:3" ht="1.5" customHeight="1">
      <c r="B109" s="193" t="s">
        <v>7030</v>
      </c>
      <c r="C109" s="194">
        <f>(((1+C93+C99+C97)*(1+C95)*(1+C101))/(1-C103))-1</f>
        <v>0.22226164190779008</v>
      </c>
    </row>
    <row r="110" spans="1:3">
      <c r="B110" s="1126" t="s">
        <v>7030</v>
      </c>
      <c r="C110" s="194">
        <f>(((1+C93+C99+C97)*(1+C95)*(1+C101))/(1-C103))-1</f>
        <v>0.22226164190779008</v>
      </c>
    </row>
    <row r="112" spans="1:3">
      <c r="A112" s="195"/>
      <c r="B112" s="195"/>
    </row>
    <row r="113" spans="1:2">
      <c r="A113" s="183"/>
      <c r="B113" s="184"/>
    </row>
    <row r="114" spans="1:2">
      <c r="A114" s="185"/>
      <c r="B114" s="184"/>
    </row>
    <row r="115" spans="1:2">
      <c r="A115" s="185"/>
      <c r="B115" s="184"/>
    </row>
    <row r="116" spans="1:2">
      <c r="A116" s="185" t="s">
        <v>7031</v>
      </c>
      <c r="B116" s="184"/>
    </row>
    <row r="117" spans="1:2">
      <c r="A117" s="185"/>
      <c r="B117" s="184"/>
    </row>
    <row r="118" spans="1:2">
      <c r="A118" s="185" t="s">
        <v>7032</v>
      </c>
      <c r="B118" s="184"/>
    </row>
    <row r="119" spans="1:2">
      <c r="A119" s="185"/>
      <c r="B119" s="184"/>
    </row>
    <row r="120" spans="1:2">
      <c r="A120" s="185" t="s">
        <v>7033</v>
      </c>
      <c r="B120" s="184"/>
    </row>
    <row r="121" spans="1:2">
      <c r="A121" s="185"/>
      <c r="B121" s="184"/>
    </row>
    <row r="122" spans="1:2">
      <c r="A122" s="185" t="s">
        <v>7034</v>
      </c>
      <c r="B122" s="184"/>
    </row>
    <row r="123" spans="1:2">
      <c r="A123" s="185"/>
      <c r="B123" s="184"/>
    </row>
    <row r="124" spans="1:2">
      <c r="A124" s="185" t="s">
        <v>7035</v>
      </c>
      <c r="B124" s="184"/>
    </row>
    <row r="125" spans="1:2">
      <c r="A125" s="185"/>
      <c r="B125" s="184"/>
    </row>
    <row r="126" spans="1:2">
      <c r="A126" s="185" t="s">
        <v>7036</v>
      </c>
      <c r="B126" s="184"/>
    </row>
    <row r="127" spans="1:2">
      <c r="A127" s="185"/>
      <c r="B127" s="184"/>
    </row>
    <row r="128" spans="1:2">
      <c r="A128" s="185" t="s">
        <v>7037</v>
      </c>
      <c r="B128" s="184"/>
    </row>
    <row r="129" spans="1:4">
      <c r="A129" s="185"/>
      <c r="B129" s="184"/>
    </row>
    <row r="130" spans="1:4">
      <c r="A130" s="185" t="s">
        <v>7038</v>
      </c>
      <c r="B130" s="184"/>
    </row>
    <row r="131" spans="1:4">
      <c r="A131" s="185"/>
      <c r="B131" s="184"/>
    </row>
    <row r="132" spans="1:4">
      <c r="A132" s="1476" t="s">
        <v>7039</v>
      </c>
      <c r="B132" s="1476"/>
      <c r="C132" s="1476"/>
      <c r="D132" s="1476"/>
    </row>
    <row r="133" spans="1:4">
      <c r="A133" s="196"/>
      <c r="B133" s="196"/>
      <c r="C133" s="196"/>
      <c r="D133" s="196"/>
    </row>
    <row r="134" spans="1:4">
      <c r="A134" s="196"/>
      <c r="B134" s="196"/>
      <c r="C134" s="196"/>
      <c r="D134" s="196"/>
    </row>
    <row r="135" spans="1:4">
      <c r="A135" s="196"/>
      <c r="B135" s="196"/>
      <c r="C135" s="196"/>
      <c r="D135" s="196"/>
    </row>
    <row r="136" spans="1:4">
      <c r="A136" s="196"/>
      <c r="B136" s="196"/>
      <c r="C136" s="196"/>
      <c r="D136" s="196"/>
    </row>
    <row r="137" spans="1:4">
      <c r="A137" s="196"/>
      <c r="B137" s="196"/>
      <c r="C137" s="196"/>
      <c r="D137" s="196"/>
    </row>
    <row r="138" spans="1:4">
      <c r="A138" s="196"/>
      <c r="B138" s="196"/>
      <c r="C138" s="196"/>
      <c r="D138" s="196"/>
    </row>
    <row r="139" spans="1:4">
      <c r="A139" s="196"/>
      <c r="B139" s="196"/>
      <c r="C139" s="196"/>
      <c r="D139" s="196"/>
    </row>
    <row r="140" spans="1:4">
      <c r="A140" s="196"/>
      <c r="B140" s="196"/>
      <c r="C140" s="196"/>
      <c r="D140" s="196"/>
    </row>
    <row r="141" spans="1:4">
      <c r="A141" s="196"/>
      <c r="B141" s="196"/>
      <c r="C141" s="196"/>
      <c r="D141" s="196"/>
    </row>
    <row r="142" spans="1:4">
      <c r="A142" s="196"/>
      <c r="B142" s="196"/>
      <c r="C142" s="196"/>
      <c r="D142" s="196"/>
    </row>
    <row r="143" spans="1:4">
      <c r="A143" s="196"/>
      <c r="B143" s="196"/>
      <c r="C143" s="196"/>
      <c r="D143" s="196"/>
    </row>
    <row r="144" spans="1:4">
      <c r="A144" s="196"/>
      <c r="B144" s="196"/>
      <c r="C144" s="196"/>
      <c r="D144" s="196"/>
    </row>
    <row r="145" spans="1:4">
      <c r="A145" s="196"/>
      <c r="B145" s="196"/>
      <c r="C145" s="196"/>
      <c r="D145" s="196"/>
    </row>
    <row r="146" spans="1:4">
      <c r="A146" s="196"/>
      <c r="B146" s="196"/>
      <c r="C146" s="196"/>
      <c r="D146" s="196"/>
    </row>
    <row r="147" spans="1:4">
      <c r="A147" s="196"/>
      <c r="B147" s="196"/>
      <c r="C147" s="196"/>
      <c r="D147" s="196"/>
    </row>
    <row r="148" spans="1:4">
      <c r="A148" s="196"/>
      <c r="B148" s="196"/>
      <c r="C148" s="196"/>
      <c r="D148" s="196"/>
    </row>
    <row r="149" spans="1:4">
      <c r="A149" s="196"/>
      <c r="B149" s="196"/>
      <c r="C149" s="196"/>
      <c r="D149" s="196"/>
    </row>
    <row r="150" spans="1:4">
      <c r="A150" s="196"/>
      <c r="B150" s="196"/>
      <c r="C150" s="196"/>
      <c r="D150" s="196"/>
    </row>
    <row r="151" spans="1:4">
      <c r="A151" s="196"/>
      <c r="B151" s="196"/>
      <c r="C151" s="196"/>
      <c r="D151" s="196"/>
    </row>
    <row r="152" spans="1:4">
      <c r="A152" s="196"/>
      <c r="B152" s="196"/>
      <c r="C152" s="196"/>
      <c r="D152" s="196"/>
    </row>
    <row r="153" spans="1:4">
      <c r="A153" s="196"/>
      <c r="B153" s="196"/>
      <c r="C153" s="196"/>
      <c r="D153" s="196"/>
    </row>
    <row r="154" spans="1:4">
      <c r="A154" s="196"/>
      <c r="B154" s="196"/>
      <c r="C154" s="196"/>
      <c r="D154" s="196"/>
    </row>
    <row r="155" spans="1:4">
      <c r="A155" s="196"/>
      <c r="B155" s="196"/>
      <c r="C155" s="196"/>
      <c r="D155" s="196"/>
    </row>
    <row r="156" spans="1:4">
      <c r="A156" s="196"/>
      <c r="B156" s="196"/>
      <c r="C156" s="196"/>
      <c r="D156" s="196"/>
    </row>
    <row r="157" spans="1:4">
      <c r="A157" s="196"/>
      <c r="B157" s="196"/>
      <c r="C157" s="196"/>
      <c r="D157" s="196"/>
    </row>
    <row r="158" spans="1:4" ht="3.75" customHeight="1">
      <c r="A158" s="196"/>
      <c r="B158" s="196"/>
      <c r="C158" s="196"/>
      <c r="D158" s="196"/>
    </row>
    <row r="159" spans="1:4">
      <c r="A159" s="196"/>
      <c r="B159" s="196"/>
      <c r="C159" s="196"/>
      <c r="D159" s="196"/>
    </row>
    <row r="160" spans="1:4">
      <c r="A160" s="196"/>
      <c r="B160" s="196"/>
      <c r="C160" s="196"/>
      <c r="D160" s="196"/>
    </row>
    <row r="161" spans="1:4">
      <c r="A161" s="197"/>
      <c r="B161" s="184"/>
    </row>
    <row r="162" spans="1:4">
      <c r="A162" s="197"/>
      <c r="B162" s="184"/>
    </row>
    <row r="163" spans="1:4">
      <c r="A163" s="185"/>
      <c r="B163" s="184"/>
    </row>
    <row r="164" spans="1:4" hidden="1"/>
    <row r="165" spans="1:4" hidden="1">
      <c r="A165" s="172" t="s">
        <v>7041</v>
      </c>
    </row>
    <row r="166" spans="1:4" hidden="1"/>
    <row r="167" spans="1:4" hidden="1"/>
    <row r="168" spans="1:4" hidden="1"/>
    <row r="169" spans="1:4" ht="15.75" hidden="1">
      <c r="A169" s="1473" t="s">
        <v>7019</v>
      </c>
      <c r="B169" s="1473"/>
      <c r="C169" s="1473"/>
      <c r="D169" s="1473"/>
    </row>
    <row r="170" spans="1:4" hidden="1">
      <c r="A170" s="1474" t="s">
        <v>7020</v>
      </c>
      <c r="B170" s="1475"/>
      <c r="C170" s="1475"/>
      <c r="D170" s="1475"/>
    </row>
    <row r="171" spans="1:4" hidden="1"/>
    <row r="172" spans="1:4" hidden="1">
      <c r="B172" s="189" t="s">
        <v>7021</v>
      </c>
      <c r="C172" s="189" t="s">
        <v>7022</v>
      </c>
    </row>
    <row r="173" spans="1:4" hidden="1">
      <c r="B173" s="173"/>
      <c r="C173" s="174"/>
    </row>
    <row r="174" spans="1:4" hidden="1">
      <c r="B174" s="175" t="s">
        <v>7023</v>
      </c>
      <c r="C174" s="176">
        <v>3.4500000000000003E-2</v>
      </c>
    </row>
    <row r="175" spans="1:4" hidden="1">
      <c r="B175" s="177"/>
      <c r="C175" s="178"/>
    </row>
    <row r="176" spans="1:4" hidden="1">
      <c r="B176" s="175" t="s">
        <v>7024</v>
      </c>
      <c r="C176" s="176">
        <v>8.5000000000000006E-3</v>
      </c>
    </row>
    <row r="177" spans="2:3" hidden="1">
      <c r="B177" s="175"/>
      <c r="C177" s="179"/>
    </row>
    <row r="178" spans="2:3" hidden="1">
      <c r="B178" s="175" t="s">
        <v>7025</v>
      </c>
      <c r="C178" s="176">
        <v>8.5000000000000006E-3</v>
      </c>
    </row>
    <row r="179" spans="2:3" hidden="1">
      <c r="B179" s="191"/>
      <c r="C179" s="191"/>
    </row>
    <row r="180" spans="2:3" hidden="1">
      <c r="B180" s="175" t="s">
        <v>7026</v>
      </c>
      <c r="C180" s="176">
        <v>4.7999999999999996E-3</v>
      </c>
    </row>
    <row r="181" spans="2:3" hidden="1">
      <c r="B181" s="175"/>
      <c r="C181" s="179"/>
    </row>
    <row r="182" spans="2:3" hidden="1">
      <c r="B182" s="175" t="s">
        <v>7027</v>
      </c>
      <c r="C182" s="176">
        <v>5.11E-2</v>
      </c>
    </row>
    <row r="183" spans="2:3" hidden="1">
      <c r="B183" s="191"/>
      <c r="C183" s="191"/>
    </row>
    <row r="184" spans="2:3" hidden="1">
      <c r="B184" s="192" t="s">
        <v>7028</v>
      </c>
      <c r="C184" s="179">
        <f>SUM(C185:C188)</f>
        <v>0.10149999999999999</v>
      </c>
    </row>
    <row r="185" spans="2:3" hidden="1">
      <c r="B185" s="175" t="s">
        <v>37</v>
      </c>
      <c r="C185" s="176">
        <v>0.03</v>
      </c>
    </row>
    <row r="186" spans="2:3" hidden="1">
      <c r="B186" s="175" t="s">
        <v>36</v>
      </c>
      <c r="C186" s="176">
        <v>6.4999999999999997E-3</v>
      </c>
    </row>
    <row r="187" spans="2:3" hidden="1">
      <c r="B187" s="175" t="s">
        <v>35</v>
      </c>
      <c r="C187" s="176">
        <v>0.02</v>
      </c>
    </row>
    <row r="188" spans="2:3" hidden="1">
      <c r="B188" s="180" t="s">
        <v>7029</v>
      </c>
      <c r="C188" s="181">
        <v>4.4999999999999998E-2</v>
      </c>
    </row>
    <row r="189" spans="2:3" hidden="1">
      <c r="B189" s="180"/>
      <c r="C189" s="182"/>
    </row>
    <row r="190" spans="2:3" hidden="1">
      <c r="B190" s="193" t="s">
        <v>7030</v>
      </c>
      <c r="C190" s="194">
        <f>(((1+C174+C180+C178)*(1+C176)*(1+C182))/(1-C184))-1</f>
        <v>0.23617583965498024</v>
      </c>
    </row>
    <row r="191" spans="2:3" hidden="1"/>
    <row r="192" spans="2:3" hidden="1"/>
    <row r="193" spans="1:2" hidden="1">
      <c r="A193" s="195"/>
      <c r="B193" s="195"/>
    </row>
    <row r="194" spans="1:2" hidden="1">
      <c r="A194" s="183"/>
      <c r="B194" s="184"/>
    </row>
    <row r="195" spans="1:2" hidden="1">
      <c r="A195" s="185"/>
      <c r="B195" s="184"/>
    </row>
    <row r="196" spans="1:2" hidden="1">
      <c r="A196" s="185"/>
      <c r="B196" s="184"/>
    </row>
    <row r="197" spans="1:2" hidden="1">
      <c r="A197" s="185" t="s">
        <v>7031</v>
      </c>
      <c r="B197" s="184"/>
    </row>
    <row r="198" spans="1:2" hidden="1">
      <c r="A198" s="185"/>
      <c r="B198" s="184"/>
    </row>
    <row r="199" spans="1:2" hidden="1">
      <c r="A199" s="185" t="s">
        <v>7032</v>
      </c>
      <c r="B199" s="184"/>
    </row>
    <row r="200" spans="1:2" hidden="1">
      <c r="A200" s="185"/>
      <c r="B200" s="184"/>
    </row>
    <row r="201" spans="1:2" hidden="1">
      <c r="A201" s="185" t="s">
        <v>7033</v>
      </c>
      <c r="B201" s="184"/>
    </row>
    <row r="202" spans="1:2" hidden="1">
      <c r="A202" s="185"/>
      <c r="B202" s="184"/>
    </row>
    <row r="203" spans="1:2" hidden="1">
      <c r="A203" s="185" t="s">
        <v>7034</v>
      </c>
      <c r="B203" s="184"/>
    </row>
    <row r="204" spans="1:2" hidden="1">
      <c r="A204" s="185"/>
      <c r="B204" s="184"/>
    </row>
    <row r="205" spans="1:2" hidden="1">
      <c r="A205" s="185" t="s">
        <v>7035</v>
      </c>
      <c r="B205" s="184"/>
    </row>
    <row r="206" spans="1:2" hidden="1">
      <c r="A206" s="185"/>
      <c r="B206" s="184"/>
    </row>
    <row r="207" spans="1:2" hidden="1">
      <c r="A207" s="185" t="s">
        <v>7036</v>
      </c>
      <c r="B207" s="184"/>
    </row>
    <row r="208" spans="1:2" hidden="1">
      <c r="A208" s="185"/>
      <c r="B208" s="184"/>
    </row>
    <row r="209" spans="1:4" hidden="1">
      <c r="A209" s="185" t="s">
        <v>7037</v>
      </c>
      <c r="B209" s="184"/>
    </row>
    <row r="210" spans="1:4" hidden="1">
      <c r="A210" s="185"/>
      <c r="B210" s="184"/>
    </row>
    <row r="211" spans="1:4" hidden="1">
      <c r="A211" s="185" t="s">
        <v>7038</v>
      </c>
      <c r="B211" s="184"/>
    </row>
    <row r="212" spans="1:4" hidden="1">
      <c r="A212" s="185"/>
      <c r="B212" s="184"/>
    </row>
    <row r="213" spans="1:4" hidden="1">
      <c r="A213" s="1476" t="s">
        <v>7039</v>
      </c>
      <c r="B213" s="1476"/>
      <c r="C213" s="1476"/>
      <c r="D213" s="1476"/>
    </row>
    <row r="214" spans="1:4" hidden="1">
      <c r="A214" s="197"/>
      <c r="B214" s="184"/>
    </row>
    <row r="215" spans="1:4" hidden="1">
      <c r="A215" s="172" t="s">
        <v>7042</v>
      </c>
    </row>
    <row r="216" spans="1:4" hidden="1">
      <c r="A216" s="172"/>
    </row>
    <row r="217" spans="1:4" ht="15.75" hidden="1">
      <c r="A217" s="1473" t="s">
        <v>7019</v>
      </c>
      <c r="B217" s="1473"/>
      <c r="C217" s="1473"/>
      <c r="D217" s="1473"/>
    </row>
    <row r="218" spans="1:4" hidden="1">
      <c r="A218" s="1474" t="s">
        <v>7020</v>
      </c>
      <c r="B218" s="1475"/>
      <c r="C218" s="1475"/>
      <c r="D218" s="1475"/>
    </row>
    <row r="219" spans="1:4" hidden="1"/>
    <row r="220" spans="1:4" hidden="1">
      <c r="B220" s="189" t="s">
        <v>7021</v>
      </c>
      <c r="C220" s="189" t="s">
        <v>7022</v>
      </c>
    </row>
    <row r="221" spans="1:4" hidden="1">
      <c r="B221" s="173"/>
      <c r="C221" s="174"/>
    </row>
    <row r="222" spans="1:4" hidden="1">
      <c r="B222" s="175" t="s">
        <v>7023</v>
      </c>
      <c r="C222" s="176">
        <v>3.4500000000000003E-2</v>
      </c>
    </row>
    <row r="223" spans="1:4" hidden="1">
      <c r="B223" s="177"/>
      <c r="C223" s="178"/>
    </row>
    <row r="224" spans="1:4" hidden="1">
      <c r="B224" s="175" t="s">
        <v>7024</v>
      </c>
      <c r="C224" s="176">
        <v>8.5000000000000006E-3</v>
      </c>
    </row>
    <row r="225" spans="2:3" hidden="1">
      <c r="B225" s="175"/>
      <c r="C225" s="179"/>
    </row>
    <row r="226" spans="2:3" hidden="1">
      <c r="B226" s="175" t="s">
        <v>7025</v>
      </c>
      <c r="C226" s="176">
        <v>8.5000000000000006E-3</v>
      </c>
    </row>
    <row r="227" spans="2:3" hidden="1">
      <c r="B227" s="191"/>
      <c r="C227" s="191"/>
    </row>
    <row r="228" spans="2:3" hidden="1">
      <c r="B228" s="175" t="s">
        <v>7026</v>
      </c>
      <c r="C228" s="176">
        <v>4.7999999999999996E-3</v>
      </c>
    </row>
    <row r="229" spans="2:3" hidden="1">
      <c r="B229" s="175"/>
      <c r="C229" s="179"/>
    </row>
    <row r="230" spans="2:3" hidden="1">
      <c r="B230" s="175" t="s">
        <v>7027</v>
      </c>
      <c r="C230" s="176">
        <v>5.11E-2</v>
      </c>
    </row>
    <row r="231" spans="2:3" hidden="1">
      <c r="B231" s="191"/>
      <c r="C231" s="191"/>
    </row>
    <row r="232" spans="2:3" hidden="1">
      <c r="B232" s="192" t="s">
        <v>7028</v>
      </c>
      <c r="C232" s="179">
        <f>SUM(C233:C236)</f>
        <v>5.6499999999999995E-2</v>
      </c>
    </row>
    <row r="233" spans="2:3" hidden="1">
      <c r="B233" s="175" t="s">
        <v>37</v>
      </c>
      <c r="C233" s="176">
        <v>0.03</v>
      </c>
    </row>
    <row r="234" spans="2:3" hidden="1">
      <c r="B234" s="175" t="s">
        <v>36</v>
      </c>
      <c r="C234" s="176">
        <v>6.4999999999999997E-3</v>
      </c>
    </row>
    <row r="235" spans="2:3" hidden="1">
      <c r="B235" s="175" t="s">
        <v>35</v>
      </c>
      <c r="C235" s="176">
        <v>0.02</v>
      </c>
    </row>
    <row r="236" spans="2:3" hidden="1">
      <c r="B236" s="180"/>
      <c r="C236" s="181"/>
    </row>
    <row r="237" spans="2:3" hidden="1">
      <c r="B237" s="180"/>
      <c r="C237" s="182"/>
    </row>
    <row r="238" spans="2:3" hidden="1">
      <c r="B238" s="193" t="s">
        <v>7030</v>
      </c>
      <c r="C238" s="194">
        <f>(((1+C222+C228+C226)*(1+C224)*(1+C230))/(1-C232))-1</f>
        <v>0.17721673760466317</v>
      </c>
    </row>
    <row r="239" spans="2:3" hidden="1"/>
    <row r="240" spans="2:3" hidden="1"/>
    <row r="241" spans="1:2" hidden="1">
      <c r="A241" s="195"/>
      <c r="B241" s="195"/>
    </row>
    <row r="242" spans="1:2" hidden="1">
      <c r="A242" s="183"/>
      <c r="B242" s="184"/>
    </row>
    <row r="243" spans="1:2" hidden="1">
      <c r="A243" s="185"/>
      <c r="B243" s="184"/>
    </row>
    <row r="244" spans="1:2" hidden="1">
      <c r="A244" s="185"/>
      <c r="B244" s="184"/>
    </row>
    <row r="245" spans="1:2" hidden="1">
      <c r="A245" s="185" t="s">
        <v>7031</v>
      </c>
      <c r="B245" s="184"/>
    </row>
    <row r="246" spans="1:2" hidden="1">
      <c r="A246" s="185"/>
      <c r="B246" s="184"/>
    </row>
    <row r="247" spans="1:2" hidden="1">
      <c r="A247" s="185" t="s">
        <v>7032</v>
      </c>
      <c r="B247" s="184"/>
    </row>
    <row r="248" spans="1:2" hidden="1">
      <c r="A248" s="185"/>
      <c r="B248" s="184"/>
    </row>
    <row r="249" spans="1:2" hidden="1">
      <c r="A249" s="185" t="s">
        <v>7033</v>
      </c>
      <c r="B249" s="184"/>
    </row>
    <row r="250" spans="1:2" hidden="1">
      <c r="A250" s="185"/>
      <c r="B250" s="184"/>
    </row>
    <row r="251" spans="1:2" hidden="1">
      <c r="A251" s="185" t="s">
        <v>7034</v>
      </c>
      <c r="B251" s="184"/>
    </row>
    <row r="252" spans="1:2" hidden="1">
      <c r="A252" s="185"/>
      <c r="B252" s="184"/>
    </row>
    <row r="253" spans="1:2" hidden="1">
      <c r="A253" s="185" t="s">
        <v>7035</v>
      </c>
      <c r="B253" s="184"/>
    </row>
    <row r="254" spans="1:2" hidden="1">
      <c r="A254" s="185"/>
      <c r="B254" s="184"/>
    </row>
    <row r="255" spans="1:2" hidden="1">
      <c r="A255" s="185" t="s">
        <v>7036</v>
      </c>
      <c r="B255" s="184"/>
    </row>
    <row r="256" spans="1:2" hidden="1">
      <c r="A256" s="185"/>
      <c r="B256" s="184"/>
    </row>
    <row r="257" spans="1:4" hidden="1">
      <c r="A257" s="185" t="s">
        <v>7037</v>
      </c>
      <c r="B257" s="184"/>
    </row>
    <row r="258" spans="1:4" hidden="1">
      <c r="A258" s="185"/>
      <c r="B258" s="184"/>
    </row>
    <row r="259" spans="1:4" hidden="1">
      <c r="A259" s="185" t="s">
        <v>7038</v>
      </c>
      <c r="B259" s="184"/>
    </row>
    <row r="260" spans="1:4" hidden="1">
      <c r="A260" s="185"/>
      <c r="B260" s="184"/>
    </row>
    <row r="261" spans="1:4" hidden="1">
      <c r="A261" s="1476" t="s">
        <v>7039</v>
      </c>
      <c r="B261" s="1476"/>
      <c r="C261" s="1476"/>
      <c r="D261" s="1476"/>
    </row>
    <row r="262" spans="1:4" hidden="1">
      <c r="A262" s="197"/>
      <c r="B262" s="184"/>
    </row>
    <row r="263" spans="1:4" hidden="1"/>
    <row r="264" spans="1:4" hidden="1"/>
    <row r="265" spans="1:4" hidden="1"/>
    <row r="266" spans="1:4" hidden="1"/>
    <row r="267" spans="1:4" hidden="1"/>
    <row r="268" spans="1:4" hidden="1"/>
    <row r="269" spans="1:4" hidden="1"/>
    <row r="270" spans="1:4" hidden="1"/>
    <row r="271" spans="1:4" hidden="1"/>
    <row r="272" spans="1:4"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sheetData>
  <sheetProtection password="CA35" sheet="1" formatCells="0" formatColumns="0" formatRows="0" insertColumns="0" insertRows="0" insertHyperlinks="0" deleteColumns="0" deleteRows="0" sort="0" autoFilter="0" pivotTables="0"/>
  <mergeCells count="21">
    <mergeCell ref="A218:D218"/>
    <mergeCell ref="A261:D261"/>
    <mergeCell ref="A132:D132"/>
    <mergeCell ref="A169:D169"/>
    <mergeCell ref="A170:D170"/>
    <mergeCell ref="A213:D213"/>
    <mergeCell ref="A217:D217"/>
    <mergeCell ref="A12:D12"/>
    <mergeCell ref="A13:D13"/>
    <mergeCell ref="A56:D56"/>
    <mergeCell ref="A88:D88"/>
    <mergeCell ref="A89:D89"/>
    <mergeCell ref="A3:E3"/>
    <mergeCell ref="A2:E2"/>
    <mergeCell ref="A1:E1"/>
    <mergeCell ref="A8:E8"/>
    <mergeCell ref="A9:E9"/>
    <mergeCell ref="C4:C5"/>
    <mergeCell ref="D4:E5"/>
    <mergeCell ref="C6:D6"/>
    <mergeCell ref="C7:D7"/>
  </mergeCells>
  <printOptions horizontalCentered="1"/>
  <pageMargins left="0.23622047244094491" right="0.43307086614173229" top="1.0236220472440944" bottom="1.5748031496062993" header="0.31496062992125984" footer="0.31496062992125984"/>
  <pageSetup paperSize="9" scale="43"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3" manualBreakCount="3">
    <brk id="84" max="4" man="1"/>
    <brk id="163" max="4" man="1"/>
    <brk id="213" max="4" man="1"/>
  </rowBreaks>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235"/>
  <sheetViews>
    <sheetView showGridLines="0" view="pageBreakPreview" topLeftCell="A5140" zoomScale="80" zoomScaleNormal="100" zoomScaleSheetLayoutView="80" zoomScalePageLayoutView="60" workbookViewId="0">
      <selection activeCell="K214" sqref="K214"/>
    </sheetView>
  </sheetViews>
  <sheetFormatPr defaultRowHeight="15"/>
  <cols>
    <col min="1" max="1" width="17.28515625" style="437" customWidth="1"/>
    <col min="2" max="2" width="9.28515625" style="1140" customWidth="1"/>
    <col min="3" max="3" width="12.42578125" style="1140" customWidth="1"/>
    <col min="4" max="4" width="49.5703125" style="1140" customWidth="1"/>
    <col min="5" max="5" width="17.28515625" style="1136" customWidth="1"/>
    <col min="6" max="6" width="20" style="1200" customWidth="1"/>
    <col min="7" max="8" width="17.28515625" style="1200" customWidth="1"/>
    <col min="9" max="9" width="10.140625" style="439" hidden="1" customWidth="1"/>
    <col min="10" max="10" width="16.85546875" style="438" hidden="1" customWidth="1"/>
    <col min="11" max="11" width="9.140625" style="202"/>
    <col min="12" max="12" width="10.140625" style="202" bestFit="1" customWidth="1"/>
    <col min="13" max="16384" width="9.140625" style="202"/>
  </cols>
  <sheetData>
    <row r="1" spans="1:10">
      <c r="A1" s="1477" t="str">
        <f>'MEM CAL'!A1</f>
        <v>GOVERNO DO ESTADO DE MATO GROSSO</v>
      </c>
      <c r="B1" s="1478"/>
      <c r="C1" s="1478"/>
      <c r="D1" s="1478"/>
      <c r="E1" s="1478"/>
      <c r="F1" s="1478"/>
      <c r="G1" s="1478"/>
      <c r="H1" s="1478"/>
      <c r="I1" s="1478"/>
      <c r="J1" s="1479"/>
    </row>
    <row r="2" spans="1:10" ht="15" customHeight="1">
      <c r="A2" s="1477" t="str">
        <f>'MEM CAL'!A2</f>
        <v>SEPLAG - SECRETARIA DE ESTADO DE PLANEJAMENTO E GESTÃO/MT</v>
      </c>
      <c r="B2" s="1478"/>
      <c r="C2" s="1478"/>
      <c r="D2" s="1478"/>
      <c r="E2" s="1478"/>
      <c r="F2" s="1478"/>
      <c r="G2" s="1478"/>
      <c r="H2" s="1478"/>
      <c r="I2" s="1478"/>
      <c r="J2" s="1479"/>
    </row>
    <row r="3" spans="1:10" ht="15" customHeight="1">
      <c r="A3" s="401"/>
      <c r="B3" s="1127"/>
      <c r="C3" s="1127"/>
      <c r="D3" s="1127"/>
      <c r="E3" s="1127"/>
      <c r="F3" s="1161"/>
      <c r="G3" s="1161"/>
      <c r="H3" s="1161"/>
      <c r="I3" s="402"/>
      <c r="J3" s="403"/>
    </row>
    <row r="4" spans="1:10" ht="15" customHeight="1">
      <c r="A4" s="160" t="str">
        <f>'MEM CAL'!A4</f>
        <v>OBRA:</v>
      </c>
      <c r="B4" s="1162" t="str">
        <f>'MEM CAL'!B4:D4</f>
        <v>REFORMA DO PREDIO ESCOLA DO GOVERNO</v>
      </c>
      <c r="C4" s="1128"/>
      <c r="D4" s="1128"/>
      <c r="E4" s="1163"/>
      <c r="F4" s="1164" t="str">
        <f>'MEM CAL'!E4</f>
        <v>FONTE:</v>
      </c>
      <c r="G4" s="426"/>
      <c r="H4" s="1164" t="str">
        <f>PLANILHA!K4</f>
        <v>BDI NÃO DESON</v>
      </c>
      <c r="I4" s="212"/>
      <c r="J4" s="238" t="str">
        <f>PLANILHA!L4</f>
        <v>BDI DESON</v>
      </c>
    </row>
    <row r="5" spans="1:10" ht="15" customHeight="1">
      <c r="A5" s="160" t="str">
        <f>'MEM CAL'!A5</f>
        <v>LOCAL:</v>
      </c>
      <c r="B5" s="1162" t="str">
        <f>'MEM CAL'!B5:D5</f>
        <v>CENTRO POLITICO ADMINISTRATIVO</v>
      </c>
      <c r="C5" s="1128"/>
      <c r="D5" s="1128"/>
      <c r="E5" s="1163"/>
      <c r="F5" s="1165" t="str">
        <f>'MEM CAL'!E5</f>
        <v>TABELA SINAPI 02/2022, SETOP 04/2021</v>
      </c>
      <c r="G5" s="1166"/>
      <c r="H5" s="1167">
        <f>PLANILHA!K6</f>
        <v>0.22226164190779008</v>
      </c>
      <c r="I5" s="404"/>
      <c r="J5" s="405">
        <f>PLANILHA!L6</f>
        <v>0.28347674918197008</v>
      </c>
    </row>
    <row r="6" spans="1:10" ht="15" customHeight="1">
      <c r="A6" s="160" t="str">
        <f>'MEM CAL'!A6</f>
        <v>PROP:</v>
      </c>
      <c r="B6" s="1162" t="str">
        <f>'MEM CAL'!B6:D6</f>
        <v>GOVERNO DO ESTADO DE MATO GROSSO</v>
      </c>
      <c r="C6" s="1128"/>
      <c r="D6" s="1128"/>
      <c r="E6" s="1163"/>
      <c r="F6" s="1168"/>
      <c r="G6" s="1169"/>
      <c r="H6" s="1168"/>
      <c r="I6" s="406"/>
      <c r="J6" s="407"/>
    </row>
    <row r="7" spans="1:10" ht="15" customHeight="1">
      <c r="A7" s="160" t="str">
        <f>'MEM CAL'!A7</f>
        <v>END:</v>
      </c>
      <c r="B7" s="1162" t="str">
        <f>'MEM CAL'!B7:D7</f>
        <v>RUA C, CENTRO POLÍTICO ADMINISTRATIVO, CUIABÁ – MT</v>
      </c>
      <c r="C7" s="1128"/>
      <c r="D7" s="1128"/>
      <c r="E7" s="1163"/>
      <c r="F7" s="1170"/>
      <c r="G7" s="1171"/>
      <c r="H7" s="1170"/>
      <c r="I7" s="408"/>
      <c r="J7" s="409"/>
    </row>
    <row r="8" spans="1:10" ht="15" customHeight="1" thickBot="1">
      <c r="A8" s="410"/>
      <c r="B8" s="1129"/>
      <c r="C8" s="1129"/>
      <c r="D8" s="1129"/>
      <c r="E8" s="1129"/>
      <c r="F8" s="1172"/>
      <c r="G8" s="1172"/>
      <c r="H8" s="1172"/>
      <c r="I8" s="411"/>
      <c r="J8" s="412"/>
    </row>
    <row r="9" spans="1:10" s="207" customFormat="1" ht="15.75" customHeight="1" thickBot="1">
      <c r="A9" s="413" t="s">
        <v>76</v>
      </c>
      <c r="B9" s="1130"/>
      <c r="C9" s="1130"/>
      <c r="D9" s="1130"/>
      <c r="E9" s="1130"/>
      <c r="F9" s="1173"/>
      <c r="G9" s="1173"/>
      <c r="H9" s="1173"/>
      <c r="I9" s="414"/>
      <c r="J9" s="415"/>
    </row>
    <row r="10" spans="1:10" s="207" customFormat="1" ht="15" customHeight="1" thickBot="1">
      <c r="A10" s="220"/>
      <c r="B10" s="1131"/>
      <c r="C10" s="1131"/>
      <c r="D10" s="1131"/>
      <c r="E10" s="1131"/>
      <c r="F10" s="1174"/>
      <c r="G10" s="1174"/>
      <c r="H10" s="1174"/>
      <c r="I10" s="221"/>
      <c r="J10" s="222"/>
    </row>
    <row r="11" spans="1:10" ht="23.25" customHeight="1">
      <c r="A11" s="198"/>
      <c r="B11" s="1175"/>
      <c r="C11" s="1176" t="s">
        <v>354</v>
      </c>
      <c r="D11" s="156" t="s">
        <v>7632</v>
      </c>
      <c r="E11" s="1176" t="s">
        <v>12</v>
      </c>
      <c r="F11" s="1177" t="s">
        <v>18</v>
      </c>
      <c r="G11" s="1178" t="s">
        <v>7017</v>
      </c>
      <c r="H11" s="1179"/>
      <c r="I11" s="200" t="s">
        <v>7016</v>
      </c>
      <c r="J11" s="201"/>
    </row>
    <row r="12" spans="1:10" s="207" customFormat="1" ht="15" customHeight="1">
      <c r="A12" s="203"/>
      <c r="B12" s="430"/>
      <c r="C12" s="1155"/>
      <c r="D12" s="158"/>
      <c r="E12" s="1155"/>
      <c r="F12" s="1180"/>
      <c r="G12" s="1180" t="s">
        <v>19</v>
      </c>
      <c r="H12" s="1180" t="s">
        <v>20</v>
      </c>
      <c r="I12" s="205" t="s">
        <v>19</v>
      </c>
      <c r="J12" s="206" t="s">
        <v>20</v>
      </c>
    </row>
    <row r="13" spans="1:10" ht="25.5" customHeight="1">
      <c r="A13" s="208" t="s">
        <v>39</v>
      </c>
      <c r="B13" s="241"/>
      <c r="C13" s="1181">
        <v>4417</v>
      </c>
      <c r="D13" s="1132" t="str">
        <f>IF(B13="SEPLAG",VLOOKUP('[1]COMPOSIÇÕES OK'!C13,'[2]COTAÇÃO OK'!A:B,2,FALSE),VLOOKUP(C13,'NAO DESO'!A:B,2,0))</f>
        <v>SARRAFO NAO APARELHADO *2,5 X 7* CM, EM MACARANDUBA, ANGELIM OU EQUIVALENTE DA REGIAO -  BRUTA</v>
      </c>
      <c r="E13" s="241" t="str">
        <f>VLOOKUP($C13,'NAO DESO'!$A:$D,3,)</f>
        <v xml:space="preserve">M     </v>
      </c>
      <c r="F13" s="242">
        <v>1</v>
      </c>
      <c r="G13" s="242">
        <f>IF(B13="SEPLAG",VLOOKUP(CONCATENATE("MEDIANA - ",C13),COTAÇÃO,5,FALSE),VLOOKUP($C13,'NAO DESO'!$A:$D,4,))</f>
        <v>5.66</v>
      </c>
      <c r="H13" s="242">
        <f>TRUNC(F13*G13,2)</f>
        <v>5.66</v>
      </c>
      <c r="I13" s="54" t="str">
        <f>IF(B13="SEPLAG",VLOOKUP(CONCATENATE("MEDIANA - ",C13),COTAÇÃO,5,FALSE),VLOOKUP($C13,DESON!$A:$D,4,))</f>
        <v>5,66</v>
      </c>
      <c r="J13" s="209">
        <f>TRUNC(F13*I13,2)</f>
        <v>5.66</v>
      </c>
    </row>
    <row r="14" spans="1:10" ht="25.5" customHeight="1">
      <c r="A14" s="208" t="s">
        <v>39</v>
      </c>
      <c r="B14" s="241"/>
      <c r="C14" s="1181">
        <v>4491</v>
      </c>
      <c r="D14" s="1132" t="str">
        <f>IF(B14="SEPLAG",VLOOKUP('[1]COMPOSIÇÕES OK'!C14,'[2]COTAÇÃO OK'!A:B,2,FALSE),VLOOKUP(C14,'NAO DESO'!A:B,2,0))</f>
        <v>PONTALETE *7,5 X 7,5* CM EM PINUS, MISTA OU EQUIVALENTE DA REGIAO - BRUTA</v>
      </c>
      <c r="E14" s="241" t="str">
        <f>VLOOKUP($C14,'NAO DESO'!$A:$D,3,)</f>
        <v xml:space="preserve">M     </v>
      </c>
      <c r="F14" s="242">
        <v>4</v>
      </c>
      <c r="G14" s="242">
        <f>IF(B14="SEPLAG",VLOOKUP(CONCATENATE("MEDIANA - ",C14),COTAÇÃO,5,FALSE),VLOOKUP($C14,'NAO DESO'!$A:$D,4,))</f>
        <v>8.98</v>
      </c>
      <c r="H14" s="242">
        <f t="shared" ref="H14:H19" si="0">TRUNC(F14*G14,2)</f>
        <v>35.92</v>
      </c>
      <c r="I14" s="54" t="str">
        <f>IF(B14="SEPLAG",VLOOKUP(CONCATENATE("MEDIANA - ",C14),COTAÇÃO,5,FALSE),VLOOKUP($C14,DESON!$A:$D,4,))</f>
        <v>8,98</v>
      </c>
      <c r="J14" s="209">
        <f t="shared" ref="J14:J19" si="1">TRUNC(F14*I14,2)</f>
        <v>35.92</v>
      </c>
    </row>
    <row r="15" spans="1:10" ht="25.5" customHeight="1">
      <c r="A15" s="208" t="s">
        <v>39</v>
      </c>
      <c r="B15" s="241"/>
      <c r="C15" s="1181">
        <v>4813</v>
      </c>
      <c r="D15" s="1132" t="str">
        <f>IF(B15="SEPLAG",VLOOKUP('[1]COMPOSIÇÕES OK'!C15,'[2]COTAÇÃO OK'!A:B,2,FALSE),VLOOKUP(C15,'NAO DESO'!A:B,2,0))</f>
        <v>PLACA DE OBRA (PARA CONSTRUCAO CIVIL) EM CHAPA GALVANIZADA *N. 22*, ADESIVADA, DE *2,4 X 1,2* M (SEM POSTES PARA FIXACAO)</v>
      </c>
      <c r="E15" s="241" t="str">
        <f>VLOOKUP($C15,'NAO DESO'!$A:$D,3,)</f>
        <v xml:space="preserve">M2    </v>
      </c>
      <c r="F15" s="242">
        <v>1</v>
      </c>
      <c r="G15" s="242">
        <f>IF(B15="SEPLAG",VLOOKUP(CONCATENATE("MEDIANA - ",C15),COTAÇÃO,5,FALSE),VLOOKUP($C15,'NAO DESO'!$A:$D,4,))</f>
        <v>225</v>
      </c>
      <c r="H15" s="242">
        <f t="shared" si="0"/>
        <v>225</v>
      </c>
      <c r="I15" s="54" t="str">
        <f>IF(B15="SEPLAG",VLOOKUP(CONCATENATE("MEDIANA - ",C15),COTAÇÃO,5,FALSE),VLOOKUP($C15,DESON!$A:$D,4,))</f>
        <v>225,00</v>
      </c>
      <c r="J15" s="209">
        <f t="shared" si="1"/>
        <v>225</v>
      </c>
    </row>
    <row r="16" spans="1:10" ht="25.5" customHeight="1">
      <c r="A16" s="208" t="s">
        <v>39</v>
      </c>
      <c r="B16" s="241"/>
      <c r="C16" s="1181">
        <v>5075</v>
      </c>
      <c r="D16" s="1132" t="str">
        <f>IF(B16="SEPLAG",VLOOKUP('[1]COMPOSIÇÕES OK'!C16,'[2]COTAÇÃO OK'!A:B,2,FALSE),VLOOKUP(C16,'NAO DESO'!A:B,2,0))</f>
        <v>PREGO DE ACO POLIDO COM CABECA 18 X 30 (2 3/4 X 10)</v>
      </c>
      <c r="E16" s="241" t="str">
        <f>VLOOKUP($C16,'NAO DESO'!$A:$D,3,)</f>
        <v xml:space="preserve">KG    </v>
      </c>
      <c r="F16" s="242">
        <v>0.11</v>
      </c>
      <c r="G16" s="242">
        <f>IF(B16="SEPLAG",VLOOKUP(CONCATENATE("MEDIANA - ",C16),COTAÇÃO,5,FALSE),VLOOKUP($C16,'NAO DESO'!$A:$D,4,))</f>
        <v>23.76</v>
      </c>
      <c r="H16" s="242">
        <f t="shared" si="0"/>
        <v>2.61</v>
      </c>
      <c r="I16" s="54" t="str">
        <f>IF(B16="SEPLAG",VLOOKUP(CONCATENATE("MEDIANA - ",C16),COTAÇÃO,5,FALSE),VLOOKUP($C16,DESON!$A:$D,4,))</f>
        <v>23,76</v>
      </c>
      <c r="J16" s="209">
        <f t="shared" si="1"/>
        <v>2.61</v>
      </c>
    </row>
    <row r="17" spans="1:10" ht="25.5" customHeight="1">
      <c r="A17" s="208" t="s">
        <v>245</v>
      </c>
      <c r="B17" s="241"/>
      <c r="C17" s="1181">
        <v>88262</v>
      </c>
      <c r="D17" s="1132" t="str">
        <f>IF(B17="SEPLAG",VLOOKUP('[1]COMPOSIÇÕES OK'!C17,'[2]COTAÇÃO OK'!A:B,2,FALSE),VLOOKUP(C17,'NAO DESO'!A:B,2,0))</f>
        <v>CARPINTEIRO DE FORMAS COM ENCARGOS COMPLEMENTARES</v>
      </c>
      <c r="E17" s="241" t="str">
        <f>VLOOKUP($C17,'NAO DESO'!$A:$D,3,)</f>
        <v>H</v>
      </c>
      <c r="F17" s="242">
        <v>1</v>
      </c>
      <c r="G17" s="242" t="str">
        <f>IF(B17="SEPLAG",VLOOKUP(CONCATENATE("MEDIANA - ",C17),COTAÇÃO,5,FALSE),VLOOKUP($C17,'NAO DESO'!$A:$D,4,))</f>
        <v>20,85</v>
      </c>
      <c r="H17" s="242">
        <f t="shared" si="0"/>
        <v>20.85</v>
      </c>
      <c r="I17" s="54" t="str">
        <f>IF(B17="SEPLAG",VLOOKUP(CONCATENATE("MEDIANA - ",C17),COTAÇÃO,5,FALSE),VLOOKUP($C17,DESON!$A:$D,4,))</f>
        <v>18,63</v>
      </c>
      <c r="J17" s="209">
        <f t="shared" si="1"/>
        <v>18.63</v>
      </c>
    </row>
    <row r="18" spans="1:10" ht="25.5" customHeight="1">
      <c r="A18" s="208" t="s">
        <v>245</v>
      </c>
      <c r="B18" s="241"/>
      <c r="C18" s="1181">
        <v>88316</v>
      </c>
      <c r="D18" s="1132" t="str">
        <f>IF(B18="SEPLAG",VLOOKUP('[1]COMPOSIÇÕES OK'!C18,'[2]COTAÇÃO OK'!A:B,2,FALSE),VLOOKUP(C18,'NAO DESO'!A:B,2,0))</f>
        <v>SERVENTE COM ENCARGOS COMPLEMENTARES</v>
      </c>
      <c r="E18" s="241" t="str">
        <f>VLOOKUP($C18,'NAO DESO'!$A:$D,3,)</f>
        <v>H</v>
      </c>
      <c r="F18" s="242">
        <v>2</v>
      </c>
      <c r="G18" s="242" t="str">
        <f>IF(B18="SEPLAG",VLOOKUP(CONCATENATE("MEDIANA - ",C18),COTAÇÃO,5,FALSE),VLOOKUP($C18,'NAO DESO'!$A:$D,4,))</f>
        <v>16,83</v>
      </c>
      <c r="H18" s="242">
        <f t="shared" si="0"/>
        <v>33.659999999999997</v>
      </c>
      <c r="I18" s="54" t="str">
        <f>IF(B18="SEPLAG",VLOOKUP(CONCATENATE("MEDIANA - ",C18),COTAÇÃO,5,FALSE),VLOOKUP($C18,DESON!$A:$D,4,))</f>
        <v>15,16</v>
      </c>
      <c r="J18" s="209">
        <f t="shared" si="1"/>
        <v>30.32</v>
      </c>
    </row>
    <row r="19" spans="1:10" ht="38.25" customHeight="1">
      <c r="A19" s="208" t="s">
        <v>245</v>
      </c>
      <c r="B19" s="241"/>
      <c r="C19" s="1181">
        <v>94962</v>
      </c>
      <c r="D19" s="1132" t="str">
        <f>IF(B19="SEPLAG",VLOOKUP('[1]COMPOSIÇÕES OK'!C19,'[2]COTAÇÃO OK'!A:B,2,FALSE),VLOOKUP(C19,'NAO DESO'!A:B,2,0))</f>
        <v>CONCRETO MAGRO PARA LASTRO, TRAÇO 1:4,5:4,5 (EM MASSA SECA DE CIMENTO/ AREIA MÉDIA/ BRITA 1) - PREPARO MECÂNICO COM BETONEIRA 400 L. AF_05/2021</v>
      </c>
      <c r="E19" s="241" t="str">
        <f>VLOOKUP($C19,'NAO DESO'!$A:$D,3,)</f>
        <v>M3</v>
      </c>
      <c r="F19" s="242">
        <v>0.01</v>
      </c>
      <c r="G19" s="242" t="str">
        <f>IF(B19="SEPLAG",VLOOKUP(CONCATENATE("MEDIANA - ",C19),COTAÇÃO,5,FALSE),VLOOKUP($C19,'NAO DESO'!$A:$D,4,))</f>
        <v>334,24</v>
      </c>
      <c r="H19" s="242">
        <f t="shared" si="0"/>
        <v>3.34</v>
      </c>
      <c r="I19" s="54" t="str">
        <f>IF(B19="SEPLAG",VLOOKUP(CONCATENATE("MEDIANA - ",C19),COTAÇÃO,5,FALSE),VLOOKUP($C19,DESON!$A:$D,4,))</f>
        <v>327,99</v>
      </c>
      <c r="J19" s="209">
        <f t="shared" si="1"/>
        <v>3.27</v>
      </c>
    </row>
    <row r="20" spans="1:10" ht="15" customHeight="1">
      <c r="A20" s="210" t="str">
        <f>CONCATENATE("TOTAL DO ITEM NÃO DESON. - ",C11)</f>
        <v>TOTAL DO ITEM NÃO DESON. - SEPLAG ARQ 01</v>
      </c>
      <c r="B20" s="424"/>
      <c r="C20" s="424"/>
      <c r="D20" s="424"/>
      <c r="E20" s="424"/>
      <c r="F20" s="425"/>
      <c r="G20" s="426"/>
      <c r="H20" s="1182">
        <f>SUM(H13:H19)</f>
        <v>327.04000000000002</v>
      </c>
      <c r="I20" s="214"/>
      <c r="J20" s="215"/>
    </row>
    <row r="21" spans="1:10" ht="15.75" customHeight="1" thickBot="1">
      <c r="A21" s="216" t="str">
        <f>CONCATENATE("TOTAL DO ITEM DESON. - ",C11)</f>
        <v>TOTAL DO ITEM DESON. - SEPLAG ARQ 01</v>
      </c>
      <c r="B21" s="427"/>
      <c r="C21" s="427"/>
      <c r="D21" s="427"/>
      <c r="E21" s="427"/>
      <c r="F21" s="428"/>
      <c r="G21" s="429"/>
      <c r="H21" s="1183"/>
      <c r="I21" s="218"/>
      <c r="J21" s="219">
        <f>SUM(J13:J19)</f>
        <v>321.40999999999997</v>
      </c>
    </row>
    <row r="22" spans="1:10" ht="15" customHeight="1" thickBot="1">
      <c r="A22" s="220"/>
      <c r="B22" s="1131"/>
      <c r="C22" s="1131"/>
      <c r="D22" s="1131"/>
      <c r="E22" s="1131"/>
      <c r="F22" s="1174"/>
      <c r="G22" s="1174"/>
      <c r="H22" s="1174"/>
      <c r="I22" s="221"/>
      <c r="J22" s="222"/>
    </row>
    <row r="23" spans="1:10" ht="27" customHeight="1">
      <c r="A23" s="198"/>
      <c r="B23" s="1175"/>
      <c r="C23" s="1176" t="s">
        <v>355</v>
      </c>
      <c r="D23" s="156" t="s">
        <v>7633</v>
      </c>
      <c r="E23" s="1176" t="s">
        <v>24</v>
      </c>
      <c r="F23" s="1177" t="s">
        <v>18</v>
      </c>
      <c r="G23" s="1178" t="s">
        <v>7017</v>
      </c>
      <c r="H23" s="1179"/>
      <c r="I23" s="200" t="s">
        <v>7016</v>
      </c>
      <c r="J23" s="201"/>
    </row>
    <row r="24" spans="1:10" ht="12" customHeight="1">
      <c r="A24" s="203"/>
      <c r="B24" s="430"/>
      <c r="C24" s="1155"/>
      <c r="D24" s="158"/>
      <c r="E24" s="1155"/>
      <c r="F24" s="1180"/>
      <c r="G24" s="1180" t="s">
        <v>19</v>
      </c>
      <c r="H24" s="1180" t="s">
        <v>20</v>
      </c>
      <c r="I24" s="205" t="s">
        <v>19</v>
      </c>
      <c r="J24" s="206" t="s">
        <v>20</v>
      </c>
    </row>
    <row r="25" spans="1:10" ht="25.5" customHeight="1">
      <c r="A25" s="208" t="s">
        <v>245</v>
      </c>
      <c r="B25" s="241"/>
      <c r="C25" s="241">
        <v>90778</v>
      </c>
      <c r="D25" s="1132" t="str">
        <f>IF(B25="SEPLAG",VLOOKUP('[1]COMPOSIÇÕES OK'!C25,'[2]COTAÇÃO OK'!A:B,2,FALSE),VLOOKUP(C25,'NAO DESO'!A:B,2,0))</f>
        <v>ENGENHEIRO CIVIL DE OBRA PLENO COM ENCARGOS COMPLEMENTARES</v>
      </c>
      <c r="E25" s="241" t="s">
        <v>16</v>
      </c>
      <c r="F25" s="242">
        <f>22*4</f>
        <v>88</v>
      </c>
      <c r="G25" s="242" t="str">
        <f>IF(B25="SEPLAG",VLOOKUP(CONCATENATE("MEDIANA - ",C25),COTAÇÃO,5,FALSE),VLOOKUP($C25,'NAO DESO'!$A:$D,4,))</f>
        <v>106,50</v>
      </c>
      <c r="H25" s="242">
        <f>TRUNC(F25*G25,2)</f>
        <v>9372</v>
      </c>
      <c r="I25" s="54" t="str">
        <f>IF(B25="SEPLAG",VLOOKUP(CONCATENATE("MEDIANA - ",C25),COTAÇÃO,5,FALSE),VLOOKUP($C25,DESON!$A:$D,4,))</f>
        <v>91,99</v>
      </c>
      <c r="J25" s="209">
        <f>TRUNC(F25*I25,2)</f>
        <v>8095.12</v>
      </c>
    </row>
    <row r="26" spans="1:10" ht="15" customHeight="1">
      <c r="A26" s="208" t="s">
        <v>245</v>
      </c>
      <c r="B26" s="241"/>
      <c r="C26" s="241">
        <v>90780</v>
      </c>
      <c r="D26" s="1132" t="str">
        <f>IF(B26="SEPLAG",VLOOKUP('[1]COMPOSIÇÕES OK'!C26,'[2]COTAÇÃO OK'!A:B,2,FALSE),VLOOKUP(C26,'NAO DESO'!A:B,2,0))</f>
        <v>MESTRE DE OBRAS COM ENCARGOS COMPLEMENTARES</v>
      </c>
      <c r="E26" s="241" t="s">
        <v>16</v>
      </c>
      <c r="F26" s="242">
        <f>F25</f>
        <v>88</v>
      </c>
      <c r="G26" s="242" t="str">
        <f>IF(B26="SEPLAG",VLOOKUP(CONCATENATE("MEDIANA - ",C26),COTAÇÃO,5,FALSE),VLOOKUP($C26,'NAO DESO'!$A:$D,4,))</f>
        <v>34,93</v>
      </c>
      <c r="H26" s="242">
        <f>TRUNC(F26*G26,2)</f>
        <v>3073.84</v>
      </c>
      <c r="I26" s="54" t="str">
        <f>IF(B26="SEPLAG",VLOOKUP(CONCATENATE("MEDIANA - ",C26),COTAÇÃO,5,FALSE),VLOOKUP($C26,DESON!$A:$D,4,))</f>
        <v>30,38</v>
      </c>
      <c r="J26" s="209">
        <f>TRUNC(F26*I26,2)</f>
        <v>2673.44</v>
      </c>
    </row>
    <row r="27" spans="1:10" ht="15" customHeight="1">
      <c r="A27" s="208" t="s">
        <v>245</v>
      </c>
      <c r="B27" s="241"/>
      <c r="C27" s="241">
        <v>90772</v>
      </c>
      <c r="D27" s="1132" t="str">
        <f>IF(B27="SEPLAG",VLOOKUP('[1]COMPOSIÇÕES OK'!C27,'[2]COTAÇÃO OK'!A:B,2,FALSE),VLOOKUP(C27,'NAO DESO'!A:B,2,0))</f>
        <v>AUXILIAR DE ESCRITORIO COM ENCARGOS COMPLEMENTARES</v>
      </c>
      <c r="E27" s="241" t="s">
        <v>16</v>
      </c>
      <c r="F27" s="242">
        <f>F26</f>
        <v>88</v>
      </c>
      <c r="G27" s="242" t="str">
        <f>IF(B27="SEPLAG",VLOOKUP(CONCATENATE("MEDIANA - ",C27),COTAÇÃO,5,FALSE),VLOOKUP($C27,'NAO DESO'!$A:$D,4,))</f>
        <v>14,50</v>
      </c>
      <c r="H27" s="242">
        <f>TRUNC(F27*G27,2)</f>
        <v>1276</v>
      </c>
      <c r="I27" s="54" t="str">
        <f>IF(B27="SEPLAG",VLOOKUP(CONCATENATE("MEDIANA - ",C27),COTAÇÃO,5,FALSE),VLOOKUP($C27,DESON!$A:$D,4,))</f>
        <v>12,71</v>
      </c>
      <c r="J27" s="209">
        <f>TRUNC(F27*I27,2)</f>
        <v>1118.48</v>
      </c>
    </row>
    <row r="28" spans="1:10" ht="15" customHeight="1">
      <c r="A28" s="208"/>
      <c r="B28" s="241"/>
      <c r="C28" s="241"/>
      <c r="D28" s="1132"/>
      <c r="E28" s="241"/>
      <c r="F28" s="242"/>
      <c r="G28" s="242"/>
      <c r="H28" s="242"/>
      <c r="I28" s="54"/>
      <c r="J28" s="209"/>
    </row>
    <row r="29" spans="1:10" ht="15" customHeight="1">
      <c r="A29" s="210" t="str">
        <f>CONCATENATE("TOTAL DO ITEM NÃO DESON. - ",C23)</f>
        <v>TOTAL DO ITEM NÃO DESON. - SEPLAG ARQ 02</v>
      </c>
      <c r="B29" s="424"/>
      <c r="C29" s="424"/>
      <c r="D29" s="424"/>
      <c r="E29" s="424"/>
      <c r="F29" s="425"/>
      <c r="G29" s="426"/>
      <c r="H29" s="1182">
        <f>SUM(H25:H28)</f>
        <v>13721.84</v>
      </c>
      <c r="I29" s="214"/>
      <c r="J29" s="215"/>
    </row>
    <row r="30" spans="1:10" ht="15.75" customHeight="1" thickBot="1">
      <c r="A30" s="216" t="str">
        <f>CONCATENATE("TOTAL DO ITEM DESON. - ",C23)</f>
        <v>TOTAL DO ITEM DESON. - SEPLAG ARQ 02</v>
      </c>
      <c r="B30" s="427"/>
      <c r="C30" s="427"/>
      <c r="D30" s="427"/>
      <c r="E30" s="427"/>
      <c r="F30" s="428"/>
      <c r="G30" s="429"/>
      <c r="H30" s="1184"/>
      <c r="I30" s="217"/>
      <c r="J30" s="219">
        <f>SUM(J25:J28)</f>
        <v>11887.039999999999</v>
      </c>
    </row>
    <row r="31" spans="1:10" ht="15" customHeight="1" thickBot="1">
      <c r="A31" s="223"/>
      <c r="B31" s="1133"/>
      <c r="C31" s="1133"/>
      <c r="D31" s="1133"/>
      <c r="E31" s="1133"/>
      <c r="F31" s="1185"/>
      <c r="G31" s="1185"/>
      <c r="H31" s="1185"/>
      <c r="I31" s="224"/>
      <c r="J31" s="225"/>
    </row>
    <row r="32" spans="1:10" ht="30" customHeight="1">
      <c r="A32" s="198"/>
      <c r="B32" s="1175"/>
      <c r="C32" s="1176" t="s">
        <v>356</v>
      </c>
      <c r="D32" s="156" t="s">
        <v>165</v>
      </c>
      <c r="E32" s="1176" t="s">
        <v>28</v>
      </c>
      <c r="F32" s="1177" t="s">
        <v>18</v>
      </c>
      <c r="G32" s="1178" t="s">
        <v>7017</v>
      </c>
      <c r="H32" s="1179"/>
      <c r="I32" s="200" t="s">
        <v>7016</v>
      </c>
      <c r="J32" s="201"/>
    </row>
    <row r="33" spans="1:10" ht="18" customHeight="1">
      <c r="A33" s="203"/>
      <c r="B33" s="430"/>
      <c r="C33" s="1155"/>
      <c r="D33" s="158"/>
      <c r="E33" s="1155"/>
      <c r="F33" s="1180"/>
      <c r="G33" s="1180" t="s">
        <v>19</v>
      </c>
      <c r="H33" s="1180" t="s">
        <v>20</v>
      </c>
      <c r="I33" s="205" t="s">
        <v>19</v>
      </c>
      <c r="J33" s="206" t="s">
        <v>20</v>
      </c>
    </row>
    <row r="34" spans="1:10" s="207" customFormat="1" ht="15" customHeight="1">
      <c r="A34" s="208"/>
      <c r="B34" s="241"/>
      <c r="C34" s="241"/>
      <c r="D34" s="1132" t="s">
        <v>43</v>
      </c>
      <c r="E34" s="241"/>
      <c r="F34" s="1186"/>
      <c r="G34" s="1186"/>
      <c r="H34" s="1186"/>
      <c r="I34" s="214"/>
      <c r="J34" s="227"/>
    </row>
    <row r="35" spans="1:10" ht="15" customHeight="1">
      <c r="A35" s="208" t="s">
        <v>245</v>
      </c>
      <c r="B35" s="241"/>
      <c r="C35" s="1181">
        <v>88309</v>
      </c>
      <c r="D35" s="1132" t="str">
        <f>IF(B35="SEPLAG",VLOOKUP('[1]COMPOSIÇÕES OK'!C35,'[2]COTAÇÃO OK'!A:B,2,FALSE),VLOOKUP(C35,'NAO DESO'!A:B,2,0))</f>
        <v>PEDREIRO COM ENCARGOS COMPLEMENTARES</v>
      </c>
      <c r="E35" s="241" t="str">
        <f>VLOOKUP($C35,'NAO DESO'!$A:$D,3,)</f>
        <v>H</v>
      </c>
      <c r="F35" s="242">
        <v>0.6</v>
      </c>
      <c r="G35" s="242" t="str">
        <f>IF(B35="SEPLAG",VLOOKUP(CONCATENATE("MEDIANA - ",C35),COTAÇÃO,5,FALSE),VLOOKUP($C35,'NAO DESO'!$A:$D,4,))</f>
        <v>21,10</v>
      </c>
      <c r="H35" s="242">
        <f>TRUNC(F35*G35,2)</f>
        <v>12.66</v>
      </c>
      <c r="I35" s="54" t="str">
        <f>IF(B35="SEPLAG",VLOOKUP(CONCATENATE("MEDIANA - ",C35),COTAÇÃO,5,FALSE),VLOOKUP($C35,DESON!$A:$D,4,))</f>
        <v>18,86</v>
      </c>
      <c r="J35" s="209">
        <f>TRUNC(F35*I35,2)</f>
        <v>11.31</v>
      </c>
    </row>
    <row r="36" spans="1:10" ht="15" customHeight="1">
      <c r="A36" s="208" t="s">
        <v>245</v>
      </c>
      <c r="B36" s="241"/>
      <c r="C36" s="1181">
        <v>88316</v>
      </c>
      <c r="D36" s="1132" t="str">
        <f>IF(B36="SEPLAG",VLOOKUP('[1]COMPOSIÇÕES OK'!C36,'[2]COTAÇÃO OK'!A:B,2,FALSE),VLOOKUP(C36,'NAO DESO'!A:B,2,0))</f>
        <v>SERVENTE COM ENCARGOS COMPLEMENTARES</v>
      </c>
      <c r="E36" s="241" t="str">
        <f>VLOOKUP($C36,'NAO DESO'!$A:$D,3,)</f>
        <v>H</v>
      </c>
      <c r="F36" s="242">
        <v>6</v>
      </c>
      <c r="G36" s="242" t="str">
        <f>IF(B36="SEPLAG",VLOOKUP(CONCATENATE("MEDIANA - ",C36),COTAÇÃO,5,FALSE),VLOOKUP($C36,'NAO DESO'!$A:$D,4,))</f>
        <v>16,83</v>
      </c>
      <c r="H36" s="242">
        <f>TRUNC(F36*G36,2)</f>
        <v>100.98</v>
      </c>
      <c r="I36" s="54" t="str">
        <f>IF(B36="SEPLAG",VLOOKUP(CONCATENATE("MEDIANA - ",C36),COTAÇÃO,5,FALSE),VLOOKUP($C36,DESON!$A:$D,4,))</f>
        <v>15,16</v>
      </c>
      <c r="J36" s="209">
        <f>TRUNC(F36*I36,2)</f>
        <v>90.96</v>
      </c>
    </row>
    <row r="37" spans="1:10" ht="15" customHeight="1">
      <c r="A37" s="210" t="str">
        <f>CONCATENATE("TOTAL DO ITEM NÃO DESON. - ",C32)</f>
        <v>TOTAL DO ITEM NÃO DESON. - SEPLAG ARQ 03</v>
      </c>
      <c r="B37" s="424"/>
      <c r="C37" s="424"/>
      <c r="D37" s="424"/>
      <c r="E37" s="424"/>
      <c r="F37" s="425"/>
      <c r="G37" s="426"/>
      <c r="H37" s="1182">
        <f>SUM(H35:H36)</f>
        <v>113.64</v>
      </c>
      <c r="I37" s="214"/>
      <c r="J37" s="215"/>
    </row>
    <row r="38" spans="1:10" ht="15.75" customHeight="1" thickBot="1">
      <c r="A38" s="216" t="str">
        <f>CONCATENATE("TOTAL DO ITEM DESON. - ",C32)</f>
        <v>TOTAL DO ITEM DESON. - SEPLAG ARQ 03</v>
      </c>
      <c r="B38" s="427"/>
      <c r="C38" s="427"/>
      <c r="D38" s="427"/>
      <c r="E38" s="427"/>
      <c r="F38" s="428"/>
      <c r="G38" s="429"/>
      <c r="H38" s="1187"/>
      <c r="I38" s="229"/>
      <c r="J38" s="219">
        <f>SUM(J35:J36)</f>
        <v>102.27</v>
      </c>
    </row>
    <row r="39" spans="1:10" ht="15" customHeight="1" thickBot="1">
      <c r="A39" s="223"/>
      <c r="B39" s="1133"/>
      <c r="C39" s="1133"/>
      <c r="D39" s="1133"/>
      <c r="E39" s="1133"/>
      <c r="F39" s="1185"/>
      <c r="G39" s="1185"/>
      <c r="H39" s="1185"/>
      <c r="I39" s="224"/>
      <c r="J39" s="225"/>
    </row>
    <row r="40" spans="1:10" ht="31.5" customHeight="1">
      <c r="A40" s="230"/>
      <c r="B40" s="1152"/>
      <c r="C40" s="1176" t="s">
        <v>357</v>
      </c>
      <c r="D40" s="156" t="s">
        <v>13107</v>
      </c>
      <c r="E40" s="1176" t="s">
        <v>8</v>
      </c>
      <c r="F40" s="1177" t="s">
        <v>18</v>
      </c>
      <c r="G40" s="1178" t="s">
        <v>7017</v>
      </c>
      <c r="H40" s="1179"/>
      <c r="I40" s="200" t="s">
        <v>7016</v>
      </c>
      <c r="J40" s="201"/>
    </row>
    <row r="41" spans="1:10" ht="12.75" customHeight="1">
      <c r="A41" s="203"/>
      <c r="B41" s="430"/>
      <c r="C41" s="1155"/>
      <c r="D41" s="158"/>
      <c r="E41" s="1155"/>
      <c r="F41" s="1180"/>
      <c r="G41" s="1180" t="s">
        <v>19</v>
      </c>
      <c r="H41" s="1180" t="s">
        <v>20</v>
      </c>
      <c r="I41" s="205" t="s">
        <v>19</v>
      </c>
      <c r="J41" s="206" t="s">
        <v>20</v>
      </c>
    </row>
    <row r="42" spans="1:10" ht="15" customHeight="1">
      <c r="A42" s="208"/>
      <c r="B42" s="241"/>
      <c r="C42" s="241"/>
      <c r="D42" s="1132" t="s">
        <v>346</v>
      </c>
      <c r="E42" s="241"/>
      <c r="F42" s="242"/>
      <c r="G42" s="242"/>
      <c r="H42" s="242"/>
      <c r="I42" s="214"/>
      <c r="J42" s="227"/>
    </row>
    <row r="43" spans="1:10" ht="15" customHeight="1">
      <c r="A43" s="208" t="s">
        <v>245</v>
      </c>
      <c r="B43" s="241"/>
      <c r="C43" s="1181">
        <v>88309</v>
      </c>
      <c r="D43" s="1132" t="str">
        <f>IF(B43="SEPLAG",VLOOKUP('[1]COMPOSIÇÕES OK'!C43,'[2]COTAÇÃO OK'!A:B,2,FALSE),VLOOKUP(C43,'NAO DESO'!A:B,2,0))</f>
        <v>PEDREIRO COM ENCARGOS COMPLEMENTARES</v>
      </c>
      <c r="E43" s="241" t="str">
        <f>VLOOKUP($C43,'NAO DESO'!$A:$D,3,)</f>
        <v>H</v>
      </c>
      <c r="F43" s="242">
        <v>1.1000000000000001</v>
      </c>
      <c r="G43" s="242" t="str">
        <f>IF(B43="SEPLAG",VLOOKUP(CONCATENATE("MEDIANA - ",C43),COTAÇÃO,5,FALSE),VLOOKUP($C43,'NAO DESO'!$A:$D,4,))</f>
        <v>21,10</v>
      </c>
      <c r="H43" s="242">
        <f>TRUNC(F43*G43,2)</f>
        <v>23.21</v>
      </c>
      <c r="I43" s="54" t="str">
        <f>IF(B43="SEPLAG",VLOOKUP(CONCATENATE("MEDIANA - ",C43),COTAÇÃO,5,FALSE),VLOOKUP($C43,DESON!$A:$D,4,))</f>
        <v>18,86</v>
      </c>
      <c r="J43" s="209">
        <f>TRUNC(F43*I43,2)</f>
        <v>20.74</v>
      </c>
    </row>
    <row r="44" spans="1:10" ht="15" customHeight="1">
      <c r="A44" s="208" t="s">
        <v>245</v>
      </c>
      <c r="B44" s="241"/>
      <c r="C44" s="1181">
        <v>88316</v>
      </c>
      <c r="D44" s="1132" t="str">
        <f>IF(B44="SEPLAG",VLOOKUP('[1]COMPOSIÇÕES OK'!C44,'[2]COTAÇÃO OK'!A:B,2,FALSE),VLOOKUP(C44,'NAO DESO'!A:B,2,0))</f>
        <v>SERVENTE COM ENCARGOS COMPLEMENTARES</v>
      </c>
      <c r="E44" s="241" t="str">
        <f>VLOOKUP($C44,'NAO DESO'!$A:$D,3,)</f>
        <v>H</v>
      </c>
      <c r="F44" s="242">
        <v>1.1000000000000001</v>
      </c>
      <c r="G44" s="242" t="str">
        <f>IF(B44="SEPLAG",VLOOKUP(CONCATENATE("MEDIANA - ",C44),COTAÇÃO,5,FALSE),VLOOKUP($C44,'NAO DESO'!$A:$D,4,))</f>
        <v>16,83</v>
      </c>
      <c r="H44" s="242">
        <f>TRUNC(F44*G44,2)</f>
        <v>18.510000000000002</v>
      </c>
      <c r="I44" s="54" t="str">
        <f>IF(B44="SEPLAG",VLOOKUP(CONCATENATE("MEDIANA - ",C44),COTAÇÃO,5,FALSE),VLOOKUP($C44,DESON!$A:$D,4,))</f>
        <v>15,16</v>
      </c>
      <c r="J44" s="209">
        <f>TRUNC(F44*I44,2)</f>
        <v>16.670000000000002</v>
      </c>
    </row>
    <row r="45" spans="1:10" ht="15" customHeight="1">
      <c r="A45" s="210" t="str">
        <f>CONCATENATE("TOTAL DO ITEM NÃO DESON. - ",C40)</f>
        <v>TOTAL DO ITEM NÃO DESON. - SEPLAG ARQ 04</v>
      </c>
      <c r="B45" s="424"/>
      <c r="C45" s="424"/>
      <c r="D45" s="424"/>
      <c r="E45" s="424"/>
      <c r="F45" s="425"/>
      <c r="G45" s="426"/>
      <c r="H45" s="1182">
        <f>SUM(H43:H44)</f>
        <v>41.72</v>
      </c>
      <c r="I45" s="214"/>
      <c r="J45" s="215"/>
    </row>
    <row r="46" spans="1:10" ht="15.75" customHeight="1" thickBot="1">
      <c r="A46" s="216" t="str">
        <f>CONCATENATE("TOTAL DO ITEM DESON. - ",C40)</f>
        <v>TOTAL DO ITEM DESON. - SEPLAG ARQ 04</v>
      </c>
      <c r="B46" s="427"/>
      <c r="C46" s="427"/>
      <c r="D46" s="427"/>
      <c r="E46" s="427"/>
      <c r="F46" s="428"/>
      <c r="G46" s="429"/>
      <c r="H46" s="1187"/>
      <c r="I46" s="229"/>
      <c r="J46" s="219">
        <f>SUM(J43:J44)</f>
        <v>37.409999999999997</v>
      </c>
    </row>
    <row r="47" spans="1:10" ht="15" customHeight="1" thickBot="1">
      <c r="A47" s="223"/>
      <c r="B47" s="1133"/>
      <c r="C47" s="1133"/>
      <c r="D47" s="1133"/>
      <c r="E47" s="1133"/>
      <c r="F47" s="1185"/>
      <c r="G47" s="1185"/>
      <c r="H47" s="1185"/>
      <c r="I47" s="224"/>
      <c r="J47" s="225"/>
    </row>
    <row r="48" spans="1:10" ht="36.75" customHeight="1">
      <c r="A48" s="230"/>
      <c r="B48" s="1152"/>
      <c r="C48" s="1176" t="s">
        <v>358</v>
      </c>
      <c r="D48" s="156" t="s">
        <v>7634</v>
      </c>
      <c r="E48" s="1176" t="s">
        <v>8</v>
      </c>
      <c r="F48" s="1177" t="s">
        <v>18</v>
      </c>
      <c r="G48" s="1178" t="s">
        <v>7017</v>
      </c>
      <c r="H48" s="1179"/>
      <c r="I48" s="200" t="s">
        <v>7016</v>
      </c>
      <c r="J48" s="201"/>
    </row>
    <row r="49" spans="1:10" ht="15" customHeight="1">
      <c r="A49" s="203"/>
      <c r="B49" s="430"/>
      <c r="C49" s="1155"/>
      <c r="D49" s="158"/>
      <c r="E49" s="1155"/>
      <c r="F49" s="1180"/>
      <c r="G49" s="1180" t="s">
        <v>19</v>
      </c>
      <c r="H49" s="1180" t="s">
        <v>20</v>
      </c>
      <c r="I49" s="205" t="s">
        <v>19</v>
      </c>
      <c r="J49" s="206" t="s">
        <v>20</v>
      </c>
    </row>
    <row r="50" spans="1:10" ht="25.5" customHeight="1">
      <c r="A50" s="208"/>
      <c r="B50" s="241"/>
      <c r="C50" s="241"/>
      <c r="D50" s="1132" t="s">
        <v>164</v>
      </c>
      <c r="E50" s="241"/>
      <c r="F50" s="242"/>
      <c r="G50" s="242"/>
      <c r="H50" s="242"/>
      <c r="I50" s="214"/>
      <c r="J50" s="227"/>
    </row>
    <row r="51" spans="1:10" ht="15" customHeight="1">
      <c r="A51" s="208" t="s">
        <v>245</v>
      </c>
      <c r="B51" s="241"/>
      <c r="C51" s="1181">
        <v>88309</v>
      </c>
      <c r="D51" s="1132" t="str">
        <f>IF(B51="SEPLAG",VLOOKUP('[1]COMPOSIÇÕES OK'!C51,'[2]COTAÇÃO OK'!A:B,2,FALSE),VLOOKUP(C51,'NAO DESO'!A:B,2,0))</f>
        <v>PEDREIRO COM ENCARGOS COMPLEMENTARES</v>
      </c>
      <c r="E51" s="241" t="str">
        <f>VLOOKUP($C51,'NAO DESO'!$A:$D,3,)</f>
        <v>H</v>
      </c>
      <c r="F51" s="242">
        <v>0.11</v>
      </c>
      <c r="G51" s="242" t="str">
        <f>IF(B51="SEPLAG",VLOOKUP(CONCATENATE("MEDIANA - ",C51),COTAÇÃO,5,FALSE),VLOOKUP($C51,'NAO DESO'!$A:$D,4,))</f>
        <v>21,10</v>
      </c>
      <c r="H51" s="242">
        <f>TRUNC(F51*G51,2)</f>
        <v>2.3199999999999998</v>
      </c>
      <c r="I51" s="54" t="str">
        <f>IF(B51="SEPLAG",VLOOKUP(CONCATENATE("MEDIANA - ",C51),COTAÇÃO,5,FALSE),VLOOKUP($C51,DESON!$A:$D,4,))</f>
        <v>18,86</v>
      </c>
      <c r="J51" s="209">
        <f>TRUNC(F51*I51,2)</f>
        <v>2.0699999999999998</v>
      </c>
    </row>
    <row r="52" spans="1:10" ht="15" customHeight="1">
      <c r="A52" s="208" t="s">
        <v>245</v>
      </c>
      <c r="B52" s="241"/>
      <c r="C52" s="1181">
        <v>88316</v>
      </c>
      <c r="D52" s="1132" t="str">
        <f>IF(B52="SEPLAG",VLOOKUP('[1]COMPOSIÇÕES OK'!C52,'[2]COTAÇÃO OK'!A:B,2,FALSE),VLOOKUP(C52,'NAO DESO'!A:B,2,0))</f>
        <v>SERVENTE COM ENCARGOS COMPLEMENTARES</v>
      </c>
      <c r="E52" s="241" t="str">
        <f>VLOOKUP($C52,'NAO DESO'!$A:$D,3,)</f>
        <v>H</v>
      </c>
      <c r="F52" s="242">
        <v>0.23</v>
      </c>
      <c r="G52" s="242" t="str">
        <f>IF(B52="SEPLAG",VLOOKUP(CONCATENATE("MEDIANA - ",C52),COTAÇÃO,5,FALSE),VLOOKUP($C52,'NAO DESO'!$A:$D,4,))</f>
        <v>16,83</v>
      </c>
      <c r="H52" s="242">
        <f>TRUNC(F52*G52,2)</f>
        <v>3.87</v>
      </c>
      <c r="I52" s="54" t="str">
        <f>IF(B52="SEPLAG",VLOOKUP(CONCATENATE("MEDIANA - ",C52),COTAÇÃO,5,FALSE),VLOOKUP($C52,DESON!$A:$D,4,))</f>
        <v>15,16</v>
      </c>
      <c r="J52" s="209">
        <f>TRUNC(F52*I52,2)</f>
        <v>3.48</v>
      </c>
    </row>
    <row r="53" spans="1:10" ht="15" customHeight="1">
      <c r="A53" s="210" t="str">
        <f>CONCATENATE("TOTAL DO ITEM NÃO DESON. - ",C48)</f>
        <v>TOTAL DO ITEM NÃO DESON. - SEPLAG ARQ 05</v>
      </c>
      <c r="B53" s="424"/>
      <c r="C53" s="424"/>
      <c r="D53" s="424"/>
      <c r="E53" s="424"/>
      <c r="F53" s="425"/>
      <c r="G53" s="426"/>
      <c r="H53" s="1182">
        <f>SUM(H51:H52)</f>
        <v>6.1899999999999995</v>
      </c>
      <c r="I53" s="214"/>
      <c r="J53" s="215"/>
    </row>
    <row r="54" spans="1:10" ht="15.75" customHeight="1" thickBot="1">
      <c r="A54" s="216" t="str">
        <f>CONCATENATE("TOTAL DO ITEM DESON. - ",C48)</f>
        <v>TOTAL DO ITEM DESON. - SEPLAG ARQ 05</v>
      </c>
      <c r="B54" s="427"/>
      <c r="C54" s="427"/>
      <c r="D54" s="427"/>
      <c r="E54" s="427"/>
      <c r="F54" s="428"/>
      <c r="G54" s="429"/>
      <c r="H54" s="1187"/>
      <c r="I54" s="229"/>
      <c r="J54" s="219">
        <f>SUM(J51:J52)</f>
        <v>5.55</v>
      </c>
    </row>
    <row r="55" spans="1:10" ht="15" customHeight="1" thickBot="1">
      <c r="A55" s="223"/>
      <c r="B55" s="1133"/>
      <c r="C55" s="1133"/>
      <c r="D55" s="1133"/>
      <c r="E55" s="1133"/>
      <c r="F55" s="1185"/>
      <c r="G55" s="1185"/>
      <c r="H55" s="1185"/>
      <c r="I55" s="224"/>
      <c r="J55" s="225"/>
    </row>
    <row r="56" spans="1:10" ht="24.75" customHeight="1">
      <c r="A56" s="198"/>
      <c r="B56" s="1175"/>
      <c r="C56" s="1176" t="s">
        <v>359</v>
      </c>
      <c r="D56" s="156" t="s">
        <v>7635</v>
      </c>
      <c r="E56" s="1176" t="s">
        <v>8</v>
      </c>
      <c r="F56" s="1177" t="s">
        <v>18</v>
      </c>
      <c r="G56" s="1178" t="s">
        <v>7017</v>
      </c>
      <c r="H56" s="1179"/>
      <c r="I56" s="200" t="s">
        <v>7016</v>
      </c>
      <c r="J56" s="201"/>
    </row>
    <row r="57" spans="1:10" ht="16.5" customHeight="1">
      <c r="A57" s="203"/>
      <c r="B57" s="430"/>
      <c r="C57" s="1155"/>
      <c r="D57" s="158"/>
      <c r="E57" s="1155"/>
      <c r="F57" s="1180"/>
      <c r="G57" s="1180" t="s">
        <v>19</v>
      </c>
      <c r="H57" s="1180" t="s">
        <v>20</v>
      </c>
      <c r="I57" s="205" t="s">
        <v>19</v>
      </c>
      <c r="J57" s="206" t="s">
        <v>20</v>
      </c>
    </row>
    <row r="58" spans="1:10" s="207" customFormat="1" ht="15" customHeight="1">
      <c r="A58" s="208"/>
      <c r="B58" s="241"/>
      <c r="C58" s="241"/>
      <c r="D58" s="1132" t="s">
        <v>162</v>
      </c>
      <c r="E58" s="247"/>
      <c r="F58" s="248"/>
      <c r="G58" s="248"/>
      <c r="H58" s="248"/>
      <c r="I58" s="214"/>
      <c r="J58" s="227"/>
    </row>
    <row r="59" spans="1:10" ht="38.25" customHeight="1">
      <c r="A59" s="208" t="s">
        <v>39</v>
      </c>
      <c r="B59" s="241"/>
      <c r="C59" s="241">
        <v>10527</v>
      </c>
      <c r="D59" s="1132" t="str">
        <f>IF(B59="SEPLAG",VLOOKUP('[1]COMPOSIÇÕES OK'!C59,'[2]COTAÇÃO OK'!A:B,2,FALSE),VLOOKUP(C59,'NAO DESO'!A:B,2,0))</f>
        <v>LOCACAO DE ANDAIME METALICO TUBULAR DE ENCAIXE, TIPO DE TORRE, COM LARGURA DE 1 ATE 1,5 M E ALTURA DE *1,00* M (INCLUSO SAPATAS FIXAS OU RODIZIOS)</v>
      </c>
      <c r="E59" s="241" t="str">
        <f>VLOOKUP($C59,'NAO DESO'!$A:$D,3,)</f>
        <v xml:space="preserve">MXMES </v>
      </c>
      <c r="F59" s="242">
        <f>1/30</f>
        <v>3.3333333333333333E-2</v>
      </c>
      <c r="G59" s="242">
        <f>IF(B59="SEPLAG",VLOOKUP(CONCATENATE("MEDIANA - ",C59),COTAÇÃO,5,FALSE),VLOOKUP($C59,'NAO DESO'!$A:$D,4,))</f>
        <v>22.5</v>
      </c>
      <c r="H59" s="242">
        <f>TRUNC(F59*G59,2)</f>
        <v>0.75</v>
      </c>
      <c r="I59" s="54" t="str">
        <f>IF(B59="SEPLAG",VLOOKUP(CONCATENATE("MEDIANA - ",C59),COTAÇÃO,5,FALSE),VLOOKUP($C59,DESON!$A:$D,4,))</f>
        <v>22,50</v>
      </c>
      <c r="J59" s="209">
        <f>TRUNC(F59*I59,2)</f>
        <v>0.75</v>
      </c>
    </row>
    <row r="60" spans="1:10" ht="38.25" customHeight="1">
      <c r="A60" s="208" t="s">
        <v>39</v>
      </c>
      <c r="B60" s="241"/>
      <c r="C60" s="241">
        <v>97063</v>
      </c>
      <c r="D60" s="1132" t="str">
        <f>IF(B60="SEPLAG",VLOOKUP('[1]COMPOSIÇÕES OK'!C60,'[2]COTAÇÃO OK'!A:B,2,FALSE),VLOOKUP(C60,'NAO DESO'!A:B,2,0))</f>
        <v>MONTAGEM E DESMONTAGEM DE ANDAIME MODULAR FACHADEIRO, COM PISO METÁLICO, PARA EDIFICAÇÕES COM MÚLTIPLOS PAVIMENTOS (EXCLUSIVE ANDAIME E LIMPEZA). AF_11/2017</v>
      </c>
      <c r="E60" s="241" t="str">
        <f>VLOOKUP($C60,'NAO DESO'!$A:$D,3,)</f>
        <v>M2</v>
      </c>
      <c r="F60" s="242">
        <f>1/24</f>
        <v>4.1666666666666664E-2</v>
      </c>
      <c r="G60" s="242" t="str">
        <f>IF(B60="SEPLAG",VLOOKUP(CONCATENATE("MEDIANA - ",C60),COTAÇÃO,5,FALSE),VLOOKUP($C60,'NAO DESO'!$A:$D,4,))</f>
        <v>7,20</v>
      </c>
      <c r="H60" s="242">
        <f>TRUNC(F60*G60,2)</f>
        <v>0.3</v>
      </c>
      <c r="I60" s="54" t="str">
        <f>IF(B60="SEPLAG",VLOOKUP(CONCATENATE("MEDIANA - ",C60),COTAÇÃO,5,FALSE),VLOOKUP($C60,DESON!$A:$D,4,))</f>
        <v>6,46</v>
      </c>
      <c r="J60" s="209">
        <f>TRUNC(F60*I60,2)</f>
        <v>0.26</v>
      </c>
    </row>
    <row r="61" spans="1:10" ht="25.5" customHeight="1">
      <c r="A61" s="208" t="s">
        <v>245</v>
      </c>
      <c r="B61" s="241"/>
      <c r="C61" s="1181">
        <v>88316</v>
      </c>
      <c r="D61" s="1132" t="str">
        <f>IF(B61="SEPLAG",VLOOKUP('[1]COMPOSIÇÕES OK'!C61,'[2]COTAÇÃO OK'!A:B,2,FALSE),VLOOKUP(C61,'NAO DESO'!A:B,2,0))</f>
        <v>SERVENTE COM ENCARGOS COMPLEMENTARES</v>
      </c>
      <c r="E61" s="241" t="str">
        <f>VLOOKUP($C61,'NAO DESO'!$A:$D,3,)</f>
        <v>H</v>
      </c>
      <c r="F61" s="242">
        <v>0.2</v>
      </c>
      <c r="G61" s="242" t="str">
        <f>IF(B61="SEPLAG",VLOOKUP(CONCATENATE("MEDIANA - ",C61),COTAÇÃO,5,FALSE),VLOOKUP($C61,'NAO DESO'!$A:$D,4,))</f>
        <v>16,83</v>
      </c>
      <c r="H61" s="242">
        <f>TRUNC(F61*G61,2)</f>
        <v>3.36</v>
      </c>
      <c r="I61" s="54" t="str">
        <f>IF(B61="SEPLAG",VLOOKUP(CONCATENATE("MEDIANA - ",C61),COTAÇÃO,5,FALSE),VLOOKUP($C61,DESON!$A:$D,4,))</f>
        <v>15,16</v>
      </c>
      <c r="J61" s="209">
        <f>TRUNC(F61*I61,2)</f>
        <v>3.03</v>
      </c>
    </row>
    <row r="62" spans="1:10" ht="15" customHeight="1">
      <c r="A62" s="210" t="str">
        <f>CONCATENATE("TOTAL DO ITEM NÃO DESON. - ",C56)</f>
        <v>TOTAL DO ITEM NÃO DESON. - SEPLAG ARQ 06</v>
      </c>
      <c r="B62" s="424"/>
      <c r="C62" s="424"/>
      <c r="D62" s="424"/>
      <c r="E62" s="424"/>
      <c r="F62" s="425"/>
      <c r="G62" s="426"/>
      <c r="H62" s="1182">
        <f>SUM(H59:H61)</f>
        <v>4.41</v>
      </c>
      <c r="I62" s="214"/>
      <c r="J62" s="215"/>
    </row>
    <row r="63" spans="1:10" ht="15.75" customHeight="1" thickBot="1">
      <c r="A63" s="216" t="str">
        <f>CONCATENATE("TOTAL DO ITEM DESON. - ",C56)</f>
        <v>TOTAL DO ITEM DESON. - SEPLAG ARQ 06</v>
      </c>
      <c r="B63" s="427"/>
      <c r="C63" s="427"/>
      <c r="D63" s="427"/>
      <c r="E63" s="427"/>
      <c r="F63" s="428"/>
      <c r="G63" s="429"/>
      <c r="H63" s="1187"/>
      <c r="I63" s="229"/>
      <c r="J63" s="219">
        <f>SUM(J59:J61)</f>
        <v>4.04</v>
      </c>
    </row>
    <row r="64" spans="1:10" ht="15" customHeight="1" thickBot="1">
      <c r="A64" s="223"/>
      <c r="B64" s="1133"/>
      <c r="C64" s="1133"/>
      <c r="D64" s="1133"/>
      <c r="E64" s="1133"/>
      <c r="F64" s="1185"/>
      <c r="G64" s="1185"/>
      <c r="H64" s="1185"/>
      <c r="I64" s="224"/>
      <c r="J64" s="225"/>
    </row>
    <row r="65" spans="1:10" ht="26.25" customHeight="1">
      <c r="A65" s="230"/>
      <c r="B65" s="1152"/>
      <c r="C65" s="1176" t="s">
        <v>360</v>
      </c>
      <c r="D65" s="156" t="s">
        <v>7636</v>
      </c>
      <c r="E65" s="1176" t="s">
        <v>106</v>
      </c>
      <c r="F65" s="1177" t="s">
        <v>18</v>
      </c>
      <c r="G65" s="1178" t="s">
        <v>7017</v>
      </c>
      <c r="H65" s="1179"/>
      <c r="I65" s="200" t="s">
        <v>7016</v>
      </c>
      <c r="J65" s="201"/>
    </row>
    <row r="66" spans="1:10" ht="15" customHeight="1">
      <c r="A66" s="203"/>
      <c r="B66" s="430"/>
      <c r="C66" s="1155"/>
      <c r="D66" s="158"/>
      <c r="E66" s="1155"/>
      <c r="F66" s="1180"/>
      <c r="G66" s="1180" t="s">
        <v>19</v>
      </c>
      <c r="H66" s="1180" t="s">
        <v>20</v>
      </c>
      <c r="I66" s="205" t="s">
        <v>19</v>
      </c>
      <c r="J66" s="206" t="s">
        <v>20</v>
      </c>
    </row>
    <row r="67" spans="1:10" s="207" customFormat="1" ht="15" customHeight="1">
      <c r="A67" s="208"/>
      <c r="B67" s="241"/>
      <c r="C67" s="241"/>
      <c r="D67" s="1134" t="s">
        <v>324</v>
      </c>
      <c r="E67" s="247"/>
      <c r="F67" s="248"/>
      <c r="G67" s="248"/>
      <c r="H67" s="248"/>
      <c r="I67" s="214"/>
      <c r="J67" s="227"/>
    </row>
    <row r="68" spans="1:10" ht="26.25" customHeight="1">
      <c r="A68" s="208" t="s">
        <v>39</v>
      </c>
      <c r="B68" s="241"/>
      <c r="C68" s="247">
        <v>92966</v>
      </c>
      <c r="D68" s="1132" t="str">
        <f>IF(B68="SEPLAG",VLOOKUP('[1]COMPOSIÇÕES OK'!C68,'[2]COTAÇÃO OK'!A:B,2,FALSE),VLOOKUP(C68,'NAO DESO'!A:B,2,0))</f>
        <v>MARTELO PERFURADOR PNEUMÁTICO MANUAL, HASTE 25 X 75 MM, 21 KG - CHP DIURNO. AF_12/2015</v>
      </c>
      <c r="E68" s="241" t="str">
        <f>VLOOKUP($C68,'NAO DESO'!$A:$D,3,)</f>
        <v>CHP</v>
      </c>
      <c r="F68" s="242">
        <v>6</v>
      </c>
      <c r="G68" s="242" t="str">
        <f>IF(B68="SEPLAG",VLOOKUP(CONCATENATE("MEDIANA - ",C68),COTAÇÃO,5,FALSE),VLOOKUP($C68,'NAO DESO'!$A:$D,4,))</f>
        <v>17,39</v>
      </c>
      <c r="H68" s="242">
        <f>TRUNC(F68*G68,2)</f>
        <v>104.34</v>
      </c>
      <c r="I68" s="54" t="str">
        <f>IF(B68="SEPLAG",VLOOKUP(CONCATENATE("MEDIANA - ",C68),COTAÇÃO,5,FALSE),VLOOKUP($C68,DESON!$A:$D,4,))</f>
        <v>16,06</v>
      </c>
      <c r="J68" s="209">
        <f>TRUNC(F68*I68,2)</f>
        <v>96.36</v>
      </c>
    </row>
    <row r="69" spans="1:10" ht="15" customHeight="1">
      <c r="A69" s="208" t="s">
        <v>245</v>
      </c>
      <c r="B69" s="241"/>
      <c r="C69" s="1181">
        <v>88316</v>
      </c>
      <c r="D69" s="1132" t="str">
        <f>IF(B69="SEPLAG",VLOOKUP('[1]COMPOSIÇÕES OK'!C69,'[2]COTAÇÃO OK'!A:B,2,FALSE),VLOOKUP(C69,'NAO DESO'!A:B,2,0))</f>
        <v>SERVENTE COM ENCARGOS COMPLEMENTARES</v>
      </c>
      <c r="E69" s="241" t="str">
        <f>VLOOKUP($C69,'NAO DESO'!$A:$D,3,)</f>
        <v>H</v>
      </c>
      <c r="F69" s="242">
        <v>1.5</v>
      </c>
      <c r="G69" s="242" t="str">
        <f>IF(B69="SEPLAG",VLOOKUP(CONCATENATE("MEDIANA - ",C69),COTAÇÃO,5,FALSE),VLOOKUP($C69,'NAO DESO'!$A:$D,4,))</f>
        <v>16,83</v>
      </c>
      <c r="H69" s="242">
        <f>TRUNC(F69*G69,2)</f>
        <v>25.24</v>
      </c>
      <c r="I69" s="54" t="str">
        <f>IF(B69="SEPLAG",VLOOKUP(CONCATENATE("MEDIANA - ",C69),COTAÇÃO,5,FALSE),VLOOKUP($C69,DESON!$A:$D,4,))</f>
        <v>15,16</v>
      </c>
      <c r="J69" s="209">
        <f>TRUNC(F69*I69,2)</f>
        <v>22.74</v>
      </c>
    </row>
    <row r="70" spans="1:10" ht="15" customHeight="1">
      <c r="A70" s="210" t="str">
        <f>CONCATENATE("TOTAL DO ITEM NÃO DESON. - ",C65)</f>
        <v>TOTAL DO ITEM NÃO DESON. - SEPLAG ARQ 07</v>
      </c>
      <c r="B70" s="424"/>
      <c r="C70" s="424"/>
      <c r="D70" s="424"/>
      <c r="E70" s="424"/>
      <c r="F70" s="425"/>
      <c r="G70" s="426"/>
      <c r="H70" s="1182">
        <f>SUM(H68:H69)</f>
        <v>129.58000000000001</v>
      </c>
      <c r="I70" s="214"/>
      <c r="J70" s="215"/>
    </row>
    <row r="71" spans="1:10" ht="15.75" customHeight="1" thickBot="1">
      <c r="A71" s="216" t="str">
        <f>CONCATENATE("TOTAL DO ITEM DESON. - ",C65)</f>
        <v>TOTAL DO ITEM DESON. - SEPLAG ARQ 07</v>
      </c>
      <c r="B71" s="427"/>
      <c r="C71" s="427"/>
      <c r="D71" s="427"/>
      <c r="E71" s="427"/>
      <c r="F71" s="428"/>
      <c r="G71" s="429"/>
      <c r="H71" s="1187"/>
      <c r="I71" s="229"/>
      <c r="J71" s="219">
        <f>SUM(J68:J69)</f>
        <v>119.1</v>
      </c>
    </row>
    <row r="72" spans="1:10" ht="15" customHeight="1" thickBot="1">
      <c r="A72" s="223"/>
      <c r="B72" s="1133"/>
      <c r="C72" s="1133"/>
      <c r="D72" s="1133"/>
      <c r="E72" s="1133"/>
      <c r="F72" s="1185"/>
      <c r="G72" s="1185"/>
      <c r="H72" s="1185"/>
      <c r="I72" s="224"/>
      <c r="J72" s="225"/>
    </row>
    <row r="73" spans="1:10" ht="28.5" customHeight="1">
      <c r="A73" s="230"/>
      <c r="B73" s="1152"/>
      <c r="C73" s="1176" t="s">
        <v>361</v>
      </c>
      <c r="D73" s="156" t="s">
        <v>7637</v>
      </c>
      <c r="E73" s="1176" t="s">
        <v>8</v>
      </c>
      <c r="F73" s="1177" t="s">
        <v>18</v>
      </c>
      <c r="G73" s="1178" t="s">
        <v>7017</v>
      </c>
      <c r="H73" s="1179"/>
      <c r="I73" s="200" t="s">
        <v>7016</v>
      </c>
      <c r="J73" s="201"/>
    </row>
    <row r="74" spans="1:10" ht="13.5" customHeight="1">
      <c r="A74" s="203"/>
      <c r="B74" s="430"/>
      <c r="C74" s="1155"/>
      <c r="D74" s="158"/>
      <c r="E74" s="1155"/>
      <c r="F74" s="1180"/>
      <c r="G74" s="1180" t="s">
        <v>19</v>
      </c>
      <c r="H74" s="1180" t="s">
        <v>20</v>
      </c>
      <c r="I74" s="205" t="s">
        <v>19</v>
      </c>
      <c r="J74" s="206" t="s">
        <v>20</v>
      </c>
    </row>
    <row r="75" spans="1:10" s="207" customFormat="1" ht="15.75" customHeight="1">
      <c r="A75" s="208"/>
      <c r="B75" s="241"/>
      <c r="C75" s="241"/>
      <c r="D75" s="1132" t="s">
        <v>347</v>
      </c>
      <c r="E75" s="247"/>
      <c r="F75" s="248"/>
      <c r="G75" s="248"/>
      <c r="H75" s="248"/>
      <c r="I75" s="214"/>
      <c r="J75" s="227"/>
    </row>
    <row r="76" spans="1:10" ht="15" customHeight="1">
      <c r="A76" s="208" t="s">
        <v>39</v>
      </c>
      <c r="B76" s="241"/>
      <c r="C76" s="161">
        <v>13</v>
      </c>
      <c r="D76" s="1132" t="str">
        <f>IF(B76="SEPLAG",VLOOKUP('[1]COMPOSIÇÕES OK'!C76,'[2]COTAÇÃO OK'!A:B,2,FALSE),VLOOKUP(C76,'NAO DESO'!A:B,2,0))</f>
        <v>ESTOPA</v>
      </c>
      <c r="E76" s="247" t="s">
        <v>41</v>
      </c>
      <c r="F76" s="248">
        <v>2.5500000000000002E-3</v>
      </c>
      <c r="G76" s="242">
        <f>IF(B76="SEPLAG",VLOOKUP(CONCATENATE("MEDIANA - ",C76),COTAÇÃO,5,FALSE),VLOOKUP($C76,'NAO DESO'!$A:$D,4,))</f>
        <v>27.7</v>
      </c>
      <c r="H76" s="242">
        <f>TRUNC(F76*G76,2)</f>
        <v>7.0000000000000007E-2</v>
      </c>
      <c r="I76" s="54" t="str">
        <f>IF(B76="SEPLAG",VLOOKUP(CONCATENATE("MEDIANA - ",C76),COTAÇÃO,5,FALSE),VLOOKUP($C76,DESON!$A:$D,4,))</f>
        <v>27,70</v>
      </c>
      <c r="J76" s="209">
        <f>TRUNC(F76*I76,2)</f>
        <v>7.0000000000000007E-2</v>
      </c>
    </row>
    <row r="77" spans="1:10" ht="15" customHeight="1">
      <c r="A77" s="208" t="s">
        <v>39</v>
      </c>
      <c r="B77" s="241"/>
      <c r="C77" s="161">
        <v>37329</v>
      </c>
      <c r="D77" s="1132" t="str">
        <f>IF(B77="SEPLAG",VLOOKUP('[1]COMPOSIÇÕES OK'!C77,'[2]COTAÇÃO OK'!A:B,2,FALSE),VLOOKUP(C77,'NAO DESO'!A:B,2,0))</f>
        <v>REJUNTE EPOXI, QUALQUER COR</v>
      </c>
      <c r="E77" s="241" t="str">
        <f>VLOOKUP($C77,'NAO DESO'!$A:$D,3,)</f>
        <v xml:space="preserve">KG    </v>
      </c>
      <c r="F77" s="248">
        <v>7.8325900000000004E-2</v>
      </c>
      <c r="G77" s="242">
        <f>IF(B77="SEPLAG",VLOOKUP(CONCATENATE("MEDIANA - ",C77),COTAÇÃO,5,FALSE),VLOOKUP($C77,'NAO DESO'!$A:$D,4,))</f>
        <v>101.41</v>
      </c>
      <c r="H77" s="242">
        <f>TRUNC(F77*G77,2)</f>
        <v>7.94</v>
      </c>
      <c r="I77" s="54" t="str">
        <f>IF(B77="SEPLAG",VLOOKUP(CONCATENATE("MEDIANA - ",C77),COTAÇÃO,5,FALSE),VLOOKUP($C77,DESON!$A:$D,4,))</f>
        <v>101,41</v>
      </c>
      <c r="J77" s="209">
        <f>TRUNC(F77*I77,2)</f>
        <v>7.94</v>
      </c>
    </row>
    <row r="78" spans="1:10" ht="15" customHeight="1">
      <c r="A78" s="208" t="s">
        <v>245</v>
      </c>
      <c r="B78" s="241"/>
      <c r="C78" s="1181">
        <v>88316</v>
      </c>
      <c r="D78" s="1132" t="str">
        <f>IF(B78="SEPLAG",VLOOKUP('[1]COMPOSIÇÕES OK'!C78,'[2]COTAÇÃO OK'!A:B,2,FALSE),VLOOKUP(C78,'NAO DESO'!A:B,2,0))</f>
        <v>SERVENTE COM ENCARGOS COMPLEMENTARES</v>
      </c>
      <c r="E78" s="241" t="str">
        <f>VLOOKUP($C78,'NAO DESO'!$A:$D,3,)</f>
        <v>H</v>
      </c>
      <c r="F78" s="242">
        <v>0.24</v>
      </c>
      <c r="G78" s="242" t="str">
        <f>IF(B78="SEPLAG",VLOOKUP(CONCATENATE("MEDIANA - ",C78),COTAÇÃO,5,FALSE),VLOOKUP($C78,'NAO DESO'!$A:$D,4,))</f>
        <v>16,83</v>
      </c>
      <c r="H78" s="242">
        <f>TRUNC(F78*G78,2)</f>
        <v>4.03</v>
      </c>
      <c r="I78" s="54" t="str">
        <f>IF(B78="SEPLAG",VLOOKUP(CONCATENATE("MEDIANA - ",C78),COTAÇÃO,5,FALSE),VLOOKUP($C78,DESON!$A:$D,4,))</f>
        <v>15,16</v>
      </c>
      <c r="J78" s="209">
        <f>TRUNC(F78*I78,2)</f>
        <v>3.63</v>
      </c>
    </row>
    <row r="79" spans="1:10" ht="15" customHeight="1">
      <c r="A79" s="210" t="str">
        <f>CONCATENATE("TOTAL DO ITEM NÃO DESON. - ",C73)</f>
        <v>TOTAL DO ITEM NÃO DESON. - SEPLAG ARQ 08</v>
      </c>
      <c r="B79" s="424"/>
      <c r="C79" s="424"/>
      <c r="D79" s="424"/>
      <c r="E79" s="424"/>
      <c r="F79" s="425"/>
      <c r="G79" s="426"/>
      <c r="H79" s="1182">
        <f>SUM(H76:H78)</f>
        <v>12.04</v>
      </c>
      <c r="I79" s="214"/>
      <c r="J79" s="215"/>
    </row>
    <row r="80" spans="1:10" ht="15.75" customHeight="1" thickBot="1">
      <c r="A80" s="216" t="str">
        <f>CONCATENATE("TOTAL DO ITEM DESON. - ",C73)</f>
        <v>TOTAL DO ITEM DESON. - SEPLAG ARQ 08</v>
      </c>
      <c r="B80" s="427"/>
      <c r="C80" s="427"/>
      <c r="D80" s="427"/>
      <c r="E80" s="427"/>
      <c r="F80" s="428"/>
      <c r="G80" s="429"/>
      <c r="H80" s="1187"/>
      <c r="I80" s="229"/>
      <c r="J80" s="219">
        <f>SUM(J76:J78)</f>
        <v>11.64</v>
      </c>
    </row>
    <row r="81" spans="1:10" ht="15" customHeight="1" thickBot="1">
      <c r="A81" s="223"/>
      <c r="B81" s="1133"/>
      <c r="C81" s="1133"/>
      <c r="D81" s="1133"/>
      <c r="E81" s="1133"/>
      <c r="F81" s="1185"/>
      <c r="G81" s="1185"/>
      <c r="H81" s="1185"/>
      <c r="I81" s="224"/>
      <c r="J81" s="225"/>
    </row>
    <row r="82" spans="1:10" ht="54.75" customHeight="1">
      <c r="A82" s="230"/>
      <c r="B82" s="1152"/>
      <c r="C82" s="1176" t="s">
        <v>362</v>
      </c>
      <c r="D82" s="156" t="s">
        <v>7638</v>
      </c>
      <c r="E82" s="1176" t="s">
        <v>207</v>
      </c>
      <c r="F82" s="1177" t="s">
        <v>18</v>
      </c>
      <c r="G82" s="1178" t="s">
        <v>7017</v>
      </c>
      <c r="H82" s="1179"/>
      <c r="I82" s="200" t="s">
        <v>7016</v>
      </c>
      <c r="J82" s="201"/>
    </row>
    <row r="83" spans="1:10" ht="20.25" customHeight="1">
      <c r="A83" s="203"/>
      <c r="B83" s="430"/>
      <c r="C83" s="1155"/>
      <c r="D83" s="158"/>
      <c r="E83" s="1155"/>
      <c r="F83" s="1180"/>
      <c r="G83" s="1180" t="s">
        <v>19</v>
      </c>
      <c r="H83" s="1180" t="s">
        <v>20</v>
      </c>
      <c r="I83" s="205" t="s">
        <v>19</v>
      </c>
      <c r="J83" s="206" t="s">
        <v>20</v>
      </c>
    </row>
    <row r="84" spans="1:10" ht="45" customHeight="1">
      <c r="A84" s="208" t="s">
        <v>188</v>
      </c>
      <c r="B84" s="241"/>
      <c r="C84" s="241">
        <v>21108</v>
      </c>
      <c r="D84" s="1132" t="str">
        <f>IF(B84="SEPLAG",VLOOKUP(COMPOSIÇÕES!C84,'MAPA COMPARATIVO'!A:B,2,FALSE),VLOOKUP(C84,'NAO DESO'!A:B,2,0))</f>
        <v>PISO EM PORCELANATO RETIFICADO EXTRA, FORMATO MENOR OU IGUAL A 2025 CM2</v>
      </c>
      <c r="E84" s="247" t="s">
        <v>12</v>
      </c>
      <c r="F84" s="242">
        <v>1.05</v>
      </c>
      <c r="G84" s="242">
        <f>IF(B84="SEPLAG",VLOOKUP(CONCATENATE("MEDIANA - ",C84),COTAÇÃO,5,FALSE),VLOOKUP($C84,'NAO DESO'!$A:$D,4,))</f>
        <v>82.59</v>
      </c>
      <c r="H84" s="242">
        <f>TRUNC(F84*G84,2)</f>
        <v>86.71</v>
      </c>
      <c r="I84" s="54" t="str">
        <f>IF(B84="SEPLAG",VLOOKUP(CONCATENATE("MEDIANA - ",C84),COTAÇÃO,5,FALSE),VLOOKUP($C84,DESON!$A:$D,4,))</f>
        <v>82,59</v>
      </c>
      <c r="J84" s="209">
        <f>TRUNC(F84*I84,2)</f>
        <v>86.71</v>
      </c>
    </row>
    <row r="85" spans="1:10" ht="15" customHeight="1">
      <c r="A85" s="208" t="s">
        <v>39</v>
      </c>
      <c r="B85" s="241"/>
      <c r="C85" s="241">
        <v>34357</v>
      </c>
      <c r="D85" s="1132" t="str">
        <f>IF(B85="SEPLAG",VLOOKUP('[1]COMPOSIÇÕES OK'!C85,'[2]COTAÇÃO OK'!A:B,2,FALSE),VLOOKUP(C85,'NAO DESO'!A:B,2,0))</f>
        <v>REJUNTE CIMENTICIO, QUALQUER COR</v>
      </c>
      <c r="E85" s="241" t="str">
        <f>VLOOKUP($C85,'NAO DESO'!$A:$D,3,)</f>
        <v xml:space="preserve">KG    </v>
      </c>
      <c r="F85" s="242">
        <v>0.42</v>
      </c>
      <c r="G85" s="242">
        <f>IF(B85="SEPLAG",VLOOKUP(CONCATENATE("MEDIANA - ",C85),COTAÇÃO,5,FALSE),VLOOKUP($C85,'NAO DESO'!$A:$D,4,))</f>
        <v>4.8099999999999996</v>
      </c>
      <c r="H85" s="242">
        <f>TRUNC(F85*G85,2)</f>
        <v>2.02</v>
      </c>
      <c r="I85" s="54" t="str">
        <f>IF(B85="SEPLAG",VLOOKUP(CONCATENATE("MEDIANA - ",C85),COTAÇÃO,5,FALSE),VLOOKUP($C85,DESON!$A:$D,4,))</f>
        <v>4,81</v>
      </c>
      <c r="J85" s="209">
        <f>TRUNC(F85*I85,2)</f>
        <v>2.02</v>
      </c>
    </row>
    <row r="86" spans="1:10" ht="15" customHeight="1">
      <c r="A86" s="208" t="s">
        <v>39</v>
      </c>
      <c r="B86" s="241"/>
      <c r="C86" s="1181">
        <v>37595</v>
      </c>
      <c r="D86" s="1132" t="str">
        <f>IF(B86="SEPLAG",VLOOKUP('[1]COMPOSIÇÕES OK'!C86,'[2]COTAÇÃO OK'!A:B,2,FALSE),VLOOKUP(C86,'NAO DESO'!A:B,2,0))</f>
        <v>ARGAMASSA COLANTE TIPO AC III</v>
      </c>
      <c r="E86" s="241" t="str">
        <f>VLOOKUP($C86,'NAO DESO'!$A:$D,3,)</f>
        <v xml:space="preserve">KG    </v>
      </c>
      <c r="F86" s="242">
        <v>4.8600000000000003</v>
      </c>
      <c r="G86" s="242">
        <f>IF(B86="SEPLAG",VLOOKUP(CONCATENATE("MEDIANA - ",C86),COTAÇÃO,5,FALSE),VLOOKUP($C86,'NAO DESO'!$A:$D,4,))</f>
        <v>2.52</v>
      </c>
      <c r="H86" s="242">
        <f>TRUNC(F86*G86,2)</f>
        <v>12.24</v>
      </c>
      <c r="I86" s="54" t="str">
        <f>IF(B86="SEPLAG",VLOOKUP(CONCATENATE("MEDIANA - ",C86),COTAÇÃO,5,FALSE),VLOOKUP($C86,DESON!$A:$D,4,))</f>
        <v>2,52</v>
      </c>
      <c r="J86" s="209">
        <f>TRUNC(F86*I86,2)</f>
        <v>12.24</v>
      </c>
    </row>
    <row r="87" spans="1:10" ht="15" customHeight="1">
      <c r="A87" s="208" t="s">
        <v>348</v>
      </c>
      <c r="B87" s="241"/>
      <c r="C87" s="241">
        <v>88256</v>
      </c>
      <c r="D87" s="1132" t="str">
        <f>IF(B87="SEPLAG",VLOOKUP('[1]COMPOSIÇÕES OK'!C87,'[2]COTAÇÃO OK'!A:B,2,FALSE),VLOOKUP(C87,'NAO DESO'!A:B,2,0))</f>
        <v>AZULEJISTA OU LADRILHISTA COM ENCARGOS COMPLEMENTARES</v>
      </c>
      <c r="E87" s="241" t="str">
        <f>VLOOKUP($C87,'NAO DESO'!$A:$D,3,)</f>
        <v>H</v>
      </c>
      <c r="F87" s="242">
        <v>0.49</v>
      </c>
      <c r="G87" s="242" t="str">
        <f>IF(B87="SEPLAG",VLOOKUP(CONCATENATE("MEDIANA - ",C87),COTAÇÃO,5,FALSE),VLOOKUP($C87,'NAO DESO'!$A:$D,4,))</f>
        <v>21,02</v>
      </c>
      <c r="H87" s="242">
        <f>TRUNC(F87*G87,2)</f>
        <v>10.29</v>
      </c>
      <c r="I87" s="54" t="str">
        <f>IF(B87="SEPLAG",VLOOKUP(CONCATENATE("MEDIANA - ",C87),COTAÇÃO,5,FALSE),VLOOKUP($C87,DESON!$A:$D,4,))</f>
        <v>18,79</v>
      </c>
      <c r="J87" s="209">
        <f>TRUNC(F87*I87,2)</f>
        <v>9.1999999999999993</v>
      </c>
    </row>
    <row r="88" spans="1:10" ht="15" customHeight="1">
      <c r="A88" s="208" t="s">
        <v>348</v>
      </c>
      <c r="B88" s="241"/>
      <c r="C88" s="1181">
        <v>88316</v>
      </c>
      <c r="D88" s="1132" t="str">
        <f>IF(B88="SEPLAG",VLOOKUP('[1]COMPOSIÇÕES OK'!C88,'[2]COTAÇÃO OK'!A:B,2,FALSE),VLOOKUP(C88,'NAO DESO'!A:B,2,0))</f>
        <v>SERVENTE COM ENCARGOS COMPLEMENTARES</v>
      </c>
      <c r="E88" s="241" t="str">
        <f>VLOOKUP($C88,'NAO DESO'!$A:$D,3,)</f>
        <v>H</v>
      </c>
      <c r="F88" s="242">
        <v>0.28999999999999998</v>
      </c>
      <c r="G88" s="242" t="str">
        <f>IF(B88="SEPLAG",VLOOKUP(CONCATENATE("MEDIANA - ",C88),COTAÇÃO,5,FALSE),VLOOKUP($C88,'NAO DESO'!$A:$D,4,))</f>
        <v>16,83</v>
      </c>
      <c r="H88" s="242">
        <f>TRUNC(F88*G88,2)</f>
        <v>4.88</v>
      </c>
      <c r="I88" s="54" t="str">
        <f>IF(B88="SEPLAG",VLOOKUP(CONCATENATE("MEDIANA - ",C88),COTAÇÃO,5,FALSE),VLOOKUP($C88,DESON!$A:$D,4,))</f>
        <v>15,16</v>
      </c>
      <c r="J88" s="209">
        <f>TRUNC(F88*I88,2)</f>
        <v>4.3899999999999997</v>
      </c>
    </row>
    <row r="89" spans="1:10" ht="15" customHeight="1">
      <c r="A89" s="210" t="str">
        <f>CONCATENATE("TOTAL DO ITEM NÃO DESON. - ",C82)</f>
        <v>TOTAL DO ITEM NÃO DESON. - SEPLAG ARQ 09</v>
      </c>
      <c r="B89" s="424"/>
      <c r="C89" s="424"/>
      <c r="D89" s="424"/>
      <c r="E89" s="424"/>
      <c r="F89" s="425"/>
      <c r="G89" s="426"/>
      <c r="H89" s="1182">
        <f>SUM(H84:H88)</f>
        <v>116.13999999999999</v>
      </c>
      <c r="I89" s="214"/>
      <c r="J89" s="215"/>
    </row>
    <row r="90" spans="1:10" ht="15.75" customHeight="1" thickBot="1">
      <c r="A90" s="216" t="str">
        <f>CONCATENATE("TOTAL DO ITEM DESON. - ",C82)</f>
        <v>TOTAL DO ITEM DESON. - SEPLAG ARQ 09</v>
      </c>
      <c r="B90" s="427"/>
      <c r="C90" s="427"/>
      <c r="D90" s="427"/>
      <c r="E90" s="427"/>
      <c r="F90" s="428"/>
      <c r="G90" s="429"/>
      <c r="H90" s="1187"/>
      <c r="I90" s="229"/>
      <c r="J90" s="219">
        <f>SUM(J84:J88)</f>
        <v>114.55999999999999</v>
      </c>
    </row>
    <row r="91" spans="1:10" ht="15" customHeight="1" thickBot="1">
      <c r="A91" s="223"/>
      <c r="B91" s="1133"/>
      <c r="C91" s="1133"/>
      <c r="D91" s="1133"/>
      <c r="E91" s="1133"/>
      <c r="F91" s="1185"/>
      <c r="G91" s="1185"/>
      <c r="H91" s="1185"/>
      <c r="I91" s="224"/>
      <c r="J91" s="225"/>
    </row>
    <row r="92" spans="1:10" ht="55.5" customHeight="1">
      <c r="A92" s="230"/>
      <c r="B92" s="1152"/>
      <c r="C92" s="1176" t="s">
        <v>363</v>
      </c>
      <c r="D92" s="156" t="s">
        <v>7639</v>
      </c>
      <c r="E92" s="1176" t="s">
        <v>207</v>
      </c>
      <c r="F92" s="1177" t="s">
        <v>18</v>
      </c>
      <c r="G92" s="1178" t="s">
        <v>7017</v>
      </c>
      <c r="H92" s="1179"/>
      <c r="I92" s="200" t="s">
        <v>7016</v>
      </c>
      <c r="J92" s="201"/>
    </row>
    <row r="93" spans="1:10" ht="17.25" customHeight="1">
      <c r="A93" s="203"/>
      <c r="B93" s="430"/>
      <c r="C93" s="1155"/>
      <c r="D93" s="158"/>
      <c r="E93" s="1155"/>
      <c r="F93" s="1180"/>
      <c r="G93" s="1180" t="s">
        <v>19</v>
      </c>
      <c r="H93" s="1180" t="s">
        <v>20</v>
      </c>
      <c r="I93" s="205" t="s">
        <v>19</v>
      </c>
      <c r="J93" s="206" t="s">
        <v>20</v>
      </c>
    </row>
    <row r="94" spans="1:10" ht="52.5" customHeight="1">
      <c r="A94" s="208" t="s">
        <v>188</v>
      </c>
      <c r="B94" s="241"/>
      <c r="C94" s="241">
        <v>21108</v>
      </c>
      <c r="D94" s="1132" t="str">
        <f>IF(B94="SEPLAG",VLOOKUP(COMPOSIÇÕES!C94,'MAPA COMPARATIVO'!A:B,2,FALSE),VLOOKUP(C94,'NAO DESO'!A:B,2,0))</f>
        <v>PISO EM PORCELANATO RETIFICADO EXTRA, FORMATO MENOR OU IGUAL A 2025 CM2</v>
      </c>
      <c r="E94" s="247" t="s">
        <v>12</v>
      </c>
      <c r="F94" s="242">
        <v>1.05</v>
      </c>
      <c r="G94" s="242">
        <f>IF(B94="SEPLAG",VLOOKUP(CONCATENATE("MEDIANA - ",C94),COTAÇÃO,5,FALSE),VLOOKUP($C94,'NAO DESO'!$A:$D,4,))</f>
        <v>82.59</v>
      </c>
      <c r="H94" s="242">
        <f>TRUNC(F94*G94,2)</f>
        <v>86.71</v>
      </c>
      <c r="I94" s="54" t="str">
        <f>IF(B94="SEPLAG",VLOOKUP(CONCATENATE("MEDIANA - ",C94),COTAÇÃO,5,FALSE),VLOOKUP($C94,DESON!$A:$D,4,))</f>
        <v>82,59</v>
      </c>
      <c r="J94" s="209">
        <f>TRUNC(F94*I94,2)</f>
        <v>86.71</v>
      </c>
    </row>
    <row r="95" spans="1:10" ht="15" customHeight="1">
      <c r="A95" s="208" t="s">
        <v>39</v>
      </c>
      <c r="B95" s="241"/>
      <c r="C95" s="241">
        <v>34357</v>
      </c>
      <c r="D95" s="1132" t="str">
        <f>IF(B95="SEPLAG",VLOOKUP('[1]COMPOSIÇÕES OK'!C95,'[2]COTAÇÃO OK'!A:B,2,FALSE),VLOOKUP(C95,'NAO DESO'!A:B,2,0))</f>
        <v>REJUNTE CIMENTICIO, QUALQUER COR</v>
      </c>
      <c r="E95" s="241" t="str">
        <f>VLOOKUP($C95,'NAO DESO'!$A:$D,3,)</f>
        <v xml:space="preserve">KG    </v>
      </c>
      <c r="F95" s="242">
        <v>0.42</v>
      </c>
      <c r="G95" s="242">
        <f>IF(B95="SEPLAG",VLOOKUP(CONCATENATE("MEDIANA - ",C95),COTAÇÃO,5,FALSE),VLOOKUP($C95,'NAO DESO'!$A:$D,4,))</f>
        <v>4.8099999999999996</v>
      </c>
      <c r="H95" s="242">
        <f>TRUNC(F95*G95,2)</f>
        <v>2.02</v>
      </c>
      <c r="I95" s="54" t="str">
        <f>IF(B95="SEPLAG",VLOOKUP(CONCATENATE("MEDIANA - ",C95),COTAÇÃO,5,FALSE),VLOOKUP($C95,DESON!$A:$D,4,))</f>
        <v>4,81</v>
      </c>
      <c r="J95" s="209">
        <f>TRUNC(F95*I95,2)</f>
        <v>2.02</v>
      </c>
    </row>
    <row r="96" spans="1:10" ht="15" customHeight="1">
      <c r="A96" s="208" t="s">
        <v>39</v>
      </c>
      <c r="B96" s="241"/>
      <c r="C96" s="1181">
        <v>37595</v>
      </c>
      <c r="D96" s="1132" t="str">
        <f>IF(B96="SEPLAG",VLOOKUP('[1]COMPOSIÇÕES OK'!C96,'[2]COTAÇÃO OK'!A:B,2,FALSE),VLOOKUP(C96,'NAO DESO'!A:B,2,0))</f>
        <v>ARGAMASSA COLANTE TIPO AC III</v>
      </c>
      <c r="E96" s="241" t="str">
        <f>VLOOKUP($C96,'NAO DESO'!$A:$D,3,)</f>
        <v xml:space="preserve">KG    </v>
      </c>
      <c r="F96" s="242">
        <v>4.8600000000000003</v>
      </c>
      <c r="G96" s="242">
        <f>IF(B96="SEPLAG",VLOOKUP(CONCATENATE("MEDIANA - ",C96),COTAÇÃO,5,FALSE),VLOOKUP($C96,'NAO DESO'!$A:$D,4,))</f>
        <v>2.52</v>
      </c>
      <c r="H96" s="242">
        <f>TRUNC(F96*G96,2)</f>
        <v>12.24</v>
      </c>
      <c r="I96" s="54" t="str">
        <f>IF(B96="SEPLAG",VLOOKUP(CONCATENATE("MEDIANA - ",C96),COTAÇÃO,5,FALSE),VLOOKUP($C96,DESON!$A:$D,4,))</f>
        <v>2,52</v>
      </c>
      <c r="J96" s="209">
        <f>TRUNC(F96*I96,2)</f>
        <v>12.24</v>
      </c>
    </row>
    <row r="97" spans="1:10" ht="15" customHeight="1">
      <c r="A97" s="208" t="s">
        <v>348</v>
      </c>
      <c r="B97" s="241"/>
      <c r="C97" s="241">
        <v>88256</v>
      </c>
      <c r="D97" s="1132" t="str">
        <f>IF(B97="SEPLAG",VLOOKUP('[1]COMPOSIÇÕES OK'!C97,'[2]COTAÇÃO OK'!A:B,2,FALSE),VLOOKUP(C97,'NAO DESO'!A:B,2,0))</f>
        <v>AZULEJISTA OU LADRILHISTA COM ENCARGOS COMPLEMENTARES</v>
      </c>
      <c r="E97" s="241" t="str">
        <f>VLOOKUP($C97,'NAO DESO'!$A:$D,3,)</f>
        <v>H</v>
      </c>
      <c r="F97" s="242">
        <v>0.49</v>
      </c>
      <c r="G97" s="242" t="str">
        <f>IF(B97="SEPLAG",VLOOKUP(CONCATENATE("MEDIANA - ",C97),COTAÇÃO,5,FALSE),VLOOKUP($C97,'NAO DESO'!$A:$D,4,))</f>
        <v>21,02</v>
      </c>
      <c r="H97" s="242">
        <f>TRUNC(F97*G97,2)</f>
        <v>10.29</v>
      </c>
      <c r="I97" s="54" t="str">
        <f>IF(B97="SEPLAG",VLOOKUP(CONCATENATE("MEDIANA - ",C97),COTAÇÃO,5,FALSE),VLOOKUP($C97,DESON!$A:$D,4,))</f>
        <v>18,79</v>
      </c>
      <c r="J97" s="209">
        <f>TRUNC(F97*I97,2)</f>
        <v>9.1999999999999993</v>
      </c>
    </row>
    <row r="98" spans="1:10" ht="15" customHeight="1">
      <c r="A98" s="208" t="s">
        <v>348</v>
      </c>
      <c r="B98" s="241"/>
      <c r="C98" s="1181">
        <v>88316</v>
      </c>
      <c r="D98" s="1132" t="str">
        <f>IF(B98="SEPLAG",VLOOKUP('[1]COMPOSIÇÕES OK'!C98,'[2]COTAÇÃO OK'!A:B,2,FALSE),VLOOKUP(C98,'NAO DESO'!A:B,2,0))</f>
        <v>SERVENTE COM ENCARGOS COMPLEMENTARES</v>
      </c>
      <c r="E98" s="241" t="str">
        <f>VLOOKUP($C98,'NAO DESO'!$A:$D,3,)</f>
        <v>H</v>
      </c>
      <c r="F98" s="242">
        <v>0.28999999999999998</v>
      </c>
      <c r="G98" s="242" t="str">
        <f>IF(B98="SEPLAG",VLOOKUP(CONCATENATE("MEDIANA - ",C98),COTAÇÃO,5,FALSE),VLOOKUP($C98,'NAO DESO'!$A:$D,4,))</f>
        <v>16,83</v>
      </c>
      <c r="H98" s="242">
        <f>TRUNC(F98*G98,2)</f>
        <v>4.88</v>
      </c>
      <c r="I98" s="54" t="str">
        <f>IF(B98="SEPLAG",VLOOKUP(CONCATENATE("MEDIANA - ",C98),COTAÇÃO,5,FALSE),VLOOKUP($C98,DESON!$A:$D,4,))</f>
        <v>15,16</v>
      </c>
      <c r="J98" s="209">
        <f>TRUNC(F98*I98,2)</f>
        <v>4.3899999999999997</v>
      </c>
    </row>
    <row r="99" spans="1:10" ht="15" customHeight="1">
      <c r="A99" s="210" t="str">
        <f>CONCATENATE("TOTAL DO ITEM NÃO DESON. - ",C92)</f>
        <v>TOTAL DO ITEM NÃO DESON. - SEPLAG ARQ 10</v>
      </c>
      <c r="B99" s="424"/>
      <c r="C99" s="424"/>
      <c r="D99" s="424"/>
      <c r="E99" s="424"/>
      <c r="F99" s="425"/>
      <c r="G99" s="426"/>
      <c r="H99" s="1182">
        <f>SUM(H94:H98)</f>
        <v>116.13999999999999</v>
      </c>
      <c r="I99" s="214"/>
      <c r="J99" s="215"/>
    </row>
    <row r="100" spans="1:10" ht="15.75" customHeight="1" thickBot="1">
      <c r="A100" s="216" t="str">
        <f>CONCATENATE("TOTAL DO ITEM DESON. - ",C92)</f>
        <v>TOTAL DO ITEM DESON. - SEPLAG ARQ 10</v>
      </c>
      <c r="B100" s="427"/>
      <c r="C100" s="427"/>
      <c r="D100" s="427"/>
      <c r="E100" s="427"/>
      <c r="F100" s="428"/>
      <c r="G100" s="429"/>
      <c r="H100" s="1187"/>
      <c r="I100" s="229"/>
      <c r="J100" s="232">
        <f>SUM(J94:J98)</f>
        <v>114.55999999999999</v>
      </c>
    </row>
    <row r="101" spans="1:10" ht="15" customHeight="1" thickBot="1">
      <c r="A101" s="223"/>
      <c r="B101" s="1133"/>
      <c r="C101" s="1133"/>
      <c r="D101" s="1133"/>
      <c r="E101" s="1133"/>
      <c r="F101" s="1185"/>
      <c r="G101" s="1185"/>
      <c r="H101" s="1185"/>
      <c r="I101" s="224"/>
      <c r="J101" s="225"/>
    </row>
    <row r="102" spans="1:10" ht="28.5" customHeight="1">
      <c r="A102" s="230"/>
      <c r="B102" s="1152"/>
      <c r="C102" s="1176" t="s">
        <v>364</v>
      </c>
      <c r="D102" s="156" t="s">
        <v>7640</v>
      </c>
      <c r="E102" s="1176" t="s">
        <v>40</v>
      </c>
      <c r="F102" s="1177" t="s">
        <v>18</v>
      </c>
      <c r="G102" s="1178" t="s">
        <v>7017</v>
      </c>
      <c r="H102" s="1179"/>
      <c r="I102" s="200" t="s">
        <v>7016</v>
      </c>
      <c r="J102" s="201"/>
    </row>
    <row r="103" spans="1:10" ht="18" customHeight="1">
      <c r="A103" s="203"/>
      <c r="B103" s="430"/>
      <c r="C103" s="1155"/>
      <c r="D103" s="158"/>
      <c r="E103" s="1155"/>
      <c r="F103" s="1180"/>
      <c r="G103" s="1180" t="s">
        <v>19</v>
      </c>
      <c r="H103" s="1180" t="s">
        <v>20</v>
      </c>
      <c r="I103" s="205" t="s">
        <v>19</v>
      </c>
      <c r="J103" s="206" t="s">
        <v>20</v>
      </c>
    </row>
    <row r="104" spans="1:10" s="207" customFormat="1" ht="22.5" customHeight="1">
      <c r="A104" s="208"/>
      <c r="B104" s="241"/>
      <c r="C104" s="241" t="s">
        <v>75</v>
      </c>
      <c r="D104" s="1132" t="s">
        <v>74</v>
      </c>
      <c r="E104" s="247"/>
      <c r="F104" s="248"/>
      <c r="G104" s="248"/>
      <c r="H104" s="248"/>
      <c r="I104" s="214"/>
      <c r="J104" s="227"/>
    </row>
    <row r="105" spans="1:10" ht="15" customHeight="1">
      <c r="A105" s="208" t="s">
        <v>39</v>
      </c>
      <c r="B105" s="241"/>
      <c r="C105" s="241">
        <v>38195</v>
      </c>
      <c r="D105" s="1132" t="str">
        <f>IF(B105="SEPLAG",VLOOKUP('[1]COMPOSIÇÕES OK'!C105,'[2]COTAÇÃO OK'!A:B,2,FALSE),VLOOKUP(C105,'NAO DESO'!A:B,2,0))</f>
        <v>PISO PORCELANATO, BORDA RETA, EXTRA, FORMATO MAIOR QUE 2025 CM2</v>
      </c>
      <c r="E105" s="241" t="str">
        <f>VLOOKUP($C105,'NAO DESO'!$A:$D,3,)</f>
        <v xml:space="preserve">M2    </v>
      </c>
      <c r="F105" s="242">
        <v>0.188</v>
      </c>
      <c r="G105" s="242">
        <f>IF(B105="SEPLAG",VLOOKUP(CONCATENATE("MEDIANA - ",C105),COTAÇÃO,5,FALSE),VLOOKUP($C105,'NAO DESO'!$A:$D,4,))</f>
        <v>97.55</v>
      </c>
      <c r="H105" s="242">
        <f>TRUNC(F105*G105,2)</f>
        <v>18.329999999999998</v>
      </c>
      <c r="I105" s="54" t="str">
        <f>IF(B105="SEPLAG",VLOOKUP(CONCATENATE("MEDIANA - ",C105),COTAÇÃO,5,FALSE),VLOOKUP($C105,DESON!$A:$D,4,))</f>
        <v>97,55</v>
      </c>
      <c r="J105" s="209">
        <f>TRUNC(F105*I105,2)</f>
        <v>18.329999999999998</v>
      </c>
    </row>
    <row r="106" spans="1:10" ht="15" customHeight="1">
      <c r="A106" s="208" t="s">
        <v>39</v>
      </c>
      <c r="B106" s="241"/>
      <c r="C106" s="1181">
        <v>1381</v>
      </c>
      <c r="D106" s="1132" t="str">
        <f>IF(B106="SEPLAG",VLOOKUP('[1]COMPOSIÇÕES OK'!C106,'[2]COTAÇÃO OK'!A:B,2,FALSE),VLOOKUP(C106,'NAO DESO'!A:B,2,0))</f>
        <v>ARGAMASSA COLANTE AC I PARA CERAMICAS</v>
      </c>
      <c r="E106" s="241" t="str">
        <f>VLOOKUP($C106,'NAO DESO'!$A:$D,3,)</f>
        <v xml:space="preserve">KG    </v>
      </c>
      <c r="F106" s="242">
        <v>0.60299999999999998</v>
      </c>
      <c r="G106" s="242">
        <f>IF(B106="SEPLAG",VLOOKUP(CONCATENATE("MEDIANA - ",C106),COTAÇÃO,5,FALSE),VLOOKUP($C106,'NAO DESO'!$A:$D,4,))</f>
        <v>0.82</v>
      </c>
      <c r="H106" s="242">
        <f>TRUNC(F106*G106,2)</f>
        <v>0.49</v>
      </c>
      <c r="I106" s="54" t="str">
        <f>IF(B106="SEPLAG",VLOOKUP(CONCATENATE("MEDIANA - ",C106),COTAÇÃO,5,FALSE),VLOOKUP($C106,DESON!$A:$D,4,))</f>
        <v>0,82</v>
      </c>
      <c r="J106" s="209">
        <f>TRUNC(F106*I106,2)</f>
        <v>0.49</v>
      </c>
    </row>
    <row r="107" spans="1:10" ht="15" customHeight="1">
      <c r="A107" s="208" t="s">
        <v>39</v>
      </c>
      <c r="B107" s="241"/>
      <c r="C107" s="241">
        <v>34357</v>
      </c>
      <c r="D107" s="1132" t="str">
        <f>IF(B107="SEPLAG",VLOOKUP('[1]COMPOSIÇÕES OK'!C107,'[2]COTAÇÃO OK'!A:B,2,FALSE),VLOOKUP(C107,'NAO DESO'!A:B,2,0))</f>
        <v>REJUNTE CIMENTICIO, QUALQUER COR</v>
      </c>
      <c r="E107" s="241" t="str">
        <f>VLOOKUP($C107,'NAO DESO'!$A:$D,3,)</f>
        <v xml:space="preserve">KG    </v>
      </c>
      <c r="F107" s="242">
        <v>8.4000000000000005E-2</v>
      </c>
      <c r="G107" s="242">
        <f>IF(B107="SEPLAG",VLOOKUP(CONCATENATE("MEDIANA - ",C107),COTAÇÃO,5,FALSE),VLOOKUP($C107,'NAO DESO'!$A:$D,4,))</f>
        <v>4.8099999999999996</v>
      </c>
      <c r="H107" s="242">
        <f>TRUNC(F107*G107,2)</f>
        <v>0.4</v>
      </c>
      <c r="I107" s="54" t="str">
        <f>IF(B107="SEPLAG",VLOOKUP(CONCATENATE("MEDIANA - ",C107),COTAÇÃO,5,FALSE),VLOOKUP($C107,DESON!$A:$D,4,))</f>
        <v>4,81</v>
      </c>
      <c r="J107" s="209">
        <f>TRUNC(F107*I107,2)</f>
        <v>0.4</v>
      </c>
    </row>
    <row r="108" spans="1:10" ht="15" customHeight="1">
      <c r="A108" s="208" t="s">
        <v>245</v>
      </c>
      <c r="B108" s="241"/>
      <c r="C108" s="1181">
        <v>88256</v>
      </c>
      <c r="D108" s="1132" t="str">
        <f>IF(B108="SEPLAG",VLOOKUP('[1]COMPOSIÇÕES OK'!C108,'[2]COTAÇÃO OK'!A:B,2,FALSE),VLOOKUP(C108,'NAO DESO'!A:B,2,0))</f>
        <v>AZULEJISTA OU LADRILHISTA COM ENCARGOS COMPLEMENTARES</v>
      </c>
      <c r="E108" s="241" t="str">
        <f>VLOOKUP($C108,'NAO DESO'!$A:$D,3,)</f>
        <v>H</v>
      </c>
      <c r="F108" s="242">
        <v>8.5000000000000006E-2</v>
      </c>
      <c r="G108" s="242" t="str">
        <f>IF(B108="SEPLAG",VLOOKUP(CONCATENATE("MEDIANA - ",C108),COTAÇÃO,5,FALSE),VLOOKUP($C108,'NAO DESO'!$A:$D,4,))</f>
        <v>21,02</v>
      </c>
      <c r="H108" s="242">
        <f>TRUNC(F108*G108,2)</f>
        <v>1.78</v>
      </c>
      <c r="I108" s="54" t="str">
        <f>IF(B108="SEPLAG",VLOOKUP(CONCATENATE("MEDIANA - ",C108),COTAÇÃO,5,FALSE),VLOOKUP($C108,DESON!$A:$D,4,))</f>
        <v>18,79</v>
      </c>
      <c r="J108" s="209">
        <f>TRUNC(F108*I108,2)</f>
        <v>1.59</v>
      </c>
    </row>
    <row r="109" spans="1:10" ht="15" customHeight="1">
      <c r="A109" s="208" t="s">
        <v>245</v>
      </c>
      <c r="B109" s="241"/>
      <c r="C109" s="1181">
        <v>88316</v>
      </c>
      <c r="D109" s="1132" t="str">
        <f>IF(B109="SEPLAG",VLOOKUP('[1]COMPOSIÇÕES OK'!C109,'[2]COTAÇÃO OK'!A:B,2,FALSE),VLOOKUP(C109,'NAO DESO'!A:B,2,0))</f>
        <v>SERVENTE COM ENCARGOS COMPLEMENTARES</v>
      </c>
      <c r="E109" s="241" t="str">
        <f>VLOOKUP($C109,'NAO DESO'!$A:$D,3,)</f>
        <v>H</v>
      </c>
      <c r="F109" s="242">
        <v>3.1E-2</v>
      </c>
      <c r="G109" s="242" t="str">
        <f>IF(B109="SEPLAG",VLOOKUP(CONCATENATE("MEDIANA - ",C109),COTAÇÃO,5,FALSE),VLOOKUP($C109,'NAO DESO'!$A:$D,4,))</f>
        <v>16,83</v>
      </c>
      <c r="H109" s="242">
        <f>TRUNC(F109*G109,2)</f>
        <v>0.52</v>
      </c>
      <c r="I109" s="54" t="str">
        <f>IF(B109="SEPLAG",VLOOKUP(CONCATENATE("MEDIANA - ",C109),COTAÇÃO,5,FALSE),VLOOKUP($C109,DESON!$A:$D,4,))</f>
        <v>15,16</v>
      </c>
      <c r="J109" s="209">
        <f>TRUNC(F109*I109,2)</f>
        <v>0.46</v>
      </c>
    </row>
    <row r="110" spans="1:10" ht="15" customHeight="1">
      <c r="A110" s="210" t="str">
        <f>CONCATENATE("TOTAL DO ITEM NÃO DESON. - ",C102)</f>
        <v>TOTAL DO ITEM NÃO DESON. - SEPLAG ARQ 11</v>
      </c>
      <c r="B110" s="424"/>
      <c r="C110" s="424"/>
      <c r="D110" s="424"/>
      <c r="E110" s="424"/>
      <c r="F110" s="425"/>
      <c r="G110" s="426"/>
      <c r="H110" s="1182">
        <f>SUM(H105:H109)</f>
        <v>21.519999999999996</v>
      </c>
      <c r="I110" s="214"/>
      <c r="J110" s="215"/>
    </row>
    <row r="111" spans="1:10" ht="15.75" customHeight="1" thickBot="1">
      <c r="A111" s="216" t="str">
        <f>CONCATENATE("TOTAL DO ITEM DESON. - ",C102)</f>
        <v>TOTAL DO ITEM DESON. - SEPLAG ARQ 11</v>
      </c>
      <c r="B111" s="427"/>
      <c r="C111" s="427"/>
      <c r="D111" s="427"/>
      <c r="E111" s="427"/>
      <c r="F111" s="428"/>
      <c r="G111" s="429"/>
      <c r="H111" s="1187"/>
      <c r="I111" s="229"/>
      <c r="J111" s="219">
        <f>SUM(J105:J109)</f>
        <v>21.269999999999996</v>
      </c>
    </row>
    <row r="112" spans="1:10" ht="15" customHeight="1" thickBot="1">
      <c r="A112" s="223"/>
      <c r="B112" s="1133"/>
      <c r="C112" s="1133"/>
      <c r="D112" s="1133"/>
      <c r="E112" s="1133"/>
      <c r="F112" s="1185"/>
      <c r="G112" s="1185"/>
      <c r="H112" s="1185"/>
      <c r="I112" s="224"/>
      <c r="J112" s="225"/>
    </row>
    <row r="113" spans="1:10" ht="39" customHeight="1">
      <c r="A113" s="230"/>
      <c r="B113" s="1152"/>
      <c r="C113" s="1176" t="s">
        <v>365</v>
      </c>
      <c r="D113" s="152" t="s">
        <v>7641</v>
      </c>
      <c r="E113" s="1176" t="s">
        <v>24</v>
      </c>
      <c r="F113" s="1177" t="s">
        <v>18</v>
      </c>
      <c r="G113" s="1178" t="s">
        <v>7017</v>
      </c>
      <c r="H113" s="1179"/>
      <c r="I113" s="200" t="s">
        <v>7016</v>
      </c>
      <c r="J113" s="201"/>
    </row>
    <row r="114" spans="1:10" s="207" customFormat="1" ht="18" customHeight="1">
      <c r="A114" s="203"/>
      <c r="B114" s="430"/>
      <c r="C114" s="1155"/>
      <c r="D114" s="158"/>
      <c r="E114" s="1155"/>
      <c r="F114" s="1180"/>
      <c r="G114" s="1180" t="s">
        <v>19</v>
      </c>
      <c r="H114" s="1180" t="s">
        <v>20</v>
      </c>
      <c r="I114" s="205" t="s">
        <v>19</v>
      </c>
      <c r="J114" s="206" t="s">
        <v>20</v>
      </c>
    </row>
    <row r="115" spans="1:10" ht="15" customHeight="1">
      <c r="A115" s="208" t="s">
        <v>39</v>
      </c>
      <c r="B115" s="241" t="s">
        <v>14504</v>
      </c>
      <c r="C115" s="241" t="s">
        <v>14286</v>
      </c>
      <c r="D115" s="1132" t="str">
        <f>IF(B115="SEPLAG",VLOOKUP(COMPOSIÇÕES!C115,'MAPA COMPARATIVO'!A:B,2,FALSE),VLOOKUP(C115,'NAO DESO'!A:B,2,0))</f>
        <v>KIT PORTA PRONTA PRETA LISA SÓLIDA PORMADE.</v>
      </c>
      <c r="E115" s="241" t="s">
        <v>256</v>
      </c>
      <c r="F115" s="242">
        <v>1</v>
      </c>
      <c r="G115" s="242">
        <f>IF(B115="SEPLAG",VLOOKUP(CONCATENATE("MEDIANA - ",C115),COTAÇÃO,5,FALSE),VLOOKUP($C115,'NAO DESO'!$A:$D,4,))</f>
        <v>2534.3249999999998</v>
      </c>
      <c r="H115" s="242">
        <f>TRUNC(F115*G115,2)</f>
        <v>2534.3200000000002</v>
      </c>
      <c r="I115" s="54">
        <f>IF(B115="SEPLAG",VLOOKUP(CONCATENATE("MEDIANA - ",C115),COTAÇÃO,5,FALSE),VLOOKUP($C115,DESON!$A:$D,4,))</f>
        <v>2534.3249999999998</v>
      </c>
      <c r="J115" s="209">
        <f>TRUNC(F115*I115,2)</f>
        <v>2534.3200000000002</v>
      </c>
    </row>
    <row r="116" spans="1:10" ht="15" customHeight="1">
      <c r="A116" s="208" t="s">
        <v>245</v>
      </c>
      <c r="B116" s="241"/>
      <c r="C116" s="1181">
        <v>88309</v>
      </c>
      <c r="D116" s="1132" t="str">
        <f>IF(B116="SEPLAG",VLOOKUP('[1]COMPOSIÇÕES OK'!C116,'[2]COTAÇÃO OK'!A:B,2,FALSE),VLOOKUP(C116,'NAO DESO'!A:B,2,0))</f>
        <v>PEDREIRO COM ENCARGOS COMPLEMENTARES</v>
      </c>
      <c r="E116" s="241" t="str">
        <f>VLOOKUP($C116,'NAO DESO'!$A:$D,3,)</f>
        <v>H</v>
      </c>
      <c r="F116" s="242">
        <v>0.38</v>
      </c>
      <c r="G116" s="242" t="str">
        <f>IF(B116="SEPLAG",VLOOKUP(CONCATENATE("MEDIANA - ",C116),COTAÇÃO,5,FALSE),VLOOKUP($C116,'NAO DESO'!$A:$D,4,))</f>
        <v>21,10</v>
      </c>
      <c r="H116" s="242">
        <f>TRUNC(F116*G116,2)</f>
        <v>8.01</v>
      </c>
      <c r="I116" s="54" t="str">
        <f>IF(B116="SEPLAG",VLOOKUP(CONCATENATE("MEDIANA - ",C116),COTAÇÃO,5,FALSE),VLOOKUP($C116,DESON!$A:$D,4,))</f>
        <v>18,86</v>
      </c>
      <c r="J116" s="209">
        <f>TRUNC(F116*I116,2)</f>
        <v>7.16</v>
      </c>
    </row>
    <row r="117" spans="1:10" ht="15" customHeight="1">
      <c r="A117" s="208" t="s">
        <v>245</v>
      </c>
      <c r="B117" s="241"/>
      <c r="C117" s="1181">
        <v>88316</v>
      </c>
      <c r="D117" s="1132" t="str">
        <f>IF(B117="SEPLAG",VLOOKUP('[1]COMPOSIÇÕES OK'!C117,'[2]COTAÇÃO OK'!A:B,2,FALSE),VLOOKUP(C117,'NAO DESO'!A:B,2,0))</f>
        <v>SERVENTE COM ENCARGOS COMPLEMENTARES</v>
      </c>
      <c r="E117" s="241" t="str">
        <f>VLOOKUP($C117,'NAO DESO'!$A:$D,3,)</f>
        <v>H</v>
      </c>
      <c r="F117" s="242">
        <v>0.19</v>
      </c>
      <c r="G117" s="242" t="str">
        <f>IF(B117="SEPLAG",VLOOKUP(CONCATENATE("MEDIANA - ",C117),COTAÇÃO,5,FALSE),VLOOKUP($C117,'NAO DESO'!$A:$D,4,))</f>
        <v>16,83</v>
      </c>
      <c r="H117" s="242">
        <f>TRUNC(F117*G117,2)</f>
        <v>3.19</v>
      </c>
      <c r="I117" s="54" t="str">
        <f>IF(B117="SEPLAG",VLOOKUP(CONCATENATE("MEDIANA - ",C117),COTAÇÃO,5,FALSE),VLOOKUP($C117,DESON!$A:$D,4,))</f>
        <v>15,16</v>
      </c>
      <c r="J117" s="209">
        <f>TRUNC(F117*I117,2)</f>
        <v>2.88</v>
      </c>
    </row>
    <row r="118" spans="1:10" ht="15" customHeight="1">
      <c r="A118" s="210" t="str">
        <f>CONCATENATE("TOTAL DO ITEM NÃO DESON. - ",C113)</f>
        <v>TOTAL DO ITEM NÃO DESON. - SEPLAG ARQ 12</v>
      </c>
      <c r="B118" s="424"/>
      <c r="C118" s="424"/>
      <c r="D118" s="424"/>
      <c r="E118" s="424"/>
      <c r="F118" s="425"/>
      <c r="G118" s="426"/>
      <c r="H118" s="1182">
        <f>SUM(H115:H117)</f>
        <v>2545.5200000000004</v>
      </c>
      <c r="I118" s="214"/>
      <c r="J118" s="215"/>
    </row>
    <row r="119" spans="1:10" ht="15.75" customHeight="1" thickBot="1">
      <c r="A119" s="216" t="str">
        <f>CONCATENATE("TOTAL DO ITEM DESON. - ",C113)</f>
        <v>TOTAL DO ITEM DESON. - SEPLAG ARQ 12</v>
      </c>
      <c r="B119" s="427"/>
      <c r="C119" s="427"/>
      <c r="D119" s="427"/>
      <c r="E119" s="427"/>
      <c r="F119" s="428"/>
      <c r="G119" s="429"/>
      <c r="H119" s="1187"/>
      <c r="I119" s="229"/>
      <c r="J119" s="219">
        <f>SUM(J115:J117)</f>
        <v>2544.36</v>
      </c>
    </row>
    <row r="120" spans="1:10" ht="15" customHeight="1" thickBot="1">
      <c r="A120" s="223"/>
      <c r="B120" s="1133"/>
      <c r="C120" s="1133"/>
      <c r="D120" s="1133"/>
      <c r="E120" s="1133"/>
      <c r="F120" s="1185"/>
      <c r="G120" s="1185"/>
      <c r="H120" s="1185"/>
      <c r="I120" s="224"/>
      <c r="J120" s="225"/>
    </row>
    <row r="121" spans="1:10" ht="26.25" customHeight="1">
      <c r="A121" s="198"/>
      <c r="B121" s="1175"/>
      <c r="C121" s="1176" t="s">
        <v>366</v>
      </c>
      <c r="D121" s="156" t="s">
        <v>7218</v>
      </c>
      <c r="E121" s="1176" t="s">
        <v>24</v>
      </c>
      <c r="F121" s="1177" t="s">
        <v>18</v>
      </c>
      <c r="G121" s="1178" t="s">
        <v>7017</v>
      </c>
      <c r="H121" s="1179"/>
      <c r="I121" s="200" t="s">
        <v>7016</v>
      </c>
      <c r="J121" s="201"/>
    </row>
    <row r="122" spans="1:10" ht="16.5" customHeight="1">
      <c r="A122" s="233"/>
      <c r="B122" s="247"/>
      <c r="C122" s="1155"/>
      <c r="D122" s="157"/>
      <c r="E122" s="1155"/>
      <c r="F122" s="1180"/>
      <c r="G122" s="1180" t="s">
        <v>19</v>
      </c>
      <c r="H122" s="1180" t="s">
        <v>20</v>
      </c>
      <c r="I122" s="205" t="s">
        <v>19</v>
      </c>
      <c r="J122" s="206" t="s">
        <v>20</v>
      </c>
    </row>
    <row r="123" spans="1:10" s="207" customFormat="1" ht="25.5" customHeight="1">
      <c r="A123" s="208"/>
      <c r="B123" s="241"/>
      <c r="C123" s="241" t="s">
        <v>180</v>
      </c>
      <c r="D123" s="1132" t="s">
        <v>238</v>
      </c>
      <c r="E123" s="247"/>
      <c r="F123" s="248"/>
      <c r="G123" s="248"/>
      <c r="H123" s="248"/>
      <c r="I123" s="54"/>
      <c r="J123" s="234"/>
    </row>
    <row r="124" spans="1:10" ht="25.5" customHeight="1">
      <c r="A124" s="208" t="s">
        <v>39</v>
      </c>
      <c r="B124" s="241"/>
      <c r="C124" s="1181">
        <v>142</v>
      </c>
      <c r="D124" s="1132" t="str">
        <f>IF(B124="SEPLAG",VLOOKUP('[1]COMPOSIÇÕES OK'!C124,'[2]COTAÇÃO OK'!A:B,2,FALSE),VLOOKUP(C124,'NAO DESO'!A:B,2,0))</f>
        <v>SELANTE ELASTICO MONOCOMPONENTE A BASE DE POLIURETANO (PU) PARA JUNTAS DIVERSAS</v>
      </c>
      <c r="E124" s="241" t="str">
        <f>VLOOKUP($C124,'NAO DESO'!$A:$D,3,)</f>
        <v xml:space="preserve">310ML </v>
      </c>
      <c r="F124" s="242">
        <v>0.88</v>
      </c>
      <c r="G124" s="242">
        <f>IF(B124="SEPLAG",VLOOKUP(CONCATENATE("MEDIANA - ",C124),COTAÇÃO,5,FALSE),VLOOKUP($C124,'NAO DESO'!$A:$D,4,))</f>
        <v>26.18</v>
      </c>
      <c r="H124" s="242">
        <f t="shared" ref="H124:H129" si="2">TRUNC(F124*G124,2)</f>
        <v>23.03</v>
      </c>
      <c r="I124" s="54" t="str">
        <f>IF(B124="SEPLAG",VLOOKUP(CONCATENATE("MEDIANA - ",C124),COTAÇÃO,5,FALSE),VLOOKUP($C124,DESON!$A:$D,4,))</f>
        <v>26,18</v>
      </c>
      <c r="J124" s="209">
        <f t="shared" ref="J124:J129" si="3">TRUNC(F124*I124,2)</f>
        <v>23.03</v>
      </c>
    </row>
    <row r="125" spans="1:10" ht="25.5" customHeight="1">
      <c r="A125" s="208" t="s">
        <v>39</v>
      </c>
      <c r="B125" s="241"/>
      <c r="C125" s="1181">
        <v>7568</v>
      </c>
      <c r="D125" s="1132" t="str">
        <f>IF(B125="SEPLAG",VLOOKUP('[1]COMPOSIÇÕES OK'!C125,'[2]COTAÇÃO OK'!A:B,2,FALSE),VLOOKUP(C125,'NAO DESO'!A:B,2,0))</f>
        <v>BUCHA DE NYLON SEM ABA S10, COM PARAFUSO DE 6,10 X 65 MM EM ACO ZINCADO COM ROSCA SOBERBA, CABECA CHATA E FENDA PHILLIPS</v>
      </c>
      <c r="E125" s="241" t="str">
        <f>VLOOKUP($C125,'NAO DESO'!$A:$D,3,)</f>
        <v xml:space="preserve">UN    </v>
      </c>
      <c r="F125" s="242">
        <v>4.8099999999999996</v>
      </c>
      <c r="G125" s="242">
        <f>IF(B125="SEPLAG",VLOOKUP(CONCATENATE("MEDIANA - ",C125),COTAÇÃO,5,FALSE),VLOOKUP($C125,'NAO DESO'!$A:$D,4,))</f>
        <v>0.61</v>
      </c>
      <c r="H125" s="242">
        <f t="shared" si="2"/>
        <v>2.93</v>
      </c>
      <c r="I125" s="54" t="str">
        <f>IF(B125="SEPLAG",VLOOKUP(CONCATENATE("MEDIANA - ",C125),COTAÇÃO,5,FALSE),VLOOKUP($C125,DESON!$A:$D,4,))</f>
        <v>0,61</v>
      </c>
      <c r="J125" s="209">
        <f t="shared" si="3"/>
        <v>2.93</v>
      </c>
    </row>
    <row r="126" spans="1:10" ht="38.25" customHeight="1">
      <c r="A126" s="208" t="s">
        <v>39</v>
      </c>
      <c r="B126" s="241"/>
      <c r="C126" s="1181">
        <v>36888</v>
      </c>
      <c r="D126" s="1132" t="str">
        <f>IF(B126="SEPLAG",VLOOKUP('[1]COMPOSIÇÕES OK'!C126,'[2]COTAÇÃO OK'!A:B,2,FALSE),VLOOKUP(C126,'NAO DESO'!A:B,2,0))</f>
        <v>GUARNICAO / MOLDURA / ARREMATE DE ACABAMENTO PARA ESQUADRIA, EM ALUMINIO PERFIL 25, ACABAMENTO ANODIZADO BRANCO OU BRILHANTE, PARA 1 FACE</v>
      </c>
      <c r="E126" s="241" t="str">
        <f>VLOOKUP($C126,'NAO DESO'!$A:$D,3,)</f>
        <v xml:space="preserve">M     </v>
      </c>
      <c r="F126" s="242">
        <v>6.85</v>
      </c>
      <c r="G126" s="242">
        <f>IF(B126="SEPLAG",VLOOKUP(CONCATENATE("MEDIANA - ",C126),COTAÇÃO,5,FALSE),VLOOKUP($C126,'NAO DESO'!$A:$D,4,))</f>
        <v>43.85</v>
      </c>
      <c r="H126" s="242">
        <f t="shared" si="2"/>
        <v>300.37</v>
      </c>
      <c r="I126" s="54" t="str">
        <f>IF(B126="SEPLAG",VLOOKUP(CONCATENATE("MEDIANA - ",C126),COTAÇÃO,5,FALSE),VLOOKUP($C126,DESON!$A:$D,4,))</f>
        <v>43,85</v>
      </c>
      <c r="J126" s="209">
        <f t="shared" si="3"/>
        <v>300.37</v>
      </c>
    </row>
    <row r="127" spans="1:10" ht="25.5" customHeight="1">
      <c r="A127" s="208" t="s">
        <v>39</v>
      </c>
      <c r="B127" s="241"/>
      <c r="C127" s="241">
        <v>4917</v>
      </c>
      <c r="D127" s="1132" t="str">
        <f>IF(B127="SEPLAG",VLOOKUP('[1]COMPOSIÇÕES OK'!C127,'[2]COTAÇÃO OK'!A:B,2,FALSE),VLOOKUP(C127,'NAO DESO'!A:B,2,0))</f>
        <v>PORTA DE ABRIR EM ALUMINIO TIPO VENEZIANA, ACABAMENTO ANODIZADO NATURAL, SEM GUARNICAO/ALIZAR/VISTA</v>
      </c>
      <c r="E127" s="241" t="str">
        <f>VLOOKUP($C127,'NAO DESO'!$A:$D,3,)</f>
        <v xml:space="preserve">M2    </v>
      </c>
      <c r="F127" s="242">
        <f>0.6*1.7</f>
        <v>1.02</v>
      </c>
      <c r="G127" s="242">
        <f>IF(B127="SEPLAG",VLOOKUP(CONCATENATE("MEDIANA - ",C127),COTAÇÃO,5,FALSE),VLOOKUP($C127,'NAO DESO'!$A:$D,4,))</f>
        <v>382.8</v>
      </c>
      <c r="H127" s="242">
        <f t="shared" si="2"/>
        <v>390.45</v>
      </c>
      <c r="I127" s="54" t="str">
        <f>IF(B127="SEPLAG",VLOOKUP(CONCATENATE("MEDIANA - ",C127),COTAÇÃO,5,FALSE),VLOOKUP($C127,DESON!$A:$D,4,))</f>
        <v>382,80</v>
      </c>
      <c r="J127" s="209">
        <f t="shared" si="3"/>
        <v>390.45</v>
      </c>
    </row>
    <row r="128" spans="1:10" ht="15" customHeight="1">
      <c r="A128" s="208" t="s">
        <v>245</v>
      </c>
      <c r="B128" s="241"/>
      <c r="C128" s="1181">
        <v>88309</v>
      </c>
      <c r="D128" s="1132" t="str">
        <f>IF(B128="SEPLAG",VLOOKUP('[1]COMPOSIÇÕES OK'!C128,'[2]COTAÇÃO OK'!A:B,2,FALSE),VLOOKUP(C128,'NAO DESO'!A:B,2,0))</f>
        <v>PEDREIRO COM ENCARGOS COMPLEMENTARES</v>
      </c>
      <c r="E128" s="241" t="str">
        <f>VLOOKUP($C128,'NAO DESO'!$A:$D,3,)</f>
        <v>H</v>
      </c>
      <c r="F128" s="242">
        <v>0.38</v>
      </c>
      <c r="G128" s="242" t="str">
        <f>IF(B128="SEPLAG",VLOOKUP(CONCATENATE("MEDIANA - ",C128),COTAÇÃO,5,FALSE),VLOOKUP($C128,'NAO DESO'!$A:$D,4,))</f>
        <v>21,10</v>
      </c>
      <c r="H128" s="242">
        <f t="shared" si="2"/>
        <v>8.01</v>
      </c>
      <c r="I128" s="54" t="str">
        <f>IF(B128="SEPLAG",VLOOKUP(CONCATENATE("MEDIANA - ",C128),COTAÇÃO,5,FALSE),VLOOKUP($C128,DESON!$A:$D,4,))</f>
        <v>18,86</v>
      </c>
      <c r="J128" s="209">
        <f t="shared" si="3"/>
        <v>7.16</v>
      </c>
    </row>
    <row r="129" spans="1:10" ht="15" customHeight="1">
      <c r="A129" s="208" t="s">
        <v>245</v>
      </c>
      <c r="B129" s="241"/>
      <c r="C129" s="1181">
        <v>88316</v>
      </c>
      <c r="D129" s="1132" t="str">
        <f>IF(B129="SEPLAG",VLOOKUP('[1]COMPOSIÇÕES OK'!C129,'[2]COTAÇÃO OK'!A:B,2,FALSE),VLOOKUP(C129,'NAO DESO'!A:B,2,0))</f>
        <v>SERVENTE COM ENCARGOS COMPLEMENTARES</v>
      </c>
      <c r="E129" s="241" t="str">
        <f>VLOOKUP($C129,'NAO DESO'!$A:$D,3,)</f>
        <v>H</v>
      </c>
      <c r="F129" s="242">
        <v>0.19</v>
      </c>
      <c r="G129" s="242" t="str">
        <f>IF(B129="SEPLAG",VLOOKUP(CONCATENATE("MEDIANA - ",C129),COTAÇÃO,5,FALSE),VLOOKUP($C129,'NAO DESO'!$A:$D,4,))</f>
        <v>16,83</v>
      </c>
      <c r="H129" s="242">
        <f t="shared" si="2"/>
        <v>3.19</v>
      </c>
      <c r="I129" s="54" t="str">
        <f>IF(B129="SEPLAG",VLOOKUP(CONCATENATE("MEDIANA - ",C129),COTAÇÃO,5,FALSE),VLOOKUP($C129,DESON!$A:$D,4,))</f>
        <v>15,16</v>
      </c>
      <c r="J129" s="209">
        <f t="shared" si="3"/>
        <v>2.88</v>
      </c>
    </row>
    <row r="130" spans="1:10" ht="15" customHeight="1">
      <c r="A130" s="210" t="str">
        <f>CONCATENATE("TOTAL DO ITEM NÃO DESON. - ",C121)</f>
        <v>TOTAL DO ITEM NÃO DESON. - SEPLAG ARQ 13</v>
      </c>
      <c r="B130" s="424"/>
      <c r="C130" s="424"/>
      <c r="D130" s="424"/>
      <c r="E130" s="424"/>
      <c r="F130" s="425"/>
      <c r="G130" s="426"/>
      <c r="H130" s="1182">
        <f>SUM(H124:H129)</f>
        <v>727.98</v>
      </c>
      <c r="I130" s="214"/>
      <c r="J130" s="215"/>
    </row>
    <row r="131" spans="1:10" ht="15.75" customHeight="1" thickBot="1">
      <c r="A131" s="216" t="str">
        <f>CONCATENATE("TOTAL DO ITEM DESON. - ",C121)</f>
        <v>TOTAL DO ITEM DESON. - SEPLAG ARQ 13</v>
      </c>
      <c r="B131" s="427"/>
      <c r="C131" s="427"/>
      <c r="D131" s="427"/>
      <c r="E131" s="427"/>
      <c r="F131" s="428"/>
      <c r="G131" s="429"/>
      <c r="H131" s="1187"/>
      <c r="I131" s="229"/>
      <c r="J131" s="219">
        <f>SUM(J124:J129)</f>
        <v>726.81999999999994</v>
      </c>
    </row>
    <row r="132" spans="1:10" ht="15" customHeight="1" thickBot="1">
      <c r="A132" s="223"/>
      <c r="B132" s="1133"/>
      <c r="C132" s="1133"/>
      <c r="D132" s="1133"/>
      <c r="E132" s="1133"/>
      <c r="F132" s="1185"/>
      <c r="G132" s="1185"/>
      <c r="H132" s="1185"/>
      <c r="I132" s="224"/>
      <c r="J132" s="225"/>
    </row>
    <row r="133" spans="1:10" s="207" customFormat="1" ht="27" customHeight="1">
      <c r="A133" s="198"/>
      <c r="B133" s="1175"/>
      <c r="C133" s="1176" t="s">
        <v>367</v>
      </c>
      <c r="D133" s="156" t="s">
        <v>7642</v>
      </c>
      <c r="E133" s="1176" t="s">
        <v>24</v>
      </c>
      <c r="F133" s="1177" t="s">
        <v>18</v>
      </c>
      <c r="G133" s="1178" t="s">
        <v>7017</v>
      </c>
      <c r="H133" s="1179"/>
      <c r="I133" s="200" t="s">
        <v>7016</v>
      </c>
      <c r="J133" s="201"/>
    </row>
    <row r="134" spans="1:10" ht="13.5" customHeight="1">
      <c r="A134" s="233"/>
      <c r="B134" s="247"/>
      <c r="C134" s="1155"/>
      <c r="D134" s="157"/>
      <c r="E134" s="1155"/>
      <c r="F134" s="1180"/>
      <c r="G134" s="1180" t="s">
        <v>19</v>
      </c>
      <c r="H134" s="1180" t="s">
        <v>20</v>
      </c>
      <c r="I134" s="205" t="s">
        <v>19</v>
      </c>
      <c r="J134" s="206" t="s">
        <v>20</v>
      </c>
    </row>
    <row r="135" spans="1:10" ht="25.5" customHeight="1">
      <c r="A135" s="208"/>
      <c r="B135" s="241"/>
      <c r="C135" s="241" t="s">
        <v>180</v>
      </c>
      <c r="D135" s="1132" t="s">
        <v>242</v>
      </c>
      <c r="E135" s="247"/>
      <c r="F135" s="248"/>
      <c r="G135" s="248"/>
      <c r="H135" s="248"/>
      <c r="I135" s="214"/>
      <c r="J135" s="227"/>
    </row>
    <row r="136" spans="1:10" ht="51" customHeight="1">
      <c r="A136" s="208" t="s">
        <v>39</v>
      </c>
      <c r="B136" s="241"/>
      <c r="C136" s="1181">
        <v>3104</v>
      </c>
      <c r="D136" s="1132" t="str">
        <f>IF(B136="SEPLAG",VLOOKUP('[1]COMPOSIÇÕES OK'!C136,'[2]COTAÇÃO OK'!A:B,2,FALSE),VLOOKUP(C136,'NAO DESO'!A:B,2,0))</f>
        <v>CONJ. DE FERRAGENS PARA PORTA DE VIDRO TEMPERADO, EM ZAMAC CROMADO, CONTEMPLANDO DOBRADICA INF., DOBRADICA SUP., PIVO PARA DOBRADICA INF., PIVO PARA DOBRADICA SUP., FECHADURA CENTRAL EM ZAMC. CROMADO, CONTRA FECHADURA DE PRESSAO</v>
      </c>
      <c r="E136" s="241" t="str">
        <f>VLOOKUP($C136,'NAO DESO'!$A:$D,3,)</f>
        <v xml:space="preserve">CJ    </v>
      </c>
      <c r="F136" s="242">
        <v>2</v>
      </c>
      <c r="G136" s="242">
        <f>IF(B136="SEPLAG",VLOOKUP(CONCATENATE("MEDIANA - ",C136),COTAÇÃO,5,FALSE),VLOOKUP($C136,'NAO DESO'!$A:$D,4,))</f>
        <v>142.9</v>
      </c>
      <c r="H136" s="242">
        <f>TRUNC(F136*G136,2)</f>
        <v>285.8</v>
      </c>
      <c r="I136" s="54" t="str">
        <f>IF(B136="SEPLAG",VLOOKUP(CONCATENATE("MEDIANA - ",C136),COTAÇÃO,5,FALSE),VLOOKUP($C136,DESON!$A:$D,4,))</f>
        <v>142,90</v>
      </c>
      <c r="J136" s="209">
        <f>TRUNC(F136*I136,2)</f>
        <v>285.8</v>
      </c>
    </row>
    <row r="137" spans="1:10" ht="25.5" customHeight="1">
      <c r="A137" s="208" t="s">
        <v>39</v>
      </c>
      <c r="B137" s="241"/>
      <c r="C137" s="1181">
        <v>5031</v>
      </c>
      <c r="D137" s="1132" t="str">
        <f>IF(B137="SEPLAG",VLOOKUP('[1]COMPOSIÇÕES OK'!C137,'[2]COTAÇÃO OK'!A:B,2,FALSE),VLOOKUP(C137,'NAO DESO'!A:B,2,0))</f>
        <v>VIDRO TEMPERADO INCOLOR PARA PORTA DE ABRIR, E = 10 MM (SEM FERRAGENS E SEM COLOCACAO)</v>
      </c>
      <c r="E137" s="241" t="str">
        <f>VLOOKUP($C137,'NAO DESO'!$A:$D,3,)</f>
        <v xml:space="preserve">M2    </v>
      </c>
      <c r="F137" s="242">
        <f>2*0.8*2.1</f>
        <v>3.3600000000000003</v>
      </c>
      <c r="G137" s="242">
        <f>IF(B137="SEPLAG",VLOOKUP(CONCATENATE("MEDIANA - ",C137),COTAÇÃO,5,FALSE),VLOOKUP($C137,'NAO DESO'!$A:$D,4,))</f>
        <v>500</v>
      </c>
      <c r="H137" s="242">
        <f>TRUNC(F137*G137,2)</f>
        <v>1680</v>
      </c>
      <c r="I137" s="54" t="str">
        <f>IF(B137="SEPLAG",VLOOKUP(CONCATENATE("MEDIANA - ",C137),COTAÇÃO,5,FALSE),VLOOKUP($C137,DESON!$A:$D,4,))</f>
        <v>500,00</v>
      </c>
      <c r="J137" s="209">
        <f>TRUNC(F137*I137,2)</f>
        <v>1680</v>
      </c>
    </row>
    <row r="138" spans="1:10" ht="15" customHeight="1">
      <c r="A138" s="208" t="s">
        <v>245</v>
      </c>
      <c r="B138" s="241"/>
      <c r="C138" s="1181">
        <v>88316</v>
      </c>
      <c r="D138" s="1132" t="str">
        <f>IF(B138="SEPLAG",VLOOKUP('[1]COMPOSIÇÕES OK'!C138,'[2]COTAÇÃO OK'!A:B,2,FALSE),VLOOKUP(C138,'NAO DESO'!A:B,2,0))</f>
        <v>SERVENTE COM ENCARGOS COMPLEMENTARES</v>
      </c>
      <c r="E138" s="241" t="str">
        <f>VLOOKUP($C138,'NAO DESO'!$A:$D,3,)</f>
        <v>H</v>
      </c>
      <c r="F138" s="242">
        <v>3.98</v>
      </c>
      <c r="G138" s="242" t="str">
        <f>IF(B138="SEPLAG",VLOOKUP(CONCATENATE("MEDIANA - ",C138),COTAÇÃO,5,FALSE),VLOOKUP($C138,'NAO DESO'!$A:$D,4,))</f>
        <v>16,83</v>
      </c>
      <c r="H138" s="242">
        <f>TRUNC(F138*G138,2)</f>
        <v>66.98</v>
      </c>
      <c r="I138" s="54" t="str">
        <f>IF(B138="SEPLAG",VLOOKUP(CONCATENATE("MEDIANA - ",C138),COTAÇÃO,5,FALSE),VLOOKUP($C138,DESON!$A:$D,4,))</f>
        <v>15,16</v>
      </c>
      <c r="J138" s="209">
        <f>TRUNC(F138*I138,2)</f>
        <v>60.33</v>
      </c>
    </row>
    <row r="139" spans="1:10" ht="15" customHeight="1">
      <c r="A139" s="208" t="s">
        <v>245</v>
      </c>
      <c r="B139" s="241"/>
      <c r="C139" s="1181">
        <v>88325</v>
      </c>
      <c r="D139" s="1132" t="str">
        <f>IF(B139="SEPLAG",VLOOKUP('[1]COMPOSIÇÕES OK'!C139,'[2]COTAÇÃO OK'!A:B,2,FALSE),VLOOKUP(C139,'NAO DESO'!A:B,2,0))</f>
        <v>VIDRACEIRO COM ENCARGOS COMPLEMENTARES</v>
      </c>
      <c r="E139" s="241" t="str">
        <f>VLOOKUP($C139,'NAO DESO'!$A:$D,3,)</f>
        <v>H</v>
      </c>
      <c r="F139" s="242">
        <v>4.0999999999999996</v>
      </c>
      <c r="G139" s="242" t="str">
        <f>IF(B139="SEPLAG",VLOOKUP(CONCATENATE("MEDIANA - ",C139),COTAÇÃO,5,FALSE),VLOOKUP($C139,'NAO DESO'!$A:$D,4,))</f>
        <v>18,78</v>
      </c>
      <c r="H139" s="242">
        <f>TRUNC(F139*G139,2)</f>
        <v>76.989999999999995</v>
      </c>
      <c r="I139" s="54" t="str">
        <f>IF(B139="SEPLAG",VLOOKUP(CONCATENATE("MEDIANA - ",C139),COTAÇÃO,5,FALSE),VLOOKUP($C139,DESON!$A:$D,4,))</f>
        <v>16,86</v>
      </c>
      <c r="J139" s="209">
        <f>TRUNC(F139*I139,2)</f>
        <v>69.12</v>
      </c>
    </row>
    <row r="140" spans="1:10" ht="15" customHeight="1">
      <c r="A140" s="210" t="str">
        <f>CONCATENATE("TOTAL DO ITEM NÃO DESON. - ",C133)</f>
        <v>TOTAL DO ITEM NÃO DESON. - SEPLAG  ARQ 14</v>
      </c>
      <c r="B140" s="424"/>
      <c r="C140" s="424"/>
      <c r="D140" s="424"/>
      <c r="E140" s="424"/>
      <c r="F140" s="425"/>
      <c r="G140" s="426"/>
      <c r="H140" s="1182">
        <f>SUM(H136:H139)</f>
        <v>2109.77</v>
      </c>
      <c r="I140" s="214"/>
      <c r="J140" s="215"/>
    </row>
    <row r="141" spans="1:10" ht="15.75" customHeight="1" thickBot="1">
      <c r="A141" s="216" t="str">
        <f>CONCATENATE("TOTAL DO ITEM DESON. - ",C133)</f>
        <v>TOTAL DO ITEM DESON. - SEPLAG  ARQ 14</v>
      </c>
      <c r="B141" s="427"/>
      <c r="C141" s="427"/>
      <c r="D141" s="427"/>
      <c r="E141" s="427"/>
      <c r="F141" s="428"/>
      <c r="G141" s="429"/>
      <c r="H141" s="1187"/>
      <c r="I141" s="229"/>
      <c r="J141" s="219">
        <f>SUM(J136:J139)</f>
        <v>2095.25</v>
      </c>
    </row>
    <row r="142" spans="1:10" ht="15" customHeight="1" thickBot="1">
      <c r="A142" s="223"/>
      <c r="B142" s="1133"/>
      <c r="C142" s="1133"/>
      <c r="D142" s="1133"/>
      <c r="E142" s="1133"/>
      <c r="F142" s="1185"/>
      <c r="G142" s="1185"/>
      <c r="H142" s="1185"/>
      <c r="I142" s="224"/>
      <c r="J142" s="225"/>
    </row>
    <row r="143" spans="1:10" ht="30" customHeight="1">
      <c r="A143" s="198"/>
      <c r="B143" s="1175"/>
      <c r="C143" s="1176" t="s">
        <v>368</v>
      </c>
      <c r="D143" s="156" t="s">
        <v>7643</v>
      </c>
      <c r="E143" s="1176" t="s">
        <v>24</v>
      </c>
      <c r="F143" s="1177" t="s">
        <v>18</v>
      </c>
      <c r="G143" s="1178" t="s">
        <v>7017</v>
      </c>
      <c r="H143" s="1179"/>
      <c r="I143" s="200" t="s">
        <v>7016</v>
      </c>
      <c r="J143" s="201"/>
    </row>
    <row r="144" spans="1:10" ht="15" customHeight="1">
      <c r="A144" s="233"/>
      <c r="B144" s="247"/>
      <c r="C144" s="1155"/>
      <c r="D144" s="157"/>
      <c r="E144" s="1155"/>
      <c r="F144" s="1180"/>
      <c r="G144" s="1180" t="s">
        <v>19</v>
      </c>
      <c r="H144" s="1180" t="s">
        <v>20</v>
      </c>
      <c r="I144" s="205" t="s">
        <v>19</v>
      </c>
      <c r="J144" s="206" t="s">
        <v>20</v>
      </c>
    </row>
    <row r="145" spans="1:10" s="207" customFormat="1" ht="24" customHeight="1">
      <c r="A145" s="208"/>
      <c r="B145" s="241"/>
      <c r="C145" s="241" t="s">
        <v>180</v>
      </c>
      <c r="D145" s="1132" t="s">
        <v>242</v>
      </c>
      <c r="E145" s="247"/>
      <c r="F145" s="248"/>
      <c r="G145" s="248"/>
      <c r="H145" s="248"/>
      <c r="I145" s="214"/>
      <c r="J145" s="227"/>
    </row>
    <row r="146" spans="1:10" ht="42" customHeight="1">
      <c r="A146" s="208" t="s">
        <v>39</v>
      </c>
      <c r="B146" s="241"/>
      <c r="C146" s="1181">
        <v>3104</v>
      </c>
      <c r="D146" s="1132" t="str">
        <f>IF(B146="SEPLAG",VLOOKUP('[1]COMPOSIÇÕES OK'!C146,'[2]COTAÇÃO OK'!A:B,2,FALSE),VLOOKUP(C146,'NAO DESO'!A:B,2,0))</f>
        <v>CONJ. DE FERRAGENS PARA PORTA DE VIDRO TEMPERADO, EM ZAMAC CROMADO, CONTEMPLANDO DOBRADICA INF., DOBRADICA SUP., PIVO PARA DOBRADICA INF., PIVO PARA DOBRADICA SUP., FECHADURA CENTRAL EM ZAMC. CROMADO, CONTRA FECHADURA DE PRESSAO</v>
      </c>
      <c r="E146" s="241" t="str">
        <f>VLOOKUP($C146,'NAO DESO'!$A:$D,3,)</f>
        <v xml:space="preserve">CJ    </v>
      </c>
      <c r="F146" s="242">
        <v>2</v>
      </c>
      <c r="G146" s="242">
        <f>IF(B146="SEPLAG",VLOOKUP(CONCATENATE("MEDIANA - ",C146),COTAÇÃO,5,FALSE),VLOOKUP($C146,'NAO DESO'!$A:$D,4,))</f>
        <v>142.9</v>
      </c>
      <c r="H146" s="242">
        <f>TRUNC(F146*G146,2)</f>
        <v>285.8</v>
      </c>
      <c r="I146" s="54" t="str">
        <f>IF(B146="SEPLAG",VLOOKUP(CONCATENATE("MEDIANA - ",C146),COTAÇÃO,5,FALSE),VLOOKUP($C146,DESON!$A:$D,4,))</f>
        <v>142,90</v>
      </c>
      <c r="J146" s="209">
        <f>TRUNC(F146*I146,2)</f>
        <v>285.8</v>
      </c>
    </row>
    <row r="147" spans="1:10" ht="24.75" customHeight="1">
      <c r="A147" s="208" t="s">
        <v>39</v>
      </c>
      <c r="B147" s="241"/>
      <c r="C147" s="1181">
        <v>5031</v>
      </c>
      <c r="D147" s="1132" t="str">
        <f>IF(B147="SEPLAG",VLOOKUP('[1]COMPOSIÇÕES OK'!C147,'[2]COTAÇÃO OK'!A:B,2,FALSE),VLOOKUP(C147,'NAO DESO'!A:B,2,0))</f>
        <v>VIDRO TEMPERADO INCOLOR PARA PORTA DE ABRIR, E = 10 MM (SEM FERRAGENS E SEM COLOCACAO)</v>
      </c>
      <c r="E147" s="241" t="str">
        <f>VLOOKUP($C147,'NAO DESO'!$A:$D,3,)</f>
        <v xml:space="preserve">M2    </v>
      </c>
      <c r="F147" s="242">
        <f>2*1*2.1</f>
        <v>4.2</v>
      </c>
      <c r="G147" s="242">
        <f>IF(B147="SEPLAG",VLOOKUP(CONCATENATE("MEDIANA - ",C147),COTAÇÃO,5,FALSE),VLOOKUP($C147,'NAO DESO'!$A:$D,4,))</f>
        <v>500</v>
      </c>
      <c r="H147" s="242">
        <f>TRUNC(F147*G147,2)</f>
        <v>2100</v>
      </c>
      <c r="I147" s="54" t="str">
        <f>IF(B147="SEPLAG",VLOOKUP(CONCATENATE("MEDIANA - ",C147),COTAÇÃO,5,FALSE),VLOOKUP($C147,DESON!$A:$D,4,))</f>
        <v>500,00</v>
      </c>
      <c r="J147" s="209">
        <f>TRUNC(F147*I147,2)</f>
        <v>2100</v>
      </c>
    </row>
    <row r="148" spans="1:10" ht="18" customHeight="1">
      <c r="A148" s="208" t="s">
        <v>245</v>
      </c>
      <c r="B148" s="241"/>
      <c r="C148" s="1181">
        <v>88316</v>
      </c>
      <c r="D148" s="1132" t="str">
        <f>IF(B148="SEPLAG",VLOOKUP('[1]COMPOSIÇÕES OK'!C148,'[2]COTAÇÃO OK'!A:B,2,FALSE),VLOOKUP(C148,'NAO DESO'!A:B,2,0))</f>
        <v>SERVENTE COM ENCARGOS COMPLEMENTARES</v>
      </c>
      <c r="E148" s="241" t="str">
        <f>VLOOKUP($C148,'NAO DESO'!$A:$D,3,)</f>
        <v>H</v>
      </c>
      <c r="F148" s="242">
        <v>3.98</v>
      </c>
      <c r="G148" s="242" t="str">
        <f>IF(B148="SEPLAG",VLOOKUP(CONCATENATE("MEDIANA - ",C148),COTAÇÃO,5,FALSE),VLOOKUP($C148,'NAO DESO'!$A:$D,4,))</f>
        <v>16,83</v>
      </c>
      <c r="H148" s="242">
        <f>TRUNC(F148*G148,2)</f>
        <v>66.98</v>
      </c>
      <c r="I148" s="54" t="str">
        <f>IF(B148="SEPLAG",VLOOKUP(CONCATENATE("MEDIANA - ",C148),COTAÇÃO,5,FALSE),VLOOKUP($C148,DESON!$A:$D,4,))</f>
        <v>15,16</v>
      </c>
      <c r="J148" s="209">
        <f>TRUNC(F148*I148,2)</f>
        <v>60.33</v>
      </c>
    </row>
    <row r="149" spans="1:10" ht="19.5" customHeight="1">
      <c r="A149" s="208" t="s">
        <v>245</v>
      </c>
      <c r="B149" s="241"/>
      <c r="C149" s="1181">
        <v>88325</v>
      </c>
      <c r="D149" s="1132" t="str">
        <f>IF(B149="SEPLAG",VLOOKUP('[1]COMPOSIÇÕES OK'!C149,'[2]COTAÇÃO OK'!A:B,2,FALSE),VLOOKUP(C149,'NAO DESO'!A:B,2,0))</f>
        <v>VIDRACEIRO COM ENCARGOS COMPLEMENTARES</v>
      </c>
      <c r="E149" s="241" t="str">
        <f>VLOOKUP($C149,'NAO DESO'!$A:$D,3,)</f>
        <v>H</v>
      </c>
      <c r="F149" s="242">
        <v>4.0999999999999996</v>
      </c>
      <c r="G149" s="242" t="str">
        <f>IF(B149="SEPLAG",VLOOKUP(CONCATENATE("MEDIANA - ",C149),COTAÇÃO,5,FALSE),VLOOKUP($C149,'NAO DESO'!$A:$D,4,))</f>
        <v>18,78</v>
      </c>
      <c r="H149" s="242">
        <f>TRUNC(F149*G149,2)</f>
        <v>76.989999999999995</v>
      </c>
      <c r="I149" s="54" t="str">
        <f>IF(B149="SEPLAG",VLOOKUP(CONCATENATE("MEDIANA - ",C149),COTAÇÃO,5,FALSE),VLOOKUP($C149,DESON!$A:$D,4,))</f>
        <v>16,86</v>
      </c>
      <c r="J149" s="209">
        <f>TRUNC(F149*I149,2)</f>
        <v>69.12</v>
      </c>
    </row>
    <row r="150" spans="1:10" ht="15" customHeight="1">
      <c r="A150" s="210" t="str">
        <f>CONCATENATE("TOTAL DO ITEM NÃO DESON. - ",C143)</f>
        <v>TOTAL DO ITEM NÃO DESON. - SEPLAG ARQ 15</v>
      </c>
      <c r="B150" s="424"/>
      <c r="C150" s="424"/>
      <c r="D150" s="424"/>
      <c r="E150" s="424"/>
      <c r="F150" s="425"/>
      <c r="G150" s="426"/>
      <c r="H150" s="1182">
        <f>SUM(H146:H149)</f>
        <v>2529.77</v>
      </c>
      <c r="I150" s="214"/>
      <c r="J150" s="215"/>
    </row>
    <row r="151" spans="1:10" ht="15.75" customHeight="1" thickBot="1">
      <c r="A151" s="216" t="str">
        <f>CONCATENATE("TOTAL DO ITEM DESON. - ",C143)</f>
        <v>TOTAL DO ITEM DESON. - SEPLAG ARQ 15</v>
      </c>
      <c r="B151" s="427"/>
      <c r="C151" s="427"/>
      <c r="D151" s="427"/>
      <c r="E151" s="427"/>
      <c r="F151" s="428"/>
      <c r="G151" s="429"/>
      <c r="H151" s="1187"/>
      <c r="I151" s="229"/>
      <c r="J151" s="219">
        <f>SUM(J146:J149)</f>
        <v>2515.25</v>
      </c>
    </row>
    <row r="152" spans="1:10" ht="15" customHeight="1" thickBot="1">
      <c r="A152" s="223"/>
      <c r="B152" s="1133"/>
      <c r="C152" s="1133"/>
      <c r="D152" s="1133"/>
      <c r="E152" s="1133"/>
      <c r="F152" s="1185"/>
      <c r="G152" s="1185"/>
      <c r="H152" s="1185"/>
      <c r="I152" s="224"/>
      <c r="J152" s="225"/>
    </row>
    <row r="153" spans="1:10" ht="30" customHeight="1">
      <c r="A153" s="198"/>
      <c r="B153" s="1175"/>
      <c r="C153" s="1176" t="s">
        <v>369</v>
      </c>
      <c r="D153" s="156" t="s">
        <v>7644</v>
      </c>
      <c r="E153" s="1176" t="s">
        <v>24</v>
      </c>
      <c r="F153" s="1177" t="s">
        <v>18</v>
      </c>
      <c r="G153" s="1178" t="s">
        <v>7017</v>
      </c>
      <c r="H153" s="1179"/>
      <c r="I153" s="200" t="s">
        <v>7016</v>
      </c>
      <c r="J153" s="201"/>
    </row>
    <row r="154" spans="1:10" ht="9.75" customHeight="1">
      <c r="A154" s="233"/>
      <c r="B154" s="247"/>
      <c r="C154" s="1155"/>
      <c r="D154" s="157"/>
      <c r="E154" s="1155"/>
      <c r="F154" s="1180"/>
      <c r="G154" s="1180" t="s">
        <v>19</v>
      </c>
      <c r="H154" s="1180" t="s">
        <v>20</v>
      </c>
      <c r="I154" s="205" t="s">
        <v>19</v>
      </c>
      <c r="J154" s="206" t="s">
        <v>20</v>
      </c>
    </row>
    <row r="155" spans="1:10" s="207" customFormat="1" ht="27.75" customHeight="1">
      <c r="A155" s="208"/>
      <c r="B155" s="241"/>
      <c r="C155" s="241" t="s">
        <v>180</v>
      </c>
      <c r="D155" s="1132" t="s">
        <v>242</v>
      </c>
      <c r="E155" s="247"/>
      <c r="F155" s="248"/>
      <c r="G155" s="248"/>
      <c r="H155" s="248"/>
      <c r="I155" s="214"/>
      <c r="J155" s="227"/>
    </row>
    <row r="156" spans="1:10" ht="51" customHeight="1">
      <c r="A156" s="208" t="s">
        <v>39</v>
      </c>
      <c r="B156" s="241"/>
      <c r="C156" s="1181">
        <v>3104</v>
      </c>
      <c r="D156" s="1132" t="str">
        <f>IF(B156="SEPLAG",VLOOKUP('[1]COMPOSIÇÕES OK'!C156,'[2]COTAÇÃO OK'!A:B,2,FALSE),VLOOKUP(C156,'NAO DESO'!A:B,2,0))</f>
        <v>CONJ. DE FERRAGENS PARA PORTA DE VIDRO TEMPERADO, EM ZAMAC CROMADO, CONTEMPLANDO DOBRADICA INF., DOBRADICA SUP., PIVO PARA DOBRADICA INF., PIVO PARA DOBRADICA SUP., FECHADURA CENTRAL EM ZAMC. CROMADO, CONTRA FECHADURA DE PRESSAO</v>
      </c>
      <c r="E156" s="241" t="str">
        <f>VLOOKUP($C156,'NAO DESO'!$A:$D,3,)</f>
        <v xml:space="preserve">CJ    </v>
      </c>
      <c r="F156" s="242">
        <v>2</v>
      </c>
      <c r="G156" s="242">
        <f>IF(B156="SEPLAG",VLOOKUP(CONCATENATE("MEDIANA - ",C156),COTAÇÃO,5,FALSE),VLOOKUP($C156,'NAO DESO'!$A:$D,4,))</f>
        <v>142.9</v>
      </c>
      <c r="H156" s="242">
        <f>TRUNC(F156*G156,2)</f>
        <v>285.8</v>
      </c>
      <c r="I156" s="54" t="str">
        <f>IF(B156="SEPLAG",VLOOKUP(CONCATENATE("MEDIANA - ",C156),COTAÇÃO,5,FALSE),VLOOKUP($C156,DESON!$A:$D,4,))</f>
        <v>142,90</v>
      </c>
      <c r="J156" s="209">
        <f>TRUNC(F156*I156,2)</f>
        <v>285.8</v>
      </c>
    </row>
    <row r="157" spans="1:10" ht="27.75" customHeight="1">
      <c r="A157" s="208" t="s">
        <v>39</v>
      </c>
      <c r="B157" s="241"/>
      <c r="C157" s="1181">
        <v>5031</v>
      </c>
      <c r="D157" s="1132" t="str">
        <f>IF(B157="SEPLAG",VLOOKUP('[1]COMPOSIÇÕES OK'!C157,'[2]COTAÇÃO OK'!A:B,2,FALSE),VLOOKUP(C157,'NAO DESO'!A:B,2,0))</f>
        <v>VIDRO TEMPERADO INCOLOR PARA PORTA DE ABRIR, E = 10 MM (SEM FERRAGENS E SEM COLOCACAO)</v>
      </c>
      <c r="E157" s="241" t="str">
        <f>VLOOKUP($C157,'NAO DESO'!$A:$D,3,)</f>
        <v xml:space="preserve">M2    </v>
      </c>
      <c r="F157" s="242">
        <f>2*1.5*2.1</f>
        <v>6.3000000000000007</v>
      </c>
      <c r="G157" s="242">
        <f>IF(B157="SEPLAG",VLOOKUP(CONCATENATE("MEDIANA - ",C157),COTAÇÃO,5,FALSE),VLOOKUP($C157,'NAO DESO'!$A:$D,4,))</f>
        <v>500</v>
      </c>
      <c r="H157" s="242">
        <f>TRUNC(F157*G157,2)</f>
        <v>3150</v>
      </c>
      <c r="I157" s="54" t="str">
        <f>IF(B157="SEPLAG",VLOOKUP(CONCATENATE("MEDIANA - ",C157),COTAÇÃO,5,FALSE),VLOOKUP($C157,DESON!$A:$D,4,))</f>
        <v>500,00</v>
      </c>
      <c r="J157" s="209">
        <f>TRUNC(F157*I157,2)</f>
        <v>3150</v>
      </c>
    </row>
    <row r="158" spans="1:10" ht="15.75" customHeight="1">
      <c r="A158" s="208" t="s">
        <v>245</v>
      </c>
      <c r="B158" s="241"/>
      <c r="C158" s="1181">
        <v>88316</v>
      </c>
      <c r="D158" s="1132" t="str">
        <f>IF(B158="SEPLAG",VLOOKUP('[1]COMPOSIÇÕES OK'!C158,'[2]COTAÇÃO OK'!A:B,2,FALSE),VLOOKUP(C158,'NAO DESO'!A:B,2,0))</f>
        <v>SERVENTE COM ENCARGOS COMPLEMENTARES</v>
      </c>
      <c r="E158" s="241" t="str">
        <f>VLOOKUP($C158,'NAO DESO'!$A:$D,3,)</f>
        <v>H</v>
      </c>
      <c r="F158" s="242">
        <v>3.98</v>
      </c>
      <c r="G158" s="242" t="str">
        <f>IF(B158="SEPLAG",VLOOKUP(CONCATENATE("MEDIANA - ",C158),COTAÇÃO,5,FALSE),VLOOKUP($C158,'NAO DESO'!$A:$D,4,))</f>
        <v>16,83</v>
      </c>
      <c r="H158" s="242">
        <f>TRUNC(F158*G158,2)</f>
        <v>66.98</v>
      </c>
      <c r="I158" s="54" t="str">
        <f>IF(B158="SEPLAG",VLOOKUP(CONCATENATE("MEDIANA - ",C158),COTAÇÃO,5,FALSE),VLOOKUP($C158,DESON!$A:$D,4,))</f>
        <v>15,16</v>
      </c>
      <c r="J158" s="209">
        <f>TRUNC(F158*I158,2)</f>
        <v>60.33</v>
      </c>
    </row>
    <row r="159" spans="1:10" ht="19.5" customHeight="1">
      <c r="A159" s="208" t="s">
        <v>245</v>
      </c>
      <c r="B159" s="241"/>
      <c r="C159" s="1181">
        <v>88325</v>
      </c>
      <c r="D159" s="1132" t="str">
        <f>IF(B159="SEPLAG",VLOOKUP('[1]COMPOSIÇÕES OK'!C159,'[2]COTAÇÃO OK'!A:B,2,FALSE),VLOOKUP(C159,'NAO DESO'!A:B,2,0))</f>
        <v>VIDRACEIRO COM ENCARGOS COMPLEMENTARES</v>
      </c>
      <c r="E159" s="241" t="str">
        <f>VLOOKUP($C159,'NAO DESO'!$A:$D,3,)</f>
        <v>H</v>
      </c>
      <c r="F159" s="242">
        <v>4.0999999999999996</v>
      </c>
      <c r="G159" s="242" t="str">
        <f>IF(B159="SEPLAG",VLOOKUP(CONCATENATE("MEDIANA - ",C159),COTAÇÃO,5,FALSE),VLOOKUP($C159,'NAO DESO'!$A:$D,4,))</f>
        <v>18,78</v>
      </c>
      <c r="H159" s="242">
        <f>TRUNC(F159*G159,2)</f>
        <v>76.989999999999995</v>
      </c>
      <c r="I159" s="54" t="str">
        <f>IF(B159="SEPLAG",VLOOKUP(CONCATENATE("MEDIANA - ",C159),COTAÇÃO,5,FALSE),VLOOKUP($C159,DESON!$A:$D,4,))</f>
        <v>16,86</v>
      </c>
      <c r="J159" s="209">
        <f>TRUNC(F159*I159,2)</f>
        <v>69.12</v>
      </c>
    </row>
    <row r="160" spans="1:10" ht="15" customHeight="1">
      <c r="A160" s="210" t="str">
        <f>CONCATENATE("TOTAL DO ITEM NÃO DESON. - ",C153)</f>
        <v>TOTAL DO ITEM NÃO DESON. - SEPLAG ARQ 16</v>
      </c>
      <c r="B160" s="424"/>
      <c r="C160" s="424"/>
      <c r="D160" s="424"/>
      <c r="E160" s="424"/>
      <c r="F160" s="425"/>
      <c r="G160" s="426"/>
      <c r="H160" s="1182">
        <f>SUM(H156:H159)</f>
        <v>3579.77</v>
      </c>
      <c r="I160" s="214"/>
      <c r="J160" s="215"/>
    </row>
    <row r="161" spans="1:10" ht="15.75" customHeight="1" thickBot="1">
      <c r="A161" s="216" t="str">
        <f>CONCATENATE("TOTAL DO ITEM DESON. - ",C153)</f>
        <v>TOTAL DO ITEM DESON. - SEPLAG ARQ 16</v>
      </c>
      <c r="B161" s="427"/>
      <c r="C161" s="427"/>
      <c r="D161" s="427"/>
      <c r="E161" s="427"/>
      <c r="F161" s="428"/>
      <c r="G161" s="429"/>
      <c r="H161" s="1187"/>
      <c r="I161" s="229"/>
      <c r="J161" s="219">
        <f>SUM(J156:J159)</f>
        <v>3565.25</v>
      </c>
    </row>
    <row r="162" spans="1:10" ht="15" customHeight="1" thickBot="1">
      <c r="A162" s="223"/>
      <c r="B162" s="1133"/>
      <c r="C162" s="1133"/>
      <c r="D162" s="1133"/>
      <c r="E162" s="1133"/>
      <c r="F162" s="1185"/>
      <c r="G162" s="1185"/>
      <c r="H162" s="1185"/>
      <c r="I162" s="224"/>
      <c r="J162" s="225"/>
    </row>
    <row r="163" spans="1:10" ht="27" customHeight="1">
      <c r="A163" s="198"/>
      <c r="B163" s="1175"/>
      <c r="C163" s="1176" t="s">
        <v>370</v>
      </c>
      <c r="D163" s="156" t="s">
        <v>7645</v>
      </c>
      <c r="E163" s="1176" t="s">
        <v>24</v>
      </c>
      <c r="F163" s="1177" t="s">
        <v>18</v>
      </c>
      <c r="G163" s="1178" t="s">
        <v>7017</v>
      </c>
      <c r="H163" s="1179"/>
      <c r="I163" s="200" t="s">
        <v>7016</v>
      </c>
      <c r="J163" s="201"/>
    </row>
    <row r="164" spans="1:10" ht="17.25" customHeight="1">
      <c r="A164" s="233"/>
      <c r="B164" s="247"/>
      <c r="C164" s="1155"/>
      <c r="D164" s="157"/>
      <c r="E164" s="1155"/>
      <c r="F164" s="1180"/>
      <c r="G164" s="1180" t="s">
        <v>19</v>
      </c>
      <c r="H164" s="1180" t="s">
        <v>20</v>
      </c>
      <c r="I164" s="205" t="s">
        <v>19</v>
      </c>
      <c r="J164" s="206" t="s">
        <v>20</v>
      </c>
    </row>
    <row r="165" spans="1:10" s="207" customFormat="1" ht="30" customHeight="1">
      <c r="A165" s="208"/>
      <c r="B165" s="241"/>
      <c r="C165" s="241" t="s">
        <v>180</v>
      </c>
      <c r="D165" s="1132" t="s">
        <v>242</v>
      </c>
      <c r="E165" s="247"/>
      <c r="F165" s="248"/>
      <c r="G165" s="248"/>
      <c r="H165" s="248"/>
      <c r="I165" s="214"/>
      <c r="J165" s="227"/>
    </row>
    <row r="166" spans="1:10" ht="51" customHeight="1">
      <c r="A166" s="208" t="s">
        <v>39</v>
      </c>
      <c r="B166" s="241"/>
      <c r="C166" s="1181">
        <v>3104</v>
      </c>
      <c r="D166" s="1132" t="str">
        <f>IF(B166="SEPLAG",VLOOKUP('[1]COMPOSIÇÕES OK'!C166,'[2]COTAÇÃO OK'!A:B,2,FALSE),VLOOKUP(C166,'NAO DESO'!A:B,2,0))</f>
        <v>CONJ. DE FERRAGENS PARA PORTA DE VIDRO TEMPERADO, EM ZAMAC CROMADO, CONTEMPLANDO DOBRADICA INF., DOBRADICA SUP., PIVO PARA DOBRADICA INF., PIVO PARA DOBRADICA SUP., FECHADURA CENTRAL EM ZAMC. CROMADO, CONTRA FECHADURA DE PRESSAO</v>
      </c>
      <c r="E166" s="241" t="str">
        <f>VLOOKUP($C166,'NAO DESO'!$A:$D,3,)</f>
        <v xml:space="preserve">CJ    </v>
      </c>
      <c r="F166" s="242">
        <v>1</v>
      </c>
      <c r="G166" s="242">
        <f>IF(B166="SEPLAG",VLOOKUP(CONCATENATE("MEDIANA - ",C166),COTAÇÃO,5,FALSE),VLOOKUP($C166,'NAO DESO'!$A:$D,4,))</f>
        <v>142.9</v>
      </c>
      <c r="H166" s="242">
        <f>TRUNC(F166*G166,2)</f>
        <v>142.9</v>
      </c>
      <c r="I166" s="54" t="str">
        <f>IF(B166="SEPLAG",VLOOKUP(CONCATENATE("MEDIANA - ",C166),COTAÇÃO,5,FALSE),VLOOKUP($C166,DESON!$A:$D,4,))</f>
        <v>142,90</v>
      </c>
      <c r="J166" s="209">
        <f>TRUNC(F166*I166,2)</f>
        <v>142.9</v>
      </c>
    </row>
    <row r="167" spans="1:10" ht="25.5" customHeight="1">
      <c r="A167" s="208" t="s">
        <v>39</v>
      </c>
      <c r="B167" s="241"/>
      <c r="C167" s="1181">
        <v>5031</v>
      </c>
      <c r="D167" s="1132" t="str">
        <f>IF(B167="SEPLAG",VLOOKUP('[1]COMPOSIÇÕES OK'!C167,'[2]COTAÇÃO OK'!A:B,2,FALSE),VLOOKUP(C167,'NAO DESO'!A:B,2,0))</f>
        <v>VIDRO TEMPERADO INCOLOR PARA PORTA DE ABRIR, E = 10 MM (SEM FERRAGENS E SEM COLOCACAO)</v>
      </c>
      <c r="E167" s="241" t="str">
        <f>VLOOKUP($C167,'NAO DESO'!$A:$D,3,)</f>
        <v xml:space="preserve">M2    </v>
      </c>
      <c r="F167" s="242">
        <f>0.8*2.1</f>
        <v>1.6800000000000002</v>
      </c>
      <c r="G167" s="242">
        <f>IF(B167="SEPLAG",VLOOKUP(CONCATENATE("MEDIANA - ",C167),COTAÇÃO,5,FALSE),VLOOKUP($C167,'NAO DESO'!$A:$D,4,))</f>
        <v>500</v>
      </c>
      <c r="H167" s="242">
        <f>TRUNC(F167*G167,2)</f>
        <v>840</v>
      </c>
      <c r="I167" s="54" t="str">
        <f>IF(B167="SEPLAG",VLOOKUP(CONCATENATE("MEDIANA - ",C167),COTAÇÃO,5,FALSE),VLOOKUP($C167,DESON!$A:$D,4,))</f>
        <v>500,00</v>
      </c>
      <c r="J167" s="209">
        <f>TRUNC(F167*I167,2)</f>
        <v>840</v>
      </c>
    </row>
    <row r="168" spans="1:10" ht="20.25" customHeight="1">
      <c r="A168" s="208" t="s">
        <v>245</v>
      </c>
      <c r="B168" s="241"/>
      <c r="C168" s="1181">
        <v>88316</v>
      </c>
      <c r="D168" s="1132" t="str">
        <f>IF(B168="SEPLAG",VLOOKUP('[1]COMPOSIÇÕES OK'!C168,'[2]COTAÇÃO OK'!A:B,2,FALSE),VLOOKUP(C168,'NAO DESO'!A:B,2,0))</f>
        <v>SERVENTE COM ENCARGOS COMPLEMENTARES</v>
      </c>
      <c r="E168" s="241" t="str">
        <f>VLOOKUP($C168,'NAO DESO'!$A:$D,3,)</f>
        <v>H</v>
      </c>
      <c r="F168" s="242">
        <v>3.98</v>
      </c>
      <c r="G168" s="242" t="str">
        <f>IF(B168="SEPLAG",VLOOKUP(CONCATENATE("MEDIANA - ",C168),COTAÇÃO,5,FALSE),VLOOKUP($C168,'NAO DESO'!$A:$D,4,))</f>
        <v>16,83</v>
      </c>
      <c r="H168" s="242">
        <f>TRUNC(F168*G168,2)</f>
        <v>66.98</v>
      </c>
      <c r="I168" s="54" t="str">
        <f>IF(B168="SEPLAG",VLOOKUP(CONCATENATE("MEDIANA - ",C168),COTAÇÃO,5,FALSE),VLOOKUP($C168,DESON!$A:$D,4,))</f>
        <v>15,16</v>
      </c>
      <c r="J168" s="209">
        <f>TRUNC(F168*I168,2)</f>
        <v>60.33</v>
      </c>
    </row>
    <row r="169" spans="1:10" ht="21" customHeight="1">
      <c r="A169" s="208" t="s">
        <v>245</v>
      </c>
      <c r="B169" s="241"/>
      <c r="C169" s="1181">
        <v>88325</v>
      </c>
      <c r="D169" s="1132" t="str">
        <f>IF(B169="SEPLAG",VLOOKUP('[1]COMPOSIÇÕES OK'!C169,'[2]COTAÇÃO OK'!A:B,2,FALSE),VLOOKUP(C169,'NAO DESO'!A:B,2,0))</f>
        <v>VIDRACEIRO COM ENCARGOS COMPLEMENTARES</v>
      </c>
      <c r="E169" s="241" t="str">
        <f>VLOOKUP($C169,'NAO DESO'!$A:$D,3,)</f>
        <v>H</v>
      </c>
      <c r="F169" s="242">
        <v>4.0999999999999996</v>
      </c>
      <c r="G169" s="242" t="str">
        <f>IF(B169="SEPLAG",VLOOKUP(CONCATENATE("MEDIANA - ",C169),COTAÇÃO,5,FALSE),VLOOKUP($C169,'NAO DESO'!$A:$D,4,))</f>
        <v>18,78</v>
      </c>
      <c r="H169" s="242">
        <f>TRUNC(F169*G169,2)</f>
        <v>76.989999999999995</v>
      </c>
      <c r="I169" s="54" t="str">
        <f>IF(B169="SEPLAG",VLOOKUP(CONCATENATE("MEDIANA - ",C169),COTAÇÃO,5,FALSE),VLOOKUP($C169,DESON!$A:$D,4,))</f>
        <v>16,86</v>
      </c>
      <c r="J169" s="209">
        <f>TRUNC(F169*I169,2)</f>
        <v>69.12</v>
      </c>
    </row>
    <row r="170" spans="1:10" ht="15" customHeight="1">
      <c r="A170" s="210" t="str">
        <f>CONCATENATE("TOTAL DO ITEM NÃO DESON. - ",C163)</f>
        <v>TOTAL DO ITEM NÃO DESON. - SEPLAG ARQ 17</v>
      </c>
      <c r="B170" s="424"/>
      <c r="C170" s="424"/>
      <c r="D170" s="424"/>
      <c r="E170" s="424"/>
      <c r="F170" s="425"/>
      <c r="G170" s="426"/>
      <c r="H170" s="1182">
        <f>SUM(H166:H169)</f>
        <v>1126.8699999999999</v>
      </c>
      <c r="I170" s="214"/>
      <c r="J170" s="215"/>
    </row>
    <row r="171" spans="1:10" ht="15.75" customHeight="1" thickBot="1">
      <c r="A171" s="216" t="str">
        <f>CONCATENATE("TOTAL DO ITEM DESON. - ",C163)</f>
        <v>TOTAL DO ITEM DESON. - SEPLAG ARQ 17</v>
      </c>
      <c r="B171" s="427"/>
      <c r="C171" s="427"/>
      <c r="D171" s="427"/>
      <c r="E171" s="427"/>
      <c r="F171" s="428"/>
      <c r="G171" s="429"/>
      <c r="H171" s="1187"/>
      <c r="I171" s="229"/>
      <c r="J171" s="219">
        <f>SUM(J166:J169)</f>
        <v>1112.3499999999999</v>
      </c>
    </row>
    <row r="172" spans="1:10" ht="15" customHeight="1" thickBot="1">
      <c r="A172" s="223"/>
      <c r="B172" s="1133"/>
      <c r="C172" s="1133"/>
      <c r="D172" s="1133"/>
      <c r="E172" s="1133"/>
      <c r="F172" s="1185"/>
      <c r="G172" s="1185"/>
      <c r="H172" s="1185"/>
      <c r="I172" s="224"/>
      <c r="J172" s="225"/>
    </row>
    <row r="173" spans="1:10" ht="28.5" customHeight="1">
      <c r="A173" s="230"/>
      <c r="B173" s="1152"/>
      <c r="C173" s="1176" t="s">
        <v>371</v>
      </c>
      <c r="D173" s="156" t="s">
        <v>7646</v>
      </c>
      <c r="E173" s="1176" t="s">
        <v>24</v>
      </c>
      <c r="F173" s="1177" t="s">
        <v>18</v>
      </c>
      <c r="G173" s="1178" t="s">
        <v>7017</v>
      </c>
      <c r="H173" s="1179"/>
      <c r="I173" s="200" t="s">
        <v>7016</v>
      </c>
      <c r="J173" s="201"/>
    </row>
    <row r="174" spans="1:10" ht="13.5" customHeight="1">
      <c r="A174" s="203"/>
      <c r="B174" s="430"/>
      <c r="C174" s="1155"/>
      <c r="D174" s="157"/>
      <c r="E174" s="1155"/>
      <c r="F174" s="1180"/>
      <c r="G174" s="1180" t="s">
        <v>19</v>
      </c>
      <c r="H174" s="1180" t="s">
        <v>20</v>
      </c>
      <c r="I174" s="205" t="s">
        <v>19</v>
      </c>
      <c r="J174" s="206" t="s">
        <v>20</v>
      </c>
    </row>
    <row r="175" spans="1:10" s="207" customFormat="1" ht="25.5" customHeight="1">
      <c r="A175" s="208"/>
      <c r="B175" s="241"/>
      <c r="C175" s="241" t="s">
        <v>180</v>
      </c>
      <c r="D175" s="1132" t="s">
        <v>246</v>
      </c>
      <c r="E175" s="247"/>
      <c r="F175" s="248"/>
      <c r="G175" s="248"/>
      <c r="H175" s="248"/>
      <c r="I175" s="214"/>
      <c r="J175" s="227"/>
    </row>
    <row r="176" spans="1:10" ht="25.5" customHeight="1">
      <c r="A176" s="208" t="s">
        <v>39</v>
      </c>
      <c r="B176" s="241"/>
      <c r="C176" s="1181">
        <v>142</v>
      </c>
      <c r="D176" s="1132" t="str">
        <f>IF(B176="SEPLAG",VLOOKUP('[1]COMPOSIÇÕES OK'!C176,'[2]COTAÇÃO OK'!A:B,2,FALSE),VLOOKUP(C176,'NAO DESO'!A:B,2,0))</f>
        <v>SELANTE ELASTICO MONOCOMPONENTE A BASE DE POLIURETANO (PU) PARA JUNTAS DIVERSAS</v>
      </c>
      <c r="E176" s="241" t="str">
        <f>VLOOKUP($C176,'NAO DESO'!$A:$D,3,)</f>
        <v xml:space="preserve">310ML </v>
      </c>
      <c r="F176" s="242">
        <f>0.063*F177</f>
        <v>0.34398000000000006</v>
      </c>
      <c r="G176" s="242">
        <f>IF(B176="SEPLAG",VLOOKUP(CONCATENATE("MEDIANA - ",C176),COTAÇÃO,5,FALSE),VLOOKUP($C176,'NAO DESO'!$A:$D,4,))</f>
        <v>26.18</v>
      </c>
      <c r="H176" s="242">
        <f t="shared" ref="H176:H181" si="4">TRUNC(F176*G176,2)</f>
        <v>9</v>
      </c>
      <c r="I176" s="54" t="str">
        <f>IF(B176="SEPLAG",VLOOKUP(CONCATENATE("MEDIANA - ",C176),COTAÇÃO,5,FALSE),VLOOKUP($C176,DESON!$A:$D,4,))</f>
        <v>26,18</v>
      </c>
      <c r="J176" s="209">
        <f t="shared" ref="J176:J181" si="5">TRUNC(F176*I176,2)</f>
        <v>9</v>
      </c>
    </row>
    <row r="177" spans="1:10" ht="25.5" customHeight="1">
      <c r="A177" s="208" t="s">
        <v>39</v>
      </c>
      <c r="B177" s="241"/>
      <c r="C177" s="1181">
        <v>5031</v>
      </c>
      <c r="D177" s="1132" t="str">
        <f>IF(B177="SEPLAG",VLOOKUP('[1]COMPOSIÇÕES OK'!C177,'[2]COTAÇÃO OK'!A:B,2,FALSE),VLOOKUP(C177,'NAO DESO'!A:B,2,0))</f>
        <v>VIDRO TEMPERADO INCOLOR PARA PORTA DE ABRIR, E = 10 MM (SEM FERRAGENS E SEM COLOCACAO)</v>
      </c>
      <c r="E177" s="241" t="str">
        <f>VLOOKUP($C177,'NAO DESO'!$A:$D,3,)</f>
        <v xml:space="preserve">M2    </v>
      </c>
      <c r="F177" s="242">
        <f>2.6*2.1</f>
        <v>5.4600000000000009</v>
      </c>
      <c r="G177" s="242">
        <f>IF(B177="SEPLAG",VLOOKUP(CONCATENATE("MEDIANA - ",C177),COTAÇÃO,5,FALSE),VLOOKUP($C177,'NAO DESO'!$A:$D,4,))</f>
        <v>500</v>
      </c>
      <c r="H177" s="242">
        <f t="shared" si="4"/>
        <v>2730</v>
      </c>
      <c r="I177" s="54" t="str">
        <f>IF(B177="SEPLAG",VLOOKUP(CONCATENATE("MEDIANA - ",C177),COTAÇÃO,5,FALSE),VLOOKUP($C177,DESON!$A:$D,4,))</f>
        <v>500,00</v>
      </c>
      <c r="J177" s="209">
        <f t="shared" si="5"/>
        <v>2730</v>
      </c>
    </row>
    <row r="178" spans="1:10" ht="25.5" customHeight="1">
      <c r="A178" s="208" t="s">
        <v>39</v>
      </c>
      <c r="B178" s="241"/>
      <c r="C178" s="1181">
        <v>7568</v>
      </c>
      <c r="D178" s="1132" t="str">
        <f>IF(B178="SEPLAG",VLOOKUP('[1]COMPOSIÇÕES OK'!C178,'[2]COTAÇÃO OK'!A:B,2,FALSE),VLOOKUP(C178,'NAO DESO'!A:B,2,0))</f>
        <v>BUCHA DE NYLON SEM ABA S10, COM PARAFUSO DE 6,10 X 65 MM EM ACO ZINCADO COM ROSCA SOBERBA, CABECA CHATA E FENDA PHILLIPS</v>
      </c>
      <c r="E178" s="241" t="str">
        <f>VLOOKUP($C178,'NAO DESO'!$A:$D,3,)</f>
        <v xml:space="preserve">UN    </v>
      </c>
      <c r="F178" s="242">
        <f>4.72*F177</f>
        <v>25.771200000000004</v>
      </c>
      <c r="G178" s="242">
        <f>IF(B178="SEPLAG",VLOOKUP(CONCATENATE("MEDIANA - ",C178),COTAÇÃO,5,FALSE),VLOOKUP($C178,'NAO DESO'!$A:$D,4,))</f>
        <v>0.61</v>
      </c>
      <c r="H178" s="242">
        <f t="shared" si="4"/>
        <v>15.72</v>
      </c>
      <c r="I178" s="54" t="str">
        <f>IF(B178="SEPLAG",VLOOKUP(CONCATENATE("MEDIANA - ",C178),COTAÇÃO,5,FALSE),VLOOKUP($C178,DESON!$A:$D,4,))</f>
        <v>0,61</v>
      </c>
      <c r="J178" s="209">
        <f t="shared" si="5"/>
        <v>15.72</v>
      </c>
    </row>
    <row r="179" spans="1:10" ht="38.25" customHeight="1">
      <c r="A179" s="208" t="s">
        <v>39</v>
      </c>
      <c r="B179" s="241"/>
      <c r="C179" s="1181">
        <v>36888</v>
      </c>
      <c r="D179" s="1132" t="str">
        <f>IF(B179="SEPLAG",VLOOKUP('[1]COMPOSIÇÕES OK'!C179,'[2]COTAÇÃO OK'!A:B,2,FALSE),VLOOKUP(C179,'NAO DESO'!A:B,2,0))</f>
        <v>GUARNICAO / MOLDURA / ARREMATE DE ACABAMENTO PARA ESQUADRIA, EM ALUMINIO PERFIL 25, ACABAMENTO ANODIZADO BRANCO OU BRILHANTE, PARA 1 FACE</v>
      </c>
      <c r="E179" s="241" t="str">
        <f>VLOOKUP($C179,'NAO DESO'!$A:$D,3,)</f>
        <v xml:space="preserve">M     </v>
      </c>
      <c r="F179" s="242">
        <f>2.2*F177</f>
        <v>12.012000000000002</v>
      </c>
      <c r="G179" s="242">
        <f>IF(B179="SEPLAG",VLOOKUP(CONCATENATE("MEDIANA - ",C179),COTAÇÃO,5,FALSE),VLOOKUP($C179,'NAO DESO'!$A:$D,4,))</f>
        <v>43.85</v>
      </c>
      <c r="H179" s="242">
        <f t="shared" si="4"/>
        <v>526.72</v>
      </c>
      <c r="I179" s="54" t="str">
        <f>IF(B179="SEPLAG",VLOOKUP(CONCATENATE("MEDIANA - ",C179),COTAÇÃO,5,FALSE),VLOOKUP($C179,DESON!$A:$D,4,))</f>
        <v>43,85</v>
      </c>
      <c r="J179" s="209">
        <f t="shared" si="5"/>
        <v>526.72</v>
      </c>
    </row>
    <row r="180" spans="1:10" ht="15" customHeight="1">
      <c r="A180" s="208" t="s">
        <v>245</v>
      </c>
      <c r="B180" s="241"/>
      <c r="C180" s="1181">
        <v>88309</v>
      </c>
      <c r="D180" s="1132" t="str">
        <f>IF(B180="SEPLAG",VLOOKUP('[1]COMPOSIÇÕES OK'!C180,'[2]COTAÇÃO OK'!A:B,2,FALSE),VLOOKUP(C180,'NAO DESO'!A:B,2,0))</f>
        <v>PEDREIRO COM ENCARGOS COMPLEMENTARES</v>
      </c>
      <c r="E180" s="241" t="str">
        <f>VLOOKUP($C180,'NAO DESO'!$A:$D,3,)</f>
        <v>H</v>
      </c>
      <c r="F180" s="242">
        <f>0.28*F177</f>
        <v>1.5288000000000004</v>
      </c>
      <c r="G180" s="242" t="str">
        <f>IF(B180="SEPLAG",VLOOKUP(CONCATENATE("MEDIANA - ",C180),COTAÇÃO,5,FALSE),VLOOKUP($C180,'NAO DESO'!$A:$D,4,))</f>
        <v>21,10</v>
      </c>
      <c r="H180" s="242">
        <f t="shared" si="4"/>
        <v>32.25</v>
      </c>
      <c r="I180" s="54" t="str">
        <f>IF(B180="SEPLAG",VLOOKUP(CONCATENATE("MEDIANA - ",C180),COTAÇÃO,5,FALSE),VLOOKUP($C180,DESON!$A:$D,4,))</f>
        <v>18,86</v>
      </c>
      <c r="J180" s="209">
        <f t="shared" si="5"/>
        <v>28.83</v>
      </c>
    </row>
    <row r="181" spans="1:10" ht="15" customHeight="1">
      <c r="A181" s="208" t="s">
        <v>245</v>
      </c>
      <c r="B181" s="241"/>
      <c r="C181" s="1181">
        <v>88316</v>
      </c>
      <c r="D181" s="1132" t="str">
        <f>IF(B181="SEPLAG",VLOOKUP('[1]COMPOSIÇÕES OK'!C181,'[2]COTAÇÃO OK'!A:B,2,FALSE),VLOOKUP(C181,'NAO DESO'!A:B,2,0))</f>
        <v>SERVENTE COM ENCARGOS COMPLEMENTARES</v>
      </c>
      <c r="E181" s="241" t="str">
        <f>VLOOKUP($C181,'NAO DESO'!$A:$D,3,)</f>
        <v>H</v>
      </c>
      <c r="F181" s="242">
        <f>0.14*F177</f>
        <v>0.76440000000000019</v>
      </c>
      <c r="G181" s="242" t="str">
        <f>IF(B181="SEPLAG",VLOOKUP(CONCATENATE("MEDIANA - ",C181),COTAÇÃO,5,FALSE),VLOOKUP($C181,'NAO DESO'!$A:$D,4,))</f>
        <v>16,83</v>
      </c>
      <c r="H181" s="242">
        <f t="shared" si="4"/>
        <v>12.86</v>
      </c>
      <c r="I181" s="54" t="str">
        <f>IF(B181="SEPLAG",VLOOKUP(CONCATENATE("MEDIANA - ",C181),COTAÇÃO,5,FALSE),VLOOKUP($C181,DESON!$A:$D,4,))</f>
        <v>15,16</v>
      </c>
      <c r="J181" s="209">
        <f t="shared" si="5"/>
        <v>11.58</v>
      </c>
    </row>
    <row r="182" spans="1:10" ht="15" customHeight="1">
      <c r="A182" s="210" t="str">
        <f>CONCATENATE("TOTAL DO ITEM NÃO DESON. - ",C173)</f>
        <v>TOTAL DO ITEM NÃO DESON. - SEPLAG  ARQ 18</v>
      </c>
      <c r="B182" s="424"/>
      <c r="C182" s="424"/>
      <c r="D182" s="424"/>
      <c r="E182" s="424"/>
      <c r="F182" s="425"/>
      <c r="G182" s="426"/>
      <c r="H182" s="1182">
        <f>SUM(H176:H181)</f>
        <v>3326.5499999999997</v>
      </c>
      <c r="I182" s="214"/>
      <c r="J182" s="215"/>
    </row>
    <row r="183" spans="1:10" ht="15.75" customHeight="1" thickBot="1">
      <c r="A183" s="216" t="str">
        <f>CONCATENATE("TOTAL DO ITEM DESON. - ",C173)</f>
        <v>TOTAL DO ITEM DESON. - SEPLAG  ARQ 18</v>
      </c>
      <c r="B183" s="427"/>
      <c r="C183" s="427"/>
      <c r="D183" s="427"/>
      <c r="E183" s="427"/>
      <c r="F183" s="428"/>
      <c r="G183" s="429"/>
      <c r="H183" s="1187"/>
      <c r="I183" s="229"/>
      <c r="J183" s="219">
        <f>SUM(J176:J181)</f>
        <v>3321.8499999999995</v>
      </c>
    </row>
    <row r="184" spans="1:10" ht="15" customHeight="1" thickBot="1">
      <c r="A184" s="235"/>
      <c r="B184" s="1135"/>
      <c r="C184" s="1135"/>
      <c r="D184" s="1135"/>
      <c r="E184" s="1135"/>
      <c r="F184" s="1188"/>
      <c r="G184" s="1188"/>
      <c r="H184" s="1188"/>
      <c r="I184" s="236"/>
      <c r="J184" s="237"/>
    </row>
    <row r="185" spans="1:10" s="207" customFormat="1" ht="24.75" customHeight="1">
      <c r="A185" s="198"/>
      <c r="B185" s="1175"/>
      <c r="C185" s="1152" t="s">
        <v>372</v>
      </c>
      <c r="D185" s="152" t="s">
        <v>182</v>
      </c>
      <c r="E185" s="1176" t="s">
        <v>24</v>
      </c>
      <c r="F185" s="1177" t="s">
        <v>18</v>
      </c>
      <c r="G185" s="1178" t="s">
        <v>7017</v>
      </c>
      <c r="H185" s="1179"/>
      <c r="I185" s="200" t="s">
        <v>7016</v>
      </c>
      <c r="J185" s="201"/>
    </row>
    <row r="186" spans="1:10" ht="13.5" customHeight="1">
      <c r="A186" s="233"/>
      <c r="B186" s="247"/>
      <c r="C186" s="430"/>
      <c r="D186" s="158"/>
      <c r="E186" s="1155"/>
      <c r="F186" s="1180"/>
      <c r="G186" s="1180" t="s">
        <v>19</v>
      </c>
      <c r="H186" s="1180" t="s">
        <v>20</v>
      </c>
      <c r="I186" s="205" t="s">
        <v>19</v>
      </c>
      <c r="J186" s="206" t="s">
        <v>20</v>
      </c>
    </row>
    <row r="187" spans="1:10" ht="25.5" customHeight="1">
      <c r="A187" s="208"/>
      <c r="B187" s="241"/>
      <c r="C187" s="241" t="s">
        <v>180</v>
      </c>
      <c r="D187" s="1132" t="s">
        <v>181</v>
      </c>
      <c r="E187" s="241"/>
      <c r="F187" s="242"/>
      <c r="G187" s="242"/>
      <c r="H187" s="242"/>
      <c r="I187" s="214"/>
      <c r="J187" s="227"/>
    </row>
    <row r="188" spans="1:10" ht="39" customHeight="1">
      <c r="A188" s="208" t="s">
        <v>39</v>
      </c>
      <c r="B188" s="241"/>
      <c r="C188" s="1181">
        <v>4351</v>
      </c>
      <c r="D188" s="161" t="str">
        <f>IF(B188="SEPLAG",VLOOKUP(COMPOSIÇÕES!C188,'MAPA COMPARATIVO'!A:B,2,FALSE),VLOOKUP(C188,'NAO DESO'!A:B,2,0))</f>
        <v>PARAFUSO NIQUELADO 3 1/2" COM ACABAMENTO CROMADO PARA FIXAR PECA SANITARIA, INCLUI PORCA CEGA, ARRUELA E BUCHA DE NYLON TAMANHO S-8</v>
      </c>
      <c r="E188" s="241" t="str">
        <f>VLOOKUP($C188,'NAO DESO'!$A:$D,3,)</f>
        <v xml:space="preserve">UN    </v>
      </c>
      <c r="F188" s="242">
        <v>6</v>
      </c>
      <c r="G188" s="242">
        <f>IF(B188="SEPLAG",VLOOKUP(CONCATENATE("MEDIANA - ",C188),COTAÇÃO,5,FALSE),VLOOKUP($C188,'NAO DESO'!$A:$D,4,))</f>
        <v>19.02</v>
      </c>
      <c r="H188" s="242">
        <f>TRUNC(F188*G188,2)</f>
        <v>114.12</v>
      </c>
      <c r="I188" s="54" t="str">
        <f>IF(B188="SEPLAG",VLOOKUP(CONCATENATE("MEDIANA - ",C188),COTAÇÃO,5,FALSE),VLOOKUP($C188,DESON!$A:$D,4,))</f>
        <v>19,02</v>
      </c>
      <c r="J188" s="209">
        <f>TRUNC(F188*I188,2)</f>
        <v>114.12</v>
      </c>
    </row>
    <row r="189" spans="1:10" ht="26.25" customHeight="1">
      <c r="A189" s="208" t="s">
        <v>39</v>
      </c>
      <c r="B189" s="241" t="s">
        <v>14504</v>
      </c>
      <c r="C189" s="241" t="s">
        <v>14287</v>
      </c>
      <c r="D189" s="161" t="str">
        <f>IF(B189="SEPLAG",VLOOKUP(COMPOSIÇÕES!C189,'MAPA COMPARATIVO'!A:B,2,FALSE),VLOOKUP(C189,'NAO DESO'!A:B,2,0))</f>
        <v>BARRA DE APOIO RETA, EM ACO INOX POLIDO, COMPRIMENTO 40CM, DIAMETRO MINIMO 3 CM.</v>
      </c>
      <c r="E189" s="241" t="s">
        <v>183</v>
      </c>
      <c r="F189" s="242">
        <v>1</v>
      </c>
      <c r="G189" s="242">
        <f>IF(B189="SEPLAG",VLOOKUP(CONCATENATE("MEDIANA - ",C189),COTAÇÃO,5,FALSE),VLOOKUP($C189,'NAO DESO'!$A:$D,4,))</f>
        <v>119.9</v>
      </c>
      <c r="H189" s="242">
        <f>TRUNC(F189*G189,2)</f>
        <v>119.9</v>
      </c>
      <c r="I189" s="54">
        <f>IF(B189="SEPLAG",VLOOKUP(CONCATENATE("MEDIANA - ",C189),COTAÇÃO,5,FALSE),VLOOKUP($C189,DESON!$A:$D,4,))</f>
        <v>119.9</v>
      </c>
      <c r="J189" s="209">
        <f>TRUNC(F189*I189,2)</f>
        <v>119.9</v>
      </c>
    </row>
    <row r="190" spans="1:10" ht="26.25" customHeight="1">
      <c r="A190" s="208" t="s">
        <v>245</v>
      </c>
      <c r="B190" s="241"/>
      <c r="C190" s="1181">
        <v>88267</v>
      </c>
      <c r="D190" s="161" t="str">
        <f>IF(B190="SEPLAG",VLOOKUP(COMPOSIÇÕES!C190,'MAPA COMPARATIVO'!A:B,2,FALSE),VLOOKUP(C190,'NAO DESO'!A:B,2,0))</f>
        <v>ENCANADOR OU BOMBEIRO HIDRÁULICO COM ENCARGOS COMPLEMENTARES</v>
      </c>
      <c r="E190" s="241" t="str">
        <f>VLOOKUP($C190,'NAO DESO'!$A:$D,3,)</f>
        <v>H</v>
      </c>
      <c r="F190" s="242">
        <v>0.94499999999999995</v>
      </c>
      <c r="G190" s="242" t="str">
        <f>IF(B190="SEPLAG",VLOOKUP(CONCATENATE("MEDIANA - ",C190),COTAÇÃO,5,FALSE),VLOOKUP($C190,'NAO DESO'!$A:$D,4,))</f>
        <v>21,03</v>
      </c>
      <c r="H190" s="242">
        <f>TRUNC(F190*G190,2)</f>
        <v>19.87</v>
      </c>
      <c r="I190" s="54" t="str">
        <f>IF(B190="SEPLAG",VLOOKUP(CONCATENATE("MEDIANA - ",C190),COTAÇÃO,5,FALSE),VLOOKUP($C190,DESON!$A:$D,4,))</f>
        <v>18,72</v>
      </c>
      <c r="J190" s="209">
        <f>TRUNC(F190*I190,2)</f>
        <v>17.690000000000001</v>
      </c>
    </row>
    <row r="191" spans="1:10" ht="15" customHeight="1">
      <c r="A191" s="208" t="s">
        <v>245</v>
      </c>
      <c r="B191" s="241"/>
      <c r="C191" s="1181">
        <v>88316</v>
      </c>
      <c r="D191" s="161" t="str">
        <f>IF(B191="SEPLAG",VLOOKUP(COMPOSIÇÕES!C191,'MAPA COMPARATIVO'!A:B,2,FALSE),VLOOKUP(C191,'NAO DESO'!A:B,2,0))</f>
        <v>SERVENTE COM ENCARGOS COMPLEMENTARES</v>
      </c>
      <c r="E191" s="241" t="str">
        <f>VLOOKUP($C191,'NAO DESO'!$A:$D,3,)</f>
        <v>H</v>
      </c>
      <c r="F191" s="242">
        <v>0.28999999999999998</v>
      </c>
      <c r="G191" s="242" t="str">
        <f>IF(B191="SEPLAG",VLOOKUP(CONCATENATE("MEDIANA - ",C191),COTAÇÃO,5,FALSE),VLOOKUP($C191,'NAO DESO'!$A:$D,4,))</f>
        <v>16,83</v>
      </c>
      <c r="H191" s="242">
        <f>TRUNC(F191*G191,2)</f>
        <v>4.88</v>
      </c>
      <c r="I191" s="54" t="str">
        <f>IF(B191="SEPLAG",VLOOKUP(CONCATENATE("MEDIANA - ",C191),COTAÇÃO,5,FALSE),VLOOKUP($C191,DESON!$A:$D,4,))</f>
        <v>15,16</v>
      </c>
      <c r="J191" s="209">
        <f>TRUNC(F191*I191,2)</f>
        <v>4.3899999999999997</v>
      </c>
    </row>
    <row r="192" spans="1:10" ht="15" customHeight="1">
      <c r="A192" s="210" t="str">
        <f>CONCATENATE("TOTAL DO ITEM NÃO DESON. - ",C185)</f>
        <v>TOTAL DO ITEM NÃO DESON. - SEPLAG  ARQ 19</v>
      </c>
      <c r="B192" s="424"/>
      <c r="C192" s="424"/>
      <c r="D192" s="424"/>
      <c r="E192" s="424"/>
      <c r="F192" s="425"/>
      <c r="G192" s="426"/>
      <c r="H192" s="1182">
        <f>SUM(H188:H191)</f>
        <v>258.77000000000004</v>
      </c>
      <c r="I192" s="214"/>
      <c r="J192" s="215"/>
    </row>
    <row r="193" spans="1:10" ht="15.75" customHeight="1" thickBot="1">
      <c r="A193" s="216" t="str">
        <f>CONCATENATE("TOTAL DO ITEM DESON. - ",C185)</f>
        <v>TOTAL DO ITEM DESON. - SEPLAG  ARQ 19</v>
      </c>
      <c r="B193" s="427"/>
      <c r="C193" s="427"/>
      <c r="D193" s="427"/>
      <c r="E193" s="427"/>
      <c r="F193" s="428"/>
      <c r="G193" s="429"/>
      <c r="H193" s="1187"/>
      <c r="I193" s="229"/>
      <c r="J193" s="219">
        <f>SUM(J188:J191)</f>
        <v>256.10000000000002</v>
      </c>
    </row>
    <row r="194" spans="1:10" ht="15" customHeight="1" thickBot="1">
      <c r="A194" s="223"/>
      <c r="B194" s="1133"/>
      <c r="C194" s="1133"/>
      <c r="D194" s="1133"/>
      <c r="E194" s="1133"/>
      <c r="F194" s="1185"/>
      <c r="G194" s="1185"/>
      <c r="H194" s="1185"/>
      <c r="I194" s="224"/>
      <c r="J194" s="225"/>
    </row>
    <row r="195" spans="1:10" s="207" customFormat="1" ht="27" customHeight="1">
      <c r="A195" s="230"/>
      <c r="B195" s="1152"/>
      <c r="C195" s="1152" t="s">
        <v>373</v>
      </c>
      <c r="D195" s="152" t="s">
        <v>185</v>
      </c>
      <c r="E195" s="1176" t="s">
        <v>24</v>
      </c>
      <c r="F195" s="1177" t="s">
        <v>18</v>
      </c>
      <c r="G195" s="1178" t="s">
        <v>7017</v>
      </c>
      <c r="H195" s="1179"/>
      <c r="I195" s="200" t="s">
        <v>7016</v>
      </c>
      <c r="J195" s="201"/>
    </row>
    <row r="196" spans="1:10" ht="15" customHeight="1">
      <c r="A196" s="203"/>
      <c r="B196" s="430"/>
      <c r="C196" s="430"/>
      <c r="D196" s="158"/>
      <c r="E196" s="1155"/>
      <c r="F196" s="1180"/>
      <c r="G196" s="1180" t="s">
        <v>19</v>
      </c>
      <c r="H196" s="1180" t="s">
        <v>20</v>
      </c>
      <c r="I196" s="205" t="s">
        <v>19</v>
      </c>
      <c r="J196" s="206" t="s">
        <v>20</v>
      </c>
    </row>
    <row r="197" spans="1:10" ht="15" customHeight="1">
      <c r="A197" s="208"/>
      <c r="B197" s="241"/>
      <c r="C197" s="241" t="s">
        <v>180</v>
      </c>
      <c r="D197" s="161" t="s">
        <v>184</v>
      </c>
      <c r="E197" s="241"/>
      <c r="F197" s="242"/>
      <c r="G197" s="242"/>
      <c r="H197" s="242"/>
      <c r="I197" s="214"/>
      <c r="J197" s="227"/>
    </row>
    <row r="198" spans="1:10" ht="17.25" customHeight="1">
      <c r="A198" s="208" t="s">
        <v>39</v>
      </c>
      <c r="B198" s="241" t="s">
        <v>14504</v>
      </c>
      <c r="C198" s="241" t="s">
        <v>14288</v>
      </c>
      <c r="D198" s="161" t="str">
        <f>IF(B198="SEPLAG",VLOOKUP(COMPOSIÇÕES!C198,'MAPA COMPARATIVO'!A:B,2,FALSE),VLOOKUP(C198,'NAO DESO'!A:B,2,0))</f>
        <v>ASSENTO SANITARIO DE PLASTICO, TIPO PCD.</v>
      </c>
      <c r="E198" s="241" t="s">
        <v>183</v>
      </c>
      <c r="F198" s="242">
        <v>1</v>
      </c>
      <c r="G198" s="242">
        <f>IF(B198="SEPLAG",VLOOKUP(CONCATENATE("MEDIANA - ",C198),COTAÇÃO,5,FALSE),VLOOKUP($C198,'NAO DESO'!$A:$D,4,))</f>
        <v>173.72</v>
      </c>
      <c r="H198" s="242">
        <f>TRUNC(F198*G198,2)</f>
        <v>173.72</v>
      </c>
      <c r="I198" s="54">
        <f>IF(B198="SEPLAG",VLOOKUP(CONCATENATE("MEDIANA - ",C198),COTAÇÃO,5,FALSE),VLOOKUP($C198,DESON!$A:$D,4,))</f>
        <v>173.72</v>
      </c>
      <c r="J198" s="209">
        <f>TRUNC(F198*I198,2)</f>
        <v>173.72</v>
      </c>
    </row>
    <row r="199" spans="1:10" ht="26.25" customHeight="1">
      <c r="A199" s="208" t="s">
        <v>245</v>
      </c>
      <c r="B199" s="241"/>
      <c r="C199" s="1181">
        <v>88267</v>
      </c>
      <c r="D199" s="161" t="str">
        <f>IF(B199="SEPLAG",VLOOKUP(COMPOSIÇÕES!C199,'MAPA COMPARATIVO'!A:B,2,FALSE),VLOOKUP(C199,'NAO DESO'!A:B,2,0))</f>
        <v>ENCANADOR OU BOMBEIRO HIDRÁULICO COM ENCARGOS COMPLEMENTARES</v>
      </c>
      <c r="E199" s="241" t="str">
        <f>VLOOKUP($C199,'NAO DESO'!$A:$D,3,)</f>
        <v>H</v>
      </c>
      <c r="F199" s="242">
        <v>0.15</v>
      </c>
      <c r="G199" s="242" t="str">
        <f>IF(B199="SEPLAG",VLOOKUP(CONCATENATE("MEDIANA - ",C199),COTAÇÃO,5,FALSE),VLOOKUP($C199,'NAO DESO'!$A:$D,4,))</f>
        <v>21,03</v>
      </c>
      <c r="H199" s="242">
        <f>TRUNC(F199*G199,2)</f>
        <v>3.15</v>
      </c>
      <c r="I199" s="54" t="str">
        <f>IF(B199="SEPLAG",VLOOKUP(CONCATENATE("MEDIANA - ",C199),COTAÇÃO,5,FALSE),VLOOKUP($C199,DESON!$A:$D,4,))</f>
        <v>18,72</v>
      </c>
      <c r="J199" s="209">
        <f>TRUNC(F199*I199,2)</f>
        <v>2.8</v>
      </c>
    </row>
    <row r="200" spans="1:10" ht="15" customHeight="1">
      <c r="A200" s="208" t="s">
        <v>245</v>
      </c>
      <c r="B200" s="241"/>
      <c r="C200" s="1181">
        <v>88316</v>
      </c>
      <c r="D200" s="161" t="str">
        <f>IF(B200="SEPLAG",VLOOKUP(COMPOSIÇÕES!C200,'MAPA COMPARATIVO'!A:B,2,FALSE),VLOOKUP(C200,'NAO DESO'!A:B,2,0))</f>
        <v>SERVENTE COM ENCARGOS COMPLEMENTARES</v>
      </c>
      <c r="E200" s="241" t="str">
        <f>VLOOKUP($C200,'NAO DESO'!$A:$D,3,)</f>
        <v>H</v>
      </c>
      <c r="F200" s="242">
        <v>0.04</v>
      </c>
      <c r="G200" s="242" t="str">
        <f>IF(B200="SEPLAG",VLOOKUP(CONCATENATE("MEDIANA - ",C200),COTAÇÃO,5,FALSE),VLOOKUP($C200,'NAO DESO'!$A:$D,4,))</f>
        <v>16,83</v>
      </c>
      <c r="H200" s="242">
        <f>TRUNC(F200*G200,2)</f>
        <v>0.67</v>
      </c>
      <c r="I200" s="54" t="str">
        <f>IF(B200="SEPLAG",VLOOKUP(CONCATENATE("MEDIANA - ",C200),COTAÇÃO,5,FALSE),VLOOKUP($C200,DESON!$A:$D,4,))</f>
        <v>15,16</v>
      </c>
      <c r="J200" s="209">
        <f>TRUNC(F200*I200,2)</f>
        <v>0.6</v>
      </c>
    </row>
    <row r="201" spans="1:10" ht="15" customHeight="1">
      <c r="A201" s="210" t="str">
        <f>CONCATENATE("TOTAL DO ITEM NÃO DESON. - ",C195)</f>
        <v>TOTAL DO ITEM NÃO DESON. - SEPLAG  ARQ 20</v>
      </c>
      <c r="B201" s="424"/>
      <c r="C201" s="424"/>
      <c r="D201" s="424"/>
      <c r="E201" s="424"/>
      <c r="F201" s="425"/>
      <c r="G201" s="426"/>
      <c r="H201" s="1182">
        <f>SUM(H198:H200)</f>
        <v>177.54</v>
      </c>
      <c r="I201" s="214"/>
      <c r="J201" s="215"/>
    </row>
    <row r="202" spans="1:10" ht="15.75" customHeight="1" thickBot="1">
      <c r="A202" s="216" t="str">
        <f>CONCATENATE("TOTAL DO ITEM DESON. - ",C195)</f>
        <v>TOTAL DO ITEM DESON. - SEPLAG  ARQ 20</v>
      </c>
      <c r="B202" s="427"/>
      <c r="C202" s="427"/>
      <c r="D202" s="427"/>
      <c r="E202" s="427"/>
      <c r="F202" s="428"/>
      <c r="G202" s="429"/>
      <c r="H202" s="1187"/>
      <c r="I202" s="229"/>
      <c r="J202" s="219">
        <f>SUM(J198:J200)</f>
        <v>177.12</v>
      </c>
    </row>
    <row r="203" spans="1:10" ht="15" customHeight="1" thickBot="1">
      <c r="A203" s="223"/>
      <c r="B203" s="1133"/>
      <c r="C203" s="1133"/>
      <c r="D203" s="1133"/>
      <c r="E203" s="1133"/>
      <c r="F203" s="1185"/>
      <c r="G203" s="1185"/>
      <c r="H203" s="1185"/>
      <c r="I203" s="224"/>
      <c r="J203" s="225"/>
    </row>
    <row r="204" spans="1:10" ht="26.25" customHeight="1">
      <c r="A204" s="198"/>
      <c r="B204" s="1175"/>
      <c r="C204" s="1152" t="s">
        <v>374</v>
      </c>
      <c r="D204" s="152" t="s">
        <v>234</v>
      </c>
      <c r="E204" s="1176" t="s">
        <v>24</v>
      </c>
      <c r="F204" s="1177" t="s">
        <v>18</v>
      </c>
      <c r="G204" s="1178" t="s">
        <v>7017</v>
      </c>
      <c r="H204" s="1179"/>
      <c r="I204" s="200" t="s">
        <v>7016</v>
      </c>
      <c r="J204" s="201"/>
    </row>
    <row r="205" spans="1:10" ht="15" customHeight="1">
      <c r="A205" s="233"/>
      <c r="B205" s="247"/>
      <c r="C205" s="430"/>
      <c r="D205" s="158"/>
      <c r="E205" s="1155"/>
      <c r="F205" s="1180"/>
      <c r="G205" s="1180" t="s">
        <v>19</v>
      </c>
      <c r="H205" s="1180" t="s">
        <v>20</v>
      </c>
      <c r="I205" s="205" t="s">
        <v>19</v>
      </c>
      <c r="J205" s="206" t="s">
        <v>20</v>
      </c>
    </row>
    <row r="206" spans="1:10" ht="26.25" customHeight="1">
      <c r="A206" s="208"/>
      <c r="B206" s="241"/>
      <c r="C206" s="241" t="s">
        <v>180</v>
      </c>
      <c r="D206" s="161" t="s">
        <v>187</v>
      </c>
      <c r="E206" s="241"/>
      <c r="F206" s="242"/>
      <c r="G206" s="242"/>
      <c r="H206" s="242"/>
      <c r="I206" s="214"/>
      <c r="J206" s="227"/>
    </row>
    <row r="207" spans="1:10" ht="15" customHeight="1">
      <c r="A207" s="208" t="s">
        <v>39</v>
      </c>
      <c r="B207" s="241"/>
      <c r="C207" s="241">
        <v>3148</v>
      </c>
      <c r="D207" s="161" t="str">
        <f>IF(B207="SEPLAG",VLOOKUP(COMPOSIÇÕES!C207,'MAPA COMPARATIVO'!A:B,2,FALSE),VLOOKUP(C207,'NAO DESO'!A:B,2,0))</f>
        <v>FITA VEDA ROSCA EM ROLOS DE 18 MM X 50 M (L X C)</v>
      </c>
      <c r="E207" s="241" t="s">
        <v>183</v>
      </c>
      <c r="F207" s="242">
        <v>0.19</v>
      </c>
      <c r="G207" s="242">
        <f>IF(B207="SEPLAG",VLOOKUP(CONCATENATE("MEDIANA - ",C207),COTAÇÃO,5,FALSE),VLOOKUP($C207,'NAO DESO'!$A:$D,4,))</f>
        <v>18.440000000000001</v>
      </c>
      <c r="H207" s="242">
        <f>TRUNC(F207*G207,2)</f>
        <v>3.5</v>
      </c>
      <c r="I207" s="54" t="str">
        <f>IF(B207="SEPLAG",VLOOKUP(CONCATENATE("MEDIANA - ",C207),COTAÇÃO,5,FALSE),VLOOKUP($C207,DESON!$A:$D,4,))</f>
        <v>18,44</v>
      </c>
      <c r="J207" s="209">
        <f>TRUNC(F207*I207,2)</f>
        <v>3.5</v>
      </c>
    </row>
    <row r="208" spans="1:10" ht="15" customHeight="1">
      <c r="A208" s="208" t="s">
        <v>39</v>
      </c>
      <c r="B208" s="241" t="s">
        <v>14504</v>
      </c>
      <c r="C208" s="241" t="s">
        <v>14289</v>
      </c>
      <c r="D208" s="161" t="str">
        <f>IF(B208="SEPLAG",VLOOKUP(COMPOSIÇÕES!C208,'MAPA COMPARATIVO'!A:B,2,FALSE),VLOOKUP(C208,'NAO DESO'!A:B,2,0))</f>
        <v>VÁLVULA DE DESCARGA HYDRACONFORTO DECA OU SIMILAR.</v>
      </c>
      <c r="E208" s="241" t="s">
        <v>183</v>
      </c>
      <c r="F208" s="242">
        <v>1</v>
      </c>
      <c r="G208" s="242">
        <f>IF(B208="SEPLAG",VLOOKUP(CONCATENATE("MEDIANA - ",C208),COTAÇÃO,5,FALSE),VLOOKUP($C208,'NAO DESO'!$A:$D,4,))</f>
        <v>200.64</v>
      </c>
      <c r="H208" s="242">
        <f>TRUNC(F208*G208,2)</f>
        <v>200.64</v>
      </c>
      <c r="I208" s="54">
        <f>IF(B208="SEPLAG",VLOOKUP(CONCATENATE("MEDIANA - ",C208),COTAÇÃO,5,FALSE),VLOOKUP($C208,DESON!$A:$D,4,))</f>
        <v>200.64</v>
      </c>
      <c r="J208" s="209">
        <f>TRUNC(F208*I208,2)</f>
        <v>200.64</v>
      </c>
    </row>
    <row r="209" spans="1:10" ht="15" customHeight="1">
      <c r="A209" s="208" t="s">
        <v>245</v>
      </c>
      <c r="B209" s="241"/>
      <c r="C209" s="1181">
        <v>88248</v>
      </c>
      <c r="D209" s="161" t="str">
        <f>IF(B209="SEPLAG",VLOOKUP(COMPOSIÇÕES!C209,'MAPA COMPARATIVO'!A:B,2,FALSE),VLOOKUP(C209,'NAO DESO'!A:B,2,0))</f>
        <v>AUXILIAR DE ENCANADOR OU BOMBEIRO HIDRÁULICO COM ENCARGOS COMPLEMENTARES</v>
      </c>
      <c r="E209" s="241" t="str">
        <f>VLOOKUP($C209,'NAO DESO'!$A:$D,3,)</f>
        <v>H</v>
      </c>
      <c r="F209" s="242">
        <v>0.8</v>
      </c>
      <c r="G209" s="242" t="str">
        <f>IF(B209="SEPLAG",VLOOKUP(CONCATENATE("MEDIANA - ",C209),COTAÇÃO,5,FALSE),VLOOKUP($C209,'NAO DESO'!$A:$D,4,))</f>
        <v>17,33</v>
      </c>
      <c r="H209" s="242">
        <f>TRUNC(F209*G209,2)</f>
        <v>13.86</v>
      </c>
      <c r="I209" s="54" t="str">
        <f>IF(B209="SEPLAG",VLOOKUP(CONCATENATE("MEDIANA - ",C209),COTAÇÃO,5,FALSE),VLOOKUP($C209,DESON!$A:$D,4,))</f>
        <v>15,54</v>
      </c>
      <c r="J209" s="209">
        <f>TRUNC(F209*I209,2)</f>
        <v>12.43</v>
      </c>
    </row>
    <row r="210" spans="1:10" ht="26.25" customHeight="1">
      <c r="A210" s="208" t="s">
        <v>245</v>
      </c>
      <c r="B210" s="241"/>
      <c r="C210" s="1181">
        <v>88267</v>
      </c>
      <c r="D210" s="161" t="str">
        <f>IF(B210="SEPLAG",VLOOKUP(COMPOSIÇÕES!C210,'MAPA COMPARATIVO'!A:B,2,FALSE),VLOOKUP(C210,'NAO DESO'!A:B,2,0))</f>
        <v>ENCANADOR OU BOMBEIRO HIDRÁULICO COM ENCARGOS COMPLEMENTARES</v>
      </c>
      <c r="E210" s="241" t="str">
        <f>VLOOKUP($C210,'NAO DESO'!$A:$D,3,)</f>
        <v>H</v>
      </c>
      <c r="F210" s="242">
        <v>0.8</v>
      </c>
      <c r="G210" s="242" t="str">
        <f>IF(B210="SEPLAG",VLOOKUP(CONCATENATE("MEDIANA - ",C210),COTAÇÃO,5,FALSE),VLOOKUP($C210,'NAO DESO'!$A:$D,4,))</f>
        <v>21,03</v>
      </c>
      <c r="H210" s="242">
        <f>TRUNC(F210*G210,2)</f>
        <v>16.82</v>
      </c>
      <c r="I210" s="54" t="str">
        <f>IF(B210="SEPLAG",VLOOKUP(CONCATENATE("MEDIANA - ",C210),COTAÇÃO,5,FALSE),VLOOKUP($C210,DESON!$A:$D,4,))</f>
        <v>18,72</v>
      </c>
      <c r="J210" s="209">
        <f>TRUNC(F210*I210,2)</f>
        <v>14.97</v>
      </c>
    </row>
    <row r="211" spans="1:10" ht="15" customHeight="1">
      <c r="A211" s="210" t="str">
        <f>CONCATENATE("TOTAL DO ITEM NÃO DESON. - ",C204)</f>
        <v>TOTAL DO ITEM NÃO DESON. - SEPLAG ARQ 21</v>
      </c>
      <c r="B211" s="424"/>
      <c r="C211" s="424"/>
      <c r="D211" s="424"/>
      <c r="E211" s="424"/>
      <c r="F211" s="425"/>
      <c r="G211" s="426"/>
      <c r="H211" s="1182">
        <f>SUM(H207:H210)</f>
        <v>234.82</v>
      </c>
      <c r="I211" s="214"/>
      <c r="J211" s="215"/>
    </row>
    <row r="212" spans="1:10" ht="15.75" customHeight="1" thickBot="1">
      <c r="A212" s="216" t="str">
        <f>CONCATENATE("TOTAL DO ITEM DESON. - ",C204)</f>
        <v>TOTAL DO ITEM DESON. - SEPLAG ARQ 21</v>
      </c>
      <c r="B212" s="427"/>
      <c r="C212" s="427"/>
      <c r="D212" s="427"/>
      <c r="E212" s="427"/>
      <c r="F212" s="428"/>
      <c r="G212" s="429"/>
      <c r="H212" s="1187"/>
      <c r="I212" s="229"/>
      <c r="J212" s="219">
        <f>SUM(J207:J210)</f>
        <v>231.54</v>
      </c>
    </row>
    <row r="213" spans="1:10" ht="15" customHeight="1" thickBot="1">
      <c r="A213" s="223"/>
      <c r="B213" s="1133"/>
      <c r="C213" s="1133"/>
      <c r="D213" s="1133"/>
      <c r="E213" s="1133"/>
      <c r="F213" s="1185"/>
      <c r="G213" s="1185"/>
      <c r="H213" s="1185"/>
      <c r="I213" s="224"/>
      <c r="J213" s="225"/>
    </row>
    <row r="214" spans="1:10" s="207" customFormat="1" ht="24.75" customHeight="1">
      <c r="A214" s="198"/>
      <c r="B214" s="1175"/>
      <c r="C214" s="1152" t="s">
        <v>375</v>
      </c>
      <c r="D214" s="152" t="s">
        <v>186</v>
      </c>
      <c r="E214" s="1176" t="s">
        <v>24</v>
      </c>
      <c r="F214" s="1177" t="s">
        <v>18</v>
      </c>
      <c r="G214" s="1178" t="s">
        <v>7017</v>
      </c>
      <c r="H214" s="1179"/>
      <c r="I214" s="200" t="s">
        <v>7016</v>
      </c>
      <c r="J214" s="201"/>
    </row>
    <row r="215" spans="1:10" ht="14.25" customHeight="1">
      <c r="A215" s="233"/>
      <c r="B215" s="247"/>
      <c r="C215" s="430"/>
      <c r="D215" s="158"/>
      <c r="E215" s="1155"/>
      <c r="F215" s="1180"/>
      <c r="G215" s="1180" t="s">
        <v>19</v>
      </c>
      <c r="H215" s="1180" t="s">
        <v>20</v>
      </c>
      <c r="I215" s="205" t="s">
        <v>19</v>
      </c>
      <c r="J215" s="206" t="s">
        <v>20</v>
      </c>
    </row>
    <row r="216" spans="1:10" ht="26.25" customHeight="1">
      <c r="A216" s="208"/>
      <c r="B216" s="241"/>
      <c r="C216" s="241" t="s">
        <v>180</v>
      </c>
      <c r="D216" s="161" t="s">
        <v>187</v>
      </c>
      <c r="E216" s="241"/>
      <c r="F216" s="242"/>
      <c r="G216" s="242"/>
      <c r="H216" s="242"/>
      <c r="I216" s="214"/>
      <c r="J216" s="227"/>
    </row>
    <row r="217" spans="1:10" ht="15" customHeight="1">
      <c r="A217" s="208" t="s">
        <v>39</v>
      </c>
      <c r="B217" s="241"/>
      <c r="C217" s="1181">
        <v>3148</v>
      </c>
      <c r="D217" s="161" t="str">
        <f>IF(B217="SEPLAG",VLOOKUP(COMPOSIÇÕES!C217,'MAPA COMPARATIVO'!A:B,2,FALSE),VLOOKUP(C217,'NAO DESO'!A:B,2,0))</f>
        <v>FITA VEDA ROSCA EM ROLOS DE 18 MM X 50 M (L X C)</v>
      </c>
      <c r="E217" s="241" t="str">
        <f>VLOOKUP($C217,'NAO DESO'!$A:$D,3,)</f>
        <v xml:space="preserve">UN    </v>
      </c>
      <c r="F217" s="242">
        <v>0.19</v>
      </c>
      <c r="G217" s="242">
        <f>IF(B217="SEPLAG",VLOOKUP(CONCATENATE("MEDIANA - ",C217),COTAÇÃO,5,FALSE),VLOOKUP($C217,'NAO DESO'!$A:$D,4,))</f>
        <v>18.440000000000001</v>
      </c>
      <c r="H217" s="242">
        <f>TRUNC(F217*G217,2)</f>
        <v>3.5</v>
      </c>
      <c r="I217" s="54" t="str">
        <f>IF(B217="SEPLAG",VLOOKUP(CONCATENATE("MEDIANA - ",C217),COTAÇÃO,5,FALSE),VLOOKUP($C217,DESON!$A:$D,4,))</f>
        <v>18,44</v>
      </c>
      <c r="J217" s="209">
        <f>TRUNC(F217*I217,2)</f>
        <v>3.5</v>
      </c>
    </row>
    <row r="218" spans="1:10" ht="26.25" customHeight="1">
      <c r="A218" s="208" t="s">
        <v>39</v>
      </c>
      <c r="B218" s="241" t="s">
        <v>14504</v>
      </c>
      <c r="C218" s="241" t="s">
        <v>14290</v>
      </c>
      <c r="D218" s="161" t="str">
        <f>IF(B218="SEPLAG",VLOOKUP(COMPOSIÇÕES!C218,'MAPA COMPARATIVO'!A:B,2,FALSE),VLOOKUP(C218,'NAO DESO'!A:B,2,0))</f>
        <v>VÁLVULA DE DESCARGA METÁLICA PARA MICTORIO, ACABAMENTO METALICO CROMADO</v>
      </c>
      <c r="E218" s="241" t="s">
        <v>183</v>
      </c>
      <c r="F218" s="242">
        <v>1</v>
      </c>
      <c r="G218" s="242">
        <f>IF(B218="SEPLAG",VLOOKUP(CONCATENATE("MEDIANA - ",C218),COTAÇÃO,5,FALSE),VLOOKUP($C218,'NAO DESO'!$A:$D,4,))</f>
        <v>860.9</v>
      </c>
      <c r="H218" s="242">
        <f>TRUNC(F218*G218,2)</f>
        <v>860.9</v>
      </c>
      <c r="I218" s="54">
        <f>IF(B218="SEPLAG",VLOOKUP(CONCATENATE("MEDIANA - ",C218),COTAÇÃO,5,FALSE),VLOOKUP($C218,DESON!$A:$D,4,))</f>
        <v>860.9</v>
      </c>
      <c r="J218" s="209">
        <f>TRUNC(F218*I218,2)</f>
        <v>860.9</v>
      </c>
    </row>
    <row r="219" spans="1:10" ht="15" customHeight="1">
      <c r="A219" s="208" t="s">
        <v>245</v>
      </c>
      <c r="B219" s="241"/>
      <c r="C219" s="1181">
        <v>88248</v>
      </c>
      <c r="D219" s="161" t="str">
        <f>IF(B219="SEPLAG",VLOOKUP(COMPOSIÇÕES!C219,'MAPA COMPARATIVO'!A:B,2,FALSE),VLOOKUP(C219,'NAO DESO'!A:B,2,0))</f>
        <v>AUXILIAR DE ENCANADOR OU BOMBEIRO HIDRÁULICO COM ENCARGOS COMPLEMENTARES</v>
      </c>
      <c r="E219" s="241" t="str">
        <f>VLOOKUP($C219,'NAO DESO'!$A:$D,3,)</f>
        <v>H</v>
      </c>
      <c r="F219" s="242">
        <v>0.8</v>
      </c>
      <c r="G219" s="242" t="str">
        <f>IF(B219="SEPLAG",VLOOKUP(CONCATENATE("MEDIANA - ",C219),COTAÇÃO,5,FALSE),VLOOKUP($C219,'NAO DESO'!$A:$D,4,))</f>
        <v>17,33</v>
      </c>
      <c r="H219" s="242">
        <f>TRUNC(F219*G219,2)</f>
        <v>13.86</v>
      </c>
      <c r="I219" s="54" t="str">
        <f>IF(B219="SEPLAG",VLOOKUP(CONCATENATE("MEDIANA - ",C219),COTAÇÃO,5,FALSE),VLOOKUP($C219,DESON!$A:$D,4,))</f>
        <v>15,54</v>
      </c>
      <c r="J219" s="209">
        <f>TRUNC(F219*I219,2)</f>
        <v>12.43</v>
      </c>
    </row>
    <row r="220" spans="1:10" ht="26.25" customHeight="1">
      <c r="A220" s="208" t="s">
        <v>245</v>
      </c>
      <c r="B220" s="241"/>
      <c r="C220" s="1181">
        <v>88267</v>
      </c>
      <c r="D220" s="161" t="str">
        <f>IF(B220="SEPLAG",VLOOKUP(COMPOSIÇÕES!C220,'MAPA COMPARATIVO'!A:B,2,FALSE),VLOOKUP(C220,'NAO DESO'!A:B,2,0))</f>
        <v>ENCANADOR OU BOMBEIRO HIDRÁULICO COM ENCARGOS COMPLEMENTARES</v>
      </c>
      <c r="E220" s="241" t="str">
        <f>VLOOKUP($C220,'NAO DESO'!$A:$D,3,)</f>
        <v>H</v>
      </c>
      <c r="F220" s="242">
        <v>0.8</v>
      </c>
      <c r="G220" s="242" t="str">
        <f>IF(B220="SEPLAG",VLOOKUP(CONCATENATE("MEDIANA - ",C220),COTAÇÃO,5,FALSE),VLOOKUP($C220,'NAO DESO'!$A:$D,4,))</f>
        <v>21,03</v>
      </c>
      <c r="H220" s="242">
        <f>TRUNC(F220*G220,2)</f>
        <v>16.82</v>
      </c>
      <c r="I220" s="54" t="str">
        <f>IF(B220="SEPLAG",VLOOKUP(CONCATENATE("MEDIANA - ",C220),COTAÇÃO,5,FALSE),VLOOKUP($C220,DESON!$A:$D,4,))</f>
        <v>18,72</v>
      </c>
      <c r="J220" s="209">
        <f>TRUNC(F220*I220,2)</f>
        <v>14.97</v>
      </c>
    </row>
    <row r="221" spans="1:10" ht="15" customHeight="1">
      <c r="A221" s="210" t="str">
        <f>CONCATENATE("TOTAL DO ITEM NÃO DESON. - ",C214)</f>
        <v>TOTAL DO ITEM NÃO DESON. - SEPLAG  ARQ 22</v>
      </c>
      <c r="B221" s="424"/>
      <c r="C221" s="424"/>
      <c r="D221" s="424"/>
      <c r="E221" s="424"/>
      <c r="F221" s="425"/>
      <c r="G221" s="426"/>
      <c r="H221" s="1182">
        <f>SUM(H217:H220)</f>
        <v>895.08</v>
      </c>
      <c r="I221" s="214"/>
      <c r="J221" s="215"/>
    </row>
    <row r="222" spans="1:10" ht="15.75" customHeight="1" thickBot="1">
      <c r="A222" s="216" t="str">
        <f>CONCATENATE("TOTAL DO ITEM DESON. - ",C214)</f>
        <v>TOTAL DO ITEM DESON. - SEPLAG  ARQ 22</v>
      </c>
      <c r="B222" s="427"/>
      <c r="C222" s="427"/>
      <c r="D222" s="427"/>
      <c r="E222" s="427"/>
      <c r="F222" s="428"/>
      <c r="G222" s="429"/>
      <c r="H222" s="1187"/>
      <c r="I222" s="229"/>
      <c r="J222" s="219">
        <f>SUM(J217:J220)</f>
        <v>891.8</v>
      </c>
    </row>
    <row r="223" spans="1:10" ht="15" customHeight="1" thickBot="1">
      <c r="A223" s="223"/>
      <c r="B223" s="1133"/>
      <c r="C223" s="1133"/>
      <c r="D223" s="1133"/>
      <c r="E223" s="1133"/>
      <c r="F223" s="1185"/>
      <c r="G223" s="1185"/>
      <c r="H223" s="1185"/>
      <c r="I223" s="224"/>
      <c r="J223" s="225"/>
    </row>
    <row r="224" spans="1:10" ht="27" customHeight="1">
      <c r="A224" s="198"/>
      <c r="B224" s="1175"/>
      <c r="C224" s="1152" t="s">
        <v>376</v>
      </c>
      <c r="D224" s="152" t="s">
        <v>190</v>
      </c>
      <c r="E224" s="1176" t="s">
        <v>24</v>
      </c>
      <c r="F224" s="1177" t="s">
        <v>18</v>
      </c>
      <c r="G224" s="1178" t="s">
        <v>7017</v>
      </c>
      <c r="H224" s="1179"/>
      <c r="I224" s="200" t="s">
        <v>7016</v>
      </c>
      <c r="J224" s="201"/>
    </row>
    <row r="225" spans="1:10" ht="15" customHeight="1">
      <c r="A225" s="233"/>
      <c r="B225" s="247"/>
      <c r="C225" s="430"/>
      <c r="D225" s="158"/>
      <c r="E225" s="1155"/>
      <c r="F225" s="1180"/>
      <c r="G225" s="1180" t="s">
        <v>19</v>
      </c>
      <c r="H225" s="1180" t="s">
        <v>20</v>
      </c>
      <c r="I225" s="205" t="s">
        <v>19</v>
      </c>
      <c r="J225" s="206" t="s">
        <v>20</v>
      </c>
    </row>
    <row r="226" spans="1:10" ht="26.25" customHeight="1">
      <c r="A226" s="208"/>
      <c r="B226" s="241"/>
      <c r="C226" s="241" t="s">
        <v>180</v>
      </c>
      <c r="D226" s="161" t="s">
        <v>187</v>
      </c>
      <c r="E226" s="241"/>
      <c r="F226" s="242"/>
      <c r="G226" s="242"/>
      <c r="H226" s="242"/>
      <c r="I226" s="214"/>
      <c r="J226" s="227"/>
    </row>
    <row r="227" spans="1:10" ht="15" customHeight="1">
      <c r="A227" s="208" t="s">
        <v>39</v>
      </c>
      <c r="B227" s="241"/>
      <c r="C227" s="1181">
        <v>3148</v>
      </c>
      <c r="D227" s="161" t="str">
        <f>IF(B227="SEPLAG",VLOOKUP(COMPOSIÇÕES!C227,'MAPA COMPARATIVO'!A:B,2,FALSE),VLOOKUP(C227,'NAO DESO'!A:B,2,0))</f>
        <v>FITA VEDA ROSCA EM ROLOS DE 18 MM X 50 M (L X C)</v>
      </c>
      <c r="E227" s="241" t="str">
        <f>VLOOKUP($C227,'NAO DESO'!$A:$D,3,)</f>
        <v xml:space="preserve">UN    </v>
      </c>
      <c r="F227" s="242">
        <v>0.19</v>
      </c>
      <c r="G227" s="242">
        <f>IF(B227="SEPLAG",VLOOKUP(CONCATENATE("MEDIANA - ",C227),COTAÇÃO,5,FALSE),VLOOKUP($C227,'NAO DESO'!$A:$D,4,))</f>
        <v>18.440000000000001</v>
      </c>
      <c r="H227" s="242">
        <f>TRUNC(F227*G227,2)</f>
        <v>3.5</v>
      </c>
      <c r="I227" s="54" t="str">
        <f>IF(B227="SEPLAG",VLOOKUP(CONCATENATE("MEDIANA - ",C227),COTAÇÃO,5,FALSE),VLOOKUP($C227,DESON!$A:$D,4,))</f>
        <v>18,44</v>
      </c>
      <c r="J227" s="209">
        <f>TRUNC(F227*I227,2)</f>
        <v>3.5</v>
      </c>
    </row>
    <row r="228" spans="1:10" ht="15" customHeight="1">
      <c r="A228" s="208" t="s">
        <v>39</v>
      </c>
      <c r="B228" s="241" t="s">
        <v>14504</v>
      </c>
      <c r="C228" s="241" t="s">
        <v>14291</v>
      </c>
      <c r="D228" s="161" t="str">
        <f>IF(B228="SEPLAG",VLOOKUP(COMPOSIÇÕES!C228,'MAPA COMPARATIVO'!A:B,2,FALSE),VLOOKUP(C228,'NAO DESO'!A:B,2,0))</f>
        <v xml:space="preserve">DUCHA HIGIÊNICA, ACABAMENTO METALICO CROMADO - </v>
      </c>
      <c r="E228" s="241" t="s">
        <v>183</v>
      </c>
      <c r="F228" s="242">
        <v>1</v>
      </c>
      <c r="G228" s="242">
        <f>IF(B228="SEPLAG",VLOOKUP(CONCATENATE("MEDIANA - ",C228),COTAÇÃO,5,FALSE),VLOOKUP($C228,'NAO DESO'!$A:$D,4,))</f>
        <v>204.61</v>
      </c>
      <c r="H228" s="242">
        <f>TRUNC(F228*G228,2)</f>
        <v>204.61</v>
      </c>
      <c r="I228" s="54">
        <f>IF(B228="SEPLAG",VLOOKUP(CONCATENATE("MEDIANA - ",C228),COTAÇÃO,5,FALSE),VLOOKUP($C228,DESON!$A:$D,4,))</f>
        <v>204.61</v>
      </c>
      <c r="J228" s="209">
        <f>TRUNC(F228*I228,2)</f>
        <v>204.61</v>
      </c>
    </row>
    <row r="229" spans="1:10" ht="15" customHeight="1">
      <c r="A229" s="208" t="s">
        <v>245</v>
      </c>
      <c r="B229" s="241"/>
      <c r="C229" s="1181">
        <v>88248</v>
      </c>
      <c r="D229" s="161" t="str">
        <f>IF(B229="SEPLAG",VLOOKUP(COMPOSIÇÕES!C229,'MAPA COMPARATIVO'!A:B,2,FALSE),VLOOKUP(C229,'NAO DESO'!A:B,2,0))</f>
        <v>AUXILIAR DE ENCANADOR OU BOMBEIRO HIDRÁULICO COM ENCARGOS COMPLEMENTARES</v>
      </c>
      <c r="E229" s="241" t="str">
        <f>VLOOKUP($C229,'NAO DESO'!$A:$D,3,)</f>
        <v>H</v>
      </c>
      <c r="F229" s="242">
        <v>0.8</v>
      </c>
      <c r="G229" s="242" t="str">
        <f>IF(B229="SEPLAG",VLOOKUP(CONCATENATE("MEDIANA - ",C229),COTAÇÃO,5,FALSE),VLOOKUP($C229,'NAO DESO'!$A:$D,4,))</f>
        <v>17,33</v>
      </c>
      <c r="H229" s="242">
        <f>TRUNC(F229*G229,2)</f>
        <v>13.86</v>
      </c>
      <c r="I229" s="54" t="str">
        <f>IF(B229="SEPLAG",VLOOKUP(CONCATENATE("MEDIANA - ",C229),COTAÇÃO,5,FALSE),VLOOKUP($C229,DESON!$A:$D,4,))</f>
        <v>15,54</v>
      </c>
      <c r="J229" s="209">
        <f>TRUNC(F229*I229,2)</f>
        <v>12.43</v>
      </c>
    </row>
    <row r="230" spans="1:10" ht="26.25" customHeight="1">
      <c r="A230" s="208" t="s">
        <v>245</v>
      </c>
      <c r="B230" s="241"/>
      <c r="C230" s="1181">
        <v>88267</v>
      </c>
      <c r="D230" s="161" t="str">
        <f>IF(B230="SEPLAG",VLOOKUP(COMPOSIÇÕES!C230,'MAPA COMPARATIVO'!A:B,2,FALSE),VLOOKUP(C230,'NAO DESO'!A:B,2,0))</f>
        <v>ENCANADOR OU BOMBEIRO HIDRÁULICO COM ENCARGOS COMPLEMENTARES</v>
      </c>
      <c r="E230" s="241" t="str">
        <f>VLOOKUP($C230,'NAO DESO'!$A:$D,3,)</f>
        <v>H</v>
      </c>
      <c r="F230" s="242">
        <v>0.8</v>
      </c>
      <c r="G230" s="242" t="str">
        <f>IF(B230="SEPLAG",VLOOKUP(CONCATENATE("MEDIANA - ",C230),COTAÇÃO,5,FALSE),VLOOKUP($C230,'NAO DESO'!$A:$D,4,))</f>
        <v>21,03</v>
      </c>
      <c r="H230" s="242">
        <f>TRUNC(F230*G230,2)</f>
        <v>16.82</v>
      </c>
      <c r="I230" s="54" t="str">
        <f>IF(B230="SEPLAG",VLOOKUP(CONCATENATE("MEDIANA - ",C230),COTAÇÃO,5,FALSE),VLOOKUP($C230,DESON!$A:$D,4,))</f>
        <v>18,72</v>
      </c>
      <c r="J230" s="209">
        <f>TRUNC(F230*I230,2)</f>
        <v>14.97</v>
      </c>
    </row>
    <row r="231" spans="1:10" s="207" customFormat="1" ht="15" customHeight="1">
      <c r="A231" s="210" t="str">
        <f>CONCATENATE("TOTAL DO ITEM NÃO DESON. - ",C224)</f>
        <v>TOTAL DO ITEM NÃO DESON. - SEPLAG ARQ 23</v>
      </c>
      <c r="B231" s="424"/>
      <c r="C231" s="424"/>
      <c r="D231" s="424"/>
      <c r="E231" s="424"/>
      <c r="F231" s="425"/>
      <c r="G231" s="426"/>
      <c r="H231" s="1189">
        <f>SUM(H227:H230)</f>
        <v>238.79000000000002</v>
      </c>
      <c r="I231" s="214"/>
      <c r="J231" s="239"/>
    </row>
    <row r="232" spans="1:10" s="207" customFormat="1" ht="15.75" customHeight="1" thickBot="1">
      <c r="A232" s="216" t="str">
        <f>CONCATENATE("TOTAL DO ITEM DESON. - ",C224)</f>
        <v>TOTAL DO ITEM DESON. - SEPLAG ARQ 23</v>
      </c>
      <c r="B232" s="427"/>
      <c r="C232" s="427"/>
      <c r="D232" s="427"/>
      <c r="E232" s="427"/>
      <c r="F232" s="428"/>
      <c r="G232" s="429"/>
      <c r="H232" s="1190"/>
      <c r="I232" s="229"/>
      <c r="J232" s="219">
        <f>SUM(J227:J230)</f>
        <v>235.51000000000002</v>
      </c>
    </row>
    <row r="233" spans="1:10" ht="15" customHeight="1" thickBot="1">
      <c r="A233" s="223"/>
      <c r="B233" s="1133"/>
      <c r="C233" s="1133"/>
      <c r="D233" s="1133"/>
      <c r="E233" s="1133"/>
      <c r="F233" s="1185"/>
      <c r="G233" s="1185"/>
      <c r="H233" s="1185"/>
      <c r="I233" s="224"/>
      <c r="J233" s="225"/>
    </row>
    <row r="234" spans="1:10" ht="35.25" customHeight="1">
      <c r="A234" s="198"/>
      <c r="B234" s="1175"/>
      <c r="C234" s="1152" t="s">
        <v>377</v>
      </c>
      <c r="D234" s="152" t="s">
        <v>192</v>
      </c>
      <c r="E234" s="1176" t="s">
        <v>24</v>
      </c>
      <c r="F234" s="1177" t="s">
        <v>18</v>
      </c>
      <c r="G234" s="1178" t="s">
        <v>7017</v>
      </c>
      <c r="H234" s="1179"/>
      <c r="I234" s="200" t="s">
        <v>7016</v>
      </c>
      <c r="J234" s="201"/>
    </row>
    <row r="235" spans="1:10" ht="15.75" customHeight="1">
      <c r="A235" s="233"/>
      <c r="B235" s="247"/>
      <c r="C235" s="430"/>
      <c r="D235" s="158"/>
      <c r="E235" s="1155"/>
      <c r="F235" s="1180"/>
      <c r="G235" s="1180" t="s">
        <v>19</v>
      </c>
      <c r="H235" s="1180" t="s">
        <v>20</v>
      </c>
      <c r="I235" s="205" t="s">
        <v>19</v>
      </c>
      <c r="J235" s="206" t="s">
        <v>20</v>
      </c>
    </row>
    <row r="236" spans="1:10" ht="26.25" customHeight="1">
      <c r="A236" s="208"/>
      <c r="B236" s="241"/>
      <c r="C236" s="241" t="s">
        <v>180</v>
      </c>
      <c r="D236" s="161" t="s">
        <v>193</v>
      </c>
      <c r="E236" s="241"/>
      <c r="F236" s="242"/>
      <c r="G236" s="242"/>
      <c r="H236" s="242"/>
      <c r="I236" s="214"/>
      <c r="J236" s="227"/>
    </row>
    <row r="237" spans="1:10" ht="15" customHeight="1">
      <c r="A237" s="208" t="s">
        <v>39</v>
      </c>
      <c r="B237" s="241"/>
      <c r="C237" s="1181">
        <v>4823</v>
      </c>
      <c r="D237" s="161" t="str">
        <f>IF(B237="SEPLAG",VLOOKUP(COMPOSIÇÕES!C237,'MAPA COMPARATIVO'!A:B,2,FALSE),VLOOKUP(C237,'NAO DESO'!A:B,2,0))</f>
        <v>MASSA PLASTICA PARA MARMORE/GRANITO</v>
      </c>
      <c r="E237" s="241" t="str">
        <f>VLOOKUP($C237,'NAO DESO'!$A:$D,3,)</f>
        <v xml:space="preserve">KG    </v>
      </c>
      <c r="F237" s="242">
        <f>1.01*F239</f>
        <v>1.9270799999999999</v>
      </c>
      <c r="G237" s="242">
        <f>IF(B237="SEPLAG",VLOOKUP(CONCATENATE("MEDIANA - ",C237),COTAÇÃO,5,FALSE),VLOOKUP($C237,'NAO DESO'!$A:$D,4,))</f>
        <v>40.53</v>
      </c>
      <c r="H237" s="242">
        <f t="shared" ref="H237:H243" si="6">TRUNC(F237*G237,2)</f>
        <v>78.099999999999994</v>
      </c>
      <c r="I237" s="54" t="str">
        <f>IF(B237="SEPLAG",VLOOKUP(CONCATENATE("MEDIANA - ",C237),COTAÇÃO,5,FALSE),VLOOKUP($C237,DESON!$A:$D,4,))</f>
        <v>40,53</v>
      </c>
      <c r="J237" s="209">
        <f t="shared" ref="J237:J243" si="7">TRUNC(F237*I237,2)</f>
        <v>78.099999999999994</v>
      </c>
    </row>
    <row r="238" spans="1:10" ht="26.25" customHeight="1">
      <c r="A238" s="208" t="s">
        <v>39</v>
      </c>
      <c r="B238" s="241"/>
      <c r="C238" s="1181">
        <v>7568</v>
      </c>
      <c r="D238" s="161" t="str">
        <f>IF(B238="SEPLAG",VLOOKUP(COMPOSIÇÕES!C238,'MAPA COMPARATIVO'!A:B,2,FALSE),VLOOKUP(C238,'NAO DESO'!A:B,2,0))</f>
        <v>BUCHA DE NYLON SEM ABA S10, COM PARAFUSO DE 6,10 X 65 MM EM ACO ZINCADO COM ROSCA SOBERBA, CABECA CHATA E FENDA PHILLIPS</v>
      </c>
      <c r="E238" s="241" t="str">
        <f>VLOOKUP($C238,'NAO DESO'!$A:$D,3,)</f>
        <v xml:space="preserve">UN    </v>
      </c>
      <c r="F238" s="242">
        <f>F241*3</f>
        <v>12</v>
      </c>
      <c r="G238" s="242">
        <f>IF(B238="SEPLAG",VLOOKUP(CONCATENATE("MEDIANA - ",C238),COTAÇÃO,5,FALSE),VLOOKUP($C238,'NAO DESO'!$A:$D,4,))</f>
        <v>0.61</v>
      </c>
      <c r="H238" s="242">
        <f t="shared" si="6"/>
        <v>7.32</v>
      </c>
      <c r="I238" s="54" t="str">
        <f>IF(B238="SEPLAG",VLOOKUP(CONCATENATE("MEDIANA - ",C238),COTAÇÃO,5,FALSE),VLOOKUP($C238,DESON!$A:$D,4,))</f>
        <v>0,61</v>
      </c>
      <c r="J238" s="209">
        <f t="shared" si="7"/>
        <v>7.32</v>
      </c>
    </row>
    <row r="239" spans="1:10" ht="15" customHeight="1">
      <c r="A239" s="208" t="s">
        <v>39</v>
      </c>
      <c r="B239" s="241"/>
      <c r="C239" s="1181">
        <v>11692</v>
      </c>
      <c r="D239" s="161" t="str">
        <f>IF(B239="SEPLAG",VLOOKUP(COMPOSIÇÕES!C239,'MAPA COMPARATIVO'!A:B,2,FALSE),VLOOKUP(C239,'NAO DESO'!A:B,2,0))</f>
        <v>BANCADA/ BANCA EM MARMORE, POLIDO, BRANCO COMUM, E=  *3* CM</v>
      </c>
      <c r="E239" s="241" t="str">
        <f>VLOOKUP($C239,'NAO DESO'!$A:$D,3,)</f>
        <v xml:space="preserve">M2    </v>
      </c>
      <c r="F239" s="242">
        <f>3.18*0.6</f>
        <v>1.9079999999999999</v>
      </c>
      <c r="G239" s="242">
        <f>IF(B239="SEPLAG",VLOOKUP(CONCATENATE("MEDIANA - ",C239),COTAÇÃO,5,FALSE),VLOOKUP($C239,'NAO DESO'!$A:$D,4,))</f>
        <v>463.09</v>
      </c>
      <c r="H239" s="242">
        <f t="shared" si="6"/>
        <v>883.57</v>
      </c>
      <c r="I239" s="54" t="str">
        <f>IF(B239="SEPLAG",VLOOKUP(CONCATENATE("MEDIANA - ",C239),COTAÇÃO,5,FALSE),VLOOKUP($C239,DESON!$A:$D,4,))</f>
        <v>463,09</v>
      </c>
      <c r="J239" s="209">
        <f t="shared" si="7"/>
        <v>883.57</v>
      </c>
    </row>
    <row r="240" spans="1:10" ht="15" customHeight="1">
      <c r="A240" s="208" t="s">
        <v>39</v>
      </c>
      <c r="B240" s="241"/>
      <c r="C240" s="1181">
        <v>37329</v>
      </c>
      <c r="D240" s="161" t="str">
        <f>IF(B240="SEPLAG",VLOOKUP(COMPOSIÇÕES!C240,'MAPA COMPARATIVO'!A:B,2,FALSE),VLOOKUP(C240,'NAO DESO'!A:B,2,0))</f>
        <v>REJUNTE EPOXI, QUALQUER COR</v>
      </c>
      <c r="E240" s="241" t="str">
        <f>VLOOKUP($C240,'NAO DESO'!$A:$D,3,)</f>
        <v xml:space="preserve">KG    </v>
      </c>
      <c r="F240" s="242">
        <f>F239*0.04</f>
        <v>7.6319999999999999E-2</v>
      </c>
      <c r="G240" s="242">
        <f>IF(B240="SEPLAG",VLOOKUP(CONCATENATE("MEDIANA - ",C240),COTAÇÃO,5,FALSE),VLOOKUP($C240,'NAO DESO'!$A:$D,4,))</f>
        <v>101.41</v>
      </c>
      <c r="H240" s="242">
        <f t="shared" si="6"/>
        <v>7.73</v>
      </c>
      <c r="I240" s="54" t="str">
        <f>IF(B240="SEPLAG",VLOOKUP(CONCATENATE("MEDIANA - ",C240),COTAÇÃO,5,FALSE),VLOOKUP($C240,DESON!$A:$D,4,))</f>
        <v>101,41</v>
      </c>
      <c r="J240" s="209">
        <f t="shared" si="7"/>
        <v>7.73</v>
      </c>
    </row>
    <row r="241" spans="1:10" ht="26.25" customHeight="1">
      <c r="A241" s="208" t="s">
        <v>39</v>
      </c>
      <c r="B241" s="241"/>
      <c r="C241" s="1181">
        <v>37590</v>
      </c>
      <c r="D241" s="161" t="str">
        <f>IF(B241="SEPLAG",VLOOKUP(COMPOSIÇÕES!C241,'MAPA COMPARATIVO'!A:B,2,FALSE),VLOOKUP(C241,'NAO DESO'!A:B,2,0))</f>
        <v>SUPORTE MAO-FRANCESA EM ACO, ABAS IGUAIS 30 CM, CAPACIDADE MINIMA 60 KG, BRANCO</v>
      </c>
      <c r="E241" s="241" t="str">
        <f>VLOOKUP($C241,'NAO DESO'!$A:$D,3,)</f>
        <v xml:space="preserve">UN    </v>
      </c>
      <c r="F241" s="242">
        <v>4</v>
      </c>
      <c r="G241" s="242">
        <f>IF(B241="SEPLAG",VLOOKUP(CONCATENATE("MEDIANA - ",C241),COTAÇÃO,5,FALSE),VLOOKUP($C241,'NAO DESO'!$A:$D,4,))</f>
        <v>21.58</v>
      </c>
      <c r="H241" s="242">
        <f t="shared" si="6"/>
        <v>86.32</v>
      </c>
      <c r="I241" s="54" t="str">
        <f>IF(B241="SEPLAG",VLOOKUP(CONCATENATE("MEDIANA - ",C241),COTAÇÃO,5,FALSE),VLOOKUP($C241,DESON!$A:$D,4,))</f>
        <v>21,58</v>
      </c>
      <c r="J241" s="209">
        <f t="shared" si="7"/>
        <v>86.32</v>
      </c>
    </row>
    <row r="242" spans="1:10" ht="15" customHeight="1">
      <c r="A242" s="208" t="s">
        <v>245</v>
      </c>
      <c r="B242" s="241"/>
      <c r="C242" s="1181">
        <v>88274</v>
      </c>
      <c r="D242" s="161" t="str">
        <f>IF(B242="SEPLAG",VLOOKUP(COMPOSIÇÕES!C242,'MAPA COMPARATIVO'!A:B,2,FALSE),VLOOKUP(C242,'NAO DESO'!A:B,2,0))</f>
        <v>MARMORISTA/GRANITEIRO COM ENCARGOS COMPLEMENTARES</v>
      </c>
      <c r="E242" s="241" t="str">
        <f>VLOOKUP($C242,'NAO DESO'!$A:$D,3,)</f>
        <v>H</v>
      </c>
      <c r="F242" s="242">
        <f>1.9209*2</f>
        <v>3.8418000000000001</v>
      </c>
      <c r="G242" s="242" t="str">
        <f>IF(B242="SEPLAG",VLOOKUP(CONCATENATE("MEDIANA - ",C242),COTAÇÃO,5,FALSE),VLOOKUP($C242,'NAO DESO'!$A:$D,4,))</f>
        <v>21,02</v>
      </c>
      <c r="H242" s="242">
        <f t="shared" si="6"/>
        <v>80.75</v>
      </c>
      <c r="I242" s="54" t="str">
        <f>IF(B242="SEPLAG",VLOOKUP(CONCATENATE("MEDIANA - ",C242),COTAÇÃO,5,FALSE),VLOOKUP($C242,DESON!$A:$D,4,))</f>
        <v>18,79</v>
      </c>
      <c r="J242" s="209">
        <f t="shared" si="7"/>
        <v>72.180000000000007</v>
      </c>
    </row>
    <row r="243" spans="1:10" ht="15" customHeight="1">
      <c r="A243" s="208" t="s">
        <v>245</v>
      </c>
      <c r="B243" s="241"/>
      <c r="C243" s="1181">
        <v>88316</v>
      </c>
      <c r="D243" s="161" t="str">
        <f>IF(B243="SEPLAG",VLOOKUP(COMPOSIÇÕES!C243,'MAPA COMPARATIVO'!A:B,2,FALSE),VLOOKUP(C243,'NAO DESO'!A:B,2,0))</f>
        <v>SERVENTE COM ENCARGOS COMPLEMENTARES</v>
      </c>
      <c r="E243" s="241" t="str">
        <f>VLOOKUP($C243,'NAO DESO'!$A:$D,3,)</f>
        <v>H</v>
      </c>
      <c r="F243" s="242">
        <f>0.9811*2</f>
        <v>1.9621999999999999</v>
      </c>
      <c r="G243" s="242" t="str">
        <f>IF(B243="SEPLAG",VLOOKUP(CONCATENATE("MEDIANA - ",C243),COTAÇÃO,5,FALSE),VLOOKUP($C243,'NAO DESO'!$A:$D,4,))</f>
        <v>16,83</v>
      </c>
      <c r="H243" s="242">
        <f t="shared" si="6"/>
        <v>33.020000000000003</v>
      </c>
      <c r="I243" s="54" t="str">
        <f>IF(B243="SEPLAG",VLOOKUP(CONCATENATE("MEDIANA - ",C243),COTAÇÃO,5,FALSE),VLOOKUP($C243,DESON!$A:$D,4,))</f>
        <v>15,16</v>
      </c>
      <c r="J243" s="209">
        <f t="shared" si="7"/>
        <v>29.74</v>
      </c>
    </row>
    <row r="244" spans="1:10" ht="15" customHeight="1">
      <c r="A244" s="210" t="str">
        <f>CONCATENATE("TOTAL DO ITEM NÃO DESON. - ",C234)</f>
        <v>TOTAL DO ITEM NÃO DESON. - SEPLAG ARQ 24</v>
      </c>
      <c r="B244" s="424"/>
      <c r="C244" s="424"/>
      <c r="D244" s="424"/>
      <c r="E244" s="424"/>
      <c r="F244" s="425"/>
      <c r="G244" s="426"/>
      <c r="H244" s="1189">
        <f>SUM(H237:H243)</f>
        <v>1176.81</v>
      </c>
      <c r="I244" s="214"/>
      <c r="J244" s="215"/>
    </row>
    <row r="245" spans="1:10" ht="15.75" customHeight="1" thickBot="1">
      <c r="A245" s="216" t="str">
        <f>CONCATENATE("TOTAL DO ITEM DESON. - ",C234)</f>
        <v>TOTAL DO ITEM DESON. - SEPLAG ARQ 24</v>
      </c>
      <c r="B245" s="427"/>
      <c r="C245" s="427"/>
      <c r="D245" s="427"/>
      <c r="E245" s="427"/>
      <c r="F245" s="428"/>
      <c r="G245" s="429"/>
      <c r="H245" s="1190"/>
      <c r="I245" s="229"/>
      <c r="J245" s="219">
        <f>SUM(J237:J243)</f>
        <v>1164.96</v>
      </c>
    </row>
    <row r="246" spans="1:10" ht="15" customHeight="1" thickBot="1">
      <c r="A246" s="223"/>
      <c r="B246" s="1133"/>
      <c r="C246" s="1133"/>
      <c r="D246" s="1133"/>
      <c r="E246" s="1133"/>
      <c r="F246" s="1185"/>
      <c r="G246" s="1185"/>
      <c r="H246" s="1185"/>
      <c r="I246" s="224"/>
      <c r="J246" s="225"/>
    </row>
    <row r="247" spans="1:10" ht="24.75" customHeight="1">
      <c r="A247" s="198"/>
      <c r="B247" s="1175"/>
      <c r="C247" s="1152" t="s">
        <v>378</v>
      </c>
      <c r="D247" s="152" t="s">
        <v>194</v>
      </c>
      <c r="E247" s="1176" t="s">
        <v>24</v>
      </c>
      <c r="F247" s="1177" t="s">
        <v>18</v>
      </c>
      <c r="G247" s="1178" t="s">
        <v>7017</v>
      </c>
      <c r="H247" s="1179"/>
      <c r="I247" s="200" t="s">
        <v>7016</v>
      </c>
      <c r="J247" s="201"/>
    </row>
    <row r="248" spans="1:10" ht="13.5" customHeight="1">
      <c r="A248" s="233"/>
      <c r="B248" s="247"/>
      <c r="C248" s="430"/>
      <c r="D248" s="158"/>
      <c r="E248" s="1155"/>
      <c r="F248" s="1180"/>
      <c r="G248" s="1180" t="s">
        <v>19</v>
      </c>
      <c r="H248" s="1180" t="s">
        <v>20</v>
      </c>
      <c r="I248" s="205" t="s">
        <v>19</v>
      </c>
      <c r="J248" s="206" t="s">
        <v>20</v>
      </c>
    </row>
    <row r="249" spans="1:10" ht="26.25" customHeight="1">
      <c r="A249" s="208"/>
      <c r="B249" s="241"/>
      <c r="C249" s="241" t="s">
        <v>180</v>
      </c>
      <c r="D249" s="161" t="s">
        <v>195</v>
      </c>
      <c r="E249" s="241"/>
      <c r="F249" s="242"/>
      <c r="G249" s="242"/>
      <c r="H249" s="242"/>
      <c r="I249" s="214"/>
      <c r="J249" s="227"/>
    </row>
    <row r="250" spans="1:10" ht="15" customHeight="1">
      <c r="A250" s="208" t="s">
        <v>39</v>
      </c>
      <c r="B250" s="241"/>
      <c r="C250" s="1181">
        <v>4823</v>
      </c>
      <c r="D250" s="161" t="str">
        <f>IF(B250="SEPLAG",VLOOKUP(COMPOSIÇÕES!C250,'MAPA COMPARATIVO'!A:B,2,FALSE),VLOOKUP(C250,'NAO DESO'!A:B,2,0))</f>
        <v>MASSA PLASTICA PARA MARMORE/GRANITO</v>
      </c>
      <c r="E250" s="241" t="str">
        <f>VLOOKUP($C250,'NAO DESO'!$A:$D,3,)</f>
        <v xml:space="preserve">KG    </v>
      </c>
      <c r="F250" s="242">
        <v>0.38</v>
      </c>
      <c r="G250" s="242">
        <f>IF(B250="SEPLAG",VLOOKUP(CONCATENATE("MEDIANA - ",C250),COTAÇÃO,5,FALSE),VLOOKUP($C250,'NAO DESO'!$A:$D,4,))</f>
        <v>40.53</v>
      </c>
      <c r="H250" s="242">
        <f t="shared" ref="H250:H256" si="8">TRUNC(F250*G250,2)</f>
        <v>15.4</v>
      </c>
      <c r="I250" s="54" t="str">
        <f>IF(B250="SEPLAG",VLOOKUP(CONCATENATE("MEDIANA - ",C250),COTAÇÃO,5,FALSE),VLOOKUP($C250,DESON!$A:$D,4,))</f>
        <v>40,53</v>
      </c>
      <c r="J250" s="209">
        <f t="shared" ref="J250:J256" si="9">TRUNC(F250*I250,2)</f>
        <v>15.4</v>
      </c>
    </row>
    <row r="251" spans="1:10" s="207" customFormat="1" ht="26.25" customHeight="1">
      <c r="A251" s="208" t="s">
        <v>39</v>
      </c>
      <c r="B251" s="241"/>
      <c r="C251" s="1181">
        <v>7568</v>
      </c>
      <c r="D251" s="161" t="str">
        <f>IF(B251="SEPLAG",VLOOKUP(COMPOSIÇÕES!C251,'MAPA COMPARATIVO'!A:B,2,FALSE),VLOOKUP(C251,'NAO DESO'!A:B,2,0))</f>
        <v>BUCHA DE NYLON SEM ABA S10, COM PARAFUSO DE 6,10 X 65 MM EM ACO ZINCADO COM ROSCA SOBERBA, CABECA CHATA E FENDA PHILLIPS</v>
      </c>
      <c r="E251" s="241" t="str">
        <f>VLOOKUP($C251,'NAO DESO'!$A:$D,3,)</f>
        <v xml:space="preserve">UN    </v>
      </c>
      <c r="F251" s="242">
        <f>F254*3</f>
        <v>6</v>
      </c>
      <c r="G251" s="242">
        <f>IF(B251="SEPLAG",VLOOKUP(CONCATENATE("MEDIANA - ",C251),COTAÇÃO,5,FALSE),VLOOKUP($C251,'NAO DESO'!$A:$D,4,))</f>
        <v>0.61</v>
      </c>
      <c r="H251" s="242">
        <f t="shared" si="8"/>
        <v>3.66</v>
      </c>
      <c r="I251" s="54" t="str">
        <f>IF(B251="SEPLAG",VLOOKUP(CONCATENATE("MEDIANA - ",C251),COTAÇÃO,5,FALSE),VLOOKUP($C251,DESON!$A:$D,4,))</f>
        <v>0,61</v>
      </c>
      <c r="J251" s="209">
        <f t="shared" si="9"/>
        <v>3.66</v>
      </c>
    </row>
    <row r="252" spans="1:10" ht="15" customHeight="1">
      <c r="A252" s="208" t="s">
        <v>39</v>
      </c>
      <c r="B252" s="241"/>
      <c r="C252" s="1181">
        <v>11692</v>
      </c>
      <c r="D252" s="161" t="str">
        <f>IF(B252="SEPLAG",VLOOKUP(COMPOSIÇÕES!C252,'MAPA COMPARATIVO'!A:B,2,FALSE),VLOOKUP(C252,'NAO DESO'!A:B,2,0))</f>
        <v>BANCADA/ BANCA EM MARMORE, POLIDO, BRANCO COMUM, E=  *3* CM</v>
      </c>
      <c r="E252" s="241" t="str">
        <f>VLOOKUP($C252,'NAO DESO'!$A:$D,3,)</f>
        <v xml:space="preserve">M2    </v>
      </c>
      <c r="F252" s="242">
        <f>0.5*0.5</f>
        <v>0.25</v>
      </c>
      <c r="G252" s="242">
        <f>IF(B252="SEPLAG",VLOOKUP(CONCATENATE("MEDIANA - ",C252),COTAÇÃO,5,FALSE),VLOOKUP($C252,'NAO DESO'!$A:$D,4,))</f>
        <v>463.09</v>
      </c>
      <c r="H252" s="242">
        <f t="shared" si="8"/>
        <v>115.77</v>
      </c>
      <c r="I252" s="54" t="str">
        <f>IF(B252="SEPLAG",VLOOKUP(CONCATENATE("MEDIANA - ",C252),COTAÇÃO,5,FALSE),VLOOKUP($C252,DESON!$A:$D,4,))</f>
        <v>463,09</v>
      </c>
      <c r="J252" s="209">
        <f t="shared" si="9"/>
        <v>115.77</v>
      </c>
    </row>
    <row r="253" spans="1:10" ht="15" customHeight="1">
      <c r="A253" s="208" t="s">
        <v>39</v>
      </c>
      <c r="B253" s="241"/>
      <c r="C253" s="1181">
        <v>37329</v>
      </c>
      <c r="D253" s="161" t="str">
        <f>IF(B253="SEPLAG",VLOOKUP(COMPOSIÇÕES!C253,'MAPA COMPARATIVO'!A:B,2,FALSE),VLOOKUP(C253,'NAO DESO'!A:B,2,0))</f>
        <v>REJUNTE EPOXI, QUALQUER COR</v>
      </c>
      <c r="E253" s="241" t="str">
        <f>VLOOKUP($C253,'NAO DESO'!$A:$D,3,)</f>
        <v xml:space="preserve">KG    </v>
      </c>
      <c r="F253" s="242">
        <f>F252*0.04</f>
        <v>0.01</v>
      </c>
      <c r="G253" s="242">
        <f>IF(B253="SEPLAG",VLOOKUP(CONCATENATE("MEDIANA - ",C253),COTAÇÃO,5,FALSE),VLOOKUP($C253,'NAO DESO'!$A:$D,4,))</f>
        <v>101.41</v>
      </c>
      <c r="H253" s="242">
        <f t="shared" si="8"/>
        <v>1.01</v>
      </c>
      <c r="I253" s="54" t="str">
        <f>IF(B253="SEPLAG",VLOOKUP(CONCATENATE("MEDIANA - ",C253),COTAÇÃO,5,FALSE),VLOOKUP($C253,DESON!$A:$D,4,))</f>
        <v>101,41</v>
      </c>
      <c r="J253" s="209">
        <f t="shared" si="9"/>
        <v>1.01</v>
      </c>
    </row>
    <row r="254" spans="1:10" ht="26.25" customHeight="1">
      <c r="A254" s="208" t="s">
        <v>39</v>
      </c>
      <c r="B254" s="241"/>
      <c r="C254" s="1181">
        <v>37590</v>
      </c>
      <c r="D254" s="161" t="str">
        <f>IF(B254="SEPLAG",VLOOKUP(COMPOSIÇÕES!C254,'MAPA COMPARATIVO'!A:B,2,FALSE),VLOOKUP(C254,'NAO DESO'!A:B,2,0))</f>
        <v>SUPORTE MAO-FRANCESA EM ACO, ABAS IGUAIS 30 CM, CAPACIDADE MINIMA 60 KG, BRANCO</v>
      </c>
      <c r="E254" s="241" t="str">
        <f>VLOOKUP($C254,'NAO DESO'!$A:$D,3,)</f>
        <v xml:space="preserve">UN    </v>
      </c>
      <c r="F254" s="242">
        <v>2</v>
      </c>
      <c r="G254" s="242">
        <f>IF(B254="SEPLAG",VLOOKUP(CONCATENATE("MEDIANA - ",C254),COTAÇÃO,5,FALSE),VLOOKUP($C254,'NAO DESO'!$A:$D,4,))</f>
        <v>21.58</v>
      </c>
      <c r="H254" s="242">
        <f t="shared" si="8"/>
        <v>43.16</v>
      </c>
      <c r="I254" s="54" t="str">
        <f>IF(B254="SEPLAG",VLOOKUP(CONCATENATE("MEDIANA - ",C254),COTAÇÃO,5,FALSE),VLOOKUP($C254,DESON!$A:$D,4,))</f>
        <v>21,58</v>
      </c>
      <c r="J254" s="209">
        <f t="shared" si="9"/>
        <v>43.16</v>
      </c>
    </row>
    <row r="255" spans="1:10" ht="15" customHeight="1">
      <c r="A255" s="208" t="s">
        <v>245</v>
      </c>
      <c r="B255" s="241"/>
      <c r="C255" s="1181">
        <v>88274</v>
      </c>
      <c r="D255" s="161" t="str">
        <f>IF(B255="SEPLAG",VLOOKUP(COMPOSIÇÕES!C255,'MAPA COMPARATIVO'!A:B,2,FALSE),VLOOKUP(C255,'NAO DESO'!A:B,2,0))</f>
        <v>MARMORISTA/GRANITEIRO COM ENCARGOS COMPLEMENTARES</v>
      </c>
      <c r="E255" s="241" t="str">
        <f>VLOOKUP($C255,'NAO DESO'!$A:$D,3,)</f>
        <v>H</v>
      </c>
      <c r="F255" s="242">
        <v>1.92</v>
      </c>
      <c r="G255" s="242" t="str">
        <f>IF(B255="SEPLAG",VLOOKUP(CONCATENATE("MEDIANA - ",C255),COTAÇÃO,5,FALSE),VLOOKUP($C255,'NAO DESO'!$A:$D,4,))</f>
        <v>21,02</v>
      </c>
      <c r="H255" s="242">
        <f t="shared" si="8"/>
        <v>40.35</v>
      </c>
      <c r="I255" s="54" t="str">
        <f>IF(B255="SEPLAG",VLOOKUP(CONCATENATE("MEDIANA - ",C255),COTAÇÃO,5,FALSE),VLOOKUP($C255,DESON!$A:$D,4,))</f>
        <v>18,79</v>
      </c>
      <c r="J255" s="209">
        <f t="shared" si="9"/>
        <v>36.07</v>
      </c>
    </row>
    <row r="256" spans="1:10" ht="15" customHeight="1">
      <c r="A256" s="208" t="s">
        <v>245</v>
      </c>
      <c r="B256" s="241"/>
      <c r="C256" s="1181">
        <v>88316</v>
      </c>
      <c r="D256" s="161" t="str">
        <f>IF(B256="SEPLAG",VLOOKUP(COMPOSIÇÕES!C256,'MAPA COMPARATIVO'!A:B,2,FALSE),VLOOKUP(C256,'NAO DESO'!A:B,2,0))</f>
        <v>SERVENTE COM ENCARGOS COMPLEMENTARES</v>
      </c>
      <c r="E256" s="241" t="str">
        <f>VLOOKUP($C256,'NAO DESO'!$A:$D,3,)</f>
        <v>H</v>
      </c>
      <c r="F256" s="242">
        <v>0.98</v>
      </c>
      <c r="G256" s="242" t="str">
        <f>IF(B256="SEPLAG",VLOOKUP(CONCATENATE("MEDIANA - ",C256),COTAÇÃO,5,FALSE),VLOOKUP($C256,'NAO DESO'!$A:$D,4,))</f>
        <v>16,83</v>
      </c>
      <c r="H256" s="242">
        <f t="shared" si="8"/>
        <v>16.489999999999998</v>
      </c>
      <c r="I256" s="54" t="str">
        <f>IF(B256="SEPLAG",VLOOKUP(CONCATENATE("MEDIANA - ",C256),COTAÇÃO,5,FALSE),VLOOKUP($C256,DESON!$A:$D,4,))</f>
        <v>15,16</v>
      </c>
      <c r="J256" s="209">
        <f t="shared" si="9"/>
        <v>14.85</v>
      </c>
    </row>
    <row r="257" spans="1:10" ht="15" customHeight="1">
      <c r="A257" s="210" t="str">
        <f>CONCATENATE("TOTAL DO ITEM NÃO DESON. - ",C247)</f>
        <v>TOTAL DO ITEM NÃO DESON. - SEPLAG ARQ 25</v>
      </c>
      <c r="B257" s="424"/>
      <c r="C257" s="424"/>
      <c r="D257" s="424"/>
      <c r="E257" s="424"/>
      <c r="F257" s="425"/>
      <c r="G257" s="426"/>
      <c r="H257" s="1189">
        <f>SUM(H250:H256)</f>
        <v>235.83999999999997</v>
      </c>
      <c r="I257" s="214"/>
      <c r="J257" s="215"/>
    </row>
    <row r="258" spans="1:10" ht="15.75" customHeight="1" thickBot="1">
      <c r="A258" s="216" t="str">
        <f>CONCATENATE("TOTAL DO ITEM DESON. - ",C247)</f>
        <v>TOTAL DO ITEM DESON. - SEPLAG ARQ 25</v>
      </c>
      <c r="B258" s="427"/>
      <c r="C258" s="427"/>
      <c r="D258" s="427"/>
      <c r="E258" s="427"/>
      <c r="F258" s="428"/>
      <c r="G258" s="429"/>
      <c r="H258" s="1190"/>
      <c r="I258" s="229"/>
      <c r="J258" s="219">
        <f>SUM(J250:J256)</f>
        <v>229.91999999999996</v>
      </c>
    </row>
    <row r="259" spans="1:10" ht="15" customHeight="1" thickBot="1">
      <c r="A259" s="223"/>
      <c r="B259" s="1133"/>
      <c r="C259" s="1133"/>
      <c r="D259" s="1133"/>
      <c r="E259" s="1133"/>
      <c r="F259" s="1185"/>
      <c r="G259" s="1185"/>
      <c r="H259" s="1185"/>
      <c r="I259" s="224"/>
      <c r="J259" s="225"/>
    </row>
    <row r="260" spans="1:10" ht="24.75" customHeight="1">
      <c r="A260" s="198"/>
      <c r="B260" s="1175"/>
      <c r="C260" s="1152" t="s">
        <v>379</v>
      </c>
      <c r="D260" s="152" t="s">
        <v>196</v>
      </c>
      <c r="E260" s="1176" t="s">
        <v>24</v>
      </c>
      <c r="F260" s="1177" t="s">
        <v>18</v>
      </c>
      <c r="G260" s="1178" t="s">
        <v>7017</v>
      </c>
      <c r="H260" s="1179"/>
      <c r="I260" s="200" t="s">
        <v>7016</v>
      </c>
      <c r="J260" s="201"/>
    </row>
    <row r="261" spans="1:10" ht="15.75" customHeight="1">
      <c r="A261" s="233"/>
      <c r="B261" s="247"/>
      <c r="C261" s="430"/>
      <c r="D261" s="158"/>
      <c r="E261" s="1155"/>
      <c r="F261" s="1180"/>
      <c r="G261" s="1180" t="s">
        <v>19</v>
      </c>
      <c r="H261" s="1180" t="s">
        <v>20</v>
      </c>
      <c r="I261" s="205" t="s">
        <v>19</v>
      </c>
      <c r="J261" s="206" t="s">
        <v>20</v>
      </c>
    </row>
    <row r="262" spans="1:10" ht="26.25" customHeight="1">
      <c r="A262" s="208"/>
      <c r="B262" s="241"/>
      <c r="C262" s="241" t="s">
        <v>180</v>
      </c>
      <c r="D262" s="161" t="s">
        <v>195</v>
      </c>
      <c r="E262" s="241"/>
      <c r="F262" s="242"/>
      <c r="G262" s="242"/>
      <c r="H262" s="242"/>
      <c r="I262" s="214"/>
      <c r="J262" s="227"/>
    </row>
    <row r="263" spans="1:10" ht="15" customHeight="1">
      <c r="A263" s="208" t="s">
        <v>39</v>
      </c>
      <c r="B263" s="241"/>
      <c r="C263" s="1181">
        <v>4823</v>
      </c>
      <c r="D263" s="161" t="str">
        <f>IF(B263="SEPLAG",VLOOKUP(COMPOSIÇÕES!C263,'MAPA COMPARATIVO'!A:B,2,FALSE),VLOOKUP(C263,'NAO DESO'!A:B,2,0))</f>
        <v>MASSA PLASTICA PARA MARMORE/GRANITO</v>
      </c>
      <c r="E263" s="241" t="str">
        <f>VLOOKUP($C263,'NAO DESO'!$A:$D,3,)</f>
        <v xml:space="preserve">KG    </v>
      </c>
      <c r="F263" s="242">
        <v>0.38</v>
      </c>
      <c r="G263" s="242">
        <f>IF(B263="SEPLAG",VLOOKUP(CONCATENATE("MEDIANA - ",C263),COTAÇÃO,5,FALSE),VLOOKUP($C263,'NAO DESO'!$A:$D,4,))</f>
        <v>40.53</v>
      </c>
      <c r="H263" s="242">
        <f t="shared" ref="H263:H269" si="10">TRUNC(F263*G263,2)</f>
        <v>15.4</v>
      </c>
      <c r="I263" s="54" t="str">
        <f>IF(B263="SEPLAG",VLOOKUP(CONCATENATE("MEDIANA - ",C263),COTAÇÃO,5,FALSE),VLOOKUP($C263,DESON!$A:$D,4,))</f>
        <v>40,53</v>
      </c>
      <c r="J263" s="209">
        <f t="shared" ref="J263:J269" si="11">TRUNC(F263*I263,2)</f>
        <v>15.4</v>
      </c>
    </row>
    <row r="264" spans="1:10" ht="26.25" customHeight="1">
      <c r="A264" s="208" t="s">
        <v>39</v>
      </c>
      <c r="B264" s="241"/>
      <c r="C264" s="1181">
        <v>7568</v>
      </c>
      <c r="D264" s="161" t="str">
        <f>IF(B264="SEPLAG",VLOOKUP(COMPOSIÇÕES!C264,'MAPA COMPARATIVO'!A:B,2,FALSE),VLOOKUP(C264,'NAO DESO'!A:B,2,0))</f>
        <v>BUCHA DE NYLON SEM ABA S10, COM PARAFUSO DE 6,10 X 65 MM EM ACO ZINCADO COM ROSCA SOBERBA, CABECA CHATA E FENDA PHILLIPS</v>
      </c>
      <c r="E264" s="241" t="str">
        <f>VLOOKUP($C264,'NAO DESO'!$A:$D,3,)</f>
        <v xml:space="preserve">UN    </v>
      </c>
      <c r="F264" s="242">
        <f>F267*3</f>
        <v>6</v>
      </c>
      <c r="G264" s="242">
        <f>IF(B264="SEPLAG",VLOOKUP(CONCATENATE("MEDIANA - ",C264),COTAÇÃO,5,FALSE),VLOOKUP($C264,'NAO DESO'!$A:$D,4,))</f>
        <v>0.61</v>
      </c>
      <c r="H264" s="242">
        <f t="shared" si="10"/>
        <v>3.66</v>
      </c>
      <c r="I264" s="54" t="str">
        <f>IF(B264="SEPLAG",VLOOKUP(CONCATENATE("MEDIANA - ",C264),COTAÇÃO,5,FALSE),VLOOKUP($C264,DESON!$A:$D,4,))</f>
        <v>0,61</v>
      </c>
      <c r="J264" s="209">
        <f t="shared" si="11"/>
        <v>3.66</v>
      </c>
    </row>
    <row r="265" spans="1:10" ht="15" customHeight="1">
      <c r="A265" s="208" t="s">
        <v>39</v>
      </c>
      <c r="B265" s="241"/>
      <c r="C265" s="1181">
        <v>11692</v>
      </c>
      <c r="D265" s="161" t="str">
        <f>IF(B265="SEPLAG",VLOOKUP(COMPOSIÇÕES!C265,'MAPA COMPARATIVO'!A:B,2,FALSE),VLOOKUP(C265,'NAO DESO'!A:B,2,0))</f>
        <v>BANCADA/ BANCA EM MARMORE, POLIDO, BRANCO COMUM, E=  *3* CM</v>
      </c>
      <c r="E265" s="241" t="str">
        <f>VLOOKUP($C265,'NAO DESO'!$A:$D,3,)</f>
        <v xml:space="preserve">M2    </v>
      </c>
      <c r="F265" s="242">
        <f>1*0.5</f>
        <v>0.5</v>
      </c>
      <c r="G265" s="242">
        <f>IF(B265="SEPLAG",VLOOKUP(CONCATENATE("MEDIANA - ",C265),COTAÇÃO,5,FALSE),VLOOKUP($C265,'NAO DESO'!$A:$D,4,))</f>
        <v>463.09</v>
      </c>
      <c r="H265" s="242">
        <f t="shared" si="10"/>
        <v>231.54</v>
      </c>
      <c r="I265" s="54" t="str">
        <f>IF(B265="SEPLAG",VLOOKUP(CONCATENATE("MEDIANA - ",C265),COTAÇÃO,5,FALSE),VLOOKUP($C265,DESON!$A:$D,4,))</f>
        <v>463,09</v>
      </c>
      <c r="J265" s="209">
        <f t="shared" si="11"/>
        <v>231.54</v>
      </c>
    </row>
    <row r="266" spans="1:10" ht="15" customHeight="1">
      <c r="A266" s="208" t="s">
        <v>39</v>
      </c>
      <c r="B266" s="241"/>
      <c r="C266" s="1181">
        <v>37329</v>
      </c>
      <c r="D266" s="161" t="str">
        <f>IF(B266="SEPLAG",VLOOKUP(COMPOSIÇÕES!C266,'MAPA COMPARATIVO'!A:B,2,FALSE),VLOOKUP(C266,'NAO DESO'!A:B,2,0))</f>
        <v>REJUNTE EPOXI, QUALQUER COR</v>
      </c>
      <c r="E266" s="241" t="str">
        <f>VLOOKUP($C266,'NAO DESO'!$A:$D,3,)</f>
        <v xml:space="preserve">KG    </v>
      </c>
      <c r="F266" s="242">
        <f>F265*0.04</f>
        <v>0.02</v>
      </c>
      <c r="G266" s="242">
        <f>IF(B266="SEPLAG",VLOOKUP(CONCATENATE("MEDIANA - ",C266),COTAÇÃO,5,FALSE),VLOOKUP($C266,'NAO DESO'!$A:$D,4,))</f>
        <v>101.41</v>
      </c>
      <c r="H266" s="242">
        <f t="shared" si="10"/>
        <v>2.02</v>
      </c>
      <c r="I266" s="54" t="str">
        <f>IF(B266="SEPLAG",VLOOKUP(CONCATENATE("MEDIANA - ",C266),COTAÇÃO,5,FALSE),VLOOKUP($C266,DESON!$A:$D,4,))</f>
        <v>101,41</v>
      </c>
      <c r="J266" s="209">
        <f t="shared" si="11"/>
        <v>2.02</v>
      </c>
    </row>
    <row r="267" spans="1:10" ht="26.25" customHeight="1">
      <c r="A267" s="208" t="s">
        <v>39</v>
      </c>
      <c r="B267" s="241"/>
      <c r="C267" s="1181">
        <v>37590</v>
      </c>
      <c r="D267" s="161" t="str">
        <f>IF(B267="SEPLAG",VLOOKUP(COMPOSIÇÕES!C267,'MAPA COMPARATIVO'!A:B,2,FALSE),VLOOKUP(C267,'NAO DESO'!A:B,2,0))</f>
        <v>SUPORTE MAO-FRANCESA EM ACO, ABAS IGUAIS 30 CM, CAPACIDADE MINIMA 60 KG, BRANCO</v>
      </c>
      <c r="E267" s="241" t="str">
        <f>VLOOKUP($C267,'NAO DESO'!$A:$D,3,)</f>
        <v xml:space="preserve">UN    </v>
      </c>
      <c r="F267" s="242">
        <v>2</v>
      </c>
      <c r="G267" s="242">
        <f>IF(B267="SEPLAG",VLOOKUP(CONCATENATE("MEDIANA - ",C267),COTAÇÃO,5,FALSE),VLOOKUP($C267,'NAO DESO'!$A:$D,4,))</f>
        <v>21.58</v>
      </c>
      <c r="H267" s="242">
        <f t="shared" si="10"/>
        <v>43.16</v>
      </c>
      <c r="I267" s="54" t="str">
        <f>IF(B267="SEPLAG",VLOOKUP(CONCATENATE("MEDIANA - ",C267),COTAÇÃO,5,FALSE),VLOOKUP($C267,DESON!$A:$D,4,))</f>
        <v>21,58</v>
      </c>
      <c r="J267" s="209">
        <f t="shared" si="11"/>
        <v>43.16</v>
      </c>
    </row>
    <row r="268" spans="1:10" ht="15" customHeight="1">
      <c r="A268" s="208" t="s">
        <v>245</v>
      </c>
      <c r="B268" s="241"/>
      <c r="C268" s="1181">
        <v>88274</v>
      </c>
      <c r="D268" s="161" t="str">
        <f>IF(B268="SEPLAG",VLOOKUP(COMPOSIÇÕES!C268,'MAPA COMPARATIVO'!A:B,2,FALSE),VLOOKUP(C268,'NAO DESO'!A:B,2,0))</f>
        <v>MARMORISTA/GRANITEIRO COM ENCARGOS COMPLEMENTARES</v>
      </c>
      <c r="E268" s="241" t="str">
        <f>VLOOKUP($C268,'NAO DESO'!$A:$D,3,)</f>
        <v>H</v>
      </c>
      <c r="F268" s="242">
        <v>1.92</v>
      </c>
      <c r="G268" s="242" t="str">
        <f>IF(B268="SEPLAG",VLOOKUP(CONCATENATE("MEDIANA - ",C268),COTAÇÃO,5,FALSE),VLOOKUP($C268,'NAO DESO'!$A:$D,4,))</f>
        <v>21,02</v>
      </c>
      <c r="H268" s="242">
        <f t="shared" si="10"/>
        <v>40.35</v>
      </c>
      <c r="I268" s="54" t="str">
        <f>IF(B268="SEPLAG",VLOOKUP(CONCATENATE("MEDIANA - ",C268),COTAÇÃO,5,FALSE),VLOOKUP($C268,DESON!$A:$D,4,))</f>
        <v>18,79</v>
      </c>
      <c r="J268" s="209">
        <f t="shared" si="11"/>
        <v>36.07</v>
      </c>
    </row>
    <row r="269" spans="1:10" ht="15" customHeight="1">
      <c r="A269" s="208" t="s">
        <v>245</v>
      </c>
      <c r="B269" s="241"/>
      <c r="C269" s="1181">
        <v>88316</v>
      </c>
      <c r="D269" s="161" t="str">
        <f>IF(B269="SEPLAG",VLOOKUP(COMPOSIÇÕES!C269,'MAPA COMPARATIVO'!A:B,2,FALSE),VLOOKUP(C269,'NAO DESO'!A:B,2,0))</f>
        <v>SERVENTE COM ENCARGOS COMPLEMENTARES</v>
      </c>
      <c r="E269" s="241" t="str">
        <f>VLOOKUP($C269,'NAO DESO'!$A:$D,3,)</f>
        <v>H</v>
      </c>
      <c r="F269" s="242">
        <v>0.98</v>
      </c>
      <c r="G269" s="242" t="str">
        <f>IF(B269="SEPLAG",VLOOKUP(CONCATENATE("MEDIANA - ",C269),COTAÇÃO,5,FALSE),VLOOKUP($C269,'NAO DESO'!$A:$D,4,))</f>
        <v>16,83</v>
      </c>
      <c r="H269" s="242">
        <f t="shared" si="10"/>
        <v>16.489999999999998</v>
      </c>
      <c r="I269" s="54" t="str">
        <f>IF(B269="SEPLAG",VLOOKUP(CONCATENATE("MEDIANA - ",C269),COTAÇÃO,5,FALSE),VLOOKUP($C269,DESON!$A:$D,4,))</f>
        <v>15,16</v>
      </c>
      <c r="J269" s="209">
        <f t="shared" si="11"/>
        <v>14.85</v>
      </c>
    </row>
    <row r="270" spans="1:10" s="207" customFormat="1" ht="15" customHeight="1">
      <c r="A270" s="210" t="str">
        <f>CONCATENATE("TOTAL DO ITEM NÃO DESON. - ",C260)</f>
        <v>TOTAL DO ITEM NÃO DESON. - SEPLAG ARQ 26</v>
      </c>
      <c r="B270" s="424"/>
      <c r="C270" s="424"/>
      <c r="D270" s="424"/>
      <c r="E270" s="424"/>
      <c r="F270" s="425"/>
      <c r="G270" s="426"/>
      <c r="H270" s="1189">
        <f>SUM(H263:H269)</f>
        <v>352.62</v>
      </c>
      <c r="I270" s="214"/>
      <c r="J270" s="239"/>
    </row>
    <row r="271" spans="1:10" s="207" customFormat="1" ht="15.75" customHeight="1" thickBot="1">
      <c r="A271" s="216" t="str">
        <f>CONCATENATE("TOTAL DO ITEM DESON. - ",C260)</f>
        <v>TOTAL DO ITEM DESON. - SEPLAG ARQ 26</v>
      </c>
      <c r="B271" s="427"/>
      <c r="C271" s="427"/>
      <c r="D271" s="427"/>
      <c r="E271" s="427"/>
      <c r="F271" s="428"/>
      <c r="G271" s="429"/>
      <c r="H271" s="1190"/>
      <c r="I271" s="229"/>
      <c r="J271" s="219">
        <f>SUM(J263:J269)</f>
        <v>346.7</v>
      </c>
    </row>
    <row r="272" spans="1:10" ht="15" customHeight="1" thickBot="1">
      <c r="A272" s="223"/>
      <c r="B272" s="1133"/>
      <c r="C272" s="1133"/>
      <c r="D272" s="1133"/>
      <c r="E272" s="1133"/>
      <c r="F272" s="1185"/>
      <c r="G272" s="1185"/>
      <c r="H272" s="1185"/>
      <c r="I272" s="224"/>
      <c r="J272" s="225"/>
    </row>
    <row r="273" spans="1:10" ht="26.25" customHeight="1">
      <c r="A273" s="198"/>
      <c r="B273" s="1175"/>
      <c r="C273" s="1152" t="s">
        <v>380</v>
      </c>
      <c r="D273" s="152" t="s">
        <v>197</v>
      </c>
      <c r="E273" s="1176" t="s">
        <v>24</v>
      </c>
      <c r="F273" s="1177" t="s">
        <v>18</v>
      </c>
      <c r="G273" s="1178" t="s">
        <v>7017</v>
      </c>
      <c r="H273" s="1179"/>
      <c r="I273" s="200" t="s">
        <v>7016</v>
      </c>
      <c r="J273" s="201"/>
    </row>
    <row r="274" spans="1:10" ht="15" customHeight="1">
      <c r="A274" s="233"/>
      <c r="B274" s="247"/>
      <c r="C274" s="430"/>
      <c r="D274" s="158"/>
      <c r="E274" s="1155"/>
      <c r="F274" s="1180"/>
      <c r="G274" s="1180" t="s">
        <v>19</v>
      </c>
      <c r="H274" s="1180" t="s">
        <v>20</v>
      </c>
      <c r="I274" s="205" t="s">
        <v>19</v>
      </c>
      <c r="J274" s="206" t="s">
        <v>20</v>
      </c>
    </row>
    <row r="275" spans="1:10" ht="26.25" customHeight="1">
      <c r="A275" s="208"/>
      <c r="B275" s="241"/>
      <c r="C275" s="241" t="s">
        <v>180</v>
      </c>
      <c r="D275" s="161" t="s">
        <v>195</v>
      </c>
      <c r="E275" s="241"/>
      <c r="F275" s="242"/>
      <c r="G275" s="242"/>
      <c r="H275" s="242"/>
      <c r="I275" s="214"/>
      <c r="J275" s="227"/>
    </row>
    <row r="276" spans="1:10" ht="15" customHeight="1">
      <c r="A276" s="208" t="s">
        <v>39</v>
      </c>
      <c r="B276" s="241"/>
      <c r="C276" s="1181">
        <v>4823</v>
      </c>
      <c r="D276" s="161" t="str">
        <f>IF(B276="SEPLAG",VLOOKUP(COMPOSIÇÕES!C276,'MAPA COMPARATIVO'!A:B,2,FALSE),VLOOKUP(C276,'NAO DESO'!A:B,2,0))</f>
        <v>MASSA PLASTICA PARA MARMORE/GRANITO</v>
      </c>
      <c r="E276" s="241" t="str">
        <f>VLOOKUP($C276,'NAO DESO'!$A:$D,3,)</f>
        <v xml:space="preserve">KG    </v>
      </c>
      <c r="F276" s="242">
        <v>0.38</v>
      </c>
      <c r="G276" s="242">
        <f>IF(B276="SEPLAG",VLOOKUP(CONCATENATE("MEDIANA - ",C276),COTAÇÃO,5,FALSE),VLOOKUP($C276,'NAO DESO'!$A:$D,4,))</f>
        <v>40.53</v>
      </c>
      <c r="H276" s="242">
        <f t="shared" ref="H276:H282" si="12">TRUNC(F276*G276,2)</f>
        <v>15.4</v>
      </c>
      <c r="I276" s="54" t="str">
        <f>IF(B276="SEPLAG",VLOOKUP(CONCATENATE("MEDIANA - ",C276),COTAÇÃO,5,FALSE),VLOOKUP($C276,DESON!$A:$D,4,))</f>
        <v>40,53</v>
      </c>
      <c r="J276" s="209">
        <f t="shared" ref="J276:J282" si="13">TRUNC(F276*I276,2)</f>
        <v>15.4</v>
      </c>
    </row>
    <row r="277" spans="1:10" ht="26.25" customHeight="1">
      <c r="A277" s="208" t="s">
        <v>39</v>
      </c>
      <c r="B277" s="241"/>
      <c r="C277" s="1181">
        <v>7568</v>
      </c>
      <c r="D277" s="161" t="str">
        <f>IF(B277="SEPLAG",VLOOKUP(COMPOSIÇÕES!C277,'MAPA COMPARATIVO'!A:B,2,FALSE),VLOOKUP(C277,'NAO DESO'!A:B,2,0))</f>
        <v>BUCHA DE NYLON SEM ABA S10, COM PARAFUSO DE 6,10 X 65 MM EM ACO ZINCADO COM ROSCA SOBERBA, CABECA CHATA E FENDA PHILLIPS</v>
      </c>
      <c r="E277" s="241" t="str">
        <f>VLOOKUP($C277,'NAO DESO'!$A:$D,3,)</f>
        <v xml:space="preserve">UN    </v>
      </c>
      <c r="F277" s="242">
        <f>F280*3</f>
        <v>9</v>
      </c>
      <c r="G277" s="242">
        <f>IF(B277="SEPLAG",VLOOKUP(CONCATENATE("MEDIANA - ",C277),COTAÇÃO,5,FALSE),VLOOKUP($C277,'NAO DESO'!$A:$D,4,))</f>
        <v>0.61</v>
      </c>
      <c r="H277" s="242">
        <f t="shared" si="12"/>
        <v>5.49</v>
      </c>
      <c r="I277" s="54" t="str">
        <f>IF(B277="SEPLAG",VLOOKUP(CONCATENATE("MEDIANA - ",C277),COTAÇÃO,5,FALSE),VLOOKUP($C277,DESON!$A:$D,4,))</f>
        <v>0,61</v>
      </c>
      <c r="J277" s="209">
        <f t="shared" si="13"/>
        <v>5.49</v>
      </c>
    </row>
    <row r="278" spans="1:10" ht="15" customHeight="1">
      <c r="A278" s="208" t="s">
        <v>39</v>
      </c>
      <c r="B278" s="241"/>
      <c r="C278" s="1181">
        <v>11692</v>
      </c>
      <c r="D278" s="161" t="str">
        <f>IF(B278="SEPLAG",VLOOKUP(COMPOSIÇÕES!C278,'MAPA COMPARATIVO'!A:B,2,FALSE),VLOOKUP(C278,'NAO DESO'!A:B,2,0))</f>
        <v>BANCADA/ BANCA EM MARMORE, POLIDO, BRANCO COMUM, E=  *3* CM</v>
      </c>
      <c r="E278" s="241" t="str">
        <f>VLOOKUP($C278,'NAO DESO'!$A:$D,3,)</f>
        <v xml:space="preserve">M2    </v>
      </c>
      <c r="F278" s="242">
        <f>2.05*0.6</f>
        <v>1.2299999999999998</v>
      </c>
      <c r="G278" s="242">
        <f>IF(B278="SEPLAG",VLOOKUP(CONCATENATE("MEDIANA - ",C278),COTAÇÃO,5,FALSE),VLOOKUP($C278,'NAO DESO'!$A:$D,4,))</f>
        <v>463.09</v>
      </c>
      <c r="H278" s="242">
        <f t="shared" si="12"/>
        <v>569.6</v>
      </c>
      <c r="I278" s="54" t="str">
        <f>IF(B278="SEPLAG",VLOOKUP(CONCATENATE("MEDIANA - ",C278),COTAÇÃO,5,FALSE),VLOOKUP($C278,DESON!$A:$D,4,))</f>
        <v>463,09</v>
      </c>
      <c r="J278" s="209">
        <f t="shared" si="13"/>
        <v>569.6</v>
      </c>
    </row>
    <row r="279" spans="1:10" ht="15" customHeight="1">
      <c r="A279" s="208" t="s">
        <v>39</v>
      </c>
      <c r="B279" s="241"/>
      <c r="C279" s="1181">
        <v>37329</v>
      </c>
      <c r="D279" s="161" t="str">
        <f>IF(B279="SEPLAG",VLOOKUP(COMPOSIÇÕES!C279,'MAPA COMPARATIVO'!A:B,2,FALSE),VLOOKUP(C279,'NAO DESO'!A:B,2,0))</f>
        <v>REJUNTE EPOXI, QUALQUER COR</v>
      </c>
      <c r="E279" s="241" t="str">
        <f>VLOOKUP($C279,'NAO DESO'!$A:$D,3,)</f>
        <v xml:space="preserve">KG    </v>
      </c>
      <c r="F279" s="242">
        <f>F278*0.04</f>
        <v>4.9199999999999994E-2</v>
      </c>
      <c r="G279" s="242">
        <f>IF(B279="SEPLAG",VLOOKUP(CONCATENATE("MEDIANA - ",C279),COTAÇÃO,5,FALSE),VLOOKUP($C279,'NAO DESO'!$A:$D,4,))</f>
        <v>101.41</v>
      </c>
      <c r="H279" s="242">
        <f t="shared" si="12"/>
        <v>4.9800000000000004</v>
      </c>
      <c r="I279" s="54" t="str">
        <f>IF(B279="SEPLAG",VLOOKUP(CONCATENATE("MEDIANA - ",C279),COTAÇÃO,5,FALSE),VLOOKUP($C279,DESON!$A:$D,4,))</f>
        <v>101,41</v>
      </c>
      <c r="J279" s="209">
        <f t="shared" si="13"/>
        <v>4.9800000000000004</v>
      </c>
    </row>
    <row r="280" spans="1:10" ht="26.25" customHeight="1">
      <c r="A280" s="208" t="s">
        <v>39</v>
      </c>
      <c r="B280" s="241"/>
      <c r="C280" s="1181">
        <v>37590</v>
      </c>
      <c r="D280" s="161" t="str">
        <f>IF(B280="SEPLAG",VLOOKUP(COMPOSIÇÕES!C280,'MAPA COMPARATIVO'!A:B,2,FALSE),VLOOKUP(C280,'NAO DESO'!A:B,2,0))</f>
        <v>SUPORTE MAO-FRANCESA EM ACO, ABAS IGUAIS 30 CM, CAPACIDADE MINIMA 60 KG, BRANCO</v>
      </c>
      <c r="E280" s="241" t="str">
        <f>VLOOKUP($C280,'NAO DESO'!$A:$D,3,)</f>
        <v xml:space="preserve">UN    </v>
      </c>
      <c r="F280" s="242">
        <v>3</v>
      </c>
      <c r="G280" s="242">
        <f>IF(B280="SEPLAG",VLOOKUP(CONCATENATE("MEDIANA - ",C280),COTAÇÃO,5,FALSE),VLOOKUP($C280,'NAO DESO'!$A:$D,4,))</f>
        <v>21.58</v>
      </c>
      <c r="H280" s="242">
        <f t="shared" si="12"/>
        <v>64.739999999999995</v>
      </c>
      <c r="I280" s="54" t="str">
        <f>IF(B280="SEPLAG",VLOOKUP(CONCATENATE("MEDIANA - ",C280),COTAÇÃO,5,FALSE),VLOOKUP($C280,DESON!$A:$D,4,))</f>
        <v>21,58</v>
      </c>
      <c r="J280" s="209">
        <f t="shared" si="13"/>
        <v>64.739999999999995</v>
      </c>
    </row>
    <row r="281" spans="1:10" ht="15" customHeight="1">
      <c r="A281" s="208" t="s">
        <v>245</v>
      </c>
      <c r="B281" s="241"/>
      <c r="C281" s="1181">
        <v>88274</v>
      </c>
      <c r="D281" s="161" t="str">
        <f>IF(B281="SEPLAG",VLOOKUP(COMPOSIÇÕES!C281,'MAPA COMPARATIVO'!A:B,2,FALSE),VLOOKUP(C281,'NAO DESO'!A:B,2,0))</f>
        <v>MARMORISTA/GRANITEIRO COM ENCARGOS COMPLEMENTARES</v>
      </c>
      <c r="E281" s="241" t="str">
        <f>VLOOKUP($C281,'NAO DESO'!$A:$D,3,)</f>
        <v>H</v>
      </c>
      <c r="F281" s="242">
        <f>1.9209*1.5</f>
        <v>2.8813500000000003</v>
      </c>
      <c r="G281" s="242" t="str">
        <f>IF(B281="SEPLAG",VLOOKUP(CONCATENATE("MEDIANA - ",C281),COTAÇÃO,5,FALSE),VLOOKUP($C281,'NAO DESO'!$A:$D,4,))</f>
        <v>21,02</v>
      </c>
      <c r="H281" s="242">
        <f t="shared" si="12"/>
        <v>60.56</v>
      </c>
      <c r="I281" s="54" t="str">
        <f>IF(B281="SEPLAG",VLOOKUP(CONCATENATE("MEDIANA - ",C281),COTAÇÃO,5,FALSE),VLOOKUP($C281,DESON!$A:$D,4,))</f>
        <v>18,79</v>
      </c>
      <c r="J281" s="209">
        <f t="shared" si="13"/>
        <v>54.14</v>
      </c>
    </row>
    <row r="282" spans="1:10" ht="15" customHeight="1">
      <c r="A282" s="208" t="s">
        <v>245</v>
      </c>
      <c r="B282" s="241"/>
      <c r="C282" s="1181">
        <v>88316</v>
      </c>
      <c r="D282" s="161" t="str">
        <f>IF(B282="SEPLAG",VLOOKUP(COMPOSIÇÕES!C282,'MAPA COMPARATIVO'!A:B,2,FALSE),VLOOKUP(C282,'NAO DESO'!A:B,2,0))</f>
        <v>SERVENTE COM ENCARGOS COMPLEMENTARES</v>
      </c>
      <c r="E282" s="241" t="str">
        <f>VLOOKUP($C282,'NAO DESO'!$A:$D,3,)</f>
        <v>H</v>
      </c>
      <c r="F282" s="242">
        <f>0.9811*1.5</f>
        <v>1.4716499999999999</v>
      </c>
      <c r="G282" s="242" t="str">
        <f>IF(B282="SEPLAG",VLOOKUP(CONCATENATE("MEDIANA - ",C282),COTAÇÃO,5,FALSE),VLOOKUP($C282,'NAO DESO'!$A:$D,4,))</f>
        <v>16,83</v>
      </c>
      <c r="H282" s="242">
        <f t="shared" si="12"/>
        <v>24.76</v>
      </c>
      <c r="I282" s="54" t="str">
        <f>IF(B282="SEPLAG",VLOOKUP(CONCATENATE("MEDIANA - ",C282),COTAÇÃO,5,FALSE),VLOOKUP($C282,DESON!$A:$D,4,))</f>
        <v>15,16</v>
      </c>
      <c r="J282" s="209">
        <f t="shared" si="13"/>
        <v>22.31</v>
      </c>
    </row>
    <row r="283" spans="1:10" ht="15" customHeight="1">
      <c r="A283" s="210" t="str">
        <f>CONCATENATE("TOTAL DO ITEM NÃO DESON. - ",C273)</f>
        <v>TOTAL DO ITEM NÃO DESON. - SEPLAG ARQ 27</v>
      </c>
      <c r="B283" s="424"/>
      <c r="C283" s="424"/>
      <c r="D283" s="424"/>
      <c r="E283" s="424"/>
      <c r="F283" s="425"/>
      <c r="G283" s="426"/>
      <c r="H283" s="1189">
        <f>SUM(H276:H282)</f>
        <v>745.53</v>
      </c>
      <c r="I283" s="214"/>
      <c r="J283" s="215"/>
    </row>
    <row r="284" spans="1:10" ht="15.75" customHeight="1" thickBot="1">
      <c r="A284" s="216" t="str">
        <f>CONCATENATE("TOTAL DO ITEM DESON. - ",C273)</f>
        <v>TOTAL DO ITEM DESON. - SEPLAG ARQ 27</v>
      </c>
      <c r="B284" s="427"/>
      <c r="C284" s="427"/>
      <c r="D284" s="427"/>
      <c r="E284" s="427"/>
      <c r="F284" s="428"/>
      <c r="G284" s="429"/>
      <c r="H284" s="1190"/>
      <c r="I284" s="229"/>
      <c r="J284" s="219">
        <f>SUM(J276:J282)</f>
        <v>736.66</v>
      </c>
    </row>
    <row r="285" spans="1:10" ht="15" customHeight="1" thickBot="1">
      <c r="A285" s="223"/>
      <c r="B285" s="1133"/>
      <c r="C285" s="1133"/>
      <c r="D285" s="1133"/>
      <c r="E285" s="1133"/>
      <c r="F285" s="1185"/>
      <c r="G285" s="1185"/>
      <c r="H285" s="1185"/>
      <c r="I285" s="224"/>
      <c r="J285" s="225"/>
    </row>
    <row r="286" spans="1:10" ht="26.25" customHeight="1">
      <c r="A286" s="198"/>
      <c r="B286" s="1175"/>
      <c r="C286" s="1152" t="s">
        <v>381</v>
      </c>
      <c r="D286" s="152" t="s">
        <v>198</v>
      </c>
      <c r="E286" s="1176" t="s">
        <v>24</v>
      </c>
      <c r="F286" s="1177" t="s">
        <v>18</v>
      </c>
      <c r="G286" s="1178" t="s">
        <v>7017</v>
      </c>
      <c r="H286" s="1179"/>
      <c r="I286" s="200" t="s">
        <v>7016</v>
      </c>
      <c r="J286" s="201"/>
    </row>
    <row r="287" spans="1:10" ht="12" customHeight="1">
      <c r="A287" s="233"/>
      <c r="B287" s="247"/>
      <c r="C287" s="430"/>
      <c r="D287" s="158"/>
      <c r="E287" s="1155"/>
      <c r="F287" s="1180"/>
      <c r="G287" s="1180" t="s">
        <v>19</v>
      </c>
      <c r="H287" s="1180" t="s">
        <v>20</v>
      </c>
      <c r="I287" s="205" t="s">
        <v>19</v>
      </c>
      <c r="J287" s="206" t="s">
        <v>20</v>
      </c>
    </row>
    <row r="288" spans="1:10" ht="26.25" customHeight="1">
      <c r="A288" s="208"/>
      <c r="B288" s="241"/>
      <c r="C288" s="241" t="s">
        <v>180</v>
      </c>
      <c r="D288" s="161" t="s">
        <v>195</v>
      </c>
      <c r="E288" s="241"/>
      <c r="F288" s="242"/>
      <c r="G288" s="242"/>
      <c r="H288" s="242"/>
      <c r="I288" s="214"/>
      <c r="J288" s="227"/>
    </row>
    <row r="289" spans="1:10" ht="35.25" customHeight="1">
      <c r="A289" s="208" t="s">
        <v>39</v>
      </c>
      <c r="B289" s="241"/>
      <c r="C289" s="1181">
        <v>4823</v>
      </c>
      <c r="D289" s="161" t="str">
        <f>IF(B289="SEPLAG",VLOOKUP(COMPOSIÇÕES!C289,'MAPA COMPARATIVO'!A:B,2,FALSE),VLOOKUP(C289,'NAO DESO'!A:B,2,0))</f>
        <v>MASSA PLASTICA PARA MARMORE/GRANITO</v>
      </c>
      <c r="E289" s="241" t="str">
        <f>VLOOKUP($C289,'NAO DESO'!$A:$D,3,)</f>
        <v xml:space="preserve">KG    </v>
      </c>
      <c r="F289" s="242">
        <v>0.38</v>
      </c>
      <c r="G289" s="242">
        <f>IF(B289="SEPLAG",VLOOKUP(CONCATENATE("MEDIANA - ",C289),COTAÇÃO,5,FALSE),VLOOKUP($C289,'NAO DESO'!$A:$D,4,))</f>
        <v>40.53</v>
      </c>
      <c r="H289" s="242">
        <f t="shared" ref="H289:H295" si="14">TRUNC(F289*G289,2)</f>
        <v>15.4</v>
      </c>
      <c r="I289" s="54" t="str">
        <f>IF(B289="SEPLAG",VLOOKUP(CONCATENATE("MEDIANA - ",C289),COTAÇÃO,5,FALSE),VLOOKUP($C289,DESON!$A:$D,4,))</f>
        <v>40,53</v>
      </c>
      <c r="J289" s="209">
        <f t="shared" ref="J289:J295" si="15">TRUNC(F289*I289,2)</f>
        <v>15.4</v>
      </c>
    </row>
    <row r="290" spans="1:10" ht="26.25" customHeight="1">
      <c r="A290" s="208" t="s">
        <v>39</v>
      </c>
      <c r="B290" s="241"/>
      <c r="C290" s="1181">
        <v>7568</v>
      </c>
      <c r="D290" s="161" t="str">
        <f>IF(B290="SEPLAG",VLOOKUP(COMPOSIÇÕES!C290,'MAPA COMPARATIVO'!A:B,2,FALSE),VLOOKUP(C290,'NAO DESO'!A:B,2,0))</f>
        <v>BUCHA DE NYLON SEM ABA S10, COM PARAFUSO DE 6,10 X 65 MM EM ACO ZINCADO COM ROSCA SOBERBA, CABECA CHATA E FENDA PHILLIPS</v>
      </c>
      <c r="E290" s="241" t="str">
        <f>VLOOKUP($C290,'NAO DESO'!$A:$D,3,)</f>
        <v xml:space="preserve">UN    </v>
      </c>
      <c r="F290" s="242">
        <f>F293*3</f>
        <v>9</v>
      </c>
      <c r="G290" s="242">
        <f>IF(B290="SEPLAG",VLOOKUP(CONCATENATE("MEDIANA - ",C290),COTAÇÃO,5,FALSE),VLOOKUP($C290,'NAO DESO'!$A:$D,4,))</f>
        <v>0.61</v>
      </c>
      <c r="H290" s="242">
        <f t="shared" si="14"/>
        <v>5.49</v>
      </c>
      <c r="I290" s="54" t="str">
        <f>IF(B290="SEPLAG",VLOOKUP(CONCATENATE("MEDIANA - ",C290),COTAÇÃO,5,FALSE),VLOOKUP($C290,DESON!$A:$D,4,))</f>
        <v>0,61</v>
      </c>
      <c r="J290" s="209">
        <f t="shared" si="15"/>
        <v>5.49</v>
      </c>
    </row>
    <row r="291" spans="1:10" ht="15" customHeight="1">
      <c r="A291" s="208" t="s">
        <v>39</v>
      </c>
      <c r="B291" s="241"/>
      <c r="C291" s="1181">
        <v>11692</v>
      </c>
      <c r="D291" s="161" t="str">
        <f>IF(B291="SEPLAG",VLOOKUP(COMPOSIÇÕES!C291,'MAPA COMPARATIVO'!A:B,2,FALSE),VLOOKUP(C291,'NAO DESO'!A:B,2,0))</f>
        <v>BANCADA/ BANCA EM MARMORE, POLIDO, BRANCO COMUM, E=  *3* CM</v>
      </c>
      <c r="E291" s="241" t="str">
        <f>VLOOKUP($C291,'NAO DESO'!$A:$D,3,)</f>
        <v xml:space="preserve">M2    </v>
      </c>
      <c r="F291" s="242">
        <f>1.9*0.6</f>
        <v>1.1399999999999999</v>
      </c>
      <c r="G291" s="242">
        <f>IF(B291="SEPLAG",VLOOKUP(CONCATENATE("MEDIANA - ",C291),COTAÇÃO,5,FALSE),VLOOKUP($C291,'NAO DESO'!$A:$D,4,))</f>
        <v>463.09</v>
      </c>
      <c r="H291" s="242">
        <f t="shared" si="14"/>
        <v>527.91999999999996</v>
      </c>
      <c r="I291" s="54" t="str">
        <f>IF(B291="SEPLAG",VLOOKUP(CONCATENATE("MEDIANA - ",C291),COTAÇÃO,5,FALSE),VLOOKUP($C291,DESON!$A:$D,4,))</f>
        <v>463,09</v>
      </c>
      <c r="J291" s="209">
        <f t="shared" si="15"/>
        <v>527.91999999999996</v>
      </c>
    </row>
    <row r="292" spans="1:10" ht="15" customHeight="1">
      <c r="A292" s="208" t="s">
        <v>39</v>
      </c>
      <c r="B292" s="241"/>
      <c r="C292" s="1181">
        <v>37329</v>
      </c>
      <c r="D292" s="161" t="str">
        <f>IF(B292="SEPLAG",VLOOKUP(COMPOSIÇÕES!C292,'MAPA COMPARATIVO'!A:B,2,FALSE),VLOOKUP(C292,'NAO DESO'!A:B,2,0))</f>
        <v>REJUNTE EPOXI, QUALQUER COR</v>
      </c>
      <c r="E292" s="241" t="str">
        <f>VLOOKUP($C292,'NAO DESO'!$A:$D,3,)</f>
        <v xml:space="preserve">KG    </v>
      </c>
      <c r="F292" s="242">
        <f>F291*0.04</f>
        <v>4.5599999999999995E-2</v>
      </c>
      <c r="G292" s="242">
        <f>IF(B292="SEPLAG",VLOOKUP(CONCATENATE("MEDIANA - ",C292),COTAÇÃO,5,FALSE),VLOOKUP($C292,'NAO DESO'!$A:$D,4,))</f>
        <v>101.41</v>
      </c>
      <c r="H292" s="242">
        <f t="shared" si="14"/>
        <v>4.62</v>
      </c>
      <c r="I292" s="54" t="str">
        <f>IF(B292="SEPLAG",VLOOKUP(CONCATENATE("MEDIANA - ",C292),COTAÇÃO,5,FALSE),VLOOKUP($C292,DESON!$A:$D,4,))</f>
        <v>101,41</v>
      </c>
      <c r="J292" s="209">
        <f t="shared" si="15"/>
        <v>4.62</v>
      </c>
    </row>
    <row r="293" spans="1:10" ht="26.25" customHeight="1">
      <c r="A293" s="208" t="s">
        <v>39</v>
      </c>
      <c r="B293" s="241"/>
      <c r="C293" s="1181">
        <v>37590</v>
      </c>
      <c r="D293" s="161" t="str">
        <f>IF(B293="SEPLAG",VLOOKUP(COMPOSIÇÕES!C293,'MAPA COMPARATIVO'!A:B,2,FALSE),VLOOKUP(C293,'NAO DESO'!A:B,2,0))</f>
        <v>SUPORTE MAO-FRANCESA EM ACO, ABAS IGUAIS 30 CM, CAPACIDADE MINIMA 60 KG, BRANCO</v>
      </c>
      <c r="E293" s="241" t="str">
        <f>VLOOKUP($C293,'NAO DESO'!$A:$D,3,)</f>
        <v xml:space="preserve">UN    </v>
      </c>
      <c r="F293" s="242">
        <v>3</v>
      </c>
      <c r="G293" s="242">
        <f>IF(B293="SEPLAG",VLOOKUP(CONCATENATE("MEDIANA - ",C293),COTAÇÃO,5,FALSE),VLOOKUP($C293,'NAO DESO'!$A:$D,4,))</f>
        <v>21.58</v>
      </c>
      <c r="H293" s="242">
        <f t="shared" si="14"/>
        <v>64.739999999999995</v>
      </c>
      <c r="I293" s="54" t="str">
        <f>IF(B293="SEPLAG",VLOOKUP(CONCATENATE("MEDIANA - ",C293),COTAÇÃO,5,FALSE),VLOOKUP($C293,DESON!$A:$D,4,))</f>
        <v>21,58</v>
      </c>
      <c r="J293" s="209">
        <f t="shared" si="15"/>
        <v>64.739999999999995</v>
      </c>
    </row>
    <row r="294" spans="1:10" ht="15" customHeight="1">
      <c r="A294" s="208" t="s">
        <v>245</v>
      </c>
      <c r="B294" s="241"/>
      <c r="C294" s="1181">
        <v>88274</v>
      </c>
      <c r="D294" s="161" t="str">
        <f>IF(B294="SEPLAG",VLOOKUP(COMPOSIÇÕES!C294,'MAPA COMPARATIVO'!A:B,2,FALSE),VLOOKUP(C294,'NAO DESO'!A:B,2,0))</f>
        <v>MARMORISTA/GRANITEIRO COM ENCARGOS COMPLEMENTARES</v>
      </c>
      <c r="E294" s="241" t="str">
        <f>VLOOKUP($C294,'NAO DESO'!$A:$D,3,)</f>
        <v>H</v>
      </c>
      <c r="F294" s="242">
        <f>1.9209*1.5</f>
        <v>2.8813500000000003</v>
      </c>
      <c r="G294" s="242" t="str">
        <f>IF(B294="SEPLAG",VLOOKUP(CONCATENATE("MEDIANA - ",C294),COTAÇÃO,5,FALSE),VLOOKUP($C294,'NAO DESO'!$A:$D,4,))</f>
        <v>21,02</v>
      </c>
      <c r="H294" s="242">
        <f t="shared" si="14"/>
        <v>60.56</v>
      </c>
      <c r="I294" s="54" t="str">
        <f>IF(B294="SEPLAG",VLOOKUP(CONCATENATE("MEDIANA - ",C294),COTAÇÃO,5,FALSE),VLOOKUP($C294,DESON!$A:$D,4,))</f>
        <v>18,79</v>
      </c>
      <c r="J294" s="209">
        <f t="shared" si="15"/>
        <v>54.14</v>
      </c>
    </row>
    <row r="295" spans="1:10" ht="15" customHeight="1">
      <c r="A295" s="208" t="s">
        <v>245</v>
      </c>
      <c r="B295" s="241"/>
      <c r="C295" s="1181">
        <v>88316</v>
      </c>
      <c r="D295" s="161" t="str">
        <f>IF(B295="SEPLAG",VLOOKUP(COMPOSIÇÕES!C295,'MAPA COMPARATIVO'!A:B,2,FALSE),VLOOKUP(C295,'NAO DESO'!A:B,2,0))</f>
        <v>SERVENTE COM ENCARGOS COMPLEMENTARES</v>
      </c>
      <c r="E295" s="241" t="str">
        <f>VLOOKUP($C295,'NAO DESO'!$A:$D,3,)</f>
        <v>H</v>
      </c>
      <c r="F295" s="242">
        <f>0.9811*1.5</f>
        <v>1.4716499999999999</v>
      </c>
      <c r="G295" s="242" t="str">
        <f>IF(B295="SEPLAG",VLOOKUP(CONCATENATE("MEDIANA - ",C295),COTAÇÃO,5,FALSE),VLOOKUP($C295,'NAO DESO'!$A:$D,4,))</f>
        <v>16,83</v>
      </c>
      <c r="H295" s="242">
        <f t="shared" si="14"/>
        <v>24.76</v>
      </c>
      <c r="I295" s="54" t="str">
        <f>IF(B295="SEPLAG",VLOOKUP(CONCATENATE("MEDIANA - ",C295),COTAÇÃO,5,FALSE),VLOOKUP($C295,DESON!$A:$D,4,))</f>
        <v>15,16</v>
      </c>
      <c r="J295" s="209">
        <f t="shared" si="15"/>
        <v>22.31</v>
      </c>
    </row>
    <row r="296" spans="1:10" ht="15" customHeight="1">
      <c r="A296" s="210" t="str">
        <f>CONCATENATE("TOTAL DO ITEM NÃO DESON. - ",C286)</f>
        <v>TOTAL DO ITEM NÃO DESON. - SEPLAG ARQ 28</v>
      </c>
      <c r="B296" s="424"/>
      <c r="C296" s="424"/>
      <c r="D296" s="424"/>
      <c r="E296" s="424"/>
      <c r="F296" s="425"/>
      <c r="G296" s="426"/>
      <c r="H296" s="1189">
        <f>SUM(H289:H295)</f>
        <v>703.49</v>
      </c>
      <c r="I296" s="214"/>
      <c r="J296" s="215"/>
    </row>
    <row r="297" spans="1:10" ht="15.75" customHeight="1" thickBot="1">
      <c r="A297" s="216" t="str">
        <f>CONCATENATE("TOTAL DO ITEM DESON. - ",C286)</f>
        <v>TOTAL DO ITEM DESON. - SEPLAG ARQ 28</v>
      </c>
      <c r="B297" s="427"/>
      <c r="C297" s="427"/>
      <c r="D297" s="427"/>
      <c r="E297" s="427"/>
      <c r="F297" s="428"/>
      <c r="G297" s="429"/>
      <c r="H297" s="1190"/>
      <c r="I297" s="229"/>
      <c r="J297" s="219">
        <f>SUM(J289:J295)</f>
        <v>694.61999999999989</v>
      </c>
    </row>
    <row r="298" spans="1:10" ht="15" customHeight="1" thickBot="1">
      <c r="A298" s="223"/>
      <c r="B298" s="1133"/>
      <c r="C298" s="1133"/>
      <c r="D298" s="1133"/>
      <c r="E298" s="1133"/>
      <c r="F298" s="1185"/>
      <c r="G298" s="1185"/>
      <c r="H298" s="1185"/>
      <c r="I298" s="224"/>
      <c r="J298" s="225"/>
    </row>
    <row r="299" spans="1:10" ht="25.5" customHeight="1">
      <c r="A299" s="198"/>
      <c r="B299" s="1175"/>
      <c r="C299" s="1152" t="s">
        <v>382</v>
      </c>
      <c r="D299" s="152" t="s">
        <v>208</v>
      </c>
      <c r="E299" s="1176" t="s">
        <v>24</v>
      </c>
      <c r="F299" s="1177" t="s">
        <v>18</v>
      </c>
      <c r="G299" s="1178" t="s">
        <v>7017</v>
      </c>
      <c r="H299" s="1179"/>
      <c r="I299" s="200" t="s">
        <v>7016</v>
      </c>
      <c r="J299" s="201"/>
    </row>
    <row r="300" spans="1:10" ht="25.5" customHeight="1">
      <c r="A300" s="233"/>
      <c r="B300" s="247"/>
      <c r="C300" s="430"/>
      <c r="D300" s="158"/>
      <c r="E300" s="1155"/>
      <c r="F300" s="1180"/>
      <c r="G300" s="1180" t="s">
        <v>19</v>
      </c>
      <c r="H300" s="1180" t="s">
        <v>20</v>
      </c>
      <c r="I300" s="205" t="s">
        <v>19</v>
      </c>
      <c r="J300" s="206" t="s">
        <v>20</v>
      </c>
    </row>
    <row r="301" spans="1:10" ht="26.25" customHeight="1">
      <c r="A301" s="208"/>
      <c r="B301" s="241"/>
      <c r="C301" s="241" t="s">
        <v>180</v>
      </c>
      <c r="D301" s="161" t="s">
        <v>195</v>
      </c>
      <c r="E301" s="241"/>
      <c r="F301" s="242"/>
      <c r="G301" s="242"/>
      <c r="H301" s="242"/>
      <c r="I301" s="214"/>
      <c r="J301" s="227"/>
    </row>
    <row r="302" spans="1:10" ht="29.25" customHeight="1">
      <c r="A302" s="208" t="s">
        <v>39</v>
      </c>
      <c r="B302" s="241"/>
      <c r="C302" s="1181">
        <v>4823</v>
      </c>
      <c r="D302" s="161" t="str">
        <f>IF(B302="SEPLAG",VLOOKUP(COMPOSIÇÕES!C302,'MAPA COMPARATIVO'!A:B,2,FALSE),VLOOKUP(C302,'NAO DESO'!A:B,2,0))</f>
        <v>MASSA PLASTICA PARA MARMORE/GRANITO</v>
      </c>
      <c r="E302" s="241" t="str">
        <f>VLOOKUP($C302,'NAO DESO'!$A:$D,3,)</f>
        <v xml:space="preserve">KG    </v>
      </c>
      <c r="F302" s="242">
        <v>0.38</v>
      </c>
      <c r="G302" s="242">
        <f>IF(B302="SEPLAG",VLOOKUP(CONCATENATE("MEDIANA - ",C302),COTAÇÃO,5,FALSE),VLOOKUP($C302,'NAO DESO'!$A:$D,4,))</f>
        <v>40.53</v>
      </c>
      <c r="H302" s="242">
        <f t="shared" ref="H302:H308" si="16">TRUNC(F302*G302,2)</f>
        <v>15.4</v>
      </c>
      <c r="I302" s="54" t="str">
        <f>IF(B302="SEPLAG",VLOOKUP(CONCATENATE("MEDIANA - ",C302),COTAÇÃO,5,FALSE),VLOOKUP($C302,DESON!$A:$D,4,))</f>
        <v>40,53</v>
      </c>
      <c r="J302" s="209">
        <f t="shared" ref="J302:J308" si="17">TRUNC(F302*I302,2)</f>
        <v>15.4</v>
      </c>
    </row>
    <row r="303" spans="1:10" ht="26.25" customHeight="1">
      <c r="A303" s="208" t="s">
        <v>39</v>
      </c>
      <c r="B303" s="241"/>
      <c r="C303" s="1181">
        <v>7568</v>
      </c>
      <c r="D303" s="161" t="str">
        <f>IF(B303="SEPLAG",VLOOKUP(COMPOSIÇÕES!C303,'MAPA COMPARATIVO'!A:B,2,FALSE),VLOOKUP(C303,'NAO DESO'!A:B,2,0))</f>
        <v>BUCHA DE NYLON SEM ABA S10, COM PARAFUSO DE 6,10 X 65 MM EM ACO ZINCADO COM ROSCA SOBERBA, CABECA CHATA E FENDA PHILLIPS</v>
      </c>
      <c r="E303" s="241" t="str">
        <f>VLOOKUP($C303,'NAO DESO'!$A:$D,3,)</f>
        <v xml:space="preserve">UN    </v>
      </c>
      <c r="F303" s="242">
        <f>F306*3</f>
        <v>6</v>
      </c>
      <c r="G303" s="242">
        <f>IF(B303="SEPLAG",VLOOKUP(CONCATENATE("MEDIANA - ",C303),COTAÇÃO,5,FALSE),VLOOKUP($C303,'NAO DESO'!$A:$D,4,))</f>
        <v>0.61</v>
      </c>
      <c r="H303" s="242">
        <f t="shared" si="16"/>
        <v>3.66</v>
      </c>
      <c r="I303" s="54" t="str">
        <f>IF(B303="SEPLAG",VLOOKUP(CONCATENATE("MEDIANA - ",C303),COTAÇÃO,5,FALSE),VLOOKUP($C303,DESON!$A:$D,4,))</f>
        <v>0,61</v>
      </c>
      <c r="J303" s="209">
        <f t="shared" si="17"/>
        <v>3.66</v>
      </c>
    </row>
    <row r="304" spans="1:10" ht="15" customHeight="1">
      <c r="A304" s="208" t="s">
        <v>39</v>
      </c>
      <c r="B304" s="241"/>
      <c r="C304" s="1181">
        <v>11692</v>
      </c>
      <c r="D304" s="161" t="str">
        <f>IF(B304="SEPLAG",VLOOKUP(COMPOSIÇÕES!C304,'MAPA COMPARATIVO'!A:B,2,FALSE),VLOOKUP(C304,'NAO DESO'!A:B,2,0))</f>
        <v>BANCADA/ BANCA EM MARMORE, POLIDO, BRANCO COMUM, E=  *3* CM</v>
      </c>
      <c r="E304" s="241" t="str">
        <f>VLOOKUP($C304,'NAO DESO'!$A:$D,3,)</f>
        <v xml:space="preserve">M2    </v>
      </c>
      <c r="F304" s="242">
        <f>0.8*0.6</f>
        <v>0.48</v>
      </c>
      <c r="G304" s="242">
        <f>IF(B304="SEPLAG",VLOOKUP(CONCATENATE("MEDIANA - ",C304),COTAÇÃO,5,FALSE),VLOOKUP($C304,'NAO DESO'!$A:$D,4,))</f>
        <v>463.09</v>
      </c>
      <c r="H304" s="242">
        <f t="shared" si="16"/>
        <v>222.28</v>
      </c>
      <c r="I304" s="54" t="str">
        <f>IF(B304="SEPLAG",VLOOKUP(CONCATENATE("MEDIANA - ",C304),COTAÇÃO,5,FALSE),VLOOKUP($C304,DESON!$A:$D,4,))</f>
        <v>463,09</v>
      </c>
      <c r="J304" s="209">
        <f t="shared" si="17"/>
        <v>222.28</v>
      </c>
    </row>
    <row r="305" spans="1:10" ht="15" customHeight="1">
      <c r="A305" s="208" t="s">
        <v>39</v>
      </c>
      <c r="B305" s="241"/>
      <c r="C305" s="1181">
        <v>37329</v>
      </c>
      <c r="D305" s="161" t="str">
        <f>IF(B305="SEPLAG",VLOOKUP(COMPOSIÇÕES!C305,'MAPA COMPARATIVO'!A:B,2,FALSE),VLOOKUP(C305,'NAO DESO'!A:B,2,0))</f>
        <v>REJUNTE EPOXI, QUALQUER COR</v>
      </c>
      <c r="E305" s="241" t="str">
        <f>VLOOKUP($C305,'NAO DESO'!$A:$D,3,)</f>
        <v xml:space="preserve">KG    </v>
      </c>
      <c r="F305" s="242">
        <f>F304*0.04</f>
        <v>1.9199999999999998E-2</v>
      </c>
      <c r="G305" s="242">
        <f>IF(B305="SEPLAG",VLOOKUP(CONCATENATE("MEDIANA - ",C305),COTAÇÃO,5,FALSE),VLOOKUP($C305,'NAO DESO'!$A:$D,4,))</f>
        <v>101.41</v>
      </c>
      <c r="H305" s="242">
        <f t="shared" si="16"/>
        <v>1.94</v>
      </c>
      <c r="I305" s="54" t="str">
        <f>IF(B305="SEPLAG",VLOOKUP(CONCATENATE("MEDIANA - ",C305),COTAÇÃO,5,FALSE),VLOOKUP($C305,DESON!$A:$D,4,))</f>
        <v>101,41</v>
      </c>
      <c r="J305" s="209">
        <f t="shared" si="17"/>
        <v>1.94</v>
      </c>
    </row>
    <row r="306" spans="1:10" ht="26.25" customHeight="1">
      <c r="A306" s="208" t="s">
        <v>39</v>
      </c>
      <c r="B306" s="241"/>
      <c r="C306" s="1181">
        <v>37590</v>
      </c>
      <c r="D306" s="161" t="str">
        <f>IF(B306="SEPLAG",VLOOKUP(COMPOSIÇÕES!C306,'MAPA COMPARATIVO'!A:B,2,FALSE),VLOOKUP(C306,'NAO DESO'!A:B,2,0))</f>
        <v>SUPORTE MAO-FRANCESA EM ACO, ABAS IGUAIS 30 CM, CAPACIDADE MINIMA 60 KG, BRANCO</v>
      </c>
      <c r="E306" s="241" t="str">
        <f>VLOOKUP($C306,'NAO DESO'!$A:$D,3,)</f>
        <v xml:space="preserve">UN    </v>
      </c>
      <c r="F306" s="242">
        <v>2</v>
      </c>
      <c r="G306" s="242">
        <f>IF(B306="SEPLAG",VLOOKUP(CONCATENATE("MEDIANA - ",C306),COTAÇÃO,5,FALSE),VLOOKUP($C306,'NAO DESO'!$A:$D,4,))</f>
        <v>21.58</v>
      </c>
      <c r="H306" s="242">
        <f t="shared" si="16"/>
        <v>43.16</v>
      </c>
      <c r="I306" s="54" t="str">
        <f>IF(B306="SEPLAG",VLOOKUP(CONCATENATE("MEDIANA - ",C306),COTAÇÃO,5,FALSE),VLOOKUP($C306,DESON!$A:$D,4,))</f>
        <v>21,58</v>
      </c>
      <c r="J306" s="209">
        <f t="shared" si="17"/>
        <v>43.16</v>
      </c>
    </row>
    <row r="307" spans="1:10" ht="15" customHeight="1">
      <c r="A307" s="208" t="s">
        <v>245</v>
      </c>
      <c r="B307" s="241"/>
      <c r="C307" s="1181">
        <v>88274</v>
      </c>
      <c r="D307" s="161" t="str">
        <f>IF(B307="SEPLAG",VLOOKUP(COMPOSIÇÕES!C307,'MAPA COMPARATIVO'!A:B,2,FALSE),VLOOKUP(C307,'NAO DESO'!A:B,2,0))</f>
        <v>MARMORISTA/GRANITEIRO COM ENCARGOS COMPLEMENTARES</v>
      </c>
      <c r="E307" s="241" t="str">
        <f>VLOOKUP($C307,'NAO DESO'!$A:$D,3,)</f>
        <v>H</v>
      </c>
      <c r="F307" s="242">
        <f>1.9209*1.5</f>
        <v>2.8813500000000003</v>
      </c>
      <c r="G307" s="242" t="str">
        <f>IF(B307="SEPLAG",VLOOKUP(CONCATENATE("MEDIANA - ",C307),COTAÇÃO,5,FALSE),VLOOKUP($C307,'NAO DESO'!$A:$D,4,))</f>
        <v>21,02</v>
      </c>
      <c r="H307" s="242">
        <f t="shared" si="16"/>
        <v>60.56</v>
      </c>
      <c r="I307" s="54" t="str">
        <f>IF(B307="SEPLAG",VLOOKUP(CONCATENATE("MEDIANA - ",C307),COTAÇÃO,5,FALSE),VLOOKUP($C307,DESON!$A:$D,4,))</f>
        <v>18,79</v>
      </c>
      <c r="J307" s="209">
        <f t="shared" si="17"/>
        <v>54.14</v>
      </c>
    </row>
    <row r="308" spans="1:10" ht="15" customHeight="1">
      <c r="A308" s="208" t="s">
        <v>245</v>
      </c>
      <c r="B308" s="241"/>
      <c r="C308" s="1181">
        <v>88316</v>
      </c>
      <c r="D308" s="161" t="str">
        <f>IF(B308="SEPLAG",VLOOKUP(COMPOSIÇÕES!C308,'MAPA COMPARATIVO'!A:B,2,FALSE),VLOOKUP(C308,'NAO DESO'!A:B,2,0))</f>
        <v>SERVENTE COM ENCARGOS COMPLEMENTARES</v>
      </c>
      <c r="E308" s="241" t="str">
        <f>VLOOKUP($C308,'NAO DESO'!$A:$D,3,)</f>
        <v>H</v>
      </c>
      <c r="F308" s="242">
        <f>0.9811*1.5</f>
        <v>1.4716499999999999</v>
      </c>
      <c r="G308" s="242" t="str">
        <f>IF(B308="SEPLAG",VLOOKUP(CONCATENATE("MEDIANA - ",C308),COTAÇÃO,5,FALSE),VLOOKUP($C308,'NAO DESO'!$A:$D,4,))</f>
        <v>16,83</v>
      </c>
      <c r="H308" s="242">
        <f t="shared" si="16"/>
        <v>24.76</v>
      </c>
      <c r="I308" s="54" t="str">
        <f>IF(B308="SEPLAG",VLOOKUP(CONCATENATE("MEDIANA - ",C308),COTAÇÃO,5,FALSE),VLOOKUP($C308,DESON!$A:$D,4,))</f>
        <v>15,16</v>
      </c>
      <c r="J308" s="209">
        <f t="shared" si="17"/>
        <v>22.31</v>
      </c>
    </row>
    <row r="309" spans="1:10" ht="15" customHeight="1">
      <c r="A309" s="210" t="str">
        <f>CONCATENATE("TOTAL DO ITEM NÃO DESON. - ",C299)</f>
        <v>TOTAL DO ITEM NÃO DESON. - SEPLAG ARQ 29</v>
      </c>
      <c r="B309" s="424"/>
      <c r="C309" s="424"/>
      <c r="D309" s="424"/>
      <c r="E309" s="424"/>
      <c r="F309" s="425"/>
      <c r="G309" s="426"/>
      <c r="H309" s="1189">
        <f>SUM(H302:H308)</f>
        <v>371.76</v>
      </c>
      <c r="I309" s="214"/>
      <c r="J309" s="215"/>
    </row>
    <row r="310" spans="1:10" ht="15.75" customHeight="1" thickBot="1">
      <c r="A310" s="216" t="str">
        <f>CONCATENATE("TOTAL DO ITEM DESON. - ",C299)</f>
        <v>TOTAL DO ITEM DESON. - SEPLAG ARQ 29</v>
      </c>
      <c r="B310" s="427"/>
      <c r="C310" s="427"/>
      <c r="D310" s="427"/>
      <c r="E310" s="427"/>
      <c r="F310" s="428"/>
      <c r="G310" s="429"/>
      <c r="H310" s="1190"/>
      <c r="I310" s="229"/>
      <c r="J310" s="219">
        <f>SUM(J302:J308)</f>
        <v>362.89</v>
      </c>
    </row>
    <row r="311" spans="1:10" ht="20.25" customHeight="1" thickBot="1">
      <c r="A311" s="223"/>
      <c r="B311" s="1133"/>
      <c r="C311" s="1133"/>
      <c r="D311" s="1133"/>
      <c r="E311" s="1133"/>
      <c r="F311" s="1185"/>
      <c r="G311" s="1185"/>
      <c r="H311" s="1185"/>
      <c r="I311" s="224"/>
      <c r="J311" s="225"/>
    </row>
    <row r="312" spans="1:10" ht="27" customHeight="1">
      <c r="A312" s="198"/>
      <c r="B312" s="1175"/>
      <c r="C312" s="1152" t="s">
        <v>383</v>
      </c>
      <c r="D312" s="152" t="s">
        <v>199</v>
      </c>
      <c r="E312" s="1176" t="s">
        <v>40</v>
      </c>
      <c r="F312" s="1177" t="s">
        <v>18</v>
      </c>
      <c r="G312" s="1178" t="s">
        <v>7017</v>
      </c>
      <c r="H312" s="1179"/>
      <c r="I312" s="200" t="s">
        <v>7016</v>
      </c>
      <c r="J312" s="201"/>
    </row>
    <row r="313" spans="1:10" ht="15" customHeight="1">
      <c r="A313" s="233"/>
      <c r="B313" s="247"/>
      <c r="C313" s="430"/>
      <c r="D313" s="158"/>
      <c r="E313" s="1155"/>
      <c r="F313" s="1180"/>
      <c r="G313" s="1180" t="s">
        <v>19</v>
      </c>
      <c r="H313" s="1180" t="s">
        <v>20</v>
      </c>
      <c r="I313" s="205" t="s">
        <v>19</v>
      </c>
      <c r="J313" s="206" t="s">
        <v>20</v>
      </c>
    </row>
    <row r="314" spans="1:10" ht="15" customHeight="1">
      <c r="A314" s="240"/>
      <c r="B314" s="241"/>
      <c r="C314" s="241" t="s">
        <v>200</v>
      </c>
      <c r="D314" s="161" t="s">
        <v>201</v>
      </c>
      <c r="E314" s="241"/>
      <c r="F314" s="242"/>
      <c r="G314" s="242"/>
      <c r="H314" s="242"/>
      <c r="I314" s="242"/>
      <c r="J314" s="243"/>
    </row>
    <row r="315" spans="1:10" ht="22.5" customHeight="1">
      <c r="A315" s="208" t="s">
        <v>39</v>
      </c>
      <c r="B315" s="241"/>
      <c r="C315" s="1181">
        <v>4823</v>
      </c>
      <c r="D315" s="161" t="str">
        <f>IF(B315="SEPLAG",VLOOKUP(COMPOSIÇÕES!C315,'MAPA COMPARATIVO'!A:B,2,FALSE),VLOOKUP(C315,'NAO DESO'!A:B,2,0))</f>
        <v>MASSA PLASTICA PARA MARMORE/GRANITO</v>
      </c>
      <c r="E315" s="241" t="str">
        <f>VLOOKUP($C315,'NAO DESO'!$A:$D,3,)</f>
        <v xml:space="preserve">KG    </v>
      </c>
      <c r="F315" s="242">
        <v>0.38</v>
      </c>
      <c r="G315" s="242">
        <f>IF(B315="SEPLAG",VLOOKUP(CONCATENATE("MEDIANA - ",C315),COTAÇÃO,5,FALSE),VLOOKUP($C315,'NAO DESO'!$A:$D,4,))</f>
        <v>40.53</v>
      </c>
      <c r="H315" s="242">
        <f t="shared" ref="H315:H320" si="18">TRUNC(F315*G315,2)</f>
        <v>15.4</v>
      </c>
      <c r="I315" s="54" t="str">
        <f>IF(B315="SEPLAG",VLOOKUP(CONCATENATE("MEDIANA - ",C315),COTAÇÃO,5,FALSE),VLOOKUP($C315,DESON!$A:$D,4,))</f>
        <v>40,53</v>
      </c>
      <c r="J315" s="209">
        <f t="shared" ref="J315:J320" si="19">TRUNC(F315*I315,2)</f>
        <v>15.4</v>
      </c>
    </row>
    <row r="316" spans="1:10" ht="15" customHeight="1">
      <c r="A316" s="208" t="s">
        <v>39</v>
      </c>
      <c r="B316" s="241"/>
      <c r="C316" s="241">
        <v>37595</v>
      </c>
      <c r="D316" s="161" t="str">
        <f>IF(B316="SEPLAG",VLOOKUP(COMPOSIÇÕES!C316,'MAPA COMPARATIVO'!A:B,2,FALSE),VLOOKUP(C316,'NAO DESO'!A:B,2,0))</f>
        <v>ARGAMASSA COLANTE TIPO AC III</v>
      </c>
      <c r="E316" s="241" t="str">
        <f>VLOOKUP($C316,'NAO DESO'!$A:$D,3,)</f>
        <v xml:space="preserve">KG    </v>
      </c>
      <c r="F316" s="242">
        <v>0.5</v>
      </c>
      <c r="G316" s="242">
        <f>IF(B316="SEPLAG",VLOOKUP(CONCATENATE("MEDIANA - ",C316),COTAÇÃO,5,FALSE),VLOOKUP($C316,'NAO DESO'!$A:$D,4,))</f>
        <v>2.52</v>
      </c>
      <c r="H316" s="242">
        <f t="shared" si="18"/>
        <v>1.26</v>
      </c>
      <c r="I316" s="54" t="str">
        <f>IF(B316="SEPLAG",VLOOKUP(CONCATENATE("MEDIANA - ",C316),COTAÇÃO,5,FALSE),VLOOKUP($C316,DESON!$A:$D,4,))</f>
        <v>2,52</v>
      </c>
      <c r="J316" s="209">
        <f t="shared" si="19"/>
        <v>1.26</v>
      </c>
    </row>
    <row r="317" spans="1:10" ht="15" customHeight="1">
      <c r="A317" s="208" t="s">
        <v>39</v>
      </c>
      <c r="B317" s="241"/>
      <c r="C317" s="241">
        <v>11692</v>
      </c>
      <c r="D317" s="161" t="str">
        <f>IF(B317="SEPLAG",VLOOKUP(COMPOSIÇÕES!C317,'MAPA COMPARATIVO'!A:B,2,FALSE),VLOOKUP(C317,'NAO DESO'!A:B,2,0))</f>
        <v>BANCADA/ BANCA EM MARMORE, POLIDO, BRANCO COMUM, E=  *3* CM</v>
      </c>
      <c r="E317" s="241" t="str">
        <f>VLOOKUP($C317,'NAO DESO'!$A:$D,3,)</f>
        <v xml:space="preserve">M2    </v>
      </c>
      <c r="F317" s="242">
        <f>1*0.2</f>
        <v>0.2</v>
      </c>
      <c r="G317" s="242">
        <f>IF(B317="SEPLAG",VLOOKUP(CONCATENATE("MEDIANA - ",C317),COTAÇÃO,5,FALSE),VLOOKUP($C317,'NAO DESO'!$A:$D,4,))</f>
        <v>463.09</v>
      </c>
      <c r="H317" s="242">
        <f t="shared" si="18"/>
        <v>92.61</v>
      </c>
      <c r="I317" s="54" t="str">
        <f>IF(B317="SEPLAG",VLOOKUP(CONCATENATE("MEDIANA - ",C317),COTAÇÃO,5,FALSE),VLOOKUP($C317,DESON!$A:$D,4,))</f>
        <v>463,09</v>
      </c>
      <c r="J317" s="209">
        <f t="shared" si="19"/>
        <v>92.61</v>
      </c>
    </row>
    <row r="318" spans="1:10" ht="15" customHeight="1">
      <c r="A318" s="208" t="s">
        <v>39</v>
      </c>
      <c r="B318" s="241"/>
      <c r="C318" s="1181">
        <v>37329</v>
      </c>
      <c r="D318" s="161" t="str">
        <f>IF(B318="SEPLAG",VLOOKUP(COMPOSIÇÕES!C318,'MAPA COMPARATIVO'!A:B,2,FALSE),VLOOKUP(C318,'NAO DESO'!A:B,2,0))</f>
        <v>REJUNTE EPOXI, QUALQUER COR</v>
      </c>
      <c r="E318" s="241" t="str">
        <f>VLOOKUP($C318,'NAO DESO'!$A:$D,3,)</f>
        <v xml:space="preserve">KG    </v>
      </c>
      <c r="F318" s="242">
        <v>0.11</v>
      </c>
      <c r="G318" s="242">
        <f>IF(B318="SEPLAG",VLOOKUP(CONCATENATE("MEDIANA - ",C318),COTAÇÃO,5,FALSE),VLOOKUP($C318,'NAO DESO'!$A:$D,4,))</f>
        <v>101.41</v>
      </c>
      <c r="H318" s="242">
        <f t="shared" si="18"/>
        <v>11.15</v>
      </c>
      <c r="I318" s="54" t="str">
        <f>IF(B318="SEPLAG",VLOOKUP(CONCATENATE("MEDIANA - ",C318),COTAÇÃO,5,FALSE),VLOOKUP($C318,DESON!$A:$D,4,))</f>
        <v>101,41</v>
      </c>
      <c r="J318" s="209">
        <f t="shared" si="19"/>
        <v>11.15</v>
      </c>
    </row>
    <row r="319" spans="1:10" ht="15" customHeight="1">
      <c r="A319" s="208" t="s">
        <v>245</v>
      </c>
      <c r="B319" s="241"/>
      <c r="C319" s="1181">
        <v>88274</v>
      </c>
      <c r="D319" s="161" t="str">
        <f>IF(B319="SEPLAG",VLOOKUP(COMPOSIÇÕES!C319,'MAPA COMPARATIVO'!A:B,2,FALSE),VLOOKUP(C319,'NAO DESO'!A:B,2,0))</f>
        <v>MARMORISTA/GRANITEIRO COM ENCARGOS COMPLEMENTARES</v>
      </c>
      <c r="E319" s="241" t="str">
        <f>VLOOKUP($C319,'NAO DESO'!$A:$D,3,)</f>
        <v>H</v>
      </c>
      <c r="F319" s="242">
        <v>0.5</v>
      </c>
      <c r="G319" s="242" t="str">
        <f>IF(B319="SEPLAG",VLOOKUP(CONCATENATE("MEDIANA - ",C319),COTAÇÃO,5,FALSE),VLOOKUP($C319,'NAO DESO'!$A:$D,4,))</f>
        <v>21,02</v>
      </c>
      <c r="H319" s="242">
        <f t="shared" si="18"/>
        <v>10.51</v>
      </c>
      <c r="I319" s="54" t="str">
        <f>IF(B319="SEPLAG",VLOOKUP(CONCATENATE("MEDIANA - ",C319),COTAÇÃO,5,FALSE),VLOOKUP($C319,DESON!$A:$D,4,))</f>
        <v>18,79</v>
      </c>
      <c r="J319" s="209">
        <f t="shared" si="19"/>
        <v>9.39</v>
      </c>
    </row>
    <row r="320" spans="1:10" ht="15" customHeight="1">
      <c r="A320" s="208" t="s">
        <v>245</v>
      </c>
      <c r="B320" s="241"/>
      <c r="C320" s="1181">
        <v>88316</v>
      </c>
      <c r="D320" s="161" t="str">
        <f>IF(B320="SEPLAG",VLOOKUP(COMPOSIÇÕES!C320,'MAPA COMPARATIVO'!A:B,2,FALSE),VLOOKUP(C320,'NAO DESO'!A:B,2,0))</f>
        <v>SERVENTE COM ENCARGOS COMPLEMENTARES</v>
      </c>
      <c r="E320" s="241" t="str">
        <f>VLOOKUP($C320,'NAO DESO'!$A:$D,3,)</f>
        <v>H</v>
      </c>
      <c r="F320" s="242">
        <v>0.54</v>
      </c>
      <c r="G320" s="242" t="str">
        <f>IF(B320="SEPLAG",VLOOKUP(CONCATENATE("MEDIANA - ",C320),COTAÇÃO,5,FALSE),VLOOKUP($C320,'NAO DESO'!$A:$D,4,))</f>
        <v>16,83</v>
      </c>
      <c r="H320" s="242">
        <f t="shared" si="18"/>
        <v>9.08</v>
      </c>
      <c r="I320" s="54" t="str">
        <f>IF(B320="SEPLAG",VLOOKUP(CONCATENATE("MEDIANA - ",C320),COTAÇÃO,5,FALSE),VLOOKUP($C320,DESON!$A:$D,4,))</f>
        <v>15,16</v>
      </c>
      <c r="J320" s="209">
        <f t="shared" si="19"/>
        <v>8.18</v>
      </c>
    </row>
    <row r="321" spans="1:10" ht="15" customHeight="1">
      <c r="A321" s="210" t="str">
        <f>CONCATENATE("TOTAL DO ITEM NÃO DESON. - ",C312)</f>
        <v>TOTAL DO ITEM NÃO DESON. - SEPLAG ARQ 30</v>
      </c>
      <c r="B321" s="424"/>
      <c r="C321" s="424"/>
      <c r="D321" s="424"/>
      <c r="E321" s="424"/>
      <c r="F321" s="425"/>
      <c r="G321" s="426"/>
      <c r="H321" s="1189">
        <f>SUM(H315:H320)</f>
        <v>140.01000000000002</v>
      </c>
      <c r="I321" s="214"/>
      <c r="J321" s="215"/>
    </row>
    <row r="322" spans="1:10" ht="15.75" customHeight="1" thickBot="1">
      <c r="A322" s="216" t="str">
        <f>CONCATENATE("TOTAL DO ITEM DESON. - ",C312)</f>
        <v>TOTAL DO ITEM DESON. - SEPLAG ARQ 30</v>
      </c>
      <c r="B322" s="427"/>
      <c r="C322" s="427"/>
      <c r="D322" s="427"/>
      <c r="E322" s="427"/>
      <c r="F322" s="428"/>
      <c r="G322" s="429"/>
      <c r="H322" s="1190"/>
      <c r="I322" s="229"/>
      <c r="J322" s="219">
        <f>SUM(J315:J320)</f>
        <v>137.99</v>
      </c>
    </row>
    <row r="323" spans="1:10" ht="15" customHeight="1" thickBot="1">
      <c r="A323" s="223"/>
      <c r="B323" s="1133"/>
      <c r="C323" s="1133"/>
      <c r="D323" s="1133"/>
      <c r="E323" s="1133"/>
      <c r="F323" s="1185"/>
      <c r="G323" s="1185"/>
      <c r="H323" s="1185"/>
      <c r="I323" s="224"/>
      <c r="J323" s="225"/>
    </row>
    <row r="324" spans="1:10" ht="24.75" customHeight="1">
      <c r="A324" s="198"/>
      <c r="B324" s="1175"/>
      <c r="C324" s="1152" t="s">
        <v>384</v>
      </c>
      <c r="D324" s="152" t="s">
        <v>203</v>
      </c>
      <c r="E324" s="1176" t="s">
        <v>24</v>
      </c>
      <c r="F324" s="1177" t="s">
        <v>18</v>
      </c>
      <c r="G324" s="1178" t="s">
        <v>7017</v>
      </c>
      <c r="H324" s="1179"/>
      <c r="I324" s="200" t="s">
        <v>7016</v>
      </c>
      <c r="J324" s="201"/>
    </row>
    <row r="325" spans="1:10" ht="21" customHeight="1">
      <c r="A325" s="233"/>
      <c r="B325" s="247"/>
      <c r="C325" s="430"/>
      <c r="D325" s="158"/>
      <c r="E325" s="1155"/>
      <c r="F325" s="1180"/>
      <c r="G325" s="1180" t="s">
        <v>19</v>
      </c>
      <c r="H325" s="1180" t="s">
        <v>20</v>
      </c>
      <c r="I325" s="205" t="s">
        <v>19</v>
      </c>
      <c r="J325" s="206" t="s">
        <v>20</v>
      </c>
    </row>
    <row r="326" spans="1:10" ht="25.5" customHeight="1">
      <c r="A326" s="240"/>
      <c r="B326" s="241"/>
      <c r="C326" s="241" t="s">
        <v>180</v>
      </c>
      <c r="D326" s="161" t="s">
        <v>202</v>
      </c>
      <c r="E326" s="241"/>
      <c r="F326" s="242"/>
      <c r="G326" s="242"/>
      <c r="H326" s="242"/>
      <c r="I326" s="242"/>
      <c r="J326" s="243"/>
    </row>
    <row r="327" spans="1:10" ht="15" customHeight="1">
      <c r="A327" s="208" t="s">
        <v>39</v>
      </c>
      <c r="B327" s="241"/>
      <c r="C327" s="1181">
        <v>4823</v>
      </c>
      <c r="D327" s="161" t="str">
        <f>IF(B327="SEPLAG",VLOOKUP(COMPOSIÇÕES!C327,'MAPA COMPARATIVO'!A:B,2,FALSE),VLOOKUP(C327,'NAO DESO'!A:B,2,0))</f>
        <v>MASSA PLASTICA PARA MARMORE/GRANITO</v>
      </c>
      <c r="E327" s="241" t="str">
        <f>VLOOKUP($C327,'NAO DESO'!$A:$D,3,)</f>
        <v xml:space="preserve">KG    </v>
      </c>
      <c r="F327" s="242">
        <f>0.52*F329</f>
        <v>0.71760000000000002</v>
      </c>
      <c r="G327" s="242">
        <f>IF(B327="SEPLAG",VLOOKUP(CONCATENATE("MEDIANA - ",C327),COTAÇÃO,5,FALSE),VLOOKUP($C327,'NAO DESO'!$A:$D,4,))</f>
        <v>40.53</v>
      </c>
      <c r="H327" s="242">
        <f t="shared" ref="H327:H333" si="20">TRUNC(F327*G327,2)</f>
        <v>29.08</v>
      </c>
      <c r="I327" s="54" t="str">
        <f>IF(B327="SEPLAG",VLOOKUP(CONCATENATE("MEDIANA - ",C327),COTAÇÃO,5,FALSE),VLOOKUP($C327,DESON!$A:$D,4,))</f>
        <v>40,53</v>
      </c>
      <c r="J327" s="209">
        <f t="shared" ref="J327:J333" si="21">TRUNC(F327*I327,2)</f>
        <v>29.08</v>
      </c>
    </row>
    <row r="328" spans="1:10" ht="31.5" customHeight="1">
      <c r="A328" s="208" t="s">
        <v>39</v>
      </c>
      <c r="B328" s="241"/>
      <c r="C328" s="1181">
        <v>7568</v>
      </c>
      <c r="D328" s="161" t="str">
        <f>IF(B328="SEPLAG",VLOOKUP(COMPOSIÇÕES!C328,'MAPA COMPARATIVO'!A:B,2,FALSE),VLOOKUP(C328,'NAO DESO'!A:B,2,0))</f>
        <v>BUCHA DE NYLON SEM ABA S10, COM PARAFUSO DE 6,10 X 65 MM EM ACO ZINCADO COM ROSCA SOBERBA, CABECA CHATA E FENDA PHILLIPS</v>
      </c>
      <c r="E328" s="241" t="str">
        <f>VLOOKUP($C328,'NAO DESO'!$A:$D,3,)</f>
        <v xml:space="preserve">UN    </v>
      </c>
      <c r="F328" s="242">
        <f>F331*3</f>
        <v>9</v>
      </c>
      <c r="G328" s="242">
        <f>IF(B328="SEPLAG",VLOOKUP(CONCATENATE("MEDIANA - ",C328),COTAÇÃO,5,FALSE),VLOOKUP($C328,'NAO DESO'!$A:$D,4,))</f>
        <v>0.61</v>
      </c>
      <c r="H328" s="242">
        <f t="shared" si="20"/>
        <v>5.49</v>
      </c>
      <c r="I328" s="54" t="str">
        <f>IF(B328="SEPLAG",VLOOKUP(CONCATENATE("MEDIANA - ",C328),COTAÇÃO,5,FALSE),VLOOKUP($C328,DESON!$A:$D,4,))</f>
        <v>0,61</v>
      </c>
      <c r="J328" s="209">
        <f t="shared" si="21"/>
        <v>5.49</v>
      </c>
    </row>
    <row r="329" spans="1:10" ht="15" customHeight="1">
      <c r="A329" s="208" t="s">
        <v>39</v>
      </c>
      <c r="B329" s="241"/>
      <c r="C329" s="1181">
        <v>11692</v>
      </c>
      <c r="D329" s="161" t="str">
        <f>IF(B329="SEPLAG",VLOOKUP(COMPOSIÇÕES!C329,'MAPA COMPARATIVO'!A:B,2,FALSE),VLOOKUP(C329,'NAO DESO'!A:B,2,0))</f>
        <v>BANCADA/ BANCA EM MARMORE, POLIDO, BRANCO COMUM, E=  *3* CM</v>
      </c>
      <c r="E329" s="241" t="str">
        <f>VLOOKUP($C329,'NAO DESO'!$A:$D,3,)</f>
        <v xml:space="preserve">M2    </v>
      </c>
      <c r="F329" s="242">
        <f>2.3*0.6</f>
        <v>1.38</v>
      </c>
      <c r="G329" s="242">
        <f>IF(B329="SEPLAG",VLOOKUP(CONCATENATE("MEDIANA - ",C329),COTAÇÃO,5,FALSE),VLOOKUP($C329,'NAO DESO'!$A:$D,4,))</f>
        <v>463.09</v>
      </c>
      <c r="H329" s="242">
        <f t="shared" si="20"/>
        <v>639.05999999999995</v>
      </c>
      <c r="I329" s="54" t="str">
        <f>IF(B329="SEPLAG",VLOOKUP(CONCATENATE("MEDIANA - ",C329),COTAÇÃO,5,FALSE),VLOOKUP($C329,DESON!$A:$D,4,))</f>
        <v>463,09</v>
      </c>
      <c r="J329" s="209">
        <f t="shared" si="21"/>
        <v>639.05999999999995</v>
      </c>
    </row>
    <row r="330" spans="1:10" ht="15" customHeight="1">
      <c r="A330" s="208" t="s">
        <v>39</v>
      </c>
      <c r="B330" s="241"/>
      <c r="C330" s="1181">
        <v>37329</v>
      </c>
      <c r="D330" s="161" t="str">
        <f>IF(B330="SEPLAG",VLOOKUP(COMPOSIÇÕES!C330,'MAPA COMPARATIVO'!A:B,2,FALSE),VLOOKUP(C330,'NAO DESO'!A:B,2,0))</f>
        <v>REJUNTE EPOXI, QUALQUER COR</v>
      </c>
      <c r="E330" s="241" t="str">
        <f>VLOOKUP($C330,'NAO DESO'!$A:$D,3,)</f>
        <v xml:space="preserve">KG    </v>
      </c>
      <c r="F330" s="242">
        <f>0.02*F329</f>
        <v>2.76E-2</v>
      </c>
      <c r="G330" s="242">
        <f>IF(B330="SEPLAG",VLOOKUP(CONCATENATE("MEDIANA - ",C330),COTAÇÃO,5,FALSE),VLOOKUP($C330,'NAO DESO'!$A:$D,4,))</f>
        <v>101.41</v>
      </c>
      <c r="H330" s="242">
        <f t="shared" si="20"/>
        <v>2.79</v>
      </c>
      <c r="I330" s="54" t="str">
        <f>IF(B330="SEPLAG",VLOOKUP(CONCATENATE("MEDIANA - ",C330),COTAÇÃO,5,FALSE),VLOOKUP($C330,DESON!$A:$D,4,))</f>
        <v>101,41</v>
      </c>
      <c r="J330" s="209">
        <f t="shared" si="21"/>
        <v>2.79</v>
      </c>
    </row>
    <row r="331" spans="1:10" ht="26.25" customHeight="1">
      <c r="A331" s="208" t="s">
        <v>39</v>
      </c>
      <c r="B331" s="241"/>
      <c r="C331" s="1181">
        <v>37591</v>
      </c>
      <c r="D331" s="161" t="str">
        <f>IF(B331="SEPLAG",VLOOKUP(COMPOSIÇÕES!C331,'MAPA COMPARATIVO'!A:B,2,FALSE),VLOOKUP(C331,'NAO DESO'!A:B,2,0))</f>
        <v>SUPORTE MAO-FRANCESA EM ACO, ABAS IGUAIS 40 CM, CAPACIDADE MINIMA 70 KG, BRANCO</v>
      </c>
      <c r="E331" s="241" t="str">
        <f>VLOOKUP($C331,'NAO DESO'!$A:$D,3,)</f>
        <v xml:space="preserve">UN    </v>
      </c>
      <c r="F331" s="242">
        <v>3</v>
      </c>
      <c r="G331" s="242">
        <f>IF(B331="SEPLAG",VLOOKUP(CONCATENATE("MEDIANA - ",C331),COTAÇÃO,5,FALSE),VLOOKUP($C331,'NAO DESO'!$A:$D,4,))</f>
        <v>25.94</v>
      </c>
      <c r="H331" s="242">
        <f t="shared" si="20"/>
        <v>77.819999999999993</v>
      </c>
      <c r="I331" s="54" t="str">
        <f>IF(B331="SEPLAG",VLOOKUP(CONCATENATE("MEDIANA - ",C331),COTAÇÃO,5,FALSE),VLOOKUP($C331,DESON!$A:$D,4,))</f>
        <v>25,94</v>
      </c>
      <c r="J331" s="209">
        <f t="shared" si="21"/>
        <v>77.819999999999993</v>
      </c>
    </row>
    <row r="332" spans="1:10" ht="15" customHeight="1">
      <c r="A332" s="208" t="s">
        <v>245</v>
      </c>
      <c r="B332" s="241"/>
      <c r="C332" s="1181">
        <v>88274</v>
      </c>
      <c r="D332" s="161" t="str">
        <f>IF(B332="SEPLAG",VLOOKUP(COMPOSIÇÕES!C332,'MAPA COMPARATIVO'!A:B,2,FALSE),VLOOKUP(C332,'NAO DESO'!A:B,2,0))</f>
        <v>MARMORISTA/GRANITEIRO COM ENCARGOS COMPLEMENTARES</v>
      </c>
      <c r="E332" s="241" t="str">
        <f>VLOOKUP($C332,'NAO DESO'!$A:$D,3,)</f>
        <v>H</v>
      </c>
      <c r="F332" s="242">
        <f>1.48*F329</f>
        <v>2.0423999999999998</v>
      </c>
      <c r="G332" s="242" t="str">
        <f>IF(B332="SEPLAG",VLOOKUP(CONCATENATE("MEDIANA - ",C332),COTAÇÃO,5,FALSE),VLOOKUP($C332,'NAO DESO'!$A:$D,4,))</f>
        <v>21,02</v>
      </c>
      <c r="H332" s="242">
        <f t="shared" si="20"/>
        <v>42.93</v>
      </c>
      <c r="I332" s="54" t="str">
        <f>IF(B332="SEPLAG",VLOOKUP(CONCATENATE("MEDIANA - ",C332),COTAÇÃO,5,FALSE),VLOOKUP($C332,DESON!$A:$D,4,))</f>
        <v>18,79</v>
      </c>
      <c r="J332" s="209">
        <f t="shared" si="21"/>
        <v>38.369999999999997</v>
      </c>
    </row>
    <row r="333" spans="1:10" ht="15" customHeight="1">
      <c r="A333" s="208" t="s">
        <v>245</v>
      </c>
      <c r="B333" s="241"/>
      <c r="C333" s="1181">
        <v>88316</v>
      </c>
      <c r="D333" s="161" t="str">
        <f>IF(B333="SEPLAG",VLOOKUP(COMPOSIÇÕES!C333,'MAPA COMPARATIVO'!A:B,2,FALSE),VLOOKUP(C333,'NAO DESO'!A:B,2,0))</f>
        <v>SERVENTE COM ENCARGOS COMPLEMENTARES</v>
      </c>
      <c r="E333" s="241" t="str">
        <f>VLOOKUP($C333,'NAO DESO'!$A:$D,3,)</f>
        <v>H</v>
      </c>
      <c r="F333" s="242">
        <f>0.98*F329</f>
        <v>1.3523999999999998</v>
      </c>
      <c r="G333" s="242" t="str">
        <f>IF(B333="SEPLAG",VLOOKUP(CONCATENATE("MEDIANA - ",C333),COTAÇÃO,5,FALSE),VLOOKUP($C333,'NAO DESO'!$A:$D,4,))</f>
        <v>16,83</v>
      </c>
      <c r="H333" s="242">
        <f t="shared" si="20"/>
        <v>22.76</v>
      </c>
      <c r="I333" s="54" t="str">
        <f>IF(B333="SEPLAG",VLOOKUP(CONCATENATE("MEDIANA - ",C333),COTAÇÃO,5,FALSE),VLOOKUP($C333,DESON!$A:$D,4,))</f>
        <v>15,16</v>
      </c>
      <c r="J333" s="209">
        <f t="shared" si="21"/>
        <v>20.5</v>
      </c>
    </row>
    <row r="334" spans="1:10" ht="15" customHeight="1">
      <c r="A334" s="210" t="str">
        <f>CONCATENATE("TOTAL DO ITEM NÃO DESON. - ",C324)</f>
        <v>TOTAL DO ITEM NÃO DESON. - SEPLAG ARQ 31</v>
      </c>
      <c r="B334" s="424"/>
      <c r="C334" s="424"/>
      <c r="D334" s="424"/>
      <c r="E334" s="424"/>
      <c r="F334" s="425"/>
      <c r="G334" s="426"/>
      <c r="H334" s="1189">
        <f>SUM(H327:H333)</f>
        <v>819.93</v>
      </c>
      <c r="I334" s="214"/>
      <c r="J334" s="215"/>
    </row>
    <row r="335" spans="1:10" ht="15.75" customHeight="1" thickBot="1">
      <c r="A335" s="216" t="str">
        <f>CONCATENATE("TOTAL DO ITEM DESON. - ",C324)</f>
        <v>TOTAL DO ITEM DESON. - SEPLAG ARQ 31</v>
      </c>
      <c r="B335" s="427"/>
      <c r="C335" s="427"/>
      <c r="D335" s="427"/>
      <c r="E335" s="427"/>
      <c r="F335" s="428"/>
      <c r="G335" s="429"/>
      <c r="H335" s="1190"/>
      <c r="I335" s="229"/>
      <c r="J335" s="219">
        <f>SUM(J327:J333)</f>
        <v>813.11</v>
      </c>
    </row>
    <row r="336" spans="1:10" s="155" customFormat="1" ht="15.75" customHeight="1" thickBot="1">
      <c r="A336" s="244"/>
      <c r="B336" s="1131"/>
      <c r="C336" s="1131"/>
      <c r="D336" s="1131"/>
      <c r="E336" s="1131"/>
      <c r="F336" s="1174"/>
      <c r="G336" s="1174"/>
      <c r="H336" s="1174"/>
      <c r="I336" s="221"/>
      <c r="J336" s="221"/>
    </row>
    <row r="337" spans="1:10" ht="23.25" customHeight="1">
      <c r="A337" s="198"/>
      <c r="B337" s="1175"/>
      <c r="C337" s="1152" t="s">
        <v>385</v>
      </c>
      <c r="D337" s="152" t="s">
        <v>204</v>
      </c>
      <c r="E337" s="1176" t="s">
        <v>24</v>
      </c>
      <c r="F337" s="1177" t="s">
        <v>18</v>
      </c>
      <c r="G337" s="1178" t="s">
        <v>7017</v>
      </c>
      <c r="H337" s="1179"/>
      <c r="I337" s="200" t="s">
        <v>7016</v>
      </c>
      <c r="J337" s="201"/>
    </row>
    <row r="338" spans="1:10" ht="15" customHeight="1">
      <c r="A338" s="233"/>
      <c r="B338" s="247"/>
      <c r="C338" s="430"/>
      <c r="D338" s="158"/>
      <c r="E338" s="1155"/>
      <c r="F338" s="1180"/>
      <c r="G338" s="1180" t="s">
        <v>19</v>
      </c>
      <c r="H338" s="1180" t="s">
        <v>20</v>
      </c>
      <c r="I338" s="205" t="s">
        <v>19</v>
      </c>
      <c r="J338" s="206" t="s">
        <v>20</v>
      </c>
    </row>
    <row r="339" spans="1:10" ht="26.25" customHeight="1">
      <c r="A339" s="240"/>
      <c r="B339" s="241"/>
      <c r="C339" s="161" t="s">
        <v>180</v>
      </c>
      <c r="D339" s="161" t="s">
        <v>202</v>
      </c>
      <c r="E339" s="241"/>
      <c r="F339" s="242"/>
      <c r="G339" s="242"/>
      <c r="H339" s="242"/>
      <c r="I339" s="242"/>
      <c r="J339" s="243"/>
    </row>
    <row r="340" spans="1:10" ht="15" customHeight="1">
      <c r="A340" s="208" t="s">
        <v>39</v>
      </c>
      <c r="B340" s="241"/>
      <c r="C340" s="1181">
        <v>4823</v>
      </c>
      <c r="D340" s="161" t="str">
        <f>IF(B340="SEPLAG",VLOOKUP(COMPOSIÇÕES!C340,'MAPA COMPARATIVO'!A:B,2,FALSE),VLOOKUP(C340,'NAO DESO'!A:B,2,0))</f>
        <v>MASSA PLASTICA PARA MARMORE/GRANITO</v>
      </c>
      <c r="E340" s="241" t="str">
        <f>VLOOKUP($C340,'NAO DESO'!$A:$D,3,)</f>
        <v xml:space="preserve">KG    </v>
      </c>
      <c r="F340" s="242">
        <f>0.52*F342</f>
        <v>2.3587200000000004</v>
      </c>
      <c r="G340" s="242">
        <f>IF(B340="SEPLAG",VLOOKUP(CONCATENATE("MEDIANA - ",C340),COTAÇÃO,5,FALSE),VLOOKUP($C340,'NAO DESO'!$A:$D,4,))</f>
        <v>40.53</v>
      </c>
      <c r="H340" s="242">
        <f t="shared" ref="H340:H346" si="22">TRUNC(F340*G340,2)</f>
        <v>95.59</v>
      </c>
      <c r="I340" s="54" t="str">
        <f>IF(B340="SEPLAG",VLOOKUP(CONCATENATE("MEDIANA - ",C340),COTAÇÃO,5,FALSE),VLOOKUP($C340,DESON!$A:$D,4,))</f>
        <v>40,53</v>
      </c>
      <c r="J340" s="209">
        <f t="shared" ref="J340:J346" si="23">TRUNC(F340*I340,2)</f>
        <v>95.59</v>
      </c>
    </row>
    <row r="341" spans="1:10" ht="31.5" customHeight="1">
      <c r="A341" s="208" t="s">
        <v>39</v>
      </c>
      <c r="B341" s="241"/>
      <c r="C341" s="1181">
        <v>7568</v>
      </c>
      <c r="D341" s="161" t="str">
        <f>IF(B341="SEPLAG",VLOOKUP(COMPOSIÇÕES!C341,'MAPA COMPARATIVO'!A:B,2,FALSE),VLOOKUP(C341,'NAO DESO'!A:B,2,0))</f>
        <v>BUCHA DE NYLON SEM ABA S10, COM PARAFUSO DE 6,10 X 65 MM EM ACO ZINCADO COM ROSCA SOBERBA, CABECA CHATA E FENDA PHILLIPS</v>
      </c>
      <c r="E341" s="241" t="str">
        <f>VLOOKUP($C341,'NAO DESO'!$A:$D,3,)</f>
        <v xml:space="preserve">UN    </v>
      </c>
      <c r="F341" s="242">
        <f>F344*3</f>
        <v>24</v>
      </c>
      <c r="G341" s="242">
        <f>IF(B341="SEPLAG",VLOOKUP(CONCATENATE("MEDIANA - ",C341),COTAÇÃO,5,FALSE),VLOOKUP($C341,'NAO DESO'!$A:$D,4,))</f>
        <v>0.61</v>
      </c>
      <c r="H341" s="242">
        <f t="shared" si="22"/>
        <v>14.64</v>
      </c>
      <c r="I341" s="54" t="str">
        <f>IF(B341="SEPLAG",VLOOKUP(CONCATENATE("MEDIANA - ",C341),COTAÇÃO,5,FALSE),VLOOKUP($C341,DESON!$A:$D,4,))</f>
        <v>0,61</v>
      </c>
      <c r="J341" s="209">
        <f t="shared" si="23"/>
        <v>14.64</v>
      </c>
    </row>
    <row r="342" spans="1:10" ht="15" customHeight="1">
      <c r="A342" s="208" t="s">
        <v>39</v>
      </c>
      <c r="B342" s="241"/>
      <c r="C342" s="1181">
        <v>11692</v>
      </c>
      <c r="D342" s="161" t="str">
        <f>IF(B342="SEPLAG",VLOOKUP(COMPOSIÇÕES!C342,'MAPA COMPARATIVO'!A:B,2,FALSE),VLOOKUP(C342,'NAO DESO'!A:B,2,0))</f>
        <v>BANCADA/ BANCA EM MARMORE, POLIDO, BRANCO COMUM, E=  *3* CM</v>
      </c>
      <c r="E342" s="241" t="str">
        <f>VLOOKUP($C342,'NAO DESO'!$A:$D,3,)</f>
        <v xml:space="preserve">M2    </v>
      </c>
      <c r="F342" s="242">
        <f>(3.66+3.9)*0.6</f>
        <v>4.5360000000000005</v>
      </c>
      <c r="G342" s="242">
        <f>IF(B342="SEPLAG",VLOOKUP(CONCATENATE("MEDIANA - ",C342),COTAÇÃO,5,FALSE),VLOOKUP($C342,'NAO DESO'!$A:$D,4,))</f>
        <v>463.09</v>
      </c>
      <c r="H342" s="242">
        <f t="shared" si="22"/>
        <v>2100.5700000000002</v>
      </c>
      <c r="I342" s="54" t="str">
        <f>IF(B342="SEPLAG",VLOOKUP(CONCATENATE("MEDIANA - ",C342),COTAÇÃO,5,FALSE),VLOOKUP($C342,DESON!$A:$D,4,))</f>
        <v>463,09</v>
      </c>
      <c r="J342" s="209">
        <f t="shared" si="23"/>
        <v>2100.5700000000002</v>
      </c>
    </row>
    <row r="343" spans="1:10" ht="15" customHeight="1">
      <c r="A343" s="208" t="s">
        <v>39</v>
      </c>
      <c r="B343" s="241"/>
      <c r="C343" s="1181">
        <v>37329</v>
      </c>
      <c r="D343" s="161" t="str">
        <f>IF(B343="SEPLAG",VLOOKUP(COMPOSIÇÕES!C343,'MAPA COMPARATIVO'!A:B,2,FALSE),VLOOKUP(C343,'NAO DESO'!A:B,2,0))</f>
        <v>REJUNTE EPOXI, QUALQUER COR</v>
      </c>
      <c r="E343" s="241" t="str">
        <f>VLOOKUP($C343,'NAO DESO'!$A:$D,3,)</f>
        <v xml:space="preserve">KG    </v>
      </c>
      <c r="F343" s="242">
        <f>0.02*F342</f>
        <v>9.0720000000000009E-2</v>
      </c>
      <c r="G343" s="242">
        <f>IF(B343="SEPLAG",VLOOKUP(CONCATENATE("MEDIANA - ",C343),COTAÇÃO,5,FALSE),VLOOKUP($C343,'NAO DESO'!$A:$D,4,))</f>
        <v>101.41</v>
      </c>
      <c r="H343" s="242">
        <f t="shared" si="22"/>
        <v>9.19</v>
      </c>
      <c r="I343" s="54" t="str">
        <f>IF(B343="SEPLAG",VLOOKUP(CONCATENATE("MEDIANA - ",C343),COTAÇÃO,5,FALSE),VLOOKUP($C343,DESON!$A:$D,4,))</f>
        <v>101,41</v>
      </c>
      <c r="J343" s="209">
        <f t="shared" si="23"/>
        <v>9.19</v>
      </c>
    </row>
    <row r="344" spans="1:10" ht="26.25" customHeight="1">
      <c r="A344" s="208" t="s">
        <v>39</v>
      </c>
      <c r="B344" s="241"/>
      <c r="C344" s="1181">
        <v>37591</v>
      </c>
      <c r="D344" s="161" t="str">
        <f>IF(B344="SEPLAG",VLOOKUP(COMPOSIÇÕES!C344,'MAPA COMPARATIVO'!A:B,2,FALSE),VLOOKUP(C344,'NAO DESO'!A:B,2,0))</f>
        <v>SUPORTE MAO-FRANCESA EM ACO, ABAS IGUAIS 40 CM, CAPACIDADE MINIMA 70 KG, BRANCO</v>
      </c>
      <c r="E344" s="241" t="str">
        <f>VLOOKUP($C344,'NAO DESO'!$A:$D,3,)</f>
        <v xml:space="preserve">UN    </v>
      </c>
      <c r="F344" s="242">
        <v>8</v>
      </c>
      <c r="G344" s="242">
        <f>IF(B344="SEPLAG",VLOOKUP(CONCATENATE("MEDIANA - ",C344),COTAÇÃO,5,FALSE),VLOOKUP($C344,'NAO DESO'!$A:$D,4,))</f>
        <v>25.94</v>
      </c>
      <c r="H344" s="242">
        <f t="shared" si="22"/>
        <v>207.52</v>
      </c>
      <c r="I344" s="54" t="str">
        <f>IF(B344="SEPLAG",VLOOKUP(CONCATENATE("MEDIANA - ",C344),COTAÇÃO,5,FALSE),VLOOKUP($C344,DESON!$A:$D,4,))</f>
        <v>25,94</v>
      </c>
      <c r="J344" s="209">
        <f t="shared" si="23"/>
        <v>207.52</v>
      </c>
    </row>
    <row r="345" spans="1:10" ht="15" customHeight="1">
      <c r="A345" s="208" t="s">
        <v>245</v>
      </c>
      <c r="B345" s="241"/>
      <c r="C345" s="1181">
        <v>88274</v>
      </c>
      <c r="D345" s="161" t="str">
        <f>IF(B345="SEPLAG",VLOOKUP(COMPOSIÇÕES!C345,'MAPA COMPARATIVO'!A:B,2,FALSE),VLOOKUP(C345,'NAO DESO'!A:B,2,0))</f>
        <v>MARMORISTA/GRANITEIRO COM ENCARGOS COMPLEMENTARES</v>
      </c>
      <c r="E345" s="241" t="str">
        <f>VLOOKUP($C345,'NAO DESO'!$A:$D,3,)</f>
        <v>H</v>
      </c>
      <c r="F345" s="242">
        <f>1.48*F342</f>
        <v>6.713280000000001</v>
      </c>
      <c r="G345" s="242" t="str">
        <f>IF(B345="SEPLAG",VLOOKUP(CONCATENATE("MEDIANA - ",C345),COTAÇÃO,5,FALSE),VLOOKUP($C345,'NAO DESO'!$A:$D,4,))</f>
        <v>21,02</v>
      </c>
      <c r="H345" s="242">
        <f t="shared" si="22"/>
        <v>141.11000000000001</v>
      </c>
      <c r="I345" s="54" t="str">
        <f>IF(B345="SEPLAG",VLOOKUP(CONCATENATE("MEDIANA - ",C345),COTAÇÃO,5,FALSE),VLOOKUP($C345,DESON!$A:$D,4,))</f>
        <v>18,79</v>
      </c>
      <c r="J345" s="209">
        <f t="shared" si="23"/>
        <v>126.14</v>
      </c>
    </row>
    <row r="346" spans="1:10" ht="15" customHeight="1">
      <c r="A346" s="208" t="s">
        <v>245</v>
      </c>
      <c r="B346" s="241"/>
      <c r="C346" s="1181">
        <v>88316</v>
      </c>
      <c r="D346" s="161" t="str">
        <f>IF(B346="SEPLAG",VLOOKUP(COMPOSIÇÕES!C346,'MAPA COMPARATIVO'!A:B,2,FALSE),VLOOKUP(C346,'NAO DESO'!A:B,2,0))</f>
        <v>SERVENTE COM ENCARGOS COMPLEMENTARES</v>
      </c>
      <c r="E346" s="241" t="str">
        <f>VLOOKUP($C346,'NAO DESO'!$A:$D,3,)</f>
        <v>H</v>
      </c>
      <c r="F346" s="242">
        <f>0.98*F342</f>
        <v>4.4452800000000003</v>
      </c>
      <c r="G346" s="242" t="str">
        <f>IF(B346="SEPLAG",VLOOKUP(CONCATENATE("MEDIANA - ",C346),COTAÇÃO,5,FALSE),VLOOKUP($C346,'NAO DESO'!$A:$D,4,))</f>
        <v>16,83</v>
      </c>
      <c r="H346" s="242">
        <f t="shared" si="22"/>
        <v>74.81</v>
      </c>
      <c r="I346" s="54" t="str">
        <f>IF(B346="SEPLAG",VLOOKUP(CONCATENATE("MEDIANA - ",C346),COTAÇÃO,5,FALSE),VLOOKUP($C346,DESON!$A:$D,4,))</f>
        <v>15,16</v>
      </c>
      <c r="J346" s="209">
        <f t="shared" si="23"/>
        <v>67.39</v>
      </c>
    </row>
    <row r="347" spans="1:10" ht="15" customHeight="1">
      <c r="A347" s="210" t="str">
        <f>CONCATENATE("TOTAL DO ITEM NÃO DESON. - ",C337)</f>
        <v>TOTAL DO ITEM NÃO DESON. - SEPLAG ARQ 32</v>
      </c>
      <c r="B347" s="424"/>
      <c r="C347" s="424"/>
      <c r="D347" s="424"/>
      <c r="E347" s="424"/>
      <c r="F347" s="425"/>
      <c r="G347" s="426"/>
      <c r="H347" s="1189">
        <f>SUM(H340:H346)</f>
        <v>2643.4300000000003</v>
      </c>
      <c r="I347" s="214"/>
      <c r="J347" s="215"/>
    </row>
    <row r="348" spans="1:10" ht="15.75" customHeight="1" thickBot="1">
      <c r="A348" s="216" t="str">
        <f>CONCATENATE("TOTAL DO ITEM DESON. - ",C337)</f>
        <v>TOTAL DO ITEM DESON. - SEPLAG ARQ 32</v>
      </c>
      <c r="B348" s="427"/>
      <c r="C348" s="427"/>
      <c r="D348" s="427"/>
      <c r="E348" s="427"/>
      <c r="F348" s="428"/>
      <c r="G348" s="429"/>
      <c r="H348" s="1190"/>
      <c r="I348" s="229"/>
      <c r="J348" s="219">
        <f>SUM(J340:J346)</f>
        <v>2621.04</v>
      </c>
    </row>
    <row r="349" spans="1:10" s="155" customFormat="1" ht="15.75" customHeight="1" thickBot="1">
      <c r="A349" s="244"/>
      <c r="B349" s="1131"/>
      <c r="C349" s="1131"/>
      <c r="D349" s="1131"/>
      <c r="E349" s="1131"/>
      <c r="F349" s="1174"/>
      <c r="G349" s="1174"/>
      <c r="H349" s="1174"/>
      <c r="I349" s="221"/>
      <c r="J349" s="221"/>
    </row>
    <row r="350" spans="1:10" ht="24.75" customHeight="1">
      <c r="A350" s="198"/>
      <c r="B350" s="1175"/>
      <c r="C350" s="1152" t="s">
        <v>386</v>
      </c>
      <c r="D350" s="152" t="s">
        <v>205</v>
      </c>
      <c r="E350" s="1176" t="s">
        <v>24</v>
      </c>
      <c r="F350" s="1177" t="s">
        <v>18</v>
      </c>
      <c r="G350" s="1178" t="s">
        <v>7017</v>
      </c>
      <c r="H350" s="1179"/>
      <c r="I350" s="200" t="s">
        <v>7016</v>
      </c>
      <c r="J350" s="201"/>
    </row>
    <row r="351" spans="1:10" ht="15" customHeight="1">
      <c r="A351" s="233"/>
      <c r="B351" s="247"/>
      <c r="C351" s="430"/>
      <c r="D351" s="158"/>
      <c r="E351" s="1155"/>
      <c r="F351" s="1180"/>
      <c r="G351" s="1180" t="s">
        <v>19</v>
      </c>
      <c r="H351" s="1180" t="s">
        <v>20</v>
      </c>
      <c r="I351" s="205" t="s">
        <v>19</v>
      </c>
      <c r="J351" s="206" t="s">
        <v>20</v>
      </c>
    </row>
    <row r="352" spans="1:10" ht="25.5" customHeight="1">
      <c r="A352" s="240"/>
      <c r="B352" s="241"/>
      <c r="C352" s="241" t="s">
        <v>180</v>
      </c>
      <c r="D352" s="161" t="s">
        <v>202</v>
      </c>
      <c r="E352" s="241"/>
      <c r="F352" s="242"/>
      <c r="G352" s="242"/>
      <c r="H352" s="242"/>
      <c r="I352" s="242"/>
      <c r="J352" s="243"/>
    </row>
    <row r="353" spans="1:10" ht="15" customHeight="1">
      <c r="A353" s="208" t="s">
        <v>39</v>
      </c>
      <c r="B353" s="241"/>
      <c r="C353" s="1181">
        <v>4823</v>
      </c>
      <c r="D353" s="161" t="str">
        <f>IF(B353="SEPLAG",VLOOKUP(COMPOSIÇÕES!C353,'MAPA COMPARATIVO'!A:B,2,FALSE),VLOOKUP(C353,'NAO DESO'!A:B,2,0))</f>
        <v>MASSA PLASTICA PARA MARMORE/GRANITO</v>
      </c>
      <c r="E353" s="241" t="str">
        <f>VLOOKUP($C353,'NAO DESO'!$A:$D,3,)</f>
        <v xml:space="preserve">KG    </v>
      </c>
      <c r="F353" s="242">
        <f>0.52*F355</f>
        <v>0.36191999999999996</v>
      </c>
      <c r="G353" s="242">
        <f>IF(B353="SEPLAG",VLOOKUP(CONCATENATE("MEDIANA - ",C353),COTAÇÃO,5,FALSE),VLOOKUP($C353,'NAO DESO'!$A:$D,4,))</f>
        <v>40.53</v>
      </c>
      <c r="H353" s="242">
        <f t="shared" ref="H353:H359" si="24">TRUNC(F353*G353,2)</f>
        <v>14.66</v>
      </c>
      <c r="I353" s="54" t="str">
        <f>IF(B353="SEPLAG",VLOOKUP(CONCATENATE("MEDIANA - ",C353),COTAÇÃO,5,FALSE),VLOOKUP($C353,DESON!$A:$D,4,))</f>
        <v>40,53</v>
      </c>
      <c r="J353" s="209">
        <f t="shared" ref="J353:J359" si="25">TRUNC(F353*I353,2)</f>
        <v>14.66</v>
      </c>
    </row>
    <row r="354" spans="1:10" ht="31.5" customHeight="1">
      <c r="A354" s="208" t="s">
        <v>39</v>
      </c>
      <c r="B354" s="241"/>
      <c r="C354" s="1181">
        <v>7568</v>
      </c>
      <c r="D354" s="161" t="str">
        <f>IF(B354="SEPLAG",VLOOKUP(COMPOSIÇÕES!C354,'MAPA COMPARATIVO'!A:B,2,FALSE),VLOOKUP(C354,'NAO DESO'!A:B,2,0))</f>
        <v>BUCHA DE NYLON SEM ABA S10, COM PARAFUSO DE 6,10 X 65 MM EM ACO ZINCADO COM ROSCA SOBERBA, CABECA CHATA E FENDA PHILLIPS</v>
      </c>
      <c r="E354" s="241" t="str">
        <f>VLOOKUP($C354,'NAO DESO'!$A:$D,3,)</f>
        <v xml:space="preserve">UN    </v>
      </c>
      <c r="F354" s="242">
        <f>F357*3</f>
        <v>6</v>
      </c>
      <c r="G354" s="242">
        <f>IF(B354="SEPLAG",VLOOKUP(CONCATENATE("MEDIANA - ",C354),COTAÇÃO,5,FALSE),VLOOKUP($C354,'NAO DESO'!$A:$D,4,))</f>
        <v>0.61</v>
      </c>
      <c r="H354" s="242">
        <f t="shared" si="24"/>
        <v>3.66</v>
      </c>
      <c r="I354" s="54" t="str">
        <f>IF(B354="SEPLAG",VLOOKUP(CONCATENATE("MEDIANA - ",C354),COTAÇÃO,5,FALSE),VLOOKUP($C354,DESON!$A:$D,4,))</f>
        <v>0,61</v>
      </c>
      <c r="J354" s="209">
        <f t="shared" si="25"/>
        <v>3.66</v>
      </c>
    </row>
    <row r="355" spans="1:10" ht="15" customHeight="1">
      <c r="A355" s="208" t="s">
        <v>39</v>
      </c>
      <c r="B355" s="241"/>
      <c r="C355" s="1181">
        <v>11692</v>
      </c>
      <c r="D355" s="161" t="str">
        <f>IF(B355="SEPLAG",VLOOKUP(COMPOSIÇÕES!C355,'MAPA COMPARATIVO'!A:B,2,FALSE),VLOOKUP(C355,'NAO DESO'!A:B,2,0))</f>
        <v>BANCADA/ BANCA EM MARMORE, POLIDO, BRANCO COMUM, E=  *3* CM</v>
      </c>
      <c r="E355" s="241" t="str">
        <f>VLOOKUP($C355,'NAO DESO'!$A:$D,3,)</f>
        <v xml:space="preserve">M2    </v>
      </c>
      <c r="F355" s="242">
        <f>(1.16)*0.6</f>
        <v>0.69599999999999995</v>
      </c>
      <c r="G355" s="242">
        <f>IF(B355="SEPLAG",VLOOKUP(CONCATENATE("MEDIANA - ",C355),COTAÇÃO,5,FALSE),VLOOKUP($C355,'NAO DESO'!$A:$D,4,))</f>
        <v>463.09</v>
      </c>
      <c r="H355" s="242">
        <f t="shared" si="24"/>
        <v>322.31</v>
      </c>
      <c r="I355" s="54" t="str">
        <f>IF(B355="SEPLAG",VLOOKUP(CONCATENATE("MEDIANA - ",C355),COTAÇÃO,5,FALSE),VLOOKUP($C355,DESON!$A:$D,4,))</f>
        <v>463,09</v>
      </c>
      <c r="J355" s="209">
        <f t="shared" si="25"/>
        <v>322.31</v>
      </c>
    </row>
    <row r="356" spans="1:10" ht="15" customHeight="1">
      <c r="A356" s="208" t="s">
        <v>39</v>
      </c>
      <c r="B356" s="241"/>
      <c r="C356" s="1181">
        <v>37329</v>
      </c>
      <c r="D356" s="161" t="str">
        <f>IF(B356="SEPLAG",VLOOKUP(COMPOSIÇÕES!C356,'MAPA COMPARATIVO'!A:B,2,FALSE),VLOOKUP(C356,'NAO DESO'!A:B,2,0))</f>
        <v>REJUNTE EPOXI, QUALQUER COR</v>
      </c>
      <c r="E356" s="241" t="str">
        <f>VLOOKUP($C356,'NAO DESO'!$A:$D,3,)</f>
        <v xml:space="preserve">KG    </v>
      </c>
      <c r="F356" s="242">
        <f>0.02*F355</f>
        <v>1.392E-2</v>
      </c>
      <c r="G356" s="242">
        <f>IF(B356="SEPLAG",VLOOKUP(CONCATENATE("MEDIANA - ",C356),COTAÇÃO,5,FALSE),VLOOKUP($C356,'NAO DESO'!$A:$D,4,))</f>
        <v>101.41</v>
      </c>
      <c r="H356" s="242">
        <f t="shared" si="24"/>
        <v>1.41</v>
      </c>
      <c r="I356" s="54" t="str">
        <f>IF(B356="SEPLAG",VLOOKUP(CONCATENATE("MEDIANA - ",C356),COTAÇÃO,5,FALSE),VLOOKUP($C356,DESON!$A:$D,4,))</f>
        <v>101,41</v>
      </c>
      <c r="J356" s="209">
        <f t="shared" si="25"/>
        <v>1.41</v>
      </c>
    </row>
    <row r="357" spans="1:10" ht="26.25" customHeight="1">
      <c r="A357" s="208" t="s">
        <v>39</v>
      </c>
      <c r="B357" s="241"/>
      <c r="C357" s="1181">
        <v>37591</v>
      </c>
      <c r="D357" s="161" t="str">
        <f>IF(B357="SEPLAG",VLOOKUP(COMPOSIÇÕES!C357,'MAPA COMPARATIVO'!A:B,2,FALSE),VLOOKUP(C357,'NAO DESO'!A:B,2,0))</f>
        <v>SUPORTE MAO-FRANCESA EM ACO, ABAS IGUAIS 40 CM, CAPACIDADE MINIMA 70 KG, BRANCO</v>
      </c>
      <c r="E357" s="241" t="str">
        <f>VLOOKUP($C357,'NAO DESO'!$A:$D,3,)</f>
        <v xml:space="preserve">UN    </v>
      </c>
      <c r="F357" s="242">
        <v>2</v>
      </c>
      <c r="G357" s="242">
        <f>IF(B357="SEPLAG",VLOOKUP(CONCATENATE("MEDIANA - ",C357),COTAÇÃO,5,FALSE),VLOOKUP($C357,'NAO DESO'!$A:$D,4,))</f>
        <v>25.94</v>
      </c>
      <c r="H357" s="242">
        <f t="shared" si="24"/>
        <v>51.88</v>
      </c>
      <c r="I357" s="54" t="str">
        <f>IF(B357="SEPLAG",VLOOKUP(CONCATENATE("MEDIANA - ",C357),COTAÇÃO,5,FALSE),VLOOKUP($C357,DESON!$A:$D,4,))</f>
        <v>25,94</v>
      </c>
      <c r="J357" s="209">
        <f t="shared" si="25"/>
        <v>51.88</v>
      </c>
    </row>
    <row r="358" spans="1:10" ht="15" customHeight="1">
      <c r="A358" s="208" t="s">
        <v>245</v>
      </c>
      <c r="B358" s="241"/>
      <c r="C358" s="1181">
        <v>88274</v>
      </c>
      <c r="D358" s="161" t="str">
        <f>IF(B358="SEPLAG",VLOOKUP(COMPOSIÇÕES!C358,'MAPA COMPARATIVO'!A:B,2,FALSE),VLOOKUP(C358,'NAO DESO'!A:B,2,0))</f>
        <v>MARMORISTA/GRANITEIRO COM ENCARGOS COMPLEMENTARES</v>
      </c>
      <c r="E358" s="241" t="str">
        <f>VLOOKUP($C358,'NAO DESO'!$A:$D,3,)</f>
        <v>H</v>
      </c>
      <c r="F358" s="242">
        <f>1.48*F355</f>
        <v>1.0300799999999999</v>
      </c>
      <c r="G358" s="242" t="str">
        <f>IF(B358="SEPLAG",VLOOKUP(CONCATENATE("MEDIANA - ",C358),COTAÇÃO,5,FALSE),VLOOKUP($C358,'NAO DESO'!$A:$D,4,))</f>
        <v>21,02</v>
      </c>
      <c r="H358" s="242">
        <f t="shared" si="24"/>
        <v>21.65</v>
      </c>
      <c r="I358" s="54" t="str">
        <f>IF(B358="SEPLAG",VLOOKUP(CONCATENATE("MEDIANA - ",C358),COTAÇÃO,5,FALSE),VLOOKUP($C358,DESON!$A:$D,4,))</f>
        <v>18,79</v>
      </c>
      <c r="J358" s="209">
        <f t="shared" si="25"/>
        <v>19.350000000000001</v>
      </c>
    </row>
    <row r="359" spans="1:10" ht="15" customHeight="1">
      <c r="A359" s="208" t="s">
        <v>245</v>
      </c>
      <c r="B359" s="241"/>
      <c r="C359" s="1181">
        <v>88316</v>
      </c>
      <c r="D359" s="161" t="str">
        <f>IF(B359="SEPLAG",VLOOKUP(COMPOSIÇÕES!C359,'MAPA COMPARATIVO'!A:B,2,FALSE),VLOOKUP(C359,'NAO DESO'!A:B,2,0))</f>
        <v>SERVENTE COM ENCARGOS COMPLEMENTARES</v>
      </c>
      <c r="E359" s="241" t="str">
        <f>VLOOKUP($C359,'NAO DESO'!$A:$D,3,)</f>
        <v>H</v>
      </c>
      <c r="F359" s="242">
        <f>0.98*F355</f>
        <v>0.68207999999999991</v>
      </c>
      <c r="G359" s="242" t="str">
        <f>IF(B359="SEPLAG",VLOOKUP(CONCATENATE("MEDIANA - ",C359),COTAÇÃO,5,FALSE),VLOOKUP($C359,'NAO DESO'!$A:$D,4,))</f>
        <v>16,83</v>
      </c>
      <c r="H359" s="242">
        <f t="shared" si="24"/>
        <v>11.47</v>
      </c>
      <c r="I359" s="54" t="str">
        <f>IF(B359="SEPLAG",VLOOKUP(CONCATENATE("MEDIANA - ",C359),COTAÇÃO,5,FALSE),VLOOKUP($C359,DESON!$A:$D,4,))</f>
        <v>15,16</v>
      </c>
      <c r="J359" s="209">
        <f t="shared" si="25"/>
        <v>10.34</v>
      </c>
    </row>
    <row r="360" spans="1:10" ht="15" customHeight="1">
      <c r="A360" s="210" t="str">
        <f>CONCATENATE("TOTAL DO ITEM NÃO DESON. - ",C350)</f>
        <v>TOTAL DO ITEM NÃO DESON. - SEPLAG ARQ 33</v>
      </c>
      <c r="B360" s="424"/>
      <c r="C360" s="424"/>
      <c r="D360" s="424"/>
      <c r="E360" s="424"/>
      <c r="F360" s="425"/>
      <c r="G360" s="426"/>
      <c r="H360" s="1189">
        <f>SUM(H353:H359)</f>
        <v>427.04</v>
      </c>
      <c r="I360" s="214"/>
      <c r="J360" s="215"/>
    </row>
    <row r="361" spans="1:10" ht="15.75" customHeight="1" thickBot="1">
      <c r="A361" s="216" t="str">
        <f>CONCATENATE("TOTAL DO ITEM DESON. - ",C350)</f>
        <v>TOTAL DO ITEM DESON. - SEPLAG ARQ 33</v>
      </c>
      <c r="B361" s="427"/>
      <c r="C361" s="427"/>
      <c r="D361" s="427"/>
      <c r="E361" s="427"/>
      <c r="F361" s="428"/>
      <c r="G361" s="429"/>
      <c r="H361" s="1190"/>
      <c r="I361" s="229"/>
      <c r="J361" s="219">
        <f>SUM(J353:J359)</f>
        <v>423.61</v>
      </c>
    </row>
    <row r="362" spans="1:10" ht="15" customHeight="1" thickBot="1">
      <c r="A362" s="223"/>
      <c r="B362" s="1133"/>
      <c r="C362" s="1133"/>
      <c r="D362" s="1133"/>
      <c r="E362" s="1133"/>
      <c r="F362" s="1185"/>
      <c r="G362" s="1185"/>
      <c r="H362" s="1185"/>
      <c r="I362" s="224"/>
      <c r="J362" s="225"/>
    </row>
    <row r="363" spans="1:10" ht="24" customHeight="1">
      <c r="A363" s="198"/>
      <c r="B363" s="1175"/>
      <c r="C363" s="1152" t="s">
        <v>387</v>
      </c>
      <c r="D363" s="152" t="s">
        <v>255</v>
      </c>
      <c r="E363" s="1176" t="s">
        <v>40</v>
      </c>
      <c r="F363" s="1177" t="s">
        <v>18</v>
      </c>
      <c r="G363" s="1178" t="s">
        <v>7017</v>
      </c>
      <c r="H363" s="1179"/>
      <c r="I363" s="200" t="s">
        <v>7016</v>
      </c>
      <c r="J363" s="201"/>
    </row>
    <row r="364" spans="1:10" ht="15.75" customHeight="1">
      <c r="A364" s="233"/>
      <c r="B364" s="247"/>
      <c r="C364" s="430"/>
      <c r="D364" s="158"/>
      <c r="E364" s="1155"/>
      <c r="F364" s="1180"/>
      <c r="G364" s="1180" t="s">
        <v>19</v>
      </c>
      <c r="H364" s="1180" t="s">
        <v>20</v>
      </c>
      <c r="I364" s="205" t="s">
        <v>19</v>
      </c>
      <c r="J364" s="206" t="s">
        <v>20</v>
      </c>
    </row>
    <row r="365" spans="1:10" ht="15" customHeight="1">
      <c r="A365" s="208" t="s">
        <v>348</v>
      </c>
      <c r="B365" s="241"/>
      <c r="C365" s="1181">
        <v>4823</v>
      </c>
      <c r="D365" s="161" t="str">
        <f>IF(B365="SEPLAG",VLOOKUP(COMPOSIÇÕES!C365,'MAPA COMPARATIVO'!A:B,2,FALSE),VLOOKUP(C365,'NAO DESO'!A:B,2,0))</f>
        <v>MASSA PLASTICA PARA MARMORE/GRANITO</v>
      </c>
      <c r="E365" s="241" t="str">
        <f>VLOOKUP($C365,'NAO DESO'!$A:$D,3,)</f>
        <v xml:space="preserve">KG    </v>
      </c>
      <c r="F365" s="242">
        <f>2.35*0.6</f>
        <v>1.41</v>
      </c>
      <c r="G365" s="242">
        <f>IF(B365="SEPLAG",VLOOKUP(CONCATENATE("MEDIANA - ",C365),COTAÇÃO,5,FALSE),VLOOKUP($C365,'NAO DESO'!$A:$D,4,))</f>
        <v>40.53</v>
      </c>
      <c r="H365" s="242">
        <f t="shared" ref="H365:H372" si="26">TRUNC(F365*G365,2)</f>
        <v>57.14</v>
      </c>
      <c r="I365" s="54" t="str">
        <f>IF(B365="SEPLAG",VLOOKUP(CONCATENATE("MEDIANA - ",C365),COTAÇÃO,5,FALSE),VLOOKUP($C365,DESON!$A:$D,4,))</f>
        <v>40,53</v>
      </c>
      <c r="J365" s="209">
        <f t="shared" ref="J365:J372" si="27">TRUNC(F365*I365,2)</f>
        <v>57.14</v>
      </c>
    </row>
    <row r="366" spans="1:10" ht="26.25" customHeight="1">
      <c r="A366" s="208" t="s">
        <v>348</v>
      </c>
      <c r="B366" s="241"/>
      <c r="C366" s="1181">
        <v>11795</v>
      </c>
      <c r="D366" s="161" t="str">
        <f>IF(B366="SEPLAG",VLOOKUP(COMPOSIÇÕES!C366,'MAPA COMPARATIVO'!A:B,2,FALSE),VLOOKUP(C366,'NAO DESO'!A:B,2,0))</f>
        <v>GRANITO PARA BANCADA, POLIDO, TIPO ANDORINHA/ QUARTZ/ CASTELO/ CORUMBA OU OUTROS EQUIVALENTES DA REGIAO, E=  *2,5* CM</v>
      </c>
      <c r="E366" s="241" t="str">
        <f>VLOOKUP($C366,'NAO DESO'!$A:$D,3,)</f>
        <v xml:space="preserve">M2    </v>
      </c>
      <c r="F366" s="242">
        <f>2.35*0.6</f>
        <v>1.41</v>
      </c>
      <c r="G366" s="242">
        <f>IF(B366="SEPLAG",VLOOKUP(CONCATENATE("MEDIANA - ",C366),COTAÇÃO,5,FALSE),VLOOKUP($C366,'NAO DESO'!$A:$D,4,))</f>
        <v>562.26</v>
      </c>
      <c r="H366" s="242">
        <f t="shared" si="26"/>
        <v>792.78</v>
      </c>
      <c r="I366" s="54" t="str">
        <f>IF(B366="SEPLAG",VLOOKUP(CONCATENATE("MEDIANA - ",C366),COTAÇÃO,5,FALSE),VLOOKUP($C366,DESON!$A:$D,4,))</f>
        <v>562,26</v>
      </c>
      <c r="J366" s="209">
        <f t="shared" si="27"/>
        <v>792.78</v>
      </c>
    </row>
    <row r="367" spans="1:10" ht="26.25" customHeight="1">
      <c r="A367" s="208" t="s">
        <v>348</v>
      </c>
      <c r="B367" s="241"/>
      <c r="C367" s="247">
        <v>7568</v>
      </c>
      <c r="D367" s="161" t="str">
        <f>IF(B367="SEPLAG",VLOOKUP(COMPOSIÇÕES!C367,'MAPA COMPARATIVO'!A:B,2,FALSE),VLOOKUP(C367,'NAO DESO'!A:B,2,0))</f>
        <v>BUCHA DE NYLON SEM ABA S10, COM PARAFUSO DE 6,10 X 65 MM EM ACO ZINCADO COM ROSCA SOBERBA, CABECA CHATA E FENDA PHILLIPS</v>
      </c>
      <c r="E367" s="241" t="str">
        <f>VLOOKUP($C367,'NAO DESO'!$A:$D,3,)</f>
        <v xml:space="preserve">UN    </v>
      </c>
      <c r="F367" s="242">
        <v>2</v>
      </c>
      <c r="G367" s="242">
        <f>IF(B367="SEPLAG",VLOOKUP(CONCATENATE("MEDIANA - ",C367),COTAÇÃO,5,FALSE),VLOOKUP($C367,'NAO DESO'!$A:$D,4,))</f>
        <v>0.61</v>
      </c>
      <c r="H367" s="242">
        <f t="shared" si="26"/>
        <v>1.22</v>
      </c>
      <c r="I367" s="54" t="str">
        <f>IF(B367="SEPLAG",VLOOKUP(CONCATENATE("MEDIANA - ",C367),COTAÇÃO,5,FALSE),VLOOKUP($C367,DESON!$A:$D,4,))</f>
        <v>0,61</v>
      </c>
      <c r="J367" s="209">
        <f t="shared" si="27"/>
        <v>1.22</v>
      </c>
    </row>
    <row r="368" spans="1:10" s="245" customFormat="1" ht="38.25" customHeight="1">
      <c r="A368" s="208" t="s">
        <v>348</v>
      </c>
      <c r="B368" s="241"/>
      <c r="C368" s="241">
        <v>86935</v>
      </c>
      <c r="D368" s="161" t="str">
        <f>IF(B368="SEPLAG",VLOOKUP(COMPOSIÇÕES!C368,'MAPA COMPARATIVO'!A:B,2,FALSE),VLOOKUP(C368,'NAO DESO'!A:B,2,0))</f>
        <v>CUBA DE EMBUTIR DE AÇO INOXIDÁVEL MÉDIA, INCLUSO VÁLVULA TIPO AMERICANA EM METAL CROMADO E SIFÃO FLEXÍVEL EM PVC - FORNECIMENTO E INSTALAÇÃO. AF_01/2020</v>
      </c>
      <c r="E368" s="241" t="s">
        <v>183</v>
      </c>
      <c r="F368" s="242">
        <v>1</v>
      </c>
      <c r="G368" s="242" t="str">
        <f>IF(B368="SEPLAG",VLOOKUP(CONCATENATE("MEDIANA - ",C368),COTAÇÃO,5,FALSE),VLOOKUP($C368,'NAO DESO'!$A:$D,4,))</f>
        <v>301,07</v>
      </c>
      <c r="H368" s="242">
        <f t="shared" si="26"/>
        <v>301.07</v>
      </c>
      <c r="I368" s="54" t="str">
        <f>IF(B368="SEPLAG",VLOOKUP(CONCATENATE("MEDIANA - ",C368),COTAÇÃO,5,FALSE),VLOOKUP($C368,DESON!$A:$D,4,))</f>
        <v>299,04</v>
      </c>
      <c r="J368" s="209">
        <f t="shared" si="27"/>
        <v>299.04000000000002</v>
      </c>
    </row>
    <row r="369" spans="1:10" ht="15" customHeight="1">
      <c r="A369" s="208" t="s">
        <v>39</v>
      </c>
      <c r="B369" s="241"/>
      <c r="C369" s="1181">
        <v>37329</v>
      </c>
      <c r="D369" s="161" t="str">
        <f>IF(B369="SEPLAG",VLOOKUP(COMPOSIÇÕES!C369,'MAPA COMPARATIVO'!A:B,2,FALSE),VLOOKUP(C369,'NAO DESO'!A:B,2,0))</f>
        <v>REJUNTE EPOXI, QUALQUER COR</v>
      </c>
      <c r="E369" s="241" t="str">
        <f>VLOOKUP($C369,'NAO DESO'!$A:$D,3,)</f>
        <v xml:space="preserve">KG    </v>
      </c>
      <c r="F369" s="242">
        <f>0.02*F368</f>
        <v>0.02</v>
      </c>
      <c r="G369" s="242">
        <f>IF(B369="SEPLAG",VLOOKUP(CONCATENATE("MEDIANA - ",C369),COTAÇÃO,5,FALSE),VLOOKUP($C369,'NAO DESO'!$A:$D,4,))</f>
        <v>101.41</v>
      </c>
      <c r="H369" s="242">
        <f t="shared" si="26"/>
        <v>2.02</v>
      </c>
      <c r="I369" s="54" t="str">
        <f>IF(B369="SEPLAG",VLOOKUP(CONCATENATE("MEDIANA - ",C369),COTAÇÃO,5,FALSE),VLOOKUP($C369,DESON!$A:$D,4,))</f>
        <v>101,41</v>
      </c>
      <c r="J369" s="209">
        <f t="shared" si="27"/>
        <v>2.02</v>
      </c>
    </row>
    <row r="370" spans="1:10" ht="26.25" customHeight="1">
      <c r="A370" s="208" t="s">
        <v>39</v>
      </c>
      <c r="B370" s="241"/>
      <c r="C370" s="1181">
        <v>37591</v>
      </c>
      <c r="D370" s="161" t="str">
        <f>IF(B370="SEPLAG",VLOOKUP(COMPOSIÇÕES!C370,'MAPA COMPARATIVO'!A:B,2,FALSE),VLOOKUP(C370,'NAO DESO'!A:B,2,0))</f>
        <v>SUPORTE MAO-FRANCESA EM ACO, ABAS IGUAIS 40 CM, CAPACIDADE MINIMA 70 KG, BRANCO</v>
      </c>
      <c r="E370" s="241" t="str">
        <f>VLOOKUP($C370,'NAO DESO'!$A:$D,3,)</f>
        <v xml:space="preserve">UN    </v>
      </c>
      <c r="F370" s="242">
        <v>3</v>
      </c>
      <c r="G370" s="242">
        <f>IF(B370="SEPLAG",VLOOKUP(CONCATENATE("MEDIANA - ",C370),COTAÇÃO,5,FALSE),VLOOKUP($C370,'NAO DESO'!$A:$D,4,))</f>
        <v>25.94</v>
      </c>
      <c r="H370" s="242">
        <f t="shared" si="26"/>
        <v>77.819999999999993</v>
      </c>
      <c r="I370" s="54" t="str">
        <f>IF(B370="SEPLAG",VLOOKUP(CONCATENATE("MEDIANA - ",C370),COTAÇÃO,5,FALSE),VLOOKUP($C370,DESON!$A:$D,4,))</f>
        <v>25,94</v>
      </c>
      <c r="J370" s="209">
        <f t="shared" si="27"/>
        <v>77.819999999999993</v>
      </c>
    </row>
    <row r="371" spans="1:10" ht="15" customHeight="1">
      <c r="A371" s="208" t="s">
        <v>245</v>
      </c>
      <c r="B371" s="241"/>
      <c r="C371" s="1181">
        <v>88274</v>
      </c>
      <c r="D371" s="161" t="str">
        <f>IF(B371="SEPLAG",VLOOKUP(COMPOSIÇÕES!C371,'MAPA COMPARATIVO'!A:B,2,FALSE),VLOOKUP(C371,'NAO DESO'!A:B,2,0))</f>
        <v>MARMORISTA/GRANITEIRO COM ENCARGOS COMPLEMENTARES</v>
      </c>
      <c r="E371" s="241" t="str">
        <f>VLOOKUP($C371,'NAO DESO'!$A:$D,3,)</f>
        <v>H</v>
      </c>
      <c r="F371" s="242">
        <f>1.48*F368</f>
        <v>1.48</v>
      </c>
      <c r="G371" s="242" t="str">
        <f>IF(B371="SEPLAG",VLOOKUP(CONCATENATE("MEDIANA - ",C371),COTAÇÃO,5,FALSE),VLOOKUP($C371,'NAO DESO'!$A:$D,4,))</f>
        <v>21,02</v>
      </c>
      <c r="H371" s="242">
        <f t="shared" si="26"/>
        <v>31.1</v>
      </c>
      <c r="I371" s="54" t="str">
        <f>IF(B371="SEPLAG",VLOOKUP(CONCATENATE("MEDIANA - ",C371),COTAÇÃO,5,FALSE),VLOOKUP($C371,DESON!$A:$D,4,))</f>
        <v>18,79</v>
      </c>
      <c r="J371" s="209">
        <f t="shared" si="27"/>
        <v>27.8</v>
      </c>
    </row>
    <row r="372" spans="1:10" ht="15" customHeight="1">
      <c r="A372" s="208" t="s">
        <v>245</v>
      </c>
      <c r="B372" s="241"/>
      <c r="C372" s="1181">
        <v>88316</v>
      </c>
      <c r="D372" s="161" t="str">
        <f>IF(B372="SEPLAG",VLOOKUP(COMPOSIÇÕES!C372,'MAPA COMPARATIVO'!A:B,2,FALSE),VLOOKUP(C372,'NAO DESO'!A:B,2,0))</f>
        <v>SERVENTE COM ENCARGOS COMPLEMENTARES</v>
      </c>
      <c r="E372" s="241" t="str">
        <f>VLOOKUP($C372,'NAO DESO'!$A:$D,3,)</f>
        <v>H</v>
      </c>
      <c r="F372" s="242">
        <f>0.98*F368</f>
        <v>0.98</v>
      </c>
      <c r="G372" s="242" t="str">
        <f>IF(B372="SEPLAG",VLOOKUP(CONCATENATE("MEDIANA - ",C372),COTAÇÃO,5,FALSE),VLOOKUP($C372,'NAO DESO'!$A:$D,4,))</f>
        <v>16,83</v>
      </c>
      <c r="H372" s="242">
        <f t="shared" si="26"/>
        <v>16.489999999999998</v>
      </c>
      <c r="I372" s="54" t="str">
        <f>IF(B372="SEPLAG",VLOOKUP(CONCATENATE("MEDIANA - ",C372),COTAÇÃO,5,FALSE),VLOOKUP($C372,DESON!$A:$D,4,))</f>
        <v>15,16</v>
      </c>
      <c r="J372" s="209">
        <f t="shared" si="27"/>
        <v>14.85</v>
      </c>
    </row>
    <row r="373" spans="1:10" ht="15" customHeight="1">
      <c r="A373" s="210" t="str">
        <f>CONCATENATE("TOTAL DO ITEM NÃO DESON. - ",C363)</f>
        <v>TOTAL DO ITEM NÃO DESON. - SEPLAG ARQ 34</v>
      </c>
      <c r="B373" s="424"/>
      <c r="C373" s="424"/>
      <c r="D373" s="424"/>
      <c r="E373" s="424"/>
      <c r="F373" s="425"/>
      <c r="G373" s="426"/>
      <c r="H373" s="1189">
        <f>SUM(H365:H372)</f>
        <v>1279.6399999999999</v>
      </c>
      <c r="I373" s="214"/>
      <c r="J373" s="215"/>
    </row>
    <row r="374" spans="1:10" ht="15.75" customHeight="1" thickBot="1">
      <c r="A374" s="216" t="str">
        <f>CONCATENATE("TOTAL DO ITEM DESON. - ",C363)</f>
        <v>TOTAL DO ITEM DESON. - SEPLAG ARQ 34</v>
      </c>
      <c r="B374" s="427"/>
      <c r="C374" s="427"/>
      <c r="D374" s="427"/>
      <c r="E374" s="427"/>
      <c r="F374" s="428"/>
      <c r="G374" s="429"/>
      <c r="H374" s="1190"/>
      <c r="I374" s="229"/>
      <c r="J374" s="219">
        <f>SUM(J365:J372)</f>
        <v>1272.6699999999998</v>
      </c>
    </row>
    <row r="375" spans="1:10" ht="15" customHeight="1" thickBot="1">
      <c r="A375" s="223"/>
      <c r="B375" s="1133"/>
      <c r="C375" s="1133"/>
      <c r="D375" s="1133"/>
      <c r="E375" s="1133"/>
      <c r="F375" s="1185"/>
      <c r="G375" s="1185"/>
      <c r="H375" s="1185"/>
      <c r="I375" s="224"/>
      <c r="J375" s="225"/>
    </row>
    <row r="376" spans="1:10" ht="24.75" customHeight="1">
      <c r="A376" s="198"/>
      <c r="B376" s="1175"/>
      <c r="C376" s="1152" t="s">
        <v>388</v>
      </c>
      <c r="D376" s="152" t="s">
        <v>7647</v>
      </c>
      <c r="E376" s="1176" t="s">
        <v>24</v>
      </c>
      <c r="F376" s="1177" t="s">
        <v>18</v>
      </c>
      <c r="G376" s="1178" t="s">
        <v>7017</v>
      </c>
      <c r="H376" s="1179"/>
      <c r="I376" s="200" t="s">
        <v>7016</v>
      </c>
      <c r="J376" s="201"/>
    </row>
    <row r="377" spans="1:10" ht="12.75" customHeight="1">
      <c r="A377" s="233"/>
      <c r="B377" s="247"/>
      <c r="C377" s="430"/>
      <c r="D377" s="158"/>
      <c r="E377" s="1155"/>
      <c r="F377" s="1180"/>
      <c r="G377" s="1180" t="s">
        <v>19</v>
      </c>
      <c r="H377" s="1180" t="s">
        <v>20</v>
      </c>
      <c r="I377" s="205" t="s">
        <v>19</v>
      </c>
      <c r="J377" s="206" t="s">
        <v>20</v>
      </c>
    </row>
    <row r="378" spans="1:10" ht="25.5" customHeight="1">
      <c r="A378" s="240"/>
      <c r="B378" s="241"/>
      <c r="C378" s="241" t="s">
        <v>200</v>
      </c>
      <c r="D378" s="161" t="s">
        <v>206</v>
      </c>
      <c r="E378" s="241"/>
      <c r="F378" s="242"/>
      <c r="G378" s="242"/>
      <c r="H378" s="242"/>
      <c r="I378" s="242"/>
      <c r="J378" s="243"/>
    </row>
    <row r="379" spans="1:10" ht="30" customHeight="1">
      <c r="A379" s="208" t="s">
        <v>245</v>
      </c>
      <c r="B379" s="241"/>
      <c r="C379" s="1191">
        <v>103328</v>
      </c>
      <c r="D379" s="161" t="str">
        <f>IF(B379="SEPLAG",VLOOKUP(COMPOSIÇÕES!C379,'MAPA COMPARATIVO'!A:B,2,FALSE),VLOOKUP(C379,'NAO DESO'!A:B,2,0))</f>
        <v>ALVENARIA DE VEDAÇÃO DE BLOCOS CERÂMICOS FURADOS NA HORIZONTAL DE 9X19X19 CM (ESPESSURA 9 CM) E ARGAMASSA DE ASSENTAMENTO COM PREPARO EM BETONEIRA. AF_12/2021</v>
      </c>
      <c r="E379" s="241" t="str">
        <f>VLOOKUP($C379,'NAO DESO'!$A:$D,3,)</f>
        <v>M2</v>
      </c>
      <c r="F379" s="242">
        <v>0.16</v>
      </c>
      <c r="G379" s="242" t="str">
        <f>IF(B379="SEPLAG",VLOOKUP(CONCATENATE("MEDIANA - ",C379),COTAÇÃO,5,FALSE),VLOOKUP($C379,'NAO DESO'!$A:$D,4,))</f>
        <v>78,91</v>
      </c>
      <c r="H379" s="242">
        <f t="shared" ref="H379:H384" si="28">TRUNC(F379*G379,2)</f>
        <v>12.62</v>
      </c>
      <c r="I379" s="54" t="str">
        <f>IF(B379="SEPLAG",VLOOKUP(CONCATENATE("MEDIANA - ",C379),COTAÇÃO,5,FALSE),VLOOKUP($C379,DESON!$A:$D,4,))</f>
        <v>73,90</v>
      </c>
      <c r="J379" s="209">
        <f t="shared" ref="J379:J384" si="29">TRUNC(F379*I379,2)</f>
        <v>11.82</v>
      </c>
    </row>
    <row r="380" spans="1:10" s="245" customFormat="1" ht="38.25" customHeight="1">
      <c r="A380" s="208" t="s">
        <v>245</v>
      </c>
      <c r="B380" s="241"/>
      <c r="C380" s="241">
        <v>87317</v>
      </c>
      <c r="D380" s="161" t="str">
        <f>IF(B380="SEPLAG",VLOOKUP(COMPOSIÇÕES!C380,'MAPA COMPARATIVO'!A:B,2,FALSE),VLOOKUP(C380,'NAO DESO'!A:B,2,0))</f>
        <v>ARGAMASSA TRAÇO 1:4 (EM VOLUME DE CIMENTO E AREIA GROSSA ÚMIDA) PARA CHAPISCO CONVENCIONAL, PREPARO MECÂNICO COM BETONEIRA 600 L. AF_08/2019</v>
      </c>
      <c r="E380" s="241" t="str">
        <f>VLOOKUP($C380,'NAO DESO'!$A:$D,3,)</f>
        <v>M3</v>
      </c>
      <c r="F380" s="242">
        <v>1.6000000000000001E-3</v>
      </c>
      <c r="G380" s="242" t="str">
        <f>IF(B380="SEPLAG",VLOOKUP(CONCATENATE("MEDIANA - ",C380),COTAÇÃO,5,FALSE),VLOOKUP($C380,'NAO DESO'!$A:$D,4,))</f>
        <v>399,82</v>
      </c>
      <c r="H380" s="242">
        <f t="shared" si="28"/>
        <v>0.63</v>
      </c>
      <c r="I380" s="54" t="str">
        <f>IF(B380="SEPLAG",VLOOKUP(CONCATENATE("MEDIANA - ",C380),COTAÇÃO,5,FALSE),VLOOKUP($C380,DESON!$A:$D,4,))</f>
        <v>393,90</v>
      </c>
      <c r="J380" s="209">
        <f t="shared" si="29"/>
        <v>0.63</v>
      </c>
    </row>
    <row r="381" spans="1:10" ht="39" customHeight="1">
      <c r="A381" s="208" t="s">
        <v>245</v>
      </c>
      <c r="B381" s="241"/>
      <c r="C381" s="241">
        <v>101963</v>
      </c>
      <c r="D381" s="161" t="str">
        <f>IF(B381="SEPLAG",VLOOKUP(COMPOSIÇÕES!C381,'MAPA COMPARATIVO'!A:B,2,FALSE),VLOOKUP(C381,'NAO DESO'!A:B,2,0))</f>
        <v>LAJE PRÉ-MOLDADA UNIDIRECIONAL, BIAPOIADA, PARA PISO, ENCHIMENTO EM CERÂMICA, VIGOTA CONVENCIONAL, ALTURA TOTAL DA LAJE (ENCHIMENTO+CAPA) = (8+4). AF_11/2020</v>
      </c>
      <c r="E381" s="241" t="str">
        <f>VLOOKUP($C381,'NAO DESO'!$A:$D,3,)</f>
        <v>M2</v>
      </c>
      <c r="F381" s="242">
        <v>0.4</v>
      </c>
      <c r="G381" s="242" t="str">
        <f>IF(B381="SEPLAG",VLOOKUP(CONCATENATE("MEDIANA - ",C381),COTAÇÃO,5,FALSE),VLOOKUP($C381,'NAO DESO'!$A:$D,4,))</f>
        <v>191,09</v>
      </c>
      <c r="H381" s="242">
        <f t="shared" si="28"/>
        <v>76.430000000000007</v>
      </c>
      <c r="I381" s="54" t="str">
        <f>IF(B381="SEPLAG",VLOOKUP(CONCATENATE("MEDIANA - ",C381),COTAÇÃO,5,FALSE),VLOOKUP($C381,DESON!$A:$D,4,))</f>
        <v>187,96</v>
      </c>
      <c r="J381" s="209">
        <f t="shared" si="29"/>
        <v>75.180000000000007</v>
      </c>
    </row>
    <row r="382" spans="1:10" ht="15" customHeight="1">
      <c r="A382" s="208" t="s">
        <v>245</v>
      </c>
      <c r="B382" s="241"/>
      <c r="C382" s="241">
        <v>88309</v>
      </c>
      <c r="D382" s="161" t="str">
        <f>IF(B382="SEPLAG",VLOOKUP(COMPOSIÇÕES!C382,'MAPA COMPARATIVO'!A:B,2,FALSE),VLOOKUP(C382,'NAO DESO'!A:B,2,0))</f>
        <v>PEDREIRO COM ENCARGOS COMPLEMENTARES</v>
      </c>
      <c r="E382" s="241" t="str">
        <f>VLOOKUP($C382,'NAO DESO'!$A:$D,3,)</f>
        <v>H</v>
      </c>
      <c r="F382" s="242">
        <v>1.8</v>
      </c>
      <c r="G382" s="242" t="str">
        <f>IF(B382="SEPLAG",VLOOKUP(CONCATENATE("MEDIANA - ",C382),COTAÇÃO,5,FALSE),VLOOKUP($C382,'NAO DESO'!$A:$D,4,))</f>
        <v>21,10</v>
      </c>
      <c r="H382" s="242">
        <f t="shared" si="28"/>
        <v>37.979999999999997</v>
      </c>
      <c r="I382" s="54" t="str">
        <f>IF(B382="SEPLAG",VLOOKUP(CONCATENATE("MEDIANA - ",C382),COTAÇÃO,5,FALSE),VLOOKUP($C382,DESON!$A:$D,4,))</f>
        <v>18,86</v>
      </c>
      <c r="J382" s="209">
        <f t="shared" si="29"/>
        <v>33.94</v>
      </c>
    </row>
    <row r="383" spans="1:10" ht="26.25" customHeight="1">
      <c r="A383" s="208" t="s">
        <v>245</v>
      </c>
      <c r="B383" s="241"/>
      <c r="C383" s="241">
        <v>102494</v>
      </c>
      <c r="D383" s="161" t="str">
        <f>IF(B383="SEPLAG",VLOOKUP(COMPOSIÇÕES!C383,'MAPA COMPARATIVO'!A:B,2,FALSE),VLOOKUP(C383,'NAO DESO'!A:B,2,0))</f>
        <v>PINTURA DE PISO COM TINTA EPÓXI, APLICAÇÃO MANUAL, 2 DEMÃOS, INCLUSO PRIMER EPÓXI. AF_05/2021</v>
      </c>
      <c r="E383" s="241" t="str">
        <f>VLOOKUP($C383,'NAO DESO'!$A:$D,3,)</f>
        <v>M2</v>
      </c>
      <c r="F383" s="242">
        <v>0.9</v>
      </c>
      <c r="G383" s="242" t="str">
        <f>IF(B383="SEPLAG",VLOOKUP(CONCATENATE("MEDIANA - ",C383),COTAÇÃO,5,FALSE),VLOOKUP($C383,'NAO DESO'!$A:$D,4,))</f>
        <v>47,73</v>
      </c>
      <c r="H383" s="242">
        <f t="shared" si="28"/>
        <v>42.95</v>
      </c>
      <c r="I383" s="54" t="str">
        <f>IF(B383="SEPLAG",VLOOKUP(CONCATENATE("MEDIANA - ",C383),COTAÇÃO,5,FALSE),VLOOKUP($C383,DESON!$A:$D,4,))</f>
        <v>46,93</v>
      </c>
      <c r="J383" s="209">
        <f t="shared" si="29"/>
        <v>42.23</v>
      </c>
    </row>
    <row r="384" spans="1:10" ht="15" customHeight="1">
      <c r="A384" s="208" t="s">
        <v>245</v>
      </c>
      <c r="B384" s="241"/>
      <c r="C384" s="1181">
        <v>88316</v>
      </c>
      <c r="D384" s="161" t="str">
        <f>IF(B384="SEPLAG",VLOOKUP(COMPOSIÇÕES!C384,'MAPA COMPARATIVO'!A:B,2,FALSE),VLOOKUP(C384,'NAO DESO'!A:B,2,0))</f>
        <v>SERVENTE COM ENCARGOS COMPLEMENTARES</v>
      </c>
      <c r="E384" s="241" t="str">
        <f>VLOOKUP($C384,'NAO DESO'!$A:$D,3,)</f>
        <v>H</v>
      </c>
      <c r="F384" s="242">
        <v>1.8</v>
      </c>
      <c r="G384" s="242" t="str">
        <f>IF(B384="SEPLAG",VLOOKUP(CONCATENATE("MEDIANA - ",C384),COTAÇÃO,5,FALSE),VLOOKUP($C384,'NAO DESO'!$A:$D,4,))</f>
        <v>16,83</v>
      </c>
      <c r="H384" s="242">
        <f t="shared" si="28"/>
        <v>30.29</v>
      </c>
      <c r="I384" s="54" t="str">
        <f>IF(B384="SEPLAG",VLOOKUP(CONCATENATE("MEDIANA - ",C384),COTAÇÃO,5,FALSE),VLOOKUP($C384,DESON!$A:$D,4,))</f>
        <v>15,16</v>
      </c>
      <c r="J384" s="209">
        <f t="shared" si="29"/>
        <v>27.28</v>
      </c>
    </row>
    <row r="385" spans="1:10" ht="15" customHeight="1">
      <c r="A385" s="210" t="str">
        <f>CONCATENATE("TOTAL DO ITEM NÃO DESON. - ",C376)</f>
        <v>TOTAL DO ITEM NÃO DESON. - SEPLAG ARQ 35</v>
      </c>
      <c r="B385" s="424"/>
      <c r="C385" s="424"/>
      <c r="D385" s="424"/>
      <c r="E385" s="424"/>
      <c r="F385" s="425"/>
      <c r="G385" s="426"/>
      <c r="H385" s="1189">
        <f>SUM(H379:H384)</f>
        <v>200.9</v>
      </c>
      <c r="I385" s="214"/>
      <c r="J385" s="215"/>
    </row>
    <row r="386" spans="1:10" ht="15.75" customHeight="1" thickBot="1">
      <c r="A386" s="216" t="str">
        <f>CONCATENATE("TOTAL DO ITEM DESON. - ",C376)</f>
        <v>TOTAL DO ITEM DESON. - SEPLAG ARQ 35</v>
      </c>
      <c r="B386" s="427"/>
      <c r="C386" s="427"/>
      <c r="D386" s="427"/>
      <c r="E386" s="427"/>
      <c r="F386" s="428"/>
      <c r="G386" s="429"/>
      <c r="H386" s="1190"/>
      <c r="I386" s="229"/>
      <c r="J386" s="219">
        <f>SUM(J379:J384)</f>
        <v>191.08</v>
      </c>
    </row>
    <row r="387" spans="1:10" ht="15" customHeight="1" thickBot="1">
      <c r="A387" s="223"/>
      <c r="B387" s="1133"/>
      <c r="C387" s="1133"/>
      <c r="D387" s="1133"/>
      <c r="E387" s="1133"/>
      <c r="F387" s="1185"/>
      <c r="G387" s="1185"/>
      <c r="H387" s="1185"/>
      <c r="I387" s="224"/>
      <c r="J387" s="225"/>
    </row>
    <row r="388" spans="1:10" ht="29.25" customHeight="1">
      <c r="A388" s="198"/>
      <c r="B388" s="1175"/>
      <c r="C388" s="1152" t="s">
        <v>389</v>
      </c>
      <c r="D388" s="152" t="s">
        <v>210</v>
      </c>
      <c r="E388" s="1176" t="s">
        <v>24</v>
      </c>
      <c r="F388" s="1177" t="s">
        <v>18</v>
      </c>
      <c r="G388" s="1178" t="s">
        <v>7017</v>
      </c>
      <c r="H388" s="1179"/>
      <c r="I388" s="200" t="s">
        <v>7016</v>
      </c>
      <c r="J388" s="201"/>
    </row>
    <row r="389" spans="1:10" ht="15.75" customHeight="1">
      <c r="A389" s="233"/>
      <c r="B389" s="247"/>
      <c r="C389" s="430"/>
      <c r="D389" s="158"/>
      <c r="E389" s="1155"/>
      <c r="F389" s="1180"/>
      <c r="G389" s="1180" t="s">
        <v>19</v>
      </c>
      <c r="H389" s="1180" t="s">
        <v>20</v>
      </c>
      <c r="I389" s="205" t="s">
        <v>19</v>
      </c>
      <c r="J389" s="206" t="s">
        <v>20</v>
      </c>
    </row>
    <row r="390" spans="1:10" ht="25.5" customHeight="1">
      <c r="A390" s="240"/>
      <c r="B390" s="241"/>
      <c r="C390" s="161" t="s">
        <v>180</v>
      </c>
      <c r="D390" s="161" t="s">
        <v>209</v>
      </c>
      <c r="E390" s="241"/>
      <c r="F390" s="242"/>
      <c r="G390" s="242"/>
      <c r="H390" s="242"/>
      <c r="I390" s="242"/>
      <c r="J390" s="243"/>
    </row>
    <row r="391" spans="1:10" ht="18" customHeight="1">
      <c r="A391" s="208" t="s">
        <v>39</v>
      </c>
      <c r="B391" s="241"/>
      <c r="C391" s="1181">
        <v>4823</v>
      </c>
      <c r="D391" s="161" t="str">
        <f>IF(B391="SEPLAG",VLOOKUP(COMPOSIÇÕES!C391,'MAPA COMPARATIVO'!A:B,2,FALSE),VLOOKUP(C391,'NAO DESO'!A:B,2,0))</f>
        <v>MASSA PLASTICA PARA MARMORE/GRANITO</v>
      </c>
      <c r="E391" s="241" t="str">
        <f>VLOOKUP($C391,'NAO DESO'!$A:$D,3,)</f>
        <v xml:space="preserve">KG    </v>
      </c>
      <c r="F391" s="242">
        <v>0.52</v>
      </c>
      <c r="G391" s="242">
        <f>IF(B391="SEPLAG",VLOOKUP(CONCATENATE("MEDIANA - ",C391),COTAÇÃO,5,FALSE),VLOOKUP($C391,'NAO DESO'!$A:$D,4,))</f>
        <v>40.53</v>
      </c>
      <c r="H391" s="242">
        <f>TRUNC(F391*G391,2)</f>
        <v>21.07</v>
      </c>
      <c r="I391" s="54" t="str">
        <f>IF(B391="SEPLAG",VLOOKUP(CONCATENATE("MEDIANA - ",C391),COTAÇÃO,5,FALSE),VLOOKUP($C391,DESON!$A:$D,4,))</f>
        <v>40,53</v>
      </c>
      <c r="J391" s="209">
        <f>TRUNC(F391*I391,2)</f>
        <v>21.07</v>
      </c>
    </row>
    <row r="392" spans="1:10" s="245" customFormat="1" ht="25.5" customHeight="1">
      <c r="A392" s="208" t="s">
        <v>39</v>
      </c>
      <c r="B392" s="241" t="s">
        <v>14504</v>
      </c>
      <c r="C392" s="241" t="s">
        <v>14292</v>
      </c>
      <c r="D392" s="161" t="str">
        <f>IF(B392="SEPLAG",VLOOKUP(COMPOSIÇÕES!C392,'MAPA COMPARATIVO'!A:B,2,FALSE),VLOOKUP(C392,'NAO DESO'!A:B,2,0))</f>
        <v>LAVATORIO / CUBA DE EMBUTIR, OVAL, DE LOUCA BRANCA, SEM LADRAO, DIMENSOES *48,5 X 37,5* CM (L X C)</v>
      </c>
      <c r="E392" s="241" t="s">
        <v>183</v>
      </c>
      <c r="F392" s="242">
        <v>1</v>
      </c>
      <c r="G392" s="242">
        <f>IF(B392="SEPLAG",VLOOKUP(CONCATENATE("MEDIANA - ",C392),COTAÇÃO,5,FALSE),VLOOKUP($C392,'NAO DESO'!$A:$D,4,))</f>
        <v>90.05</v>
      </c>
      <c r="H392" s="242">
        <f>TRUNC(F392*G392,2)</f>
        <v>90.05</v>
      </c>
      <c r="I392" s="54">
        <f>IF(B392="SEPLAG",VLOOKUP(CONCATENATE("MEDIANA - ",C392),COTAÇÃO,5,FALSE),VLOOKUP($C392,DESON!$A:$D,4,))</f>
        <v>90.05</v>
      </c>
      <c r="J392" s="209">
        <f>TRUNC(F392*I392,2)</f>
        <v>90.05</v>
      </c>
    </row>
    <row r="393" spans="1:10" ht="23.25" customHeight="1">
      <c r="A393" s="208" t="s">
        <v>245</v>
      </c>
      <c r="B393" s="241"/>
      <c r="C393" s="1181">
        <v>88274</v>
      </c>
      <c r="D393" s="161" t="str">
        <f>IF(B393="SEPLAG",VLOOKUP(COMPOSIÇÕES!C393,'MAPA COMPARATIVO'!A:B,2,FALSE),VLOOKUP(C393,'NAO DESO'!A:B,2,0))</f>
        <v>MARMORISTA/GRANITEIRO COM ENCARGOS COMPLEMENTARES</v>
      </c>
      <c r="E393" s="241" t="str">
        <f>VLOOKUP($C393,'NAO DESO'!$A:$D,3,)</f>
        <v>H</v>
      </c>
      <c r="F393" s="242">
        <v>0.84</v>
      </c>
      <c r="G393" s="242" t="str">
        <f>IF(B393="SEPLAG",VLOOKUP(CONCATENATE("MEDIANA - ",C393),COTAÇÃO,5,FALSE),VLOOKUP($C393,'NAO DESO'!$A:$D,4,))</f>
        <v>21,02</v>
      </c>
      <c r="H393" s="242">
        <f>TRUNC(F393*G393,2)</f>
        <v>17.649999999999999</v>
      </c>
      <c r="I393" s="54" t="str">
        <f>IF(B393="SEPLAG",VLOOKUP(CONCATENATE("MEDIANA - ",C393),COTAÇÃO,5,FALSE),VLOOKUP($C393,DESON!$A:$D,4,))</f>
        <v>18,79</v>
      </c>
      <c r="J393" s="209">
        <f>TRUNC(F393*I393,2)</f>
        <v>15.78</v>
      </c>
    </row>
    <row r="394" spans="1:10" ht="24" customHeight="1">
      <c r="A394" s="208" t="s">
        <v>245</v>
      </c>
      <c r="B394" s="241"/>
      <c r="C394" s="1181">
        <v>88316</v>
      </c>
      <c r="D394" s="161" t="str">
        <f>IF(B394="SEPLAG",VLOOKUP(COMPOSIÇÕES!C394,'MAPA COMPARATIVO'!A:B,2,FALSE),VLOOKUP(C394,'NAO DESO'!A:B,2,0))</f>
        <v>SERVENTE COM ENCARGOS COMPLEMENTARES</v>
      </c>
      <c r="E394" s="241" t="str">
        <f>VLOOKUP($C394,'NAO DESO'!$A:$D,3,)</f>
        <v>H</v>
      </c>
      <c r="F394" s="242">
        <v>0.26</v>
      </c>
      <c r="G394" s="242" t="str">
        <f>IF(B394="SEPLAG",VLOOKUP(CONCATENATE("MEDIANA - ",C394),COTAÇÃO,5,FALSE),VLOOKUP($C394,'NAO DESO'!$A:$D,4,))</f>
        <v>16,83</v>
      </c>
      <c r="H394" s="242">
        <f>TRUNC(F394*G394,2)</f>
        <v>4.37</v>
      </c>
      <c r="I394" s="54" t="str">
        <f>IF(B394="SEPLAG",VLOOKUP(CONCATENATE("MEDIANA - ",C394),COTAÇÃO,5,FALSE),VLOOKUP($C394,DESON!$A:$D,4,))</f>
        <v>15,16</v>
      </c>
      <c r="J394" s="209">
        <f>TRUNC(F394*I394,2)</f>
        <v>3.94</v>
      </c>
    </row>
    <row r="395" spans="1:10" ht="15" customHeight="1">
      <c r="A395" s="210" t="str">
        <f>CONCATENATE("TOTAL DO ITEM NÃO DESON. - ",C388)</f>
        <v>TOTAL DO ITEM NÃO DESON. - SEPLAG ARQ 36</v>
      </c>
      <c r="B395" s="424"/>
      <c r="C395" s="424"/>
      <c r="D395" s="424"/>
      <c r="E395" s="424"/>
      <c r="F395" s="425"/>
      <c r="G395" s="426"/>
      <c r="H395" s="1189">
        <f>SUM(H391:H394)</f>
        <v>133.14000000000001</v>
      </c>
      <c r="I395" s="214"/>
      <c r="J395" s="215"/>
    </row>
    <row r="396" spans="1:10" ht="15.75" customHeight="1" thickBot="1">
      <c r="A396" s="216" t="str">
        <f>CONCATENATE("TOTAL DO ITEM DESON. - ",C388)</f>
        <v>TOTAL DO ITEM DESON. - SEPLAG ARQ 36</v>
      </c>
      <c r="B396" s="427"/>
      <c r="C396" s="427"/>
      <c r="D396" s="427"/>
      <c r="E396" s="427"/>
      <c r="F396" s="428"/>
      <c r="G396" s="429"/>
      <c r="H396" s="1190"/>
      <c r="I396" s="229"/>
      <c r="J396" s="219">
        <f>SUM(J391:J394)</f>
        <v>130.84</v>
      </c>
    </row>
    <row r="397" spans="1:10" ht="15" customHeight="1" thickBot="1">
      <c r="A397" s="223"/>
      <c r="B397" s="1133"/>
      <c r="C397" s="1133"/>
      <c r="D397" s="1133"/>
      <c r="E397" s="1133"/>
      <c r="F397" s="1185"/>
      <c r="G397" s="1185"/>
      <c r="H397" s="1185"/>
      <c r="I397" s="224"/>
      <c r="J397" s="225"/>
    </row>
    <row r="398" spans="1:10" ht="30" customHeight="1">
      <c r="A398" s="198"/>
      <c r="B398" s="1175"/>
      <c r="C398" s="1152" t="s">
        <v>390</v>
      </c>
      <c r="D398" s="152" t="s">
        <v>211</v>
      </c>
      <c r="E398" s="1176" t="s">
        <v>24</v>
      </c>
      <c r="F398" s="1177" t="s">
        <v>18</v>
      </c>
      <c r="G398" s="1178" t="s">
        <v>7017</v>
      </c>
      <c r="H398" s="1179"/>
      <c r="I398" s="200" t="s">
        <v>7016</v>
      </c>
      <c r="J398" s="201"/>
    </row>
    <row r="399" spans="1:10" ht="18.75" customHeight="1">
      <c r="A399" s="233"/>
      <c r="B399" s="247"/>
      <c r="C399" s="430"/>
      <c r="D399" s="158"/>
      <c r="E399" s="1155"/>
      <c r="F399" s="1180"/>
      <c r="G399" s="1180" t="s">
        <v>19</v>
      </c>
      <c r="H399" s="1180" t="s">
        <v>20</v>
      </c>
      <c r="I399" s="205" t="s">
        <v>19</v>
      </c>
      <c r="J399" s="206" t="s">
        <v>20</v>
      </c>
    </row>
    <row r="400" spans="1:10" ht="25.5" customHeight="1">
      <c r="A400" s="240"/>
      <c r="B400" s="241"/>
      <c r="C400" s="161" t="s">
        <v>180</v>
      </c>
      <c r="D400" s="161" t="s">
        <v>209</v>
      </c>
      <c r="E400" s="241"/>
      <c r="F400" s="242"/>
      <c r="G400" s="242"/>
      <c r="H400" s="242"/>
      <c r="I400" s="242"/>
      <c r="J400" s="243"/>
    </row>
    <row r="401" spans="1:10" ht="15" customHeight="1">
      <c r="A401" s="208" t="s">
        <v>39</v>
      </c>
      <c r="B401" s="241"/>
      <c r="C401" s="1192">
        <v>4823</v>
      </c>
      <c r="D401" s="161" t="str">
        <f>IF(B401="SEPLAG",VLOOKUP(COMPOSIÇÕES!C401,'MAPA COMPARATIVO'!A:B,2,FALSE),VLOOKUP(C401,'NAO DESO'!A:B,2,0))</f>
        <v>MASSA PLASTICA PARA MARMORE/GRANITO</v>
      </c>
      <c r="E401" s="241" t="str">
        <f>VLOOKUP($C401,'NAO DESO'!$A:$D,3,)</f>
        <v xml:space="preserve">KG    </v>
      </c>
      <c r="F401" s="242">
        <v>0.52</v>
      </c>
      <c r="G401" s="242">
        <f>IF(B401="SEPLAG",VLOOKUP(CONCATENATE("MEDIANA - ",C401),COTAÇÃO,5,FALSE),VLOOKUP($C401,'NAO DESO'!$A:$D,4,))</f>
        <v>40.53</v>
      </c>
      <c r="H401" s="242">
        <f>TRUNC(F401*G401,2)</f>
        <v>21.07</v>
      </c>
      <c r="I401" s="54" t="str">
        <f>IF(B401="SEPLAG",VLOOKUP(CONCATENATE("MEDIANA - ",C401),COTAÇÃO,5,FALSE),VLOOKUP($C401,DESON!$A:$D,4,))</f>
        <v>40,53</v>
      </c>
      <c r="J401" s="209">
        <f>TRUNC(F401*I401,2)</f>
        <v>21.07</v>
      </c>
    </row>
    <row r="402" spans="1:10" ht="14.25" customHeight="1">
      <c r="A402" s="208" t="s">
        <v>39</v>
      </c>
      <c r="B402" s="241" t="s">
        <v>14504</v>
      </c>
      <c r="C402" s="247" t="s">
        <v>14293</v>
      </c>
      <c r="D402" s="161" t="str">
        <f>IF(B402="SEPLAG",VLOOKUP(COMPOSIÇÕES!C402,'MAPA COMPARATIVO'!A:B,2,FALSE),VLOOKUP(C402,'NAO DESO'!A:B,2,0))</f>
        <v>CUBA DE SOBREPOR  EM LOUÇA BRANCA DECA OU SIMILAR L.735  OU EQUIVALENTE.</v>
      </c>
      <c r="E402" s="247" t="s">
        <v>183</v>
      </c>
      <c r="F402" s="242">
        <v>1</v>
      </c>
      <c r="G402" s="242">
        <f>IF(B402="SEPLAG",VLOOKUP(CONCATENATE("MEDIANA - ",C402),COTAÇÃO,5,FALSE),VLOOKUP($C402,'NAO DESO'!$A:$D,4,))</f>
        <v>1033.9000000000001</v>
      </c>
      <c r="H402" s="242">
        <f>TRUNC(F402*G402,2)</f>
        <v>1033.9000000000001</v>
      </c>
      <c r="I402" s="54">
        <f>IF(B402="SEPLAG",VLOOKUP(CONCATENATE("MEDIANA - ",C402),COTAÇÃO,5,FALSE),VLOOKUP($C402,DESON!$A:$D,4,))</f>
        <v>1033.9000000000001</v>
      </c>
      <c r="J402" s="209">
        <f>TRUNC(F402*I402,2)</f>
        <v>1033.9000000000001</v>
      </c>
    </row>
    <row r="403" spans="1:10" ht="15" customHeight="1">
      <c r="A403" s="208" t="s">
        <v>245</v>
      </c>
      <c r="B403" s="241"/>
      <c r="C403" s="1193">
        <v>88274</v>
      </c>
      <c r="D403" s="161" t="str">
        <f>IF(B403="SEPLAG",VLOOKUP(COMPOSIÇÕES!C403,'MAPA COMPARATIVO'!A:B,2,FALSE),VLOOKUP(C403,'NAO DESO'!A:B,2,0))</f>
        <v>MARMORISTA/GRANITEIRO COM ENCARGOS COMPLEMENTARES</v>
      </c>
      <c r="E403" s="241" t="str">
        <f>VLOOKUP($C403,'NAO DESO'!$A:$D,3,)</f>
        <v>H</v>
      </c>
      <c r="F403" s="242">
        <v>0.84</v>
      </c>
      <c r="G403" s="242" t="str">
        <f>IF(B403="SEPLAG",VLOOKUP(CONCATENATE("MEDIANA - ",C403),COTAÇÃO,5,FALSE),VLOOKUP($C403,'NAO DESO'!$A:$D,4,))</f>
        <v>21,02</v>
      </c>
      <c r="H403" s="242">
        <f>TRUNC(F403*G403,2)</f>
        <v>17.649999999999999</v>
      </c>
      <c r="I403" s="54" t="str">
        <f>IF(B403="SEPLAG",VLOOKUP(CONCATENATE("MEDIANA - ",C403),COTAÇÃO,5,FALSE),VLOOKUP($C403,DESON!$A:$D,4,))</f>
        <v>18,79</v>
      </c>
      <c r="J403" s="209">
        <f>TRUNC(F403*I403,2)</f>
        <v>15.78</v>
      </c>
    </row>
    <row r="404" spans="1:10" ht="16.5" customHeight="1">
      <c r="A404" s="208" t="s">
        <v>245</v>
      </c>
      <c r="B404" s="241"/>
      <c r="C404" s="1193">
        <v>88316</v>
      </c>
      <c r="D404" s="161" t="str">
        <f>IF(B404="SEPLAG",VLOOKUP(COMPOSIÇÕES!C404,'MAPA COMPARATIVO'!A:B,2,FALSE),VLOOKUP(C404,'NAO DESO'!A:B,2,0))</f>
        <v>SERVENTE COM ENCARGOS COMPLEMENTARES</v>
      </c>
      <c r="E404" s="241" t="str">
        <f>VLOOKUP($C404,'NAO DESO'!$A:$D,3,)</f>
        <v>H</v>
      </c>
      <c r="F404" s="242">
        <v>0.26</v>
      </c>
      <c r="G404" s="242" t="str">
        <f>IF(B404="SEPLAG",VLOOKUP(CONCATENATE("MEDIANA - ",C404),COTAÇÃO,5,FALSE),VLOOKUP($C404,'NAO DESO'!$A:$D,4,))</f>
        <v>16,83</v>
      </c>
      <c r="H404" s="242">
        <f>TRUNC(F404*G404,2)</f>
        <v>4.37</v>
      </c>
      <c r="I404" s="54" t="str">
        <f>IF(B404="SEPLAG",VLOOKUP(CONCATENATE("MEDIANA - ",C404),COTAÇÃO,5,FALSE),VLOOKUP($C404,DESON!$A:$D,4,))</f>
        <v>15,16</v>
      </c>
      <c r="J404" s="209">
        <f>TRUNC(F404*I404,2)</f>
        <v>3.94</v>
      </c>
    </row>
    <row r="405" spans="1:10" s="245" customFormat="1" ht="15" customHeight="1">
      <c r="A405" s="210" t="str">
        <f>CONCATENATE("TOTAL DO ITEM NÃO DESON. - ",C398)</f>
        <v>TOTAL DO ITEM NÃO DESON. - SEPLAG ARQ 37</v>
      </c>
      <c r="B405" s="424"/>
      <c r="C405" s="424"/>
      <c r="D405" s="424"/>
      <c r="E405" s="424"/>
      <c r="F405" s="425"/>
      <c r="G405" s="426"/>
      <c r="H405" s="1189">
        <f>SUM(H401:H404)</f>
        <v>1076.99</v>
      </c>
      <c r="I405" s="214"/>
      <c r="J405" s="246"/>
    </row>
    <row r="406" spans="1:10" s="245" customFormat="1" ht="15.75" customHeight="1" thickBot="1">
      <c r="A406" s="216" t="str">
        <f>CONCATENATE("TOTAL DO ITEM DESON. - ",C398)</f>
        <v>TOTAL DO ITEM DESON. - SEPLAG ARQ 37</v>
      </c>
      <c r="B406" s="427"/>
      <c r="C406" s="427"/>
      <c r="D406" s="427"/>
      <c r="E406" s="427"/>
      <c r="F406" s="428"/>
      <c r="G406" s="429"/>
      <c r="H406" s="1190"/>
      <c r="I406" s="229"/>
      <c r="J406" s="219">
        <f>SUM(J401:J404)</f>
        <v>1074.69</v>
      </c>
    </row>
    <row r="407" spans="1:10" ht="15" customHeight="1" thickBot="1">
      <c r="A407" s="223"/>
      <c r="B407" s="1133"/>
      <c r="C407" s="1133"/>
      <c r="D407" s="1133"/>
      <c r="E407" s="1133"/>
      <c r="F407" s="1185"/>
      <c r="G407" s="1185"/>
      <c r="H407" s="1185"/>
      <c r="I407" s="224"/>
      <c r="J407" s="225"/>
    </row>
    <row r="408" spans="1:10" ht="30" customHeight="1">
      <c r="A408" s="198"/>
      <c r="B408" s="1175"/>
      <c r="C408" s="1152" t="s">
        <v>391</v>
      </c>
      <c r="D408" s="152" t="s">
        <v>212</v>
      </c>
      <c r="E408" s="1176" t="s">
        <v>24</v>
      </c>
      <c r="F408" s="1177" t="s">
        <v>18</v>
      </c>
      <c r="G408" s="1178" t="s">
        <v>7017</v>
      </c>
      <c r="H408" s="1179"/>
      <c r="I408" s="200" t="s">
        <v>7016</v>
      </c>
      <c r="J408" s="201"/>
    </row>
    <row r="409" spans="1:10" ht="10.5" customHeight="1">
      <c r="A409" s="233"/>
      <c r="B409" s="247"/>
      <c r="C409" s="430"/>
      <c r="D409" s="158"/>
      <c r="E409" s="1155"/>
      <c r="F409" s="1180"/>
      <c r="G409" s="1180" t="s">
        <v>19</v>
      </c>
      <c r="H409" s="1180" t="s">
        <v>20</v>
      </c>
      <c r="I409" s="205" t="s">
        <v>19</v>
      </c>
      <c r="J409" s="206" t="s">
        <v>20</v>
      </c>
    </row>
    <row r="410" spans="1:10" ht="25.5" customHeight="1">
      <c r="A410" s="240"/>
      <c r="B410" s="241"/>
      <c r="C410" s="161" t="s">
        <v>180</v>
      </c>
      <c r="D410" s="161" t="s">
        <v>209</v>
      </c>
      <c r="E410" s="241"/>
      <c r="F410" s="242"/>
      <c r="G410" s="242"/>
      <c r="H410" s="242"/>
      <c r="I410" s="242"/>
      <c r="J410" s="243"/>
    </row>
    <row r="411" spans="1:10" ht="15" customHeight="1">
      <c r="A411" s="208" t="s">
        <v>39</v>
      </c>
      <c r="B411" s="241"/>
      <c r="C411" s="1193">
        <v>4823</v>
      </c>
      <c r="D411" s="161" t="str">
        <f>IF(B411="SEPLAG",VLOOKUP(COMPOSIÇÕES!C411,'MAPA COMPARATIVO'!A:B,2,FALSE),VLOOKUP(C411,'NAO DESO'!A:B,2,0))</f>
        <v>MASSA PLASTICA PARA MARMORE/GRANITO</v>
      </c>
      <c r="E411" s="241" t="str">
        <f>VLOOKUP($C411,'NAO DESO'!$A:$D,3,)</f>
        <v xml:space="preserve">KG    </v>
      </c>
      <c r="F411" s="242">
        <v>0.52</v>
      </c>
      <c r="G411" s="242">
        <f>IF(B411="SEPLAG",VLOOKUP(CONCATENATE("MEDIANA - ",C411),COTAÇÃO,5,FALSE),VLOOKUP($C411,'NAO DESO'!$A:$D,4,))</f>
        <v>40.53</v>
      </c>
      <c r="H411" s="242">
        <f>TRUNC(F411*G411,2)</f>
        <v>21.07</v>
      </c>
      <c r="I411" s="54" t="str">
        <f>IF(B411="SEPLAG",VLOOKUP(CONCATENATE("MEDIANA - ",C411),COTAÇÃO,5,FALSE),VLOOKUP($C411,DESON!$A:$D,4,))</f>
        <v>40,53</v>
      </c>
      <c r="J411" s="209">
        <f>TRUNC(F411*I411,2)</f>
        <v>21.07</v>
      </c>
    </row>
    <row r="412" spans="1:10" ht="26.25" customHeight="1">
      <c r="A412" s="208" t="s">
        <v>39</v>
      </c>
      <c r="B412" s="241" t="s">
        <v>14504</v>
      </c>
      <c r="C412" s="247" t="s">
        <v>14294</v>
      </c>
      <c r="D412" s="161" t="str">
        <f>IF(B412="SEPLAG",VLOOKUP(COMPOSIÇÕES!C412,'MAPA COMPARATIVO'!A:B,2,FALSE),VLOOKUP(C412,'NAO DESO'!A:B,2,0))</f>
        <v>CUBA DE EMBUTIR RETANGULAR  EM LOUÇA BRANCA DECA OU SIMILAR L.1071.17  OU EQUIVALENTE</v>
      </c>
      <c r="E412" s="247" t="s">
        <v>183</v>
      </c>
      <c r="F412" s="242">
        <v>1</v>
      </c>
      <c r="G412" s="242">
        <f>IF(B412="SEPLAG",VLOOKUP(CONCATENATE("MEDIANA - ",C412),COTAÇÃO,5,FALSE),VLOOKUP($C412,'NAO DESO'!$A:$D,4,))</f>
        <v>1182.99</v>
      </c>
      <c r="H412" s="242">
        <f>TRUNC(F412*G412,2)</f>
        <v>1182.99</v>
      </c>
      <c r="I412" s="54">
        <f>IF(B412="SEPLAG",VLOOKUP(CONCATENATE("MEDIANA - ",C412),COTAÇÃO,5,FALSE),VLOOKUP($C412,DESON!$A:$D,4,))</f>
        <v>1182.99</v>
      </c>
      <c r="J412" s="209">
        <f>TRUNC(F412*I412,2)</f>
        <v>1182.99</v>
      </c>
    </row>
    <row r="413" spans="1:10" ht="15" customHeight="1">
      <c r="A413" s="208" t="s">
        <v>245</v>
      </c>
      <c r="B413" s="241"/>
      <c r="C413" s="1193">
        <v>88274</v>
      </c>
      <c r="D413" s="161" t="str">
        <f>IF(B413="SEPLAG",VLOOKUP(COMPOSIÇÕES!C413,'MAPA COMPARATIVO'!A:B,2,FALSE),VLOOKUP(C413,'NAO DESO'!A:B,2,0))</f>
        <v>MARMORISTA/GRANITEIRO COM ENCARGOS COMPLEMENTARES</v>
      </c>
      <c r="E413" s="241" t="str">
        <f>VLOOKUP($C413,'NAO DESO'!$A:$D,3,)</f>
        <v>H</v>
      </c>
      <c r="F413" s="242">
        <v>0.84</v>
      </c>
      <c r="G413" s="242" t="str">
        <f>IF(B413="SEPLAG",VLOOKUP(CONCATENATE("MEDIANA - ",C413),COTAÇÃO,5,FALSE),VLOOKUP($C413,'NAO DESO'!$A:$D,4,))</f>
        <v>21,02</v>
      </c>
      <c r="H413" s="242">
        <f>TRUNC(F413*G413,2)</f>
        <v>17.649999999999999</v>
      </c>
      <c r="I413" s="54" t="str">
        <f>IF(B413="SEPLAG",VLOOKUP(CONCATENATE("MEDIANA - ",C413),COTAÇÃO,5,FALSE),VLOOKUP($C413,DESON!$A:$D,4,))</f>
        <v>18,79</v>
      </c>
      <c r="J413" s="209">
        <f>TRUNC(F413*I413,2)</f>
        <v>15.78</v>
      </c>
    </row>
    <row r="414" spans="1:10" ht="15" customHeight="1">
      <c r="A414" s="208" t="s">
        <v>245</v>
      </c>
      <c r="B414" s="241"/>
      <c r="C414" s="1193">
        <v>88316</v>
      </c>
      <c r="D414" s="161" t="str">
        <f>IF(B414="SEPLAG",VLOOKUP(COMPOSIÇÕES!C414,'MAPA COMPARATIVO'!A:B,2,FALSE),VLOOKUP(C414,'NAO DESO'!A:B,2,0))</f>
        <v>SERVENTE COM ENCARGOS COMPLEMENTARES</v>
      </c>
      <c r="E414" s="241" t="str">
        <f>VLOOKUP($C414,'NAO DESO'!$A:$D,3,)</f>
        <v>H</v>
      </c>
      <c r="F414" s="242">
        <v>0.26</v>
      </c>
      <c r="G414" s="242" t="str">
        <f>IF(B414="SEPLAG",VLOOKUP(CONCATENATE("MEDIANA - ",C414),COTAÇÃO,5,FALSE),VLOOKUP($C414,'NAO DESO'!$A:$D,4,))</f>
        <v>16,83</v>
      </c>
      <c r="H414" s="242">
        <f>TRUNC(F414*G414,2)</f>
        <v>4.37</v>
      </c>
      <c r="I414" s="54" t="str">
        <f>IF(B414="SEPLAG",VLOOKUP(CONCATENATE("MEDIANA - ",C414),COTAÇÃO,5,FALSE),VLOOKUP($C414,DESON!$A:$D,4,))</f>
        <v>15,16</v>
      </c>
      <c r="J414" s="209">
        <f>TRUNC(F414*I414,2)</f>
        <v>3.94</v>
      </c>
    </row>
    <row r="415" spans="1:10" ht="15" customHeight="1">
      <c r="A415" s="210" t="str">
        <f>CONCATENATE("TOTAL DO ITEM NÃO DESON. - ",C408)</f>
        <v>TOTAL DO ITEM NÃO DESON. - SEPLAG ARQ 38</v>
      </c>
      <c r="B415" s="424"/>
      <c r="C415" s="424"/>
      <c r="D415" s="424"/>
      <c r="E415" s="424"/>
      <c r="F415" s="425"/>
      <c r="G415" s="426"/>
      <c r="H415" s="1189">
        <f>SUM(H411:H414)</f>
        <v>1226.08</v>
      </c>
      <c r="I415" s="214"/>
      <c r="J415" s="215"/>
    </row>
    <row r="416" spans="1:10" ht="15.75" customHeight="1" thickBot="1">
      <c r="A416" s="216" t="str">
        <f>CONCATENATE("TOTAL DO ITEM DESON. - ",C408)</f>
        <v>TOTAL DO ITEM DESON. - SEPLAG ARQ 38</v>
      </c>
      <c r="B416" s="427"/>
      <c r="C416" s="427"/>
      <c r="D416" s="427"/>
      <c r="E416" s="427"/>
      <c r="F416" s="428"/>
      <c r="G416" s="429"/>
      <c r="H416" s="1190"/>
      <c r="I416" s="229"/>
      <c r="J416" s="219">
        <f>SUM(J411:J414)</f>
        <v>1223.78</v>
      </c>
    </row>
    <row r="417" spans="1:10" ht="15" customHeight="1" thickBot="1">
      <c r="A417" s="223"/>
      <c r="B417" s="1133"/>
      <c r="C417" s="1133"/>
      <c r="D417" s="1133"/>
      <c r="E417" s="1133"/>
      <c r="F417" s="1185"/>
      <c r="G417" s="1185"/>
      <c r="H417" s="1185"/>
      <c r="I417" s="224"/>
      <c r="J417" s="224"/>
    </row>
    <row r="418" spans="1:10" ht="35.25" customHeight="1">
      <c r="A418" s="198"/>
      <c r="B418" s="1175"/>
      <c r="C418" s="1152" t="s">
        <v>392</v>
      </c>
      <c r="D418" s="152" t="s">
        <v>215</v>
      </c>
      <c r="E418" s="1176" t="s">
        <v>24</v>
      </c>
      <c r="F418" s="1177" t="s">
        <v>18</v>
      </c>
      <c r="G418" s="1178" t="s">
        <v>7017</v>
      </c>
      <c r="H418" s="1179"/>
      <c r="I418" s="200" t="s">
        <v>7016</v>
      </c>
      <c r="J418" s="201"/>
    </row>
    <row r="419" spans="1:10" s="245" customFormat="1" ht="15" customHeight="1">
      <c r="A419" s="233"/>
      <c r="B419" s="247"/>
      <c r="C419" s="430"/>
      <c r="D419" s="158"/>
      <c r="E419" s="1155"/>
      <c r="F419" s="1180"/>
      <c r="G419" s="1180" t="s">
        <v>19</v>
      </c>
      <c r="H419" s="1180" t="s">
        <v>20</v>
      </c>
      <c r="I419" s="205" t="s">
        <v>19</v>
      </c>
      <c r="J419" s="206" t="s">
        <v>20</v>
      </c>
    </row>
    <row r="420" spans="1:10" ht="25.5" customHeight="1">
      <c r="A420" s="240"/>
      <c r="B420" s="241"/>
      <c r="C420" s="241" t="s">
        <v>180</v>
      </c>
      <c r="D420" s="161" t="s">
        <v>214</v>
      </c>
      <c r="E420" s="241"/>
      <c r="F420" s="242"/>
      <c r="G420" s="242"/>
      <c r="H420" s="242"/>
      <c r="I420" s="242"/>
      <c r="J420" s="243"/>
    </row>
    <row r="421" spans="1:10" ht="17.25" customHeight="1">
      <c r="A421" s="208" t="s">
        <v>39</v>
      </c>
      <c r="B421" s="241" t="s">
        <v>14504</v>
      </c>
      <c r="C421" s="247" t="s">
        <v>14295</v>
      </c>
      <c r="D421" s="161" t="str">
        <f>IF(B421="SEPLAG",VLOOKUP(COMPOSIÇÕES!C421,'MAPA COMPARATIVO'!A:B,2,FALSE),VLOOKUP(C421,'NAO DESO'!A:B,2,0))</f>
        <v>CUBA DE EMBUTIR RETANGULAR DE AÇO INOXIDÁVEL, 48 X 35 X 12 CM OU SIMILAR</v>
      </c>
      <c r="E421" s="247" t="s">
        <v>24</v>
      </c>
      <c r="F421" s="248">
        <v>1</v>
      </c>
      <c r="G421" s="242">
        <f>IF(B421="SEPLAG",VLOOKUP(CONCATENATE("MEDIANA - ",C421),COTAÇÃO,5,FALSE),VLOOKUP($C421,'NAO DESO'!$A:$D,4,))</f>
        <v>429</v>
      </c>
      <c r="H421" s="242">
        <f>TRUNC(F421*G421,2)</f>
        <v>429</v>
      </c>
      <c r="I421" s="54">
        <f>IF(B421="SEPLAG",VLOOKUP(CONCATENATE("MEDIANA - ",C421),COTAÇÃO,5,FALSE),VLOOKUP($C421,DESON!$A:$D,4,))</f>
        <v>429</v>
      </c>
      <c r="J421" s="209">
        <f>TRUNC(F421*I421,2)</f>
        <v>429</v>
      </c>
    </row>
    <row r="422" spans="1:10" ht="15" customHeight="1">
      <c r="A422" s="208" t="s">
        <v>39</v>
      </c>
      <c r="B422" s="241"/>
      <c r="C422" s="249">
        <v>4823</v>
      </c>
      <c r="D422" s="161" t="str">
        <f>IF(B422="SEPLAG",VLOOKUP(COMPOSIÇÕES!C422,'MAPA COMPARATIVO'!A:B,2,FALSE),VLOOKUP(C422,'NAO DESO'!A:B,2,0))</f>
        <v>MASSA PLASTICA PARA MARMORE/GRANITO</v>
      </c>
      <c r="E422" s="241" t="str">
        <f>VLOOKUP($C422,'NAO DESO'!$A:$D,3,)</f>
        <v xml:space="preserve">KG    </v>
      </c>
      <c r="F422" s="248">
        <v>0.28999999999999998</v>
      </c>
      <c r="G422" s="242">
        <f>IF(B422="SEPLAG",VLOOKUP(CONCATENATE("MEDIANA - ",C422),COTAÇÃO,5,FALSE),VLOOKUP($C422,'NAO DESO'!$A:$D,4,))</f>
        <v>40.53</v>
      </c>
      <c r="H422" s="242">
        <f>TRUNC(F422*G422,2)</f>
        <v>11.75</v>
      </c>
      <c r="I422" s="54" t="str">
        <f>IF(B422="SEPLAG",VLOOKUP(CONCATENATE("MEDIANA - ",C422),COTAÇÃO,5,FALSE),VLOOKUP($C422,DESON!$A:$D,4,))</f>
        <v>40,53</v>
      </c>
      <c r="J422" s="209">
        <f>TRUNC(F422*I422,2)</f>
        <v>11.75</v>
      </c>
    </row>
    <row r="423" spans="1:10" ht="15" customHeight="1">
      <c r="A423" s="208" t="s">
        <v>245</v>
      </c>
      <c r="B423" s="241"/>
      <c r="C423" s="249">
        <v>88274</v>
      </c>
      <c r="D423" s="161" t="str">
        <f>IF(B423="SEPLAG",VLOOKUP(COMPOSIÇÕES!C423,'MAPA COMPARATIVO'!A:B,2,FALSE),VLOOKUP(C423,'NAO DESO'!A:B,2,0))</f>
        <v>MARMORISTA/GRANITEIRO COM ENCARGOS COMPLEMENTARES</v>
      </c>
      <c r="E423" s="241" t="str">
        <f>VLOOKUP($C423,'NAO DESO'!$A:$D,3,)</f>
        <v>H</v>
      </c>
      <c r="F423" s="248">
        <v>0.47</v>
      </c>
      <c r="G423" s="242" t="str">
        <f>IF(B423="SEPLAG",VLOOKUP(CONCATENATE("MEDIANA - ",C423),COTAÇÃO,5,FALSE),VLOOKUP($C423,'NAO DESO'!$A:$D,4,))</f>
        <v>21,02</v>
      </c>
      <c r="H423" s="242">
        <f>TRUNC(F423*G423,2)</f>
        <v>9.8699999999999992</v>
      </c>
      <c r="I423" s="54" t="str">
        <f>IF(B423="SEPLAG",VLOOKUP(CONCATENATE("MEDIANA - ",C423),COTAÇÃO,5,FALSE),VLOOKUP($C423,DESON!$A:$D,4,))</f>
        <v>18,79</v>
      </c>
      <c r="J423" s="209">
        <f>TRUNC(F423*I423,2)</f>
        <v>8.83</v>
      </c>
    </row>
    <row r="424" spans="1:10" ht="15" customHeight="1">
      <c r="A424" s="208" t="s">
        <v>245</v>
      </c>
      <c r="B424" s="241"/>
      <c r="C424" s="249">
        <v>88316</v>
      </c>
      <c r="D424" s="161" t="str">
        <f>IF(B424="SEPLAG",VLOOKUP(COMPOSIÇÕES!C424,'MAPA COMPARATIVO'!A:B,2,FALSE),VLOOKUP(C424,'NAO DESO'!A:B,2,0))</f>
        <v>SERVENTE COM ENCARGOS COMPLEMENTARES</v>
      </c>
      <c r="E424" s="241" t="str">
        <f>VLOOKUP($C424,'NAO DESO'!$A:$D,3,)</f>
        <v>H</v>
      </c>
      <c r="F424" s="248">
        <v>0.15</v>
      </c>
      <c r="G424" s="242" t="str">
        <f>IF(B424="SEPLAG",VLOOKUP(CONCATENATE("MEDIANA - ",C424),COTAÇÃO,5,FALSE),VLOOKUP($C424,'NAO DESO'!$A:$D,4,))</f>
        <v>16,83</v>
      </c>
      <c r="H424" s="242">
        <f>TRUNC(F424*G424,2)</f>
        <v>2.52</v>
      </c>
      <c r="I424" s="54" t="str">
        <f>IF(B424="SEPLAG",VLOOKUP(CONCATENATE("MEDIANA - ",C424),COTAÇÃO,5,FALSE),VLOOKUP($C424,DESON!$A:$D,4,))</f>
        <v>15,16</v>
      </c>
      <c r="J424" s="209">
        <f>TRUNC(F424*I424,2)</f>
        <v>2.27</v>
      </c>
    </row>
    <row r="425" spans="1:10" ht="15" customHeight="1">
      <c r="A425" s="210" t="str">
        <f>CONCATENATE("TOTAL DO ITEM NÃO DESON. - ",C418)</f>
        <v>TOTAL DO ITEM NÃO DESON. - SEPLAG ARQ 39</v>
      </c>
      <c r="B425" s="424"/>
      <c r="C425" s="424"/>
      <c r="D425" s="424"/>
      <c r="E425" s="424"/>
      <c r="F425" s="425"/>
      <c r="G425" s="426"/>
      <c r="H425" s="1189">
        <f>SUM(H421:H424)</f>
        <v>453.14</v>
      </c>
      <c r="I425" s="214"/>
      <c r="J425" s="215"/>
    </row>
    <row r="426" spans="1:10" ht="15.75" customHeight="1" thickBot="1">
      <c r="A426" s="216" t="str">
        <f>CONCATENATE("TOTAL DO ITEM DESON. - ",C418)</f>
        <v>TOTAL DO ITEM DESON. - SEPLAG ARQ 39</v>
      </c>
      <c r="B426" s="427"/>
      <c r="C426" s="427"/>
      <c r="D426" s="427"/>
      <c r="E426" s="427"/>
      <c r="F426" s="428"/>
      <c r="G426" s="429"/>
      <c r="H426" s="1190"/>
      <c r="I426" s="229"/>
      <c r="J426" s="219">
        <f>SUM(J421:J424)</f>
        <v>451.84999999999997</v>
      </c>
    </row>
    <row r="427" spans="1:10" ht="15" customHeight="1" thickBot="1">
      <c r="A427" s="223"/>
      <c r="B427" s="1133"/>
      <c r="C427" s="1133"/>
      <c r="D427" s="1133"/>
      <c r="E427" s="1133"/>
      <c r="F427" s="1185"/>
      <c r="G427" s="1185"/>
      <c r="H427" s="1185"/>
      <c r="I427" s="224"/>
      <c r="J427" s="225"/>
    </row>
    <row r="428" spans="1:10" ht="24" customHeight="1">
      <c r="A428" s="230"/>
      <c r="B428" s="1152"/>
      <c r="C428" s="1152" t="s">
        <v>393</v>
      </c>
      <c r="D428" s="152" t="s">
        <v>217</v>
      </c>
      <c r="E428" s="1176" t="s">
        <v>24</v>
      </c>
      <c r="F428" s="1177" t="s">
        <v>18</v>
      </c>
      <c r="G428" s="1178" t="s">
        <v>7017</v>
      </c>
      <c r="H428" s="1179"/>
      <c r="I428" s="200" t="s">
        <v>7016</v>
      </c>
      <c r="J428" s="201"/>
    </row>
    <row r="429" spans="1:10" ht="29.25" customHeight="1">
      <c r="A429" s="203"/>
      <c r="B429" s="430"/>
      <c r="C429" s="430"/>
      <c r="D429" s="158"/>
      <c r="E429" s="1155"/>
      <c r="F429" s="1180"/>
      <c r="G429" s="1180" t="s">
        <v>19</v>
      </c>
      <c r="H429" s="1180" t="s">
        <v>20</v>
      </c>
      <c r="I429" s="205" t="s">
        <v>19</v>
      </c>
      <c r="J429" s="206" t="s">
        <v>20</v>
      </c>
    </row>
    <row r="430" spans="1:10" ht="25.5" customHeight="1">
      <c r="A430" s="240"/>
      <c r="B430" s="241"/>
      <c r="C430" s="241" t="s">
        <v>180</v>
      </c>
      <c r="D430" s="161" t="s">
        <v>216</v>
      </c>
      <c r="E430" s="241"/>
      <c r="F430" s="242"/>
      <c r="G430" s="242"/>
      <c r="H430" s="242"/>
      <c r="I430" s="242"/>
      <c r="J430" s="243"/>
    </row>
    <row r="431" spans="1:10" ht="15" customHeight="1">
      <c r="A431" s="240" t="s">
        <v>39</v>
      </c>
      <c r="B431" s="241"/>
      <c r="C431" s="1181">
        <v>3146</v>
      </c>
      <c r="D431" s="161" t="str">
        <f>IF(B431="SEPLAG",VLOOKUP(COMPOSIÇÕES!C431,'MAPA COMPARATIVO'!A:B,2,FALSE),VLOOKUP(C431,'NAO DESO'!A:B,2,0))</f>
        <v>FITA VEDA ROSCA EM ROLOS DE 18 MM X 10 M (L X C)</v>
      </c>
      <c r="E431" s="241" t="str">
        <f>VLOOKUP($C431,'NAO DESO'!$A:$D,3,)</f>
        <v xml:space="preserve">UN    </v>
      </c>
      <c r="F431" s="242">
        <v>2.1000000000000001E-2</v>
      </c>
      <c r="G431" s="242">
        <f>IF(B431="SEPLAG",VLOOKUP(CONCATENATE("MEDIANA - ",C431),COTAÇÃO,5,FALSE),VLOOKUP($C431,'NAO DESO'!$A:$D,4,))</f>
        <v>5</v>
      </c>
      <c r="H431" s="242">
        <f>TRUNC(F431*G431,2)</f>
        <v>0.1</v>
      </c>
      <c r="I431" s="54" t="str">
        <f>IF(B431="SEPLAG",VLOOKUP(CONCATENATE("MEDIANA - ",C431),COTAÇÃO,5,FALSE),VLOOKUP($C431,DESON!$A:$D,4,))</f>
        <v>5,00</v>
      </c>
      <c r="J431" s="209">
        <f>TRUNC(F431*I431,2)</f>
        <v>0.1</v>
      </c>
    </row>
    <row r="432" spans="1:10" s="245" customFormat="1" ht="25.5" customHeight="1">
      <c r="A432" s="208" t="s">
        <v>39</v>
      </c>
      <c r="B432" s="241" t="s">
        <v>14504</v>
      </c>
      <c r="C432" s="247" t="s">
        <v>14296</v>
      </c>
      <c r="D432" s="161" t="str">
        <f>IF(B432="SEPLAG",VLOOKUP(COMPOSIÇÕES!C432,'MAPA COMPARATIVO'!A:B,2,FALSE),VLOOKUP(C432,'NAO DESO'!A:B,2,0))</f>
        <v xml:space="preserve">TORNEIRA CROMADA DEMATIC ECO FECHAMENTO AUTOMATICO DECA 1173.C OU SIMILAR </v>
      </c>
      <c r="E432" s="247" t="s">
        <v>32</v>
      </c>
      <c r="F432" s="242">
        <v>1</v>
      </c>
      <c r="G432" s="242">
        <f>IF(B432="SEPLAG",VLOOKUP(CONCATENATE("MEDIANA - ",C432),COTAÇÃO,5,FALSE),VLOOKUP($C432,'NAO DESO'!$A:$D,4,))</f>
        <v>591.85</v>
      </c>
      <c r="H432" s="242">
        <f>TRUNC(F432*G432,2)</f>
        <v>591.85</v>
      </c>
      <c r="I432" s="54">
        <f>IF(B432="SEPLAG",VLOOKUP(CONCATENATE("MEDIANA - ",C432),COTAÇÃO,5,FALSE),VLOOKUP($C432,DESON!$A:$D,4,))</f>
        <v>591.85</v>
      </c>
      <c r="J432" s="209">
        <f>TRUNC(F432*I432,2)</f>
        <v>591.85</v>
      </c>
    </row>
    <row r="433" spans="1:10" ht="26.25" customHeight="1">
      <c r="A433" s="208" t="s">
        <v>245</v>
      </c>
      <c r="B433" s="241"/>
      <c r="C433" s="249">
        <v>88267</v>
      </c>
      <c r="D433" s="161" t="str">
        <f>IF(B433="SEPLAG",VLOOKUP(COMPOSIÇÕES!C433,'MAPA COMPARATIVO'!A:B,2,FALSE),VLOOKUP(C433,'NAO DESO'!A:B,2,0))</f>
        <v>ENCANADOR OU BOMBEIRO HIDRÁULICO COM ENCARGOS COMPLEMENTARES</v>
      </c>
      <c r="E433" s="241" t="str">
        <f>VLOOKUP($C433,'NAO DESO'!$A:$D,3,)</f>
        <v>H</v>
      </c>
      <c r="F433" s="242">
        <v>9.6000000000000002E-2</v>
      </c>
      <c r="G433" s="242" t="str">
        <f>IF(B433="SEPLAG",VLOOKUP(CONCATENATE("MEDIANA - ",C433),COTAÇÃO,5,FALSE),VLOOKUP($C433,'NAO DESO'!$A:$D,4,))</f>
        <v>21,03</v>
      </c>
      <c r="H433" s="242">
        <f>TRUNC(F433*G433,2)</f>
        <v>2.0099999999999998</v>
      </c>
      <c r="I433" s="54" t="str">
        <f>IF(B433="SEPLAG",VLOOKUP(CONCATENATE("MEDIANA - ",C433),COTAÇÃO,5,FALSE),VLOOKUP($C433,DESON!$A:$D,4,))</f>
        <v>18,72</v>
      </c>
      <c r="J433" s="209">
        <f>TRUNC(F433*I433,2)</f>
        <v>1.79</v>
      </c>
    </row>
    <row r="434" spans="1:10" ht="15" customHeight="1">
      <c r="A434" s="208" t="s">
        <v>245</v>
      </c>
      <c r="B434" s="241"/>
      <c r="C434" s="249">
        <v>88316</v>
      </c>
      <c r="D434" s="161" t="str">
        <f>IF(B434="SEPLAG",VLOOKUP(COMPOSIÇÕES!C434,'MAPA COMPARATIVO'!A:B,2,FALSE),VLOOKUP(C434,'NAO DESO'!A:B,2,0))</f>
        <v>SERVENTE COM ENCARGOS COMPLEMENTARES</v>
      </c>
      <c r="E434" s="241" t="str">
        <f>VLOOKUP($C434,'NAO DESO'!$A:$D,3,)</f>
        <v>H</v>
      </c>
      <c r="F434" s="242">
        <v>0.03</v>
      </c>
      <c r="G434" s="242" t="str">
        <f>IF(B434="SEPLAG",VLOOKUP(CONCATENATE("MEDIANA - ",C434),COTAÇÃO,5,FALSE),VLOOKUP($C434,'NAO DESO'!$A:$D,4,))</f>
        <v>16,83</v>
      </c>
      <c r="H434" s="242">
        <f>TRUNC(F434*G434,2)</f>
        <v>0.5</v>
      </c>
      <c r="I434" s="54" t="str">
        <f>IF(B434="SEPLAG",VLOOKUP(CONCATENATE("MEDIANA - ",C434),COTAÇÃO,5,FALSE),VLOOKUP($C434,DESON!$A:$D,4,))</f>
        <v>15,16</v>
      </c>
      <c r="J434" s="209">
        <f>TRUNC(F434*I434,2)</f>
        <v>0.45</v>
      </c>
    </row>
    <row r="435" spans="1:10" ht="15" customHeight="1">
      <c r="A435" s="210" t="str">
        <f>CONCATENATE("TOTAL DO ITEM NÃO DESON. - ",C428)</f>
        <v>TOTAL DO ITEM NÃO DESON. - SEPLAG ARQ 40</v>
      </c>
      <c r="B435" s="424"/>
      <c r="C435" s="424"/>
      <c r="D435" s="424"/>
      <c r="E435" s="424"/>
      <c r="F435" s="425"/>
      <c r="G435" s="426"/>
      <c r="H435" s="1189">
        <f>SUM(H431:H434)</f>
        <v>594.46</v>
      </c>
      <c r="I435" s="214"/>
      <c r="J435" s="215"/>
    </row>
    <row r="436" spans="1:10" ht="15.75" customHeight="1" thickBot="1">
      <c r="A436" s="216" t="str">
        <f>CONCATENATE("TOTAL DO ITEM DESON. - ",C428)</f>
        <v>TOTAL DO ITEM DESON. - SEPLAG ARQ 40</v>
      </c>
      <c r="B436" s="427"/>
      <c r="C436" s="427"/>
      <c r="D436" s="427"/>
      <c r="E436" s="427"/>
      <c r="F436" s="428"/>
      <c r="G436" s="429"/>
      <c r="H436" s="1190"/>
      <c r="I436" s="229"/>
      <c r="J436" s="219">
        <f>SUM(J431:J434)</f>
        <v>594.19000000000005</v>
      </c>
    </row>
    <row r="437" spans="1:10" ht="15" customHeight="1" thickBot="1">
      <c r="A437" s="223"/>
      <c r="B437" s="1133"/>
      <c r="C437" s="1133"/>
      <c r="D437" s="1133"/>
      <c r="E437" s="1133"/>
      <c r="F437" s="1185"/>
      <c r="G437" s="1185"/>
      <c r="H437" s="1185"/>
      <c r="I437" s="224"/>
      <c r="J437" s="225"/>
    </row>
    <row r="438" spans="1:10" ht="24" customHeight="1">
      <c r="A438" s="198"/>
      <c r="B438" s="1175"/>
      <c r="C438" s="1152" t="s">
        <v>394</v>
      </c>
      <c r="D438" s="152" t="s">
        <v>219</v>
      </c>
      <c r="E438" s="1176" t="s">
        <v>24</v>
      </c>
      <c r="F438" s="1177" t="s">
        <v>18</v>
      </c>
      <c r="G438" s="1178" t="s">
        <v>7017</v>
      </c>
      <c r="H438" s="1179"/>
      <c r="I438" s="200" t="s">
        <v>7016</v>
      </c>
      <c r="J438" s="201"/>
    </row>
    <row r="439" spans="1:10" ht="15" customHeight="1">
      <c r="A439" s="233"/>
      <c r="B439" s="247"/>
      <c r="C439" s="430"/>
      <c r="D439" s="158"/>
      <c r="E439" s="1155"/>
      <c r="F439" s="1180"/>
      <c r="G439" s="1180" t="s">
        <v>19</v>
      </c>
      <c r="H439" s="1180" t="s">
        <v>20</v>
      </c>
      <c r="I439" s="205" t="s">
        <v>19</v>
      </c>
      <c r="J439" s="206" t="s">
        <v>20</v>
      </c>
    </row>
    <row r="440" spans="1:10" ht="25.5" customHeight="1">
      <c r="A440" s="240"/>
      <c r="B440" s="241"/>
      <c r="C440" s="241" t="s">
        <v>180</v>
      </c>
      <c r="D440" s="161" t="s">
        <v>216</v>
      </c>
      <c r="E440" s="241"/>
      <c r="F440" s="242"/>
      <c r="G440" s="242"/>
      <c r="H440" s="242"/>
      <c r="I440" s="242"/>
      <c r="J440" s="243"/>
    </row>
    <row r="441" spans="1:10" ht="15" customHeight="1">
      <c r="A441" s="240" t="s">
        <v>39</v>
      </c>
      <c r="B441" s="241"/>
      <c r="C441" s="1181">
        <v>3146</v>
      </c>
      <c r="D441" s="161" t="str">
        <f>IF(B441="SEPLAG",VLOOKUP(COMPOSIÇÕES!C441,'MAPA COMPARATIVO'!A:B,2,FALSE),VLOOKUP(C441,'NAO DESO'!A:B,2,0))</f>
        <v>FITA VEDA ROSCA EM ROLOS DE 18 MM X 10 M (L X C)</v>
      </c>
      <c r="E441" s="241" t="str">
        <f>VLOOKUP($C441,'NAO DESO'!$A:$D,3,)</f>
        <v xml:space="preserve">UN    </v>
      </c>
      <c r="F441" s="242">
        <v>2.1000000000000001E-2</v>
      </c>
      <c r="G441" s="242">
        <f>IF(B441="SEPLAG",VLOOKUP(CONCATENATE("MEDIANA - ",C441),COTAÇÃO,5,FALSE),VLOOKUP($C441,'NAO DESO'!$A:$D,4,))</f>
        <v>5</v>
      </c>
      <c r="H441" s="242">
        <f>TRUNC(F441*G441,2)</f>
        <v>0.1</v>
      </c>
      <c r="I441" s="54" t="str">
        <f>IF(B441="SEPLAG",VLOOKUP(CONCATENATE("MEDIANA - ",C441),COTAÇÃO,5,FALSE),VLOOKUP($C441,DESON!$A:$D,4,))</f>
        <v>5,00</v>
      </c>
      <c r="J441" s="209">
        <f>TRUNC(F441*I441,2)</f>
        <v>0.1</v>
      </c>
    </row>
    <row r="442" spans="1:10" ht="15" customHeight="1">
      <c r="A442" s="208" t="s">
        <v>39</v>
      </c>
      <c r="B442" s="241" t="s">
        <v>14504</v>
      </c>
      <c r="C442" s="247" t="s">
        <v>14297</v>
      </c>
      <c r="D442" s="161" t="s">
        <v>220</v>
      </c>
      <c r="E442" s="247" t="s">
        <v>32</v>
      </c>
      <c r="F442" s="242">
        <v>1</v>
      </c>
      <c r="G442" s="242">
        <f>IF(B442="SEPLAG",VLOOKUP(CONCATENATE("MEDIANA - ",C442),COTAÇÃO,5,FALSE),VLOOKUP($C442,'NAO DESO'!$A:$D,4,))</f>
        <v>1249.8599999999999</v>
      </c>
      <c r="H442" s="242">
        <f>TRUNC(F442*G442,2)</f>
        <v>1249.8599999999999</v>
      </c>
      <c r="I442" s="54">
        <f>IF(B442="SEPLAG",VLOOKUP(CONCATENATE("MEDIANA - ",C442),COTAÇÃO,5,FALSE),VLOOKUP($C442,DESON!$A:$D,4,))</f>
        <v>1249.8599999999999</v>
      </c>
      <c r="J442" s="209">
        <f>TRUNC(F442*I442,2)</f>
        <v>1249.8599999999999</v>
      </c>
    </row>
    <row r="443" spans="1:10" s="207" customFormat="1" ht="26.25" customHeight="1">
      <c r="A443" s="208" t="s">
        <v>245</v>
      </c>
      <c r="B443" s="241"/>
      <c r="C443" s="249">
        <v>88267</v>
      </c>
      <c r="D443" s="161" t="str">
        <f>IF(B443="SEPLAG",VLOOKUP(COMPOSIÇÕES!C443,'MAPA COMPARATIVO'!A:B,2,FALSE),VLOOKUP(C443,'NAO DESO'!A:B,2,0))</f>
        <v>ENCANADOR OU BOMBEIRO HIDRÁULICO COM ENCARGOS COMPLEMENTARES</v>
      </c>
      <c r="E443" s="241" t="str">
        <f>VLOOKUP($C443,'NAO DESO'!$A:$D,3,)</f>
        <v>H</v>
      </c>
      <c r="F443" s="242">
        <v>9.6000000000000002E-2</v>
      </c>
      <c r="G443" s="242" t="str">
        <f>IF(B443="SEPLAG",VLOOKUP(CONCATENATE("MEDIANA - ",C443),COTAÇÃO,5,FALSE),VLOOKUP($C443,'NAO DESO'!$A:$D,4,))</f>
        <v>21,03</v>
      </c>
      <c r="H443" s="242">
        <f>TRUNC(F443*G443,2)</f>
        <v>2.0099999999999998</v>
      </c>
      <c r="I443" s="54" t="str">
        <f>IF(B443="SEPLAG",VLOOKUP(CONCATENATE("MEDIANA - ",C443),COTAÇÃO,5,FALSE),VLOOKUP($C443,DESON!$A:$D,4,))</f>
        <v>18,72</v>
      </c>
      <c r="J443" s="209">
        <f>TRUNC(F443*I443,2)</f>
        <v>1.79</v>
      </c>
    </row>
    <row r="444" spans="1:10" ht="15" customHeight="1">
      <c r="A444" s="208" t="s">
        <v>245</v>
      </c>
      <c r="B444" s="241"/>
      <c r="C444" s="249">
        <v>88316</v>
      </c>
      <c r="D444" s="161" t="str">
        <f>IF(B444="SEPLAG",VLOOKUP(COMPOSIÇÕES!C444,'MAPA COMPARATIVO'!A:B,2,FALSE),VLOOKUP(C444,'NAO DESO'!A:B,2,0))</f>
        <v>SERVENTE COM ENCARGOS COMPLEMENTARES</v>
      </c>
      <c r="E444" s="241" t="str">
        <f>VLOOKUP($C444,'NAO DESO'!$A:$D,3,)</f>
        <v>H</v>
      </c>
      <c r="F444" s="242">
        <v>0.03</v>
      </c>
      <c r="G444" s="242" t="str">
        <f>IF(B444="SEPLAG",VLOOKUP(CONCATENATE("MEDIANA - ",C444),COTAÇÃO,5,FALSE),VLOOKUP($C444,'NAO DESO'!$A:$D,4,))</f>
        <v>16,83</v>
      </c>
      <c r="H444" s="242">
        <f>TRUNC(F444*G444,2)</f>
        <v>0.5</v>
      </c>
      <c r="I444" s="54" t="str">
        <f>IF(B444="SEPLAG",VLOOKUP(CONCATENATE("MEDIANA - ",C444),COTAÇÃO,5,FALSE),VLOOKUP($C444,DESON!$A:$D,4,))</f>
        <v>15,16</v>
      </c>
      <c r="J444" s="209">
        <f>TRUNC(F444*I444,2)</f>
        <v>0.45</v>
      </c>
    </row>
    <row r="445" spans="1:10" ht="15" customHeight="1">
      <c r="A445" s="210" t="str">
        <f>CONCATENATE("TOTAL DO ITEM NÃO DESON. - ",C438)</f>
        <v>TOTAL DO ITEM NÃO DESON. - SEPLAG ARQ 41</v>
      </c>
      <c r="B445" s="424"/>
      <c r="C445" s="424"/>
      <c r="D445" s="424"/>
      <c r="E445" s="424"/>
      <c r="F445" s="425"/>
      <c r="G445" s="426"/>
      <c r="H445" s="1189">
        <f>SUM(H441:H444)</f>
        <v>1252.4699999999998</v>
      </c>
      <c r="I445" s="214"/>
      <c r="J445" s="215"/>
    </row>
    <row r="446" spans="1:10" ht="15.75" customHeight="1" thickBot="1">
      <c r="A446" s="216" t="str">
        <f>CONCATENATE("TOTAL DO ITEM DESON. - ",C438)</f>
        <v>TOTAL DO ITEM DESON. - SEPLAG ARQ 41</v>
      </c>
      <c r="B446" s="427"/>
      <c r="C446" s="427"/>
      <c r="D446" s="427"/>
      <c r="E446" s="427"/>
      <c r="F446" s="428"/>
      <c r="G446" s="429"/>
      <c r="H446" s="1190"/>
      <c r="I446" s="229"/>
      <c r="J446" s="219">
        <f>SUM(J441:J444)</f>
        <v>1252.1999999999998</v>
      </c>
    </row>
    <row r="447" spans="1:10" ht="15" customHeight="1" thickBot="1">
      <c r="A447" s="223"/>
      <c r="B447" s="1133"/>
      <c r="C447" s="1133"/>
      <c r="D447" s="1133"/>
      <c r="E447" s="1133"/>
      <c r="F447" s="1185"/>
      <c r="G447" s="1185"/>
      <c r="H447" s="1185"/>
      <c r="I447" s="224"/>
      <c r="J447" s="225"/>
    </row>
    <row r="448" spans="1:10" ht="29.25" customHeight="1">
      <c r="A448" s="198"/>
      <c r="B448" s="1175"/>
      <c r="C448" s="1152" t="s">
        <v>395</v>
      </c>
      <c r="D448" s="152" t="s">
        <v>221</v>
      </c>
      <c r="E448" s="1176" t="s">
        <v>24</v>
      </c>
      <c r="F448" s="1177" t="s">
        <v>18</v>
      </c>
      <c r="G448" s="1178" t="s">
        <v>7017</v>
      </c>
      <c r="H448" s="1179"/>
      <c r="I448" s="200" t="s">
        <v>7016</v>
      </c>
      <c r="J448" s="201"/>
    </row>
    <row r="449" spans="1:10" ht="13.5" customHeight="1">
      <c r="A449" s="233"/>
      <c r="B449" s="247"/>
      <c r="C449" s="430"/>
      <c r="D449" s="158"/>
      <c r="E449" s="1155"/>
      <c r="F449" s="1180"/>
      <c r="G449" s="1180" t="s">
        <v>19</v>
      </c>
      <c r="H449" s="1180" t="s">
        <v>20</v>
      </c>
      <c r="I449" s="205" t="s">
        <v>19</v>
      </c>
      <c r="J449" s="206" t="s">
        <v>20</v>
      </c>
    </row>
    <row r="450" spans="1:10" ht="25.5" customHeight="1">
      <c r="A450" s="240"/>
      <c r="B450" s="241"/>
      <c r="C450" s="241" t="s">
        <v>180</v>
      </c>
      <c r="D450" s="161" t="s">
        <v>216</v>
      </c>
      <c r="E450" s="241"/>
      <c r="F450" s="242"/>
      <c r="G450" s="242"/>
      <c r="H450" s="242"/>
      <c r="I450" s="242"/>
      <c r="J450" s="243"/>
    </row>
    <row r="451" spans="1:10" ht="15" customHeight="1">
      <c r="A451" s="240" t="s">
        <v>39</v>
      </c>
      <c r="B451" s="241"/>
      <c r="C451" s="1181">
        <v>3146</v>
      </c>
      <c r="D451" s="161" t="str">
        <f>IF(B451="SEPLAG",VLOOKUP(COMPOSIÇÕES!C451,'MAPA COMPARATIVO'!A:B,2,FALSE),VLOOKUP(C451,'NAO DESO'!A:B,2,0))</f>
        <v>FITA VEDA ROSCA EM ROLOS DE 18 MM X 10 M (L X C)</v>
      </c>
      <c r="E451" s="241" t="str">
        <f>VLOOKUP($C451,'NAO DESO'!$A:$D,3,)</f>
        <v xml:space="preserve">UN    </v>
      </c>
      <c r="F451" s="242">
        <v>2.1000000000000001E-2</v>
      </c>
      <c r="G451" s="242">
        <f>IF(B451="SEPLAG",VLOOKUP(CONCATENATE("MEDIANA - ",C451),COTAÇÃO,5,FALSE),VLOOKUP($C451,'NAO DESO'!$A:$D,4,))</f>
        <v>5</v>
      </c>
      <c r="H451" s="242">
        <f>TRUNC(F451*G451,2)</f>
        <v>0.1</v>
      </c>
      <c r="I451" s="54" t="str">
        <f>IF(B451="SEPLAG",VLOOKUP(CONCATENATE("MEDIANA - ",C451),COTAÇÃO,5,FALSE),VLOOKUP($C451,DESON!$A:$D,4,))</f>
        <v>5,00</v>
      </c>
      <c r="J451" s="209">
        <f>TRUNC(F451*I451,2)</f>
        <v>0.1</v>
      </c>
    </row>
    <row r="452" spans="1:10" ht="21" customHeight="1">
      <c r="A452" s="208" t="s">
        <v>39</v>
      </c>
      <c r="B452" s="241" t="s">
        <v>14504</v>
      </c>
      <c r="C452" s="247" t="s">
        <v>14298</v>
      </c>
      <c r="D452" s="161" t="s">
        <v>220</v>
      </c>
      <c r="E452" s="247" t="s">
        <v>32</v>
      </c>
      <c r="F452" s="242">
        <v>1</v>
      </c>
      <c r="G452" s="242">
        <f>IF(B452="SEPLAG",VLOOKUP(CONCATENATE("MEDIANA - ",C452),COTAÇÃO,5,FALSE),VLOOKUP($C452,'NAO DESO'!$A:$D,4,))</f>
        <v>793.99</v>
      </c>
      <c r="H452" s="242">
        <f>TRUNC(F452*G452,2)</f>
        <v>793.99</v>
      </c>
      <c r="I452" s="54">
        <f>IF(B452="SEPLAG",VLOOKUP(CONCATENATE("MEDIANA - ",C452),COTAÇÃO,5,FALSE),VLOOKUP($C452,DESON!$A:$D,4,))</f>
        <v>793.99</v>
      </c>
      <c r="J452" s="209">
        <f>TRUNC(F452*I452,2)</f>
        <v>793.99</v>
      </c>
    </row>
    <row r="453" spans="1:10" s="245" customFormat="1" ht="25.5" customHeight="1">
      <c r="A453" s="208" t="s">
        <v>245</v>
      </c>
      <c r="B453" s="241"/>
      <c r="C453" s="249">
        <v>88267</v>
      </c>
      <c r="D453" s="161" t="str">
        <f>IF(B453="SEPLAG",VLOOKUP(COMPOSIÇÕES!C453,'MAPA COMPARATIVO'!A:B,2,FALSE),VLOOKUP(C453,'NAO DESO'!A:B,2,0))</f>
        <v>ENCANADOR OU BOMBEIRO HIDRÁULICO COM ENCARGOS COMPLEMENTARES</v>
      </c>
      <c r="E453" s="241" t="str">
        <f>VLOOKUP($C453,'NAO DESO'!$A:$D,3,)</f>
        <v>H</v>
      </c>
      <c r="F453" s="242">
        <v>9.6000000000000002E-2</v>
      </c>
      <c r="G453" s="242" t="str">
        <f>IF(B453="SEPLAG",VLOOKUP(CONCATENATE("MEDIANA - ",C453),COTAÇÃO,5,FALSE),VLOOKUP($C453,'NAO DESO'!$A:$D,4,))</f>
        <v>21,03</v>
      </c>
      <c r="H453" s="242">
        <f>TRUNC(F453*G453,2)</f>
        <v>2.0099999999999998</v>
      </c>
      <c r="I453" s="54" t="str">
        <f>IF(B453="SEPLAG",VLOOKUP(CONCATENATE("MEDIANA - ",C453),COTAÇÃO,5,FALSE),VLOOKUP($C453,DESON!$A:$D,4,))</f>
        <v>18,72</v>
      </c>
      <c r="J453" s="209">
        <f>TRUNC(F453*I453,2)</f>
        <v>1.79</v>
      </c>
    </row>
    <row r="454" spans="1:10" ht="15" customHeight="1">
      <c r="A454" s="208" t="s">
        <v>245</v>
      </c>
      <c r="B454" s="241"/>
      <c r="C454" s="249">
        <v>88316</v>
      </c>
      <c r="D454" s="161" t="str">
        <f>IF(B454="SEPLAG",VLOOKUP(COMPOSIÇÕES!C454,'MAPA COMPARATIVO'!A:B,2,FALSE),VLOOKUP(C454,'NAO DESO'!A:B,2,0))</f>
        <v>SERVENTE COM ENCARGOS COMPLEMENTARES</v>
      </c>
      <c r="E454" s="241" t="str">
        <f>VLOOKUP($C454,'NAO DESO'!$A:$D,3,)</f>
        <v>H</v>
      </c>
      <c r="F454" s="242">
        <v>0.03</v>
      </c>
      <c r="G454" s="242" t="str">
        <f>IF(B454="SEPLAG",VLOOKUP(CONCATENATE("MEDIANA - ",C454),COTAÇÃO,5,FALSE),VLOOKUP($C454,'NAO DESO'!$A:$D,4,))</f>
        <v>16,83</v>
      </c>
      <c r="H454" s="242">
        <f>TRUNC(F454*G454,2)</f>
        <v>0.5</v>
      </c>
      <c r="I454" s="54" t="str">
        <f>IF(B454="SEPLAG",VLOOKUP(CONCATENATE("MEDIANA - ",C454),COTAÇÃO,5,FALSE),VLOOKUP($C454,DESON!$A:$D,4,))</f>
        <v>15,16</v>
      </c>
      <c r="J454" s="209">
        <f>TRUNC(F454*I454,2)</f>
        <v>0.45</v>
      </c>
    </row>
    <row r="455" spans="1:10" ht="15" customHeight="1">
      <c r="A455" s="210" t="str">
        <f>CONCATENATE("TOTAL DO ITEM NÃO DESON. - ",C448)</f>
        <v>TOTAL DO ITEM NÃO DESON. - SEPLAG ARQ 42</v>
      </c>
      <c r="B455" s="424"/>
      <c r="C455" s="424"/>
      <c r="D455" s="424"/>
      <c r="E455" s="424"/>
      <c r="F455" s="425"/>
      <c r="G455" s="426"/>
      <c r="H455" s="1189">
        <f>SUM(H451:H454)</f>
        <v>796.6</v>
      </c>
      <c r="I455" s="214"/>
      <c r="J455" s="215"/>
    </row>
    <row r="456" spans="1:10" ht="15.75" customHeight="1" thickBot="1">
      <c r="A456" s="216" t="str">
        <f>CONCATENATE("TOTAL DO ITEM DESON. - ",C448)</f>
        <v>TOTAL DO ITEM DESON. - SEPLAG ARQ 42</v>
      </c>
      <c r="B456" s="427"/>
      <c r="C456" s="427"/>
      <c r="D456" s="427"/>
      <c r="E456" s="427"/>
      <c r="F456" s="428"/>
      <c r="G456" s="429"/>
      <c r="H456" s="1190"/>
      <c r="I456" s="229"/>
      <c r="J456" s="219">
        <f>SUM(J451:J454)</f>
        <v>796.33</v>
      </c>
    </row>
    <row r="457" spans="1:10" ht="15" customHeight="1" thickBot="1">
      <c r="A457" s="223"/>
      <c r="B457" s="1133"/>
      <c r="C457" s="1133"/>
      <c r="D457" s="1133"/>
      <c r="E457" s="1133"/>
      <c r="F457" s="1185"/>
      <c r="G457" s="1185"/>
      <c r="H457" s="1185"/>
      <c r="I457" s="224"/>
      <c r="J457" s="225"/>
    </row>
    <row r="458" spans="1:10" ht="26.25" customHeight="1">
      <c r="A458" s="198"/>
      <c r="B458" s="1175"/>
      <c r="C458" s="1152" t="s">
        <v>396</v>
      </c>
      <c r="D458" s="152" t="s">
        <v>223</v>
      </c>
      <c r="E458" s="1176" t="s">
        <v>24</v>
      </c>
      <c r="F458" s="1177" t="s">
        <v>18</v>
      </c>
      <c r="G458" s="1178" t="s">
        <v>7017</v>
      </c>
      <c r="H458" s="1179"/>
      <c r="I458" s="200" t="s">
        <v>7016</v>
      </c>
      <c r="J458" s="201"/>
    </row>
    <row r="459" spans="1:10" ht="15" customHeight="1">
      <c r="A459" s="233"/>
      <c r="B459" s="247"/>
      <c r="C459" s="430"/>
      <c r="D459" s="158"/>
      <c r="E459" s="1155"/>
      <c r="F459" s="1180"/>
      <c r="G459" s="1180" t="s">
        <v>19</v>
      </c>
      <c r="H459" s="1180" t="s">
        <v>20</v>
      </c>
      <c r="I459" s="205" t="s">
        <v>19</v>
      </c>
      <c r="J459" s="206" t="s">
        <v>20</v>
      </c>
    </row>
    <row r="460" spans="1:10" ht="25.5" customHeight="1">
      <c r="A460" s="240"/>
      <c r="B460" s="241"/>
      <c r="C460" s="241" t="s">
        <v>180</v>
      </c>
      <c r="D460" s="161" t="s">
        <v>216</v>
      </c>
      <c r="E460" s="241"/>
      <c r="F460" s="242"/>
      <c r="G460" s="242"/>
      <c r="H460" s="242"/>
      <c r="I460" s="242"/>
      <c r="J460" s="243"/>
    </row>
    <row r="461" spans="1:10" ht="15" customHeight="1">
      <c r="A461" s="240" t="s">
        <v>39</v>
      </c>
      <c r="B461" s="241"/>
      <c r="C461" s="1181">
        <v>3146</v>
      </c>
      <c r="D461" s="161" t="str">
        <f>IF(B461="SEPLAG",VLOOKUP(COMPOSIÇÕES!C461,'MAPA COMPARATIVO'!A:B,2,FALSE),VLOOKUP(C461,'NAO DESO'!A:B,2,0))</f>
        <v>FITA VEDA ROSCA EM ROLOS DE 18 MM X 10 M (L X C)</v>
      </c>
      <c r="E461" s="241" t="str">
        <f>VLOOKUP($C461,'NAO DESO'!$A:$D,3,)</f>
        <v xml:space="preserve">UN    </v>
      </c>
      <c r="F461" s="242">
        <v>2.1000000000000001E-2</v>
      </c>
      <c r="G461" s="242">
        <f>IF(B461="SEPLAG",VLOOKUP(CONCATENATE("MEDIANA - ",C461),COTAÇÃO,5,FALSE),VLOOKUP($C461,'NAO DESO'!$A:$D,4,))</f>
        <v>5</v>
      </c>
      <c r="H461" s="242">
        <f>TRUNC(F461*G461,2)</f>
        <v>0.1</v>
      </c>
      <c r="I461" s="54" t="str">
        <f>IF(B461="SEPLAG",VLOOKUP(CONCATENATE("MEDIANA - ",C461),COTAÇÃO,5,FALSE),VLOOKUP($C461,DESON!$A:$D,4,))</f>
        <v>5,00</v>
      </c>
      <c r="J461" s="209">
        <f>TRUNC(F461*I461,2)</f>
        <v>0.1</v>
      </c>
    </row>
    <row r="462" spans="1:10" s="207" customFormat="1" ht="15" customHeight="1">
      <c r="A462" s="208" t="s">
        <v>39</v>
      </c>
      <c r="B462" s="241" t="s">
        <v>14504</v>
      </c>
      <c r="C462" s="247" t="s">
        <v>14299</v>
      </c>
      <c r="D462" s="161" t="str">
        <f>IF(B462="SEPLAG",VLOOKUP(COMPOSIÇÕES!C462,'MAPA COMPARATIVO'!A:B,2,FALSE),VLOOKUP(C462,'NAO DESO'!A:B,2,0))</f>
        <v>TORNEIRA CROMADA DE MESA DECA 1167.C34 OU SIMILAR</v>
      </c>
      <c r="E462" s="247" t="s">
        <v>32</v>
      </c>
      <c r="F462" s="242">
        <v>1</v>
      </c>
      <c r="G462" s="242">
        <f>IF(B462="SEPLAG",VLOOKUP(CONCATENATE("MEDIANA - ",C462),COTAÇÃO,5,FALSE),VLOOKUP($C462,'NAO DESO'!$A:$D,4,))</f>
        <v>243.88</v>
      </c>
      <c r="H462" s="242">
        <f>TRUNC(F462*G462,2)</f>
        <v>243.88</v>
      </c>
      <c r="I462" s="54">
        <f>IF(B462="SEPLAG",VLOOKUP(CONCATENATE("MEDIANA - ",C462),COTAÇÃO,5,FALSE),VLOOKUP($C462,DESON!$A:$D,4,))</f>
        <v>243.88</v>
      </c>
      <c r="J462" s="209">
        <f>TRUNC(F462*I462,2)</f>
        <v>243.88</v>
      </c>
    </row>
    <row r="463" spans="1:10" ht="26.25" customHeight="1">
      <c r="A463" s="208" t="s">
        <v>245</v>
      </c>
      <c r="B463" s="241"/>
      <c r="C463" s="249">
        <v>88267</v>
      </c>
      <c r="D463" s="161" t="str">
        <f>IF(B463="SEPLAG",VLOOKUP(COMPOSIÇÕES!C463,'MAPA COMPARATIVO'!A:B,2,FALSE),VLOOKUP(C463,'NAO DESO'!A:B,2,0))</f>
        <v>ENCANADOR OU BOMBEIRO HIDRÁULICO COM ENCARGOS COMPLEMENTARES</v>
      </c>
      <c r="E463" s="241" t="str">
        <f>VLOOKUP($C463,'NAO DESO'!$A:$D,3,)</f>
        <v>H</v>
      </c>
      <c r="F463" s="242">
        <v>9.6000000000000002E-2</v>
      </c>
      <c r="G463" s="242" t="str">
        <f>IF(B463="SEPLAG",VLOOKUP(CONCATENATE("MEDIANA - ",C463),COTAÇÃO,5,FALSE),VLOOKUP($C463,'NAO DESO'!$A:$D,4,))</f>
        <v>21,03</v>
      </c>
      <c r="H463" s="242">
        <f>TRUNC(F463*G463,2)</f>
        <v>2.0099999999999998</v>
      </c>
      <c r="I463" s="54" t="str">
        <f>IF(B463="SEPLAG",VLOOKUP(CONCATENATE("MEDIANA - ",C463),COTAÇÃO,5,FALSE),VLOOKUP($C463,DESON!$A:$D,4,))</f>
        <v>18,72</v>
      </c>
      <c r="J463" s="209">
        <f>TRUNC(F463*I463,2)</f>
        <v>1.79</v>
      </c>
    </row>
    <row r="464" spans="1:10" ht="15" customHeight="1">
      <c r="A464" s="208" t="s">
        <v>245</v>
      </c>
      <c r="B464" s="241"/>
      <c r="C464" s="249">
        <v>88316</v>
      </c>
      <c r="D464" s="161" t="str">
        <f>IF(B464="SEPLAG",VLOOKUP(COMPOSIÇÕES!C464,'MAPA COMPARATIVO'!A:B,2,FALSE),VLOOKUP(C464,'NAO DESO'!A:B,2,0))</f>
        <v>SERVENTE COM ENCARGOS COMPLEMENTARES</v>
      </c>
      <c r="E464" s="241" t="str">
        <f>VLOOKUP($C464,'NAO DESO'!$A:$D,3,)</f>
        <v>H</v>
      </c>
      <c r="F464" s="242">
        <v>0.03</v>
      </c>
      <c r="G464" s="242" t="str">
        <f>IF(B464="SEPLAG",VLOOKUP(CONCATENATE("MEDIANA - ",C464),COTAÇÃO,5,FALSE),VLOOKUP($C464,'NAO DESO'!$A:$D,4,))</f>
        <v>16,83</v>
      </c>
      <c r="H464" s="242">
        <f>TRUNC(F464*G464,2)</f>
        <v>0.5</v>
      </c>
      <c r="I464" s="54" t="str">
        <f>IF(B464="SEPLAG",VLOOKUP(CONCATENATE("MEDIANA - ",C464),COTAÇÃO,5,FALSE),VLOOKUP($C464,DESON!$A:$D,4,))</f>
        <v>15,16</v>
      </c>
      <c r="J464" s="209">
        <f>TRUNC(F464*I464,2)</f>
        <v>0.45</v>
      </c>
    </row>
    <row r="465" spans="1:10" ht="15" customHeight="1">
      <c r="A465" s="210" t="str">
        <f>CONCATENATE("TOTAL DO ITEM NÃO DESON. - ",C458)</f>
        <v>TOTAL DO ITEM NÃO DESON. - SEPLAG ARQ 43</v>
      </c>
      <c r="B465" s="424"/>
      <c r="C465" s="424"/>
      <c r="D465" s="424"/>
      <c r="E465" s="424"/>
      <c r="F465" s="425"/>
      <c r="G465" s="426"/>
      <c r="H465" s="1189">
        <f>SUM(H461:H464)</f>
        <v>246.48999999999998</v>
      </c>
      <c r="I465" s="214"/>
      <c r="J465" s="215"/>
    </row>
    <row r="466" spans="1:10" ht="15.75" customHeight="1" thickBot="1">
      <c r="A466" s="216" t="str">
        <f>CONCATENATE("TOTAL DO ITEM DESON. - ",C458)</f>
        <v>TOTAL DO ITEM DESON. - SEPLAG ARQ 43</v>
      </c>
      <c r="B466" s="427"/>
      <c r="C466" s="427"/>
      <c r="D466" s="427"/>
      <c r="E466" s="427"/>
      <c r="F466" s="428"/>
      <c r="G466" s="429"/>
      <c r="H466" s="1190"/>
      <c r="I466" s="229"/>
      <c r="J466" s="219">
        <f>SUM(J461:J464)</f>
        <v>246.21999999999997</v>
      </c>
    </row>
    <row r="467" spans="1:10" ht="15" customHeight="1" thickBot="1">
      <c r="A467" s="223"/>
      <c r="B467" s="1133"/>
      <c r="C467" s="1133"/>
      <c r="D467" s="1133"/>
      <c r="E467" s="1133"/>
      <c r="F467" s="1185"/>
      <c r="G467" s="1185"/>
      <c r="H467" s="1185"/>
      <c r="I467" s="224"/>
      <c r="J467" s="225"/>
    </row>
    <row r="468" spans="1:10" ht="24.75" customHeight="1">
      <c r="A468" s="198"/>
      <c r="B468" s="1175"/>
      <c r="C468" s="1152" t="s">
        <v>397</v>
      </c>
      <c r="D468" s="152" t="s">
        <v>225</v>
      </c>
      <c r="E468" s="1176" t="s">
        <v>24</v>
      </c>
      <c r="F468" s="1177" t="s">
        <v>18</v>
      </c>
      <c r="G468" s="1178" t="s">
        <v>7017</v>
      </c>
      <c r="H468" s="1179"/>
      <c r="I468" s="200" t="s">
        <v>7016</v>
      </c>
      <c r="J468" s="201"/>
    </row>
    <row r="469" spans="1:10" ht="15" customHeight="1">
      <c r="A469" s="233"/>
      <c r="B469" s="247"/>
      <c r="C469" s="430"/>
      <c r="D469" s="158"/>
      <c r="E469" s="1155"/>
      <c r="F469" s="1180"/>
      <c r="G469" s="1180" t="s">
        <v>19</v>
      </c>
      <c r="H469" s="1180" t="s">
        <v>20</v>
      </c>
      <c r="I469" s="205" t="s">
        <v>19</v>
      </c>
      <c r="J469" s="206" t="s">
        <v>20</v>
      </c>
    </row>
    <row r="470" spans="1:10" ht="25.5" customHeight="1">
      <c r="A470" s="240"/>
      <c r="B470" s="241"/>
      <c r="C470" s="241" t="s">
        <v>180</v>
      </c>
      <c r="D470" s="161" t="s">
        <v>216</v>
      </c>
      <c r="E470" s="241"/>
      <c r="F470" s="242"/>
      <c r="G470" s="242"/>
      <c r="H470" s="242"/>
      <c r="I470" s="242"/>
      <c r="J470" s="243"/>
    </row>
    <row r="471" spans="1:10" ht="15" customHeight="1">
      <c r="A471" s="240" t="s">
        <v>39</v>
      </c>
      <c r="B471" s="241"/>
      <c r="C471" s="1181">
        <v>3146</v>
      </c>
      <c r="D471" s="161" t="str">
        <f>IF(B471="SEPLAG",VLOOKUP(COMPOSIÇÕES!C471,'MAPA COMPARATIVO'!A:B,2,FALSE),VLOOKUP(C471,'NAO DESO'!A:B,2,0))</f>
        <v>FITA VEDA ROSCA EM ROLOS DE 18 MM X 10 M (L X C)</v>
      </c>
      <c r="E471" s="241" t="str">
        <f>VLOOKUP($C471,'NAO DESO'!$A:$D,3,)</f>
        <v xml:space="preserve">UN    </v>
      </c>
      <c r="F471" s="242">
        <v>2.1000000000000001E-2</v>
      </c>
      <c r="G471" s="242">
        <f>IF(B471="SEPLAG",VLOOKUP(CONCATENATE("MEDIANA - ",C471),COTAÇÃO,5,FALSE),VLOOKUP($C471,'NAO DESO'!$A:$D,4,))</f>
        <v>5</v>
      </c>
      <c r="H471" s="242">
        <f>TRUNC(F471*G471,2)</f>
        <v>0.1</v>
      </c>
      <c r="I471" s="54" t="str">
        <f>IF(B471="SEPLAG",VLOOKUP(CONCATENATE("MEDIANA - ",C471),COTAÇÃO,5,FALSE),VLOOKUP($C471,DESON!$A:$D,4,))</f>
        <v>5,00</v>
      </c>
      <c r="J471" s="209">
        <f>TRUNC(F471*I471,2)</f>
        <v>0.1</v>
      </c>
    </row>
    <row r="472" spans="1:10" s="245" customFormat="1" ht="15" customHeight="1">
      <c r="A472" s="208" t="s">
        <v>39</v>
      </c>
      <c r="B472" s="241" t="s">
        <v>14504</v>
      </c>
      <c r="C472" s="247" t="s">
        <v>14300</v>
      </c>
      <c r="D472" s="161" t="str">
        <f>IF(B472="SEPLAG",VLOOKUP(COMPOSIÇÕES!C472,'MAPA COMPARATIVO'!A:B,2,FALSE),VLOOKUP(C472,'NAO DESO'!A:B,2,0))</f>
        <v xml:space="preserve">TORNEIRA CROMADA LONGA 1158 TRIO DOCAL OU SIMILAR </v>
      </c>
      <c r="E472" s="247" t="s">
        <v>32</v>
      </c>
      <c r="F472" s="242">
        <v>1</v>
      </c>
      <c r="G472" s="242">
        <f>IF(B472="SEPLAG",VLOOKUP(CONCATENATE("MEDIANA - ",C472),COTAÇÃO,5,FALSE),VLOOKUP($C472,'NAO DESO'!$A:$D,4,))</f>
        <v>129.81</v>
      </c>
      <c r="H472" s="242">
        <f>TRUNC(F472*G472,2)</f>
        <v>129.81</v>
      </c>
      <c r="I472" s="54">
        <f>IF(B472="SEPLAG",VLOOKUP(CONCATENATE("MEDIANA - ",C472),COTAÇÃO,5,FALSE),VLOOKUP($C472,DESON!$A:$D,4,))</f>
        <v>129.81</v>
      </c>
      <c r="J472" s="209">
        <f>TRUNC(F472*I472,2)</f>
        <v>129.81</v>
      </c>
    </row>
    <row r="473" spans="1:10" ht="26.25" customHeight="1">
      <c r="A473" s="208" t="s">
        <v>245</v>
      </c>
      <c r="B473" s="241"/>
      <c r="C473" s="249">
        <v>88267</v>
      </c>
      <c r="D473" s="161" t="str">
        <f>IF(B473="SEPLAG",VLOOKUP(COMPOSIÇÕES!C473,'MAPA COMPARATIVO'!A:B,2,FALSE),VLOOKUP(C473,'NAO DESO'!A:B,2,0))</f>
        <v>ENCANADOR OU BOMBEIRO HIDRÁULICO COM ENCARGOS COMPLEMENTARES</v>
      </c>
      <c r="E473" s="241" t="str">
        <f>VLOOKUP($C473,'NAO DESO'!$A:$D,3,)</f>
        <v>H</v>
      </c>
      <c r="F473" s="242">
        <v>9.6000000000000002E-2</v>
      </c>
      <c r="G473" s="242" t="str">
        <f>IF(B473="SEPLAG",VLOOKUP(CONCATENATE("MEDIANA - ",C473),COTAÇÃO,5,FALSE),VLOOKUP($C473,'NAO DESO'!$A:$D,4,))</f>
        <v>21,03</v>
      </c>
      <c r="H473" s="242">
        <f>TRUNC(F473*G473,2)</f>
        <v>2.0099999999999998</v>
      </c>
      <c r="I473" s="54" t="str">
        <f>IF(B473="SEPLAG",VLOOKUP(CONCATENATE("MEDIANA - ",C473),COTAÇÃO,5,FALSE),VLOOKUP($C473,DESON!$A:$D,4,))</f>
        <v>18,72</v>
      </c>
      <c r="J473" s="209">
        <f>TRUNC(F473*I473,2)</f>
        <v>1.79</v>
      </c>
    </row>
    <row r="474" spans="1:10" ht="15" customHeight="1">
      <c r="A474" s="208" t="s">
        <v>245</v>
      </c>
      <c r="B474" s="241"/>
      <c r="C474" s="249">
        <v>88316</v>
      </c>
      <c r="D474" s="161" t="str">
        <f>IF(B474="SEPLAG",VLOOKUP(COMPOSIÇÕES!C474,'MAPA COMPARATIVO'!A:B,2,FALSE),VLOOKUP(C474,'NAO DESO'!A:B,2,0))</f>
        <v>SERVENTE COM ENCARGOS COMPLEMENTARES</v>
      </c>
      <c r="E474" s="241" t="str">
        <f>VLOOKUP($C474,'NAO DESO'!$A:$D,3,)</f>
        <v>H</v>
      </c>
      <c r="F474" s="242">
        <v>0.03</v>
      </c>
      <c r="G474" s="242" t="str">
        <f>IF(B474="SEPLAG",VLOOKUP(CONCATENATE("MEDIANA - ",C474),COTAÇÃO,5,FALSE),VLOOKUP($C474,'NAO DESO'!$A:$D,4,))</f>
        <v>16,83</v>
      </c>
      <c r="H474" s="242">
        <f>TRUNC(F474*G474,2)</f>
        <v>0.5</v>
      </c>
      <c r="I474" s="54" t="str">
        <f>IF(B474="SEPLAG",VLOOKUP(CONCATENATE("MEDIANA - ",C474),COTAÇÃO,5,FALSE),VLOOKUP($C474,DESON!$A:$D,4,))</f>
        <v>15,16</v>
      </c>
      <c r="J474" s="209">
        <f>TRUNC(F474*I474,2)</f>
        <v>0.45</v>
      </c>
    </row>
    <row r="475" spans="1:10" ht="15" customHeight="1">
      <c r="A475" s="210" t="str">
        <f>CONCATENATE("TOTAL DO ITEM NÃO DESON. - ",C468)</f>
        <v>TOTAL DO ITEM NÃO DESON. - SEPLAG ARQ 44</v>
      </c>
      <c r="B475" s="424"/>
      <c r="C475" s="424"/>
      <c r="D475" s="424"/>
      <c r="E475" s="424"/>
      <c r="F475" s="425"/>
      <c r="G475" s="426"/>
      <c r="H475" s="1189">
        <f>SUM(H471:H474)</f>
        <v>132.41999999999999</v>
      </c>
      <c r="I475" s="214"/>
      <c r="J475" s="215"/>
    </row>
    <row r="476" spans="1:10" ht="15.75" customHeight="1" thickBot="1">
      <c r="A476" s="216" t="str">
        <f>CONCATENATE("TOTAL DO ITEM DESON. - ",C468)</f>
        <v>TOTAL DO ITEM DESON. - SEPLAG ARQ 44</v>
      </c>
      <c r="B476" s="427"/>
      <c r="C476" s="427"/>
      <c r="D476" s="427"/>
      <c r="E476" s="427"/>
      <c r="F476" s="428"/>
      <c r="G476" s="429"/>
      <c r="H476" s="1190"/>
      <c r="I476" s="229"/>
      <c r="J476" s="219">
        <f>SUM(J471:J474)</f>
        <v>132.14999999999998</v>
      </c>
    </row>
    <row r="477" spans="1:10" ht="15" customHeight="1" thickBot="1">
      <c r="A477" s="223"/>
      <c r="B477" s="1133"/>
      <c r="C477" s="1133"/>
      <c r="D477" s="1133"/>
      <c r="E477" s="1133"/>
      <c r="F477" s="1185"/>
      <c r="G477" s="1185"/>
      <c r="H477" s="1185"/>
      <c r="I477" s="224"/>
      <c r="J477" s="225"/>
    </row>
    <row r="478" spans="1:10" ht="24" customHeight="1">
      <c r="A478" s="198"/>
      <c r="B478" s="1175"/>
      <c r="C478" s="1152" t="s">
        <v>398</v>
      </c>
      <c r="D478" s="152" t="s">
        <v>227</v>
      </c>
      <c r="E478" s="1176" t="s">
        <v>24</v>
      </c>
      <c r="F478" s="1177" t="s">
        <v>18</v>
      </c>
      <c r="G478" s="1178" t="s">
        <v>7017</v>
      </c>
      <c r="H478" s="1179"/>
      <c r="I478" s="200" t="s">
        <v>7016</v>
      </c>
      <c r="J478" s="201"/>
    </row>
    <row r="479" spans="1:10" ht="15" customHeight="1">
      <c r="A479" s="233"/>
      <c r="B479" s="247"/>
      <c r="C479" s="430"/>
      <c r="D479" s="158"/>
      <c r="E479" s="1155"/>
      <c r="F479" s="1180"/>
      <c r="G479" s="1180" t="s">
        <v>19</v>
      </c>
      <c r="H479" s="1180" t="s">
        <v>20</v>
      </c>
      <c r="I479" s="205" t="s">
        <v>19</v>
      </c>
      <c r="J479" s="206" t="s">
        <v>20</v>
      </c>
    </row>
    <row r="480" spans="1:10" ht="15" customHeight="1">
      <c r="A480" s="240"/>
      <c r="B480" s="241"/>
      <c r="C480" s="241" t="s">
        <v>228</v>
      </c>
      <c r="D480" s="161"/>
      <c r="E480" s="241"/>
      <c r="F480" s="242"/>
      <c r="G480" s="242"/>
      <c r="H480" s="242"/>
      <c r="I480" s="242"/>
      <c r="J480" s="243"/>
    </row>
    <row r="481" spans="1:10" s="207" customFormat="1" ht="15" customHeight="1">
      <c r="A481" s="208" t="s">
        <v>39</v>
      </c>
      <c r="B481" s="241" t="s">
        <v>14504</v>
      </c>
      <c r="C481" s="247" t="s">
        <v>14301</v>
      </c>
      <c r="D481" s="161" t="str">
        <f>IF(B481="SEPLAG",VLOOKUP(COMPOSIÇÕES!C481,'MAPA COMPARATIVO'!A:B,2,FALSE),VLOOKUP(C481,'NAO DESO'!A:B,2,0))</f>
        <v>FRALDÁRIO ARTICULADO  0,85X0,56X0,12</v>
      </c>
      <c r="E481" s="247" t="s">
        <v>32</v>
      </c>
      <c r="F481" s="242">
        <v>1</v>
      </c>
      <c r="G481" s="242">
        <f>IF(B481="SEPLAG",VLOOKUP(CONCATENATE("MEDIANA - ",C481),COTAÇÃO,5,FALSE),VLOOKUP($C481,'NAO DESO'!$A:$D,4,))</f>
        <v>866.4</v>
      </c>
      <c r="H481" s="242">
        <f>TRUNC(F481*G481,2)</f>
        <v>866.4</v>
      </c>
      <c r="I481" s="54">
        <f>IF(B481="SEPLAG",VLOOKUP(CONCATENATE("MEDIANA - ",C481),COTAÇÃO,5,FALSE),VLOOKUP($C481,DESON!$A:$D,4,))</f>
        <v>866.4</v>
      </c>
      <c r="J481" s="209">
        <f>TRUNC(F481*I481,2)</f>
        <v>866.4</v>
      </c>
    </row>
    <row r="482" spans="1:10" ht="15" customHeight="1">
      <c r="A482" s="208" t="s">
        <v>245</v>
      </c>
      <c r="B482" s="241"/>
      <c r="C482" s="247">
        <v>88309</v>
      </c>
      <c r="D482" s="161" t="str">
        <f>IF(B482="SEPLAG",VLOOKUP(COMPOSIÇÕES!C482,'MAPA COMPARATIVO'!A:B,2,FALSE),VLOOKUP(C482,'NAO DESO'!A:B,2,0))</f>
        <v>PEDREIRO COM ENCARGOS COMPLEMENTARES</v>
      </c>
      <c r="E482" s="241" t="str">
        <f>VLOOKUP($C482,'NAO DESO'!$A:$D,3,)</f>
        <v>H</v>
      </c>
      <c r="F482" s="242">
        <v>0.2</v>
      </c>
      <c r="G482" s="242" t="str">
        <f>IF(B482="SEPLAG",VLOOKUP(CONCATENATE("MEDIANA - ",C482),COTAÇÃO,5,FALSE),VLOOKUP($C482,'NAO DESO'!$A:$D,4,))</f>
        <v>21,10</v>
      </c>
      <c r="H482" s="242">
        <f>TRUNC(F482*G482,2)</f>
        <v>4.22</v>
      </c>
      <c r="I482" s="54" t="str">
        <f>IF(B482="SEPLAG",VLOOKUP(CONCATENATE("MEDIANA - ",C482),COTAÇÃO,5,FALSE),VLOOKUP($C482,DESON!$A:$D,4,))</f>
        <v>18,86</v>
      </c>
      <c r="J482" s="209">
        <f>TRUNC(F482*I482,2)</f>
        <v>3.77</v>
      </c>
    </row>
    <row r="483" spans="1:10" ht="15" customHeight="1">
      <c r="A483" s="208" t="s">
        <v>245</v>
      </c>
      <c r="B483" s="241"/>
      <c r="C483" s="247">
        <v>88242</v>
      </c>
      <c r="D483" s="161" t="str">
        <f>IF(B483="SEPLAG",VLOOKUP(COMPOSIÇÕES!C483,'MAPA COMPARATIVO'!A:B,2,FALSE),VLOOKUP(C483,'NAO DESO'!A:B,2,0))</f>
        <v>AJUDANTE DE PEDREIRO COM ENCARGOS COMPLEMENTARES</v>
      </c>
      <c r="E483" s="241" t="str">
        <f>VLOOKUP($C483,'NAO DESO'!$A:$D,3,)</f>
        <v>H</v>
      </c>
      <c r="F483" s="242">
        <v>0.2</v>
      </c>
      <c r="G483" s="242" t="str">
        <f>IF(B483="SEPLAG",VLOOKUP(CONCATENATE("MEDIANA - ",C483),COTAÇÃO,5,FALSE),VLOOKUP($C483,'NAO DESO'!$A:$D,4,))</f>
        <v>16,87</v>
      </c>
      <c r="H483" s="242">
        <f>TRUNC(F483*G483,2)</f>
        <v>3.37</v>
      </c>
      <c r="I483" s="54" t="str">
        <f>IF(B483="SEPLAG",VLOOKUP(CONCATENATE("MEDIANA - ",C483),COTAÇÃO,5,FALSE),VLOOKUP($C483,DESON!$A:$D,4,))</f>
        <v>15,22</v>
      </c>
      <c r="J483" s="209">
        <f>TRUNC(F483*I483,2)</f>
        <v>3.04</v>
      </c>
    </row>
    <row r="484" spans="1:10" ht="15" customHeight="1">
      <c r="A484" s="210" t="str">
        <f>CONCATENATE("TOTAL DO ITEM NÃO DESON. - ",C478)</f>
        <v>TOTAL DO ITEM NÃO DESON. - SEPLAG ARQ 45</v>
      </c>
      <c r="B484" s="424"/>
      <c r="C484" s="424"/>
      <c r="D484" s="424"/>
      <c r="E484" s="424"/>
      <c r="F484" s="425"/>
      <c r="G484" s="426"/>
      <c r="H484" s="1189">
        <f>SUM(H481:H483)</f>
        <v>873.99</v>
      </c>
      <c r="I484" s="214"/>
      <c r="J484" s="215"/>
    </row>
    <row r="485" spans="1:10" ht="15.75" customHeight="1" thickBot="1">
      <c r="A485" s="216" t="str">
        <f>CONCATENATE("TOTAL DO ITEM DESON. - ",C478)</f>
        <v>TOTAL DO ITEM DESON. - SEPLAG ARQ 45</v>
      </c>
      <c r="B485" s="427"/>
      <c r="C485" s="427"/>
      <c r="D485" s="427"/>
      <c r="E485" s="427"/>
      <c r="F485" s="428"/>
      <c r="G485" s="429"/>
      <c r="H485" s="1190"/>
      <c r="I485" s="229"/>
      <c r="J485" s="219">
        <f>SUM(J481:J483)</f>
        <v>873.20999999999992</v>
      </c>
    </row>
    <row r="486" spans="1:10" ht="15" customHeight="1" thickBot="1">
      <c r="A486" s="223"/>
      <c r="B486" s="1133"/>
      <c r="C486" s="1133"/>
      <c r="D486" s="1133"/>
      <c r="E486" s="1133"/>
      <c r="F486" s="1185"/>
      <c r="G486" s="1185"/>
      <c r="H486" s="1185"/>
      <c r="I486" s="224"/>
      <c r="J486" s="225"/>
    </row>
    <row r="487" spans="1:10" ht="30" customHeight="1">
      <c r="A487" s="198"/>
      <c r="B487" s="1175"/>
      <c r="C487" s="1152" t="s">
        <v>399</v>
      </c>
      <c r="D487" s="152" t="s">
        <v>233</v>
      </c>
      <c r="E487" s="1176" t="s">
        <v>24</v>
      </c>
      <c r="F487" s="1177" t="s">
        <v>18</v>
      </c>
      <c r="G487" s="1178" t="s">
        <v>7017</v>
      </c>
      <c r="H487" s="1179"/>
      <c r="I487" s="200" t="s">
        <v>7016</v>
      </c>
      <c r="J487" s="201"/>
    </row>
    <row r="488" spans="1:10" ht="12" customHeight="1">
      <c r="A488" s="233"/>
      <c r="B488" s="247"/>
      <c r="C488" s="430"/>
      <c r="D488" s="158"/>
      <c r="E488" s="1155"/>
      <c r="F488" s="1180"/>
      <c r="G488" s="1180" t="s">
        <v>19</v>
      </c>
      <c r="H488" s="1180" t="s">
        <v>20</v>
      </c>
      <c r="I488" s="205" t="s">
        <v>19</v>
      </c>
      <c r="J488" s="206" t="s">
        <v>20</v>
      </c>
    </row>
    <row r="489" spans="1:10" ht="25.5" customHeight="1">
      <c r="A489" s="240"/>
      <c r="B489" s="241"/>
      <c r="C489" s="241" t="s">
        <v>228</v>
      </c>
      <c r="D489" s="161" t="s">
        <v>231</v>
      </c>
      <c r="E489" s="241"/>
      <c r="F489" s="242"/>
      <c r="G489" s="242"/>
      <c r="H489" s="242"/>
      <c r="I489" s="242"/>
      <c r="J489" s="243"/>
    </row>
    <row r="490" spans="1:10" ht="15.75" customHeight="1">
      <c r="A490" s="208" t="s">
        <v>39</v>
      </c>
      <c r="B490" s="241" t="s">
        <v>14504</v>
      </c>
      <c r="C490" s="247" t="s">
        <v>14302</v>
      </c>
      <c r="D490" s="161" t="str">
        <f>IF(B490="SEPLAG",VLOOKUP(COMPOSIÇÕES!C490,'MAPA COMPARATIVO'!A:B,2,FALSE),VLOOKUP(C490,'NAO DESO'!A:B,2,0))</f>
        <v>SABONETEIRA DE PAREDE  SYRIUS, DOCOL COD 00175106 OU SIMILAR</v>
      </c>
      <c r="E490" s="247" t="s">
        <v>32</v>
      </c>
      <c r="F490" s="242">
        <v>1</v>
      </c>
      <c r="G490" s="242">
        <f>IF(B490="SEPLAG",VLOOKUP(CONCATENATE("MEDIANA - ",C490),COTAÇÃO,5,FALSE),VLOOKUP($C490,'NAO DESO'!$A:$D,4,))</f>
        <v>169.9</v>
      </c>
      <c r="H490" s="242">
        <f>TRUNC(F490*G490,2)</f>
        <v>169.9</v>
      </c>
      <c r="I490" s="54">
        <f>IF(B490="SEPLAG",VLOOKUP(CONCATENATE("MEDIANA - ",C490),COTAÇÃO,5,FALSE),VLOOKUP($C490,DESON!$A:$D,4,))</f>
        <v>169.9</v>
      </c>
      <c r="J490" s="209">
        <f>TRUNC(F490*I490,2)</f>
        <v>169.9</v>
      </c>
    </row>
    <row r="491" spans="1:10" s="245" customFormat="1" ht="15" customHeight="1">
      <c r="A491" s="208" t="s">
        <v>245</v>
      </c>
      <c r="B491" s="241"/>
      <c r="C491" s="247">
        <v>88309</v>
      </c>
      <c r="D491" s="161" t="str">
        <f>IF(B491="SEPLAG",VLOOKUP(COMPOSIÇÕES!C491,'MAPA COMPARATIVO'!A:B,2,FALSE),VLOOKUP(C491,'NAO DESO'!A:B,2,0))</f>
        <v>PEDREIRO COM ENCARGOS COMPLEMENTARES</v>
      </c>
      <c r="E491" s="241" t="str">
        <f>VLOOKUP($C491,'NAO DESO'!$A:$D,3,)</f>
        <v>H</v>
      </c>
      <c r="F491" s="242">
        <v>0.31</v>
      </c>
      <c r="G491" s="242" t="str">
        <f>IF(B491="SEPLAG",VLOOKUP(CONCATENATE("MEDIANA - ",C491),COTAÇÃO,5,FALSE),VLOOKUP($C491,'NAO DESO'!$A:$D,4,))</f>
        <v>21,10</v>
      </c>
      <c r="H491" s="242">
        <f>TRUNC(F491*G491,2)</f>
        <v>6.54</v>
      </c>
      <c r="I491" s="54" t="str">
        <f>IF(B491="SEPLAG",VLOOKUP(CONCATENATE("MEDIANA - ",C491),COTAÇÃO,5,FALSE),VLOOKUP($C491,DESON!$A:$D,4,))</f>
        <v>18,86</v>
      </c>
      <c r="J491" s="209">
        <f>TRUNC(F491*I491,2)</f>
        <v>5.84</v>
      </c>
    </row>
    <row r="492" spans="1:10" ht="15" customHeight="1">
      <c r="A492" s="208" t="s">
        <v>245</v>
      </c>
      <c r="B492" s="241"/>
      <c r="C492" s="249">
        <v>88316</v>
      </c>
      <c r="D492" s="161" t="str">
        <f>IF(B492="SEPLAG",VLOOKUP(COMPOSIÇÕES!C492,'MAPA COMPARATIVO'!A:B,2,FALSE),VLOOKUP(C492,'NAO DESO'!A:B,2,0))</f>
        <v>SERVENTE COM ENCARGOS COMPLEMENTARES</v>
      </c>
      <c r="E492" s="241" t="str">
        <f>VLOOKUP($C492,'NAO DESO'!$A:$D,3,)</f>
        <v>H</v>
      </c>
      <c r="F492" s="242">
        <v>9.9000000000000005E-2</v>
      </c>
      <c r="G492" s="242" t="str">
        <f>IF(B492="SEPLAG",VLOOKUP(CONCATENATE("MEDIANA - ",C492),COTAÇÃO,5,FALSE),VLOOKUP($C492,'NAO DESO'!$A:$D,4,))</f>
        <v>16,83</v>
      </c>
      <c r="H492" s="242">
        <f>TRUNC(F492*G492,2)</f>
        <v>1.66</v>
      </c>
      <c r="I492" s="54" t="str">
        <f>IF(B492="SEPLAG",VLOOKUP(CONCATENATE("MEDIANA - ",C492),COTAÇÃO,5,FALSE),VLOOKUP($C492,DESON!$A:$D,4,))</f>
        <v>15,16</v>
      </c>
      <c r="J492" s="209">
        <f>TRUNC(F492*I492,2)</f>
        <v>1.5</v>
      </c>
    </row>
    <row r="493" spans="1:10" ht="15" customHeight="1">
      <c r="A493" s="210" t="str">
        <f>CONCATENATE("TOTAL DO ITEM NÃO DESON. - ",C487)</f>
        <v>TOTAL DO ITEM NÃO DESON. - SEPLAG ARQ 46</v>
      </c>
      <c r="B493" s="424"/>
      <c r="C493" s="424"/>
      <c r="D493" s="424"/>
      <c r="E493" s="424"/>
      <c r="F493" s="425"/>
      <c r="G493" s="426"/>
      <c r="H493" s="1189">
        <f>SUM(H490:H492)</f>
        <v>178.1</v>
      </c>
      <c r="I493" s="214"/>
      <c r="J493" s="215"/>
    </row>
    <row r="494" spans="1:10" ht="15.75" customHeight="1" thickBot="1">
      <c r="A494" s="216" t="str">
        <f>CONCATENATE("TOTAL DO ITEM DESON. - ",C487)</f>
        <v>TOTAL DO ITEM DESON. - SEPLAG ARQ 46</v>
      </c>
      <c r="B494" s="427"/>
      <c r="C494" s="427"/>
      <c r="D494" s="427"/>
      <c r="E494" s="427"/>
      <c r="F494" s="428"/>
      <c r="G494" s="429"/>
      <c r="H494" s="1190"/>
      <c r="I494" s="229"/>
      <c r="J494" s="219">
        <f>SUM(J490:J492)</f>
        <v>177.24</v>
      </c>
    </row>
    <row r="495" spans="1:10" ht="15" customHeight="1" thickBot="1">
      <c r="A495" s="223"/>
      <c r="B495" s="1133"/>
      <c r="C495" s="1133"/>
      <c r="D495" s="1133"/>
      <c r="E495" s="1133"/>
      <c r="F495" s="1185"/>
      <c r="G495" s="1185"/>
      <c r="H495" s="1185"/>
      <c r="I495" s="224"/>
      <c r="J495" s="225"/>
    </row>
    <row r="496" spans="1:10" ht="26.25" customHeight="1">
      <c r="A496" s="198"/>
      <c r="B496" s="1175"/>
      <c r="C496" s="1152" t="s">
        <v>400</v>
      </c>
      <c r="D496" s="152" t="s">
        <v>13242</v>
      </c>
      <c r="E496" s="1176" t="s">
        <v>207</v>
      </c>
      <c r="F496" s="1177" t="s">
        <v>18</v>
      </c>
      <c r="G496" s="1178" t="s">
        <v>7017</v>
      </c>
      <c r="H496" s="1179"/>
      <c r="I496" s="200" t="s">
        <v>7016</v>
      </c>
      <c r="J496" s="201"/>
    </row>
    <row r="497" spans="1:10" ht="21" customHeight="1">
      <c r="A497" s="233"/>
      <c r="B497" s="247"/>
      <c r="C497" s="430"/>
      <c r="D497" s="158"/>
      <c r="E497" s="1155"/>
      <c r="F497" s="1180"/>
      <c r="G497" s="1180" t="s">
        <v>19</v>
      </c>
      <c r="H497" s="1180" t="s">
        <v>20</v>
      </c>
      <c r="I497" s="205" t="s">
        <v>19</v>
      </c>
      <c r="J497" s="206" t="s">
        <v>20</v>
      </c>
    </row>
    <row r="498" spans="1:10" ht="15" customHeight="1">
      <c r="A498" s="240"/>
      <c r="B498" s="241"/>
      <c r="C498" s="241" t="s">
        <v>228</v>
      </c>
      <c r="D498" s="161" t="s">
        <v>401</v>
      </c>
      <c r="E498" s="241"/>
      <c r="F498" s="242"/>
      <c r="G498" s="242"/>
      <c r="H498" s="242"/>
      <c r="I498" s="242"/>
      <c r="J498" s="243"/>
    </row>
    <row r="499" spans="1:10" s="207" customFormat="1" ht="15" customHeight="1">
      <c r="A499" s="208" t="s">
        <v>245</v>
      </c>
      <c r="B499" s="241"/>
      <c r="C499" s="1181">
        <v>88316</v>
      </c>
      <c r="D499" s="161" t="str">
        <f>IF(B499="SEPLAG",VLOOKUP(COMPOSIÇÕES!C499,'MAPA COMPARATIVO'!A:B,2,FALSE),VLOOKUP(C499,'NAO DESO'!A:B,2,0))</f>
        <v>SERVENTE COM ENCARGOS COMPLEMENTARES</v>
      </c>
      <c r="E499" s="241" t="str">
        <f>VLOOKUP($C499,'NAO DESO'!$A:$D,3,)</f>
        <v>H</v>
      </c>
      <c r="F499" s="242">
        <v>4.9000000000000004</v>
      </c>
      <c r="G499" s="242" t="str">
        <f>IF(B499="SEPLAG",VLOOKUP(CONCATENATE("MEDIANA - ",C499),COTAÇÃO,5,FALSE),VLOOKUP($C499,'NAO DESO'!$A:$D,4,))</f>
        <v>16,83</v>
      </c>
      <c r="H499" s="242">
        <f t="shared" ref="H499:H504" si="30">TRUNC(F499*G499,2)</f>
        <v>82.46</v>
      </c>
      <c r="I499" s="54" t="str">
        <f>IF(B499="SEPLAG",VLOOKUP(CONCATENATE("MEDIANA - ",C499),COTAÇÃO,5,FALSE),VLOOKUP($C499,DESON!$A:$D,4,))</f>
        <v>15,16</v>
      </c>
      <c r="J499" s="209">
        <f t="shared" ref="J499:J504" si="31">TRUNC(F499*I499,2)</f>
        <v>74.28</v>
      </c>
    </row>
    <row r="500" spans="1:10" s="207" customFormat="1" ht="15" customHeight="1">
      <c r="A500" s="208" t="s">
        <v>245</v>
      </c>
      <c r="B500" s="241"/>
      <c r="C500" s="249">
        <v>88278</v>
      </c>
      <c r="D500" s="161" t="str">
        <f>IF(B500="SEPLAG",VLOOKUP(COMPOSIÇÕES!C500,'MAPA COMPARATIVO'!A:B,2,FALSE),VLOOKUP(C500,'NAO DESO'!A:B,2,0))</f>
        <v>MONTADOR DE ESTRUTURA METÁLICA COM ENCARGOS COMPLEMENTARES</v>
      </c>
      <c r="E500" s="241" t="str">
        <f>VLOOKUP($C500,'NAO DESO'!$A:$D,3,)</f>
        <v>H</v>
      </c>
      <c r="F500" s="242">
        <v>2.6</v>
      </c>
      <c r="G500" s="242" t="str">
        <f>IF(B500="SEPLAG",VLOOKUP(CONCATENATE("MEDIANA - ",C500),COTAÇÃO,5,FALSE),VLOOKUP($C500,'NAO DESO'!$A:$D,4,))</f>
        <v>15,22</v>
      </c>
      <c r="H500" s="242">
        <f t="shared" si="30"/>
        <v>39.57</v>
      </c>
      <c r="I500" s="54" t="str">
        <f>IF(B500="SEPLAG",VLOOKUP(CONCATENATE("MEDIANA - ",C500),COTAÇÃO,5,FALSE),VLOOKUP($C500,DESON!$A:$D,4,))</f>
        <v>13,65</v>
      </c>
      <c r="J500" s="209">
        <f t="shared" si="31"/>
        <v>35.49</v>
      </c>
    </row>
    <row r="501" spans="1:10" ht="15" customHeight="1">
      <c r="A501" s="208" t="s">
        <v>245</v>
      </c>
      <c r="B501" s="241"/>
      <c r="C501" s="249">
        <v>88315</v>
      </c>
      <c r="D501" s="161" t="str">
        <f>IF(B501="SEPLAG",VLOOKUP(COMPOSIÇÕES!C501,'MAPA COMPARATIVO'!A:B,2,FALSE),VLOOKUP(C501,'NAO DESO'!A:B,2,0))</f>
        <v>SERRALHEIRO COM ENCARGOS COMPLEMENTARES</v>
      </c>
      <c r="E501" s="241" t="str">
        <f>VLOOKUP($C501,'NAO DESO'!$A:$D,3,)</f>
        <v>H</v>
      </c>
      <c r="F501" s="242">
        <v>2.2999999999999998</v>
      </c>
      <c r="G501" s="242" t="str">
        <f>IF(B501="SEPLAG",VLOOKUP(CONCATENATE("MEDIANA - ",C501),COTAÇÃO,5,FALSE),VLOOKUP($C501,'NAO DESO'!$A:$D,4,))</f>
        <v>20,97</v>
      </c>
      <c r="H501" s="242">
        <f t="shared" si="30"/>
        <v>48.23</v>
      </c>
      <c r="I501" s="54" t="str">
        <f>IF(B501="SEPLAG",VLOOKUP(CONCATENATE("MEDIANA - ",C501),COTAÇÃO,5,FALSE),VLOOKUP($C501,DESON!$A:$D,4,))</f>
        <v>18,75</v>
      </c>
      <c r="J501" s="209">
        <f t="shared" si="31"/>
        <v>43.12</v>
      </c>
    </row>
    <row r="502" spans="1:10" ht="15" customHeight="1">
      <c r="A502" s="208" t="s">
        <v>39</v>
      </c>
      <c r="B502" s="241"/>
      <c r="C502" s="247">
        <v>10502</v>
      </c>
      <c r="D502" s="161" t="str">
        <f>IF(B502="SEPLAG",VLOOKUP(COMPOSIÇÕES!C502,'MAPA COMPARATIVO'!A:B,2,FALSE),VLOOKUP(C502,'NAO DESO'!A:B,2,0))</f>
        <v>VIDRO TEMPERADO VERDE E = 10 MM, SEM COLOCACAO</v>
      </c>
      <c r="E502" s="247" t="s">
        <v>8</v>
      </c>
      <c r="F502" s="242">
        <v>1</v>
      </c>
      <c r="G502" s="242">
        <f>IF(B502="SEPLAG",VLOOKUP(CONCATENATE("MEDIANA - ",C502),COTAÇÃO,5,FALSE),VLOOKUP($C502,'NAO DESO'!$A:$D,4,))</f>
        <v>582.62</v>
      </c>
      <c r="H502" s="242">
        <f t="shared" si="30"/>
        <v>582.62</v>
      </c>
      <c r="I502" s="54" t="str">
        <f>IF(B502="SEPLAG",VLOOKUP(CONCATENATE("MEDIANA - ",C502),COTAÇÃO,5,FALSE),VLOOKUP($C502,DESON!$A:$D,4,))</f>
        <v>582,62</v>
      </c>
      <c r="J502" s="209">
        <f t="shared" si="31"/>
        <v>582.62</v>
      </c>
    </row>
    <row r="503" spans="1:10" ht="15" customHeight="1">
      <c r="A503" s="208" t="s">
        <v>39</v>
      </c>
      <c r="B503" s="241" t="s">
        <v>14504</v>
      </c>
      <c r="C503" s="247" t="s">
        <v>14496</v>
      </c>
      <c r="D503" s="161" t="str">
        <f>IF(B503="SEPLAG",VLOOKUP(COMPOSIÇÕES!C503,'MAPA COMPARATIVO'!A:B,2,FALSE),VLOOKUP(C503,'NAO DESO'!A:B,2,0))</f>
        <v>FITA DUPLA FACE 24MM 3M</v>
      </c>
      <c r="E503" s="247" t="s">
        <v>8</v>
      </c>
      <c r="F503" s="242">
        <v>0.02</v>
      </c>
      <c r="G503" s="242">
        <f>IF(B503="SEPLAG",VLOOKUP(CONCATENATE("MEDIANA - ",C503),COTAÇÃO,5,FALSE),VLOOKUP($C503,'NAO DESO'!$A:$D,4,))</f>
        <v>23.47</v>
      </c>
      <c r="H503" s="242">
        <f t="shared" si="30"/>
        <v>0.46</v>
      </c>
      <c r="I503" s="54">
        <f>IF(B503="SEPLAG",VLOOKUP(CONCATENATE("MEDIANA - ",C503),COTAÇÃO,5,FALSE),VLOOKUP($C503,DESON!$A:$D,4,))</f>
        <v>23.47</v>
      </c>
      <c r="J503" s="209">
        <f t="shared" si="31"/>
        <v>0.46</v>
      </c>
    </row>
    <row r="504" spans="1:10" ht="15" customHeight="1">
      <c r="A504" s="208" t="s">
        <v>39</v>
      </c>
      <c r="B504" s="241" t="s">
        <v>14504</v>
      </c>
      <c r="C504" s="247" t="s">
        <v>14392</v>
      </c>
      <c r="D504" s="161" t="str">
        <f>IF(B504="SEPLAG",VLOOKUP(COMPOSIÇÕES!C504,'MAPA COMPARATIVO'!A:B,2,FALSE),VLOOKUP(C504,'NAO DESO'!A:B,2,0))</f>
        <v>SILICONE ESTRUTURAL CARTUCHO BRANCA 420GR</v>
      </c>
      <c r="E504" s="247" t="s">
        <v>8</v>
      </c>
      <c r="F504" s="242">
        <v>0.02</v>
      </c>
      <c r="G504" s="242">
        <f>IF(B504="SEPLAG",VLOOKUP(CONCATENATE("MEDIANA - ",C504),COTAÇÃO,5,FALSE),VLOOKUP($C504,'NAO DESO'!$A:$D,4,))</f>
        <v>63.13</v>
      </c>
      <c r="H504" s="242">
        <f t="shared" si="30"/>
        <v>1.26</v>
      </c>
      <c r="I504" s="54">
        <f>IF(B504="SEPLAG",VLOOKUP(CONCATENATE("MEDIANA - ",C504),COTAÇÃO,5,FALSE),VLOOKUP($C504,DESON!$A:$D,4,))</f>
        <v>63.13</v>
      </c>
      <c r="J504" s="209">
        <f t="shared" si="31"/>
        <v>1.26</v>
      </c>
    </row>
    <row r="505" spans="1:10" ht="15" customHeight="1">
      <c r="A505" s="210" t="str">
        <f>CONCATENATE("TOTAL DO ITEM NÃO DESON. - ",C496)</f>
        <v>TOTAL DO ITEM NÃO DESON. - SEPLAG ARQ 47</v>
      </c>
      <c r="B505" s="424"/>
      <c r="C505" s="424"/>
      <c r="D505" s="424"/>
      <c r="E505" s="424"/>
      <c r="F505" s="425"/>
      <c r="G505" s="426"/>
      <c r="H505" s="1189">
        <f>SUM(H499:H504)</f>
        <v>754.6</v>
      </c>
      <c r="I505" s="214"/>
      <c r="J505" s="215"/>
    </row>
    <row r="506" spans="1:10" ht="15.75" customHeight="1" thickBot="1">
      <c r="A506" s="216" t="str">
        <f>CONCATENATE("TOTAL DO ITEM DESON. - ",C496)</f>
        <v>TOTAL DO ITEM DESON. - SEPLAG ARQ 47</v>
      </c>
      <c r="B506" s="427"/>
      <c r="C506" s="427"/>
      <c r="D506" s="427"/>
      <c r="E506" s="427"/>
      <c r="F506" s="428"/>
      <c r="G506" s="429"/>
      <c r="H506" s="1190"/>
      <c r="I506" s="229"/>
      <c r="J506" s="219">
        <f>SUM(J499:J504)</f>
        <v>737.23</v>
      </c>
    </row>
    <row r="507" spans="1:10" ht="15" customHeight="1" thickBot="1">
      <c r="A507" s="223"/>
      <c r="B507" s="1133"/>
      <c r="C507" s="1133"/>
      <c r="D507" s="1133"/>
      <c r="E507" s="1133"/>
      <c r="F507" s="1185"/>
      <c r="G507" s="1185"/>
      <c r="H507" s="1185"/>
      <c r="I507" s="224"/>
      <c r="J507" s="225"/>
    </row>
    <row r="508" spans="1:10" ht="28.5" customHeight="1">
      <c r="A508" s="198"/>
      <c r="B508" s="1175"/>
      <c r="C508" s="1152" t="s">
        <v>415</v>
      </c>
      <c r="D508" s="152" t="s">
        <v>416</v>
      </c>
      <c r="E508" s="1176" t="s">
        <v>24</v>
      </c>
      <c r="F508" s="1177" t="s">
        <v>18</v>
      </c>
      <c r="G508" s="1178" t="s">
        <v>7017</v>
      </c>
      <c r="H508" s="1179"/>
      <c r="I508" s="200" t="s">
        <v>7016</v>
      </c>
      <c r="J508" s="201"/>
    </row>
    <row r="509" spans="1:10" ht="12" customHeight="1">
      <c r="A509" s="233"/>
      <c r="B509" s="247"/>
      <c r="C509" s="430"/>
      <c r="D509" s="158"/>
      <c r="E509" s="1155"/>
      <c r="F509" s="1180"/>
      <c r="G509" s="1180" t="s">
        <v>19</v>
      </c>
      <c r="H509" s="1180" t="s">
        <v>20</v>
      </c>
      <c r="I509" s="205" t="s">
        <v>19</v>
      </c>
      <c r="J509" s="206" t="s">
        <v>20</v>
      </c>
    </row>
    <row r="510" spans="1:10" s="245" customFormat="1" ht="15" customHeight="1">
      <c r="A510" s="208" t="s">
        <v>39</v>
      </c>
      <c r="B510" s="241"/>
      <c r="C510" s="1181">
        <v>4823</v>
      </c>
      <c r="D510" s="161" t="str">
        <f>IF(B510="SEPLAG",VLOOKUP(COMPOSIÇÕES!C510,'MAPA COMPARATIVO'!A:B,2,FALSE),VLOOKUP(C510,'NAO DESO'!A:B,2,0))</f>
        <v>MASSA PLASTICA PARA MARMORE/GRANITO</v>
      </c>
      <c r="E510" s="241" t="str">
        <f>VLOOKUP($C510,'NAO DESO'!$A:$D,3,)</f>
        <v xml:space="preserve">KG    </v>
      </c>
      <c r="F510" s="242">
        <v>0.52</v>
      </c>
      <c r="G510" s="242">
        <f>IF(B510="SEPLAG",VLOOKUP(CONCATENATE("MEDIANA - ",C510),COTAÇÃO,5,FALSE),VLOOKUP($C510,'NAO DESO'!$A:$D,4,))</f>
        <v>40.53</v>
      </c>
      <c r="H510" s="242">
        <f t="shared" ref="H510:H516" si="32">TRUNC(F510*G510,2)</f>
        <v>21.07</v>
      </c>
      <c r="I510" s="54" t="str">
        <f>IF(B510="SEPLAG",VLOOKUP(CONCATENATE("MEDIANA - ",C510),COTAÇÃO,5,FALSE),VLOOKUP($C510,DESON!$A:$D,4,))</f>
        <v>40,53</v>
      </c>
      <c r="J510" s="209">
        <f t="shared" ref="J510:J516" si="33">TRUNC(F510*I510,2)</f>
        <v>21.07</v>
      </c>
    </row>
    <row r="511" spans="1:10" s="245" customFormat="1" ht="25.5" customHeight="1">
      <c r="A511" s="208" t="s">
        <v>39</v>
      </c>
      <c r="B511" s="241"/>
      <c r="C511" s="1181">
        <v>7568</v>
      </c>
      <c r="D511" s="161" t="str">
        <f>IF(B511="SEPLAG",VLOOKUP(COMPOSIÇÕES!C511,'MAPA COMPARATIVO'!A:B,2,FALSE),VLOOKUP(C511,'NAO DESO'!A:B,2,0))</f>
        <v>BUCHA DE NYLON SEM ABA S10, COM PARAFUSO DE 6,10 X 65 MM EM ACO ZINCADO COM ROSCA SOBERBA, CABECA CHATA E FENDA PHILLIPS</v>
      </c>
      <c r="E511" s="241" t="str">
        <f>VLOOKUP($C511,'NAO DESO'!$A:$D,3,)</f>
        <v xml:space="preserve">UN    </v>
      </c>
      <c r="F511" s="242">
        <v>6</v>
      </c>
      <c r="G511" s="242">
        <f>IF(B511="SEPLAG",VLOOKUP(CONCATENATE("MEDIANA - ",C511),COTAÇÃO,5,FALSE),VLOOKUP($C511,'NAO DESO'!$A:$D,4,))</f>
        <v>0.61</v>
      </c>
      <c r="H511" s="242">
        <f t="shared" si="32"/>
        <v>3.66</v>
      </c>
      <c r="I511" s="54" t="str">
        <f>IF(B511="SEPLAG",VLOOKUP(CONCATENATE("MEDIANA - ",C511),COTAÇÃO,5,FALSE),VLOOKUP($C511,DESON!$A:$D,4,))</f>
        <v>0,61</v>
      </c>
      <c r="J511" s="209">
        <f t="shared" si="33"/>
        <v>3.66</v>
      </c>
    </row>
    <row r="512" spans="1:10" ht="15" customHeight="1">
      <c r="A512" s="208" t="s">
        <v>39</v>
      </c>
      <c r="B512" s="241"/>
      <c r="C512" s="1181">
        <v>11692</v>
      </c>
      <c r="D512" s="161" t="str">
        <f>IF(B512="SEPLAG",VLOOKUP(COMPOSIÇÕES!C512,'MAPA COMPARATIVO'!A:B,2,FALSE),VLOOKUP(C512,'NAO DESO'!A:B,2,0))</f>
        <v>BANCADA/ BANCA EM MARMORE, POLIDO, BRANCO COMUM, E=  *3* CM</v>
      </c>
      <c r="E512" s="241" t="str">
        <f>VLOOKUP($C512,'NAO DESO'!$A:$D,3,)</f>
        <v xml:space="preserve">M2    </v>
      </c>
      <c r="F512" s="242">
        <v>1</v>
      </c>
      <c r="G512" s="242">
        <f>IF(B512="SEPLAG",VLOOKUP(CONCATENATE("MEDIANA - ",C512),COTAÇÃO,5,FALSE),VLOOKUP($C512,'NAO DESO'!$A:$D,4,))</f>
        <v>463.09</v>
      </c>
      <c r="H512" s="242">
        <f t="shared" si="32"/>
        <v>463.09</v>
      </c>
      <c r="I512" s="54" t="str">
        <f>IF(B512="SEPLAG",VLOOKUP(CONCATENATE("MEDIANA - ",C512),COTAÇÃO,5,FALSE),VLOOKUP($C512,DESON!$A:$D,4,))</f>
        <v>463,09</v>
      </c>
      <c r="J512" s="209">
        <f t="shared" si="33"/>
        <v>463.09</v>
      </c>
    </row>
    <row r="513" spans="1:10" ht="15" customHeight="1">
      <c r="A513" s="208" t="s">
        <v>39</v>
      </c>
      <c r="B513" s="241"/>
      <c r="C513" s="1181">
        <v>37329</v>
      </c>
      <c r="D513" s="161" t="str">
        <f>IF(B513="SEPLAG",VLOOKUP(COMPOSIÇÕES!C513,'MAPA COMPARATIVO'!A:B,2,FALSE),VLOOKUP(C513,'NAO DESO'!A:B,2,0))</f>
        <v>REJUNTE EPOXI, QUALQUER COR</v>
      </c>
      <c r="E513" s="241" t="str">
        <f>VLOOKUP($C513,'NAO DESO'!$A:$D,3,)</f>
        <v xml:space="preserve">KG    </v>
      </c>
      <c r="F513" s="242">
        <v>2.1000000000000001E-2</v>
      </c>
      <c r="G513" s="242">
        <f>IF(B513="SEPLAG",VLOOKUP(CONCATENATE("MEDIANA - ",C513),COTAÇÃO,5,FALSE),VLOOKUP($C513,'NAO DESO'!$A:$D,4,))</f>
        <v>101.41</v>
      </c>
      <c r="H513" s="242">
        <f t="shared" si="32"/>
        <v>2.12</v>
      </c>
      <c r="I513" s="54" t="str">
        <f>IF(B513="SEPLAG",VLOOKUP(CONCATENATE("MEDIANA - ",C513),COTAÇÃO,5,FALSE),VLOOKUP($C513,DESON!$A:$D,4,))</f>
        <v>101,41</v>
      </c>
      <c r="J513" s="209">
        <f t="shared" si="33"/>
        <v>2.12</v>
      </c>
    </row>
    <row r="514" spans="1:10" ht="26.25" customHeight="1">
      <c r="A514" s="208" t="s">
        <v>39</v>
      </c>
      <c r="B514" s="241"/>
      <c r="C514" s="1181">
        <v>37591</v>
      </c>
      <c r="D514" s="161" t="str">
        <f>IF(B514="SEPLAG",VLOOKUP(COMPOSIÇÕES!C514,'MAPA COMPARATIVO'!A:B,2,FALSE),VLOOKUP(C514,'NAO DESO'!A:B,2,0))</f>
        <v>SUPORTE MAO-FRANCESA EM ACO, ABAS IGUAIS 40 CM, CAPACIDADE MINIMA 70 KG, BRANCO</v>
      </c>
      <c r="E514" s="241" t="str">
        <f>VLOOKUP($C514,'NAO DESO'!$A:$D,3,)</f>
        <v xml:space="preserve">UN    </v>
      </c>
      <c r="F514" s="242">
        <v>2</v>
      </c>
      <c r="G514" s="242">
        <f>IF(B514="SEPLAG",VLOOKUP(CONCATENATE("MEDIANA - ",C514),COTAÇÃO,5,FALSE),VLOOKUP($C514,'NAO DESO'!$A:$D,4,))</f>
        <v>25.94</v>
      </c>
      <c r="H514" s="242">
        <f t="shared" si="32"/>
        <v>51.88</v>
      </c>
      <c r="I514" s="54" t="str">
        <f>IF(B514="SEPLAG",VLOOKUP(CONCATENATE("MEDIANA - ",C514),COTAÇÃO,5,FALSE),VLOOKUP($C514,DESON!$A:$D,4,))</f>
        <v>25,94</v>
      </c>
      <c r="J514" s="209">
        <f t="shared" si="33"/>
        <v>51.88</v>
      </c>
    </row>
    <row r="515" spans="1:10" ht="15" customHeight="1">
      <c r="A515" s="208" t="s">
        <v>348</v>
      </c>
      <c r="B515" s="241"/>
      <c r="C515" s="1181">
        <v>88274</v>
      </c>
      <c r="D515" s="161" t="str">
        <f>IF(B515="SEPLAG",VLOOKUP(COMPOSIÇÕES!C515,'MAPA COMPARATIVO'!A:B,2,FALSE),VLOOKUP(C515,'NAO DESO'!A:B,2,0))</f>
        <v>MARMORISTA/GRANITEIRO COM ENCARGOS COMPLEMENTARES</v>
      </c>
      <c r="E515" s="241" t="str">
        <f>VLOOKUP($C515,'NAO DESO'!$A:$D,3,)</f>
        <v>H</v>
      </c>
      <c r="F515" s="242">
        <v>1.49</v>
      </c>
      <c r="G515" s="242" t="str">
        <f>IF(B515="SEPLAG",VLOOKUP(CONCATENATE("MEDIANA - ",C515),COTAÇÃO,5,FALSE),VLOOKUP($C515,'NAO DESO'!$A:$D,4,))</f>
        <v>21,02</v>
      </c>
      <c r="H515" s="242">
        <f t="shared" si="32"/>
        <v>31.31</v>
      </c>
      <c r="I515" s="54" t="str">
        <f>IF(B515="SEPLAG",VLOOKUP(CONCATENATE("MEDIANA - ",C515),COTAÇÃO,5,FALSE),VLOOKUP($C515,DESON!$A:$D,4,))</f>
        <v>18,79</v>
      </c>
      <c r="J515" s="209">
        <f t="shared" si="33"/>
        <v>27.99</v>
      </c>
    </row>
    <row r="516" spans="1:10" ht="15" customHeight="1">
      <c r="A516" s="208" t="s">
        <v>348</v>
      </c>
      <c r="B516" s="241"/>
      <c r="C516" s="1181">
        <v>88316</v>
      </c>
      <c r="D516" s="161" t="str">
        <f>IF(B516="SEPLAG",VLOOKUP(COMPOSIÇÕES!C516,'MAPA COMPARATIVO'!A:B,2,FALSE),VLOOKUP(C516,'NAO DESO'!A:B,2,0))</f>
        <v>SERVENTE COM ENCARGOS COMPLEMENTARES</v>
      </c>
      <c r="E516" s="241" t="str">
        <f>VLOOKUP($C516,'NAO DESO'!$A:$D,3,)</f>
        <v>H</v>
      </c>
      <c r="F516" s="242">
        <v>0.98</v>
      </c>
      <c r="G516" s="242" t="str">
        <f>IF(B516="SEPLAG",VLOOKUP(CONCATENATE("MEDIANA - ",C516),COTAÇÃO,5,FALSE),VLOOKUP($C516,'NAO DESO'!$A:$D,4,))</f>
        <v>16,83</v>
      </c>
      <c r="H516" s="242">
        <f t="shared" si="32"/>
        <v>16.489999999999998</v>
      </c>
      <c r="I516" s="54" t="str">
        <f>IF(B516="SEPLAG",VLOOKUP(CONCATENATE("MEDIANA - ",C516),COTAÇÃO,5,FALSE),VLOOKUP($C516,DESON!$A:$D,4,))</f>
        <v>15,16</v>
      </c>
      <c r="J516" s="209">
        <f t="shared" si="33"/>
        <v>14.85</v>
      </c>
    </row>
    <row r="517" spans="1:10" ht="15" customHeight="1">
      <c r="A517" s="210" t="str">
        <f>CONCATENATE("TOTAL DO ITEM NÃO DESON. - ",C508)</f>
        <v>TOTAL DO ITEM NÃO DESON. - SEPLAG ARQ 48</v>
      </c>
      <c r="B517" s="424"/>
      <c r="C517" s="424"/>
      <c r="D517" s="424"/>
      <c r="E517" s="424"/>
      <c r="F517" s="425"/>
      <c r="G517" s="426"/>
      <c r="H517" s="1189">
        <f>SUM(H510:H516)</f>
        <v>589.62</v>
      </c>
      <c r="I517" s="214"/>
      <c r="J517" s="215"/>
    </row>
    <row r="518" spans="1:10" ht="15.75" customHeight="1" thickBot="1">
      <c r="A518" s="216" t="str">
        <f>CONCATENATE("TOTAL DO ITEM DESON. - ",C508)</f>
        <v>TOTAL DO ITEM DESON. - SEPLAG ARQ 48</v>
      </c>
      <c r="B518" s="427"/>
      <c r="C518" s="427"/>
      <c r="D518" s="427"/>
      <c r="E518" s="427"/>
      <c r="F518" s="428"/>
      <c r="G518" s="429"/>
      <c r="H518" s="1190"/>
      <c r="I518" s="229"/>
      <c r="J518" s="219">
        <f>SUM(J510:J516)</f>
        <v>584.66000000000008</v>
      </c>
    </row>
    <row r="519" spans="1:10" s="207" customFormat="1" ht="15" customHeight="1" thickBot="1">
      <c r="A519" s="223"/>
      <c r="B519" s="1133"/>
      <c r="C519" s="1133"/>
      <c r="D519" s="1133"/>
      <c r="E519" s="1133"/>
      <c r="F519" s="1185"/>
      <c r="G519" s="1185"/>
      <c r="H519" s="1185"/>
      <c r="I519" s="224"/>
      <c r="J519" s="225"/>
    </row>
    <row r="520" spans="1:10" ht="26.25" customHeight="1">
      <c r="A520" s="198"/>
      <c r="B520" s="1175"/>
      <c r="C520" s="1176" t="s">
        <v>419</v>
      </c>
      <c r="D520" s="156" t="s">
        <v>7654</v>
      </c>
      <c r="E520" s="1176" t="s">
        <v>24</v>
      </c>
      <c r="F520" s="1177" t="s">
        <v>18</v>
      </c>
      <c r="G520" s="1178" t="s">
        <v>7017</v>
      </c>
      <c r="H520" s="1179"/>
      <c r="I520" s="200" t="s">
        <v>7016</v>
      </c>
      <c r="J520" s="201"/>
    </row>
    <row r="521" spans="1:10" ht="13.5" customHeight="1">
      <c r="A521" s="233"/>
      <c r="B521" s="247"/>
      <c r="C521" s="1155"/>
      <c r="D521" s="157"/>
      <c r="E521" s="1155"/>
      <c r="F521" s="1180"/>
      <c r="G521" s="1180" t="s">
        <v>19</v>
      </c>
      <c r="H521" s="1180" t="s">
        <v>20</v>
      </c>
      <c r="I521" s="205" t="s">
        <v>19</v>
      </c>
      <c r="J521" s="206" t="s">
        <v>20</v>
      </c>
    </row>
    <row r="522" spans="1:10" ht="38.25" customHeight="1">
      <c r="A522" s="208"/>
      <c r="B522" s="241"/>
      <c r="C522" s="241" t="s">
        <v>180</v>
      </c>
      <c r="D522" s="1132" t="s">
        <v>246</v>
      </c>
      <c r="E522" s="247"/>
      <c r="F522" s="248"/>
      <c r="G522" s="248"/>
      <c r="H522" s="248"/>
      <c r="I522" s="54"/>
      <c r="J522" s="234"/>
    </row>
    <row r="523" spans="1:10" ht="26.25" customHeight="1">
      <c r="A523" s="208" t="s">
        <v>39</v>
      </c>
      <c r="B523" s="241"/>
      <c r="C523" s="1181">
        <v>142</v>
      </c>
      <c r="D523" s="161" t="str">
        <f>IF(B523="SEPLAG",VLOOKUP(COMPOSIÇÕES!C523,'MAPA COMPARATIVO'!A:B,2,FALSE),VLOOKUP(C523,'NAO DESO'!A:B,2,0))</f>
        <v>SELANTE ELASTICO MONOCOMPONENTE A BASE DE POLIURETANO (PU) PARA JUNTAS DIVERSAS</v>
      </c>
      <c r="E523" s="241" t="str">
        <f>VLOOKUP($C523,'NAO DESO'!$A:$D,3,)</f>
        <v xml:space="preserve">310ML </v>
      </c>
      <c r="F523" s="242">
        <v>6.3700000000000007E-2</v>
      </c>
      <c r="G523" s="242">
        <f>IF(B523="SEPLAG",VLOOKUP(CONCATENATE("MEDIANA - ",C523),COTAÇÃO,5,FALSE),VLOOKUP($C523,'NAO DESO'!$A:$D,4,))</f>
        <v>26.18</v>
      </c>
      <c r="H523" s="242">
        <f t="shared" ref="H523:H528" si="34">TRUNC(F523*G523,2)</f>
        <v>1.66</v>
      </c>
      <c r="I523" s="54" t="str">
        <f>IF(B523="SEPLAG",VLOOKUP(CONCATENATE("MEDIANA - ",C523),COTAÇÃO,5,FALSE),VLOOKUP($C523,DESON!$A:$D,4,))</f>
        <v>26,18</v>
      </c>
      <c r="J523" s="209">
        <f t="shared" ref="J523:J528" si="35">TRUNC(F523*I523,2)</f>
        <v>1.66</v>
      </c>
    </row>
    <row r="524" spans="1:10" ht="26.25" customHeight="1">
      <c r="A524" s="208" t="s">
        <v>39</v>
      </c>
      <c r="B524" s="241"/>
      <c r="C524" s="1181">
        <v>5031</v>
      </c>
      <c r="D524" s="161" t="str">
        <f>IF(B524="SEPLAG",VLOOKUP(COMPOSIÇÕES!C524,'MAPA COMPARATIVO'!A:B,2,FALSE),VLOOKUP(C524,'NAO DESO'!A:B,2,0))</f>
        <v>VIDRO TEMPERADO INCOLOR PARA PORTA DE ABRIR, E = 10 MM (SEM FERRAGENS E SEM COLOCACAO)</v>
      </c>
      <c r="E524" s="241" t="str">
        <f>VLOOKUP($C524,'NAO DESO'!$A:$D,3,)</f>
        <v xml:space="preserve">M2    </v>
      </c>
      <c r="F524" s="242">
        <f>2.6*2.1</f>
        <v>5.4600000000000009</v>
      </c>
      <c r="G524" s="242">
        <f>IF(B524="SEPLAG",VLOOKUP(CONCATENATE("MEDIANA - ",C524),COTAÇÃO,5,FALSE),VLOOKUP($C524,'NAO DESO'!$A:$D,4,))</f>
        <v>500</v>
      </c>
      <c r="H524" s="242">
        <f t="shared" si="34"/>
        <v>2730</v>
      </c>
      <c r="I524" s="54" t="str">
        <f>IF(B524="SEPLAG",VLOOKUP(CONCATENATE("MEDIANA - ",C524),COTAÇÃO,5,FALSE),VLOOKUP($C524,DESON!$A:$D,4,))</f>
        <v>500,00</v>
      </c>
      <c r="J524" s="209">
        <f t="shared" si="35"/>
        <v>2730</v>
      </c>
    </row>
    <row r="525" spans="1:10" ht="26.25" customHeight="1">
      <c r="A525" s="208" t="s">
        <v>39</v>
      </c>
      <c r="B525" s="241"/>
      <c r="C525" s="1181">
        <v>7568</v>
      </c>
      <c r="D525" s="161" t="str">
        <f>IF(B525="SEPLAG",VLOOKUP(COMPOSIÇÕES!C525,'MAPA COMPARATIVO'!A:B,2,FALSE),VLOOKUP(C525,'NAO DESO'!A:B,2,0))</f>
        <v>BUCHA DE NYLON SEM ABA S10, COM PARAFUSO DE 6,10 X 65 MM EM ACO ZINCADO COM ROSCA SOBERBA, CABECA CHATA E FENDA PHILLIPS</v>
      </c>
      <c r="E525" s="241" t="str">
        <f>VLOOKUP($C525,'NAO DESO'!$A:$D,3,)</f>
        <v xml:space="preserve">UN    </v>
      </c>
      <c r="F525" s="242">
        <v>4.72</v>
      </c>
      <c r="G525" s="242">
        <f>IF(B525="SEPLAG",VLOOKUP(CONCATENATE("MEDIANA - ",C525),COTAÇÃO,5,FALSE),VLOOKUP($C525,'NAO DESO'!$A:$D,4,))</f>
        <v>0.61</v>
      </c>
      <c r="H525" s="242">
        <f t="shared" si="34"/>
        <v>2.87</v>
      </c>
      <c r="I525" s="54" t="str">
        <f>IF(B525="SEPLAG",VLOOKUP(CONCATENATE("MEDIANA - ",C525),COTAÇÃO,5,FALSE),VLOOKUP($C525,DESON!$A:$D,4,))</f>
        <v>0,61</v>
      </c>
      <c r="J525" s="209">
        <f t="shared" si="35"/>
        <v>2.87</v>
      </c>
    </row>
    <row r="526" spans="1:10" ht="39" customHeight="1">
      <c r="A526" s="208" t="s">
        <v>39</v>
      </c>
      <c r="B526" s="241"/>
      <c r="C526" s="1181">
        <v>36888</v>
      </c>
      <c r="D526" s="161" t="str">
        <f>IF(B526="SEPLAG",VLOOKUP(COMPOSIÇÕES!C526,'MAPA COMPARATIVO'!A:B,2,FALSE),VLOOKUP(C526,'NAO DESO'!A:B,2,0))</f>
        <v>GUARNICAO / MOLDURA / ARREMATE DE ACABAMENTO PARA ESQUADRIA, EM ALUMINIO PERFIL 25, ACABAMENTO ANODIZADO BRANCO OU BRILHANTE, PARA 1 FACE</v>
      </c>
      <c r="E526" s="241" t="str">
        <f>VLOOKUP($C526,'NAO DESO'!$A:$D,3,)</f>
        <v xml:space="preserve">M     </v>
      </c>
      <c r="F526" s="242">
        <v>2.202</v>
      </c>
      <c r="G526" s="242">
        <f>IF(B526="SEPLAG",VLOOKUP(CONCATENATE("MEDIANA - ",C526),COTAÇÃO,5,FALSE),VLOOKUP($C526,'NAO DESO'!$A:$D,4,))</f>
        <v>43.85</v>
      </c>
      <c r="H526" s="242">
        <f t="shared" si="34"/>
        <v>96.55</v>
      </c>
      <c r="I526" s="54" t="str">
        <f>IF(B526="SEPLAG",VLOOKUP(CONCATENATE("MEDIANA - ",C526),COTAÇÃO,5,FALSE),VLOOKUP($C526,DESON!$A:$D,4,))</f>
        <v>43,85</v>
      </c>
      <c r="J526" s="209">
        <f t="shared" si="35"/>
        <v>96.55</v>
      </c>
    </row>
    <row r="527" spans="1:10" ht="33" customHeight="1">
      <c r="A527" s="208" t="s">
        <v>245</v>
      </c>
      <c r="B527" s="241"/>
      <c r="C527" s="1181">
        <v>88309</v>
      </c>
      <c r="D527" s="161" t="str">
        <f>IF(B527="SEPLAG",VLOOKUP(COMPOSIÇÕES!C527,'MAPA COMPARATIVO'!A:B,2,FALSE),VLOOKUP(C527,'NAO DESO'!A:B,2,0))</f>
        <v>PEDREIRO COM ENCARGOS COMPLEMENTARES</v>
      </c>
      <c r="E527" s="241" t="str">
        <f>VLOOKUP($C527,'NAO DESO'!$A:$D,3,)</f>
        <v>H</v>
      </c>
      <c r="F527" s="242">
        <f>0.28*F524</f>
        <v>1.5288000000000004</v>
      </c>
      <c r="G527" s="242" t="str">
        <f>IF(B527="SEPLAG",VLOOKUP(CONCATENATE("MEDIANA - ",C527),COTAÇÃO,5,FALSE),VLOOKUP($C527,'NAO DESO'!$A:$D,4,))</f>
        <v>21,10</v>
      </c>
      <c r="H527" s="242">
        <f t="shared" si="34"/>
        <v>32.25</v>
      </c>
      <c r="I527" s="54" t="str">
        <f>IF(B527="SEPLAG",VLOOKUP(CONCATENATE("MEDIANA - ",C527),COTAÇÃO,5,FALSE),VLOOKUP($C527,DESON!$A:$D,4,))</f>
        <v>18,86</v>
      </c>
      <c r="J527" s="209">
        <f t="shared" si="35"/>
        <v>28.83</v>
      </c>
    </row>
    <row r="528" spans="1:10" s="245" customFormat="1" ht="15" customHeight="1">
      <c r="A528" s="208" t="s">
        <v>245</v>
      </c>
      <c r="B528" s="241"/>
      <c r="C528" s="1181">
        <v>88316</v>
      </c>
      <c r="D528" s="161" t="str">
        <f>IF(B528="SEPLAG",VLOOKUP(COMPOSIÇÕES!C528,'MAPA COMPARATIVO'!A:B,2,FALSE),VLOOKUP(C528,'NAO DESO'!A:B,2,0))</f>
        <v>SERVENTE COM ENCARGOS COMPLEMENTARES</v>
      </c>
      <c r="E528" s="241" t="str">
        <f>VLOOKUP($C528,'NAO DESO'!$A:$D,3,)</f>
        <v>H</v>
      </c>
      <c r="F528" s="242">
        <f>0.14*F524</f>
        <v>0.76440000000000019</v>
      </c>
      <c r="G528" s="242" t="str">
        <f>IF(B528="SEPLAG",VLOOKUP(CONCATENATE("MEDIANA - ",C528),COTAÇÃO,5,FALSE),VLOOKUP($C528,'NAO DESO'!$A:$D,4,))</f>
        <v>16,83</v>
      </c>
      <c r="H528" s="242">
        <f t="shared" si="34"/>
        <v>12.86</v>
      </c>
      <c r="I528" s="54" t="str">
        <f>IF(B528="SEPLAG",VLOOKUP(CONCATENATE("MEDIANA - ",C528),COTAÇÃO,5,FALSE),VLOOKUP($C528,DESON!$A:$D,4,))</f>
        <v>15,16</v>
      </c>
      <c r="J528" s="209">
        <f t="shared" si="35"/>
        <v>11.58</v>
      </c>
    </row>
    <row r="529" spans="1:10" s="245" customFormat="1" ht="15" customHeight="1">
      <c r="A529" s="210" t="str">
        <f>CONCATENATE("TOTAL DO ITEM NÃO DESON. - ",C520)</f>
        <v>TOTAL DO ITEM NÃO DESON. - SEPLAG  ARQ 49</v>
      </c>
      <c r="B529" s="424"/>
      <c r="C529" s="424"/>
      <c r="D529" s="424"/>
      <c r="E529" s="424"/>
      <c r="F529" s="425"/>
      <c r="G529" s="426"/>
      <c r="H529" s="1182">
        <f>SUM(H523:H528)</f>
        <v>2876.19</v>
      </c>
      <c r="I529" s="214"/>
      <c r="J529" s="246"/>
    </row>
    <row r="530" spans="1:10" s="245" customFormat="1" ht="15.75" customHeight="1" thickBot="1">
      <c r="A530" s="216" t="str">
        <f>CONCATENATE("TOTAL DO ITEM DESON. - ",C520)</f>
        <v>TOTAL DO ITEM DESON. - SEPLAG  ARQ 49</v>
      </c>
      <c r="B530" s="427"/>
      <c r="C530" s="427"/>
      <c r="D530" s="427"/>
      <c r="E530" s="427"/>
      <c r="F530" s="428"/>
      <c r="G530" s="429"/>
      <c r="H530" s="1187"/>
      <c r="I530" s="229"/>
      <c r="J530" s="219">
        <f>SUM(J523:J528)</f>
        <v>2871.49</v>
      </c>
    </row>
    <row r="531" spans="1:10" ht="15" customHeight="1" thickBot="1">
      <c r="A531" s="235"/>
      <c r="B531" s="1135"/>
      <c r="C531" s="1135"/>
      <c r="D531" s="1135"/>
      <c r="E531" s="1135"/>
      <c r="F531" s="1188"/>
      <c r="G531" s="1188"/>
      <c r="H531" s="1188"/>
      <c r="I531" s="236"/>
      <c r="J531" s="237"/>
    </row>
    <row r="532" spans="1:10" ht="24.75" customHeight="1">
      <c r="A532" s="198"/>
      <c r="B532" s="1175"/>
      <c r="C532" s="1152" t="s">
        <v>7043</v>
      </c>
      <c r="D532" s="152" t="s">
        <v>7648</v>
      </c>
      <c r="E532" s="1176" t="s">
        <v>24</v>
      </c>
      <c r="F532" s="1177" t="s">
        <v>18</v>
      </c>
      <c r="G532" s="1178" t="s">
        <v>7017</v>
      </c>
      <c r="H532" s="1179"/>
      <c r="I532" s="200" t="s">
        <v>7016</v>
      </c>
      <c r="J532" s="201"/>
    </row>
    <row r="533" spans="1:10" ht="16.5" customHeight="1">
      <c r="A533" s="233"/>
      <c r="B533" s="247"/>
      <c r="C533" s="430"/>
      <c r="D533" s="158"/>
      <c r="E533" s="1155"/>
      <c r="F533" s="1180"/>
      <c r="G533" s="1180" t="s">
        <v>19</v>
      </c>
      <c r="H533" s="1180" t="s">
        <v>20</v>
      </c>
      <c r="I533" s="205" t="s">
        <v>19</v>
      </c>
      <c r="J533" s="206" t="s">
        <v>20</v>
      </c>
    </row>
    <row r="534" spans="1:10" ht="26.25" customHeight="1">
      <c r="A534" s="208" t="s">
        <v>39</v>
      </c>
      <c r="B534" s="241" t="s">
        <v>14504</v>
      </c>
      <c r="C534" s="241" t="s">
        <v>14303</v>
      </c>
      <c r="D534" s="161" t="str">
        <f>IF(B534="SEPLAG",VLOOKUP(COMPOSIÇÕES!C534,'MAPA COMPARATIVO'!A:B,2,FALSE),VLOOKUP(C534,'NAO DESO'!A:B,2,0))</f>
        <v>FELTRO EM LA DE ROCHA, 1 FACE REVESTIDA COM PAPEL ALUMINIZADO, EM ROLO, DENSIDADE = 32 KG/M3, E=*50* MM</v>
      </c>
      <c r="E534" s="241" t="s">
        <v>12</v>
      </c>
      <c r="F534" s="242">
        <v>1</v>
      </c>
      <c r="G534" s="242">
        <f>IF(B534="SEPLAG",VLOOKUP(CONCATENATE("MEDIANA - ",C534),COTAÇÃO,5,FALSE),VLOOKUP($C534,'NAO DESO'!$A:$D,4,))</f>
        <v>490.2</v>
      </c>
      <c r="H534" s="242">
        <f>TRUNC(F534*G534,2)</f>
        <v>490.2</v>
      </c>
      <c r="I534" s="54">
        <f>IF(B534="SEPLAG",VLOOKUP(CONCATENATE("MEDIANA - ",C534),COTAÇÃO,5,FALSE),VLOOKUP($C534,DESON!$A:$D,4,))</f>
        <v>490.2</v>
      </c>
      <c r="J534" s="209">
        <f>TRUNC(F534*I534,2)</f>
        <v>490.2</v>
      </c>
    </row>
    <row r="535" spans="1:10" ht="15" customHeight="1">
      <c r="A535" s="208" t="s">
        <v>245</v>
      </c>
      <c r="B535" s="241"/>
      <c r="C535" s="1181">
        <v>88278</v>
      </c>
      <c r="D535" s="161" t="str">
        <f>IF(B535="SEPLAG",VLOOKUP(COMPOSIÇÕES!C535,'MAPA COMPARATIVO'!A:B,2,FALSE),VLOOKUP(C535,'NAO DESO'!A:B,2,0))</f>
        <v>MONTADOR DE ESTRUTURA METÁLICA COM ENCARGOS COMPLEMENTARES</v>
      </c>
      <c r="E535" s="241" t="str">
        <f>VLOOKUP($C535,'NAO DESO'!$A:$D,3,)</f>
        <v>H</v>
      </c>
      <c r="F535" s="242">
        <v>6.8000000000000005E-2</v>
      </c>
      <c r="G535" s="242" t="str">
        <f>IF(B535="SEPLAG",VLOOKUP(CONCATENATE("MEDIANA - ",C535),COTAÇÃO,5,FALSE),VLOOKUP($C535,'NAO DESO'!$A:$D,4,))</f>
        <v>15,22</v>
      </c>
      <c r="H535" s="242">
        <f>TRUNC(F535*G535,2)</f>
        <v>1.03</v>
      </c>
      <c r="I535" s="54" t="str">
        <f>IF(B535="SEPLAG",VLOOKUP(CONCATENATE("MEDIANA - ",C535),COTAÇÃO,5,FALSE),VLOOKUP($C535,DESON!$A:$D,4,))</f>
        <v>13,65</v>
      </c>
      <c r="J535" s="209">
        <f>TRUNC(F535*I535,2)</f>
        <v>0.92</v>
      </c>
    </row>
    <row r="536" spans="1:10" ht="15" customHeight="1">
      <c r="A536" s="208" t="s">
        <v>245</v>
      </c>
      <c r="B536" s="241"/>
      <c r="C536" s="1181">
        <v>88316</v>
      </c>
      <c r="D536" s="161" t="str">
        <f>IF(B536="SEPLAG",VLOOKUP(COMPOSIÇÕES!C536,'MAPA COMPARATIVO'!A:B,2,FALSE),VLOOKUP(C536,'NAO DESO'!A:B,2,0))</f>
        <v>SERVENTE COM ENCARGOS COMPLEMENTARES</v>
      </c>
      <c r="E536" s="241" t="str">
        <f>VLOOKUP($C536,'NAO DESO'!$A:$D,3,)</f>
        <v>H</v>
      </c>
      <c r="F536" s="242">
        <v>0.02</v>
      </c>
      <c r="G536" s="242" t="str">
        <f>IF(B536="SEPLAG",VLOOKUP(CONCATENATE("MEDIANA - ",C536),COTAÇÃO,5,FALSE),VLOOKUP($C536,'NAO DESO'!$A:$D,4,))</f>
        <v>16,83</v>
      </c>
      <c r="H536" s="242">
        <f>TRUNC(F536*G536,2)</f>
        <v>0.33</v>
      </c>
      <c r="I536" s="54" t="str">
        <f>IF(B536="SEPLAG",VLOOKUP(CONCATENATE("MEDIANA - ",C536),COTAÇÃO,5,FALSE),VLOOKUP($C536,DESON!$A:$D,4,))</f>
        <v>15,16</v>
      </c>
      <c r="J536" s="209">
        <f>TRUNC(F536*I536,2)</f>
        <v>0.3</v>
      </c>
    </row>
    <row r="537" spans="1:10" s="207" customFormat="1" ht="15" customHeight="1">
      <c r="A537" s="210" t="str">
        <f>CONCATENATE("TOTAL DO ITEM NÃO DESON. - ",C532)</f>
        <v>TOTAL DO ITEM NÃO DESON. - SEPLAG ARQ 50</v>
      </c>
      <c r="B537" s="424"/>
      <c r="C537" s="424"/>
      <c r="D537" s="424"/>
      <c r="E537" s="424"/>
      <c r="F537" s="425"/>
      <c r="G537" s="426"/>
      <c r="H537" s="1189">
        <f>SUM(H534:H536)</f>
        <v>491.55999999999995</v>
      </c>
      <c r="I537" s="214"/>
      <c r="J537" s="239"/>
    </row>
    <row r="538" spans="1:10" s="207" customFormat="1" ht="15.75" customHeight="1" thickBot="1">
      <c r="A538" s="216" t="str">
        <f>CONCATENATE("TOTAL DO ITEM DESON. - ",C532)</f>
        <v>TOTAL DO ITEM DESON. - SEPLAG ARQ 50</v>
      </c>
      <c r="B538" s="427"/>
      <c r="C538" s="427"/>
      <c r="D538" s="427"/>
      <c r="E538" s="427"/>
      <c r="F538" s="428"/>
      <c r="G538" s="429"/>
      <c r="H538" s="1190"/>
      <c r="I538" s="229"/>
      <c r="J538" s="219">
        <f>SUM(J534:J536)</f>
        <v>491.42</v>
      </c>
    </row>
    <row r="539" spans="1:10" ht="15" customHeight="1" thickBot="1">
      <c r="A539" s="235"/>
      <c r="B539" s="1135"/>
      <c r="C539" s="1135"/>
      <c r="D539" s="1135"/>
      <c r="E539" s="1135"/>
      <c r="F539" s="1188"/>
      <c r="G539" s="1188"/>
      <c r="H539" s="1188"/>
      <c r="I539" s="236"/>
      <c r="J539" s="237"/>
    </row>
    <row r="540" spans="1:10" ht="28.5" customHeight="1">
      <c r="A540" s="198"/>
      <c r="B540" s="1175"/>
      <c r="C540" s="1152" t="s">
        <v>7098</v>
      </c>
      <c r="D540" s="152" t="s">
        <v>7097</v>
      </c>
      <c r="E540" s="1176" t="s">
        <v>8</v>
      </c>
      <c r="F540" s="1177" t="s">
        <v>18</v>
      </c>
      <c r="G540" s="1178" t="s">
        <v>7017</v>
      </c>
      <c r="H540" s="1179"/>
      <c r="I540" s="200" t="s">
        <v>7016</v>
      </c>
      <c r="J540" s="201"/>
    </row>
    <row r="541" spans="1:10" ht="15" customHeight="1">
      <c r="A541" s="233"/>
      <c r="B541" s="247"/>
      <c r="C541" s="430"/>
      <c r="D541" s="158"/>
      <c r="E541" s="1155"/>
      <c r="F541" s="1180"/>
      <c r="G541" s="1180" t="s">
        <v>19</v>
      </c>
      <c r="H541" s="1180" t="s">
        <v>20</v>
      </c>
      <c r="I541" s="205" t="s">
        <v>19</v>
      </c>
      <c r="J541" s="206" t="s">
        <v>20</v>
      </c>
    </row>
    <row r="542" spans="1:10" ht="15" customHeight="1">
      <c r="A542" s="208" t="s">
        <v>188</v>
      </c>
      <c r="B542" s="241" t="s">
        <v>14504</v>
      </c>
      <c r="C542" s="241" t="s">
        <v>14305</v>
      </c>
      <c r="D542" s="161" t="str">
        <f>IF(B542="SEPLAG",VLOOKUP(COMPOSIÇÕES!C542,'MAPA COMPARATIVO'!A:B,2,FALSE),VLOOKUP(C542,'NAO DESO'!A:B,2,0))</f>
        <v>PELÍCULA DE SEGURANÇA (P/VIDRO)</v>
      </c>
      <c r="E542" s="241" t="s">
        <v>12</v>
      </c>
      <c r="F542" s="242">
        <v>1</v>
      </c>
      <c r="G542" s="242">
        <f>IF(B542="SEPLAG",VLOOKUP(CONCATENATE("MEDIANA - ",C542),COTAÇÃO,5,FALSE),VLOOKUP($C542,'NAO DESO'!$A:$D,4,))</f>
        <v>53.913333333333334</v>
      </c>
      <c r="H542" s="242">
        <f>TRUNC(F542*G542,2)</f>
        <v>53.91</v>
      </c>
      <c r="I542" s="54">
        <f>IF(B542="SEPLAG",VLOOKUP(CONCATENATE("MEDIANA - ",C542),COTAÇÃO,5,FALSE),VLOOKUP($C542,DESON!$A:$D,4,))</f>
        <v>53.913333333333334</v>
      </c>
      <c r="J542" s="209">
        <f>TRUNC(F542*I542,2)</f>
        <v>53.91</v>
      </c>
    </row>
    <row r="543" spans="1:10" ht="15" customHeight="1">
      <c r="A543" s="208" t="s">
        <v>245</v>
      </c>
      <c r="B543" s="241"/>
      <c r="C543" s="1181">
        <v>88316</v>
      </c>
      <c r="D543" s="161" t="str">
        <f>IF(B543="SEPLAG",VLOOKUP(COMPOSIÇÕES!C543,'MAPA COMPARATIVO'!A:B,2,FALSE),VLOOKUP(C543,'NAO DESO'!A:B,2,0))</f>
        <v>SERVENTE COM ENCARGOS COMPLEMENTARES</v>
      </c>
      <c r="E543" s="241" t="str">
        <f>VLOOKUP($C543,'NAO DESO'!$A:$D,3,)</f>
        <v>H</v>
      </c>
      <c r="F543" s="242">
        <v>0.35</v>
      </c>
      <c r="G543" s="242" t="str">
        <f>IF(B543="SEPLAG",VLOOKUP(CONCATENATE("MEDIANA - ",C543),COTAÇÃO,5,FALSE),VLOOKUP($C543,'NAO DESO'!$A:$D,4,))</f>
        <v>16,83</v>
      </c>
      <c r="H543" s="242">
        <f>TRUNC(F543*G543,2)</f>
        <v>5.89</v>
      </c>
      <c r="I543" s="54" t="str">
        <f>IF(B543="SEPLAG",VLOOKUP(CONCATENATE("MEDIANA - ",C543),COTAÇÃO,5,FALSE),VLOOKUP($C543,DESON!$A:$D,4,))</f>
        <v>15,16</v>
      </c>
      <c r="J543" s="209">
        <f>TRUNC(F543*I543,2)</f>
        <v>5.3</v>
      </c>
    </row>
    <row r="544" spans="1:10" s="207" customFormat="1" ht="15" customHeight="1">
      <c r="A544" s="210" t="str">
        <f>CONCATENATE("TOTAL DO ITEM NÃO DESON. - ",C540)</f>
        <v>TOTAL DO ITEM NÃO DESON. - SEPLAG ARQ 51</v>
      </c>
      <c r="B544" s="424"/>
      <c r="C544" s="424"/>
      <c r="D544" s="424"/>
      <c r="E544" s="424"/>
      <c r="F544" s="425"/>
      <c r="G544" s="426"/>
      <c r="H544" s="1189">
        <f>SUM(H542:H543)</f>
        <v>59.8</v>
      </c>
      <c r="I544" s="214"/>
      <c r="J544" s="239"/>
    </row>
    <row r="545" spans="1:10" s="207" customFormat="1" ht="15.75" customHeight="1" thickBot="1">
      <c r="A545" s="216" t="str">
        <f>CONCATENATE("TOTAL DO ITEM DESON. - ",C540)</f>
        <v>TOTAL DO ITEM DESON. - SEPLAG ARQ 51</v>
      </c>
      <c r="B545" s="427"/>
      <c r="C545" s="427"/>
      <c r="D545" s="427"/>
      <c r="E545" s="427"/>
      <c r="F545" s="428"/>
      <c r="G545" s="429"/>
      <c r="H545" s="1190"/>
      <c r="I545" s="229"/>
      <c r="J545" s="219">
        <f>SUM(J542:J543)</f>
        <v>59.209999999999994</v>
      </c>
    </row>
    <row r="546" spans="1:10" ht="15" customHeight="1" thickBot="1">
      <c r="A546" s="235"/>
      <c r="B546" s="1135"/>
      <c r="C546" s="1135"/>
      <c r="D546" s="1135"/>
      <c r="E546" s="1135"/>
      <c r="F546" s="1188"/>
      <c r="G546" s="1188"/>
      <c r="H546" s="1188"/>
      <c r="I546" s="236"/>
      <c r="J546" s="237"/>
    </row>
    <row r="547" spans="1:10" ht="41.25" customHeight="1">
      <c r="A547" s="198"/>
      <c r="B547" s="1175"/>
      <c r="C547" s="1152" t="s">
        <v>7175</v>
      </c>
      <c r="D547" s="152" t="s">
        <v>7176</v>
      </c>
      <c r="E547" s="1176" t="s">
        <v>24</v>
      </c>
      <c r="F547" s="1177" t="s">
        <v>18</v>
      </c>
      <c r="G547" s="1178" t="s">
        <v>7017</v>
      </c>
      <c r="H547" s="1179"/>
      <c r="I547" s="200" t="s">
        <v>7016</v>
      </c>
      <c r="J547" s="201"/>
    </row>
    <row r="548" spans="1:10" s="207" customFormat="1" ht="15.75" customHeight="1">
      <c r="A548" s="233"/>
      <c r="B548" s="247"/>
      <c r="C548" s="430"/>
      <c r="D548" s="158"/>
      <c r="E548" s="1155"/>
      <c r="F548" s="1180"/>
      <c r="G548" s="1180" t="s">
        <v>19</v>
      </c>
      <c r="H548" s="1180" t="s">
        <v>20</v>
      </c>
      <c r="I548" s="205" t="s">
        <v>19</v>
      </c>
      <c r="J548" s="206" t="s">
        <v>20</v>
      </c>
    </row>
    <row r="549" spans="1:10" ht="26.25" customHeight="1">
      <c r="A549" s="208" t="s">
        <v>348</v>
      </c>
      <c r="B549" s="241"/>
      <c r="C549" s="1181">
        <v>86884</v>
      </c>
      <c r="D549" s="161" t="str">
        <f>IF(B549="SEPLAG",VLOOKUP(COMPOSIÇÕES!C549,'MAPA COMPARATIVO'!A:B,2,FALSE),VLOOKUP(C549,'NAO DESO'!A:B,2,0))</f>
        <v>ENGATE FLEXÍVEL EM PLÁSTICO BRANCO, 1/2 X 30CM - FORNECIMENTO E INSTALAÇÃO. AF_01/2020</v>
      </c>
      <c r="E549" s="241" t="str">
        <f>VLOOKUP($C549,'NAO DESO'!$A:$D,3,)</f>
        <v>UN</v>
      </c>
      <c r="F549" s="242">
        <v>1</v>
      </c>
      <c r="G549" s="242" t="str">
        <f>IF(B549="SEPLAG",VLOOKUP(CONCATENATE("MEDIANA - ",C549),COTAÇÃO,5,FALSE),VLOOKUP($C549,'NAO DESO'!$A:$D,4,))</f>
        <v>9,04</v>
      </c>
      <c r="H549" s="242">
        <f t="shared" ref="H549:H554" si="36">TRUNC(F549*G549,2)</f>
        <v>9.0399999999999991</v>
      </c>
      <c r="I549" s="54" t="str">
        <f>IF(B549="SEPLAG",VLOOKUP(CONCATENATE("MEDIANA - ",C549),COTAÇÃO,5,FALSE),VLOOKUP($C549,DESON!$A:$D,4,))</f>
        <v>8,61</v>
      </c>
      <c r="J549" s="209">
        <f t="shared" ref="J549:J554" si="37">TRUNC(F549*I549,2)</f>
        <v>8.61</v>
      </c>
    </row>
    <row r="550" spans="1:10" ht="26.25" customHeight="1">
      <c r="A550" s="208" t="s">
        <v>348</v>
      </c>
      <c r="B550" s="241"/>
      <c r="C550" s="1181">
        <v>11795</v>
      </c>
      <c r="D550" s="161" t="str">
        <f>IF(B550="SEPLAG",VLOOKUP(COMPOSIÇÕES!C550,'MAPA COMPARATIVO'!A:B,2,FALSE),VLOOKUP(C550,'NAO DESO'!A:B,2,0))</f>
        <v>GRANITO PARA BANCADA, POLIDO, TIPO ANDORINHA/ QUARTZ/ CASTELO/ CORUMBA OU OUTROS EQUIVALENTES DA REGIAO, E=  *2,5* CM</v>
      </c>
      <c r="E550" s="241" t="str">
        <f>VLOOKUP($C550,'NAO DESO'!$A:$D,3,)</f>
        <v xml:space="preserve">M2    </v>
      </c>
      <c r="F550" s="242">
        <f>1.5*0.6</f>
        <v>0.89999999999999991</v>
      </c>
      <c r="G550" s="242">
        <f>IF(B550="SEPLAG",VLOOKUP(CONCATENATE("MEDIANA - ",C550),COTAÇÃO,5,FALSE),VLOOKUP($C550,'NAO DESO'!$A:$D,4,))</f>
        <v>562.26</v>
      </c>
      <c r="H550" s="242">
        <f t="shared" si="36"/>
        <v>506.03</v>
      </c>
      <c r="I550" s="54" t="str">
        <f>IF(B550="SEPLAG",VLOOKUP(CONCATENATE("MEDIANA - ",C550),COTAÇÃO,5,FALSE),VLOOKUP($C550,DESON!$A:$D,4,))</f>
        <v>562,26</v>
      </c>
      <c r="J550" s="209">
        <f t="shared" si="37"/>
        <v>506.03</v>
      </c>
    </row>
    <row r="551" spans="1:10" ht="42" customHeight="1">
      <c r="A551" s="208" t="s">
        <v>348</v>
      </c>
      <c r="B551" s="241"/>
      <c r="C551" s="1181">
        <v>86911</v>
      </c>
      <c r="D551" s="161" t="str">
        <f>IF(B551="SEPLAG",VLOOKUP(COMPOSIÇÕES!C551,'MAPA COMPARATIVO'!A:B,2,FALSE),VLOOKUP(C551,'NAO DESO'!A:B,2,0))</f>
        <v>TORNEIRA CROMADA LONGA, DE PAREDE, 1/2 OU 3/4, PARA PIA DE COZINHA, PADRÃO POPULAR - FORNECIMENTO E INSTALAÇÃO. AF_01/2020</v>
      </c>
      <c r="E551" s="241" t="str">
        <f>VLOOKUP($C551,'NAO DESO'!$A:$D,3,)</f>
        <v>UN</v>
      </c>
      <c r="F551" s="242">
        <v>1</v>
      </c>
      <c r="G551" s="242" t="str">
        <f>IF(B551="SEPLAG",VLOOKUP(CONCATENATE("MEDIANA - ",C551),COTAÇÃO,5,FALSE),VLOOKUP($C551,'NAO DESO'!$A:$D,4,))</f>
        <v>76,30</v>
      </c>
      <c r="H551" s="242">
        <f t="shared" si="36"/>
        <v>76.3</v>
      </c>
      <c r="I551" s="54" t="str">
        <f>IF(B551="SEPLAG",VLOOKUP(CONCATENATE("MEDIANA - ",C551),COTAÇÃO,5,FALSE),VLOOKUP($C551,DESON!$A:$D,4,))</f>
        <v>75,97</v>
      </c>
      <c r="J551" s="209">
        <f t="shared" si="37"/>
        <v>75.97</v>
      </c>
    </row>
    <row r="552" spans="1:10" ht="53.25" customHeight="1">
      <c r="A552" s="208" t="s">
        <v>348</v>
      </c>
      <c r="B552" s="241"/>
      <c r="C552" s="1181">
        <v>86935</v>
      </c>
      <c r="D552" s="161" t="str">
        <f>IF(B552="SEPLAG",VLOOKUP(COMPOSIÇÕES!C552,'MAPA COMPARATIVO'!A:B,2,FALSE),VLOOKUP(C552,'NAO DESO'!A:B,2,0))</f>
        <v>CUBA DE EMBUTIR DE AÇO INOXIDÁVEL MÉDIA, INCLUSO VÁLVULA TIPO AMERICANA EM METAL CROMADO E SIFÃO FLEXÍVEL EM PVC - FORNECIMENTO E INSTALAÇÃO. AF_01/2020</v>
      </c>
      <c r="E552" s="241" t="str">
        <f>VLOOKUP($C552,'NAO DESO'!$A:$D,3,)</f>
        <v>UN</v>
      </c>
      <c r="F552" s="242">
        <v>1</v>
      </c>
      <c r="G552" s="242" t="str">
        <f>IF(B552="SEPLAG",VLOOKUP(CONCATENATE("MEDIANA - ",C552),COTAÇÃO,5,FALSE),VLOOKUP($C552,'NAO DESO'!$A:$D,4,))</f>
        <v>301,07</v>
      </c>
      <c r="H552" s="242">
        <f t="shared" si="36"/>
        <v>301.07</v>
      </c>
      <c r="I552" s="54" t="str">
        <f>IF(B552="SEPLAG",VLOOKUP(CONCATENATE("MEDIANA - ",C552),COTAÇÃO,5,FALSE),VLOOKUP($C552,DESON!$A:$D,4,))</f>
        <v>299,04</v>
      </c>
      <c r="J552" s="209">
        <f t="shared" si="37"/>
        <v>299.04000000000002</v>
      </c>
    </row>
    <row r="553" spans="1:10" ht="15" customHeight="1">
      <c r="A553" s="208" t="s">
        <v>348</v>
      </c>
      <c r="B553" s="241"/>
      <c r="C553" s="1181">
        <v>88316</v>
      </c>
      <c r="D553" s="161" t="str">
        <f>IF(B553="SEPLAG",VLOOKUP(COMPOSIÇÕES!C553,'MAPA COMPARATIVO'!A:B,2,FALSE),VLOOKUP(C553,'NAO DESO'!A:B,2,0))</f>
        <v>SERVENTE COM ENCARGOS COMPLEMENTARES</v>
      </c>
      <c r="E553" s="241" t="str">
        <f>VLOOKUP($C553,'NAO DESO'!$A:$D,3,)</f>
        <v>H</v>
      </c>
      <c r="F553" s="242">
        <v>1</v>
      </c>
      <c r="G553" s="242" t="str">
        <f>IF(B553="SEPLAG",VLOOKUP(CONCATENATE("MEDIANA - ",C553),COTAÇÃO,5,FALSE),VLOOKUP($C553,'NAO DESO'!$A:$D,4,))</f>
        <v>16,83</v>
      </c>
      <c r="H553" s="242">
        <f t="shared" si="36"/>
        <v>16.829999999999998</v>
      </c>
      <c r="I553" s="54" t="str">
        <f>IF(B553="SEPLAG",VLOOKUP(CONCATENATE("MEDIANA - ",C553),COTAÇÃO,5,FALSE),VLOOKUP($C553,DESON!$A:$D,4,))</f>
        <v>15,16</v>
      </c>
      <c r="J553" s="209">
        <f t="shared" si="37"/>
        <v>15.16</v>
      </c>
    </row>
    <row r="554" spans="1:10" ht="15" customHeight="1">
      <c r="A554" s="208" t="s">
        <v>348</v>
      </c>
      <c r="B554" s="241"/>
      <c r="C554" s="1181">
        <v>88274</v>
      </c>
      <c r="D554" s="161" t="str">
        <f>IF(B554="SEPLAG",VLOOKUP(COMPOSIÇÕES!C554,'MAPA COMPARATIVO'!A:B,2,FALSE),VLOOKUP(C554,'NAO DESO'!A:B,2,0))</f>
        <v>MARMORISTA/GRANITEIRO COM ENCARGOS COMPLEMENTARES</v>
      </c>
      <c r="E554" s="241" t="str">
        <f>VLOOKUP($C554,'NAO DESO'!$A:$D,3,)</f>
        <v>H</v>
      </c>
      <c r="F554" s="242">
        <v>1</v>
      </c>
      <c r="G554" s="242" t="str">
        <f>IF(B554="SEPLAG",VLOOKUP(CONCATENATE("MEDIANA - ",C554),COTAÇÃO,5,FALSE),VLOOKUP($C554,'NAO DESO'!$A:$D,4,))</f>
        <v>21,02</v>
      </c>
      <c r="H554" s="242">
        <f t="shared" si="36"/>
        <v>21.02</v>
      </c>
      <c r="I554" s="54" t="str">
        <f>IF(B554="SEPLAG",VLOOKUP(CONCATENATE("MEDIANA - ",C554),COTAÇÃO,5,FALSE),VLOOKUP($C554,DESON!$A:$D,4,))</f>
        <v>18,79</v>
      </c>
      <c r="J554" s="209">
        <f t="shared" si="37"/>
        <v>18.79</v>
      </c>
    </row>
    <row r="555" spans="1:10" ht="15" customHeight="1">
      <c r="A555" s="210" t="str">
        <f>CONCATENATE("TOTAL DO ITEM NÃO DESON. - ",C547)</f>
        <v>TOTAL DO ITEM NÃO DESON. - SEPLAG ARQ 52</v>
      </c>
      <c r="B555" s="424"/>
      <c r="C555" s="424"/>
      <c r="D555" s="424"/>
      <c r="E555" s="424"/>
      <c r="F555" s="425"/>
      <c r="G555" s="426"/>
      <c r="H555" s="1189">
        <f>SUM(H549:H554)</f>
        <v>930.28999999999985</v>
      </c>
      <c r="I555" s="214"/>
      <c r="J555" s="215"/>
    </row>
    <row r="556" spans="1:10" ht="15.75" customHeight="1" thickBot="1">
      <c r="A556" s="216" t="str">
        <f>CONCATENATE("TOTAL DO ITEM DESON. - ",C547)</f>
        <v>TOTAL DO ITEM DESON. - SEPLAG ARQ 52</v>
      </c>
      <c r="B556" s="427"/>
      <c r="C556" s="427"/>
      <c r="D556" s="427"/>
      <c r="E556" s="427"/>
      <c r="F556" s="428"/>
      <c r="G556" s="429"/>
      <c r="H556" s="1190"/>
      <c r="I556" s="229"/>
      <c r="J556" s="219">
        <f>SUM(J549:J554)</f>
        <v>923.6</v>
      </c>
    </row>
    <row r="557" spans="1:10" ht="15" customHeight="1" thickBot="1">
      <c r="A557" s="235"/>
      <c r="B557" s="1135"/>
      <c r="C557" s="1135"/>
      <c r="D557" s="1135"/>
      <c r="E557" s="1135"/>
      <c r="F557" s="1188"/>
      <c r="G557" s="1188"/>
      <c r="H557" s="1188"/>
      <c r="I557" s="236"/>
      <c r="J557" s="237"/>
    </row>
    <row r="558" spans="1:10" ht="36" customHeight="1">
      <c r="A558" s="230"/>
      <c r="B558" s="1152"/>
      <c r="C558" s="1176" t="s">
        <v>7189</v>
      </c>
      <c r="D558" s="152" t="s">
        <v>7389</v>
      </c>
      <c r="E558" s="1176" t="s">
        <v>24</v>
      </c>
      <c r="F558" s="1177" t="s">
        <v>18</v>
      </c>
      <c r="G558" s="1178" t="s">
        <v>7017</v>
      </c>
      <c r="H558" s="1179"/>
      <c r="I558" s="200" t="s">
        <v>7016</v>
      </c>
      <c r="J558" s="201"/>
    </row>
    <row r="559" spans="1:10" ht="18" customHeight="1">
      <c r="A559" s="203"/>
      <c r="B559" s="430"/>
      <c r="C559" s="1155"/>
      <c r="D559" s="158"/>
      <c r="E559" s="1155"/>
      <c r="F559" s="1180"/>
      <c r="G559" s="1180" t="s">
        <v>19</v>
      </c>
      <c r="H559" s="1180" t="s">
        <v>20</v>
      </c>
      <c r="I559" s="205" t="s">
        <v>19</v>
      </c>
      <c r="J559" s="206" t="s">
        <v>20</v>
      </c>
    </row>
    <row r="560" spans="1:10" s="245" customFormat="1" ht="15" customHeight="1">
      <c r="A560" s="208"/>
      <c r="B560" s="241"/>
      <c r="C560" s="241"/>
      <c r="D560" s="1132"/>
      <c r="E560" s="247"/>
      <c r="F560" s="248"/>
      <c r="G560" s="248"/>
      <c r="H560" s="248"/>
      <c r="I560" s="214"/>
      <c r="J560" s="227"/>
    </row>
    <row r="561" spans="1:10" s="245" customFormat="1" ht="15" customHeight="1">
      <c r="A561" s="208" t="s">
        <v>39</v>
      </c>
      <c r="B561" s="241" t="s">
        <v>14504</v>
      </c>
      <c r="C561" s="241" t="s">
        <v>14286</v>
      </c>
      <c r="D561" s="161" t="str">
        <f>IF(B561="SEPLAG",VLOOKUP(COMPOSIÇÕES!C561,'MAPA COMPARATIVO'!A:B,2,FALSE),VLOOKUP(C561,'NAO DESO'!A:B,2,0))</f>
        <v>KIT PORTA PRONTA PRETA LISA SÓLIDA PORMADE.</v>
      </c>
      <c r="E561" s="241" t="s">
        <v>256</v>
      </c>
      <c r="F561" s="242">
        <v>1</v>
      </c>
      <c r="G561" s="242">
        <f>IF(B561="SEPLAG",VLOOKUP(CONCATENATE("MEDIANA - ",C561),COTAÇÃO,5,FALSE),VLOOKUP($C561,'NAO DESO'!$A:$D,4,))</f>
        <v>2534.3249999999998</v>
      </c>
      <c r="H561" s="242">
        <f>TRUNC(F561*G561,2)</f>
        <v>2534.3200000000002</v>
      </c>
      <c r="I561" s="54">
        <f>IF(B561="SEPLAG",VLOOKUP(CONCATENATE("MEDIANA - ",C561),COTAÇÃO,5,FALSE),VLOOKUP($C561,DESON!$A:$D,4,))</f>
        <v>2534.3249999999998</v>
      </c>
      <c r="J561" s="209">
        <f>TRUNC(F561*I561,2)</f>
        <v>2534.3200000000002</v>
      </c>
    </row>
    <row r="562" spans="1:10" ht="15" customHeight="1">
      <c r="A562" s="208" t="s">
        <v>245</v>
      </c>
      <c r="B562" s="241"/>
      <c r="C562" s="1181">
        <v>88309</v>
      </c>
      <c r="D562" s="161" t="str">
        <f>IF(B562="SEPLAG",VLOOKUP(COMPOSIÇÕES!C562,'MAPA COMPARATIVO'!A:B,2,FALSE),VLOOKUP(C562,'NAO DESO'!A:B,2,0))</f>
        <v>PEDREIRO COM ENCARGOS COMPLEMENTARES</v>
      </c>
      <c r="E562" s="241" t="str">
        <f>VLOOKUP($C562,'NAO DESO'!$A:$D,3,)</f>
        <v>H</v>
      </c>
      <c r="F562" s="242">
        <v>0.38</v>
      </c>
      <c r="G562" s="242" t="str">
        <f>IF(B562="SEPLAG",VLOOKUP(CONCATENATE("MEDIANA - ",C562),COTAÇÃO,5,FALSE),VLOOKUP($C562,'NAO DESO'!$A:$D,4,))</f>
        <v>21,10</v>
      </c>
      <c r="H562" s="242">
        <f>TRUNC(F562*G562,2)</f>
        <v>8.01</v>
      </c>
      <c r="I562" s="54" t="str">
        <f>IF(B562="SEPLAG",VLOOKUP(CONCATENATE("MEDIANA - ",C562),COTAÇÃO,5,FALSE),VLOOKUP($C562,DESON!$A:$D,4,))</f>
        <v>18,86</v>
      </c>
      <c r="J562" s="209">
        <f>TRUNC(F562*I562,2)</f>
        <v>7.16</v>
      </c>
    </row>
    <row r="563" spans="1:10" ht="15" customHeight="1">
      <c r="A563" s="208" t="s">
        <v>245</v>
      </c>
      <c r="B563" s="241"/>
      <c r="C563" s="1181">
        <v>88316</v>
      </c>
      <c r="D563" s="161" t="str">
        <f>IF(B563="SEPLAG",VLOOKUP(COMPOSIÇÕES!C563,'MAPA COMPARATIVO'!A:B,2,FALSE),VLOOKUP(C563,'NAO DESO'!A:B,2,0))</f>
        <v>SERVENTE COM ENCARGOS COMPLEMENTARES</v>
      </c>
      <c r="E563" s="241" t="str">
        <f>VLOOKUP($C563,'NAO DESO'!$A:$D,3,)</f>
        <v>H</v>
      </c>
      <c r="F563" s="242">
        <v>0.19</v>
      </c>
      <c r="G563" s="242" t="str">
        <f>IF(B563="SEPLAG",VLOOKUP(CONCATENATE("MEDIANA - ",C563),COTAÇÃO,5,FALSE),VLOOKUP($C563,'NAO DESO'!$A:$D,4,))</f>
        <v>16,83</v>
      </c>
      <c r="H563" s="242">
        <f>TRUNC(F563*G563,2)</f>
        <v>3.19</v>
      </c>
      <c r="I563" s="54" t="str">
        <f>IF(B563="SEPLAG",VLOOKUP(CONCATENATE("MEDIANA - ",C563),COTAÇÃO,5,FALSE),VLOOKUP($C563,DESON!$A:$D,4,))</f>
        <v>15,16</v>
      </c>
      <c r="J563" s="209">
        <f>TRUNC(F563*I563,2)</f>
        <v>2.88</v>
      </c>
    </row>
    <row r="564" spans="1:10" ht="15" customHeight="1">
      <c r="A564" s="210" t="str">
        <f>CONCATENATE("TOTAL DO ITEM NÃO DESON. - ",C558)</f>
        <v>TOTAL DO ITEM NÃO DESON. - SEPLAG ARQ 53</v>
      </c>
      <c r="B564" s="424"/>
      <c r="C564" s="424"/>
      <c r="D564" s="424"/>
      <c r="E564" s="424"/>
      <c r="F564" s="425"/>
      <c r="G564" s="426"/>
      <c r="H564" s="1182">
        <f>SUM(H561:H563)</f>
        <v>2545.5200000000004</v>
      </c>
      <c r="I564" s="214"/>
      <c r="J564" s="215"/>
    </row>
    <row r="565" spans="1:10" ht="15.75" customHeight="1" thickBot="1">
      <c r="A565" s="216" t="str">
        <f>CONCATENATE("TOTAL DO ITEM DESON. - ",C558)</f>
        <v>TOTAL DO ITEM DESON. - SEPLAG ARQ 53</v>
      </c>
      <c r="B565" s="427"/>
      <c r="C565" s="427"/>
      <c r="D565" s="427"/>
      <c r="E565" s="427"/>
      <c r="F565" s="428"/>
      <c r="G565" s="429"/>
      <c r="H565" s="1187"/>
      <c r="I565" s="229"/>
      <c r="J565" s="219">
        <f>SUM(J561:J563)</f>
        <v>2544.36</v>
      </c>
    </row>
    <row r="566" spans="1:10" ht="15" customHeight="1" thickBot="1">
      <c r="A566" s="235"/>
      <c r="B566" s="1135"/>
      <c r="C566" s="1135"/>
      <c r="D566" s="1135"/>
      <c r="E566" s="1135"/>
      <c r="F566" s="1188"/>
      <c r="G566" s="1188"/>
      <c r="H566" s="1188"/>
      <c r="I566" s="236"/>
      <c r="J566" s="237"/>
    </row>
    <row r="567" spans="1:10" ht="36.75" customHeight="1">
      <c r="A567" s="230"/>
      <c r="B567" s="1152"/>
      <c r="C567" s="1176" t="s">
        <v>7190</v>
      </c>
      <c r="D567" s="152" t="s">
        <v>7390</v>
      </c>
      <c r="E567" s="1176" t="s">
        <v>24</v>
      </c>
      <c r="F567" s="1177" t="s">
        <v>18</v>
      </c>
      <c r="G567" s="1178" t="s">
        <v>7017</v>
      </c>
      <c r="H567" s="1179"/>
      <c r="I567" s="200" t="s">
        <v>7016</v>
      </c>
      <c r="J567" s="201"/>
    </row>
    <row r="568" spans="1:10" ht="13.5" customHeight="1">
      <c r="A568" s="203"/>
      <c r="B568" s="430"/>
      <c r="C568" s="1155"/>
      <c r="D568" s="158"/>
      <c r="E568" s="1155"/>
      <c r="F568" s="1180"/>
      <c r="G568" s="1180" t="s">
        <v>19</v>
      </c>
      <c r="H568" s="1180" t="s">
        <v>20</v>
      </c>
      <c r="I568" s="205" t="s">
        <v>19</v>
      </c>
      <c r="J568" s="206" t="s">
        <v>20</v>
      </c>
    </row>
    <row r="569" spans="1:10" ht="15" customHeight="1">
      <c r="A569" s="208"/>
      <c r="B569" s="241"/>
      <c r="C569" s="241"/>
      <c r="D569" s="1132"/>
      <c r="E569" s="247"/>
      <c r="F569" s="248"/>
      <c r="G569" s="248"/>
      <c r="H569" s="248"/>
      <c r="I569" s="214"/>
      <c r="J569" s="227"/>
    </row>
    <row r="570" spans="1:10" ht="15" customHeight="1">
      <c r="A570" s="208" t="s">
        <v>39</v>
      </c>
      <c r="B570" s="241" t="s">
        <v>14504</v>
      </c>
      <c r="C570" s="241" t="s">
        <v>14286</v>
      </c>
      <c r="D570" s="161" t="str">
        <f>IF(B570="SEPLAG",VLOOKUP(COMPOSIÇÕES!C570,'MAPA COMPARATIVO'!A:B,2,FALSE),VLOOKUP(C570,'NAO DESO'!A:B,2,0))</f>
        <v>KIT PORTA PRONTA PRETA LISA SÓLIDA PORMADE.</v>
      </c>
      <c r="E570" s="241" t="s">
        <v>256</v>
      </c>
      <c r="F570" s="242">
        <v>1</v>
      </c>
      <c r="G570" s="242">
        <f>IF(B570="SEPLAG",VLOOKUP(CONCATENATE("MEDIANA - ",C570),COTAÇÃO,5,FALSE),VLOOKUP($C570,'NAO DESO'!$A:$D,4,))</f>
        <v>2534.3249999999998</v>
      </c>
      <c r="H570" s="242">
        <f>TRUNC(F570*G570,2)</f>
        <v>2534.3200000000002</v>
      </c>
      <c r="I570" s="54">
        <f>IF(B570="SEPLAG",VLOOKUP(CONCATENATE("MEDIANA - ",C570),COTAÇÃO,5,FALSE),VLOOKUP($C570,DESON!$A:$D,4,))</f>
        <v>2534.3249999999998</v>
      </c>
      <c r="J570" s="209">
        <f>TRUNC(F570*I570,2)</f>
        <v>2534.3200000000002</v>
      </c>
    </row>
    <row r="571" spans="1:10" ht="15" customHeight="1">
      <c r="A571" s="208" t="s">
        <v>245</v>
      </c>
      <c r="B571" s="241"/>
      <c r="C571" s="1181">
        <v>88309</v>
      </c>
      <c r="D571" s="161" t="str">
        <f>IF(B571="SEPLAG",VLOOKUP(COMPOSIÇÕES!C571,'MAPA COMPARATIVO'!A:B,2,FALSE),VLOOKUP(C571,'NAO DESO'!A:B,2,0))</f>
        <v>PEDREIRO COM ENCARGOS COMPLEMENTARES</v>
      </c>
      <c r="E571" s="241" t="str">
        <f>VLOOKUP($C571,'NAO DESO'!$A:$D,3,)</f>
        <v>H</v>
      </c>
      <c r="F571" s="242">
        <v>0.38</v>
      </c>
      <c r="G571" s="242" t="str">
        <f>IF(B571="SEPLAG",VLOOKUP(CONCATENATE("MEDIANA - ",C571),COTAÇÃO,5,FALSE),VLOOKUP($C571,'NAO DESO'!$A:$D,4,))</f>
        <v>21,10</v>
      </c>
      <c r="H571" s="242">
        <f>TRUNC(F571*G571,2)</f>
        <v>8.01</v>
      </c>
      <c r="I571" s="54" t="str">
        <f>IF(B571="SEPLAG",VLOOKUP(CONCATENATE("MEDIANA - ",C571),COTAÇÃO,5,FALSE),VLOOKUP($C571,DESON!$A:$D,4,))</f>
        <v>18,86</v>
      </c>
      <c r="J571" s="209">
        <f>TRUNC(F571*I571,2)</f>
        <v>7.16</v>
      </c>
    </row>
    <row r="572" spans="1:10" ht="15" customHeight="1">
      <c r="A572" s="208" t="s">
        <v>245</v>
      </c>
      <c r="B572" s="241"/>
      <c r="C572" s="1181">
        <v>88316</v>
      </c>
      <c r="D572" s="161" t="str">
        <f>IF(B572="SEPLAG",VLOOKUP(COMPOSIÇÕES!C572,'MAPA COMPARATIVO'!A:B,2,FALSE),VLOOKUP(C572,'NAO DESO'!A:B,2,0))</f>
        <v>SERVENTE COM ENCARGOS COMPLEMENTARES</v>
      </c>
      <c r="E572" s="241" t="str">
        <f>VLOOKUP($C572,'NAO DESO'!$A:$D,3,)</f>
        <v>H</v>
      </c>
      <c r="F572" s="242">
        <v>0.19</v>
      </c>
      <c r="G572" s="242" t="str">
        <f>IF(B572="SEPLAG",VLOOKUP(CONCATENATE("MEDIANA - ",C572),COTAÇÃO,5,FALSE),VLOOKUP($C572,'NAO DESO'!$A:$D,4,))</f>
        <v>16,83</v>
      </c>
      <c r="H572" s="242">
        <f>TRUNC(F572*G572,2)</f>
        <v>3.19</v>
      </c>
      <c r="I572" s="54" t="str">
        <f>IF(B572="SEPLAG",VLOOKUP(CONCATENATE("MEDIANA - ",C572),COTAÇÃO,5,FALSE),VLOOKUP($C572,DESON!$A:$D,4,))</f>
        <v>15,16</v>
      </c>
      <c r="J572" s="209">
        <f>TRUNC(F572*I572,2)</f>
        <v>2.88</v>
      </c>
    </row>
    <row r="573" spans="1:10" ht="15" customHeight="1">
      <c r="A573" s="210" t="s">
        <v>244</v>
      </c>
      <c r="B573" s="424"/>
      <c r="C573" s="424"/>
      <c r="D573" s="424"/>
      <c r="E573" s="424"/>
      <c r="F573" s="425"/>
      <c r="G573" s="426"/>
      <c r="H573" s="1182">
        <f>SUM(H570:H572)</f>
        <v>2545.5200000000004</v>
      </c>
      <c r="I573" s="214"/>
      <c r="J573" s="215"/>
    </row>
    <row r="574" spans="1:10" ht="15.75" customHeight="1" thickBot="1">
      <c r="A574" s="216" t="s">
        <v>244</v>
      </c>
      <c r="B574" s="427"/>
      <c r="C574" s="427"/>
      <c r="D574" s="427"/>
      <c r="E574" s="427"/>
      <c r="F574" s="428"/>
      <c r="G574" s="429"/>
      <c r="H574" s="1187"/>
      <c r="I574" s="229"/>
      <c r="J574" s="219">
        <f>SUM(J570:J572)</f>
        <v>2544.36</v>
      </c>
    </row>
    <row r="575" spans="1:10" s="207" customFormat="1" ht="15" customHeight="1" thickBot="1">
      <c r="A575" s="235"/>
      <c r="B575" s="1135"/>
      <c r="C575" s="1135"/>
      <c r="D575" s="1135"/>
      <c r="E575" s="1135"/>
      <c r="F575" s="1188"/>
      <c r="G575" s="1188"/>
      <c r="H575" s="1188"/>
      <c r="I575" s="236"/>
      <c r="J575" s="237"/>
    </row>
    <row r="576" spans="1:10" ht="27" customHeight="1">
      <c r="A576" s="198"/>
      <c r="B576" s="1175"/>
      <c r="C576" s="1152" t="s">
        <v>7191</v>
      </c>
      <c r="D576" s="152" t="s">
        <v>7192</v>
      </c>
      <c r="E576" s="1176" t="s">
        <v>24</v>
      </c>
      <c r="F576" s="1177" t="s">
        <v>18</v>
      </c>
      <c r="G576" s="1178" t="s">
        <v>7017</v>
      </c>
      <c r="H576" s="1179"/>
      <c r="I576" s="200" t="s">
        <v>7016</v>
      </c>
      <c r="J576" s="201"/>
    </row>
    <row r="577" spans="1:10" ht="13.5" customHeight="1">
      <c r="A577" s="233"/>
      <c r="B577" s="247"/>
      <c r="C577" s="430"/>
      <c r="D577" s="158"/>
      <c r="E577" s="1155"/>
      <c r="F577" s="1180"/>
      <c r="G577" s="1180" t="s">
        <v>19</v>
      </c>
      <c r="H577" s="1180" t="s">
        <v>20</v>
      </c>
      <c r="I577" s="205" t="s">
        <v>19</v>
      </c>
      <c r="J577" s="206" t="s">
        <v>20</v>
      </c>
    </row>
    <row r="578" spans="1:10" ht="26.25" customHeight="1">
      <c r="A578" s="208"/>
      <c r="B578" s="241"/>
      <c r="C578" s="241" t="s">
        <v>180</v>
      </c>
      <c r="D578" s="161" t="s">
        <v>195</v>
      </c>
      <c r="E578" s="241"/>
      <c r="F578" s="242"/>
      <c r="G578" s="242"/>
      <c r="H578" s="242"/>
      <c r="I578" s="214"/>
      <c r="J578" s="227"/>
    </row>
    <row r="579" spans="1:10" ht="15" customHeight="1">
      <c r="A579" s="208" t="s">
        <v>39</v>
      </c>
      <c r="B579" s="241"/>
      <c r="C579" s="1181">
        <v>4823</v>
      </c>
      <c r="D579" s="161" t="str">
        <f>IF(B579="SEPLAG",VLOOKUP(COMPOSIÇÕES!C579,'MAPA COMPARATIVO'!A:B,2,FALSE),VLOOKUP(C579,'NAO DESO'!A:B,2,0))</f>
        <v>MASSA PLASTICA PARA MARMORE/GRANITO</v>
      </c>
      <c r="E579" s="241" t="str">
        <f>VLOOKUP($C579,'NAO DESO'!$A:$D,3,)</f>
        <v xml:space="preserve">KG    </v>
      </c>
      <c r="F579" s="242">
        <v>0.38</v>
      </c>
      <c r="G579" s="242">
        <f>IF(B579="SEPLAG",VLOOKUP(CONCATENATE("MEDIANA - ",C579),COTAÇÃO,5,FALSE),VLOOKUP($C579,'NAO DESO'!$A:$D,4,))</f>
        <v>40.53</v>
      </c>
      <c r="H579" s="242">
        <f t="shared" ref="H579:H585" si="38">TRUNC(F579*G579,2)</f>
        <v>15.4</v>
      </c>
      <c r="I579" s="54" t="str">
        <f>IF(B579="SEPLAG",VLOOKUP(CONCATENATE("MEDIANA - ",C579),COTAÇÃO,5,FALSE),VLOOKUP($C579,DESON!$A:$D,4,))</f>
        <v>40,53</v>
      </c>
      <c r="J579" s="209">
        <f t="shared" ref="J579:J585" si="39">TRUNC(F579*I579,2)</f>
        <v>15.4</v>
      </c>
    </row>
    <row r="580" spans="1:10" ht="26.25" customHeight="1">
      <c r="A580" s="208" t="s">
        <v>39</v>
      </c>
      <c r="B580" s="241"/>
      <c r="C580" s="1181">
        <v>7568</v>
      </c>
      <c r="D580" s="161" t="str">
        <f>IF(B580="SEPLAG",VLOOKUP(COMPOSIÇÕES!C580,'MAPA COMPARATIVO'!A:B,2,FALSE),VLOOKUP(C580,'NAO DESO'!A:B,2,0))</f>
        <v>BUCHA DE NYLON SEM ABA S10, COM PARAFUSO DE 6,10 X 65 MM EM ACO ZINCADO COM ROSCA SOBERBA, CABECA CHATA E FENDA PHILLIPS</v>
      </c>
      <c r="E580" s="241" t="str">
        <f>VLOOKUP($C580,'NAO DESO'!$A:$D,3,)</f>
        <v xml:space="preserve">UN    </v>
      </c>
      <c r="F580" s="242">
        <f>F583*3</f>
        <v>6</v>
      </c>
      <c r="G580" s="242">
        <f>IF(B580="SEPLAG",VLOOKUP(CONCATENATE("MEDIANA - ",C580),COTAÇÃO,5,FALSE),VLOOKUP($C580,'NAO DESO'!$A:$D,4,))</f>
        <v>0.61</v>
      </c>
      <c r="H580" s="242">
        <f t="shared" si="38"/>
        <v>3.66</v>
      </c>
      <c r="I580" s="54" t="str">
        <f>IF(B580="SEPLAG",VLOOKUP(CONCATENATE("MEDIANA - ",C580),COTAÇÃO,5,FALSE),VLOOKUP($C580,DESON!$A:$D,4,))</f>
        <v>0,61</v>
      </c>
      <c r="J580" s="209">
        <f t="shared" si="39"/>
        <v>3.66</v>
      </c>
    </row>
    <row r="581" spans="1:10" ht="26.25" customHeight="1">
      <c r="A581" s="208" t="s">
        <v>39</v>
      </c>
      <c r="B581" s="241"/>
      <c r="C581" s="1181">
        <v>11795</v>
      </c>
      <c r="D581" s="161" t="str">
        <f>IF(B581="SEPLAG",VLOOKUP(COMPOSIÇÕES!C581,'MAPA COMPARATIVO'!A:B,2,FALSE),VLOOKUP(C581,'NAO DESO'!A:B,2,0))</f>
        <v>GRANITO PARA BANCADA, POLIDO, TIPO ANDORINHA/ QUARTZ/ CASTELO/ CORUMBA OU OUTROS EQUIVALENTES DA REGIAO, E=  *2,5* CM</v>
      </c>
      <c r="E581" s="241" t="str">
        <f>VLOOKUP($C581,'NAO DESO'!$A:$D,3,)</f>
        <v xml:space="preserve">M2    </v>
      </c>
      <c r="F581" s="242">
        <f>1.15*0.6</f>
        <v>0.69</v>
      </c>
      <c r="G581" s="242">
        <f>IF(B581="SEPLAG",VLOOKUP(CONCATENATE("MEDIANA - ",C581),COTAÇÃO,5,FALSE),VLOOKUP($C581,'NAO DESO'!$A:$D,4,))</f>
        <v>562.26</v>
      </c>
      <c r="H581" s="242">
        <f t="shared" si="38"/>
        <v>387.95</v>
      </c>
      <c r="I581" s="54" t="str">
        <f>IF(B581="SEPLAG",VLOOKUP(CONCATENATE("MEDIANA - ",C581),COTAÇÃO,5,FALSE),VLOOKUP($C581,DESON!$A:$D,4,))</f>
        <v>562,26</v>
      </c>
      <c r="J581" s="209">
        <f t="shared" si="39"/>
        <v>387.95</v>
      </c>
    </row>
    <row r="582" spans="1:10" ht="15" customHeight="1">
      <c r="A582" s="208" t="s">
        <v>39</v>
      </c>
      <c r="B582" s="241"/>
      <c r="C582" s="1181">
        <v>37329</v>
      </c>
      <c r="D582" s="161" t="str">
        <f>IF(B582="SEPLAG",VLOOKUP(COMPOSIÇÕES!C582,'MAPA COMPARATIVO'!A:B,2,FALSE),VLOOKUP(C582,'NAO DESO'!A:B,2,0))</f>
        <v>REJUNTE EPOXI, QUALQUER COR</v>
      </c>
      <c r="E582" s="241" t="str">
        <f>VLOOKUP($C582,'NAO DESO'!$A:$D,3,)</f>
        <v xml:space="preserve">KG    </v>
      </c>
      <c r="F582" s="242">
        <f>F581*0.04</f>
        <v>2.76E-2</v>
      </c>
      <c r="G582" s="242">
        <f>IF(B582="SEPLAG",VLOOKUP(CONCATENATE("MEDIANA - ",C582),COTAÇÃO,5,FALSE),VLOOKUP($C582,'NAO DESO'!$A:$D,4,))</f>
        <v>101.41</v>
      </c>
      <c r="H582" s="242">
        <f t="shared" si="38"/>
        <v>2.79</v>
      </c>
      <c r="I582" s="54" t="str">
        <f>IF(B582="SEPLAG",VLOOKUP(CONCATENATE("MEDIANA - ",C582),COTAÇÃO,5,FALSE),VLOOKUP($C582,DESON!$A:$D,4,))</f>
        <v>101,41</v>
      </c>
      <c r="J582" s="209">
        <f t="shared" si="39"/>
        <v>2.79</v>
      </c>
    </row>
    <row r="583" spans="1:10" ht="26.25" customHeight="1">
      <c r="A583" s="208" t="s">
        <v>39</v>
      </c>
      <c r="B583" s="241"/>
      <c r="C583" s="1181">
        <v>37590</v>
      </c>
      <c r="D583" s="161" t="str">
        <f>IF(B583="SEPLAG",VLOOKUP(COMPOSIÇÕES!C583,'MAPA COMPARATIVO'!A:B,2,FALSE),VLOOKUP(C583,'NAO DESO'!A:B,2,0))</f>
        <v>SUPORTE MAO-FRANCESA EM ACO, ABAS IGUAIS 30 CM, CAPACIDADE MINIMA 60 KG, BRANCO</v>
      </c>
      <c r="E583" s="241" t="str">
        <f>VLOOKUP($C583,'NAO DESO'!$A:$D,3,)</f>
        <v xml:space="preserve">UN    </v>
      </c>
      <c r="F583" s="242">
        <v>2</v>
      </c>
      <c r="G583" s="242">
        <f>IF(B583="SEPLAG",VLOOKUP(CONCATENATE("MEDIANA - ",C583),COTAÇÃO,5,FALSE),VLOOKUP($C583,'NAO DESO'!$A:$D,4,))</f>
        <v>21.58</v>
      </c>
      <c r="H583" s="242">
        <f t="shared" si="38"/>
        <v>43.16</v>
      </c>
      <c r="I583" s="54" t="str">
        <f>IF(B583="SEPLAG",VLOOKUP(CONCATENATE("MEDIANA - ",C583),COTAÇÃO,5,FALSE),VLOOKUP($C583,DESON!$A:$D,4,))</f>
        <v>21,58</v>
      </c>
      <c r="J583" s="209">
        <f t="shared" si="39"/>
        <v>43.16</v>
      </c>
    </row>
    <row r="584" spans="1:10" s="245" customFormat="1" ht="15" customHeight="1">
      <c r="A584" s="208" t="s">
        <v>245</v>
      </c>
      <c r="B584" s="241"/>
      <c r="C584" s="1181">
        <v>88274</v>
      </c>
      <c r="D584" s="161" t="str">
        <f>IF(B584="SEPLAG",VLOOKUP(COMPOSIÇÕES!C584,'MAPA COMPARATIVO'!A:B,2,FALSE),VLOOKUP(C584,'NAO DESO'!A:B,2,0))</f>
        <v>MARMORISTA/GRANITEIRO COM ENCARGOS COMPLEMENTARES</v>
      </c>
      <c r="E584" s="241" t="str">
        <f>VLOOKUP($C584,'NAO DESO'!$A:$D,3,)</f>
        <v>H</v>
      </c>
      <c r="F584" s="242">
        <v>1.92</v>
      </c>
      <c r="G584" s="242" t="str">
        <f>IF(B584="SEPLAG",VLOOKUP(CONCATENATE("MEDIANA - ",C584),COTAÇÃO,5,FALSE),VLOOKUP($C584,'NAO DESO'!$A:$D,4,))</f>
        <v>21,02</v>
      </c>
      <c r="H584" s="242">
        <f t="shared" si="38"/>
        <v>40.35</v>
      </c>
      <c r="I584" s="54" t="str">
        <f>IF(B584="SEPLAG",VLOOKUP(CONCATENATE("MEDIANA - ",C584),COTAÇÃO,5,FALSE),VLOOKUP($C584,DESON!$A:$D,4,))</f>
        <v>18,79</v>
      </c>
      <c r="J584" s="209">
        <f t="shared" si="39"/>
        <v>36.07</v>
      </c>
    </row>
    <row r="585" spans="1:10" ht="15" customHeight="1">
      <c r="A585" s="208" t="s">
        <v>245</v>
      </c>
      <c r="B585" s="241"/>
      <c r="C585" s="1181">
        <v>88316</v>
      </c>
      <c r="D585" s="161" t="str">
        <f>IF(B585="SEPLAG",VLOOKUP(COMPOSIÇÕES!C585,'MAPA COMPARATIVO'!A:B,2,FALSE),VLOOKUP(C585,'NAO DESO'!A:B,2,0))</f>
        <v>SERVENTE COM ENCARGOS COMPLEMENTARES</v>
      </c>
      <c r="E585" s="241" t="str">
        <f>VLOOKUP($C585,'NAO DESO'!$A:$D,3,)</f>
        <v>H</v>
      </c>
      <c r="F585" s="242">
        <v>0.98</v>
      </c>
      <c r="G585" s="242" t="str">
        <f>IF(B585="SEPLAG",VLOOKUP(CONCATENATE("MEDIANA - ",C585),COTAÇÃO,5,FALSE),VLOOKUP($C585,'NAO DESO'!$A:$D,4,))</f>
        <v>16,83</v>
      </c>
      <c r="H585" s="242">
        <f t="shared" si="38"/>
        <v>16.489999999999998</v>
      </c>
      <c r="I585" s="54" t="str">
        <f>IF(B585="SEPLAG",VLOOKUP(CONCATENATE("MEDIANA - ",C585),COTAÇÃO,5,FALSE),VLOOKUP($C585,DESON!$A:$D,4,))</f>
        <v>15,16</v>
      </c>
      <c r="J585" s="209">
        <f t="shared" si="39"/>
        <v>14.85</v>
      </c>
    </row>
    <row r="586" spans="1:10" ht="15" customHeight="1">
      <c r="A586" s="210" t="str">
        <f>CONCATENATE("TOTAL DO ITEM NÃO DESON. - ",C576)</f>
        <v>TOTAL DO ITEM NÃO DESON. - SEPLAG ARQ 55</v>
      </c>
      <c r="B586" s="424"/>
      <c r="C586" s="424"/>
      <c r="D586" s="424"/>
      <c r="E586" s="424"/>
      <c r="F586" s="425"/>
      <c r="G586" s="426"/>
      <c r="H586" s="1189">
        <f>SUM(H579:H585)</f>
        <v>509.80000000000007</v>
      </c>
      <c r="I586" s="214"/>
      <c r="J586" s="215"/>
    </row>
    <row r="587" spans="1:10" ht="15.75" customHeight="1" thickBot="1">
      <c r="A587" s="216" t="str">
        <f>CONCATENATE("TOTAL DO ITEM DESON. - ",C576)</f>
        <v>TOTAL DO ITEM DESON. - SEPLAG ARQ 55</v>
      </c>
      <c r="B587" s="427"/>
      <c r="C587" s="427"/>
      <c r="D587" s="427"/>
      <c r="E587" s="427"/>
      <c r="F587" s="428"/>
      <c r="G587" s="429"/>
      <c r="H587" s="1190"/>
      <c r="I587" s="229"/>
      <c r="J587" s="219">
        <f>SUM(J579:J585)</f>
        <v>503.88000000000005</v>
      </c>
    </row>
    <row r="588" spans="1:10" ht="15" customHeight="1" thickBot="1">
      <c r="A588" s="235"/>
      <c r="B588" s="1135"/>
      <c r="C588" s="1135"/>
      <c r="D588" s="1135"/>
      <c r="E588" s="1135"/>
      <c r="F588" s="1188"/>
      <c r="G588" s="1188"/>
      <c r="H588" s="1188"/>
      <c r="I588" s="236"/>
      <c r="J588" s="237"/>
    </row>
    <row r="589" spans="1:10" ht="28.5" customHeight="1">
      <c r="A589" s="198"/>
      <c r="B589" s="1175"/>
      <c r="C589" s="1152" t="s">
        <v>7204</v>
      </c>
      <c r="D589" s="152" t="s">
        <v>7205</v>
      </c>
      <c r="E589" s="1176" t="s">
        <v>24</v>
      </c>
      <c r="F589" s="1177" t="s">
        <v>18</v>
      </c>
      <c r="G589" s="1178" t="s">
        <v>7017</v>
      </c>
      <c r="H589" s="1179"/>
      <c r="I589" s="200" t="s">
        <v>7016</v>
      </c>
      <c r="J589" s="201"/>
    </row>
    <row r="590" spans="1:10" ht="16.5" customHeight="1">
      <c r="A590" s="233"/>
      <c r="B590" s="247"/>
      <c r="C590" s="430"/>
      <c r="D590" s="158"/>
      <c r="E590" s="1155"/>
      <c r="F590" s="1180"/>
      <c r="G590" s="1180" t="s">
        <v>19</v>
      </c>
      <c r="H590" s="1180" t="s">
        <v>20</v>
      </c>
      <c r="I590" s="205" t="s">
        <v>19</v>
      </c>
      <c r="J590" s="206" t="s">
        <v>20</v>
      </c>
    </row>
    <row r="591" spans="1:10" ht="26.25" customHeight="1">
      <c r="A591" s="208"/>
      <c r="B591" s="241"/>
      <c r="C591" s="241" t="s">
        <v>180</v>
      </c>
      <c r="D591" s="161" t="s">
        <v>195</v>
      </c>
      <c r="E591" s="241"/>
      <c r="F591" s="242"/>
      <c r="G591" s="242"/>
      <c r="H591" s="242"/>
      <c r="I591" s="214"/>
      <c r="J591" s="227"/>
    </row>
    <row r="592" spans="1:10" s="207" customFormat="1" ht="15" customHeight="1">
      <c r="A592" s="208" t="s">
        <v>39</v>
      </c>
      <c r="B592" s="241"/>
      <c r="C592" s="1181">
        <v>4823</v>
      </c>
      <c r="D592" s="161" t="str">
        <f>IF(B592="SEPLAG",VLOOKUP(COMPOSIÇÕES!C592,'MAPA COMPARATIVO'!A:B,2,FALSE),VLOOKUP(C592,'NAO DESO'!A:B,2,0))</f>
        <v>MASSA PLASTICA PARA MARMORE/GRANITO</v>
      </c>
      <c r="E592" s="241" t="str">
        <f>VLOOKUP($C592,'NAO DESO'!$A:$D,3,)</f>
        <v xml:space="preserve">KG    </v>
      </c>
      <c r="F592" s="242">
        <v>0.38</v>
      </c>
      <c r="G592" s="242">
        <f>IF(B592="SEPLAG",VLOOKUP(CONCATENATE("MEDIANA - ",C592),COTAÇÃO,5,FALSE),VLOOKUP($C592,'NAO DESO'!$A:$D,4,))</f>
        <v>40.53</v>
      </c>
      <c r="H592" s="242">
        <f t="shared" ref="H592:H598" si="40">TRUNC(F592*G592,2)</f>
        <v>15.4</v>
      </c>
      <c r="I592" s="54" t="str">
        <f>IF(B592="SEPLAG",VLOOKUP(CONCATENATE("MEDIANA - ",C592),COTAÇÃO,5,FALSE),VLOOKUP($C592,DESON!$A:$D,4,))</f>
        <v>40,53</v>
      </c>
      <c r="J592" s="209">
        <f t="shared" ref="J592:J598" si="41">TRUNC(F592*I592,2)</f>
        <v>15.4</v>
      </c>
    </row>
    <row r="593" spans="1:10" ht="26.25" customHeight="1">
      <c r="A593" s="208" t="s">
        <v>39</v>
      </c>
      <c r="B593" s="241"/>
      <c r="C593" s="1181">
        <v>7568</v>
      </c>
      <c r="D593" s="161" t="str">
        <f>IF(B593="SEPLAG",VLOOKUP(COMPOSIÇÕES!C593,'MAPA COMPARATIVO'!A:B,2,FALSE),VLOOKUP(C593,'NAO DESO'!A:B,2,0))</f>
        <v>BUCHA DE NYLON SEM ABA S10, COM PARAFUSO DE 6,10 X 65 MM EM ACO ZINCADO COM ROSCA SOBERBA, CABECA CHATA E FENDA PHILLIPS</v>
      </c>
      <c r="E593" s="241" t="str">
        <f>VLOOKUP($C593,'NAO DESO'!$A:$D,3,)</f>
        <v xml:space="preserve">UN    </v>
      </c>
      <c r="F593" s="242">
        <f>F596*3</f>
        <v>6</v>
      </c>
      <c r="G593" s="242">
        <f>IF(B593="SEPLAG",VLOOKUP(CONCATENATE("MEDIANA - ",C593),COTAÇÃO,5,FALSE),VLOOKUP($C593,'NAO DESO'!$A:$D,4,))</f>
        <v>0.61</v>
      </c>
      <c r="H593" s="242">
        <f t="shared" si="40"/>
        <v>3.66</v>
      </c>
      <c r="I593" s="54" t="str">
        <f>IF(B593="SEPLAG",VLOOKUP(CONCATENATE("MEDIANA - ",C593),COTAÇÃO,5,FALSE),VLOOKUP($C593,DESON!$A:$D,4,))</f>
        <v>0,61</v>
      </c>
      <c r="J593" s="209">
        <f t="shared" si="41"/>
        <v>3.66</v>
      </c>
    </row>
    <row r="594" spans="1:10" ht="26.25" customHeight="1">
      <c r="A594" s="208" t="s">
        <v>39</v>
      </c>
      <c r="B594" s="241"/>
      <c r="C594" s="1181">
        <v>11795</v>
      </c>
      <c r="D594" s="161" t="str">
        <f>IF(B594="SEPLAG",VLOOKUP(COMPOSIÇÕES!C594,'MAPA COMPARATIVO'!A:B,2,FALSE),VLOOKUP(C594,'NAO DESO'!A:B,2,0))</f>
        <v>GRANITO PARA BANCADA, POLIDO, TIPO ANDORINHA/ QUARTZ/ CASTELO/ CORUMBA OU OUTROS EQUIVALENTES DA REGIAO, E=  *2,5* CM</v>
      </c>
      <c r="E594" s="241" t="str">
        <f>VLOOKUP($C594,'NAO DESO'!$A:$D,3,)</f>
        <v xml:space="preserve">M2    </v>
      </c>
      <c r="F594" s="242">
        <f>1.6*0.6</f>
        <v>0.96</v>
      </c>
      <c r="G594" s="242">
        <f>IF(B594="SEPLAG",VLOOKUP(CONCATENATE("MEDIANA - ",C594),COTAÇÃO,5,FALSE),VLOOKUP($C594,'NAO DESO'!$A:$D,4,))</f>
        <v>562.26</v>
      </c>
      <c r="H594" s="242">
        <f t="shared" si="40"/>
        <v>539.76</v>
      </c>
      <c r="I594" s="54" t="str">
        <f>IF(B594="SEPLAG",VLOOKUP(CONCATENATE("MEDIANA - ",C594),COTAÇÃO,5,FALSE),VLOOKUP($C594,DESON!$A:$D,4,))</f>
        <v>562,26</v>
      </c>
      <c r="J594" s="209">
        <f t="shared" si="41"/>
        <v>539.76</v>
      </c>
    </row>
    <row r="595" spans="1:10" ht="15" customHeight="1">
      <c r="A595" s="208" t="s">
        <v>39</v>
      </c>
      <c r="B595" s="241"/>
      <c r="C595" s="1181">
        <v>37329</v>
      </c>
      <c r="D595" s="161" t="str">
        <f>IF(B595="SEPLAG",VLOOKUP(COMPOSIÇÕES!C595,'MAPA COMPARATIVO'!A:B,2,FALSE),VLOOKUP(C595,'NAO DESO'!A:B,2,0))</f>
        <v>REJUNTE EPOXI, QUALQUER COR</v>
      </c>
      <c r="E595" s="241" t="str">
        <f>VLOOKUP($C595,'NAO DESO'!$A:$D,3,)</f>
        <v xml:space="preserve">KG    </v>
      </c>
      <c r="F595" s="242">
        <f>F594*0.04</f>
        <v>3.8399999999999997E-2</v>
      </c>
      <c r="G595" s="242">
        <f>IF(B595="SEPLAG",VLOOKUP(CONCATENATE("MEDIANA - ",C595),COTAÇÃO,5,FALSE),VLOOKUP($C595,'NAO DESO'!$A:$D,4,))</f>
        <v>101.41</v>
      </c>
      <c r="H595" s="242">
        <f t="shared" si="40"/>
        <v>3.89</v>
      </c>
      <c r="I595" s="54" t="str">
        <f>IF(B595="SEPLAG",VLOOKUP(CONCATENATE("MEDIANA - ",C595),COTAÇÃO,5,FALSE),VLOOKUP($C595,DESON!$A:$D,4,))</f>
        <v>101,41</v>
      </c>
      <c r="J595" s="209">
        <f t="shared" si="41"/>
        <v>3.89</v>
      </c>
    </row>
    <row r="596" spans="1:10" ht="26.25" customHeight="1">
      <c r="A596" s="208" t="s">
        <v>39</v>
      </c>
      <c r="B596" s="241"/>
      <c r="C596" s="1181">
        <v>37590</v>
      </c>
      <c r="D596" s="161" t="str">
        <f>IF(B596="SEPLAG",VLOOKUP(COMPOSIÇÕES!C596,'MAPA COMPARATIVO'!A:B,2,FALSE),VLOOKUP(C596,'NAO DESO'!A:B,2,0))</f>
        <v>SUPORTE MAO-FRANCESA EM ACO, ABAS IGUAIS 30 CM, CAPACIDADE MINIMA 60 KG, BRANCO</v>
      </c>
      <c r="E596" s="241" t="str">
        <f>VLOOKUP($C596,'NAO DESO'!$A:$D,3,)</f>
        <v xml:space="preserve">UN    </v>
      </c>
      <c r="F596" s="242">
        <v>2</v>
      </c>
      <c r="G596" s="242">
        <f>IF(B596="SEPLAG",VLOOKUP(CONCATENATE("MEDIANA - ",C596),COTAÇÃO,5,FALSE),VLOOKUP($C596,'NAO DESO'!$A:$D,4,))</f>
        <v>21.58</v>
      </c>
      <c r="H596" s="242">
        <f t="shared" si="40"/>
        <v>43.16</v>
      </c>
      <c r="I596" s="54" t="str">
        <f>IF(B596="SEPLAG",VLOOKUP(CONCATENATE("MEDIANA - ",C596),COTAÇÃO,5,FALSE),VLOOKUP($C596,DESON!$A:$D,4,))</f>
        <v>21,58</v>
      </c>
      <c r="J596" s="209">
        <f t="shared" si="41"/>
        <v>43.16</v>
      </c>
    </row>
    <row r="597" spans="1:10" ht="15" customHeight="1">
      <c r="A597" s="208" t="s">
        <v>245</v>
      </c>
      <c r="B597" s="241"/>
      <c r="C597" s="1181">
        <v>88274</v>
      </c>
      <c r="D597" s="161" t="str">
        <f>IF(B597="SEPLAG",VLOOKUP(COMPOSIÇÕES!C597,'MAPA COMPARATIVO'!A:B,2,FALSE),VLOOKUP(C597,'NAO DESO'!A:B,2,0))</f>
        <v>MARMORISTA/GRANITEIRO COM ENCARGOS COMPLEMENTARES</v>
      </c>
      <c r="E597" s="241" t="str">
        <f>VLOOKUP($C597,'NAO DESO'!$A:$D,3,)</f>
        <v>H</v>
      </c>
      <c r="F597" s="242">
        <v>1.92</v>
      </c>
      <c r="G597" s="242" t="str">
        <f>IF(B597="SEPLAG",VLOOKUP(CONCATENATE("MEDIANA - ",C597),COTAÇÃO,5,FALSE),VLOOKUP($C597,'NAO DESO'!$A:$D,4,))</f>
        <v>21,02</v>
      </c>
      <c r="H597" s="242">
        <f t="shared" si="40"/>
        <v>40.35</v>
      </c>
      <c r="I597" s="54" t="str">
        <f>IF(B597="SEPLAG",VLOOKUP(CONCATENATE("MEDIANA - ",C597),COTAÇÃO,5,FALSE),VLOOKUP($C597,DESON!$A:$D,4,))</f>
        <v>18,79</v>
      </c>
      <c r="J597" s="209">
        <f t="shared" si="41"/>
        <v>36.07</v>
      </c>
    </row>
    <row r="598" spans="1:10" ht="15" customHeight="1">
      <c r="A598" s="208" t="s">
        <v>245</v>
      </c>
      <c r="B598" s="241"/>
      <c r="C598" s="1181">
        <v>88316</v>
      </c>
      <c r="D598" s="161" t="str">
        <f>IF(B598="SEPLAG",VLOOKUP(COMPOSIÇÕES!C598,'MAPA COMPARATIVO'!A:B,2,FALSE),VLOOKUP(C598,'NAO DESO'!A:B,2,0))</f>
        <v>SERVENTE COM ENCARGOS COMPLEMENTARES</v>
      </c>
      <c r="E598" s="241" t="str">
        <f>VLOOKUP($C598,'NAO DESO'!$A:$D,3,)</f>
        <v>H</v>
      </c>
      <c r="F598" s="242">
        <v>0.98</v>
      </c>
      <c r="G598" s="242" t="str">
        <f>IF(B598="SEPLAG",VLOOKUP(CONCATENATE("MEDIANA - ",C598),COTAÇÃO,5,FALSE),VLOOKUP($C598,'NAO DESO'!$A:$D,4,))</f>
        <v>16,83</v>
      </c>
      <c r="H598" s="242">
        <f t="shared" si="40"/>
        <v>16.489999999999998</v>
      </c>
      <c r="I598" s="54" t="str">
        <f>IF(B598="SEPLAG",VLOOKUP(CONCATENATE("MEDIANA - ",C598),COTAÇÃO,5,FALSE),VLOOKUP($C598,DESON!$A:$D,4,))</f>
        <v>15,16</v>
      </c>
      <c r="J598" s="209">
        <f t="shared" si="41"/>
        <v>14.85</v>
      </c>
    </row>
    <row r="599" spans="1:10" ht="15" customHeight="1">
      <c r="A599" s="210" t="str">
        <f>CONCATENATE("TOTAL DO ITEM NÃO DESON. - ",C589)</f>
        <v>TOTAL DO ITEM NÃO DESON. - SEPLAG ARQ 56</v>
      </c>
      <c r="B599" s="424"/>
      <c r="C599" s="424"/>
      <c r="D599" s="424"/>
      <c r="E599" s="424"/>
      <c r="F599" s="425"/>
      <c r="G599" s="426"/>
      <c r="H599" s="1189">
        <f>SUM(H592:H598)</f>
        <v>662.70999999999992</v>
      </c>
      <c r="I599" s="214"/>
      <c r="J599" s="215"/>
    </row>
    <row r="600" spans="1:10" ht="15.75" customHeight="1" thickBot="1">
      <c r="A600" s="216" t="str">
        <f>CONCATENATE("TOTAL DO ITEM DESON. - ",C589)</f>
        <v>TOTAL DO ITEM DESON. - SEPLAG ARQ 56</v>
      </c>
      <c r="B600" s="427"/>
      <c r="C600" s="427"/>
      <c r="D600" s="427"/>
      <c r="E600" s="427"/>
      <c r="F600" s="428"/>
      <c r="G600" s="429"/>
      <c r="H600" s="1190"/>
      <c r="I600" s="229"/>
      <c r="J600" s="219">
        <f>SUM(J592:J598)</f>
        <v>656.79</v>
      </c>
    </row>
    <row r="601" spans="1:10" ht="15.75" customHeight="1" thickBot="1">
      <c r="A601" s="235"/>
      <c r="B601" s="1135"/>
      <c r="C601" s="1135"/>
      <c r="D601" s="1135"/>
      <c r="E601" s="1135"/>
      <c r="F601" s="1188"/>
      <c r="G601" s="1188"/>
      <c r="H601" s="1188"/>
      <c r="I601" s="236"/>
      <c r="J601" s="237"/>
    </row>
    <row r="602" spans="1:10" s="245" customFormat="1" ht="25.5" customHeight="1">
      <c r="A602" s="198"/>
      <c r="B602" s="1175"/>
      <c r="C602" s="1152" t="s">
        <v>7206</v>
      </c>
      <c r="D602" s="152" t="s">
        <v>7211</v>
      </c>
      <c r="E602" s="1176" t="s">
        <v>24</v>
      </c>
      <c r="F602" s="1177" t="s">
        <v>18</v>
      </c>
      <c r="G602" s="1178" t="s">
        <v>7017</v>
      </c>
      <c r="H602" s="1179"/>
      <c r="I602" s="200" t="s">
        <v>7016</v>
      </c>
      <c r="J602" s="201"/>
    </row>
    <row r="603" spans="1:10" ht="15" customHeight="1">
      <c r="A603" s="233"/>
      <c r="B603" s="247"/>
      <c r="C603" s="430"/>
      <c r="D603" s="158"/>
      <c r="E603" s="1155"/>
      <c r="F603" s="1180"/>
      <c r="G603" s="1180" t="s">
        <v>19</v>
      </c>
      <c r="H603" s="1180" t="s">
        <v>20</v>
      </c>
      <c r="I603" s="205" t="s">
        <v>19</v>
      </c>
      <c r="J603" s="206" t="s">
        <v>20</v>
      </c>
    </row>
    <row r="604" spans="1:10" ht="26.25" customHeight="1">
      <c r="A604" s="208"/>
      <c r="B604" s="241"/>
      <c r="C604" s="241" t="s">
        <v>180</v>
      </c>
      <c r="D604" s="161" t="s">
        <v>195</v>
      </c>
      <c r="E604" s="241"/>
      <c r="F604" s="242"/>
      <c r="G604" s="242"/>
      <c r="H604" s="242"/>
      <c r="I604" s="214"/>
      <c r="J604" s="227"/>
    </row>
    <row r="605" spans="1:10" ht="15" customHeight="1">
      <c r="A605" s="208" t="s">
        <v>39</v>
      </c>
      <c r="B605" s="241"/>
      <c r="C605" s="1181">
        <v>4823</v>
      </c>
      <c r="D605" s="161" t="str">
        <f>IF(B605="SEPLAG",VLOOKUP(COMPOSIÇÕES!C605,'MAPA COMPARATIVO'!A:B,2,FALSE),VLOOKUP(C605,'NAO DESO'!A:B,2,0))</f>
        <v>MASSA PLASTICA PARA MARMORE/GRANITO</v>
      </c>
      <c r="E605" s="241" t="str">
        <f>VLOOKUP($C605,'NAO DESO'!$A:$D,3,)</f>
        <v xml:space="preserve">KG    </v>
      </c>
      <c r="F605" s="242">
        <v>0.38</v>
      </c>
      <c r="G605" s="242">
        <f>IF(B605="SEPLAG",VLOOKUP(CONCATENATE("MEDIANA - ",C605),COTAÇÃO,5,FALSE),VLOOKUP($C605,'NAO DESO'!$A:$D,4,))</f>
        <v>40.53</v>
      </c>
      <c r="H605" s="242">
        <f t="shared" ref="H605:H611" si="42">TRUNC(F605*G605,2)</f>
        <v>15.4</v>
      </c>
      <c r="I605" s="54" t="str">
        <f>IF(B605="SEPLAG",VLOOKUP(CONCATENATE("MEDIANA - ",C605),COTAÇÃO,5,FALSE),VLOOKUP($C605,DESON!$A:$D,4,))</f>
        <v>40,53</v>
      </c>
      <c r="J605" s="209">
        <f t="shared" ref="J605:J611" si="43">TRUNC(F605*I605,2)</f>
        <v>15.4</v>
      </c>
    </row>
    <row r="606" spans="1:10" ht="26.25" customHeight="1">
      <c r="A606" s="208" t="s">
        <v>39</v>
      </c>
      <c r="B606" s="241"/>
      <c r="C606" s="1181">
        <v>7568</v>
      </c>
      <c r="D606" s="161" t="str">
        <f>IF(B606="SEPLAG",VLOOKUP(COMPOSIÇÕES!C606,'MAPA COMPARATIVO'!A:B,2,FALSE),VLOOKUP(C606,'NAO DESO'!A:B,2,0))</f>
        <v>BUCHA DE NYLON SEM ABA S10, COM PARAFUSO DE 6,10 X 65 MM EM ACO ZINCADO COM ROSCA SOBERBA, CABECA CHATA E FENDA PHILLIPS</v>
      </c>
      <c r="E606" s="241" t="str">
        <f>VLOOKUP($C606,'NAO DESO'!$A:$D,3,)</f>
        <v xml:space="preserve">UN    </v>
      </c>
      <c r="F606" s="242">
        <f>F609*3</f>
        <v>6</v>
      </c>
      <c r="G606" s="242">
        <f>IF(B606="SEPLAG",VLOOKUP(CONCATENATE("MEDIANA - ",C606),COTAÇÃO,5,FALSE),VLOOKUP($C606,'NAO DESO'!$A:$D,4,))</f>
        <v>0.61</v>
      </c>
      <c r="H606" s="242">
        <f t="shared" si="42"/>
        <v>3.66</v>
      </c>
      <c r="I606" s="54" t="str">
        <f>IF(B606="SEPLAG",VLOOKUP(CONCATENATE("MEDIANA - ",C606),COTAÇÃO,5,FALSE),VLOOKUP($C606,DESON!$A:$D,4,))</f>
        <v>0,61</v>
      </c>
      <c r="J606" s="209">
        <f t="shared" si="43"/>
        <v>3.66</v>
      </c>
    </row>
    <row r="607" spans="1:10" ht="26.25" customHeight="1">
      <c r="A607" s="208" t="s">
        <v>39</v>
      </c>
      <c r="B607" s="241"/>
      <c r="C607" s="1181">
        <v>11795</v>
      </c>
      <c r="D607" s="161" t="str">
        <f>IF(B607="SEPLAG",VLOOKUP(COMPOSIÇÕES!C607,'MAPA COMPARATIVO'!A:B,2,FALSE),VLOOKUP(C607,'NAO DESO'!A:B,2,0))</f>
        <v>GRANITO PARA BANCADA, POLIDO, TIPO ANDORINHA/ QUARTZ/ CASTELO/ CORUMBA OU OUTROS EQUIVALENTES DA REGIAO, E=  *2,5* CM</v>
      </c>
      <c r="E607" s="241" t="str">
        <f>VLOOKUP($C607,'NAO DESO'!$A:$D,3,)</f>
        <v xml:space="preserve">M2    </v>
      </c>
      <c r="F607" s="242">
        <f>5.96*0.6</f>
        <v>3.5760000000000001</v>
      </c>
      <c r="G607" s="242">
        <f>IF(B607="SEPLAG",VLOOKUP(CONCATENATE("MEDIANA - ",C607),COTAÇÃO,5,FALSE),VLOOKUP($C607,'NAO DESO'!$A:$D,4,))</f>
        <v>562.26</v>
      </c>
      <c r="H607" s="242">
        <f t="shared" si="42"/>
        <v>2010.64</v>
      </c>
      <c r="I607" s="54" t="str">
        <f>IF(B607="SEPLAG",VLOOKUP(CONCATENATE("MEDIANA - ",C607),COTAÇÃO,5,FALSE),VLOOKUP($C607,DESON!$A:$D,4,))</f>
        <v>562,26</v>
      </c>
      <c r="J607" s="209">
        <f t="shared" si="43"/>
        <v>2010.64</v>
      </c>
    </row>
    <row r="608" spans="1:10" ht="15" customHeight="1">
      <c r="A608" s="208" t="s">
        <v>39</v>
      </c>
      <c r="B608" s="241"/>
      <c r="C608" s="1181">
        <v>37329</v>
      </c>
      <c r="D608" s="161" t="str">
        <f>IF(B608="SEPLAG",VLOOKUP(COMPOSIÇÕES!C608,'MAPA COMPARATIVO'!A:B,2,FALSE),VLOOKUP(C608,'NAO DESO'!A:B,2,0))</f>
        <v>REJUNTE EPOXI, QUALQUER COR</v>
      </c>
      <c r="E608" s="241" t="str">
        <f>VLOOKUP($C608,'NAO DESO'!$A:$D,3,)</f>
        <v xml:space="preserve">KG    </v>
      </c>
      <c r="F608" s="242">
        <f>F607*0.04</f>
        <v>0.14304</v>
      </c>
      <c r="G608" s="242">
        <f>IF(B608="SEPLAG",VLOOKUP(CONCATENATE("MEDIANA - ",C608),COTAÇÃO,5,FALSE),VLOOKUP($C608,'NAO DESO'!$A:$D,4,))</f>
        <v>101.41</v>
      </c>
      <c r="H608" s="242">
        <f t="shared" si="42"/>
        <v>14.5</v>
      </c>
      <c r="I608" s="54" t="str">
        <f>IF(B608="SEPLAG",VLOOKUP(CONCATENATE("MEDIANA - ",C608),COTAÇÃO,5,FALSE),VLOOKUP($C608,DESON!$A:$D,4,))</f>
        <v>101,41</v>
      </c>
      <c r="J608" s="209">
        <f t="shared" si="43"/>
        <v>14.5</v>
      </c>
    </row>
    <row r="609" spans="1:10" ht="26.25" customHeight="1">
      <c r="A609" s="208" t="s">
        <v>39</v>
      </c>
      <c r="B609" s="241"/>
      <c r="C609" s="1181">
        <v>37590</v>
      </c>
      <c r="D609" s="161" t="str">
        <f>IF(B609="SEPLAG",VLOOKUP(COMPOSIÇÕES!C609,'MAPA COMPARATIVO'!A:B,2,FALSE),VLOOKUP(C609,'NAO DESO'!A:B,2,0))</f>
        <v>SUPORTE MAO-FRANCESA EM ACO, ABAS IGUAIS 30 CM, CAPACIDADE MINIMA 60 KG, BRANCO</v>
      </c>
      <c r="E609" s="241" t="str">
        <f>VLOOKUP($C609,'NAO DESO'!$A:$D,3,)</f>
        <v xml:space="preserve">UN    </v>
      </c>
      <c r="F609" s="242">
        <v>2</v>
      </c>
      <c r="G609" s="242">
        <f>IF(B609="SEPLAG",VLOOKUP(CONCATENATE("MEDIANA - ",C609),COTAÇÃO,5,FALSE),VLOOKUP($C609,'NAO DESO'!$A:$D,4,))</f>
        <v>21.58</v>
      </c>
      <c r="H609" s="242">
        <f t="shared" si="42"/>
        <v>43.16</v>
      </c>
      <c r="I609" s="54" t="str">
        <f>IF(B609="SEPLAG",VLOOKUP(CONCATENATE("MEDIANA - ",C609),COTAÇÃO,5,FALSE),VLOOKUP($C609,DESON!$A:$D,4,))</f>
        <v>21,58</v>
      </c>
      <c r="J609" s="209">
        <f t="shared" si="43"/>
        <v>43.16</v>
      </c>
    </row>
    <row r="610" spans="1:10" s="207" customFormat="1" ht="15" customHeight="1">
      <c r="A610" s="208" t="s">
        <v>245</v>
      </c>
      <c r="B610" s="241"/>
      <c r="C610" s="1181">
        <v>88274</v>
      </c>
      <c r="D610" s="161" t="str">
        <f>IF(B610="SEPLAG",VLOOKUP(COMPOSIÇÕES!C610,'MAPA COMPARATIVO'!A:B,2,FALSE),VLOOKUP(C610,'NAO DESO'!A:B,2,0))</f>
        <v>MARMORISTA/GRANITEIRO COM ENCARGOS COMPLEMENTARES</v>
      </c>
      <c r="E610" s="241" t="str">
        <f>VLOOKUP($C610,'NAO DESO'!$A:$D,3,)</f>
        <v>H</v>
      </c>
      <c r="F610" s="242">
        <v>1.92</v>
      </c>
      <c r="G610" s="242" t="str">
        <f>IF(B610="SEPLAG",VLOOKUP(CONCATENATE("MEDIANA - ",C610),COTAÇÃO,5,FALSE),VLOOKUP($C610,'NAO DESO'!$A:$D,4,))</f>
        <v>21,02</v>
      </c>
      <c r="H610" s="242">
        <f t="shared" si="42"/>
        <v>40.35</v>
      </c>
      <c r="I610" s="54" t="str">
        <f>IF(B610="SEPLAG",VLOOKUP(CONCATENATE("MEDIANA - ",C610),COTAÇÃO,5,FALSE),VLOOKUP($C610,DESON!$A:$D,4,))</f>
        <v>18,79</v>
      </c>
      <c r="J610" s="209">
        <f t="shared" si="43"/>
        <v>36.07</v>
      </c>
    </row>
    <row r="611" spans="1:10" ht="15" customHeight="1">
      <c r="A611" s="208" t="s">
        <v>245</v>
      </c>
      <c r="B611" s="241"/>
      <c r="C611" s="1181">
        <v>88316</v>
      </c>
      <c r="D611" s="161" t="str">
        <f>IF(B611="SEPLAG",VLOOKUP(COMPOSIÇÕES!C611,'MAPA COMPARATIVO'!A:B,2,FALSE),VLOOKUP(C611,'NAO DESO'!A:B,2,0))</f>
        <v>SERVENTE COM ENCARGOS COMPLEMENTARES</v>
      </c>
      <c r="E611" s="241" t="str">
        <f>VLOOKUP($C611,'NAO DESO'!$A:$D,3,)</f>
        <v>H</v>
      </c>
      <c r="F611" s="242">
        <v>0.98</v>
      </c>
      <c r="G611" s="242" t="str">
        <f>IF(B611="SEPLAG",VLOOKUP(CONCATENATE("MEDIANA - ",C611),COTAÇÃO,5,FALSE),VLOOKUP($C611,'NAO DESO'!$A:$D,4,))</f>
        <v>16,83</v>
      </c>
      <c r="H611" s="242">
        <f t="shared" si="42"/>
        <v>16.489999999999998</v>
      </c>
      <c r="I611" s="54" t="str">
        <f>IF(B611="SEPLAG",VLOOKUP(CONCATENATE("MEDIANA - ",C611),COTAÇÃO,5,FALSE),VLOOKUP($C611,DESON!$A:$D,4,))</f>
        <v>15,16</v>
      </c>
      <c r="J611" s="209">
        <f t="shared" si="43"/>
        <v>14.85</v>
      </c>
    </row>
    <row r="612" spans="1:10" ht="15" customHeight="1">
      <c r="A612" s="210" t="str">
        <f>CONCATENATE("TOTAL DO ITEM NÃO DESON. - ",C602)</f>
        <v>TOTAL DO ITEM NÃO DESON. - SEPLAG ARQ 57</v>
      </c>
      <c r="B612" s="424"/>
      <c r="C612" s="424"/>
      <c r="D612" s="424"/>
      <c r="E612" s="424"/>
      <c r="F612" s="425"/>
      <c r="G612" s="426"/>
      <c r="H612" s="1189">
        <f>SUM(H605:H611)</f>
        <v>2144.1999999999998</v>
      </c>
      <c r="I612" s="214"/>
      <c r="J612" s="215"/>
    </row>
    <row r="613" spans="1:10" ht="15.75" customHeight="1" thickBot="1">
      <c r="A613" s="216" t="str">
        <f>CONCATENATE("TOTAL DO ITEM DESON. - ",C602)</f>
        <v>TOTAL DO ITEM DESON. - SEPLAG ARQ 57</v>
      </c>
      <c r="B613" s="427"/>
      <c r="C613" s="427"/>
      <c r="D613" s="427"/>
      <c r="E613" s="427"/>
      <c r="F613" s="428"/>
      <c r="G613" s="429"/>
      <c r="H613" s="1190"/>
      <c r="I613" s="229"/>
      <c r="J613" s="219">
        <f>SUM(J605:J611)</f>
        <v>2138.2800000000002</v>
      </c>
    </row>
    <row r="614" spans="1:10" ht="15" customHeight="1" thickBot="1">
      <c r="A614" s="235"/>
      <c r="B614" s="1135"/>
      <c r="C614" s="1135"/>
      <c r="D614" s="1135"/>
      <c r="E614" s="1135"/>
      <c r="F614" s="1188"/>
      <c r="G614" s="1188"/>
      <c r="H614" s="1188"/>
      <c r="I614" s="236"/>
      <c r="J614" s="236"/>
    </row>
    <row r="615" spans="1:10" ht="25.5" customHeight="1">
      <c r="A615" s="198"/>
      <c r="B615" s="1175"/>
      <c r="C615" s="1152" t="s">
        <v>7207</v>
      </c>
      <c r="D615" s="152" t="s">
        <v>7210</v>
      </c>
      <c r="E615" s="1176" t="s">
        <v>24</v>
      </c>
      <c r="F615" s="1177" t="s">
        <v>18</v>
      </c>
      <c r="G615" s="1178" t="s">
        <v>7017</v>
      </c>
      <c r="H615" s="1179"/>
      <c r="I615" s="200" t="s">
        <v>7016</v>
      </c>
      <c r="J615" s="201"/>
    </row>
    <row r="616" spans="1:10" ht="15" customHeight="1">
      <c r="A616" s="233"/>
      <c r="B616" s="247"/>
      <c r="C616" s="430"/>
      <c r="D616" s="158"/>
      <c r="E616" s="1155"/>
      <c r="F616" s="1180"/>
      <c r="G616" s="1180" t="s">
        <v>19</v>
      </c>
      <c r="H616" s="1180" t="s">
        <v>20</v>
      </c>
      <c r="I616" s="205" t="s">
        <v>19</v>
      </c>
      <c r="J616" s="206" t="s">
        <v>20</v>
      </c>
    </row>
    <row r="617" spans="1:10" ht="26.25" customHeight="1">
      <c r="A617" s="208"/>
      <c r="B617" s="241"/>
      <c r="C617" s="241" t="s">
        <v>180</v>
      </c>
      <c r="D617" s="161" t="s">
        <v>195</v>
      </c>
      <c r="E617" s="241"/>
      <c r="F617" s="242"/>
      <c r="G617" s="242"/>
      <c r="H617" s="242"/>
      <c r="I617" s="214"/>
      <c r="J617" s="227"/>
    </row>
    <row r="618" spans="1:10" ht="15" customHeight="1">
      <c r="A618" s="208" t="s">
        <v>39</v>
      </c>
      <c r="B618" s="241"/>
      <c r="C618" s="1181">
        <v>4823</v>
      </c>
      <c r="D618" s="161" t="str">
        <f>IF(B618="SEPLAG",VLOOKUP(COMPOSIÇÕES!C618,'MAPA COMPARATIVO'!A:B,2,FALSE),VLOOKUP(C618,'NAO DESO'!A:B,2,0))</f>
        <v>MASSA PLASTICA PARA MARMORE/GRANITO</v>
      </c>
      <c r="E618" s="241" t="str">
        <f>VLOOKUP($C618,'NAO DESO'!$A:$D,3,)</f>
        <v xml:space="preserve">KG    </v>
      </c>
      <c r="F618" s="242">
        <v>0.38</v>
      </c>
      <c r="G618" s="242">
        <f>IF(B618="SEPLAG",VLOOKUP(CONCATENATE("MEDIANA - ",C618),COTAÇÃO,5,FALSE),VLOOKUP($C618,'NAO DESO'!$A:$D,4,))</f>
        <v>40.53</v>
      </c>
      <c r="H618" s="242">
        <f t="shared" ref="H618:H624" si="44">TRUNC(F618*G618,2)</f>
        <v>15.4</v>
      </c>
      <c r="I618" s="54" t="str">
        <f>IF(B618="SEPLAG",VLOOKUP(CONCATENATE("MEDIANA - ",C618),COTAÇÃO,5,FALSE),VLOOKUP($C618,DESON!$A:$D,4,))</f>
        <v>40,53</v>
      </c>
      <c r="J618" s="209">
        <f t="shared" ref="J618:J624" si="45">TRUNC(F618*I618,2)</f>
        <v>15.4</v>
      </c>
    </row>
    <row r="619" spans="1:10" ht="26.25" customHeight="1">
      <c r="A619" s="208" t="s">
        <v>39</v>
      </c>
      <c r="B619" s="241"/>
      <c r="C619" s="1181">
        <v>7568</v>
      </c>
      <c r="D619" s="161" t="str">
        <f>IF(B619="SEPLAG",VLOOKUP(COMPOSIÇÕES!C619,'MAPA COMPARATIVO'!A:B,2,FALSE),VLOOKUP(C619,'NAO DESO'!A:B,2,0))</f>
        <v>BUCHA DE NYLON SEM ABA S10, COM PARAFUSO DE 6,10 X 65 MM EM ACO ZINCADO COM ROSCA SOBERBA, CABECA CHATA E FENDA PHILLIPS</v>
      </c>
      <c r="E619" s="241" t="str">
        <f>VLOOKUP($C619,'NAO DESO'!$A:$D,3,)</f>
        <v xml:space="preserve">UN    </v>
      </c>
      <c r="F619" s="242">
        <f>F622*3</f>
        <v>6</v>
      </c>
      <c r="G619" s="242">
        <f>IF(B619="SEPLAG",VLOOKUP(CONCATENATE("MEDIANA - ",C619),COTAÇÃO,5,FALSE),VLOOKUP($C619,'NAO DESO'!$A:$D,4,))</f>
        <v>0.61</v>
      </c>
      <c r="H619" s="242">
        <f t="shared" si="44"/>
        <v>3.66</v>
      </c>
      <c r="I619" s="54" t="str">
        <f>IF(B619="SEPLAG",VLOOKUP(CONCATENATE("MEDIANA - ",C619),COTAÇÃO,5,FALSE),VLOOKUP($C619,DESON!$A:$D,4,))</f>
        <v>0,61</v>
      </c>
      <c r="J619" s="209">
        <f t="shared" si="45"/>
        <v>3.66</v>
      </c>
    </row>
    <row r="620" spans="1:10" ht="26.25" customHeight="1">
      <c r="A620" s="208" t="s">
        <v>39</v>
      </c>
      <c r="B620" s="241"/>
      <c r="C620" s="1181">
        <v>11795</v>
      </c>
      <c r="D620" s="161" t="str">
        <f>IF(B620="SEPLAG",VLOOKUP(COMPOSIÇÕES!C620,'MAPA COMPARATIVO'!A:B,2,FALSE),VLOOKUP(C620,'NAO DESO'!A:B,2,0))</f>
        <v>GRANITO PARA BANCADA, POLIDO, TIPO ANDORINHA/ QUARTZ/ CASTELO/ CORUMBA OU OUTROS EQUIVALENTES DA REGIAO, E=  *2,5* CM</v>
      </c>
      <c r="E620" s="241" t="str">
        <f>VLOOKUP($C620,'NAO DESO'!$A:$D,3,)</f>
        <v xml:space="preserve">M2    </v>
      </c>
      <c r="F620" s="242">
        <f>2.25*0.6</f>
        <v>1.3499999999999999</v>
      </c>
      <c r="G620" s="242">
        <f>IF(B620="SEPLAG",VLOOKUP(CONCATENATE("MEDIANA - ",C620),COTAÇÃO,5,FALSE),VLOOKUP($C620,'NAO DESO'!$A:$D,4,))</f>
        <v>562.26</v>
      </c>
      <c r="H620" s="242">
        <f t="shared" si="44"/>
        <v>759.05</v>
      </c>
      <c r="I620" s="54" t="str">
        <f>IF(B620="SEPLAG",VLOOKUP(CONCATENATE("MEDIANA - ",C620),COTAÇÃO,5,FALSE),VLOOKUP($C620,DESON!$A:$D,4,))</f>
        <v>562,26</v>
      </c>
      <c r="J620" s="209">
        <f t="shared" si="45"/>
        <v>759.05</v>
      </c>
    </row>
    <row r="621" spans="1:10" ht="15" customHeight="1">
      <c r="A621" s="208" t="s">
        <v>39</v>
      </c>
      <c r="B621" s="241"/>
      <c r="C621" s="1181">
        <v>37329</v>
      </c>
      <c r="D621" s="161" t="str">
        <f>IF(B621="SEPLAG",VLOOKUP(COMPOSIÇÕES!C621,'MAPA COMPARATIVO'!A:B,2,FALSE),VLOOKUP(C621,'NAO DESO'!A:B,2,0))</f>
        <v>REJUNTE EPOXI, QUALQUER COR</v>
      </c>
      <c r="E621" s="241" t="str">
        <f>VLOOKUP($C621,'NAO DESO'!$A:$D,3,)</f>
        <v xml:space="preserve">KG    </v>
      </c>
      <c r="F621" s="242">
        <f>F620*0.04</f>
        <v>5.3999999999999992E-2</v>
      </c>
      <c r="G621" s="242">
        <f>IF(B621="SEPLAG",VLOOKUP(CONCATENATE("MEDIANA - ",C621),COTAÇÃO,5,FALSE),VLOOKUP($C621,'NAO DESO'!$A:$D,4,))</f>
        <v>101.41</v>
      </c>
      <c r="H621" s="242">
        <f t="shared" si="44"/>
        <v>5.47</v>
      </c>
      <c r="I621" s="54" t="str">
        <f>IF(B621="SEPLAG",VLOOKUP(CONCATENATE("MEDIANA - ",C621),COTAÇÃO,5,FALSE),VLOOKUP($C621,DESON!$A:$D,4,))</f>
        <v>101,41</v>
      </c>
      <c r="J621" s="209">
        <f t="shared" si="45"/>
        <v>5.47</v>
      </c>
    </row>
    <row r="622" spans="1:10" ht="26.25" customHeight="1">
      <c r="A622" s="208" t="s">
        <v>39</v>
      </c>
      <c r="B622" s="241"/>
      <c r="C622" s="1181">
        <v>37590</v>
      </c>
      <c r="D622" s="161" t="str">
        <f>IF(B622="SEPLAG",VLOOKUP(COMPOSIÇÕES!C622,'MAPA COMPARATIVO'!A:B,2,FALSE),VLOOKUP(C622,'NAO DESO'!A:B,2,0))</f>
        <v>SUPORTE MAO-FRANCESA EM ACO, ABAS IGUAIS 30 CM, CAPACIDADE MINIMA 60 KG, BRANCO</v>
      </c>
      <c r="E622" s="241" t="str">
        <f>VLOOKUP($C622,'NAO DESO'!$A:$D,3,)</f>
        <v xml:space="preserve">UN    </v>
      </c>
      <c r="F622" s="242">
        <v>2</v>
      </c>
      <c r="G622" s="242">
        <f>IF(B622="SEPLAG",VLOOKUP(CONCATENATE("MEDIANA - ",C622),COTAÇÃO,5,FALSE),VLOOKUP($C622,'NAO DESO'!$A:$D,4,))</f>
        <v>21.58</v>
      </c>
      <c r="H622" s="242">
        <f t="shared" si="44"/>
        <v>43.16</v>
      </c>
      <c r="I622" s="54" t="str">
        <f>IF(B622="SEPLAG",VLOOKUP(CONCATENATE("MEDIANA - ",C622),COTAÇÃO,5,FALSE),VLOOKUP($C622,DESON!$A:$D,4,))</f>
        <v>21,58</v>
      </c>
      <c r="J622" s="209">
        <f t="shared" si="45"/>
        <v>43.16</v>
      </c>
    </row>
    <row r="623" spans="1:10" s="416" customFormat="1" ht="15" customHeight="1">
      <c r="A623" s="208" t="s">
        <v>245</v>
      </c>
      <c r="B623" s="241"/>
      <c r="C623" s="1181">
        <v>88274</v>
      </c>
      <c r="D623" s="161" t="str">
        <f>IF(B623="SEPLAG",VLOOKUP(COMPOSIÇÕES!C623,'MAPA COMPARATIVO'!A:B,2,FALSE),VLOOKUP(C623,'NAO DESO'!A:B,2,0))</f>
        <v>MARMORISTA/GRANITEIRO COM ENCARGOS COMPLEMENTARES</v>
      </c>
      <c r="E623" s="241" t="str">
        <f>VLOOKUP($C623,'NAO DESO'!$A:$D,3,)</f>
        <v>H</v>
      </c>
      <c r="F623" s="242">
        <v>1.92</v>
      </c>
      <c r="G623" s="242" t="str">
        <f>IF(B623="SEPLAG",VLOOKUP(CONCATENATE("MEDIANA - ",C623),COTAÇÃO,5,FALSE),VLOOKUP($C623,'NAO DESO'!$A:$D,4,))</f>
        <v>21,02</v>
      </c>
      <c r="H623" s="242">
        <f t="shared" si="44"/>
        <v>40.35</v>
      </c>
      <c r="I623" s="54" t="str">
        <f>IF(B623="SEPLAG",VLOOKUP(CONCATENATE("MEDIANA - ",C623),COTAÇÃO,5,FALSE),VLOOKUP($C623,DESON!$A:$D,4,))</f>
        <v>18,79</v>
      </c>
      <c r="J623" s="209">
        <f t="shared" si="45"/>
        <v>36.07</v>
      </c>
    </row>
    <row r="624" spans="1:10" ht="15" customHeight="1">
      <c r="A624" s="208" t="s">
        <v>245</v>
      </c>
      <c r="B624" s="241"/>
      <c r="C624" s="1181">
        <v>88316</v>
      </c>
      <c r="D624" s="161" t="str">
        <f>IF(B624="SEPLAG",VLOOKUP(COMPOSIÇÕES!C624,'MAPA COMPARATIVO'!A:B,2,FALSE),VLOOKUP(C624,'NAO DESO'!A:B,2,0))</f>
        <v>SERVENTE COM ENCARGOS COMPLEMENTARES</v>
      </c>
      <c r="E624" s="241" t="str">
        <f>VLOOKUP($C624,'NAO DESO'!$A:$D,3,)</f>
        <v>H</v>
      </c>
      <c r="F624" s="242">
        <v>0.98</v>
      </c>
      <c r="G624" s="242" t="str">
        <f>IF(B624="SEPLAG",VLOOKUP(CONCATENATE("MEDIANA - ",C624),COTAÇÃO,5,FALSE),VLOOKUP($C624,'NAO DESO'!$A:$D,4,))</f>
        <v>16,83</v>
      </c>
      <c r="H624" s="242">
        <f t="shared" si="44"/>
        <v>16.489999999999998</v>
      </c>
      <c r="I624" s="54" t="str">
        <f>IF(B624="SEPLAG",VLOOKUP(CONCATENATE("MEDIANA - ",C624),COTAÇÃO,5,FALSE),VLOOKUP($C624,DESON!$A:$D,4,))</f>
        <v>15,16</v>
      </c>
      <c r="J624" s="209">
        <f t="shared" si="45"/>
        <v>14.85</v>
      </c>
    </row>
    <row r="625" spans="1:10" ht="15" customHeight="1">
      <c r="A625" s="210" t="str">
        <f>CONCATENATE("TOTAL DO ITEM NÃO DESON. - ",C615)</f>
        <v>TOTAL DO ITEM NÃO DESON. - SEPLAG ARQ 58</v>
      </c>
      <c r="B625" s="424"/>
      <c r="C625" s="424"/>
      <c r="D625" s="424"/>
      <c r="E625" s="424"/>
      <c r="F625" s="425"/>
      <c r="G625" s="426"/>
      <c r="H625" s="1189">
        <f>SUM(H618:H624)</f>
        <v>883.57999999999993</v>
      </c>
      <c r="I625" s="214"/>
      <c r="J625" s="215"/>
    </row>
    <row r="626" spans="1:10" ht="15.75" customHeight="1" thickBot="1">
      <c r="A626" s="216" t="str">
        <f>CONCATENATE("TOTAL DO ITEM DESON. - ",C615)</f>
        <v>TOTAL DO ITEM DESON. - SEPLAG ARQ 58</v>
      </c>
      <c r="B626" s="427"/>
      <c r="C626" s="427"/>
      <c r="D626" s="427"/>
      <c r="E626" s="427"/>
      <c r="F626" s="428"/>
      <c r="G626" s="429"/>
      <c r="H626" s="1190"/>
      <c r="I626" s="229"/>
      <c r="J626" s="219">
        <f>SUM(J618:J624)</f>
        <v>877.66</v>
      </c>
    </row>
    <row r="627" spans="1:10" ht="15" customHeight="1" thickBot="1">
      <c r="A627" s="235"/>
      <c r="B627" s="1135"/>
      <c r="C627" s="1135"/>
      <c r="D627" s="1135"/>
      <c r="E627" s="1135"/>
      <c r="F627" s="1188"/>
      <c r="G627" s="1188"/>
      <c r="H627" s="1188"/>
      <c r="I627" s="236"/>
      <c r="J627" s="237"/>
    </row>
    <row r="628" spans="1:10" s="207" customFormat="1" ht="26.25" customHeight="1">
      <c r="A628" s="198"/>
      <c r="B628" s="1175"/>
      <c r="C628" s="1152" t="s">
        <v>7208</v>
      </c>
      <c r="D628" s="152" t="s">
        <v>7209</v>
      </c>
      <c r="E628" s="1176" t="s">
        <v>24</v>
      </c>
      <c r="F628" s="1177" t="s">
        <v>18</v>
      </c>
      <c r="G628" s="1178" t="s">
        <v>7017</v>
      </c>
      <c r="H628" s="1179"/>
      <c r="I628" s="200" t="s">
        <v>7016</v>
      </c>
      <c r="J628" s="201"/>
    </row>
    <row r="629" spans="1:10" ht="16.5" customHeight="1">
      <c r="A629" s="233"/>
      <c r="B629" s="247"/>
      <c r="C629" s="430"/>
      <c r="D629" s="158"/>
      <c r="E629" s="1155"/>
      <c r="F629" s="1180"/>
      <c r="G629" s="1180" t="s">
        <v>19</v>
      </c>
      <c r="H629" s="1180" t="s">
        <v>20</v>
      </c>
      <c r="I629" s="205" t="s">
        <v>19</v>
      </c>
      <c r="J629" s="206" t="s">
        <v>20</v>
      </c>
    </row>
    <row r="630" spans="1:10" ht="26.25" customHeight="1">
      <c r="A630" s="208"/>
      <c r="B630" s="241"/>
      <c r="C630" s="241" t="s">
        <v>180</v>
      </c>
      <c r="D630" s="161" t="s">
        <v>195</v>
      </c>
      <c r="E630" s="241"/>
      <c r="F630" s="242"/>
      <c r="G630" s="242"/>
      <c r="H630" s="242"/>
      <c r="I630" s="214"/>
      <c r="J630" s="227"/>
    </row>
    <row r="631" spans="1:10" ht="15" customHeight="1">
      <c r="A631" s="208" t="s">
        <v>39</v>
      </c>
      <c r="B631" s="241"/>
      <c r="C631" s="1181">
        <v>4823</v>
      </c>
      <c r="D631" s="161" t="str">
        <f>IF(B631="SEPLAG",VLOOKUP(COMPOSIÇÕES!C631,'MAPA COMPARATIVO'!A:B,2,FALSE),VLOOKUP(C631,'NAO DESO'!A:B,2,0))</f>
        <v>MASSA PLASTICA PARA MARMORE/GRANITO</v>
      </c>
      <c r="E631" s="241" t="str">
        <f>VLOOKUP($C631,'NAO DESO'!$A:$D,3,)</f>
        <v xml:space="preserve">KG    </v>
      </c>
      <c r="F631" s="242">
        <v>0.38</v>
      </c>
      <c r="G631" s="242">
        <f>IF(B631="SEPLAG",VLOOKUP(CONCATENATE("MEDIANA - ",C631),COTAÇÃO,5,FALSE),VLOOKUP($C631,'NAO DESO'!$A:$D,4,))</f>
        <v>40.53</v>
      </c>
      <c r="H631" s="242">
        <f t="shared" ref="H631:H637" si="46">TRUNC(F631*G631,2)</f>
        <v>15.4</v>
      </c>
      <c r="I631" s="54" t="str">
        <f>IF(B631="SEPLAG",VLOOKUP(CONCATENATE("MEDIANA - ",C631),COTAÇÃO,5,FALSE),VLOOKUP($C631,DESON!$A:$D,4,))</f>
        <v>40,53</v>
      </c>
      <c r="J631" s="209">
        <f t="shared" ref="J631:J637" si="47">TRUNC(F631*I631,2)</f>
        <v>15.4</v>
      </c>
    </row>
    <row r="632" spans="1:10" ht="26.25" customHeight="1">
      <c r="A632" s="208" t="s">
        <v>39</v>
      </c>
      <c r="B632" s="241"/>
      <c r="C632" s="1181">
        <v>7568</v>
      </c>
      <c r="D632" s="161" t="str">
        <f>IF(B632="SEPLAG",VLOOKUP(COMPOSIÇÕES!C632,'MAPA COMPARATIVO'!A:B,2,FALSE),VLOOKUP(C632,'NAO DESO'!A:B,2,0))</f>
        <v>BUCHA DE NYLON SEM ABA S10, COM PARAFUSO DE 6,10 X 65 MM EM ACO ZINCADO COM ROSCA SOBERBA, CABECA CHATA E FENDA PHILLIPS</v>
      </c>
      <c r="E632" s="241" t="str">
        <f>VLOOKUP($C632,'NAO DESO'!$A:$D,3,)</f>
        <v xml:space="preserve">UN    </v>
      </c>
      <c r="F632" s="242">
        <f>F635*3</f>
        <v>6</v>
      </c>
      <c r="G632" s="242">
        <f>IF(B632="SEPLAG",VLOOKUP(CONCATENATE("MEDIANA - ",C632),COTAÇÃO,5,FALSE),VLOOKUP($C632,'NAO DESO'!$A:$D,4,))</f>
        <v>0.61</v>
      </c>
      <c r="H632" s="242">
        <f t="shared" si="46"/>
        <v>3.66</v>
      </c>
      <c r="I632" s="54" t="str">
        <f>IF(B632="SEPLAG",VLOOKUP(CONCATENATE("MEDIANA - ",C632),COTAÇÃO,5,FALSE),VLOOKUP($C632,DESON!$A:$D,4,))</f>
        <v>0,61</v>
      </c>
      <c r="J632" s="209">
        <f t="shared" si="47"/>
        <v>3.66</v>
      </c>
    </row>
    <row r="633" spans="1:10" s="207" customFormat="1" ht="26.25" customHeight="1">
      <c r="A633" s="208" t="s">
        <v>39</v>
      </c>
      <c r="B633" s="241"/>
      <c r="C633" s="1181">
        <v>11795</v>
      </c>
      <c r="D633" s="161" t="str">
        <f>IF(B633="SEPLAG",VLOOKUP(COMPOSIÇÕES!C633,'MAPA COMPARATIVO'!A:B,2,FALSE),VLOOKUP(C633,'NAO DESO'!A:B,2,0))</f>
        <v>GRANITO PARA BANCADA, POLIDO, TIPO ANDORINHA/ QUARTZ/ CASTELO/ CORUMBA OU OUTROS EQUIVALENTES DA REGIAO, E=  *2,5* CM</v>
      </c>
      <c r="E633" s="241" t="str">
        <f>VLOOKUP($C633,'NAO DESO'!$A:$D,3,)</f>
        <v xml:space="preserve">M2    </v>
      </c>
      <c r="F633" s="242">
        <f>2.3*0.6</f>
        <v>1.38</v>
      </c>
      <c r="G633" s="242">
        <f>IF(B633="SEPLAG",VLOOKUP(CONCATENATE("MEDIANA - ",C633),COTAÇÃO,5,FALSE),VLOOKUP($C633,'NAO DESO'!$A:$D,4,))</f>
        <v>562.26</v>
      </c>
      <c r="H633" s="242">
        <f t="shared" si="46"/>
        <v>775.91</v>
      </c>
      <c r="I633" s="54" t="str">
        <f>IF(B633="SEPLAG",VLOOKUP(CONCATENATE("MEDIANA - ",C633),COTAÇÃO,5,FALSE),VLOOKUP($C633,DESON!$A:$D,4,))</f>
        <v>562,26</v>
      </c>
      <c r="J633" s="209">
        <f t="shared" si="47"/>
        <v>775.91</v>
      </c>
    </row>
    <row r="634" spans="1:10" ht="15" customHeight="1">
      <c r="A634" s="208" t="s">
        <v>39</v>
      </c>
      <c r="B634" s="241"/>
      <c r="C634" s="1181">
        <v>37329</v>
      </c>
      <c r="D634" s="161" t="str">
        <f>IF(B634="SEPLAG",VLOOKUP(COMPOSIÇÕES!C634,'MAPA COMPARATIVO'!A:B,2,FALSE),VLOOKUP(C634,'NAO DESO'!A:B,2,0))</f>
        <v>REJUNTE EPOXI, QUALQUER COR</v>
      </c>
      <c r="E634" s="241" t="str">
        <f>VLOOKUP($C634,'NAO DESO'!$A:$D,3,)</f>
        <v xml:space="preserve">KG    </v>
      </c>
      <c r="F634" s="242">
        <f>F633*0.04</f>
        <v>5.5199999999999999E-2</v>
      </c>
      <c r="G634" s="242">
        <f>IF(B634="SEPLAG",VLOOKUP(CONCATENATE("MEDIANA - ",C634),COTAÇÃO,5,FALSE),VLOOKUP($C634,'NAO DESO'!$A:$D,4,))</f>
        <v>101.41</v>
      </c>
      <c r="H634" s="242">
        <f t="shared" si="46"/>
        <v>5.59</v>
      </c>
      <c r="I634" s="54" t="str">
        <f>IF(B634="SEPLAG",VLOOKUP(CONCATENATE("MEDIANA - ",C634),COTAÇÃO,5,FALSE),VLOOKUP($C634,DESON!$A:$D,4,))</f>
        <v>101,41</v>
      </c>
      <c r="J634" s="209">
        <f t="shared" si="47"/>
        <v>5.59</v>
      </c>
    </row>
    <row r="635" spans="1:10" ht="26.25" customHeight="1">
      <c r="A635" s="208" t="s">
        <v>39</v>
      </c>
      <c r="B635" s="241"/>
      <c r="C635" s="1181">
        <v>37590</v>
      </c>
      <c r="D635" s="161" t="str">
        <f>IF(B635="SEPLAG",VLOOKUP(COMPOSIÇÕES!C635,'MAPA COMPARATIVO'!A:B,2,FALSE),VLOOKUP(C635,'NAO DESO'!A:B,2,0))</f>
        <v>SUPORTE MAO-FRANCESA EM ACO, ABAS IGUAIS 30 CM, CAPACIDADE MINIMA 60 KG, BRANCO</v>
      </c>
      <c r="E635" s="241" t="str">
        <f>VLOOKUP($C635,'NAO DESO'!$A:$D,3,)</f>
        <v xml:space="preserve">UN    </v>
      </c>
      <c r="F635" s="242">
        <v>2</v>
      </c>
      <c r="G635" s="242">
        <f>IF(B635="SEPLAG",VLOOKUP(CONCATENATE("MEDIANA - ",C635),COTAÇÃO,5,FALSE),VLOOKUP($C635,'NAO DESO'!$A:$D,4,))</f>
        <v>21.58</v>
      </c>
      <c r="H635" s="242">
        <f t="shared" si="46"/>
        <v>43.16</v>
      </c>
      <c r="I635" s="54" t="str">
        <f>IF(B635="SEPLAG",VLOOKUP(CONCATENATE("MEDIANA - ",C635),COTAÇÃO,5,FALSE),VLOOKUP($C635,DESON!$A:$D,4,))</f>
        <v>21,58</v>
      </c>
      <c r="J635" s="209">
        <f t="shared" si="47"/>
        <v>43.16</v>
      </c>
    </row>
    <row r="636" spans="1:10" ht="15" customHeight="1">
      <c r="A636" s="208" t="s">
        <v>245</v>
      </c>
      <c r="B636" s="241"/>
      <c r="C636" s="1181">
        <v>88274</v>
      </c>
      <c r="D636" s="161" t="str">
        <f>IF(B636="SEPLAG",VLOOKUP(COMPOSIÇÕES!C636,'MAPA COMPARATIVO'!A:B,2,FALSE),VLOOKUP(C636,'NAO DESO'!A:B,2,0))</f>
        <v>MARMORISTA/GRANITEIRO COM ENCARGOS COMPLEMENTARES</v>
      </c>
      <c r="E636" s="241" t="str">
        <f>VLOOKUP($C636,'NAO DESO'!$A:$D,3,)</f>
        <v>H</v>
      </c>
      <c r="F636" s="242">
        <v>1.92</v>
      </c>
      <c r="G636" s="242" t="str">
        <f>IF(B636="SEPLAG",VLOOKUP(CONCATENATE("MEDIANA - ",C636),COTAÇÃO,5,FALSE),VLOOKUP($C636,'NAO DESO'!$A:$D,4,))</f>
        <v>21,02</v>
      </c>
      <c r="H636" s="242">
        <f t="shared" si="46"/>
        <v>40.35</v>
      </c>
      <c r="I636" s="54" t="str">
        <f>IF(B636="SEPLAG",VLOOKUP(CONCATENATE("MEDIANA - ",C636),COTAÇÃO,5,FALSE),VLOOKUP($C636,DESON!$A:$D,4,))</f>
        <v>18,79</v>
      </c>
      <c r="J636" s="209">
        <f t="shared" si="47"/>
        <v>36.07</v>
      </c>
    </row>
    <row r="637" spans="1:10" ht="15" customHeight="1">
      <c r="A637" s="208" t="s">
        <v>245</v>
      </c>
      <c r="B637" s="241"/>
      <c r="C637" s="1181">
        <v>88316</v>
      </c>
      <c r="D637" s="161" t="str">
        <f>IF(B637="SEPLAG",VLOOKUP(COMPOSIÇÕES!C637,'MAPA COMPARATIVO'!A:B,2,FALSE),VLOOKUP(C637,'NAO DESO'!A:B,2,0))</f>
        <v>SERVENTE COM ENCARGOS COMPLEMENTARES</v>
      </c>
      <c r="E637" s="241" t="str">
        <f>VLOOKUP($C637,'NAO DESO'!$A:$D,3,)</f>
        <v>H</v>
      </c>
      <c r="F637" s="242">
        <v>0.98</v>
      </c>
      <c r="G637" s="242" t="str">
        <f>IF(B637="SEPLAG",VLOOKUP(CONCATENATE("MEDIANA - ",C637),COTAÇÃO,5,FALSE),VLOOKUP($C637,'NAO DESO'!$A:$D,4,))</f>
        <v>16,83</v>
      </c>
      <c r="H637" s="242">
        <f t="shared" si="46"/>
        <v>16.489999999999998</v>
      </c>
      <c r="I637" s="54" t="str">
        <f>IF(B637="SEPLAG",VLOOKUP(CONCATENATE("MEDIANA - ",C637),COTAÇÃO,5,FALSE),VLOOKUP($C637,DESON!$A:$D,4,))</f>
        <v>15,16</v>
      </c>
      <c r="J637" s="209">
        <f t="shared" si="47"/>
        <v>14.85</v>
      </c>
    </row>
    <row r="638" spans="1:10" ht="15" customHeight="1">
      <c r="A638" s="210" t="str">
        <f>CONCATENATE("TOTAL DO ITEM NÃO DESON. - ",C628)</f>
        <v>TOTAL DO ITEM NÃO DESON. - SEPLAG ARQ 59</v>
      </c>
      <c r="B638" s="424"/>
      <c r="C638" s="424"/>
      <c r="D638" s="424"/>
      <c r="E638" s="424"/>
      <c r="F638" s="425"/>
      <c r="G638" s="426"/>
      <c r="H638" s="1189">
        <f>SUM(H631:H637)</f>
        <v>900.56000000000006</v>
      </c>
      <c r="I638" s="214"/>
      <c r="J638" s="215"/>
    </row>
    <row r="639" spans="1:10" ht="15.75" customHeight="1" thickBot="1">
      <c r="A639" s="216" t="str">
        <f>CONCATENATE("TOTAL DO ITEM DESON. - ",C628)</f>
        <v>TOTAL DO ITEM DESON. - SEPLAG ARQ 59</v>
      </c>
      <c r="B639" s="427"/>
      <c r="C639" s="427"/>
      <c r="D639" s="427"/>
      <c r="E639" s="427"/>
      <c r="F639" s="428"/>
      <c r="G639" s="429"/>
      <c r="H639" s="1190"/>
      <c r="I639" s="229"/>
      <c r="J639" s="219">
        <f>SUM(J631:J637)</f>
        <v>894.6400000000001</v>
      </c>
    </row>
    <row r="640" spans="1:10" ht="15" customHeight="1" thickBot="1">
      <c r="A640" s="235"/>
      <c r="B640" s="1135"/>
      <c r="C640" s="1135"/>
      <c r="D640" s="1135"/>
      <c r="E640" s="1135"/>
      <c r="F640" s="1188"/>
      <c r="G640" s="1188"/>
      <c r="H640" s="1188"/>
      <c r="I640" s="236"/>
      <c r="J640" s="237"/>
    </row>
    <row r="641" spans="1:10" ht="30.75" customHeight="1">
      <c r="A641" s="198"/>
      <c r="B641" s="1175"/>
      <c r="C641" s="1152" t="s">
        <v>7212</v>
      </c>
      <c r="D641" s="152" t="s">
        <v>7213</v>
      </c>
      <c r="E641" s="1176" t="s">
        <v>24</v>
      </c>
      <c r="F641" s="1177" t="s">
        <v>18</v>
      </c>
      <c r="G641" s="1178" t="s">
        <v>7017</v>
      </c>
      <c r="H641" s="1179"/>
      <c r="I641" s="200" t="s">
        <v>7016</v>
      </c>
      <c r="J641" s="201"/>
    </row>
    <row r="642" spans="1:10" s="207" customFormat="1" ht="13.5" customHeight="1">
      <c r="A642" s="233"/>
      <c r="B642" s="247"/>
      <c r="C642" s="430"/>
      <c r="D642" s="158"/>
      <c r="E642" s="1155"/>
      <c r="F642" s="1180"/>
      <c r="G642" s="1180" t="s">
        <v>19</v>
      </c>
      <c r="H642" s="1180" t="s">
        <v>20</v>
      </c>
      <c r="I642" s="205" t="s">
        <v>19</v>
      </c>
      <c r="J642" s="206" t="s">
        <v>20</v>
      </c>
    </row>
    <row r="643" spans="1:10" ht="26.25" customHeight="1">
      <c r="A643" s="208"/>
      <c r="B643" s="241"/>
      <c r="C643" s="241" t="s">
        <v>180</v>
      </c>
      <c r="D643" s="161" t="s">
        <v>195</v>
      </c>
      <c r="E643" s="241"/>
      <c r="F643" s="242"/>
      <c r="G643" s="242"/>
      <c r="H643" s="242"/>
      <c r="I643" s="214"/>
      <c r="J643" s="227"/>
    </row>
    <row r="644" spans="1:10" ht="15" customHeight="1">
      <c r="A644" s="208" t="s">
        <v>39</v>
      </c>
      <c r="B644" s="241"/>
      <c r="C644" s="1181">
        <v>4823</v>
      </c>
      <c r="D644" s="161" t="str">
        <f>IF(B644="SEPLAG",VLOOKUP(COMPOSIÇÕES!C644,'MAPA COMPARATIVO'!A:B,2,FALSE),VLOOKUP(C644,'NAO DESO'!A:B,2,0))</f>
        <v>MASSA PLASTICA PARA MARMORE/GRANITO</v>
      </c>
      <c r="E644" s="241" t="str">
        <f>VLOOKUP($C644,'NAO DESO'!$A:$D,3,)</f>
        <v xml:space="preserve">KG    </v>
      </c>
      <c r="F644" s="242">
        <v>0.38</v>
      </c>
      <c r="G644" s="242">
        <f>IF(B644="SEPLAG",VLOOKUP(CONCATENATE("MEDIANA - ",C644),COTAÇÃO,5,FALSE),VLOOKUP($C644,'NAO DESO'!$A:$D,4,))</f>
        <v>40.53</v>
      </c>
      <c r="H644" s="242">
        <f t="shared" ref="H644:H650" si="48">TRUNC(F644*G644,2)</f>
        <v>15.4</v>
      </c>
      <c r="I644" s="54" t="str">
        <f>IF(B644="SEPLAG",VLOOKUP(CONCATENATE("MEDIANA - ",C644),COTAÇÃO,5,FALSE),VLOOKUP($C644,DESON!$A:$D,4,))</f>
        <v>40,53</v>
      </c>
      <c r="J644" s="209">
        <f t="shared" ref="J644:J650" si="49">TRUNC(F644*I644,2)</f>
        <v>15.4</v>
      </c>
    </row>
    <row r="645" spans="1:10" ht="26.25" customHeight="1">
      <c r="A645" s="208" t="s">
        <v>39</v>
      </c>
      <c r="B645" s="241"/>
      <c r="C645" s="1181">
        <v>7568</v>
      </c>
      <c r="D645" s="161" t="str">
        <f>IF(B645="SEPLAG",VLOOKUP(COMPOSIÇÕES!C645,'MAPA COMPARATIVO'!A:B,2,FALSE),VLOOKUP(C645,'NAO DESO'!A:B,2,0))</f>
        <v>BUCHA DE NYLON SEM ABA S10, COM PARAFUSO DE 6,10 X 65 MM EM ACO ZINCADO COM ROSCA SOBERBA, CABECA CHATA E FENDA PHILLIPS</v>
      </c>
      <c r="E645" s="241" t="str">
        <f>VLOOKUP($C645,'NAO DESO'!$A:$D,3,)</f>
        <v xml:space="preserve">UN    </v>
      </c>
      <c r="F645" s="242">
        <f>F648*3</f>
        <v>6</v>
      </c>
      <c r="G645" s="242">
        <f>IF(B645="SEPLAG",VLOOKUP(CONCATENATE("MEDIANA - ",C645),COTAÇÃO,5,FALSE),VLOOKUP($C645,'NAO DESO'!$A:$D,4,))</f>
        <v>0.61</v>
      </c>
      <c r="H645" s="242">
        <f t="shared" si="48"/>
        <v>3.66</v>
      </c>
      <c r="I645" s="54" t="str">
        <f>IF(B645="SEPLAG",VLOOKUP(CONCATENATE("MEDIANA - ",C645),COTAÇÃO,5,FALSE),VLOOKUP($C645,DESON!$A:$D,4,))</f>
        <v>0,61</v>
      </c>
      <c r="J645" s="209">
        <f t="shared" si="49"/>
        <v>3.66</v>
      </c>
    </row>
    <row r="646" spans="1:10" ht="26.25" customHeight="1">
      <c r="A646" s="208" t="s">
        <v>39</v>
      </c>
      <c r="B646" s="241"/>
      <c r="C646" s="1181">
        <v>11795</v>
      </c>
      <c r="D646" s="161" t="str">
        <f>IF(B646="SEPLAG",VLOOKUP(COMPOSIÇÕES!C646,'MAPA COMPARATIVO'!A:B,2,FALSE),VLOOKUP(C646,'NAO DESO'!A:B,2,0))</f>
        <v>GRANITO PARA BANCADA, POLIDO, TIPO ANDORINHA/ QUARTZ/ CASTELO/ CORUMBA OU OUTROS EQUIVALENTES DA REGIAO, E=  *2,5* CM</v>
      </c>
      <c r="E646" s="241" t="str">
        <f>VLOOKUP($C646,'NAO DESO'!$A:$D,3,)</f>
        <v xml:space="preserve">M2    </v>
      </c>
      <c r="F646" s="242">
        <f>2.66*0.6</f>
        <v>1.5960000000000001</v>
      </c>
      <c r="G646" s="242">
        <f>IF(B646="SEPLAG",VLOOKUP(CONCATENATE("MEDIANA - ",C646),COTAÇÃO,5,FALSE),VLOOKUP($C646,'NAO DESO'!$A:$D,4,))</f>
        <v>562.26</v>
      </c>
      <c r="H646" s="242">
        <f t="shared" si="48"/>
        <v>897.36</v>
      </c>
      <c r="I646" s="54" t="str">
        <f>IF(B646="SEPLAG",VLOOKUP(CONCATENATE("MEDIANA - ",C646),COTAÇÃO,5,FALSE),VLOOKUP($C646,DESON!$A:$D,4,))</f>
        <v>562,26</v>
      </c>
      <c r="J646" s="209">
        <f t="shared" si="49"/>
        <v>897.36</v>
      </c>
    </row>
    <row r="647" spans="1:10" ht="15" customHeight="1">
      <c r="A647" s="208" t="s">
        <v>39</v>
      </c>
      <c r="B647" s="241"/>
      <c r="C647" s="1181">
        <v>37329</v>
      </c>
      <c r="D647" s="161" t="str">
        <f>IF(B647="SEPLAG",VLOOKUP(COMPOSIÇÕES!C647,'MAPA COMPARATIVO'!A:B,2,FALSE),VLOOKUP(C647,'NAO DESO'!A:B,2,0))</f>
        <v>REJUNTE EPOXI, QUALQUER COR</v>
      </c>
      <c r="E647" s="241" t="str">
        <f>VLOOKUP($C647,'NAO DESO'!$A:$D,3,)</f>
        <v xml:space="preserve">KG    </v>
      </c>
      <c r="F647" s="242">
        <f>F646*0.04</f>
        <v>6.3840000000000008E-2</v>
      </c>
      <c r="G647" s="242">
        <f>IF(B647="SEPLAG",VLOOKUP(CONCATENATE("MEDIANA - ",C647),COTAÇÃO,5,FALSE),VLOOKUP($C647,'NAO DESO'!$A:$D,4,))</f>
        <v>101.41</v>
      </c>
      <c r="H647" s="242">
        <f t="shared" si="48"/>
        <v>6.47</v>
      </c>
      <c r="I647" s="54" t="str">
        <f>IF(B647="SEPLAG",VLOOKUP(CONCATENATE("MEDIANA - ",C647),COTAÇÃO,5,FALSE),VLOOKUP($C647,DESON!$A:$D,4,))</f>
        <v>101,41</v>
      </c>
      <c r="J647" s="209">
        <f t="shared" si="49"/>
        <v>6.47</v>
      </c>
    </row>
    <row r="648" spans="1:10" s="245" customFormat="1" ht="25.5" customHeight="1">
      <c r="A648" s="208" t="s">
        <v>39</v>
      </c>
      <c r="B648" s="241"/>
      <c r="C648" s="1181">
        <v>37590</v>
      </c>
      <c r="D648" s="161" t="str">
        <f>IF(B648="SEPLAG",VLOOKUP(COMPOSIÇÕES!C648,'MAPA COMPARATIVO'!A:B,2,FALSE),VLOOKUP(C648,'NAO DESO'!A:B,2,0))</f>
        <v>SUPORTE MAO-FRANCESA EM ACO, ABAS IGUAIS 30 CM, CAPACIDADE MINIMA 60 KG, BRANCO</v>
      </c>
      <c r="E648" s="241" t="str">
        <f>VLOOKUP($C648,'NAO DESO'!$A:$D,3,)</f>
        <v xml:space="preserve">UN    </v>
      </c>
      <c r="F648" s="242">
        <v>2</v>
      </c>
      <c r="G648" s="242">
        <f>IF(B648="SEPLAG",VLOOKUP(CONCATENATE("MEDIANA - ",C648),COTAÇÃO,5,FALSE),VLOOKUP($C648,'NAO DESO'!$A:$D,4,))</f>
        <v>21.58</v>
      </c>
      <c r="H648" s="242">
        <f t="shared" si="48"/>
        <v>43.16</v>
      </c>
      <c r="I648" s="54" t="str">
        <f>IF(B648="SEPLAG",VLOOKUP(CONCATENATE("MEDIANA - ",C648),COTAÇÃO,5,FALSE),VLOOKUP($C648,DESON!$A:$D,4,))</f>
        <v>21,58</v>
      </c>
      <c r="J648" s="209">
        <f t="shared" si="49"/>
        <v>43.16</v>
      </c>
    </row>
    <row r="649" spans="1:10" ht="15" customHeight="1">
      <c r="A649" s="208" t="s">
        <v>245</v>
      </c>
      <c r="B649" s="241"/>
      <c r="C649" s="1181">
        <v>88274</v>
      </c>
      <c r="D649" s="161" t="str">
        <f>IF(B649="SEPLAG",VLOOKUP(COMPOSIÇÕES!C649,'MAPA COMPARATIVO'!A:B,2,FALSE),VLOOKUP(C649,'NAO DESO'!A:B,2,0))</f>
        <v>MARMORISTA/GRANITEIRO COM ENCARGOS COMPLEMENTARES</v>
      </c>
      <c r="E649" s="241" t="str">
        <f>VLOOKUP($C649,'NAO DESO'!$A:$D,3,)</f>
        <v>H</v>
      </c>
      <c r="F649" s="242">
        <v>1.92</v>
      </c>
      <c r="G649" s="242" t="str">
        <f>IF(B649="SEPLAG",VLOOKUP(CONCATENATE("MEDIANA - ",C649),COTAÇÃO,5,FALSE),VLOOKUP($C649,'NAO DESO'!$A:$D,4,))</f>
        <v>21,02</v>
      </c>
      <c r="H649" s="242">
        <f t="shared" si="48"/>
        <v>40.35</v>
      </c>
      <c r="I649" s="54" t="str">
        <f>IF(B649="SEPLAG",VLOOKUP(CONCATENATE("MEDIANA - ",C649),COTAÇÃO,5,FALSE),VLOOKUP($C649,DESON!$A:$D,4,))</f>
        <v>18,79</v>
      </c>
      <c r="J649" s="209">
        <f t="shared" si="49"/>
        <v>36.07</v>
      </c>
    </row>
    <row r="650" spans="1:10" ht="15" customHeight="1">
      <c r="A650" s="208" t="s">
        <v>245</v>
      </c>
      <c r="B650" s="241"/>
      <c r="C650" s="1181">
        <v>88316</v>
      </c>
      <c r="D650" s="161" t="str">
        <f>IF(B650="SEPLAG",VLOOKUP(COMPOSIÇÕES!C650,'MAPA COMPARATIVO'!A:B,2,FALSE),VLOOKUP(C650,'NAO DESO'!A:B,2,0))</f>
        <v>SERVENTE COM ENCARGOS COMPLEMENTARES</v>
      </c>
      <c r="E650" s="241" t="str">
        <f>VLOOKUP($C650,'NAO DESO'!$A:$D,3,)</f>
        <v>H</v>
      </c>
      <c r="F650" s="242">
        <v>0.98</v>
      </c>
      <c r="G650" s="242" t="str">
        <f>IF(B650="SEPLAG",VLOOKUP(CONCATENATE("MEDIANA - ",C650),COTAÇÃO,5,FALSE),VLOOKUP($C650,'NAO DESO'!$A:$D,4,))</f>
        <v>16,83</v>
      </c>
      <c r="H650" s="242">
        <f t="shared" si="48"/>
        <v>16.489999999999998</v>
      </c>
      <c r="I650" s="54" t="str">
        <f>IF(B650="SEPLAG",VLOOKUP(CONCATENATE("MEDIANA - ",C650),COTAÇÃO,5,FALSE),VLOOKUP($C650,DESON!$A:$D,4,))</f>
        <v>15,16</v>
      </c>
      <c r="J650" s="209">
        <f t="shared" si="49"/>
        <v>14.85</v>
      </c>
    </row>
    <row r="651" spans="1:10" ht="15" customHeight="1">
      <c r="A651" s="210" t="str">
        <f>CONCATENATE("TOTAL DO ITEM NÃO DESON. - ",C641)</f>
        <v>TOTAL DO ITEM NÃO DESON. - SEPLAG ARQ 60</v>
      </c>
      <c r="B651" s="424"/>
      <c r="C651" s="424"/>
      <c r="D651" s="424"/>
      <c r="E651" s="424"/>
      <c r="F651" s="425"/>
      <c r="G651" s="426"/>
      <c r="H651" s="1189">
        <f>SUM(H644:H650)</f>
        <v>1022.8900000000001</v>
      </c>
      <c r="I651" s="214"/>
      <c r="J651" s="215"/>
    </row>
    <row r="652" spans="1:10" ht="15.75" customHeight="1" thickBot="1">
      <c r="A652" s="216" t="str">
        <f>CONCATENATE("TOTAL DO ITEM DESON. - ",C641)</f>
        <v>TOTAL DO ITEM DESON. - SEPLAG ARQ 60</v>
      </c>
      <c r="B652" s="427"/>
      <c r="C652" s="427"/>
      <c r="D652" s="427"/>
      <c r="E652" s="427"/>
      <c r="F652" s="428"/>
      <c r="G652" s="429"/>
      <c r="H652" s="1190"/>
      <c r="I652" s="229"/>
      <c r="J652" s="219">
        <f>SUM(J644:J650)</f>
        <v>1016.9700000000001</v>
      </c>
    </row>
    <row r="653" spans="1:10" ht="15" customHeight="1" thickBot="1">
      <c r="A653" s="235"/>
      <c r="B653" s="1135"/>
      <c r="C653" s="1135"/>
      <c r="D653" s="1135"/>
      <c r="E653" s="1135"/>
      <c r="F653" s="1188"/>
      <c r="G653" s="1188"/>
      <c r="H653" s="1188"/>
      <c r="I653" s="236"/>
      <c r="J653" s="237"/>
    </row>
    <row r="654" spans="1:10" ht="24.75" customHeight="1">
      <c r="A654" s="198"/>
      <c r="B654" s="1175"/>
      <c r="C654" s="1152" t="s">
        <v>7214</v>
      </c>
      <c r="D654" s="152" t="s">
        <v>7215</v>
      </c>
      <c r="E654" s="1176" t="s">
        <v>24</v>
      </c>
      <c r="F654" s="1177" t="s">
        <v>18</v>
      </c>
      <c r="G654" s="1178" t="s">
        <v>7017</v>
      </c>
      <c r="H654" s="1179"/>
      <c r="I654" s="200" t="s">
        <v>7016</v>
      </c>
      <c r="J654" s="201"/>
    </row>
    <row r="655" spans="1:10" ht="15" customHeight="1">
      <c r="A655" s="233"/>
      <c r="B655" s="247"/>
      <c r="C655" s="430"/>
      <c r="D655" s="158"/>
      <c r="E655" s="1155"/>
      <c r="F655" s="1180"/>
      <c r="G655" s="1180" t="s">
        <v>19</v>
      </c>
      <c r="H655" s="1180" t="s">
        <v>20</v>
      </c>
      <c r="I655" s="205" t="s">
        <v>19</v>
      </c>
      <c r="J655" s="206" t="s">
        <v>20</v>
      </c>
    </row>
    <row r="656" spans="1:10" ht="26.25" customHeight="1">
      <c r="A656" s="208"/>
      <c r="B656" s="241"/>
      <c r="C656" s="241" t="s">
        <v>180</v>
      </c>
      <c r="D656" s="161" t="s">
        <v>195</v>
      </c>
      <c r="E656" s="241"/>
      <c r="F656" s="242"/>
      <c r="G656" s="242"/>
      <c r="H656" s="242"/>
      <c r="I656" s="214"/>
      <c r="J656" s="227"/>
    </row>
    <row r="657" spans="1:10" ht="15" customHeight="1">
      <c r="A657" s="208" t="s">
        <v>39</v>
      </c>
      <c r="B657" s="241"/>
      <c r="C657" s="1181">
        <v>4823</v>
      </c>
      <c r="D657" s="161" t="str">
        <f>IF(B657="SEPLAG",VLOOKUP(COMPOSIÇÕES!C657,'MAPA COMPARATIVO'!A:B,2,FALSE),VLOOKUP(C657,'NAO DESO'!A:B,2,0))</f>
        <v>MASSA PLASTICA PARA MARMORE/GRANITO</v>
      </c>
      <c r="E657" s="241" t="str">
        <f>VLOOKUP($C657,'NAO DESO'!$A:$D,3,)</f>
        <v xml:space="preserve">KG    </v>
      </c>
      <c r="F657" s="242">
        <v>0.38</v>
      </c>
      <c r="G657" s="242">
        <f>IF(B657="SEPLAG",VLOOKUP(CONCATENATE("MEDIANA - ",C657),COTAÇÃO,5,FALSE),VLOOKUP($C657,'NAO DESO'!$A:$D,4,))</f>
        <v>40.53</v>
      </c>
      <c r="H657" s="242">
        <f t="shared" ref="H657:H663" si="50">TRUNC(F657*G657,2)</f>
        <v>15.4</v>
      </c>
      <c r="I657" s="54" t="str">
        <f>IF(B657="SEPLAG",VLOOKUP(CONCATENATE("MEDIANA - ",C657),COTAÇÃO,5,FALSE),VLOOKUP($C657,DESON!$A:$D,4,))</f>
        <v>40,53</v>
      </c>
      <c r="J657" s="209">
        <f t="shared" ref="J657:J663" si="51">TRUNC(F657*I657,2)</f>
        <v>15.4</v>
      </c>
    </row>
    <row r="658" spans="1:10" ht="26.25" customHeight="1">
      <c r="A658" s="208" t="s">
        <v>39</v>
      </c>
      <c r="B658" s="241"/>
      <c r="C658" s="1181">
        <v>7568</v>
      </c>
      <c r="D658" s="161" t="str">
        <f>IF(B658="SEPLAG",VLOOKUP(COMPOSIÇÕES!C658,'MAPA COMPARATIVO'!A:B,2,FALSE),VLOOKUP(C658,'NAO DESO'!A:B,2,0))</f>
        <v>BUCHA DE NYLON SEM ABA S10, COM PARAFUSO DE 6,10 X 65 MM EM ACO ZINCADO COM ROSCA SOBERBA, CABECA CHATA E FENDA PHILLIPS</v>
      </c>
      <c r="E658" s="241" t="str">
        <f>VLOOKUP($C658,'NAO DESO'!$A:$D,3,)</f>
        <v xml:space="preserve">UN    </v>
      </c>
      <c r="F658" s="242">
        <f>F661*3</f>
        <v>6</v>
      </c>
      <c r="G658" s="242">
        <f>IF(B658="SEPLAG",VLOOKUP(CONCATENATE("MEDIANA - ",C658),COTAÇÃO,5,FALSE),VLOOKUP($C658,'NAO DESO'!$A:$D,4,))</f>
        <v>0.61</v>
      </c>
      <c r="H658" s="242">
        <f t="shared" si="50"/>
        <v>3.66</v>
      </c>
      <c r="I658" s="54" t="str">
        <f>IF(B658="SEPLAG",VLOOKUP(CONCATENATE("MEDIANA - ",C658),COTAÇÃO,5,FALSE),VLOOKUP($C658,DESON!$A:$D,4,))</f>
        <v>0,61</v>
      </c>
      <c r="J658" s="209">
        <f t="shared" si="51"/>
        <v>3.66</v>
      </c>
    </row>
    <row r="659" spans="1:10" ht="36.75" customHeight="1">
      <c r="A659" s="208" t="s">
        <v>39</v>
      </c>
      <c r="B659" s="241"/>
      <c r="C659" s="1181">
        <v>11795</v>
      </c>
      <c r="D659" s="161" t="str">
        <f>IF(B659="SEPLAG",VLOOKUP(COMPOSIÇÕES!C659,'MAPA COMPARATIVO'!A:B,2,FALSE),VLOOKUP(C659,'NAO DESO'!A:B,2,0))</f>
        <v>GRANITO PARA BANCADA, POLIDO, TIPO ANDORINHA/ QUARTZ/ CASTELO/ CORUMBA OU OUTROS EQUIVALENTES DA REGIAO, E=  *2,5* CM</v>
      </c>
      <c r="E659" s="241" t="str">
        <f>VLOOKUP($C659,'NAO DESO'!$A:$D,3,)</f>
        <v xml:space="preserve">M2    </v>
      </c>
      <c r="F659" s="242">
        <f>2.35*0.6</f>
        <v>1.41</v>
      </c>
      <c r="G659" s="242">
        <f>IF(B659="SEPLAG",VLOOKUP(CONCATENATE("MEDIANA - ",C659),COTAÇÃO,5,FALSE),VLOOKUP($C659,'NAO DESO'!$A:$D,4,))</f>
        <v>562.26</v>
      </c>
      <c r="H659" s="242">
        <f t="shared" si="50"/>
        <v>792.78</v>
      </c>
      <c r="I659" s="54" t="str">
        <f>IF(B659="SEPLAG",VLOOKUP(CONCATENATE("MEDIANA - ",C659),COTAÇÃO,5,FALSE),VLOOKUP($C659,DESON!$A:$D,4,))</f>
        <v>562,26</v>
      </c>
      <c r="J659" s="209">
        <f t="shared" si="51"/>
        <v>792.78</v>
      </c>
    </row>
    <row r="660" spans="1:10" ht="15" customHeight="1">
      <c r="A660" s="208" t="s">
        <v>39</v>
      </c>
      <c r="B660" s="241"/>
      <c r="C660" s="1181">
        <v>37329</v>
      </c>
      <c r="D660" s="161" t="str">
        <f>IF(B660="SEPLAG",VLOOKUP(COMPOSIÇÕES!C660,'MAPA COMPARATIVO'!A:B,2,FALSE),VLOOKUP(C660,'NAO DESO'!A:B,2,0))</f>
        <v>REJUNTE EPOXI, QUALQUER COR</v>
      </c>
      <c r="E660" s="241" t="str">
        <f>VLOOKUP($C660,'NAO DESO'!$A:$D,3,)</f>
        <v xml:space="preserve">KG    </v>
      </c>
      <c r="F660" s="242">
        <f>F659*0.04</f>
        <v>5.6399999999999999E-2</v>
      </c>
      <c r="G660" s="242">
        <f>IF(B660="SEPLAG",VLOOKUP(CONCATENATE("MEDIANA - ",C660),COTAÇÃO,5,FALSE),VLOOKUP($C660,'NAO DESO'!$A:$D,4,))</f>
        <v>101.41</v>
      </c>
      <c r="H660" s="242">
        <f t="shared" si="50"/>
        <v>5.71</v>
      </c>
      <c r="I660" s="54" t="str">
        <f>IF(B660="SEPLAG",VLOOKUP(CONCATENATE("MEDIANA - ",C660),COTAÇÃO,5,FALSE),VLOOKUP($C660,DESON!$A:$D,4,))</f>
        <v>101,41</v>
      </c>
      <c r="J660" s="209">
        <f t="shared" si="51"/>
        <v>5.71</v>
      </c>
    </row>
    <row r="661" spans="1:10" ht="26.25" customHeight="1">
      <c r="A661" s="208" t="s">
        <v>39</v>
      </c>
      <c r="B661" s="241"/>
      <c r="C661" s="1181">
        <v>37590</v>
      </c>
      <c r="D661" s="161" t="str">
        <f>IF(B661="SEPLAG",VLOOKUP(COMPOSIÇÕES!C661,'MAPA COMPARATIVO'!A:B,2,FALSE),VLOOKUP(C661,'NAO DESO'!A:B,2,0))</f>
        <v>SUPORTE MAO-FRANCESA EM ACO, ABAS IGUAIS 30 CM, CAPACIDADE MINIMA 60 KG, BRANCO</v>
      </c>
      <c r="E661" s="241" t="str">
        <f>VLOOKUP($C661,'NAO DESO'!$A:$D,3,)</f>
        <v xml:space="preserve">UN    </v>
      </c>
      <c r="F661" s="242">
        <v>2</v>
      </c>
      <c r="G661" s="242">
        <f>IF(B661="SEPLAG",VLOOKUP(CONCATENATE("MEDIANA - ",C661),COTAÇÃO,5,FALSE),VLOOKUP($C661,'NAO DESO'!$A:$D,4,))</f>
        <v>21.58</v>
      </c>
      <c r="H661" s="242">
        <f t="shared" si="50"/>
        <v>43.16</v>
      </c>
      <c r="I661" s="54" t="str">
        <f>IF(B661="SEPLAG",VLOOKUP(CONCATENATE("MEDIANA - ",C661),COTAÇÃO,5,FALSE),VLOOKUP($C661,DESON!$A:$D,4,))</f>
        <v>21,58</v>
      </c>
      <c r="J661" s="209">
        <f t="shared" si="51"/>
        <v>43.16</v>
      </c>
    </row>
    <row r="662" spans="1:10" ht="15" customHeight="1">
      <c r="A662" s="208" t="s">
        <v>245</v>
      </c>
      <c r="B662" s="241"/>
      <c r="C662" s="1181">
        <v>88274</v>
      </c>
      <c r="D662" s="161" t="str">
        <f>IF(B662="SEPLAG",VLOOKUP(COMPOSIÇÕES!C662,'MAPA COMPARATIVO'!A:B,2,FALSE),VLOOKUP(C662,'NAO DESO'!A:B,2,0))</f>
        <v>MARMORISTA/GRANITEIRO COM ENCARGOS COMPLEMENTARES</v>
      </c>
      <c r="E662" s="241" t="str">
        <f>VLOOKUP($C662,'NAO DESO'!$A:$D,3,)</f>
        <v>H</v>
      </c>
      <c r="F662" s="242">
        <v>1.92</v>
      </c>
      <c r="G662" s="242" t="str">
        <f>IF(B662="SEPLAG",VLOOKUP(CONCATENATE("MEDIANA - ",C662),COTAÇÃO,5,FALSE),VLOOKUP($C662,'NAO DESO'!$A:$D,4,))</f>
        <v>21,02</v>
      </c>
      <c r="H662" s="242">
        <f t="shared" si="50"/>
        <v>40.35</v>
      </c>
      <c r="I662" s="54" t="str">
        <f>IF(B662="SEPLAG",VLOOKUP(CONCATENATE("MEDIANA - ",C662),COTAÇÃO,5,FALSE),VLOOKUP($C662,DESON!$A:$D,4,))</f>
        <v>18,79</v>
      </c>
      <c r="J662" s="209">
        <f t="shared" si="51"/>
        <v>36.07</v>
      </c>
    </row>
    <row r="663" spans="1:10" ht="15" customHeight="1">
      <c r="A663" s="208" t="s">
        <v>245</v>
      </c>
      <c r="B663" s="241"/>
      <c r="C663" s="1181">
        <v>88316</v>
      </c>
      <c r="D663" s="161" t="str">
        <f>IF(B663="SEPLAG",VLOOKUP(COMPOSIÇÕES!C663,'MAPA COMPARATIVO'!A:B,2,FALSE),VLOOKUP(C663,'NAO DESO'!A:B,2,0))</f>
        <v>SERVENTE COM ENCARGOS COMPLEMENTARES</v>
      </c>
      <c r="E663" s="241" t="str">
        <f>VLOOKUP($C663,'NAO DESO'!$A:$D,3,)</f>
        <v>H</v>
      </c>
      <c r="F663" s="242">
        <v>0.98</v>
      </c>
      <c r="G663" s="242" t="str">
        <f>IF(B663="SEPLAG",VLOOKUP(CONCATENATE("MEDIANA - ",C663),COTAÇÃO,5,FALSE),VLOOKUP($C663,'NAO DESO'!$A:$D,4,))</f>
        <v>16,83</v>
      </c>
      <c r="H663" s="242">
        <f t="shared" si="50"/>
        <v>16.489999999999998</v>
      </c>
      <c r="I663" s="54" t="str">
        <f>IF(B663="SEPLAG",VLOOKUP(CONCATENATE("MEDIANA - ",C663),COTAÇÃO,5,FALSE),VLOOKUP($C663,DESON!$A:$D,4,))</f>
        <v>15,16</v>
      </c>
      <c r="J663" s="209">
        <f t="shared" si="51"/>
        <v>14.85</v>
      </c>
    </row>
    <row r="664" spans="1:10" ht="15" customHeight="1">
      <c r="A664" s="210" t="str">
        <f>CONCATENATE("TOTAL DO ITEM NÃO DESON. - ",C654)</f>
        <v>TOTAL DO ITEM NÃO DESON. - SEPLAG ARQ 61</v>
      </c>
      <c r="B664" s="424"/>
      <c r="C664" s="424"/>
      <c r="D664" s="424"/>
      <c r="E664" s="424"/>
      <c r="F664" s="425"/>
      <c r="G664" s="426"/>
      <c r="H664" s="1189">
        <f>SUM(H657:H663)</f>
        <v>917.55</v>
      </c>
      <c r="I664" s="214"/>
      <c r="J664" s="215"/>
    </row>
    <row r="665" spans="1:10" ht="15.75" customHeight="1" thickBot="1">
      <c r="A665" s="216" t="str">
        <f>CONCATENATE("TOTAL DO ITEM DESON. - ",C654)</f>
        <v>TOTAL DO ITEM DESON. - SEPLAG ARQ 61</v>
      </c>
      <c r="B665" s="427"/>
      <c r="C665" s="427"/>
      <c r="D665" s="427"/>
      <c r="E665" s="427"/>
      <c r="F665" s="428"/>
      <c r="G665" s="429"/>
      <c r="H665" s="1190"/>
      <c r="I665" s="229"/>
      <c r="J665" s="219">
        <f>SUM(J657:J663)</f>
        <v>911.63</v>
      </c>
    </row>
    <row r="666" spans="1:10" ht="15" customHeight="1" thickBot="1">
      <c r="A666" s="235"/>
      <c r="B666" s="1135"/>
      <c r="C666" s="1135"/>
      <c r="D666" s="1135"/>
      <c r="E666" s="1135"/>
      <c r="F666" s="1188"/>
      <c r="G666" s="1188"/>
      <c r="H666" s="1188"/>
      <c r="I666" s="236"/>
      <c r="J666" s="237"/>
    </row>
    <row r="667" spans="1:10" ht="33" customHeight="1">
      <c r="A667" s="198"/>
      <c r="B667" s="1175"/>
      <c r="C667" s="1152" t="s">
        <v>7216</v>
      </c>
      <c r="D667" s="152" t="s">
        <v>7217</v>
      </c>
      <c r="E667" s="1176" t="s">
        <v>24</v>
      </c>
      <c r="F667" s="1177" t="s">
        <v>18</v>
      </c>
      <c r="G667" s="1178" t="s">
        <v>7017</v>
      </c>
      <c r="H667" s="1179"/>
      <c r="I667" s="200" t="s">
        <v>7016</v>
      </c>
      <c r="J667" s="201"/>
    </row>
    <row r="668" spans="1:10" ht="12" customHeight="1">
      <c r="A668" s="233"/>
      <c r="B668" s="247"/>
      <c r="C668" s="430"/>
      <c r="D668" s="158"/>
      <c r="E668" s="1155"/>
      <c r="F668" s="1180"/>
      <c r="G668" s="1180" t="s">
        <v>19</v>
      </c>
      <c r="H668" s="1180" t="s">
        <v>20</v>
      </c>
      <c r="I668" s="205" t="s">
        <v>19</v>
      </c>
      <c r="J668" s="206" t="s">
        <v>20</v>
      </c>
    </row>
    <row r="669" spans="1:10" ht="25.5" customHeight="1">
      <c r="A669" s="240"/>
      <c r="B669" s="241"/>
      <c r="C669" s="241" t="s">
        <v>180</v>
      </c>
      <c r="D669" s="161" t="s">
        <v>214</v>
      </c>
      <c r="E669" s="241"/>
      <c r="F669" s="242"/>
      <c r="G669" s="242"/>
      <c r="H669" s="242"/>
      <c r="I669" s="242"/>
      <c r="J669" s="243"/>
    </row>
    <row r="670" spans="1:10" ht="26.25" customHeight="1">
      <c r="A670" s="208" t="s">
        <v>39</v>
      </c>
      <c r="B670" s="241" t="s">
        <v>14504</v>
      </c>
      <c r="C670" s="247" t="s">
        <v>14304</v>
      </c>
      <c r="D670" s="161" t="str">
        <f>IF(B670="SEPLAG",VLOOKUP(COMPOSIÇÕES!C670,'MAPA COMPARATIVO'!A:B,2,FALSE),VLOOKUP(C670,'NAO DESO'!A:B,2,0))</f>
        <v>TANQUE DE EMBUTIR RETANGULAR DE AÇO INOXIDÁVEL, 48 X 35 X 12 CM OU SIMILAR</v>
      </c>
      <c r="E670" s="247" t="s">
        <v>24</v>
      </c>
      <c r="F670" s="248">
        <v>1</v>
      </c>
      <c r="G670" s="242">
        <f>IF(B670="SEPLAG",VLOOKUP(CONCATENATE("MEDIANA - ",C670),COTAÇÃO,5,FALSE),VLOOKUP($C670,'NAO DESO'!$A:$D,4,))</f>
        <v>632.05999999999995</v>
      </c>
      <c r="H670" s="242">
        <f>TRUNC(F670*G670,2)</f>
        <v>632.05999999999995</v>
      </c>
      <c r="I670" s="54">
        <f>IF(B670="SEPLAG",VLOOKUP(CONCATENATE("MEDIANA - ",C670),COTAÇÃO,5,FALSE),VLOOKUP($C670,DESON!$A:$D,4,))</f>
        <v>632.05999999999995</v>
      </c>
      <c r="J670" s="209">
        <f>TRUNC(F670*I670,2)</f>
        <v>632.05999999999995</v>
      </c>
    </row>
    <row r="671" spans="1:10" ht="33" customHeight="1">
      <c r="A671" s="208" t="s">
        <v>39</v>
      </c>
      <c r="B671" s="241"/>
      <c r="C671" s="249">
        <v>4823</v>
      </c>
      <c r="D671" s="161" t="str">
        <f>IF(B671="SEPLAG",VLOOKUP(COMPOSIÇÕES!C671,'MAPA COMPARATIVO'!A:B,2,FALSE),VLOOKUP(C671,'NAO DESO'!A:B,2,0))</f>
        <v>MASSA PLASTICA PARA MARMORE/GRANITO</v>
      </c>
      <c r="E671" s="241" t="str">
        <f>VLOOKUP($C671,'NAO DESO'!$A:$D,3,)</f>
        <v xml:space="preserve">KG    </v>
      </c>
      <c r="F671" s="248">
        <v>0.28999999999999998</v>
      </c>
      <c r="G671" s="242">
        <f>IF(B671="SEPLAG",VLOOKUP(CONCATENATE("MEDIANA - ",C671),COTAÇÃO,5,FALSE),VLOOKUP($C671,'NAO DESO'!$A:$D,4,))</f>
        <v>40.53</v>
      </c>
      <c r="H671" s="242">
        <f>TRUNC(F671*G671,2)</f>
        <v>11.75</v>
      </c>
      <c r="I671" s="54" t="str">
        <f>IF(B671="SEPLAG",VLOOKUP(CONCATENATE("MEDIANA - ",C671),COTAÇÃO,5,FALSE),VLOOKUP($C671,DESON!$A:$D,4,))</f>
        <v>40,53</v>
      </c>
      <c r="J671" s="209">
        <f>TRUNC(F671*I671,2)</f>
        <v>11.75</v>
      </c>
    </row>
    <row r="672" spans="1:10" ht="15" customHeight="1">
      <c r="A672" s="208" t="s">
        <v>245</v>
      </c>
      <c r="B672" s="241"/>
      <c r="C672" s="249">
        <v>88274</v>
      </c>
      <c r="D672" s="161" t="str">
        <f>IF(B672="SEPLAG",VLOOKUP(COMPOSIÇÕES!C672,'MAPA COMPARATIVO'!A:B,2,FALSE),VLOOKUP(C672,'NAO DESO'!A:B,2,0))</f>
        <v>MARMORISTA/GRANITEIRO COM ENCARGOS COMPLEMENTARES</v>
      </c>
      <c r="E672" s="241" t="str">
        <f>VLOOKUP($C672,'NAO DESO'!$A:$D,3,)</f>
        <v>H</v>
      </c>
      <c r="F672" s="248">
        <v>0.47</v>
      </c>
      <c r="G672" s="242" t="str">
        <f>IF(B672="SEPLAG",VLOOKUP(CONCATENATE("MEDIANA - ",C672),COTAÇÃO,5,FALSE),VLOOKUP($C672,'NAO DESO'!$A:$D,4,))</f>
        <v>21,02</v>
      </c>
      <c r="H672" s="242">
        <f>TRUNC(F672*G672,2)</f>
        <v>9.8699999999999992</v>
      </c>
      <c r="I672" s="54" t="str">
        <f>IF(B672="SEPLAG",VLOOKUP(CONCATENATE("MEDIANA - ",C672),COTAÇÃO,5,FALSE),VLOOKUP($C672,DESON!$A:$D,4,))</f>
        <v>18,79</v>
      </c>
      <c r="J672" s="209">
        <f>TRUNC(F672*I672,2)</f>
        <v>8.83</v>
      </c>
    </row>
    <row r="673" spans="1:10" ht="15" customHeight="1">
      <c r="A673" s="208" t="s">
        <v>245</v>
      </c>
      <c r="B673" s="241"/>
      <c r="C673" s="249">
        <v>88316</v>
      </c>
      <c r="D673" s="161" t="str">
        <f>IF(B673="SEPLAG",VLOOKUP(COMPOSIÇÕES!C673,'MAPA COMPARATIVO'!A:B,2,FALSE),VLOOKUP(C673,'NAO DESO'!A:B,2,0))</f>
        <v>SERVENTE COM ENCARGOS COMPLEMENTARES</v>
      </c>
      <c r="E673" s="241" t="str">
        <f>VLOOKUP($C673,'NAO DESO'!$A:$D,3,)</f>
        <v>H</v>
      </c>
      <c r="F673" s="248">
        <v>0.15</v>
      </c>
      <c r="G673" s="242" t="str">
        <f>IF(B673="SEPLAG",VLOOKUP(CONCATENATE("MEDIANA - ",C673),COTAÇÃO,5,FALSE),VLOOKUP($C673,'NAO DESO'!$A:$D,4,))</f>
        <v>16,83</v>
      </c>
      <c r="H673" s="242">
        <f>TRUNC(F673*G673,2)</f>
        <v>2.52</v>
      </c>
      <c r="I673" s="54" t="str">
        <f>IF(B673="SEPLAG",VLOOKUP(CONCATENATE("MEDIANA - ",C673),COTAÇÃO,5,FALSE),VLOOKUP($C673,DESON!$A:$D,4,))</f>
        <v>15,16</v>
      </c>
      <c r="J673" s="209">
        <f>TRUNC(F673*I673,2)</f>
        <v>2.27</v>
      </c>
    </row>
    <row r="674" spans="1:10" ht="15" customHeight="1">
      <c r="A674" s="210" t="str">
        <f>CONCATENATE("TOTAL DO ITEM NÃO DESON. - ",C667)</f>
        <v>TOTAL DO ITEM NÃO DESON. - SEPLAG ARQ 62</v>
      </c>
      <c r="B674" s="424"/>
      <c r="C674" s="424"/>
      <c r="D674" s="424"/>
      <c r="E674" s="424"/>
      <c r="F674" s="425"/>
      <c r="G674" s="426"/>
      <c r="H674" s="1189">
        <f>SUM(H670:H673)</f>
        <v>656.19999999999993</v>
      </c>
      <c r="I674" s="214"/>
      <c r="J674" s="215"/>
    </row>
    <row r="675" spans="1:10" ht="15.75" customHeight="1" thickBot="1">
      <c r="A675" s="216" t="str">
        <f>CONCATENATE("TOTAL DO ITEM DESON. - ",C667)</f>
        <v>TOTAL DO ITEM DESON. - SEPLAG ARQ 62</v>
      </c>
      <c r="B675" s="427"/>
      <c r="C675" s="427"/>
      <c r="D675" s="427"/>
      <c r="E675" s="427"/>
      <c r="F675" s="428"/>
      <c r="G675" s="429"/>
      <c r="H675" s="1190"/>
      <c r="I675" s="229"/>
      <c r="J675" s="219">
        <f>SUM(J670:J673)</f>
        <v>654.91</v>
      </c>
    </row>
    <row r="676" spans="1:10" ht="15" customHeight="1" thickBot="1">
      <c r="A676" s="235"/>
      <c r="B676" s="1135"/>
      <c r="C676" s="1135"/>
      <c r="D676" s="1135"/>
      <c r="E676" s="1135"/>
      <c r="F676" s="1188"/>
      <c r="G676" s="1188"/>
      <c r="H676" s="1188"/>
      <c r="I676" s="236"/>
      <c r="J676" s="237"/>
    </row>
    <row r="677" spans="1:10" ht="27" customHeight="1">
      <c r="A677" s="198"/>
      <c r="B677" s="1175"/>
      <c r="C677" s="1152" t="s">
        <v>7228</v>
      </c>
      <c r="D677" s="152" t="s">
        <v>7229</v>
      </c>
      <c r="E677" s="1176" t="s">
        <v>24</v>
      </c>
      <c r="F677" s="1177" t="s">
        <v>18</v>
      </c>
      <c r="G677" s="1178" t="s">
        <v>7017</v>
      </c>
      <c r="H677" s="1179"/>
      <c r="I677" s="200" t="s">
        <v>7016</v>
      </c>
      <c r="J677" s="201"/>
    </row>
    <row r="678" spans="1:10" ht="15" customHeight="1">
      <c r="A678" s="233"/>
      <c r="B678" s="247"/>
      <c r="C678" s="430"/>
      <c r="D678" s="158"/>
      <c r="E678" s="1155"/>
      <c r="F678" s="1180"/>
      <c r="G678" s="1180" t="s">
        <v>19</v>
      </c>
      <c r="H678" s="1180" t="s">
        <v>20</v>
      </c>
      <c r="I678" s="205" t="s">
        <v>19</v>
      </c>
      <c r="J678" s="206" t="s">
        <v>20</v>
      </c>
    </row>
    <row r="679" spans="1:10" ht="15" customHeight="1">
      <c r="A679" s="208" t="s">
        <v>245</v>
      </c>
      <c r="B679" s="241"/>
      <c r="C679" s="249">
        <v>88316</v>
      </c>
      <c r="D679" s="161" t="str">
        <f>IF(B679="SEPLAG",VLOOKUP(COMPOSIÇÕES!C679,'MAPA COMPARATIVO'!A:B,2,FALSE),VLOOKUP(C679,'NAO DESO'!A:B,2,0))</f>
        <v>SERVENTE COM ENCARGOS COMPLEMENTARES</v>
      </c>
      <c r="E679" s="241" t="str">
        <f>VLOOKUP($C679,'NAO DESO'!$A:$D,3,)</f>
        <v>H</v>
      </c>
      <c r="F679" s="248">
        <v>0.2</v>
      </c>
      <c r="G679" s="242" t="str">
        <f>IF(B679="SEPLAG",VLOOKUP(CONCATENATE("MEDIANA - ",C679),COTAÇÃO,5,FALSE),VLOOKUP($C679,'NAO DESO'!$A:$D,4,))</f>
        <v>16,83</v>
      </c>
      <c r="H679" s="242">
        <f>TRUNC(F679*G679,2)</f>
        <v>3.36</v>
      </c>
      <c r="I679" s="54" t="str">
        <f>IF(B679="SEPLAG",VLOOKUP(CONCATENATE("MEDIANA - ",C679),COTAÇÃO,5,FALSE),VLOOKUP($C679,DESON!$A:$D,4,))</f>
        <v>15,16</v>
      </c>
      <c r="J679" s="209">
        <f>TRUNC(F679*I679,2)</f>
        <v>3.03</v>
      </c>
    </row>
    <row r="680" spans="1:10" ht="15" customHeight="1">
      <c r="A680" s="210" t="str">
        <f>CONCATENATE("TOTAL DO ITEM NÃO DESON. - ",C677)</f>
        <v>TOTAL DO ITEM NÃO DESON. - SEPLAG ARQ 63</v>
      </c>
      <c r="B680" s="424"/>
      <c r="C680" s="424"/>
      <c r="D680" s="424"/>
      <c r="E680" s="424"/>
      <c r="F680" s="425"/>
      <c r="G680" s="426"/>
      <c r="H680" s="1189">
        <f>SUM(H679:H679)</f>
        <v>3.36</v>
      </c>
      <c r="I680" s="214"/>
      <c r="J680" s="215"/>
    </row>
    <row r="681" spans="1:10" ht="15.75" customHeight="1" thickBot="1">
      <c r="A681" s="216" t="str">
        <f>CONCATENATE("TOTAL DO ITEM DESON. - ",C677)</f>
        <v>TOTAL DO ITEM DESON. - SEPLAG ARQ 63</v>
      </c>
      <c r="B681" s="427"/>
      <c r="C681" s="427"/>
      <c r="D681" s="427"/>
      <c r="E681" s="427"/>
      <c r="F681" s="428"/>
      <c r="G681" s="429"/>
      <c r="H681" s="1190"/>
      <c r="I681" s="229"/>
      <c r="J681" s="219">
        <f>SUM(J679:J679)</f>
        <v>3.03</v>
      </c>
    </row>
    <row r="682" spans="1:10" ht="15" customHeight="1" thickBot="1">
      <c r="A682" s="235"/>
      <c r="B682" s="1135"/>
      <c r="C682" s="1135"/>
      <c r="D682" s="1135"/>
      <c r="E682" s="1135"/>
      <c r="F682" s="1188"/>
      <c r="G682" s="1188"/>
      <c r="H682" s="1188"/>
      <c r="I682" s="236"/>
      <c r="J682" s="237"/>
    </row>
    <row r="683" spans="1:10" ht="24.75" customHeight="1">
      <c r="A683" s="198"/>
      <c r="B683" s="1175"/>
      <c r="C683" s="1176" t="s">
        <v>7233</v>
      </c>
      <c r="D683" s="156" t="s">
        <v>7649</v>
      </c>
      <c r="E683" s="1176" t="s">
        <v>24</v>
      </c>
      <c r="F683" s="1177" t="s">
        <v>18</v>
      </c>
      <c r="G683" s="1178" t="s">
        <v>7017</v>
      </c>
      <c r="H683" s="1179"/>
      <c r="I683" s="200" t="s">
        <v>7016</v>
      </c>
      <c r="J683" s="201"/>
    </row>
    <row r="684" spans="1:10" ht="15" customHeight="1">
      <c r="A684" s="233"/>
      <c r="B684" s="247"/>
      <c r="C684" s="1155"/>
      <c r="D684" s="157"/>
      <c r="E684" s="1155"/>
      <c r="F684" s="1180"/>
      <c r="G684" s="1180" t="s">
        <v>19</v>
      </c>
      <c r="H684" s="1180" t="s">
        <v>20</v>
      </c>
      <c r="I684" s="205" t="s">
        <v>19</v>
      </c>
      <c r="J684" s="206" t="s">
        <v>20</v>
      </c>
    </row>
    <row r="685" spans="1:10" ht="25.5" customHeight="1">
      <c r="A685" s="208"/>
      <c r="B685" s="241"/>
      <c r="C685" s="241" t="s">
        <v>180</v>
      </c>
      <c r="D685" s="1132" t="s">
        <v>242</v>
      </c>
      <c r="E685" s="247"/>
      <c r="F685" s="248"/>
      <c r="G685" s="248"/>
      <c r="H685" s="248"/>
      <c r="I685" s="214"/>
      <c r="J685" s="227"/>
    </row>
    <row r="686" spans="1:10" ht="51.75" customHeight="1">
      <c r="A686" s="208" t="s">
        <v>39</v>
      </c>
      <c r="B686" s="241"/>
      <c r="C686" s="1181">
        <v>3104</v>
      </c>
      <c r="D686" s="161" t="str">
        <f>IF(B686="SEPLAG",VLOOKUP(COMPOSIÇÕES!C686,'MAPA COMPARATIVO'!A:B,2,FALSE),VLOOKUP(C686,'NAO DESO'!A:B,2,0))</f>
        <v>CONJ. DE FERRAGENS PARA PORTA DE VIDRO TEMPERADO, EM ZAMAC CROMADO, CONTEMPLANDO DOBRADICA INF., DOBRADICA SUP., PIVO PARA DOBRADICA INF., PIVO PARA DOBRADICA SUP., FECHADURA CENTRAL EM ZAMC. CROMADO, CONTRA FECHADURA DE PRESSAO</v>
      </c>
      <c r="E686" s="241" t="str">
        <f>VLOOKUP($C686,'NAO DESO'!$A:$D,3,)</f>
        <v xml:space="preserve">CJ    </v>
      </c>
      <c r="F686" s="242">
        <v>2</v>
      </c>
      <c r="G686" s="242">
        <f>IF(B686="SEPLAG",VLOOKUP(CONCATENATE("MEDIANA - ",C686),COTAÇÃO,5,FALSE),VLOOKUP($C686,'NAO DESO'!$A:$D,4,))</f>
        <v>142.9</v>
      </c>
      <c r="H686" s="242">
        <f>TRUNC(F686*G686,2)</f>
        <v>285.8</v>
      </c>
      <c r="I686" s="54" t="str">
        <f>IF(B686="SEPLAG",VLOOKUP(CONCATENATE("MEDIANA - ",C686),COTAÇÃO,5,FALSE),VLOOKUP($C686,DESON!$A:$D,4,))</f>
        <v>142,90</v>
      </c>
      <c r="J686" s="209">
        <f>TRUNC(F686*I686,2)</f>
        <v>285.8</v>
      </c>
    </row>
    <row r="687" spans="1:10" ht="26.25" customHeight="1">
      <c r="A687" s="208" t="s">
        <v>39</v>
      </c>
      <c r="B687" s="241"/>
      <c r="C687" s="1181">
        <v>5031</v>
      </c>
      <c r="D687" s="161" t="str">
        <f>IF(B687="SEPLAG",VLOOKUP(COMPOSIÇÕES!C687,'MAPA COMPARATIVO'!A:B,2,FALSE),VLOOKUP(C687,'NAO DESO'!A:B,2,0))</f>
        <v>VIDRO TEMPERADO INCOLOR PARA PORTA DE ABRIR, E = 10 MM (SEM FERRAGENS E SEM COLOCACAO)</v>
      </c>
      <c r="E687" s="241" t="str">
        <f>VLOOKUP($C687,'NAO DESO'!$A:$D,3,)</f>
        <v xml:space="preserve">M2    </v>
      </c>
      <c r="F687" s="242">
        <f>2*0.85*2.1</f>
        <v>3.57</v>
      </c>
      <c r="G687" s="242">
        <f>IF(B687="SEPLAG",VLOOKUP(CONCATENATE("MEDIANA - ",C687),COTAÇÃO,5,FALSE),VLOOKUP($C687,'NAO DESO'!$A:$D,4,))</f>
        <v>500</v>
      </c>
      <c r="H687" s="242">
        <f>TRUNC(F687*G687,2)</f>
        <v>1785</v>
      </c>
      <c r="I687" s="54" t="str">
        <f>IF(B687="SEPLAG",VLOOKUP(CONCATENATE("MEDIANA - ",C687),COTAÇÃO,5,FALSE),VLOOKUP($C687,DESON!$A:$D,4,))</f>
        <v>500,00</v>
      </c>
      <c r="J687" s="209">
        <f>TRUNC(F687*I687,2)</f>
        <v>1785</v>
      </c>
    </row>
    <row r="688" spans="1:10" ht="15" customHeight="1">
      <c r="A688" s="208" t="s">
        <v>245</v>
      </c>
      <c r="B688" s="241"/>
      <c r="C688" s="1181">
        <v>88316</v>
      </c>
      <c r="D688" s="161" t="str">
        <f>IF(B688="SEPLAG",VLOOKUP(COMPOSIÇÕES!C688,'MAPA COMPARATIVO'!A:B,2,FALSE),VLOOKUP(C688,'NAO DESO'!A:B,2,0))</f>
        <v>SERVENTE COM ENCARGOS COMPLEMENTARES</v>
      </c>
      <c r="E688" s="241" t="str">
        <f>VLOOKUP($C688,'NAO DESO'!$A:$D,3,)</f>
        <v>H</v>
      </c>
      <c r="F688" s="242">
        <v>3.98</v>
      </c>
      <c r="G688" s="242" t="str">
        <f>IF(B688="SEPLAG",VLOOKUP(CONCATENATE("MEDIANA - ",C688),COTAÇÃO,5,FALSE),VLOOKUP($C688,'NAO DESO'!$A:$D,4,))</f>
        <v>16,83</v>
      </c>
      <c r="H688" s="242">
        <f>TRUNC(F688*G688,2)</f>
        <v>66.98</v>
      </c>
      <c r="I688" s="54" t="str">
        <f>IF(B688="SEPLAG",VLOOKUP(CONCATENATE("MEDIANA - ",C688),COTAÇÃO,5,FALSE),VLOOKUP($C688,DESON!$A:$D,4,))</f>
        <v>15,16</v>
      </c>
      <c r="J688" s="209">
        <f>TRUNC(F688*I688,2)</f>
        <v>60.33</v>
      </c>
    </row>
    <row r="689" spans="1:10" ht="15" customHeight="1">
      <c r="A689" s="208" t="s">
        <v>245</v>
      </c>
      <c r="B689" s="241"/>
      <c r="C689" s="1181">
        <v>88325</v>
      </c>
      <c r="D689" s="161" t="str">
        <f>IF(B689="SEPLAG",VLOOKUP(COMPOSIÇÕES!C689,'MAPA COMPARATIVO'!A:B,2,FALSE),VLOOKUP(C689,'NAO DESO'!A:B,2,0))</f>
        <v>VIDRACEIRO COM ENCARGOS COMPLEMENTARES</v>
      </c>
      <c r="E689" s="241" t="str">
        <f>VLOOKUP($C689,'NAO DESO'!$A:$D,3,)</f>
        <v>H</v>
      </c>
      <c r="F689" s="242">
        <v>4.0999999999999996</v>
      </c>
      <c r="G689" s="242" t="str">
        <f>IF(B689="SEPLAG",VLOOKUP(CONCATENATE("MEDIANA - ",C689),COTAÇÃO,5,FALSE),VLOOKUP($C689,'NAO DESO'!$A:$D,4,))</f>
        <v>18,78</v>
      </c>
      <c r="H689" s="242">
        <f>TRUNC(F689*G689,2)</f>
        <v>76.989999999999995</v>
      </c>
      <c r="I689" s="54" t="str">
        <f>IF(B689="SEPLAG",VLOOKUP(CONCATENATE("MEDIANA - ",C689),COTAÇÃO,5,FALSE),VLOOKUP($C689,DESON!$A:$D,4,))</f>
        <v>16,86</v>
      </c>
      <c r="J689" s="209">
        <f>TRUNC(F689*I689,2)</f>
        <v>69.12</v>
      </c>
    </row>
    <row r="690" spans="1:10" ht="15" customHeight="1">
      <c r="A690" s="210" t="str">
        <f>CONCATENATE("TOTAL DO ITEM NÃO DESON. - ",C683)</f>
        <v>TOTAL DO ITEM NÃO DESON. - SEPLAG  ARQ 64</v>
      </c>
      <c r="B690" s="424"/>
      <c r="C690" s="424"/>
      <c r="D690" s="424"/>
      <c r="E690" s="424"/>
      <c r="F690" s="425"/>
      <c r="G690" s="426"/>
      <c r="H690" s="1182">
        <f>SUM(H686:H689)</f>
        <v>2214.77</v>
      </c>
      <c r="I690" s="214"/>
      <c r="J690" s="215"/>
    </row>
    <row r="691" spans="1:10" ht="15.75" customHeight="1" thickBot="1">
      <c r="A691" s="216" t="str">
        <f>CONCATENATE("TOTAL DO ITEM DESON. - ",C683)</f>
        <v>TOTAL DO ITEM DESON. - SEPLAG  ARQ 64</v>
      </c>
      <c r="B691" s="427"/>
      <c r="C691" s="427"/>
      <c r="D691" s="427"/>
      <c r="E691" s="427"/>
      <c r="F691" s="428"/>
      <c r="G691" s="429"/>
      <c r="H691" s="1187"/>
      <c r="I691" s="229"/>
      <c r="J691" s="219">
        <f>SUM(J686:J689)</f>
        <v>2200.25</v>
      </c>
    </row>
    <row r="692" spans="1:10" ht="15" customHeight="1" thickBot="1">
      <c r="A692" s="235"/>
      <c r="B692" s="1135"/>
      <c r="C692" s="1135"/>
      <c r="D692" s="1135"/>
      <c r="E692" s="1135"/>
      <c r="F692" s="1188"/>
      <c r="G692" s="1188"/>
      <c r="H692" s="1188"/>
      <c r="I692" s="236"/>
      <c r="J692" s="237"/>
    </row>
    <row r="693" spans="1:10" ht="27" customHeight="1">
      <c r="A693" s="198"/>
      <c r="B693" s="1175"/>
      <c r="C693" s="1176" t="s">
        <v>7234</v>
      </c>
      <c r="D693" s="156" t="s">
        <v>7650</v>
      </c>
      <c r="E693" s="1176" t="s">
        <v>24</v>
      </c>
      <c r="F693" s="1177" t="s">
        <v>18</v>
      </c>
      <c r="G693" s="1178" t="s">
        <v>7017</v>
      </c>
      <c r="H693" s="1179"/>
      <c r="I693" s="200" t="s">
        <v>7016</v>
      </c>
      <c r="J693" s="201"/>
    </row>
    <row r="694" spans="1:10" ht="16.5" customHeight="1">
      <c r="A694" s="233"/>
      <c r="B694" s="247"/>
      <c r="C694" s="1155"/>
      <c r="D694" s="157"/>
      <c r="E694" s="1155"/>
      <c r="F694" s="1180"/>
      <c r="G694" s="1180" t="s">
        <v>19</v>
      </c>
      <c r="H694" s="1180" t="s">
        <v>20</v>
      </c>
      <c r="I694" s="205" t="s">
        <v>19</v>
      </c>
      <c r="J694" s="206" t="s">
        <v>20</v>
      </c>
    </row>
    <row r="695" spans="1:10" ht="25.5" customHeight="1">
      <c r="A695" s="208"/>
      <c r="B695" s="241"/>
      <c r="C695" s="241" t="s">
        <v>180</v>
      </c>
      <c r="D695" s="1132" t="s">
        <v>242</v>
      </c>
      <c r="E695" s="247"/>
      <c r="F695" s="248"/>
      <c r="G695" s="248"/>
      <c r="H695" s="248"/>
      <c r="I695" s="214"/>
      <c r="J695" s="227"/>
    </row>
    <row r="696" spans="1:10" ht="51.75" customHeight="1">
      <c r="A696" s="208" t="s">
        <v>39</v>
      </c>
      <c r="B696" s="241"/>
      <c r="C696" s="1181">
        <v>3104</v>
      </c>
      <c r="D696" s="161" t="str">
        <f>IF(B696="SEPLAG",VLOOKUP(COMPOSIÇÕES!C696,'MAPA COMPARATIVO'!A:B,2,FALSE),VLOOKUP(C696,'NAO DESO'!A:B,2,0))</f>
        <v>CONJ. DE FERRAGENS PARA PORTA DE VIDRO TEMPERADO, EM ZAMAC CROMADO, CONTEMPLANDO DOBRADICA INF., DOBRADICA SUP., PIVO PARA DOBRADICA INF., PIVO PARA DOBRADICA SUP., FECHADURA CENTRAL EM ZAMC. CROMADO, CONTRA FECHADURA DE PRESSAO</v>
      </c>
      <c r="E696" s="241" t="str">
        <f>VLOOKUP($C696,'NAO DESO'!$A:$D,3,)</f>
        <v xml:space="preserve">CJ    </v>
      </c>
      <c r="F696" s="242">
        <v>2</v>
      </c>
      <c r="G696" s="242">
        <f>IF(B696="SEPLAG",VLOOKUP(CONCATENATE("MEDIANA - ",C696),COTAÇÃO,5,FALSE),VLOOKUP($C696,'NAO DESO'!$A:$D,4,))</f>
        <v>142.9</v>
      </c>
      <c r="H696" s="242">
        <f>TRUNC(F696*G696,2)</f>
        <v>285.8</v>
      </c>
      <c r="I696" s="54" t="str">
        <f>IF(B696="SEPLAG",VLOOKUP(CONCATENATE("MEDIANA - ",C696),COTAÇÃO,5,FALSE),VLOOKUP($C696,DESON!$A:$D,4,))</f>
        <v>142,90</v>
      </c>
      <c r="J696" s="209">
        <f>TRUNC(F696*I696,2)</f>
        <v>285.8</v>
      </c>
    </row>
    <row r="697" spans="1:10" ht="26.25" customHeight="1">
      <c r="A697" s="208" t="s">
        <v>39</v>
      </c>
      <c r="B697" s="241"/>
      <c r="C697" s="1181">
        <v>5031</v>
      </c>
      <c r="D697" s="161" t="str">
        <f>IF(B697="SEPLAG",VLOOKUP(COMPOSIÇÕES!C697,'MAPA COMPARATIVO'!A:B,2,FALSE),VLOOKUP(C697,'NAO DESO'!A:B,2,0))</f>
        <v>VIDRO TEMPERADO INCOLOR PARA PORTA DE ABRIR, E = 10 MM (SEM FERRAGENS E SEM COLOCACAO)</v>
      </c>
      <c r="E697" s="241" t="str">
        <f>VLOOKUP($C697,'NAO DESO'!$A:$D,3,)</f>
        <v xml:space="preserve">M2    </v>
      </c>
      <c r="F697" s="242">
        <f>2*0.7*2.1</f>
        <v>2.94</v>
      </c>
      <c r="G697" s="242">
        <f>IF(B697="SEPLAG",VLOOKUP(CONCATENATE("MEDIANA - ",C697),COTAÇÃO,5,FALSE),VLOOKUP($C697,'NAO DESO'!$A:$D,4,))</f>
        <v>500</v>
      </c>
      <c r="H697" s="242">
        <f>TRUNC(F697*G697,2)</f>
        <v>1470</v>
      </c>
      <c r="I697" s="54" t="str">
        <f>IF(B697="SEPLAG",VLOOKUP(CONCATENATE("MEDIANA - ",C697),COTAÇÃO,5,FALSE),VLOOKUP($C697,DESON!$A:$D,4,))</f>
        <v>500,00</v>
      </c>
      <c r="J697" s="209">
        <f>TRUNC(F697*I697,2)</f>
        <v>1470</v>
      </c>
    </row>
    <row r="698" spans="1:10" ht="15" customHeight="1">
      <c r="A698" s="208" t="s">
        <v>245</v>
      </c>
      <c r="B698" s="241"/>
      <c r="C698" s="1181">
        <v>88316</v>
      </c>
      <c r="D698" s="161" t="str">
        <f>IF(B698="SEPLAG",VLOOKUP(COMPOSIÇÕES!C698,'MAPA COMPARATIVO'!A:B,2,FALSE),VLOOKUP(C698,'NAO DESO'!A:B,2,0))</f>
        <v>SERVENTE COM ENCARGOS COMPLEMENTARES</v>
      </c>
      <c r="E698" s="241" t="str">
        <f>VLOOKUP($C698,'NAO DESO'!$A:$D,3,)</f>
        <v>H</v>
      </c>
      <c r="F698" s="242">
        <v>3.98</v>
      </c>
      <c r="G698" s="242" t="str">
        <f>IF(B698="SEPLAG",VLOOKUP(CONCATENATE("MEDIANA - ",C698),COTAÇÃO,5,FALSE),VLOOKUP($C698,'NAO DESO'!$A:$D,4,))</f>
        <v>16,83</v>
      </c>
      <c r="H698" s="242">
        <f>TRUNC(F698*G698,2)</f>
        <v>66.98</v>
      </c>
      <c r="I698" s="54" t="str">
        <f>IF(B698="SEPLAG",VLOOKUP(CONCATENATE("MEDIANA - ",C698),COTAÇÃO,5,FALSE),VLOOKUP($C698,DESON!$A:$D,4,))</f>
        <v>15,16</v>
      </c>
      <c r="J698" s="209">
        <f>TRUNC(F698*I698,2)</f>
        <v>60.33</v>
      </c>
    </row>
    <row r="699" spans="1:10" ht="15" customHeight="1">
      <c r="A699" s="208" t="s">
        <v>245</v>
      </c>
      <c r="B699" s="241"/>
      <c r="C699" s="1181">
        <v>88325</v>
      </c>
      <c r="D699" s="161" t="str">
        <f>IF(B699="SEPLAG",VLOOKUP(COMPOSIÇÕES!C699,'MAPA COMPARATIVO'!A:B,2,FALSE),VLOOKUP(C699,'NAO DESO'!A:B,2,0))</f>
        <v>VIDRACEIRO COM ENCARGOS COMPLEMENTARES</v>
      </c>
      <c r="E699" s="241" t="str">
        <f>VLOOKUP($C699,'NAO DESO'!$A:$D,3,)</f>
        <v>H</v>
      </c>
      <c r="F699" s="242">
        <v>4.0999999999999996</v>
      </c>
      <c r="G699" s="242" t="str">
        <f>IF(B699="SEPLAG",VLOOKUP(CONCATENATE("MEDIANA - ",C699),COTAÇÃO,5,FALSE),VLOOKUP($C699,'NAO DESO'!$A:$D,4,))</f>
        <v>18,78</v>
      </c>
      <c r="H699" s="242">
        <f>TRUNC(F699*G699,2)</f>
        <v>76.989999999999995</v>
      </c>
      <c r="I699" s="54" t="str">
        <f>IF(B699="SEPLAG",VLOOKUP(CONCATENATE("MEDIANA - ",C699),COTAÇÃO,5,FALSE),VLOOKUP($C699,DESON!$A:$D,4,))</f>
        <v>16,86</v>
      </c>
      <c r="J699" s="209">
        <f>TRUNC(F699*I699,2)</f>
        <v>69.12</v>
      </c>
    </row>
    <row r="700" spans="1:10" ht="15" customHeight="1">
      <c r="A700" s="210" t="str">
        <f>CONCATENATE("TOTAL DO ITEM NÃO DESON. - ",C693)</f>
        <v>TOTAL DO ITEM NÃO DESON. - SEPLAG  ARQ 65</v>
      </c>
      <c r="B700" s="424"/>
      <c r="C700" s="424"/>
      <c r="D700" s="424"/>
      <c r="E700" s="424"/>
      <c r="F700" s="425"/>
      <c r="G700" s="426"/>
      <c r="H700" s="1182">
        <f>SUM(H696:H699)</f>
        <v>1899.77</v>
      </c>
      <c r="I700" s="214"/>
      <c r="J700" s="215"/>
    </row>
    <row r="701" spans="1:10" ht="15.75" customHeight="1" thickBot="1">
      <c r="A701" s="216" t="str">
        <f>CONCATENATE("TOTAL DO ITEM DESON. - ",C693)</f>
        <v>TOTAL DO ITEM DESON. - SEPLAG  ARQ 65</v>
      </c>
      <c r="B701" s="427"/>
      <c r="C701" s="427"/>
      <c r="D701" s="427"/>
      <c r="E701" s="427"/>
      <c r="F701" s="428"/>
      <c r="G701" s="429"/>
      <c r="H701" s="1187"/>
      <c r="I701" s="229"/>
      <c r="J701" s="219">
        <f>SUM(J696:J699)</f>
        <v>1885.25</v>
      </c>
    </row>
    <row r="702" spans="1:10" ht="15" customHeight="1" thickBot="1">
      <c r="A702" s="235"/>
      <c r="B702" s="1135"/>
      <c r="C702" s="1135"/>
      <c r="D702" s="1135"/>
      <c r="E702" s="1135"/>
      <c r="F702" s="1188"/>
      <c r="G702" s="1188"/>
      <c r="H702" s="1188"/>
      <c r="I702" s="236"/>
      <c r="J702" s="237"/>
    </row>
    <row r="703" spans="1:10" ht="24.75" customHeight="1">
      <c r="A703" s="198"/>
      <c r="B703" s="1175"/>
      <c r="C703" s="1176" t="s">
        <v>7318</v>
      </c>
      <c r="D703" s="156" t="s">
        <v>7321</v>
      </c>
      <c r="E703" s="1176" t="s">
        <v>207</v>
      </c>
      <c r="F703" s="1177" t="s">
        <v>18</v>
      </c>
      <c r="G703" s="1178" t="s">
        <v>7017</v>
      </c>
      <c r="H703" s="1179"/>
      <c r="I703" s="200" t="s">
        <v>7016</v>
      </c>
      <c r="J703" s="201"/>
    </row>
    <row r="704" spans="1:10" ht="15" customHeight="1">
      <c r="A704" s="233"/>
      <c r="B704" s="247"/>
      <c r="C704" s="1155"/>
      <c r="D704" s="157"/>
      <c r="E704" s="1155"/>
      <c r="F704" s="1180"/>
      <c r="G704" s="1180" t="s">
        <v>19</v>
      </c>
      <c r="H704" s="1180" t="s">
        <v>20</v>
      </c>
      <c r="I704" s="205" t="s">
        <v>19</v>
      </c>
      <c r="J704" s="206" t="s">
        <v>20</v>
      </c>
    </row>
    <row r="705" spans="1:10" ht="25.5" customHeight="1">
      <c r="A705" s="208"/>
      <c r="B705" s="241"/>
      <c r="C705" s="241" t="s">
        <v>180</v>
      </c>
      <c r="D705" s="1132" t="s">
        <v>7320</v>
      </c>
      <c r="E705" s="247"/>
      <c r="F705" s="248"/>
      <c r="G705" s="248"/>
      <c r="H705" s="248"/>
      <c r="I705" s="214"/>
      <c r="J705" s="227"/>
    </row>
    <row r="706" spans="1:10" ht="15" customHeight="1">
      <c r="A706" s="208" t="s">
        <v>39</v>
      </c>
      <c r="B706" s="241"/>
      <c r="C706" s="1181">
        <v>3767</v>
      </c>
      <c r="D706" s="161" t="str">
        <f>IF(B706="SEPLAG",VLOOKUP(COMPOSIÇÕES!C706,'MAPA COMPARATIVO'!A:B,2,FALSE),VLOOKUP(C706,'NAO DESO'!A:B,2,0))</f>
        <v>LIXA EM FOLHA PARA PAREDE OU MADEIRA, NUMERO 120, COR VERMELHA</v>
      </c>
      <c r="E706" s="241" t="str">
        <f>VLOOKUP($C706,'NAO DESO'!$A:$D,3,)</f>
        <v xml:space="preserve">UN    </v>
      </c>
      <c r="F706" s="242" t="s">
        <v>7319</v>
      </c>
      <c r="G706" s="242">
        <f>IF(B706="SEPLAG",VLOOKUP(CONCATENATE("MEDIANA - ",C706),COTAÇÃO,5,FALSE),VLOOKUP($C706,'NAO DESO'!$A:$D,4,))</f>
        <v>1.1200000000000001</v>
      </c>
      <c r="H706" s="242">
        <f>TRUNC(F706*G706,2)</f>
        <v>0.11</v>
      </c>
      <c r="I706" s="54" t="str">
        <f>IF(B706="SEPLAG",VLOOKUP(CONCATENATE("MEDIANA - ",C706),COTAÇÃO,5,FALSE),VLOOKUP($C706,DESON!$A:$D,4,))</f>
        <v>1,12</v>
      </c>
      <c r="J706" s="209">
        <f>TRUNC(F706*I706,2)</f>
        <v>0.11</v>
      </c>
    </row>
    <row r="707" spans="1:10" ht="15" customHeight="1">
      <c r="A707" s="208" t="s">
        <v>39</v>
      </c>
      <c r="B707" s="241" t="s">
        <v>14504</v>
      </c>
      <c r="C707" s="1181" t="s">
        <v>14306</v>
      </c>
      <c r="D707" s="161" t="str">
        <f>IF(B707="SEPLAG",VLOOKUP(COMPOSIÇÕES!C707,'MAPA COMPARATIVO'!A:B,2,FALSE),VLOOKUP(C707,'NAO DESO'!A:B,2,0))</f>
        <v>TINTA CIMENTO QUEIMADO</v>
      </c>
      <c r="E707" s="241" t="s">
        <v>41</v>
      </c>
      <c r="F707" s="242">
        <f>5/27</f>
        <v>0.18518518518518517</v>
      </c>
      <c r="G707" s="242">
        <f>IF(B707="SEPLAG",VLOOKUP(CONCATENATE("MEDIANA - ",C707),COTAÇÃO,5,FALSE),VLOOKUP($C707,'NAO DESO'!$A:$D,4,))</f>
        <v>261.70999999999998</v>
      </c>
      <c r="H707" s="242">
        <f>TRUNC(F707*G707,2)</f>
        <v>48.46</v>
      </c>
      <c r="I707" s="54">
        <f>IF(B707="SEPLAG",VLOOKUP(CONCATENATE("MEDIANA - ",C707),COTAÇÃO,5,FALSE),VLOOKUP($C707,DESON!$A:$D,4,))</f>
        <v>261.70999999999998</v>
      </c>
      <c r="J707" s="209">
        <f>TRUNC(F707*I707,2)</f>
        <v>48.46</v>
      </c>
    </row>
    <row r="708" spans="1:10" ht="15" customHeight="1">
      <c r="A708" s="208" t="s">
        <v>245</v>
      </c>
      <c r="B708" s="241"/>
      <c r="C708" s="1181">
        <v>88310</v>
      </c>
      <c r="D708" s="161" t="str">
        <f>IF(B708="SEPLAG",VLOOKUP(COMPOSIÇÕES!C708,'MAPA COMPARATIVO'!A:B,2,FALSE),VLOOKUP(C708,'NAO DESO'!A:B,2,0))</f>
        <v>PINTOR COM ENCARGOS COMPLEMENTARES</v>
      </c>
      <c r="E708" s="241" t="str">
        <f>VLOOKUP($C708,'NAO DESO'!$A:$D,3,)</f>
        <v>H</v>
      </c>
      <c r="F708" s="242">
        <v>0.67200000000000004</v>
      </c>
      <c r="G708" s="242" t="str">
        <f>IF(B708="SEPLAG",VLOOKUP(CONCATENATE("MEDIANA - ",C708),COTAÇÃO,5,FALSE),VLOOKUP($C708,'NAO DESO'!$A:$D,4,))</f>
        <v>22,17</v>
      </c>
      <c r="H708" s="242">
        <f>TRUNC(F708*G708,2)</f>
        <v>14.89</v>
      </c>
      <c r="I708" s="54" t="str">
        <f>IF(B708="SEPLAG",VLOOKUP(CONCATENATE("MEDIANA - ",C708),COTAÇÃO,5,FALSE),VLOOKUP($C708,DESON!$A:$D,4,))</f>
        <v>19,94</v>
      </c>
      <c r="J708" s="209">
        <f>TRUNC(F708*I708,2)</f>
        <v>13.39</v>
      </c>
    </row>
    <row r="709" spans="1:10" ht="15" customHeight="1">
      <c r="A709" s="208" t="s">
        <v>245</v>
      </c>
      <c r="B709" s="241"/>
      <c r="C709" s="1181">
        <v>88316</v>
      </c>
      <c r="D709" s="161" t="str">
        <f>IF(B709="SEPLAG",VLOOKUP(COMPOSIÇÕES!C709,'MAPA COMPARATIVO'!A:B,2,FALSE),VLOOKUP(C709,'NAO DESO'!A:B,2,0))</f>
        <v>SERVENTE COM ENCARGOS COMPLEMENTARES</v>
      </c>
      <c r="E709" s="241" t="str">
        <f>VLOOKUP($C709,'NAO DESO'!$A:$D,3,)</f>
        <v>H</v>
      </c>
      <c r="F709" s="242">
        <v>0.247</v>
      </c>
      <c r="G709" s="242" t="str">
        <f>IF(B709="SEPLAG",VLOOKUP(CONCATENATE("MEDIANA - ",C709),COTAÇÃO,5,FALSE),VLOOKUP($C709,'NAO DESO'!$A:$D,4,))</f>
        <v>16,83</v>
      </c>
      <c r="H709" s="242">
        <f>TRUNC(F709*G709,2)</f>
        <v>4.1500000000000004</v>
      </c>
      <c r="I709" s="54" t="str">
        <f>IF(B709="SEPLAG",VLOOKUP(CONCATENATE("MEDIANA - ",C709),COTAÇÃO,5,FALSE),VLOOKUP($C709,DESON!$A:$D,4,))</f>
        <v>15,16</v>
      </c>
      <c r="J709" s="209">
        <f>TRUNC(F709*I709,2)</f>
        <v>3.74</v>
      </c>
    </row>
    <row r="710" spans="1:10" ht="15" customHeight="1">
      <c r="A710" s="210" t="str">
        <f>CONCATENATE("TOTAL DO ITEM NÃO DESON. - ",C703)</f>
        <v>TOTAL DO ITEM NÃO DESON. - SEPLAG  ARQ 66</v>
      </c>
      <c r="B710" s="424"/>
      <c r="C710" s="424"/>
      <c r="D710" s="424"/>
      <c r="E710" s="424"/>
      <c r="F710" s="425"/>
      <c r="G710" s="426"/>
      <c r="H710" s="1182">
        <f>SUM(H706:H709)</f>
        <v>67.61</v>
      </c>
      <c r="I710" s="214"/>
      <c r="J710" s="215"/>
    </row>
    <row r="711" spans="1:10" ht="15.75" customHeight="1" thickBot="1">
      <c r="A711" s="216" t="str">
        <f>CONCATENATE("TOTAL DO ITEM DESON. - ",C703)</f>
        <v>TOTAL DO ITEM DESON. - SEPLAG  ARQ 66</v>
      </c>
      <c r="B711" s="427"/>
      <c r="C711" s="427"/>
      <c r="D711" s="427"/>
      <c r="E711" s="427"/>
      <c r="F711" s="428"/>
      <c r="G711" s="429"/>
      <c r="H711" s="1187"/>
      <c r="I711" s="229"/>
      <c r="J711" s="219">
        <f>SUM(J706:J709)</f>
        <v>65.7</v>
      </c>
    </row>
    <row r="712" spans="1:10" ht="15" customHeight="1" thickBot="1">
      <c r="A712" s="235"/>
      <c r="B712" s="1135"/>
      <c r="C712" s="1135"/>
      <c r="D712" s="1135"/>
      <c r="E712" s="1135"/>
      <c r="F712" s="1188"/>
      <c r="G712" s="1188"/>
      <c r="H712" s="1188"/>
      <c r="I712" s="236"/>
      <c r="J712" s="237"/>
    </row>
    <row r="713" spans="1:10" ht="25.5" customHeight="1">
      <c r="A713" s="198"/>
      <c r="B713" s="1175"/>
      <c r="C713" s="1176" t="s">
        <v>7343</v>
      </c>
      <c r="D713" s="156" t="s">
        <v>7607</v>
      </c>
      <c r="E713" s="1176" t="s">
        <v>32</v>
      </c>
      <c r="F713" s="1177" t="s">
        <v>18</v>
      </c>
      <c r="G713" s="1178" t="s">
        <v>7017</v>
      </c>
      <c r="H713" s="1179"/>
      <c r="I713" s="200" t="s">
        <v>7016</v>
      </c>
      <c r="J713" s="201"/>
    </row>
    <row r="714" spans="1:10" ht="15" customHeight="1">
      <c r="A714" s="233"/>
      <c r="B714" s="247"/>
      <c r="C714" s="1155"/>
      <c r="D714" s="157"/>
      <c r="E714" s="1155"/>
      <c r="F714" s="1180"/>
      <c r="G714" s="1180" t="s">
        <v>19</v>
      </c>
      <c r="H714" s="1180" t="s">
        <v>20</v>
      </c>
      <c r="I714" s="205" t="s">
        <v>19</v>
      </c>
      <c r="J714" s="206" t="s">
        <v>20</v>
      </c>
    </row>
    <row r="715" spans="1:10" ht="15" customHeight="1">
      <c r="A715" s="208" t="s">
        <v>39</v>
      </c>
      <c r="B715" s="241"/>
      <c r="C715" s="241">
        <v>34360</v>
      </c>
      <c r="D715" s="161" t="s">
        <v>7323</v>
      </c>
      <c r="E715" s="1194" t="s">
        <v>133</v>
      </c>
      <c r="F715" s="242">
        <v>6.9729999999999999</v>
      </c>
      <c r="G715" s="242">
        <f>IF(B715="SEPLAG",VLOOKUP(CONCATENATE("MEDIANA - ",C715),COTAÇÃO,5,FALSE),VLOOKUP($C715,'NAO DESO'!$A:$D,4,))</f>
        <v>47.31</v>
      </c>
      <c r="H715" s="242">
        <f t="shared" ref="H715:H720" si="52">TRUNC(F715*G715,2)</f>
        <v>329.89</v>
      </c>
      <c r="I715" s="54" t="str">
        <f>IF(B715="SEPLAG",VLOOKUP(CONCATENATE("MEDIANA - ",C715),COTAÇÃO,5,FALSE),VLOOKUP($C715,DESON!$A:$D,4,))</f>
        <v>47,31</v>
      </c>
      <c r="J715" s="209">
        <f t="shared" ref="J715:J720" si="53">TRUNC(F715*I715,2)</f>
        <v>329.89</v>
      </c>
    </row>
    <row r="716" spans="1:10" ht="15" customHeight="1">
      <c r="A716" s="208" t="s">
        <v>39</v>
      </c>
      <c r="B716" s="241"/>
      <c r="C716" s="241">
        <v>34360</v>
      </c>
      <c r="D716" s="161" t="s">
        <v>7324</v>
      </c>
      <c r="E716" s="1194" t="s">
        <v>133</v>
      </c>
      <c r="F716" s="242">
        <v>2.5020000000000002</v>
      </c>
      <c r="G716" s="242">
        <f>IF(B716="SEPLAG",VLOOKUP(CONCATENATE("MEDIANA - ",C716),COTAÇÃO,5,FALSE),VLOOKUP($C716,'NAO DESO'!$A:$D,4,))</f>
        <v>47.31</v>
      </c>
      <c r="H716" s="242">
        <f t="shared" si="52"/>
        <v>118.36</v>
      </c>
      <c r="I716" s="54" t="str">
        <f>IF(B716="SEPLAG",VLOOKUP(CONCATENATE("MEDIANA - ",C716),COTAÇÃO,5,FALSE),VLOOKUP($C716,DESON!$A:$D,4,))</f>
        <v>47,31</v>
      </c>
      <c r="J716" s="209">
        <f t="shared" si="53"/>
        <v>118.36</v>
      </c>
    </row>
    <row r="717" spans="1:10" ht="15" customHeight="1">
      <c r="A717" s="208" t="s">
        <v>39</v>
      </c>
      <c r="B717" s="241"/>
      <c r="C717" s="241">
        <v>34360</v>
      </c>
      <c r="D717" s="161" t="s">
        <v>7325</v>
      </c>
      <c r="E717" s="1194" t="s">
        <v>133</v>
      </c>
      <c r="F717" s="242">
        <v>0.98799999999999999</v>
      </c>
      <c r="G717" s="242">
        <f>IF(B717="SEPLAG",VLOOKUP(CONCATENATE("MEDIANA - ",C717),COTAÇÃO,5,FALSE),VLOOKUP($C717,'NAO DESO'!$A:$D,4,))</f>
        <v>47.31</v>
      </c>
      <c r="H717" s="242">
        <f t="shared" si="52"/>
        <v>46.74</v>
      </c>
      <c r="I717" s="54" t="str">
        <f>IF(B717="SEPLAG",VLOOKUP(CONCATENATE("MEDIANA - ",C717),COTAÇÃO,5,FALSE),VLOOKUP($C717,DESON!$A:$D,4,))</f>
        <v>47,31</v>
      </c>
      <c r="J717" s="209">
        <f t="shared" si="53"/>
        <v>46.74</v>
      </c>
    </row>
    <row r="718" spans="1:10" ht="15" customHeight="1">
      <c r="A718" s="208" t="s">
        <v>39</v>
      </c>
      <c r="B718" s="241"/>
      <c r="C718" s="241">
        <v>34360</v>
      </c>
      <c r="D718" s="161" t="s">
        <v>7326</v>
      </c>
      <c r="E718" s="1194" t="s">
        <v>133</v>
      </c>
      <c r="F718" s="242">
        <v>6.21</v>
      </c>
      <c r="G718" s="242">
        <f>IF(B718="SEPLAG",VLOOKUP(CONCATENATE("MEDIANA - ",C718),COTAÇÃO,5,FALSE),VLOOKUP($C718,'NAO DESO'!$A:$D,4,))</f>
        <v>47.31</v>
      </c>
      <c r="H718" s="242">
        <f t="shared" si="52"/>
        <v>293.79000000000002</v>
      </c>
      <c r="I718" s="54" t="str">
        <f>IF(B718="SEPLAG",VLOOKUP(CONCATENATE("MEDIANA - ",C718),COTAÇÃO,5,FALSE),VLOOKUP($C718,DESON!$A:$D,4,))</f>
        <v>47,31</v>
      </c>
      <c r="J718" s="209">
        <f t="shared" si="53"/>
        <v>293.79000000000002</v>
      </c>
    </row>
    <row r="719" spans="1:10" ht="15" customHeight="1">
      <c r="A719" s="208" t="s">
        <v>39</v>
      </c>
      <c r="B719" s="241"/>
      <c r="C719" s="241">
        <v>34360</v>
      </c>
      <c r="D719" s="161" t="s">
        <v>7327</v>
      </c>
      <c r="E719" s="1194" t="s">
        <v>133</v>
      </c>
      <c r="F719" s="242">
        <v>10.89</v>
      </c>
      <c r="G719" s="242">
        <f>IF(B719="SEPLAG",VLOOKUP(CONCATENATE("MEDIANA - ",C719),COTAÇÃO,5,FALSE),VLOOKUP($C719,'NAO DESO'!$A:$D,4,))</f>
        <v>47.31</v>
      </c>
      <c r="H719" s="242">
        <f t="shared" si="52"/>
        <v>515.20000000000005</v>
      </c>
      <c r="I719" s="54" t="str">
        <f>IF(B719="SEPLAG",VLOOKUP(CONCATENATE("MEDIANA - ",C719),COTAÇÃO,5,FALSE),VLOOKUP($C719,DESON!$A:$D,4,))</f>
        <v>47,31</v>
      </c>
      <c r="J719" s="209">
        <f t="shared" si="53"/>
        <v>515.20000000000005</v>
      </c>
    </row>
    <row r="720" spans="1:10" ht="15" customHeight="1">
      <c r="A720" s="208" t="s">
        <v>39</v>
      </c>
      <c r="B720" s="241"/>
      <c r="C720" s="241">
        <v>34360</v>
      </c>
      <c r="D720" s="161" t="s">
        <v>7328</v>
      </c>
      <c r="E720" s="1194" t="s">
        <v>133</v>
      </c>
      <c r="F720" s="242">
        <v>6.9470000000000001</v>
      </c>
      <c r="G720" s="242">
        <f>IF(B720="SEPLAG",VLOOKUP(CONCATENATE("MEDIANA - ",C720),COTAÇÃO,5,FALSE),VLOOKUP($C720,'NAO DESO'!$A:$D,4,))</f>
        <v>47.31</v>
      </c>
      <c r="H720" s="242">
        <f t="shared" si="52"/>
        <v>328.66</v>
      </c>
      <c r="I720" s="54" t="str">
        <f>IF(B720="SEPLAG",VLOOKUP(CONCATENATE("MEDIANA - ",C720),COTAÇÃO,5,FALSE),VLOOKUP($C720,DESON!$A:$D,4,))</f>
        <v>47,31</v>
      </c>
      <c r="J720" s="209">
        <f t="shared" si="53"/>
        <v>328.66</v>
      </c>
    </row>
    <row r="721" spans="1:10" ht="15" customHeight="1">
      <c r="A721" s="208" t="s">
        <v>39</v>
      </c>
      <c r="B721" s="241"/>
      <c r="C721" s="241">
        <v>34360</v>
      </c>
      <c r="D721" s="161" t="s">
        <v>7329</v>
      </c>
      <c r="E721" s="1194" t="s">
        <v>133</v>
      </c>
      <c r="F721" s="242">
        <v>0</v>
      </c>
      <c r="G721" s="242">
        <f>IF(B721="SEPLAG",VLOOKUP(CONCATENATE("MEDIANA - ",C721),COTAÇÃO,5,FALSE),VLOOKUP($C721,'NAO DESO'!$A:$D,4,))</f>
        <v>47.31</v>
      </c>
      <c r="H721" s="242">
        <f>F721*G721</f>
        <v>0</v>
      </c>
      <c r="I721" s="54" t="str">
        <f>IF(B721="SEPLAG",VLOOKUP(CONCATENATE("MEDIANA - ",C721),COTAÇÃO,5,FALSE),VLOOKUP($C721,DESON!$A:$D,4,))</f>
        <v>47,31</v>
      </c>
      <c r="J721" s="209">
        <f>F721*I721</f>
        <v>0</v>
      </c>
    </row>
    <row r="722" spans="1:10" ht="15" customHeight="1">
      <c r="A722" s="208" t="s">
        <v>39</v>
      </c>
      <c r="B722" s="241"/>
      <c r="C722" s="241">
        <v>34360</v>
      </c>
      <c r="D722" s="161" t="s">
        <v>7330</v>
      </c>
      <c r="E722" s="1194" t="s">
        <v>133</v>
      </c>
      <c r="F722" s="242">
        <v>0</v>
      </c>
      <c r="G722" s="242">
        <f>IF(B722="SEPLAG",VLOOKUP(CONCATENATE("MEDIANA - ",C722),COTAÇÃO,5,FALSE),VLOOKUP($C722,'NAO DESO'!$A:$D,4,))</f>
        <v>47.31</v>
      </c>
      <c r="H722" s="242">
        <f>F722*G722</f>
        <v>0</v>
      </c>
      <c r="I722" s="54" t="str">
        <f>IF(B722="SEPLAG",VLOOKUP(CONCATENATE("MEDIANA - ",C722),COTAÇÃO,5,FALSE),VLOOKUP($C722,DESON!$A:$D,4,))</f>
        <v>47,31</v>
      </c>
      <c r="J722" s="209">
        <f>F722*I722</f>
        <v>0</v>
      </c>
    </row>
    <row r="723" spans="1:10" ht="15" customHeight="1">
      <c r="A723" s="208" t="s">
        <v>39</v>
      </c>
      <c r="B723" s="241"/>
      <c r="C723" s="241">
        <v>34360</v>
      </c>
      <c r="D723" s="161" t="s">
        <v>7331</v>
      </c>
      <c r="E723" s="1194" t="s">
        <v>133</v>
      </c>
      <c r="F723" s="242">
        <v>23.777999999999999</v>
      </c>
      <c r="G723" s="242">
        <f>IF(B723="SEPLAG",VLOOKUP(CONCATENATE("MEDIANA - ",C723),COTAÇÃO,5,FALSE),VLOOKUP($C723,'NAO DESO'!$A:$D,4,))</f>
        <v>47.31</v>
      </c>
      <c r="H723" s="242">
        <f t="shared" ref="H723:H739" si="54">TRUNC(F723*G723,2)</f>
        <v>1124.93</v>
      </c>
      <c r="I723" s="54" t="str">
        <f>IF(B723="SEPLAG",VLOOKUP(CONCATENATE("MEDIANA - ",C723),COTAÇÃO,5,FALSE),VLOOKUP($C723,DESON!$A:$D,4,))</f>
        <v>47,31</v>
      </c>
      <c r="J723" s="209">
        <f t="shared" ref="J723:J739" si="55">TRUNC(F723*I723,2)</f>
        <v>1124.93</v>
      </c>
    </row>
    <row r="724" spans="1:10" ht="15" customHeight="1">
      <c r="A724" s="208" t="s">
        <v>39</v>
      </c>
      <c r="B724" s="241"/>
      <c r="C724" s="241">
        <v>34360</v>
      </c>
      <c r="D724" s="161" t="s">
        <v>7332</v>
      </c>
      <c r="E724" s="1194" t="s">
        <v>133</v>
      </c>
      <c r="F724" s="242">
        <v>1.986</v>
      </c>
      <c r="G724" s="242">
        <f>IF(B724="SEPLAG",VLOOKUP(CONCATENATE("MEDIANA - ",C724),COTAÇÃO,5,FALSE),VLOOKUP($C724,'NAO DESO'!$A:$D,4,))</f>
        <v>47.31</v>
      </c>
      <c r="H724" s="242">
        <f t="shared" si="54"/>
        <v>93.95</v>
      </c>
      <c r="I724" s="54" t="str">
        <f>IF(B724="SEPLAG",VLOOKUP(CONCATENATE("MEDIANA - ",C724),COTAÇÃO,5,FALSE),VLOOKUP($C724,DESON!$A:$D,4,))</f>
        <v>47,31</v>
      </c>
      <c r="J724" s="209">
        <f t="shared" si="55"/>
        <v>93.95</v>
      </c>
    </row>
    <row r="725" spans="1:10" ht="15" customHeight="1">
      <c r="A725" s="208" t="s">
        <v>39</v>
      </c>
      <c r="B725" s="241"/>
      <c r="C725" s="241">
        <v>34360</v>
      </c>
      <c r="D725" s="161" t="s">
        <v>7333</v>
      </c>
      <c r="E725" s="1194" t="s">
        <v>133</v>
      </c>
      <c r="F725" s="242">
        <v>5.47</v>
      </c>
      <c r="G725" s="242">
        <f>IF(B725="SEPLAG",VLOOKUP(CONCATENATE("MEDIANA - ",C725),COTAÇÃO,5,FALSE),VLOOKUP($C725,'NAO DESO'!$A:$D,4,))</f>
        <v>47.31</v>
      </c>
      <c r="H725" s="242">
        <f t="shared" si="54"/>
        <v>258.77999999999997</v>
      </c>
      <c r="I725" s="54" t="str">
        <f>IF(B725="SEPLAG",VLOOKUP(CONCATENATE("MEDIANA - ",C725),COTAÇÃO,5,FALSE),VLOOKUP($C725,DESON!$A:$D,4,))</f>
        <v>47,31</v>
      </c>
      <c r="J725" s="209">
        <f t="shared" si="55"/>
        <v>258.77999999999997</v>
      </c>
    </row>
    <row r="726" spans="1:10" ht="15" customHeight="1">
      <c r="A726" s="208" t="s">
        <v>39</v>
      </c>
      <c r="B726" s="241" t="s">
        <v>14504</v>
      </c>
      <c r="C726" s="1181" t="s">
        <v>14307</v>
      </c>
      <c r="D726" s="161" t="str">
        <f>IF(B726="SEPLAG",VLOOKUP(COMPOSIÇÕES!C726,'MAPA COMPARATIVO'!A:B,2,FALSE),VLOOKUP(C726,'NAO DESO'!A:B,2,0))</f>
        <v xml:space="preserve">Braço de max-ar linha gold de 600mm </v>
      </c>
      <c r="E726" s="1194" t="s">
        <v>24</v>
      </c>
      <c r="F726" s="242">
        <v>12</v>
      </c>
      <c r="G726" s="242">
        <f>IF(B726="SEPLAG",VLOOKUP(CONCATENATE("MEDIANA - ",C726),COTAÇÃO,5,FALSE),VLOOKUP($C726,'NAO DESO'!$A:$D,4,))</f>
        <v>36.575000000000003</v>
      </c>
      <c r="H726" s="242">
        <f t="shared" si="54"/>
        <v>438.9</v>
      </c>
      <c r="I726" s="54">
        <f>IF(B726="SEPLAG",VLOOKUP(CONCATENATE("MEDIANA - ",C726),COTAÇÃO,5,FALSE),VLOOKUP($C726,DESON!$A:$D,4,))</f>
        <v>36.575000000000003</v>
      </c>
      <c r="J726" s="209">
        <f t="shared" si="55"/>
        <v>438.9</v>
      </c>
    </row>
    <row r="727" spans="1:10" ht="15" customHeight="1">
      <c r="A727" s="208" t="s">
        <v>39</v>
      </c>
      <c r="B727" s="241" t="s">
        <v>14504</v>
      </c>
      <c r="C727" s="1181" t="s">
        <v>14308</v>
      </c>
      <c r="D727" s="161" t="str">
        <f>IF(B727="SEPLAG",VLOOKUP(COMPOSIÇÕES!C727,'MAPA COMPARATIVO'!A:B,2,FALSE),VLOOKUP(C727,'NAO DESO'!A:B,2,0))</f>
        <v>Fecho max-ar linha gold</v>
      </c>
      <c r="E727" s="1194" t="s">
        <v>24</v>
      </c>
      <c r="F727" s="242">
        <v>12</v>
      </c>
      <c r="G727" s="242">
        <f>IF(B727="SEPLAG",VLOOKUP(CONCATENATE("MEDIANA - ",C727),COTAÇÃO,5,FALSE),VLOOKUP($C727,'NAO DESO'!$A:$D,4,))</f>
        <v>47.36</v>
      </c>
      <c r="H727" s="242">
        <f t="shared" si="54"/>
        <v>568.32000000000005</v>
      </c>
      <c r="I727" s="54">
        <f>IF(B727="SEPLAG",VLOOKUP(CONCATENATE("MEDIANA - ",C727),COTAÇÃO,5,FALSE),VLOOKUP($C727,DESON!$A:$D,4,))</f>
        <v>47.36</v>
      </c>
      <c r="J727" s="209">
        <f t="shared" si="55"/>
        <v>568.32000000000005</v>
      </c>
    </row>
    <row r="728" spans="1:10" ht="15" customHeight="1">
      <c r="A728" s="208" t="s">
        <v>39</v>
      </c>
      <c r="B728" s="241" t="s">
        <v>14504</v>
      </c>
      <c r="C728" s="1181" t="s">
        <v>14309</v>
      </c>
      <c r="D728" s="161" t="str">
        <f>IF(B728="SEPLAG",VLOOKUP(COMPOSIÇÕES!C728,'MAPA COMPARATIVO'!A:B,2,FALSE),VLOOKUP(C728,'NAO DESO'!A:B,2,0))</f>
        <v>Guarnição em EPDM p/ pingadeira</v>
      </c>
      <c r="E728" s="1194" t="s">
        <v>7388</v>
      </c>
      <c r="F728" s="242">
        <v>12.571999999999999</v>
      </c>
      <c r="G728" s="242">
        <f>IF(B728="SEPLAG",VLOOKUP(CONCATENATE("MEDIANA - ",C728),COTAÇÃO,5,FALSE),VLOOKUP($C728,'NAO DESO'!$A:$D,4,))</f>
        <v>4.3849999999999998</v>
      </c>
      <c r="H728" s="242">
        <f t="shared" si="54"/>
        <v>55.12</v>
      </c>
      <c r="I728" s="54">
        <f>IF(B728="SEPLAG",VLOOKUP(CONCATENATE("MEDIANA - ",C728),COTAÇÃO,5,FALSE),VLOOKUP($C728,DESON!$A:$D,4,))</f>
        <v>4.3849999999999998</v>
      </c>
      <c r="J728" s="209">
        <f t="shared" si="55"/>
        <v>55.12</v>
      </c>
    </row>
    <row r="729" spans="1:10" ht="15" customHeight="1">
      <c r="A729" s="208" t="s">
        <v>39</v>
      </c>
      <c r="B729" s="241" t="s">
        <v>14504</v>
      </c>
      <c r="C729" s="1181" t="s">
        <v>14310</v>
      </c>
      <c r="D729" s="161" t="str">
        <f>IF(B729="SEPLAG",VLOOKUP(COMPOSIÇÕES!C729,'MAPA COMPARATIVO'!A:B,2,FALSE),VLOOKUP(C729,'NAO DESO'!A:B,2,0))</f>
        <v>Guarnição em EPDM para vidro</v>
      </c>
      <c r="E729" s="1194" t="s">
        <v>250</v>
      </c>
      <c r="F729" s="242">
        <v>44.972000000000001</v>
      </c>
      <c r="G729" s="242">
        <f>IF(B729="SEPLAG",VLOOKUP(CONCATENATE("MEDIANA - ",C729),COTAÇÃO,5,FALSE),VLOOKUP($C729,'NAO DESO'!$A:$D,4,))</f>
        <v>2.4091999999999998</v>
      </c>
      <c r="H729" s="242">
        <f t="shared" si="54"/>
        <v>108.34</v>
      </c>
      <c r="I729" s="54">
        <f>IF(B729="SEPLAG",VLOOKUP(CONCATENATE("MEDIANA - ",C729),COTAÇÃO,5,FALSE),VLOOKUP($C729,DESON!$A:$D,4,))</f>
        <v>2.4091999999999998</v>
      </c>
      <c r="J729" s="209">
        <f t="shared" si="55"/>
        <v>108.34</v>
      </c>
    </row>
    <row r="730" spans="1:10" ht="15" customHeight="1">
      <c r="A730" s="208" t="s">
        <v>39</v>
      </c>
      <c r="B730" s="241" t="s">
        <v>14504</v>
      </c>
      <c r="C730" s="1181" t="s">
        <v>14311</v>
      </c>
      <c r="D730" s="161" t="str">
        <f>IF(B730="SEPLAG",VLOOKUP(COMPOSIÇÕES!C730,'MAPA COMPARATIVO'!A:B,2,FALSE),VLOOKUP(C730,'NAO DESO'!A:B,2,0))</f>
        <v>Espuma adesiva 1 face</v>
      </c>
      <c r="E730" s="1194" t="s">
        <v>250</v>
      </c>
      <c r="F730" s="242">
        <v>44.972000000000001</v>
      </c>
      <c r="G730" s="242">
        <f>IF(B730="SEPLAG",VLOOKUP(CONCATENATE("MEDIANA - ",C730),COTAÇÃO,5,FALSE),VLOOKUP($C730,'NAO DESO'!$A:$D,4,))</f>
        <v>2.1800000000000002</v>
      </c>
      <c r="H730" s="242">
        <f t="shared" si="54"/>
        <v>98.03</v>
      </c>
      <c r="I730" s="54">
        <f>IF(B730="SEPLAG",VLOOKUP(CONCATENATE("MEDIANA - ",C730),COTAÇÃO,5,FALSE),VLOOKUP($C730,DESON!$A:$D,4,))</f>
        <v>2.1800000000000002</v>
      </c>
      <c r="J730" s="209">
        <f t="shared" si="55"/>
        <v>98.03</v>
      </c>
    </row>
    <row r="731" spans="1:10" ht="15" customHeight="1">
      <c r="A731" s="208" t="s">
        <v>39</v>
      </c>
      <c r="B731" s="241" t="s">
        <v>14504</v>
      </c>
      <c r="C731" s="1181" t="s">
        <v>14312</v>
      </c>
      <c r="D731" s="161" t="str">
        <f>IF(B731="SEPLAG",VLOOKUP(COMPOSIÇÕES!C731,'MAPA COMPARATIVO'!A:B,2,FALSE),VLOOKUP(C731,'NAO DESO'!A:B,2,0))</f>
        <v>Guarnição em EPDM p/ marco max-ar</v>
      </c>
      <c r="E731" s="1194" t="s">
        <v>250</v>
      </c>
      <c r="F731" s="242">
        <v>89.971999999999994</v>
      </c>
      <c r="G731" s="242">
        <f>IF(B731="SEPLAG",VLOOKUP(CONCATENATE("MEDIANA - ",C731),COTAÇÃO,5,FALSE),VLOOKUP($C731,'NAO DESO'!$A:$D,4,))</f>
        <v>3.8138999999999998</v>
      </c>
      <c r="H731" s="242">
        <f t="shared" si="54"/>
        <v>343.14</v>
      </c>
      <c r="I731" s="54">
        <f>IF(B731="SEPLAG",VLOOKUP(CONCATENATE("MEDIANA - ",C731),COTAÇÃO,5,FALSE),VLOOKUP($C731,DESON!$A:$D,4,))</f>
        <v>3.8138999999999998</v>
      </c>
      <c r="J731" s="209">
        <f t="shared" si="55"/>
        <v>343.14</v>
      </c>
    </row>
    <row r="732" spans="1:10" ht="15" customHeight="1">
      <c r="A732" s="208" t="s">
        <v>39</v>
      </c>
      <c r="B732" s="241" t="s">
        <v>14504</v>
      </c>
      <c r="C732" s="1181" t="s">
        <v>14313</v>
      </c>
      <c r="D732" s="161" t="str">
        <f>IF(B732="SEPLAG",VLOOKUP(COMPOSIÇÕES!C732,'MAPA COMPARATIVO'!A:B,2,FALSE),VLOOKUP(C732,'NAO DESO'!A:B,2,0))</f>
        <v>PRESILHA DE FIXAÇÃO DO ARREMATE MP-347</v>
      </c>
      <c r="E732" s="1194" t="s">
        <v>24</v>
      </c>
      <c r="F732" s="242">
        <v>70</v>
      </c>
      <c r="G732" s="242">
        <f>IF(B732="SEPLAG",VLOOKUP(CONCATENATE("MEDIANA - ",C732),COTAÇÃO,5,FALSE),VLOOKUP($C732,'NAO DESO'!$A:$D,4,))</f>
        <v>0.34</v>
      </c>
      <c r="H732" s="242">
        <f t="shared" si="54"/>
        <v>23.8</v>
      </c>
      <c r="I732" s="54">
        <f>IF(B732="SEPLAG",VLOOKUP(CONCATENATE("MEDIANA - ",C732),COTAÇÃO,5,FALSE),VLOOKUP($C732,DESON!$A:$D,4,))</f>
        <v>0.34</v>
      </c>
      <c r="J732" s="209">
        <f t="shared" si="55"/>
        <v>23.8</v>
      </c>
    </row>
    <row r="733" spans="1:10" ht="15" customHeight="1">
      <c r="A733" s="208" t="s">
        <v>39</v>
      </c>
      <c r="B733" s="241" t="s">
        <v>14504</v>
      </c>
      <c r="C733" s="1181" t="s">
        <v>14314</v>
      </c>
      <c r="D733" s="161" t="str">
        <f>IF(B733="SEPLAG",VLOOKUP(COMPOSIÇÕES!C733,'MAPA COMPARATIVO'!A:B,2,FALSE),VLOOKUP(C733,'NAO DESO'!A:B,2,0))</f>
        <v>Parafuso zincado phillips flangeado autobrocante 4,2 x 16mm</v>
      </c>
      <c r="E733" s="1194" t="s">
        <v>24</v>
      </c>
      <c r="F733" s="242">
        <v>70</v>
      </c>
      <c r="G733" s="242">
        <f>IF(B733="SEPLAG",VLOOKUP(CONCATENATE("MEDIANA - ",C733),COTAÇÃO,5,FALSE),VLOOKUP($C733,'NAO DESO'!$A:$D,4,))</f>
        <v>0.28000000000000003</v>
      </c>
      <c r="H733" s="242">
        <f t="shared" si="54"/>
        <v>19.600000000000001</v>
      </c>
      <c r="I733" s="54">
        <f>IF(B733="SEPLAG",VLOOKUP(CONCATENATE("MEDIANA - ",C733),COTAÇÃO,5,FALSE),VLOOKUP($C733,DESON!$A:$D,4,))</f>
        <v>0.28000000000000003</v>
      </c>
      <c r="J733" s="209">
        <f t="shared" si="55"/>
        <v>19.600000000000001</v>
      </c>
    </row>
    <row r="734" spans="1:10" ht="15" customHeight="1">
      <c r="A734" s="208" t="s">
        <v>39</v>
      </c>
      <c r="B734" s="241" t="s">
        <v>14504</v>
      </c>
      <c r="C734" s="1181" t="s">
        <v>14315</v>
      </c>
      <c r="D734" s="161" t="str">
        <f>IF(B734="SEPLAG",VLOOKUP(COMPOSIÇÕES!C734,'MAPA COMPARATIVO'!A:B,2,FALSE),VLOOKUP(C734,'NAO DESO'!A:B,2,0))</f>
        <v>PARAF. PANELA PHILIPS INOX 4,8 X32 PONTA PILOTO</v>
      </c>
      <c r="E734" s="1194" t="s">
        <v>24</v>
      </c>
      <c r="F734" s="242">
        <v>44</v>
      </c>
      <c r="G734" s="242">
        <f>IF(B734="SEPLAG",VLOOKUP(CONCATENATE("MEDIANA - ",C734),COTAÇÃO,5,FALSE),VLOOKUP($C734,'NAO DESO'!$A:$D,4,))</f>
        <v>0.95</v>
      </c>
      <c r="H734" s="242">
        <f t="shared" si="54"/>
        <v>41.8</v>
      </c>
      <c r="I734" s="54">
        <f>IF(B734="SEPLAG",VLOOKUP(CONCATENATE("MEDIANA - ",C734),COTAÇÃO,5,FALSE),VLOOKUP($C734,DESON!$A:$D,4,))</f>
        <v>0.95</v>
      </c>
      <c r="J734" s="209">
        <f t="shared" si="55"/>
        <v>41.8</v>
      </c>
    </row>
    <row r="735" spans="1:10" ht="15" customHeight="1">
      <c r="A735" s="208" t="s">
        <v>39</v>
      </c>
      <c r="B735" s="241" t="s">
        <v>14504</v>
      </c>
      <c r="C735" s="1181" t="s">
        <v>14316</v>
      </c>
      <c r="D735" s="161" t="str">
        <f>IF(B735="SEPLAG",VLOOKUP(COMPOSIÇÕES!C735,'MAPA COMPARATIVO'!A:B,2,FALSE),VLOOKUP(C735,'NAO DESO'!A:B,2,0))</f>
        <v>CHUMBADOR DE CM-063/060</v>
      </c>
      <c r="E735" s="1194" t="s">
        <v>24</v>
      </c>
      <c r="F735" s="242">
        <v>70</v>
      </c>
      <c r="G735" s="242">
        <f>IF(B735="SEPLAG",VLOOKUP(CONCATENATE("MEDIANA - ",C735),COTAÇÃO,5,FALSE),VLOOKUP($C735,'NAO DESO'!$A:$D,4,))</f>
        <v>0.86</v>
      </c>
      <c r="H735" s="242">
        <f t="shared" si="54"/>
        <v>60.2</v>
      </c>
      <c r="I735" s="54">
        <f>IF(B735="SEPLAG",VLOOKUP(CONCATENATE("MEDIANA - ",C735),COTAÇÃO,5,FALSE),VLOOKUP($C735,DESON!$A:$D,4,))</f>
        <v>0.86</v>
      </c>
      <c r="J735" s="209">
        <f t="shared" si="55"/>
        <v>60.2</v>
      </c>
    </row>
    <row r="736" spans="1:10" ht="15" customHeight="1">
      <c r="A736" s="208" t="s">
        <v>39</v>
      </c>
      <c r="B736" s="241" t="s">
        <v>14504</v>
      </c>
      <c r="C736" s="1181" t="s">
        <v>14317</v>
      </c>
      <c r="D736" s="161" t="str">
        <f>IF(B736="SEPLAG",VLOOKUP(COMPOSIÇÕES!C736,'MAPA COMPARATIVO'!A:B,2,FALSE),VLOOKUP(C736,'NAO DESO'!A:B,2,0))</f>
        <v>Silicone neutro incolor 280 g</v>
      </c>
      <c r="E736" s="1194" t="s">
        <v>24</v>
      </c>
      <c r="F736" s="242">
        <v>6</v>
      </c>
      <c r="G736" s="242">
        <f>IF(B736="SEPLAG",VLOOKUP(CONCATENATE("MEDIANA - ",C736),COTAÇÃO,5,FALSE),VLOOKUP($C736,'NAO DESO'!$A:$D,4,))</f>
        <v>43.9</v>
      </c>
      <c r="H736" s="242">
        <f t="shared" si="54"/>
        <v>263.39999999999998</v>
      </c>
      <c r="I736" s="54">
        <f>IF(B736="SEPLAG",VLOOKUP(CONCATENATE("MEDIANA - ",C736),COTAÇÃO,5,FALSE),VLOOKUP($C736,DESON!$A:$D,4,))</f>
        <v>43.9</v>
      </c>
      <c r="J736" s="209">
        <f t="shared" si="55"/>
        <v>263.39999999999998</v>
      </c>
    </row>
    <row r="737" spans="1:10" ht="15" customHeight="1">
      <c r="A737" s="208" t="s">
        <v>245</v>
      </c>
      <c r="B737" s="241"/>
      <c r="C737" s="1181">
        <v>10505</v>
      </c>
      <c r="D737" s="161" t="str">
        <f>IF(B737="SEPLAG",VLOOKUP(COMPOSIÇÕES!C737,'MAPA COMPARATIVO'!A:B,2,FALSE),VLOOKUP(C737,'NAO DESO'!A:B,2,0))</f>
        <v>VIDRO TEMPERADO INCOLOR E = 6 MM, SEM COLOCACAO</v>
      </c>
      <c r="E737" s="241" t="str">
        <f>VLOOKUP($C737,'NAO DESO'!$A:$D,3,)</f>
        <v xml:space="preserve">M2    </v>
      </c>
      <c r="F737" s="242">
        <v>11.34</v>
      </c>
      <c r="G737" s="242">
        <f>IF(B737="SEPLAG",VLOOKUP(CONCATENATE("MEDIANA - ",C737),COTAÇÃO,5,FALSE),VLOOKUP($C737,'NAO DESO'!$A:$D,4,))</f>
        <v>272.77</v>
      </c>
      <c r="H737" s="242">
        <f t="shared" si="54"/>
        <v>3093.21</v>
      </c>
      <c r="I737" s="54" t="str">
        <f>IF(B737="SEPLAG",VLOOKUP(CONCATENATE("MEDIANA - ",C737),COTAÇÃO,5,FALSE),VLOOKUP($C737,DESON!$A:$D,4,))</f>
        <v>272,77</v>
      </c>
      <c r="J737" s="209">
        <f t="shared" si="55"/>
        <v>3093.21</v>
      </c>
    </row>
    <row r="738" spans="1:10" ht="15" customHeight="1">
      <c r="A738" s="208" t="s">
        <v>245</v>
      </c>
      <c r="B738" s="241"/>
      <c r="C738" s="1181">
        <v>88315</v>
      </c>
      <c r="D738" s="161" t="str">
        <f>IF(B738="SEPLAG",VLOOKUP(COMPOSIÇÕES!C738,'MAPA COMPARATIVO'!A:B,2,FALSE),VLOOKUP(C738,'NAO DESO'!A:B,2,0))</f>
        <v>SERRALHEIRO COM ENCARGOS COMPLEMENTARES</v>
      </c>
      <c r="E738" s="241" t="str">
        <f>VLOOKUP($C738,'NAO DESO'!$A:$D,3,)</f>
        <v>H</v>
      </c>
      <c r="F738" s="242">
        <v>36.968399999999995</v>
      </c>
      <c r="G738" s="242" t="str">
        <f>IF(B738="SEPLAG",VLOOKUP(CONCATENATE("MEDIANA - ",C738),COTAÇÃO,5,FALSE),VLOOKUP($C738,'NAO DESO'!$A:$D,4,))</f>
        <v>20,97</v>
      </c>
      <c r="H738" s="242">
        <f t="shared" si="54"/>
        <v>775.22</v>
      </c>
      <c r="I738" s="54" t="str">
        <f>IF(B738="SEPLAG",VLOOKUP(CONCATENATE("MEDIANA - ",C738),COTAÇÃO,5,FALSE),VLOOKUP($C738,DESON!$A:$D,4,))</f>
        <v>18,75</v>
      </c>
      <c r="J738" s="209">
        <f t="shared" si="55"/>
        <v>693.15</v>
      </c>
    </row>
    <row r="739" spans="1:10" ht="15" customHeight="1">
      <c r="A739" s="208" t="s">
        <v>245</v>
      </c>
      <c r="B739" s="241"/>
      <c r="C739" s="1181">
        <v>88316</v>
      </c>
      <c r="D739" s="161" t="str">
        <f>IF(B739="SEPLAG",VLOOKUP(COMPOSIÇÕES!C739,'MAPA COMPARATIVO'!A:B,2,FALSE),VLOOKUP(C739,'NAO DESO'!A:B,2,0))</f>
        <v>SERVENTE COM ENCARGOS COMPLEMENTARES</v>
      </c>
      <c r="E739" s="241" t="str">
        <f>VLOOKUP($C739,'NAO DESO'!$A:$D,3,)</f>
        <v>H</v>
      </c>
      <c r="F739" s="242">
        <v>36.968399999999995</v>
      </c>
      <c r="G739" s="242" t="str">
        <f>IF(B739="SEPLAG",VLOOKUP(CONCATENATE("MEDIANA - ",C739),COTAÇÃO,5,FALSE),VLOOKUP($C739,'NAO DESO'!$A:$D,4,))</f>
        <v>16,83</v>
      </c>
      <c r="H739" s="242">
        <f t="shared" si="54"/>
        <v>622.16999999999996</v>
      </c>
      <c r="I739" s="54" t="str">
        <f>IF(B739="SEPLAG",VLOOKUP(CONCATENATE("MEDIANA - ",C739),COTAÇÃO,5,FALSE),VLOOKUP($C739,DESON!$A:$D,4,))</f>
        <v>15,16</v>
      </c>
      <c r="J739" s="209">
        <f t="shared" si="55"/>
        <v>560.44000000000005</v>
      </c>
    </row>
    <row r="740" spans="1:10" ht="15" customHeight="1">
      <c r="A740" s="210" t="str">
        <f>CONCATENATE("TOTAL DO ITEM NÃO DESON. - ",C713)</f>
        <v>TOTAL DO ITEM NÃO DESON. - SEPLAG  ARQ 67</v>
      </c>
      <c r="B740" s="424"/>
      <c r="C740" s="424"/>
      <c r="D740" s="424"/>
      <c r="E740" s="424"/>
      <c r="F740" s="425"/>
      <c r="G740" s="426"/>
      <c r="H740" s="1182">
        <f>SUM(H715:H739)</f>
        <v>9621.5499999999993</v>
      </c>
      <c r="I740" s="214"/>
      <c r="J740" s="215"/>
    </row>
    <row r="741" spans="1:10" ht="15.75" customHeight="1" thickBot="1">
      <c r="A741" s="216" t="str">
        <f>CONCATENATE("TOTAL DO ITEM DESON. - ",C713)</f>
        <v>TOTAL DO ITEM DESON. - SEPLAG  ARQ 67</v>
      </c>
      <c r="B741" s="427"/>
      <c r="C741" s="427"/>
      <c r="D741" s="427"/>
      <c r="E741" s="427"/>
      <c r="F741" s="428"/>
      <c r="G741" s="429"/>
      <c r="H741" s="1187"/>
      <c r="I741" s="229"/>
      <c r="J741" s="219">
        <f>SUM(J715:J739)</f>
        <v>9477.75</v>
      </c>
    </row>
    <row r="742" spans="1:10" ht="15" customHeight="1" thickBot="1">
      <c r="A742" s="235"/>
      <c r="B742" s="1135"/>
      <c r="C742" s="1135"/>
      <c r="D742" s="1135"/>
      <c r="E742" s="1135"/>
      <c r="F742" s="1188"/>
      <c r="G742" s="1188"/>
      <c r="H742" s="1188"/>
      <c r="I742" s="236"/>
      <c r="J742" s="237"/>
    </row>
    <row r="743" spans="1:10" ht="26.25" customHeight="1">
      <c r="A743" s="198"/>
      <c r="B743" s="1175"/>
      <c r="C743" s="1176" t="s">
        <v>7344</v>
      </c>
      <c r="D743" s="156" t="s">
        <v>7608</v>
      </c>
      <c r="E743" s="1176" t="s">
        <v>32</v>
      </c>
      <c r="F743" s="1177" t="s">
        <v>18</v>
      </c>
      <c r="G743" s="1178" t="s">
        <v>7017</v>
      </c>
      <c r="H743" s="1179"/>
      <c r="I743" s="200" t="s">
        <v>7016</v>
      </c>
      <c r="J743" s="201"/>
    </row>
    <row r="744" spans="1:10" ht="15" customHeight="1">
      <c r="A744" s="233"/>
      <c r="B744" s="247"/>
      <c r="C744" s="1155"/>
      <c r="D744" s="157"/>
      <c r="E744" s="1155"/>
      <c r="F744" s="1180"/>
      <c r="G744" s="1180" t="s">
        <v>19</v>
      </c>
      <c r="H744" s="1180" t="s">
        <v>20</v>
      </c>
      <c r="I744" s="205" t="s">
        <v>19</v>
      </c>
      <c r="J744" s="206" t="s">
        <v>20</v>
      </c>
    </row>
    <row r="745" spans="1:10" ht="15" customHeight="1">
      <c r="A745" s="208" t="s">
        <v>39</v>
      </c>
      <c r="B745" s="241"/>
      <c r="C745" s="241">
        <v>34360</v>
      </c>
      <c r="D745" s="161" t="s">
        <v>7323</v>
      </c>
      <c r="E745" s="1194" t="s">
        <v>133</v>
      </c>
      <c r="F745" s="242">
        <f>3.87+3.8+1.09+6.876</f>
        <v>15.635999999999999</v>
      </c>
      <c r="G745" s="242">
        <f>IF(B745="SEPLAG",VLOOKUP(CONCATENATE("MEDIANA - ",C745),COTAÇÃO,5,FALSE),VLOOKUP($C745,'NAO DESO'!$A:$D,4,))</f>
        <v>47.31</v>
      </c>
      <c r="H745" s="242">
        <f t="shared" ref="H745:H769" si="56">TRUNC(F745*G745,2)</f>
        <v>739.73</v>
      </c>
      <c r="I745" s="54" t="str">
        <f>IF(B745="SEPLAG",VLOOKUP(CONCATENATE("MEDIANA - ",C745),COTAÇÃO,5,FALSE),VLOOKUP($C745,DESON!$A:$D,4,))</f>
        <v>47,31</v>
      </c>
      <c r="J745" s="209">
        <f t="shared" ref="J745:J769" si="57">TRUNC(F745*I745,2)</f>
        <v>739.73</v>
      </c>
    </row>
    <row r="746" spans="1:10" ht="15" customHeight="1">
      <c r="A746" s="208" t="s">
        <v>39</v>
      </c>
      <c r="B746" s="241"/>
      <c r="C746" s="241">
        <v>34360</v>
      </c>
      <c r="D746" s="161" t="s">
        <v>7324</v>
      </c>
      <c r="E746" s="1194" t="s">
        <v>133</v>
      </c>
      <c r="F746" s="242">
        <f>3.07+0.149</f>
        <v>3.2189999999999999</v>
      </c>
      <c r="G746" s="242">
        <f>IF(B746="SEPLAG",VLOOKUP(CONCATENATE("MEDIANA - ",C746),COTAÇÃO,5,FALSE),VLOOKUP($C746,'NAO DESO'!$A:$D,4,))</f>
        <v>47.31</v>
      </c>
      <c r="H746" s="242">
        <f t="shared" si="56"/>
        <v>152.29</v>
      </c>
      <c r="I746" s="54" t="str">
        <f>IF(B746="SEPLAG",VLOOKUP(CONCATENATE("MEDIANA - ",C746),COTAÇÃO,5,FALSE),VLOOKUP($C746,DESON!$A:$D,4,))</f>
        <v>47,31</v>
      </c>
      <c r="J746" s="209">
        <f t="shared" si="57"/>
        <v>152.29</v>
      </c>
    </row>
    <row r="747" spans="1:10" ht="15" customHeight="1">
      <c r="A747" s="208" t="s">
        <v>39</v>
      </c>
      <c r="B747" s="241"/>
      <c r="C747" s="241">
        <v>34360</v>
      </c>
      <c r="D747" s="161" t="s">
        <v>7325</v>
      </c>
      <c r="E747" s="1194" t="s">
        <v>133</v>
      </c>
      <c r="F747" s="242">
        <f>0.059+1.215</f>
        <v>1.274</v>
      </c>
      <c r="G747" s="242">
        <f>IF(B747="SEPLAG",VLOOKUP(CONCATENATE("MEDIANA - ",C747),COTAÇÃO,5,FALSE),VLOOKUP($C747,'NAO DESO'!$A:$D,4,))</f>
        <v>47.31</v>
      </c>
      <c r="H747" s="242">
        <f t="shared" si="56"/>
        <v>60.27</v>
      </c>
      <c r="I747" s="54" t="str">
        <f>IF(B747="SEPLAG",VLOOKUP(CONCATENATE("MEDIANA - ",C747),COTAÇÃO,5,FALSE),VLOOKUP($C747,DESON!$A:$D,4,))</f>
        <v>47,31</v>
      </c>
      <c r="J747" s="209">
        <f t="shared" si="57"/>
        <v>60.27</v>
      </c>
    </row>
    <row r="748" spans="1:10" ht="15" customHeight="1">
      <c r="A748" s="208" t="s">
        <v>39</v>
      </c>
      <c r="B748" s="241"/>
      <c r="C748" s="241">
        <v>34360</v>
      </c>
      <c r="D748" s="161" t="s">
        <v>7326</v>
      </c>
      <c r="E748" s="1194" t="s">
        <v>133</v>
      </c>
      <c r="F748" s="242">
        <f>5.796+0.782</f>
        <v>6.5780000000000003</v>
      </c>
      <c r="G748" s="242">
        <f>IF(B748="SEPLAG",VLOOKUP(CONCATENATE("MEDIANA - ",C748),COTAÇÃO,5,FALSE),VLOOKUP($C748,'NAO DESO'!$A:$D,4,))</f>
        <v>47.31</v>
      </c>
      <c r="H748" s="242">
        <f t="shared" si="56"/>
        <v>311.2</v>
      </c>
      <c r="I748" s="54" t="str">
        <f>IF(B748="SEPLAG",VLOOKUP(CONCATENATE("MEDIANA - ",C748),COTAÇÃO,5,FALSE),VLOOKUP($C748,DESON!$A:$D,4,))</f>
        <v>47,31</v>
      </c>
      <c r="J748" s="209">
        <f t="shared" si="57"/>
        <v>311.2</v>
      </c>
    </row>
    <row r="749" spans="1:10" ht="15" customHeight="1">
      <c r="A749" s="208" t="s">
        <v>39</v>
      </c>
      <c r="B749" s="241"/>
      <c r="C749" s="241">
        <v>34360</v>
      </c>
      <c r="D749" s="161" t="s">
        <v>7327</v>
      </c>
      <c r="E749" s="1194" t="s">
        <v>133</v>
      </c>
      <c r="F749" s="242">
        <f>10.18+1.355</f>
        <v>11.535</v>
      </c>
      <c r="G749" s="242">
        <f>IF(B749="SEPLAG",VLOOKUP(CONCATENATE("MEDIANA - ",C749),COTAÇÃO,5,FALSE),VLOOKUP($C749,'NAO DESO'!$A:$D,4,))</f>
        <v>47.31</v>
      </c>
      <c r="H749" s="242">
        <f t="shared" si="56"/>
        <v>545.72</v>
      </c>
      <c r="I749" s="54" t="str">
        <f>IF(B749="SEPLAG",VLOOKUP(CONCATENATE("MEDIANA - ",C749),COTAÇÃO,5,FALSE),VLOOKUP($C749,DESON!$A:$D,4,))</f>
        <v>47,31</v>
      </c>
      <c r="J749" s="209">
        <f t="shared" si="57"/>
        <v>545.72</v>
      </c>
    </row>
    <row r="750" spans="1:10" ht="15" customHeight="1">
      <c r="A750" s="208" t="s">
        <v>39</v>
      </c>
      <c r="B750" s="241"/>
      <c r="C750" s="241">
        <v>34360</v>
      </c>
      <c r="D750" s="161" t="s">
        <v>7328</v>
      </c>
      <c r="E750" s="1194" t="s">
        <v>133</v>
      </c>
      <c r="F750" s="242">
        <f>18.59</f>
        <v>18.59</v>
      </c>
      <c r="G750" s="242">
        <f>IF(B750="SEPLAG",VLOOKUP(CONCATENATE("MEDIANA - ",C750),COTAÇÃO,5,FALSE),VLOOKUP($C750,'NAO DESO'!$A:$D,4,))</f>
        <v>47.31</v>
      </c>
      <c r="H750" s="242">
        <f t="shared" si="56"/>
        <v>879.49</v>
      </c>
      <c r="I750" s="54" t="str">
        <f>IF(B750="SEPLAG",VLOOKUP(CONCATENATE("MEDIANA - ",C750),COTAÇÃO,5,FALSE),VLOOKUP($C750,DESON!$A:$D,4,))</f>
        <v>47,31</v>
      </c>
      <c r="J750" s="209">
        <f t="shared" si="57"/>
        <v>879.49</v>
      </c>
    </row>
    <row r="751" spans="1:10" ht="15" customHeight="1">
      <c r="A751" s="208" t="s">
        <v>39</v>
      </c>
      <c r="B751" s="241"/>
      <c r="C751" s="241">
        <v>34360</v>
      </c>
      <c r="D751" s="161" t="s">
        <v>7329</v>
      </c>
      <c r="E751" s="1194" t="s">
        <v>133</v>
      </c>
      <c r="F751" s="242">
        <f>9.217</f>
        <v>9.2170000000000005</v>
      </c>
      <c r="G751" s="242">
        <f>IF(B751="SEPLAG",VLOOKUP(CONCATENATE("MEDIANA - ",C751),COTAÇÃO,5,FALSE),VLOOKUP($C751,'NAO DESO'!$A:$D,4,))</f>
        <v>47.31</v>
      </c>
      <c r="H751" s="242">
        <f t="shared" si="56"/>
        <v>436.05</v>
      </c>
      <c r="I751" s="54" t="str">
        <f>IF(B751="SEPLAG",VLOOKUP(CONCATENATE("MEDIANA - ",C751),COTAÇÃO,5,FALSE),VLOOKUP($C751,DESON!$A:$D,4,))</f>
        <v>47,31</v>
      </c>
      <c r="J751" s="209">
        <f t="shared" si="57"/>
        <v>436.05</v>
      </c>
    </row>
    <row r="752" spans="1:10" ht="15" customHeight="1">
      <c r="A752" s="208" t="s">
        <v>39</v>
      </c>
      <c r="B752" s="241"/>
      <c r="C752" s="241">
        <v>34360</v>
      </c>
      <c r="D752" s="161" t="s">
        <v>7330</v>
      </c>
      <c r="E752" s="1194" t="s">
        <v>133</v>
      </c>
      <c r="F752" s="242">
        <f>3.954+2.5</f>
        <v>6.4540000000000006</v>
      </c>
      <c r="G752" s="242">
        <f>IF(B752="SEPLAG",VLOOKUP(CONCATENATE("MEDIANA - ",C752),COTAÇÃO,5,FALSE),VLOOKUP($C752,'NAO DESO'!$A:$D,4,))</f>
        <v>47.31</v>
      </c>
      <c r="H752" s="242">
        <f t="shared" si="56"/>
        <v>305.33</v>
      </c>
      <c r="I752" s="54" t="str">
        <f>IF(B752="SEPLAG",VLOOKUP(CONCATENATE("MEDIANA - ",C752),COTAÇÃO,5,FALSE),VLOOKUP($C752,DESON!$A:$D,4,))</f>
        <v>47,31</v>
      </c>
      <c r="J752" s="209">
        <f t="shared" si="57"/>
        <v>305.33</v>
      </c>
    </row>
    <row r="753" spans="1:10" ht="15" customHeight="1">
      <c r="A753" s="208" t="s">
        <v>39</v>
      </c>
      <c r="B753" s="241"/>
      <c r="C753" s="241">
        <v>34360</v>
      </c>
      <c r="D753" s="161" t="s">
        <v>7331</v>
      </c>
      <c r="E753" s="1194" t="s">
        <v>133</v>
      </c>
      <c r="F753" s="242">
        <f>23.03+12.98</f>
        <v>36.010000000000005</v>
      </c>
      <c r="G753" s="242">
        <f>IF(B753="SEPLAG",VLOOKUP(CONCATENATE("MEDIANA - ",C753),COTAÇÃO,5,FALSE),VLOOKUP($C753,'NAO DESO'!$A:$D,4,))</f>
        <v>47.31</v>
      </c>
      <c r="H753" s="242">
        <f t="shared" si="56"/>
        <v>1703.63</v>
      </c>
      <c r="I753" s="54" t="str">
        <f>IF(B753="SEPLAG",VLOOKUP(CONCATENATE("MEDIANA - ",C753),COTAÇÃO,5,FALSE),VLOOKUP($C753,DESON!$A:$D,4,))</f>
        <v>47,31</v>
      </c>
      <c r="J753" s="209">
        <f t="shared" si="57"/>
        <v>1703.63</v>
      </c>
    </row>
    <row r="754" spans="1:10" ht="15" customHeight="1">
      <c r="A754" s="208" t="s">
        <v>39</v>
      </c>
      <c r="B754" s="241"/>
      <c r="C754" s="241">
        <v>34360</v>
      </c>
      <c r="D754" s="161" t="s">
        <v>7332</v>
      </c>
      <c r="E754" s="1194" t="s">
        <v>133</v>
      </c>
      <c r="F754" s="242">
        <f>1.986</f>
        <v>1.986</v>
      </c>
      <c r="G754" s="242">
        <f>IF(B754="SEPLAG",VLOOKUP(CONCATENATE("MEDIANA - ",C754),COTAÇÃO,5,FALSE),VLOOKUP($C754,'NAO DESO'!$A:$D,4,))</f>
        <v>47.31</v>
      </c>
      <c r="H754" s="242">
        <f t="shared" si="56"/>
        <v>93.95</v>
      </c>
      <c r="I754" s="54" t="str">
        <f>IF(B754="SEPLAG",VLOOKUP(CONCATENATE("MEDIANA - ",C754),COTAÇÃO,5,FALSE),VLOOKUP($C754,DESON!$A:$D,4,))</f>
        <v>47,31</v>
      </c>
      <c r="J754" s="209">
        <f t="shared" si="57"/>
        <v>93.95</v>
      </c>
    </row>
    <row r="755" spans="1:10" ht="15" customHeight="1">
      <c r="A755" s="208" t="s">
        <v>39</v>
      </c>
      <c r="B755" s="241"/>
      <c r="C755" s="241">
        <v>34360</v>
      </c>
      <c r="D755" s="161" t="s">
        <v>7333</v>
      </c>
      <c r="E755" s="1194" t="s">
        <v>133</v>
      </c>
      <c r="F755" s="242">
        <f>0.695+5.098</f>
        <v>5.7930000000000001</v>
      </c>
      <c r="G755" s="242">
        <f>IF(B755="SEPLAG",VLOOKUP(CONCATENATE("MEDIANA - ",C755),COTAÇÃO,5,FALSE),VLOOKUP($C755,'NAO DESO'!$A:$D,4,))</f>
        <v>47.31</v>
      </c>
      <c r="H755" s="242">
        <f t="shared" si="56"/>
        <v>274.06</v>
      </c>
      <c r="I755" s="54" t="str">
        <f>IF(B755="SEPLAG",VLOOKUP(CONCATENATE("MEDIANA - ",C755),COTAÇÃO,5,FALSE),VLOOKUP($C755,DESON!$A:$D,4,))</f>
        <v>47,31</v>
      </c>
      <c r="J755" s="209">
        <f t="shared" si="57"/>
        <v>274.06</v>
      </c>
    </row>
    <row r="756" spans="1:10" ht="15" customHeight="1">
      <c r="A756" s="208" t="s">
        <v>39</v>
      </c>
      <c r="B756" s="241" t="s">
        <v>14504</v>
      </c>
      <c r="C756" s="1181" t="s">
        <v>14307</v>
      </c>
      <c r="D756" s="161" t="str">
        <f>IF(B756="SEPLAG",VLOOKUP(COMPOSIÇÕES!C756,'MAPA COMPARATIVO'!A:B,2,FALSE),VLOOKUP(C756,'NAO DESO'!A:B,2,0))</f>
        <v xml:space="preserve">Braço de max-ar linha gold de 600mm </v>
      </c>
      <c r="E756" s="1194" t="s">
        <v>24</v>
      </c>
      <c r="F756" s="242">
        <v>16</v>
      </c>
      <c r="G756" s="242">
        <f>IF(B756="SEPLAG",VLOOKUP(CONCATENATE("MEDIANA - ",C756),COTAÇÃO,5,FALSE),VLOOKUP($C756,'NAO DESO'!$A:$D,4,))</f>
        <v>36.575000000000003</v>
      </c>
      <c r="H756" s="242">
        <f t="shared" si="56"/>
        <v>585.20000000000005</v>
      </c>
      <c r="I756" s="54">
        <f>IF(B756="SEPLAG",VLOOKUP(CONCATENATE("MEDIANA - ",C756),COTAÇÃO,5,FALSE),VLOOKUP($C756,DESON!$A:$D,4,))</f>
        <v>36.575000000000003</v>
      </c>
      <c r="J756" s="209">
        <f t="shared" si="57"/>
        <v>585.20000000000005</v>
      </c>
    </row>
    <row r="757" spans="1:10" ht="15" customHeight="1">
      <c r="A757" s="208" t="s">
        <v>39</v>
      </c>
      <c r="B757" s="241" t="s">
        <v>14504</v>
      </c>
      <c r="C757" s="1181" t="s">
        <v>14308</v>
      </c>
      <c r="D757" s="161" t="str">
        <f>IF(B757="SEPLAG",VLOOKUP(COMPOSIÇÕES!C757,'MAPA COMPARATIVO'!A:B,2,FALSE),VLOOKUP(C757,'NAO DESO'!A:B,2,0))</f>
        <v>Fecho max-ar linha gold</v>
      </c>
      <c r="E757" s="1194" t="s">
        <v>24</v>
      </c>
      <c r="F757" s="242">
        <v>16</v>
      </c>
      <c r="G757" s="242">
        <f>IF(B757="SEPLAG",VLOOKUP(CONCATENATE("MEDIANA - ",C757),COTAÇÃO,5,FALSE),VLOOKUP($C757,'NAO DESO'!$A:$D,4,))</f>
        <v>47.36</v>
      </c>
      <c r="H757" s="242">
        <f t="shared" si="56"/>
        <v>757.76</v>
      </c>
      <c r="I757" s="54">
        <f>IF(B757="SEPLAG",VLOOKUP(CONCATENATE("MEDIANA - ",C757),COTAÇÃO,5,FALSE),VLOOKUP($C757,DESON!$A:$D,4,))</f>
        <v>47.36</v>
      </c>
      <c r="J757" s="209">
        <f t="shared" si="57"/>
        <v>757.76</v>
      </c>
    </row>
    <row r="758" spans="1:10" ht="15" customHeight="1">
      <c r="A758" s="208" t="s">
        <v>39</v>
      </c>
      <c r="B758" s="241" t="s">
        <v>14504</v>
      </c>
      <c r="C758" s="1181" t="s">
        <v>14309</v>
      </c>
      <c r="D758" s="161" t="str">
        <f>IF(B758="SEPLAG",VLOOKUP(COMPOSIÇÕES!C758,'MAPA COMPARATIVO'!A:B,2,FALSE),VLOOKUP(C758,'NAO DESO'!A:B,2,0))</f>
        <v>Guarnição em EPDM p/ pingadeira</v>
      </c>
      <c r="E758" s="1194" t="s">
        <v>7388</v>
      </c>
      <c r="F758" s="242">
        <v>12.57</v>
      </c>
      <c r="G758" s="242">
        <f>IF(B758="SEPLAG",VLOOKUP(CONCATENATE("MEDIANA - ",C758),COTAÇÃO,5,FALSE),VLOOKUP($C758,'NAO DESO'!$A:$D,4,))</f>
        <v>4.3849999999999998</v>
      </c>
      <c r="H758" s="242">
        <f t="shared" si="56"/>
        <v>55.11</v>
      </c>
      <c r="I758" s="54">
        <f>IF(B758="SEPLAG",VLOOKUP(CONCATENATE("MEDIANA - ",C758),COTAÇÃO,5,FALSE),VLOOKUP($C758,DESON!$A:$D,4,))</f>
        <v>4.3849999999999998</v>
      </c>
      <c r="J758" s="209">
        <f t="shared" si="57"/>
        <v>55.11</v>
      </c>
    </row>
    <row r="759" spans="1:10" ht="15" customHeight="1">
      <c r="A759" s="208" t="s">
        <v>39</v>
      </c>
      <c r="B759" s="241" t="s">
        <v>14504</v>
      </c>
      <c r="C759" s="1181" t="s">
        <v>14310</v>
      </c>
      <c r="D759" s="161" t="str">
        <f>IF(B759="SEPLAG",VLOOKUP(COMPOSIÇÕES!C759,'MAPA COMPARATIVO'!A:B,2,FALSE),VLOOKUP(C759,'NAO DESO'!A:B,2,0))</f>
        <v>Guarnição em EPDM para vidro</v>
      </c>
      <c r="E759" s="1194" t="s">
        <v>250</v>
      </c>
      <c r="F759" s="242">
        <f>68.1+34.8</f>
        <v>102.89999999999999</v>
      </c>
      <c r="G759" s="242">
        <f>IF(B759="SEPLAG",VLOOKUP(CONCATENATE("MEDIANA - ",C759),COTAÇÃO,5,FALSE),VLOOKUP($C759,'NAO DESO'!$A:$D,4,))</f>
        <v>2.4091999999999998</v>
      </c>
      <c r="H759" s="242">
        <f t="shared" si="56"/>
        <v>247.9</v>
      </c>
      <c r="I759" s="54">
        <f>IF(B759="SEPLAG",VLOOKUP(CONCATENATE("MEDIANA - ",C759),COTAÇÃO,5,FALSE),VLOOKUP($C759,DESON!$A:$D,4,))</f>
        <v>2.4091999999999998</v>
      </c>
      <c r="J759" s="209">
        <f t="shared" si="57"/>
        <v>247.9</v>
      </c>
    </row>
    <row r="760" spans="1:10" ht="15" customHeight="1">
      <c r="A760" s="208" t="s">
        <v>39</v>
      </c>
      <c r="B760" s="241" t="s">
        <v>14504</v>
      </c>
      <c r="C760" s="1181" t="s">
        <v>14311</v>
      </c>
      <c r="D760" s="161" t="str">
        <f>IF(B760="SEPLAG",VLOOKUP(COMPOSIÇÕES!C760,'MAPA COMPARATIVO'!A:B,2,FALSE),VLOOKUP(C760,'NAO DESO'!A:B,2,0))</f>
        <v>Espuma adesiva 1 face</v>
      </c>
      <c r="E760" s="1194" t="s">
        <v>250</v>
      </c>
      <c r="F760" s="242">
        <f>34.8+68.1</f>
        <v>102.89999999999999</v>
      </c>
      <c r="G760" s="242">
        <f>IF(B760="SEPLAG",VLOOKUP(CONCATENATE("MEDIANA - ",C760),COTAÇÃO,5,FALSE),VLOOKUP($C760,'NAO DESO'!$A:$D,4,))</f>
        <v>2.1800000000000002</v>
      </c>
      <c r="H760" s="242">
        <f t="shared" si="56"/>
        <v>224.32</v>
      </c>
      <c r="I760" s="54">
        <f>IF(B760="SEPLAG",VLOOKUP(CONCATENATE("MEDIANA - ",C760),COTAÇÃO,5,FALSE),VLOOKUP($C760,DESON!$A:$D,4,))</f>
        <v>2.1800000000000002</v>
      </c>
      <c r="J760" s="209">
        <f t="shared" si="57"/>
        <v>224.32</v>
      </c>
    </row>
    <row r="761" spans="1:10" ht="15" customHeight="1">
      <c r="A761" s="208" t="s">
        <v>39</v>
      </c>
      <c r="B761" s="241" t="s">
        <v>14504</v>
      </c>
      <c r="C761" s="1181" t="s">
        <v>14312</v>
      </c>
      <c r="D761" s="161" t="str">
        <f>IF(B761="SEPLAG",VLOOKUP(COMPOSIÇÕES!C761,'MAPA COMPARATIVO'!A:B,2,FALSE),VLOOKUP(C761,'NAO DESO'!A:B,2,0))</f>
        <v>Guarnição em EPDM p/ marco max-ar</v>
      </c>
      <c r="E761" s="1194" t="s">
        <v>250</v>
      </c>
      <c r="F761" s="242">
        <v>117.1</v>
      </c>
      <c r="G761" s="242">
        <f>IF(B761="SEPLAG",VLOOKUP(CONCATENATE("MEDIANA - ",C761),COTAÇÃO,5,FALSE),VLOOKUP($C761,'NAO DESO'!$A:$D,4,))</f>
        <v>3.8138999999999998</v>
      </c>
      <c r="H761" s="242">
        <f t="shared" si="56"/>
        <v>446.6</v>
      </c>
      <c r="I761" s="54">
        <f>IF(B761="SEPLAG",VLOOKUP(CONCATENATE("MEDIANA - ",C761),COTAÇÃO,5,FALSE),VLOOKUP($C761,DESON!$A:$D,4,))</f>
        <v>3.8138999999999998</v>
      </c>
      <c r="J761" s="209">
        <f t="shared" si="57"/>
        <v>446.6</v>
      </c>
    </row>
    <row r="762" spans="1:10" ht="15" customHeight="1">
      <c r="A762" s="208" t="s">
        <v>39</v>
      </c>
      <c r="B762" s="241" t="s">
        <v>14504</v>
      </c>
      <c r="C762" s="1181" t="s">
        <v>14313</v>
      </c>
      <c r="D762" s="161" t="str">
        <f>IF(B762="SEPLAG",VLOOKUP(COMPOSIÇÕES!C762,'MAPA COMPARATIVO'!A:B,2,FALSE),VLOOKUP(C762,'NAO DESO'!A:B,2,0))</f>
        <v>PRESILHA DE FIXAÇÃO DO ARREMATE MP-347</v>
      </c>
      <c r="E762" s="1194" t="s">
        <v>24</v>
      </c>
      <c r="F762" s="242">
        <v>74</v>
      </c>
      <c r="G762" s="242">
        <f>IF(B762="SEPLAG",VLOOKUP(CONCATENATE("MEDIANA - ",C762),COTAÇÃO,5,FALSE),VLOOKUP($C762,'NAO DESO'!$A:$D,4,))</f>
        <v>0.34</v>
      </c>
      <c r="H762" s="242">
        <f t="shared" si="56"/>
        <v>25.16</v>
      </c>
      <c r="I762" s="54">
        <f>IF(B762="SEPLAG",VLOOKUP(CONCATENATE("MEDIANA - ",C762),COTAÇÃO,5,FALSE),VLOOKUP($C762,DESON!$A:$D,4,))</f>
        <v>0.34</v>
      </c>
      <c r="J762" s="209">
        <f t="shared" si="57"/>
        <v>25.16</v>
      </c>
    </row>
    <row r="763" spans="1:10" ht="15" customHeight="1">
      <c r="A763" s="208" t="s">
        <v>39</v>
      </c>
      <c r="B763" s="241" t="s">
        <v>14504</v>
      </c>
      <c r="C763" s="1181" t="s">
        <v>14314</v>
      </c>
      <c r="D763" s="161" t="str">
        <f>IF(B763="SEPLAG",VLOOKUP(COMPOSIÇÕES!C763,'MAPA COMPARATIVO'!A:B,2,FALSE),VLOOKUP(C763,'NAO DESO'!A:B,2,0))</f>
        <v>Parafuso zincado phillips flangeado autobrocante 4,2 x 16mm</v>
      </c>
      <c r="E763" s="1194" t="s">
        <v>24</v>
      </c>
      <c r="F763" s="242">
        <v>74</v>
      </c>
      <c r="G763" s="242">
        <f>IF(B763="SEPLAG",VLOOKUP(CONCATENATE("MEDIANA - ",C763),COTAÇÃO,5,FALSE),VLOOKUP($C763,'NAO DESO'!$A:$D,4,))</f>
        <v>0.28000000000000003</v>
      </c>
      <c r="H763" s="242">
        <f t="shared" si="56"/>
        <v>20.72</v>
      </c>
      <c r="I763" s="54">
        <f>IF(B763="SEPLAG",VLOOKUP(CONCATENATE("MEDIANA - ",C763),COTAÇÃO,5,FALSE),VLOOKUP($C763,DESON!$A:$D,4,))</f>
        <v>0.28000000000000003</v>
      </c>
      <c r="J763" s="209">
        <f t="shared" si="57"/>
        <v>20.72</v>
      </c>
    </row>
    <row r="764" spans="1:10" ht="15" customHeight="1">
      <c r="A764" s="208" t="s">
        <v>39</v>
      </c>
      <c r="B764" s="241" t="s">
        <v>14504</v>
      </c>
      <c r="C764" s="1181" t="s">
        <v>14315</v>
      </c>
      <c r="D764" s="161" t="str">
        <f>IF(B764="SEPLAG",VLOOKUP(COMPOSIÇÕES!C764,'MAPA COMPARATIVO'!A:B,2,FALSE),VLOOKUP(C764,'NAO DESO'!A:B,2,0))</f>
        <v>PARAF. PANELA PHILIPS INOX 4,8 X32 PONTA PILOTO</v>
      </c>
      <c r="E764" s="1194" t="s">
        <v>24</v>
      </c>
      <c r="F764" s="242">
        <f>60+64</f>
        <v>124</v>
      </c>
      <c r="G764" s="242">
        <f>IF(B764="SEPLAG",VLOOKUP(CONCATENATE("MEDIANA - ",C764),COTAÇÃO,5,FALSE),VLOOKUP($C764,'NAO DESO'!$A:$D,4,))</f>
        <v>0.95</v>
      </c>
      <c r="H764" s="242">
        <f t="shared" si="56"/>
        <v>117.8</v>
      </c>
      <c r="I764" s="54">
        <f>IF(B764="SEPLAG",VLOOKUP(CONCATENATE("MEDIANA - ",C764),COTAÇÃO,5,FALSE),VLOOKUP($C764,DESON!$A:$D,4,))</f>
        <v>0.95</v>
      </c>
      <c r="J764" s="209">
        <f t="shared" si="57"/>
        <v>117.8</v>
      </c>
    </row>
    <row r="765" spans="1:10" ht="15" customHeight="1">
      <c r="A765" s="208" t="s">
        <v>39</v>
      </c>
      <c r="B765" s="241" t="s">
        <v>14504</v>
      </c>
      <c r="C765" s="1181" t="s">
        <v>14316</v>
      </c>
      <c r="D765" s="161" t="str">
        <f>IF(B765="SEPLAG",VLOOKUP(COMPOSIÇÕES!C765,'MAPA COMPARATIVO'!A:B,2,FALSE),VLOOKUP(C765,'NAO DESO'!A:B,2,0))</f>
        <v>CHUMBADOR DE CM-063/060</v>
      </c>
      <c r="E765" s="1194" t="s">
        <v>24</v>
      </c>
      <c r="F765" s="242">
        <v>74</v>
      </c>
      <c r="G765" s="242">
        <f>IF(B765="SEPLAG",VLOOKUP(CONCATENATE("MEDIANA - ",C765),COTAÇÃO,5,FALSE),VLOOKUP($C765,'NAO DESO'!$A:$D,4,))</f>
        <v>0.86</v>
      </c>
      <c r="H765" s="242">
        <f t="shared" si="56"/>
        <v>63.64</v>
      </c>
      <c r="I765" s="54">
        <f>IF(B765="SEPLAG",VLOOKUP(CONCATENATE("MEDIANA - ",C765),COTAÇÃO,5,FALSE),VLOOKUP($C765,DESON!$A:$D,4,))</f>
        <v>0.86</v>
      </c>
      <c r="J765" s="209">
        <f t="shared" si="57"/>
        <v>63.64</v>
      </c>
    </row>
    <row r="766" spans="1:10" ht="15" customHeight="1">
      <c r="A766" s="208" t="s">
        <v>39</v>
      </c>
      <c r="B766" s="241" t="s">
        <v>14504</v>
      </c>
      <c r="C766" s="1181" t="s">
        <v>14317</v>
      </c>
      <c r="D766" s="161" t="str">
        <f>IF(B766="SEPLAG",VLOOKUP(COMPOSIÇÕES!C766,'MAPA COMPARATIVO'!A:B,2,FALSE),VLOOKUP(C766,'NAO DESO'!A:B,2,0))</f>
        <v>Silicone neutro incolor 280 g</v>
      </c>
      <c r="E766" s="1194" t="s">
        <v>24</v>
      </c>
      <c r="F766" s="242">
        <v>6</v>
      </c>
      <c r="G766" s="242">
        <f>IF(B766="SEPLAG",VLOOKUP(CONCATENATE("MEDIANA - ",C766),COTAÇÃO,5,FALSE),VLOOKUP($C766,'NAO DESO'!$A:$D,4,))</f>
        <v>43.9</v>
      </c>
      <c r="H766" s="242">
        <f t="shared" si="56"/>
        <v>263.39999999999998</v>
      </c>
      <c r="I766" s="54">
        <f>IF(B766="SEPLAG",VLOOKUP(CONCATENATE("MEDIANA - ",C766),COTAÇÃO,5,FALSE),VLOOKUP($C766,DESON!$A:$D,4,))</f>
        <v>43.9</v>
      </c>
      <c r="J766" s="209">
        <f t="shared" si="57"/>
        <v>263.39999999999998</v>
      </c>
    </row>
    <row r="767" spans="1:10" ht="15" customHeight="1">
      <c r="A767" s="208" t="s">
        <v>245</v>
      </c>
      <c r="B767" s="241"/>
      <c r="C767" s="1181">
        <v>10505</v>
      </c>
      <c r="D767" s="161" t="str">
        <f>IF(B767="SEPLAG",VLOOKUP(COMPOSIÇÕES!C767,'MAPA COMPARATIVO'!A:B,2,FALSE),VLOOKUP(C767,'NAO DESO'!A:B,2,0))</f>
        <v>VIDRO TEMPERADO INCOLOR E = 6 MM, SEM COLOCACAO</v>
      </c>
      <c r="E767" s="241" t="str">
        <f>VLOOKUP($C767,'NAO DESO'!$A:$D,3,)</f>
        <v xml:space="preserve">M2    </v>
      </c>
      <c r="F767" s="242">
        <v>21.42</v>
      </c>
      <c r="G767" s="242">
        <f>IF(B767="SEPLAG",VLOOKUP(CONCATENATE("MEDIANA - ",C767),COTAÇÃO,5,FALSE),VLOOKUP($C767,'NAO DESO'!$A:$D,4,))</f>
        <v>272.77</v>
      </c>
      <c r="H767" s="242">
        <f t="shared" si="56"/>
        <v>5842.73</v>
      </c>
      <c r="I767" s="54" t="str">
        <f>IF(B767="SEPLAG",VLOOKUP(CONCATENATE("MEDIANA - ",C767),COTAÇÃO,5,FALSE),VLOOKUP($C767,DESON!$A:$D,4,))</f>
        <v>272,77</v>
      </c>
      <c r="J767" s="209">
        <f t="shared" si="57"/>
        <v>5842.73</v>
      </c>
    </row>
    <row r="768" spans="1:10" ht="15" customHeight="1">
      <c r="A768" s="208" t="s">
        <v>245</v>
      </c>
      <c r="B768" s="241"/>
      <c r="C768" s="1181">
        <v>88315</v>
      </c>
      <c r="D768" s="161" t="str">
        <f>IF(B768="SEPLAG",VLOOKUP(COMPOSIÇÕES!C768,'MAPA COMPARATIVO'!A:B,2,FALSE),VLOOKUP(C768,'NAO DESO'!A:B,2,0))</f>
        <v>SERRALHEIRO COM ENCARGOS COMPLEMENTARES</v>
      </c>
      <c r="E768" s="241" t="str">
        <f>VLOOKUP($C768,'NAO DESO'!$A:$D,3,)</f>
        <v>H</v>
      </c>
      <c r="F768" s="242">
        <v>69.829199999999986</v>
      </c>
      <c r="G768" s="242" t="str">
        <f>IF(B768="SEPLAG",VLOOKUP(CONCATENATE("MEDIANA - ",C768),COTAÇÃO,5,FALSE),VLOOKUP($C768,'NAO DESO'!$A:$D,4,))</f>
        <v>20,97</v>
      </c>
      <c r="H768" s="242">
        <f t="shared" si="56"/>
        <v>1464.31</v>
      </c>
      <c r="I768" s="54" t="str">
        <f>IF(B768="SEPLAG",VLOOKUP(CONCATENATE("MEDIANA - ",C768),COTAÇÃO,5,FALSE),VLOOKUP($C768,DESON!$A:$D,4,))</f>
        <v>18,75</v>
      </c>
      <c r="J768" s="209">
        <f t="shared" si="57"/>
        <v>1309.29</v>
      </c>
    </row>
    <row r="769" spans="1:10" ht="15" customHeight="1">
      <c r="A769" s="208" t="s">
        <v>245</v>
      </c>
      <c r="B769" s="241"/>
      <c r="C769" s="1181">
        <v>88316</v>
      </c>
      <c r="D769" s="161" t="str">
        <f>IF(B769="SEPLAG",VLOOKUP(COMPOSIÇÕES!C769,'MAPA COMPARATIVO'!A:B,2,FALSE),VLOOKUP(C769,'NAO DESO'!A:B,2,0))</f>
        <v>SERVENTE COM ENCARGOS COMPLEMENTARES</v>
      </c>
      <c r="E769" s="241" t="str">
        <f>VLOOKUP($C769,'NAO DESO'!$A:$D,3,)</f>
        <v>H</v>
      </c>
      <c r="F769" s="242">
        <v>69.829199999999986</v>
      </c>
      <c r="G769" s="242" t="str">
        <f>IF(B769="SEPLAG",VLOOKUP(CONCATENATE("MEDIANA - ",C769),COTAÇÃO,5,FALSE),VLOOKUP($C769,'NAO DESO'!$A:$D,4,))</f>
        <v>16,83</v>
      </c>
      <c r="H769" s="242">
        <f t="shared" si="56"/>
        <v>1175.22</v>
      </c>
      <c r="I769" s="54" t="str">
        <f>IF(B769="SEPLAG",VLOOKUP(CONCATENATE("MEDIANA - ",C769),COTAÇÃO,5,FALSE),VLOOKUP($C769,DESON!$A:$D,4,))</f>
        <v>15,16</v>
      </c>
      <c r="J769" s="209">
        <f t="shared" si="57"/>
        <v>1058.6099999999999</v>
      </c>
    </row>
    <row r="770" spans="1:10" ht="15" customHeight="1">
      <c r="A770" s="210" t="str">
        <f>CONCATENATE("TOTAL DO ITEM NÃO DESON. - ",C743)</f>
        <v>TOTAL DO ITEM NÃO DESON. - SEPLAG  ARQ 68</v>
      </c>
      <c r="B770" s="424"/>
      <c r="C770" s="424"/>
      <c r="D770" s="424"/>
      <c r="E770" s="424"/>
      <c r="F770" s="425"/>
      <c r="G770" s="426"/>
      <c r="H770" s="1182">
        <f>SUM(H745:H769)</f>
        <v>16791.59</v>
      </c>
      <c r="I770" s="214"/>
      <c r="J770" s="215"/>
    </row>
    <row r="771" spans="1:10" ht="15.75" customHeight="1" thickBot="1">
      <c r="A771" s="216" t="str">
        <f>CONCATENATE("TOTAL DO ITEM DESON. - ",C743)</f>
        <v>TOTAL DO ITEM DESON. - SEPLAG  ARQ 68</v>
      </c>
      <c r="B771" s="427"/>
      <c r="C771" s="427"/>
      <c r="D771" s="427"/>
      <c r="E771" s="427"/>
      <c r="F771" s="428"/>
      <c r="G771" s="429"/>
      <c r="H771" s="1187"/>
      <c r="I771" s="229"/>
      <c r="J771" s="219">
        <f>SUM(J745:J769)</f>
        <v>16519.96</v>
      </c>
    </row>
    <row r="772" spans="1:10" ht="15" customHeight="1" thickBot="1">
      <c r="A772" s="235"/>
      <c r="B772" s="1135"/>
      <c r="C772" s="1135"/>
      <c r="D772" s="1135"/>
      <c r="E772" s="1135"/>
      <c r="F772" s="1188"/>
      <c r="G772" s="1188"/>
      <c r="H772" s="1188"/>
      <c r="I772" s="236"/>
      <c r="J772" s="237"/>
    </row>
    <row r="773" spans="1:10" ht="24.75" customHeight="1">
      <c r="A773" s="198"/>
      <c r="B773" s="1175"/>
      <c r="C773" s="1176" t="s">
        <v>7345</v>
      </c>
      <c r="D773" s="156" t="s">
        <v>7620</v>
      </c>
      <c r="E773" s="1176" t="s">
        <v>32</v>
      </c>
      <c r="F773" s="1177" t="s">
        <v>18</v>
      </c>
      <c r="G773" s="1178" t="s">
        <v>7017</v>
      </c>
      <c r="H773" s="1179"/>
      <c r="I773" s="200" t="s">
        <v>7016</v>
      </c>
      <c r="J773" s="201"/>
    </row>
    <row r="774" spans="1:10" ht="15" customHeight="1">
      <c r="A774" s="233"/>
      <c r="B774" s="247"/>
      <c r="C774" s="1155"/>
      <c r="D774" s="157"/>
      <c r="E774" s="1155"/>
      <c r="F774" s="1180"/>
      <c r="G774" s="1180" t="s">
        <v>19</v>
      </c>
      <c r="H774" s="1180" t="s">
        <v>20</v>
      </c>
      <c r="I774" s="205" t="s">
        <v>19</v>
      </c>
      <c r="J774" s="206" t="s">
        <v>20</v>
      </c>
    </row>
    <row r="775" spans="1:10" ht="15" customHeight="1">
      <c r="A775" s="208" t="s">
        <v>39</v>
      </c>
      <c r="B775" s="241"/>
      <c r="C775" s="241">
        <v>34360</v>
      </c>
      <c r="D775" s="161" t="s">
        <v>7323</v>
      </c>
      <c r="E775" s="1194" t="s">
        <v>133</v>
      </c>
      <c r="F775" s="242">
        <f>3.87+3.8+1.09+6.876</f>
        <v>15.635999999999999</v>
      </c>
      <c r="G775" s="242">
        <f>IF(B775="SEPLAG",VLOOKUP(CONCATENATE("MEDIANA - ",C775),COTAÇÃO,5,FALSE),VLOOKUP($C775,'NAO DESO'!$A:$D,4,))</f>
        <v>47.31</v>
      </c>
      <c r="H775" s="242">
        <f t="shared" ref="H775:H799" si="58">TRUNC(F775*G775,2)</f>
        <v>739.73</v>
      </c>
      <c r="I775" s="54" t="str">
        <f>IF(B775="SEPLAG",VLOOKUP(CONCATENATE("MEDIANA - ",C775),COTAÇÃO,5,FALSE),VLOOKUP($C775,DESON!$A:$D,4,))</f>
        <v>47,31</v>
      </c>
      <c r="J775" s="209">
        <f t="shared" ref="J775:J799" si="59">TRUNC(F775*I775,2)</f>
        <v>739.73</v>
      </c>
    </row>
    <row r="776" spans="1:10" ht="15" customHeight="1">
      <c r="A776" s="208" t="s">
        <v>39</v>
      </c>
      <c r="B776" s="241"/>
      <c r="C776" s="241">
        <v>34360</v>
      </c>
      <c r="D776" s="161" t="s">
        <v>7324</v>
      </c>
      <c r="E776" s="1194" t="s">
        <v>133</v>
      </c>
      <c r="F776" s="242">
        <f>3.07+0.149</f>
        <v>3.2189999999999999</v>
      </c>
      <c r="G776" s="242">
        <f>IF(B776="SEPLAG",VLOOKUP(CONCATENATE("MEDIANA - ",C776),COTAÇÃO,5,FALSE),VLOOKUP($C776,'NAO DESO'!$A:$D,4,))</f>
        <v>47.31</v>
      </c>
      <c r="H776" s="242">
        <f t="shared" si="58"/>
        <v>152.29</v>
      </c>
      <c r="I776" s="54" t="str">
        <f>IF(B776="SEPLAG",VLOOKUP(CONCATENATE("MEDIANA - ",C776),COTAÇÃO,5,FALSE),VLOOKUP($C776,DESON!$A:$D,4,))</f>
        <v>47,31</v>
      </c>
      <c r="J776" s="209">
        <f t="shared" si="59"/>
        <v>152.29</v>
      </c>
    </row>
    <row r="777" spans="1:10" ht="15" customHeight="1">
      <c r="A777" s="208" t="s">
        <v>39</v>
      </c>
      <c r="B777" s="241"/>
      <c r="C777" s="241">
        <v>34360</v>
      </c>
      <c r="D777" s="161" t="s">
        <v>7325</v>
      </c>
      <c r="E777" s="1194" t="s">
        <v>133</v>
      </c>
      <c r="F777" s="242">
        <f>0.059+1.215</f>
        <v>1.274</v>
      </c>
      <c r="G777" s="242">
        <f>IF(B777="SEPLAG",VLOOKUP(CONCATENATE("MEDIANA - ",C777),COTAÇÃO,5,FALSE),VLOOKUP($C777,'NAO DESO'!$A:$D,4,))</f>
        <v>47.31</v>
      </c>
      <c r="H777" s="242">
        <f t="shared" si="58"/>
        <v>60.27</v>
      </c>
      <c r="I777" s="54" t="str">
        <f>IF(B777="SEPLAG",VLOOKUP(CONCATENATE("MEDIANA - ",C777),COTAÇÃO,5,FALSE),VLOOKUP($C777,DESON!$A:$D,4,))</f>
        <v>47,31</v>
      </c>
      <c r="J777" s="209">
        <f t="shared" si="59"/>
        <v>60.27</v>
      </c>
    </row>
    <row r="778" spans="1:10" ht="15" customHeight="1">
      <c r="A778" s="208" t="s">
        <v>39</v>
      </c>
      <c r="B778" s="241"/>
      <c r="C778" s="241">
        <v>34360</v>
      </c>
      <c r="D778" s="161" t="s">
        <v>7326</v>
      </c>
      <c r="E778" s="1194" t="s">
        <v>133</v>
      </c>
      <c r="F778" s="242">
        <f>5.796+0.782</f>
        <v>6.5780000000000003</v>
      </c>
      <c r="G778" s="242">
        <f>IF(B778="SEPLAG",VLOOKUP(CONCATENATE("MEDIANA - ",C778),COTAÇÃO,5,FALSE),VLOOKUP($C778,'NAO DESO'!$A:$D,4,))</f>
        <v>47.31</v>
      </c>
      <c r="H778" s="242">
        <f t="shared" si="58"/>
        <v>311.2</v>
      </c>
      <c r="I778" s="54" t="str">
        <f>IF(B778="SEPLAG",VLOOKUP(CONCATENATE("MEDIANA - ",C778),COTAÇÃO,5,FALSE),VLOOKUP($C778,DESON!$A:$D,4,))</f>
        <v>47,31</v>
      </c>
      <c r="J778" s="209">
        <f t="shared" si="59"/>
        <v>311.2</v>
      </c>
    </row>
    <row r="779" spans="1:10" ht="15" customHeight="1">
      <c r="A779" s="208" t="s">
        <v>39</v>
      </c>
      <c r="B779" s="241"/>
      <c r="C779" s="241">
        <v>34360</v>
      </c>
      <c r="D779" s="161" t="s">
        <v>7327</v>
      </c>
      <c r="E779" s="1194" t="s">
        <v>133</v>
      </c>
      <c r="F779" s="242">
        <f>10.18+1.355</f>
        <v>11.535</v>
      </c>
      <c r="G779" s="242">
        <f>IF(B779="SEPLAG",VLOOKUP(CONCATENATE("MEDIANA - ",C779),COTAÇÃO,5,FALSE),VLOOKUP($C779,'NAO DESO'!$A:$D,4,))</f>
        <v>47.31</v>
      </c>
      <c r="H779" s="242">
        <f t="shared" si="58"/>
        <v>545.72</v>
      </c>
      <c r="I779" s="54" t="str">
        <f>IF(B779="SEPLAG",VLOOKUP(CONCATENATE("MEDIANA - ",C779),COTAÇÃO,5,FALSE),VLOOKUP($C779,DESON!$A:$D,4,))</f>
        <v>47,31</v>
      </c>
      <c r="J779" s="209">
        <f t="shared" si="59"/>
        <v>545.72</v>
      </c>
    </row>
    <row r="780" spans="1:10" ht="15" customHeight="1">
      <c r="A780" s="208" t="s">
        <v>39</v>
      </c>
      <c r="B780" s="241"/>
      <c r="C780" s="241">
        <v>34360</v>
      </c>
      <c r="D780" s="161" t="s">
        <v>7328</v>
      </c>
      <c r="E780" s="1194" t="s">
        <v>133</v>
      </c>
      <c r="F780" s="242">
        <f>18.59</f>
        <v>18.59</v>
      </c>
      <c r="G780" s="242">
        <f>IF(B780="SEPLAG",VLOOKUP(CONCATENATE("MEDIANA - ",C780),COTAÇÃO,5,FALSE),VLOOKUP($C780,'NAO DESO'!$A:$D,4,))</f>
        <v>47.31</v>
      </c>
      <c r="H780" s="242">
        <f t="shared" si="58"/>
        <v>879.49</v>
      </c>
      <c r="I780" s="54" t="str">
        <f>IF(B780="SEPLAG",VLOOKUP(CONCATENATE("MEDIANA - ",C780),COTAÇÃO,5,FALSE),VLOOKUP($C780,DESON!$A:$D,4,))</f>
        <v>47,31</v>
      </c>
      <c r="J780" s="209">
        <f t="shared" si="59"/>
        <v>879.49</v>
      </c>
    </row>
    <row r="781" spans="1:10" ht="15" customHeight="1">
      <c r="A781" s="208" t="s">
        <v>39</v>
      </c>
      <c r="B781" s="241"/>
      <c r="C781" s="241">
        <v>34360</v>
      </c>
      <c r="D781" s="161" t="s">
        <v>7329</v>
      </c>
      <c r="E781" s="1194" t="s">
        <v>133</v>
      </c>
      <c r="F781" s="242">
        <f>9.217</f>
        <v>9.2170000000000005</v>
      </c>
      <c r="G781" s="242">
        <f>IF(B781="SEPLAG",VLOOKUP(CONCATENATE("MEDIANA - ",C781),COTAÇÃO,5,FALSE),VLOOKUP($C781,'NAO DESO'!$A:$D,4,))</f>
        <v>47.31</v>
      </c>
      <c r="H781" s="242">
        <f t="shared" si="58"/>
        <v>436.05</v>
      </c>
      <c r="I781" s="54" t="str">
        <f>IF(B781="SEPLAG",VLOOKUP(CONCATENATE("MEDIANA - ",C781),COTAÇÃO,5,FALSE),VLOOKUP($C781,DESON!$A:$D,4,))</f>
        <v>47,31</v>
      </c>
      <c r="J781" s="209">
        <f t="shared" si="59"/>
        <v>436.05</v>
      </c>
    </row>
    <row r="782" spans="1:10" ht="15" customHeight="1">
      <c r="A782" s="208" t="s">
        <v>39</v>
      </c>
      <c r="B782" s="241"/>
      <c r="C782" s="241">
        <v>34360</v>
      </c>
      <c r="D782" s="161" t="s">
        <v>7330</v>
      </c>
      <c r="E782" s="1194" t="s">
        <v>133</v>
      </c>
      <c r="F782" s="242">
        <f>3.954+2.5</f>
        <v>6.4540000000000006</v>
      </c>
      <c r="G782" s="242">
        <f>IF(B782="SEPLAG",VLOOKUP(CONCATENATE("MEDIANA - ",C782),COTAÇÃO,5,FALSE),VLOOKUP($C782,'NAO DESO'!$A:$D,4,))</f>
        <v>47.31</v>
      </c>
      <c r="H782" s="242">
        <f t="shared" si="58"/>
        <v>305.33</v>
      </c>
      <c r="I782" s="54" t="str">
        <f>IF(B782="SEPLAG",VLOOKUP(CONCATENATE("MEDIANA - ",C782),COTAÇÃO,5,FALSE),VLOOKUP($C782,DESON!$A:$D,4,))</f>
        <v>47,31</v>
      </c>
      <c r="J782" s="209">
        <f t="shared" si="59"/>
        <v>305.33</v>
      </c>
    </row>
    <row r="783" spans="1:10" ht="15" customHeight="1">
      <c r="A783" s="208" t="s">
        <v>39</v>
      </c>
      <c r="B783" s="241"/>
      <c r="C783" s="241">
        <v>34360</v>
      </c>
      <c r="D783" s="161" t="s">
        <v>7331</v>
      </c>
      <c r="E783" s="1194" t="s">
        <v>133</v>
      </c>
      <c r="F783" s="242">
        <f>23.03+12.98</f>
        <v>36.010000000000005</v>
      </c>
      <c r="G783" s="242">
        <f>IF(B783="SEPLAG",VLOOKUP(CONCATENATE("MEDIANA - ",C783),COTAÇÃO,5,FALSE),VLOOKUP($C783,'NAO DESO'!$A:$D,4,))</f>
        <v>47.31</v>
      </c>
      <c r="H783" s="242">
        <f t="shared" si="58"/>
        <v>1703.63</v>
      </c>
      <c r="I783" s="54" t="str">
        <f>IF(B783="SEPLAG",VLOOKUP(CONCATENATE("MEDIANA - ",C783),COTAÇÃO,5,FALSE),VLOOKUP($C783,DESON!$A:$D,4,))</f>
        <v>47,31</v>
      </c>
      <c r="J783" s="209">
        <f t="shared" si="59"/>
        <v>1703.63</v>
      </c>
    </row>
    <row r="784" spans="1:10" ht="15" customHeight="1">
      <c r="A784" s="208" t="s">
        <v>39</v>
      </c>
      <c r="B784" s="241"/>
      <c r="C784" s="241">
        <v>34360</v>
      </c>
      <c r="D784" s="161" t="s">
        <v>7332</v>
      </c>
      <c r="E784" s="1194" t="s">
        <v>133</v>
      </c>
      <c r="F784" s="242">
        <f>1.986</f>
        <v>1.986</v>
      </c>
      <c r="G784" s="242">
        <f>IF(B784="SEPLAG",VLOOKUP(CONCATENATE("MEDIANA - ",C784),COTAÇÃO,5,FALSE),VLOOKUP($C784,'NAO DESO'!$A:$D,4,))</f>
        <v>47.31</v>
      </c>
      <c r="H784" s="242">
        <f t="shared" si="58"/>
        <v>93.95</v>
      </c>
      <c r="I784" s="54" t="str">
        <f>IF(B784="SEPLAG",VLOOKUP(CONCATENATE("MEDIANA - ",C784),COTAÇÃO,5,FALSE),VLOOKUP($C784,DESON!$A:$D,4,))</f>
        <v>47,31</v>
      </c>
      <c r="J784" s="209">
        <f t="shared" si="59"/>
        <v>93.95</v>
      </c>
    </row>
    <row r="785" spans="1:10" ht="15" customHeight="1">
      <c r="A785" s="208" t="s">
        <v>39</v>
      </c>
      <c r="B785" s="241"/>
      <c r="C785" s="241">
        <v>34360</v>
      </c>
      <c r="D785" s="161" t="s">
        <v>7333</v>
      </c>
      <c r="E785" s="1194" t="s">
        <v>133</v>
      </c>
      <c r="F785" s="242">
        <f>0.695+5.098</f>
        <v>5.7930000000000001</v>
      </c>
      <c r="G785" s="242">
        <f>IF(B785="SEPLAG",VLOOKUP(CONCATENATE("MEDIANA - ",C785),COTAÇÃO,5,FALSE),VLOOKUP($C785,'NAO DESO'!$A:$D,4,))</f>
        <v>47.31</v>
      </c>
      <c r="H785" s="242">
        <f t="shared" si="58"/>
        <v>274.06</v>
      </c>
      <c r="I785" s="54" t="str">
        <f>IF(B785="SEPLAG",VLOOKUP(CONCATENATE("MEDIANA - ",C785),COTAÇÃO,5,FALSE),VLOOKUP($C785,DESON!$A:$D,4,))</f>
        <v>47,31</v>
      </c>
      <c r="J785" s="209">
        <f t="shared" si="59"/>
        <v>274.06</v>
      </c>
    </row>
    <row r="786" spans="1:10" ht="15" customHeight="1">
      <c r="A786" s="208" t="s">
        <v>39</v>
      </c>
      <c r="B786" s="241" t="s">
        <v>14504</v>
      </c>
      <c r="C786" s="1181" t="s">
        <v>14307</v>
      </c>
      <c r="D786" s="161" t="str">
        <f>IF(B786="SEPLAG",VLOOKUP(COMPOSIÇÕES!C786,'MAPA COMPARATIVO'!A:B,2,FALSE),VLOOKUP(C786,'NAO DESO'!A:B,2,0))</f>
        <v xml:space="preserve">Braço de max-ar linha gold de 600mm </v>
      </c>
      <c r="E786" s="1194" t="s">
        <v>24</v>
      </c>
      <c r="F786" s="242">
        <v>16</v>
      </c>
      <c r="G786" s="242">
        <f>IF(B786="SEPLAG",VLOOKUP(CONCATENATE("MEDIANA - ",C786),COTAÇÃO,5,FALSE),VLOOKUP($C786,'NAO DESO'!$A:$D,4,))</f>
        <v>36.575000000000003</v>
      </c>
      <c r="H786" s="242">
        <f t="shared" si="58"/>
        <v>585.20000000000005</v>
      </c>
      <c r="I786" s="54">
        <f>IF(B786="SEPLAG",VLOOKUP(CONCATENATE("MEDIANA - ",C786),COTAÇÃO,5,FALSE),VLOOKUP($C786,DESON!$A:$D,4,))</f>
        <v>36.575000000000003</v>
      </c>
      <c r="J786" s="209">
        <f t="shared" si="59"/>
        <v>585.20000000000005</v>
      </c>
    </row>
    <row r="787" spans="1:10" ht="15" customHeight="1">
      <c r="A787" s="208" t="s">
        <v>39</v>
      </c>
      <c r="B787" s="241" t="s">
        <v>14504</v>
      </c>
      <c r="C787" s="1181" t="s">
        <v>14308</v>
      </c>
      <c r="D787" s="161" t="str">
        <f>IF(B787="SEPLAG",VLOOKUP(COMPOSIÇÕES!C787,'MAPA COMPARATIVO'!A:B,2,FALSE),VLOOKUP(C787,'NAO DESO'!A:B,2,0))</f>
        <v>Fecho max-ar linha gold</v>
      </c>
      <c r="E787" s="1194" t="s">
        <v>24</v>
      </c>
      <c r="F787" s="242">
        <v>16</v>
      </c>
      <c r="G787" s="242">
        <f>IF(B787="SEPLAG",VLOOKUP(CONCATENATE("MEDIANA - ",C787),COTAÇÃO,5,FALSE),VLOOKUP($C787,'NAO DESO'!$A:$D,4,))</f>
        <v>47.36</v>
      </c>
      <c r="H787" s="242">
        <f t="shared" si="58"/>
        <v>757.76</v>
      </c>
      <c r="I787" s="54">
        <f>IF(B787="SEPLAG",VLOOKUP(CONCATENATE("MEDIANA - ",C787),COTAÇÃO,5,FALSE),VLOOKUP($C787,DESON!$A:$D,4,))</f>
        <v>47.36</v>
      </c>
      <c r="J787" s="209">
        <f t="shared" si="59"/>
        <v>757.76</v>
      </c>
    </row>
    <row r="788" spans="1:10" ht="15" customHeight="1">
      <c r="A788" s="208" t="s">
        <v>39</v>
      </c>
      <c r="B788" s="241" t="s">
        <v>14504</v>
      </c>
      <c r="C788" s="1181" t="s">
        <v>14309</v>
      </c>
      <c r="D788" s="161" t="str">
        <f>IF(B788="SEPLAG",VLOOKUP(COMPOSIÇÕES!C788,'MAPA COMPARATIVO'!A:B,2,FALSE),VLOOKUP(C788,'NAO DESO'!A:B,2,0))</f>
        <v>Guarnição em EPDM p/ pingadeira</v>
      </c>
      <c r="E788" s="1194" t="s">
        <v>250</v>
      </c>
      <c r="F788" s="242">
        <v>12.57</v>
      </c>
      <c r="G788" s="242">
        <f>IF(B788="SEPLAG",VLOOKUP(CONCATENATE("MEDIANA - ",C788),COTAÇÃO,5,FALSE),VLOOKUP($C788,'NAO DESO'!$A:$D,4,))</f>
        <v>4.3849999999999998</v>
      </c>
      <c r="H788" s="242">
        <f t="shared" si="58"/>
        <v>55.11</v>
      </c>
      <c r="I788" s="54">
        <f>IF(B788="SEPLAG",VLOOKUP(CONCATENATE("MEDIANA - ",C788),COTAÇÃO,5,FALSE),VLOOKUP($C788,DESON!$A:$D,4,))</f>
        <v>4.3849999999999998</v>
      </c>
      <c r="J788" s="209">
        <f t="shared" si="59"/>
        <v>55.11</v>
      </c>
    </row>
    <row r="789" spans="1:10" ht="15" customHeight="1">
      <c r="A789" s="208" t="s">
        <v>39</v>
      </c>
      <c r="B789" s="241" t="s">
        <v>14504</v>
      </c>
      <c r="C789" s="1181" t="s">
        <v>14310</v>
      </c>
      <c r="D789" s="161" t="str">
        <f>IF(B789="SEPLAG",VLOOKUP(COMPOSIÇÕES!C789,'MAPA COMPARATIVO'!A:B,2,FALSE),VLOOKUP(C789,'NAO DESO'!A:B,2,0))</f>
        <v>Guarnição em EPDM para vidro</v>
      </c>
      <c r="E789" s="1194" t="s">
        <v>250</v>
      </c>
      <c r="F789" s="242">
        <f>68.1+34.8</f>
        <v>102.89999999999999</v>
      </c>
      <c r="G789" s="242">
        <f>IF(B789="SEPLAG",VLOOKUP(CONCATENATE("MEDIANA - ",C789),COTAÇÃO,5,FALSE),VLOOKUP($C789,'NAO DESO'!$A:$D,4,))</f>
        <v>2.4091999999999998</v>
      </c>
      <c r="H789" s="242">
        <f t="shared" si="58"/>
        <v>247.9</v>
      </c>
      <c r="I789" s="54">
        <f>IF(B789="SEPLAG",VLOOKUP(CONCATENATE("MEDIANA - ",C789),COTAÇÃO,5,FALSE),VLOOKUP($C789,DESON!$A:$D,4,))</f>
        <v>2.4091999999999998</v>
      </c>
      <c r="J789" s="209">
        <f t="shared" si="59"/>
        <v>247.9</v>
      </c>
    </row>
    <row r="790" spans="1:10" ht="15" customHeight="1">
      <c r="A790" s="208" t="s">
        <v>39</v>
      </c>
      <c r="B790" s="241" t="s">
        <v>14504</v>
      </c>
      <c r="C790" s="1181" t="s">
        <v>14311</v>
      </c>
      <c r="D790" s="161" t="str">
        <f>IF(B790="SEPLAG",VLOOKUP(COMPOSIÇÕES!C790,'MAPA COMPARATIVO'!A:B,2,FALSE),VLOOKUP(C790,'NAO DESO'!A:B,2,0))</f>
        <v>Espuma adesiva 1 face</v>
      </c>
      <c r="E790" s="1194" t="s">
        <v>250</v>
      </c>
      <c r="F790" s="242">
        <f>34.8+68.1</f>
        <v>102.89999999999999</v>
      </c>
      <c r="G790" s="242">
        <f>IF(B790="SEPLAG",VLOOKUP(CONCATENATE("MEDIANA - ",C790),COTAÇÃO,5,FALSE),VLOOKUP($C790,'NAO DESO'!$A:$D,4,))</f>
        <v>2.1800000000000002</v>
      </c>
      <c r="H790" s="242">
        <f t="shared" si="58"/>
        <v>224.32</v>
      </c>
      <c r="I790" s="54">
        <f>IF(B790="SEPLAG",VLOOKUP(CONCATENATE("MEDIANA - ",C790),COTAÇÃO,5,FALSE),VLOOKUP($C790,DESON!$A:$D,4,))</f>
        <v>2.1800000000000002</v>
      </c>
      <c r="J790" s="209">
        <f t="shared" si="59"/>
        <v>224.32</v>
      </c>
    </row>
    <row r="791" spans="1:10" ht="15" customHeight="1">
      <c r="A791" s="208" t="s">
        <v>39</v>
      </c>
      <c r="B791" s="241" t="s">
        <v>14504</v>
      </c>
      <c r="C791" s="1181" t="s">
        <v>14312</v>
      </c>
      <c r="D791" s="161" t="str">
        <f>IF(B791="SEPLAG",VLOOKUP(COMPOSIÇÕES!C791,'MAPA COMPARATIVO'!A:B,2,FALSE),VLOOKUP(C791,'NAO DESO'!A:B,2,0))</f>
        <v>Guarnição em EPDM p/ marco max-ar</v>
      </c>
      <c r="E791" s="1194" t="s">
        <v>7388</v>
      </c>
      <c r="F791" s="242">
        <v>117.1</v>
      </c>
      <c r="G791" s="242">
        <f>IF(B791="SEPLAG",VLOOKUP(CONCATENATE("MEDIANA - ",C791),COTAÇÃO,5,FALSE),VLOOKUP($C791,'NAO DESO'!$A:$D,4,))</f>
        <v>3.8138999999999998</v>
      </c>
      <c r="H791" s="242">
        <f t="shared" si="58"/>
        <v>446.6</v>
      </c>
      <c r="I791" s="54">
        <f>IF(B791="SEPLAG",VLOOKUP(CONCATENATE("MEDIANA - ",C791),COTAÇÃO,5,FALSE),VLOOKUP($C791,DESON!$A:$D,4,))</f>
        <v>3.8138999999999998</v>
      </c>
      <c r="J791" s="209">
        <f t="shared" si="59"/>
        <v>446.6</v>
      </c>
    </row>
    <row r="792" spans="1:10" ht="15" customHeight="1">
      <c r="A792" s="208" t="s">
        <v>39</v>
      </c>
      <c r="B792" s="241" t="s">
        <v>14504</v>
      </c>
      <c r="C792" s="1181" t="s">
        <v>14313</v>
      </c>
      <c r="D792" s="161" t="str">
        <f>IF(B792="SEPLAG",VLOOKUP(COMPOSIÇÕES!C792,'MAPA COMPARATIVO'!A:B,2,FALSE),VLOOKUP(C792,'NAO DESO'!A:B,2,0))</f>
        <v>PRESILHA DE FIXAÇÃO DO ARREMATE MP-347</v>
      </c>
      <c r="E792" s="1194" t="s">
        <v>24</v>
      </c>
      <c r="F792" s="242">
        <v>74</v>
      </c>
      <c r="G792" s="242">
        <f>IF(B792="SEPLAG",VLOOKUP(CONCATENATE("MEDIANA - ",C792),COTAÇÃO,5,FALSE),VLOOKUP($C792,'NAO DESO'!$A:$D,4,))</f>
        <v>0.34</v>
      </c>
      <c r="H792" s="242">
        <f t="shared" si="58"/>
        <v>25.16</v>
      </c>
      <c r="I792" s="54">
        <f>IF(B792="SEPLAG",VLOOKUP(CONCATENATE("MEDIANA - ",C792),COTAÇÃO,5,FALSE),VLOOKUP($C792,DESON!$A:$D,4,))</f>
        <v>0.34</v>
      </c>
      <c r="J792" s="209">
        <f t="shared" si="59"/>
        <v>25.16</v>
      </c>
    </row>
    <row r="793" spans="1:10" ht="15" customHeight="1">
      <c r="A793" s="208" t="s">
        <v>39</v>
      </c>
      <c r="B793" s="241" t="s">
        <v>14504</v>
      </c>
      <c r="C793" s="1181" t="s">
        <v>14314</v>
      </c>
      <c r="D793" s="161" t="str">
        <f>IF(B793="SEPLAG",VLOOKUP(COMPOSIÇÕES!C793,'MAPA COMPARATIVO'!A:B,2,FALSE),VLOOKUP(C793,'NAO DESO'!A:B,2,0))</f>
        <v>Parafuso zincado phillips flangeado autobrocante 4,2 x 16mm</v>
      </c>
      <c r="E793" s="1194" t="s">
        <v>24</v>
      </c>
      <c r="F793" s="242">
        <v>74</v>
      </c>
      <c r="G793" s="242">
        <f>IF(B793="SEPLAG",VLOOKUP(CONCATENATE("MEDIANA - ",C793),COTAÇÃO,5,FALSE),VLOOKUP($C793,'NAO DESO'!$A:$D,4,))</f>
        <v>0.28000000000000003</v>
      </c>
      <c r="H793" s="242">
        <f t="shared" si="58"/>
        <v>20.72</v>
      </c>
      <c r="I793" s="54">
        <f>IF(B793="SEPLAG",VLOOKUP(CONCATENATE("MEDIANA - ",C793),COTAÇÃO,5,FALSE),VLOOKUP($C793,DESON!$A:$D,4,))</f>
        <v>0.28000000000000003</v>
      </c>
      <c r="J793" s="209">
        <f t="shared" si="59"/>
        <v>20.72</v>
      </c>
    </row>
    <row r="794" spans="1:10" ht="15" customHeight="1">
      <c r="A794" s="208" t="s">
        <v>39</v>
      </c>
      <c r="B794" s="241" t="s">
        <v>14504</v>
      </c>
      <c r="C794" s="1181" t="s">
        <v>14315</v>
      </c>
      <c r="D794" s="161" t="str">
        <f>IF(B794="SEPLAG",VLOOKUP(COMPOSIÇÕES!C794,'MAPA COMPARATIVO'!A:B,2,FALSE),VLOOKUP(C794,'NAO DESO'!A:B,2,0))</f>
        <v>PARAF. PANELA PHILIPS INOX 4,8 X32 PONTA PILOTO</v>
      </c>
      <c r="E794" s="1194" t="s">
        <v>24</v>
      </c>
      <c r="F794" s="242">
        <f>60+64</f>
        <v>124</v>
      </c>
      <c r="G794" s="242">
        <f>IF(B794="SEPLAG",VLOOKUP(CONCATENATE("MEDIANA - ",C794),COTAÇÃO,5,FALSE),VLOOKUP($C794,'NAO DESO'!$A:$D,4,))</f>
        <v>0.95</v>
      </c>
      <c r="H794" s="242">
        <f t="shared" si="58"/>
        <v>117.8</v>
      </c>
      <c r="I794" s="54">
        <f>IF(B794="SEPLAG",VLOOKUP(CONCATENATE("MEDIANA - ",C794),COTAÇÃO,5,FALSE),VLOOKUP($C794,DESON!$A:$D,4,))</f>
        <v>0.95</v>
      </c>
      <c r="J794" s="209">
        <f t="shared" si="59"/>
        <v>117.8</v>
      </c>
    </row>
    <row r="795" spans="1:10" ht="15" customHeight="1">
      <c r="A795" s="208" t="s">
        <v>39</v>
      </c>
      <c r="B795" s="241" t="s">
        <v>14504</v>
      </c>
      <c r="C795" s="1181" t="s">
        <v>14316</v>
      </c>
      <c r="D795" s="161" t="str">
        <f>IF(B795="SEPLAG",VLOOKUP(COMPOSIÇÕES!C795,'MAPA COMPARATIVO'!A:B,2,FALSE),VLOOKUP(C795,'NAO DESO'!A:B,2,0))</f>
        <v>CHUMBADOR DE CM-063/060</v>
      </c>
      <c r="E795" s="1194" t="s">
        <v>24</v>
      </c>
      <c r="F795" s="242">
        <v>74</v>
      </c>
      <c r="G795" s="242">
        <f>IF(B795="SEPLAG",VLOOKUP(CONCATENATE("MEDIANA - ",C795),COTAÇÃO,5,FALSE),VLOOKUP($C795,'NAO DESO'!$A:$D,4,))</f>
        <v>0.86</v>
      </c>
      <c r="H795" s="242">
        <f t="shared" si="58"/>
        <v>63.64</v>
      </c>
      <c r="I795" s="54">
        <f>IF(B795="SEPLAG",VLOOKUP(CONCATENATE("MEDIANA - ",C795),COTAÇÃO,5,FALSE),VLOOKUP($C795,DESON!$A:$D,4,))</f>
        <v>0.86</v>
      </c>
      <c r="J795" s="209">
        <f t="shared" si="59"/>
        <v>63.64</v>
      </c>
    </row>
    <row r="796" spans="1:10" ht="15" customHeight="1">
      <c r="A796" s="208" t="s">
        <v>39</v>
      </c>
      <c r="B796" s="241" t="s">
        <v>14504</v>
      </c>
      <c r="C796" s="1181" t="s">
        <v>14317</v>
      </c>
      <c r="D796" s="161" t="str">
        <f>IF(B796="SEPLAG",VLOOKUP(COMPOSIÇÕES!C796,'MAPA COMPARATIVO'!A:B,2,FALSE),VLOOKUP(C796,'NAO DESO'!A:B,2,0))</f>
        <v>Silicone neutro incolor 280 g</v>
      </c>
      <c r="E796" s="1194" t="s">
        <v>24</v>
      </c>
      <c r="F796" s="242">
        <v>3.5</v>
      </c>
      <c r="G796" s="242">
        <f>IF(B796="SEPLAG",VLOOKUP(CONCATENATE("MEDIANA - ",C796),COTAÇÃO,5,FALSE),VLOOKUP($C796,'NAO DESO'!$A:$D,4,))</f>
        <v>43.9</v>
      </c>
      <c r="H796" s="242">
        <f t="shared" si="58"/>
        <v>153.65</v>
      </c>
      <c r="I796" s="54">
        <f>IF(B796="SEPLAG",VLOOKUP(CONCATENATE("MEDIANA - ",C796),COTAÇÃO,5,FALSE),VLOOKUP($C796,DESON!$A:$D,4,))</f>
        <v>43.9</v>
      </c>
      <c r="J796" s="209">
        <f t="shared" si="59"/>
        <v>153.65</v>
      </c>
    </row>
    <row r="797" spans="1:10" ht="15" customHeight="1">
      <c r="A797" s="208" t="s">
        <v>245</v>
      </c>
      <c r="B797" s="241"/>
      <c r="C797" s="1181">
        <v>10505</v>
      </c>
      <c r="D797" s="161" t="str">
        <f>IF(B797="SEPLAG",VLOOKUP(COMPOSIÇÕES!C797,'MAPA COMPARATIVO'!A:B,2,FALSE),VLOOKUP(C797,'NAO DESO'!A:B,2,0))</f>
        <v>VIDRO TEMPERADO INCOLOR E = 6 MM, SEM COLOCACAO</v>
      </c>
      <c r="E797" s="241" t="str">
        <f>VLOOKUP($C797,'NAO DESO'!$A:$D,3,)</f>
        <v xml:space="preserve">M2    </v>
      </c>
      <c r="F797" s="242">
        <v>21.42</v>
      </c>
      <c r="G797" s="242">
        <f>IF(B797="SEPLAG",VLOOKUP(CONCATENATE("MEDIANA - ",C797),COTAÇÃO,5,FALSE),VLOOKUP($C797,'NAO DESO'!$A:$D,4,))</f>
        <v>272.77</v>
      </c>
      <c r="H797" s="242">
        <f t="shared" si="58"/>
        <v>5842.73</v>
      </c>
      <c r="I797" s="54" t="str">
        <f>IF(B797="SEPLAG",VLOOKUP(CONCATENATE("MEDIANA - ",C797),COTAÇÃO,5,FALSE),VLOOKUP($C797,DESON!$A:$D,4,))</f>
        <v>272,77</v>
      </c>
      <c r="J797" s="209">
        <f t="shared" si="59"/>
        <v>5842.73</v>
      </c>
    </row>
    <row r="798" spans="1:10" ht="15" customHeight="1">
      <c r="A798" s="208" t="s">
        <v>245</v>
      </c>
      <c r="B798" s="241"/>
      <c r="C798" s="1181">
        <v>88315</v>
      </c>
      <c r="D798" s="161" t="str">
        <f>IF(B798="SEPLAG",VLOOKUP(COMPOSIÇÕES!C798,'MAPA COMPARATIVO'!A:B,2,FALSE),VLOOKUP(C798,'NAO DESO'!A:B,2,0))</f>
        <v>SERRALHEIRO COM ENCARGOS COMPLEMENTARES</v>
      </c>
      <c r="E798" s="241" t="str">
        <f>VLOOKUP($C798,'NAO DESO'!$A:$D,3,)</f>
        <v>H</v>
      </c>
      <c r="F798" s="242">
        <v>69.829199999999986</v>
      </c>
      <c r="G798" s="242" t="str">
        <f>IF(B798="SEPLAG",VLOOKUP(CONCATENATE("MEDIANA - ",C798),COTAÇÃO,5,FALSE),VLOOKUP($C798,'NAO DESO'!$A:$D,4,))</f>
        <v>20,97</v>
      </c>
      <c r="H798" s="242">
        <f t="shared" si="58"/>
        <v>1464.31</v>
      </c>
      <c r="I798" s="54" t="str">
        <f>IF(B798="SEPLAG",VLOOKUP(CONCATENATE("MEDIANA - ",C798),COTAÇÃO,5,FALSE),VLOOKUP($C798,DESON!$A:$D,4,))</f>
        <v>18,75</v>
      </c>
      <c r="J798" s="209">
        <f t="shared" si="59"/>
        <v>1309.29</v>
      </c>
    </row>
    <row r="799" spans="1:10" ht="15" customHeight="1">
      <c r="A799" s="208" t="s">
        <v>245</v>
      </c>
      <c r="B799" s="241"/>
      <c r="C799" s="1181">
        <v>88316</v>
      </c>
      <c r="D799" s="161" t="str">
        <f>IF(B799="SEPLAG",VLOOKUP(COMPOSIÇÕES!C799,'MAPA COMPARATIVO'!A:B,2,FALSE),VLOOKUP(C799,'NAO DESO'!A:B,2,0))</f>
        <v>SERVENTE COM ENCARGOS COMPLEMENTARES</v>
      </c>
      <c r="E799" s="241" t="str">
        <f>VLOOKUP($C799,'NAO DESO'!$A:$D,3,)</f>
        <v>H</v>
      </c>
      <c r="F799" s="242">
        <v>69.829199999999986</v>
      </c>
      <c r="G799" s="242" t="str">
        <f>IF(B799="SEPLAG",VLOOKUP(CONCATENATE("MEDIANA - ",C799),COTAÇÃO,5,FALSE),VLOOKUP($C799,'NAO DESO'!$A:$D,4,))</f>
        <v>16,83</v>
      </c>
      <c r="H799" s="242">
        <f t="shared" si="58"/>
        <v>1175.22</v>
      </c>
      <c r="I799" s="54" t="str">
        <f>IF(B799="SEPLAG",VLOOKUP(CONCATENATE("MEDIANA - ",C799),COTAÇÃO,5,FALSE),VLOOKUP($C799,DESON!$A:$D,4,))</f>
        <v>15,16</v>
      </c>
      <c r="J799" s="209">
        <f t="shared" si="59"/>
        <v>1058.6099999999999</v>
      </c>
    </row>
    <row r="800" spans="1:10" ht="15" customHeight="1">
      <c r="A800" s="210" t="str">
        <f>CONCATENATE("TOTAL DO ITEM NÃO DESON. - ",C773)</f>
        <v>TOTAL DO ITEM NÃO DESON. - SEPLAG  ARQ 69</v>
      </c>
      <c r="B800" s="424"/>
      <c r="C800" s="424"/>
      <c r="D800" s="424"/>
      <c r="E800" s="424"/>
      <c r="F800" s="425"/>
      <c r="G800" s="426"/>
      <c r="H800" s="1182">
        <f>SUM(H775:H799)</f>
        <v>16681.84</v>
      </c>
      <c r="I800" s="214"/>
      <c r="J800" s="215"/>
    </row>
    <row r="801" spans="1:10" ht="15.75" customHeight="1" thickBot="1">
      <c r="A801" s="216" t="str">
        <f>CONCATENATE("TOTAL DO ITEM DESON. - ",C773)</f>
        <v>TOTAL DO ITEM DESON. - SEPLAG  ARQ 69</v>
      </c>
      <c r="B801" s="424"/>
      <c r="C801" s="424"/>
      <c r="D801" s="424"/>
      <c r="E801" s="424"/>
      <c r="F801" s="425"/>
      <c r="G801" s="426"/>
      <c r="H801" s="1187"/>
      <c r="I801" s="229"/>
      <c r="J801" s="219">
        <f>SUM(J775:J799)</f>
        <v>16410.21</v>
      </c>
    </row>
    <row r="802" spans="1:10" ht="15" customHeight="1" thickBot="1">
      <c r="A802" s="418"/>
      <c r="B802" s="1136"/>
      <c r="C802" s="1136"/>
      <c r="D802" s="1136"/>
      <c r="F802" s="1195"/>
      <c r="G802" s="1195"/>
      <c r="H802" s="1195"/>
      <c r="I802" s="419"/>
      <c r="J802" s="420"/>
    </row>
    <row r="803" spans="1:10" ht="24.75" customHeight="1">
      <c r="A803" s="198"/>
      <c r="B803" s="1175"/>
      <c r="C803" s="1176" t="s">
        <v>7346</v>
      </c>
      <c r="D803" s="156" t="s">
        <v>7621</v>
      </c>
      <c r="E803" s="1176" t="s">
        <v>32</v>
      </c>
      <c r="F803" s="1177" t="s">
        <v>18</v>
      </c>
      <c r="G803" s="1178" t="s">
        <v>7017</v>
      </c>
      <c r="H803" s="1179"/>
      <c r="I803" s="200" t="s">
        <v>7016</v>
      </c>
      <c r="J803" s="201"/>
    </row>
    <row r="804" spans="1:10" ht="15" customHeight="1">
      <c r="A804" s="233"/>
      <c r="B804" s="247"/>
      <c r="C804" s="1155"/>
      <c r="D804" s="157"/>
      <c r="E804" s="1155"/>
      <c r="F804" s="1180"/>
      <c r="G804" s="1180" t="s">
        <v>19</v>
      </c>
      <c r="H804" s="1180" t="s">
        <v>20</v>
      </c>
      <c r="I804" s="205" t="s">
        <v>19</v>
      </c>
      <c r="J804" s="206" t="s">
        <v>20</v>
      </c>
    </row>
    <row r="805" spans="1:10" ht="15" customHeight="1">
      <c r="A805" s="208" t="s">
        <v>39</v>
      </c>
      <c r="B805" s="241"/>
      <c r="C805" s="241">
        <v>34360</v>
      </c>
      <c r="D805" s="161" t="s">
        <v>7323</v>
      </c>
      <c r="E805" s="1194" t="s">
        <v>133</v>
      </c>
      <c r="F805" s="242">
        <v>4.4710000000000001</v>
      </c>
      <c r="G805" s="242">
        <f>IF(B805="SEPLAG",VLOOKUP(CONCATENATE("MEDIANA - ",C805),COTAÇÃO,5,FALSE),VLOOKUP($C805,'NAO DESO'!$A:$D,4,))</f>
        <v>47.31</v>
      </c>
      <c r="H805" s="242">
        <f t="shared" ref="H805:H829" si="60">TRUNC(F805*G805,2)</f>
        <v>211.52</v>
      </c>
      <c r="I805" s="54" t="str">
        <f>IF(B805="SEPLAG",VLOOKUP(CONCATENATE("MEDIANA - ",C805),COTAÇÃO,5,FALSE),VLOOKUP($C805,DESON!$A:$D,4,))</f>
        <v>47,31</v>
      </c>
      <c r="J805" s="209">
        <f t="shared" ref="J805:J829" si="61">TRUNC(F805*I805,2)</f>
        <v>211.52</v>
      </c>
    </row>
    <row r="806" spans="1:10" ht="15" customHeight="1">
      <c r="A806" s="208" t="s">
        <v>39</v>
      </c>
      <c r="B806" s="241"/>
      <c r="C806" s="241">
        <v>34360</v>
      </c>
      <c r="D806" s="161" t="s">
        <v>7324</v>
      </c>
      <c r="E806" s="1194" t="s">
        <v>133</v>
      </c>
      <c r="F806" s="242">
        <v>1.054</v>
      </c>
      <c r="G806" s="242">
        <f>IF(B806="SEPLAG",VLOOKUP(CONCATENATE("MEDIANA - ",C806),COTAÇÃO,5,FALSE),VLOOKUP($C806,'NAO DESO'!$A:$D,4,))</f>
        <v>47.31</v>
      </c>
      <c r="H806" s="242">
        <f t="shared" si="60"/>
        <v>49.86</v>
      </c>
      <c r="I806" s="54" t="str">
        <f>IF(B806="SEPLAG",VLOOKUP(CONCATENATE("MEDIANA - ",C806),COTAÇÃO,5,FALSE),VLOOKUP($C806,DESON!$A:$D,4,))</f>
        <v>47,31</v>
      </c>
      <c r="J806" s="209">
        <f t="shared" si="61"/>
        <v>49.86</v>
      </c>
    </row>
    <row r="807" spans="1:10" ht="15" customHeight="1">
      <c r="A807" s="208" t="s">
        <v>39</v>
      </c>
      <c r="B807" s="241"/>
      <c r="C807" s="241">
        <v>34360</v>
      </c>
      <c r="D807" s="161" t="s">
        <v>7325</v>
      </c>
      <c r="E807" s="1194" t="s">
        <v>133</v>
      </c>
      <c r="F807" s="242">
        <v>0.41599999999999998</v>
      </c>
      <c r="G807" s="242">
        <f>IF(B807="SEPLAG",VLOOKUP(CONCATENATE("MEDIANA - ",C807),COTAÇÃO,5,FALSE),VLOOKUP($C807,'NAO DESO'!$A:$D,4,))</f>
        <v>47.31</v>
      </c>
      <c r="H807" s="242">
        <f t="shared" si="60"/>
        <v>19.68</v>
      </c>
      <c r="I807" s="54" t="str">
        <f>IF(B807="SEPLAG",VLOOKUP(CONCATENATE("MEDIANA - ",C807),COTAÇÃO,5,FALSE),VLOOKUP($C807,DESON!$A:$D,4,))</f>
        <v>47,31</v>
      </c>
      <c r="J807" s="209">
        <f t="shared" si="61"/>
        <v>19.68</v>
      </c>
    </row>
    <row r="808" spans="1:10" ht="15" customHeight="1">
      <c r="A808" s="208" t="s">
        <v>39</v>
      </c>
      <c r="B808" s="241"/>
      <c r="C808" s="241">
        <v>34360</v>
      </c>
      <c r="D808" s="161" t="s">
        <v>7326</v>
      </c>
      <c r="E808" s="1194" t="s">
        <v>133</v>
      </c>
      <c r="F808" s="242">
        <v>2.6219999999999999</v>
      </c>
      <c r="G808" s="242">
        <f>IF(B808="SEPLAG",VLOOKUP(CONCATENATE("MEDIANA - ",C808),COTAÇÃO,5,FALSE),VLOOKUP($C808,'NAO DESO'!$A:$D,4,))</f>
        <v>47.31</v>
      </c>
      <c r="H808" s="242">
        <f t="shared" si="60"/>
        <v>124.04</v>
      </c>
      <c r="I808" s="54" t="str">
        <f>IF(B808="SEPLAG",VLOOKUP(CONCATENATE("MEDIANA - ",C808),COTAÇÃO,5,FALSE),VLOOKUP($C808,DESON!$A:$D,4,))</f>
        <v>47,31</v>
      </c>
      <c r="J808" s="209">
        <f t="shared" si="61"/>
        <v>124.04</v>
      </c>
    </row>
    <row r="809" spans="1:10" ht="15" customHeight="1">
      <c r="A809" s="208" t="s">
        <v>39</v>
      </c>
      <c r="B809" s="241"/>
      <c r="C809" s="241">
        <v>34360</v>
      </c>
      <c r="D809" s="161" t="s">
        <v>7327</v>
      </c>
      <c r="E809" s="1194" t="s">
        <v>133</v>
      </c>
      <c r="F809" s="242">
        <v>4.5720000000000001</v>
      </c>
      <c r="G809" s="242">
        <f>IF(B809="SEPLAG",VLOOKUP(CONCATENATE("MEDIANA - ",C809),COTAÇÃO,5,FALSE),VLOOKUP($C809,'NAO DESO'!$A:$D,4,))</f>
        <v>47.31</v>
      </c>
      <c r="H809" s="242">
        <f t="shared" si="60"/>
        <v>216.3</v>
      </c>
      <c r="I809" s="54" t="str">
        <f>IF(B809="SEPLAG",VLOOKUP(CONCATENATE("MEDIANA - ",C809),COTAÇÃO,5,FALSE),VLOOKUP($C809,DESON!$A:$D,4,))</f>
        <v>47,31</v>
      </c>
      <c r="J809" s="209">
        <f t="shared" si="61"/>
        <v>216.3</v>
      </c>
    </row>
    <row r="810" spans="1:10" ht="15" customHeight="1">
      <c r="A810" s="208" t="s">
        <v>39</v>
      </c>
      <c r="B810" s="241"/>
      <c r="C810" s="241">
        <v>34360</v>
      </c>
      <c r="D810" s="161" t="s">
        <v>7328</v>
      </c>
      <c r="E810" s="1194" t="s">
        <v>133</v>
      </c>
      <c r="F810" s="242">
        <v>3.7189999999999999</v>
      </c>
      <c r="G810" s="242">
        <f>IF(B810="SEPLAG",VLOOKUP(CONCATENATE("MEDIANA - ",C810),COTAÇÃO,5,FALSE),VLOOKUP($C810,'NAO DESO'!$A:$D,4,))</f>
        <v>47.31</v>
      </c>
      <c r="H810" s="242">
        <f t="shared" si="60"/>
        <v>175.94</v>
      </c>
      <c r="I810" s="54" t="str">
        <f>IF(B810="SEPLAG",VLOOKUP(CONCATENATE("MEDIANA - ",C810),COTAÇÃO,5,FALSE),VLOOKUP($C810,DESON!$A:$D,4,))</f>
        <v>47,31</v>
      </c>
      <c r="J810" s="209">
        <f t="shared" si="61"/>
        <v>175.94</v>
      </c>
    </row>
    <row r="811" spans="1:10" ht="15" customHeight="1">
      <c r="A811" s="208" t="s">
        <v>39</v>
      </c>
      <c r="B811" s="241"/>
      <c r="C811" s="241">
        <v>34360</v>
      </c>
      <c r="D811" s="161" t="s">
        <v>7329</v>
      </c>
      <c r="E811" s="1194" t="s">
        <v>133</v>
      </c>
      <c r="F811" s="242">
        <v>2.931</v>
      </c>
      <c r="G811" s="242">
        <f>IF(B811="SEPLAG",VLOOKUP(CONCATENATE("MEDIANA - ",C811),COTAÇÃO,5,FALSE),VLOOKUP($C811,'NAO DESO'!$A:$D,4,))</f>
        <v>47.31</v>
      </c>
      <c r="H811" s="242">
        <f t="shared" si="60"/>
        <v>138.66</v>
      </c>
      <c r="I811" s="54" t="str">
        <f>IF(B811="SEPLAG",VLOOKUP(CONCATENATE("MEDIANA - ",C811),COTAÇÃO,5,FALSE),VLOOKUP($C811,DESON!$A:$D,4,))</f>
        <v>47,31</v>
      </c>
      <c r="J811" s="209">
        <f t="shared" si="61"/>
        <v>138.66</v>
      </c>
    </row>
    <row r="812" spans="1:10" ht="15" customHeight="1">
      <c r="A812" s="208" t="s">
        <v>39</v>
      </c>
      <c r="B812" s="241"/>
      <c r="C812" s="241">
        <v>34360</v>
      </c>
      <c r="D812" s="161" t="s">
        <v>7330</v>
      </c>
      <c r="E812" s="1194" t="s">
        <v>133</v>
      </c>
      <c r="F812" s="242">
        <v>2.1429999999999998</v>
      </c>
      <c r="G812" s="242">
        <f>IF(B812="SEPLAG",VLOOKUP(CONCATENATE("MEDIANA - ",C812),COTAÇÃO,5,FALSE),VLOOKUP($C812,'NAO DESO'!$A:$D,4,))</f>
        <v>47.31</v>
      </c>
      <c r="H812" s="242">
        <f t="shared" si="60"/>
        <v>101.38</v>
      </c>
      <c r="I812" s="54" t="str">
        <f>IF(B812="SEPLAG",VLOOKUP(CONCATENATE("MEDIANA - ",C812),COTAÇÃO,5,FALSE),VLOOKUP($C812,DESON!$A:$D,4,))</f>
        <v>47,31</v>
      </c>
      <c r="J812" s="209">
        <f t="shared" si="61"/>
        <v>101.38</v>
      </c>
    </row>
    <row r="813" spans="1:10" ht="15" customHeight="1">
      <c r="A813" s="208" t="s">
        <v>39</v>
      </c>
      <c r="B813" s="241"/>
      <c r="C813" s="241">
        <v>34360</v>
      </c>
      <c r="D813" s="161" t="s">
        <v>7331</v>
      </c>
      <c r="E813" s="1194" t="s">
        <v>133</v>
      </c>
      <c r="F813" s="242">
        <v>9.4510000000000005</v>
      </c>
      <c r="G813" s="242">
        <f>IF(B813="SEPLAG",VLOOKUP(CONCATENATE("MEDIANA - ",C813),COTAÇÃO,5,FALSE),VLOOKUP($C813,'NAO DESO'!$A:$D,4,))</f>
        <v>47.31</v>
      </c>
      <c r="H813" s="242">
        <f t="shared" si="60"/>
        <v>447.12</v>
      </c>
      <c r="I813" s="54" t="str">
        <f>IF(B813="SEPLAG",VLOOKUP(CONCATENATE("MEDIANA - ",C813),COTAÇÃO,5,FALSE),VLOOKUP($C813,DESON!$A:$D,4,))</f>
        <v>47,31</v>
      </c>
      <c r="J813" s="209">
        <f t="shared" si="61"/>
        <v>447.12</v>
      </c>
    </row>
    <row r="814" spans="1:10" ht="15" customHeight="1">
      <c r="A814" s="208" t="s">
        <v>39</v>
      </c>
      <c r="B814" s="241"/>
      <c r="C814" s="241">
        <v>34360</v>
      </c>
      <c r="D814" s="161" t="s">
        <v>7332</v>
      </c>
      <c r="E814" s="1194" t="s">
        <v>133</v>
      </c>
      <c r="F814" s="242">
        <v>0.628</v>
      </c>
      <c r="G814" s="242">
        <f>IF(B814="SEPLAG",VLOOKUP(CONCATENATE("MEDIANA - ",C814),COTAÇÃO,5,FALSE),VLOOKUP($C814,'NAO DESO'!$A:$D,4,))</f>
        <v>47.31</v>
      </c>
      <c r="H814" s="242">
        <f t="shared" si="60"/>
        <v>29.71</v>
      </c>
      <c r="I814" s="54" t="str">
        <f>IF(B814="SEPLAG",VLOOKUP(CONCATENATE("MEDIANA - ",C814),COTAÇÃO,5,FALSE),VLOOKUP($C814,DESON!$A:$D,4,))</f>
        <v>47,31</v>
      </c>
      <c r="J814" s="209">
        <f t="shared" si="61"/>
        <v>29.71</v>
      </c>
    </row>
    <row r="815" spans="1:10" ht="15" customHeight="1">
      <c r="A815" s="208" t="s">
        <v>39</v>
      </c>
      <c r="B815" s="241"/>
      <c r="C815" s="241">
        <v>34360</v>
      </c>
      <c r="D815" s="161" t="s">
        <v>7333</v>
      </c>
      <c r="E815" s="1194" t="s">
        <v>133</v>
      </c>
      <c r="F815" s="242">
        <v>2.319</v>
      </c>
      <c r="G815" s="242">
        <f>IF(B815="SEPLAG",VLOOKUP(CONCATENATE("MEDIANA - ",C815),COTAÇÃO,5,FALSE),VLOOKUP($C815,'NAO DESO'!$A:$D,4,))</f>
        <v>47.31</v>
      </c>
      <c r="H815" s="242">
        <f t="shared" si="60"/>
        <v>109.71</v>
      </c>
      <c r="I815" s="54" t="str">
        <f>IF(B815="SEPLAG",VLOOKUP(CONCATENATE("MEDIANA - ",C815),COTAÇÃO,5,FALSE),VLOOKUP($C815,DESON!$A:$D,4,))</f>
        <v>47,31</v>
      </c>
      <c r="J815" s="209">
        <f t="shared" si="61"/>
        <v>109.71</v>
      </c>
    </row>
    <row r="816" spans="1:10" ht="15" customHeight="1">
      <c r="A816" s="208" t="s">
        <v>39</v>
      </c>
      <c r="B816" s="241" t="s">
        <v>14504</v>
      </c>
      <c r="C816" s="1181" t="s">
        <v>14307</v>
      </c>
      <c r="D816" s="161" t="str">
        <f>IF(B816="SEPLAG",VLOOKUP(COMPOSIÇÕES!C816,'MAPA COMPARATIVO'!A:B,2,FALSE),VLOOKUP(C816,'NAO DESO'!A:B,2,0))</f>
        <v xml:space="preserve">Braço de max-ar linha gold de 600mm </v>
      </c>
      <c r="E816" s="1194" t="s">
        <v>24</v>
      </c>
      <c r="F816" s="242">
        <v>4</v>
      </c>
      <c r="G816" s="242">
        <f>IF(B816="SEPLAG",VLOOKUP(CONCATENATE("MEDIANA - ",C816),COTAÇÃO,5,FALSE),VLOOKUP($C816,'NAO DESO'!$A:$D,4,))</f>
        <v>36.575000000000003</v>
      </c>
      <c r="H816" s="242">
        <f t="shared" si="60"/>
        <v>146.30000000000001</v>
      </c>
      <c r="I816" s="54">
        <f>IF(B816="SEPLAG",VLOOKUP(CONCATENATE("MEDIANA - ",C816),COTAÇÃO,5,FALSE),VLOOKUP($C816,DESON!$A:$D,4,))</f>
        <v>36.575000000000003</v>
      </c>
      <c r="J816" s="209">
        <f t="shared" si="61"/>
        <v>146.30000000000001</v>
      </c>
    </row>
    <row r="817" spans="1:10" ht="15" customHeight="1">
      <c r="A817" s="208" t="s">
        <v>39</v>
      </c>
      <c r="B817" s="241" t="s">
        <v>14504</v>
      </c>
      <c r="C817" s="1181" t="s">
        <v>14308</v>
      </c>
      <c r="D817" s="161" t="str">
        <f>IF(B817="SEPLAG",VLOOKUP(COMPOSIÇÕES!C817,'MAPA COMPARATIVO'!A:B,2,FALSE),VLOOKUP(C817,'NAO DESO'!A:B,2,0))</f>
        <v>Fecho max-ar linha gold</v>
      </c>
      <c r="E817" s="1194" t="s">
        <v>24</v>
      </c>
      <c r="F817" s="242">
        <v>4</v>
      </c>
      <c r="G817" s="242">
        <f>IF(B817="SEPLAG",VLOOKUP(CONCATENATE("MEDIANA - ",C817),COTAÇÃO,5,FALSE),VLOOKUP($C817,'NAO DESO'!$A:$D,4,))</f>
        <v>47.36</v>
      </c>
      <c r="H817" s="242">
        <f t="shared" si="60"/>
        <v>189.44</v>
      </c>
      <c r="I817" s="54">
        <f>IF(B817="SEPLAG",VLOOKUP(CONCATENATE("MEDIANA - ",C817),COTAÇÃO,5,FALSE),VLOOKUP($C817,DESON!$A:$D,4,))</f>
        <v>47.36</v>
      </c>
      <c r="J817" s="209">
        <f t="shared" si="61"/>
        <v>189.44</v>
      </c>
    </row>
    <row r="818" spans="1:10" ht="15" customHeight="1">
      <c r="A818" s="208" t="s">
        <v>39</v>
      </c>
      <c r="B818" s="241" t="s">
        <v>14504</v>
      </c>
      <c r="C818" s="1181" t="s">
        <v>14309</v>
      </c>
      <c r="D818" s="161" t="str">
        <f>IF(B818="SEPLAG",VLOOKUP(COMPOSIÇÕES!C818,'MAPA COMPARATIVO'!A:B,2,FALSE),VLOOKUP(C818,'NAO DESO'!A:B,2,0))</f>
        <v>Guarnição em EPDM p/ pingadeira</v>
      </c>
      <c r="E818" s="1194" t="s">
        <v>250</v>
      </c>
      <c r="F818" s="242">
        <v>3.972</v>
      </c>
      <c r="G818" s="242">
        <f>IF(B818="SEPLAG",VLOOKUP(CONCATENATE("MEDIANA - ",C818),COTAÇÃO,5,FALSE),VLOOKUP($C818,'NAO DESO'!$A:$D,4,))</f>
        <v>4.3849999999999998</v>
      </c>
      <c r="H818" s="242">
        <f t="shared" si="60"/>
        <v>17.41</v>
      </c>
      <c r="I818" s="54">
        <f>IF(B818="SEPLAG",VLOOKUP(CONCATENATE("MEDIANA - ",C818),COTAÇÃO,5,FALSE),VLOOKUP($C818,DESON!$A:$D,4,))</f>
        <v>4.3849999999999998</v>
      </c>
      <c r="J818" s="209">
        <f t="shared" si="61"/>
        <v>17.41</v>
      </c>
    </row>
    <row r="819" spans="1:10" ht="15" customHeight="1">
      <c r="A819" s="208" t="s">
        <v>39</v>
      </c>
      <c r="B819" s="241" t="s">
        <v>14504</v>
      </c>
      <c r="C819" s="1181" t="s">
        <v>14310</v>
      </c>
      <c r="D819" s="161" t="str">
        <f>IF(B819="SEPLAG",VLOOKUP(COMPOSIÇÕES!C819,'MAPA COMPARATIVO'!A:B,2,FALSE),VLOOKUP(C819,'NAO DESO'!A:B,2,0))</f>
        <v>Guarnição em EPDM para vidro</v>
      </c>
      <c r="E819" s="1194" t="s">
        <v>250</v>
      </c>
      <c r="F819" s="242">
        <v>29.067999999999998</v>
      </c>
      <c r="G819" s="242">
        <f>IF(B819="SEPLAG",VLOOKUP(CONCATENATE("MEDIANA - ",C819),COTAÇÃO,5,FALSE),VLOOKUP($C819,'NAO DESO'!$A:$D,4,))</f>
        <v>2.4091999999999998</v>
      </c>
      <c r="H819" s="242">
        <f t="shared" si="60"/>
        <v>70.03</v>
      </c>
      <c r="I819" s="54">
        <f>IF(B819="SEPLAG",VLOOKUP(CONCATENATE("MEDIANA - ",C819),COTAÇÃO,5,FALSE),VLOOKUP($C819,DESON!$A:$D,4,))</f>
        <v>2.4091999999999998</v>
      </c>
      <c r="J819" s="209">
        <f t="shared" si="61"/>
        <v>70.03</v>
      </c>
    </row>
    <row r="820" spans="1:10" ht="15" customHeight="1">
      <c r="A820" s="208" t="s">
        <v>39</v>
      </c>
      <c r="B820" s="241" t="s">
        <v>14504</v>
      </c>
      <c r="C820" s="1181" t="s">
        <v>14311</v>
      </c>
      <c r="D820" s="161" t="str">
        <f>IF(B820="SEPLAG",VLOOKUP(COMPOSIÇÕES!C820,'MAPA COMPARATIVO'!A:B,2,FALSE),VLOOKUP(C820,'NAO DESO'!A:B,2,0))</f>
        <v>Espuma adesiva 1 face</v>
      </c>
      <c r="E820" s="1194" t="s">
        <v>250</v>
      </c>
      <c r="F820" s="242">
        <v>29.067999999999998</v>
      </c>
      <c r="G820" s="242">
        <f>IF(B820="SEPLAG",VLOOKUP(CONCATENATE("MEDIANA - ",C820),COTAÇÃO,5,FALSE),VLOOKUP($C820,'NAO DESO'!$A:$D,4,))</f>
        <v>2.1800000000000002</v>
      </c>
      <c r="H820" s="242">
        <f t="shared" si="60"/>
        <v>63.36</v>
      </c>
      <c r="I820" s="54">
        <f>IF(B820="SEPLAG",VLOOKUP(CONCATENATE("MEDIANA - ",C820),COTAÇÃO,5,FALSE),VLOOKUP($C820,DESON!$A:$D,4,))</f>
        <v>2.1800000000000002</v>
      </c>
      <c r="J820" s="209">
        <f t="shared" si="61"/>
        <v>63.36</v>
      </c>
    </row>
    <row r="821" spans="1:10" ht="15" customHeight="1">
      <c r="A821" s="208" t="s">
        <v>39</v>
      </c>
      <c r="B821" s="241" t="s">
        <v>14504</v>
      </c>
      <c r="C821" s="1181" t="s">
        <v>14312</v>
      </c>
      <c r="D821" s="161" t="str">
        <f>IF(B821="SEPLAG",VLOOKUP(COMPOSIÇÕES!C821,'MAPA COMPARATIVO'!A:B,2,FALSE),VLOOKUP(C821,'NAO DESO'!A:B,2,0))</f>
        <v>Guarnição em EPDM p/ marco max-ar</v>
      </c>
      <c r="E821" s="1194" t="s">
        <v>7388</v>
      </c>
      <c r="F821" s="242">
        <v>32.368000000000002</v>
      </c>
      <c r="G821" s="242">
        <f>IF(B821="SEPLAG",VLOOKUP(CONCATENATE("MEDIANA - ",C821),COTAÇÃO,5,FALSE),VLOOKUP($C821,'NAO DESO'!$A:$D,4,))</f>
        <v>3.8138999999999998</v>
      </c>
      <c r="H821" s="242">
        <f t="shared" si="60"/>
        <v>123.44</v>
      </c>
      <c r="I821" s="54">
        <f>IF(B821="SEPLAG",VLOOKUP(CONCATENATE("MEDIANA - ",C821),COTAÇÃO,5,FALSE),VLOOKUP($C821,DESON!$A:$D,4,))</f>
        <v>3.8138999999999998</v>
      </c>
      <c r="J821" s="209">
        <f t="shared" si="61"/>
        <v>123.44</v>
      </c>
    </row>
    <row r="822" spans="1:10" ht="15" customHeight="1">
      <c r="A822" s="208" t="s">
        <v>39</v>
      </c>
      <c r="B822" s="241" t="s">
        <v>14504</v>
      </c>
      <c r="C822" s="1181" t="s">
        <v>14313</v>
      </c>
      <c r="D822" s="161" t="str">
        <f>IF(B822="SEPLAG",VLOOKUP(COMPOSIÇÕES!C822,'MAPA COMPARATIVO'!A:B,2,FALSE),VLOOKUP(C822,'NAO DESO'!A:B,2,0))</f>
        <v>PRESILHA DE FIXAÇÃO DO ARREMATE MP-347</v>
      </c>
      <c r="E822" s="1194" t="s">
        <v>24</v>
      </c>
      <c r="F822" s="242">
        <v>30</v>
      </c>
      <c r="G822" s="242">
        <f>IF(B822="SEPLAG",VLOOKUP(CONCATENATE("MEDIANA - ",C822),COTAÇÃO,5,FALSE),VLOOKUP($C822,'NAO DESO'!$A:$D,4,))</f>
        <v>0.34</v>
      </c>
      <c r="H822" s="242">
        <f t="shared" si="60"/>
        <v>10.199999999999999</v>
      </c>
      <c r="I822" s="54">
        <f>IF(B822="SEPLAG",VLOOKUP(CONCATENATE("MEDIANA - ",C822),COTAÇÃO,5,FALSE),VLOOKUP($C822,DESON!$A:$D,4,))</f>
        <v>0.34</v>
      </c>
      <c r="J822" s="209">
        <f t="shared" si="61"/>
        <v>10.199999999999999</v>
      </c>
    </row>
    <row r="823" spans="1:10" ht="15" customHeight="1">
      <c r="A823" s="208" t="s">
        <v>39</v>
      </c>
      <c r="B823" s="241" t="s">
        <v>14504</v>
      </c>
      <c r="C823" s="1181" t="s">
        <v>14314</v>
      </c>
      <c r="D823" s="161" t="str">
        <f>IF(B823="SEPLAG",VLOOKUP(COMPOSIÇÕES!C823,'MAPA COMPARATIVO'!A:B,2,FALSE),VLOOKUP(C823,'NAO DESO'!A:B,2,0))</f>
        <v>Parafuso zincado phillips flangeado autobrocante 4,2 x 16mm</v>
      </c>
      <c r="E823" s="1194" t="s">
        <v>24</v>
      </c>
      <c r="F823" s="242">
        <v>30</v>
      </c>
      <c r="G823" s="242">
        <f>IF(B823="SEPLAG",VLOOKUP(CONCATENATE("MEDIANA - ",C823),COTAÇÃO,5,FALSE),VLOOKUP($C823,'NAO DESO'!$A:$D,4,))</f>
        <v>0.28000000000000003</v>
      </c>
      <c r="H823" s="242">
        <f t="shared" si="60"/>
        <v>8.4</v>
      </c>
      <c r="I823" s="54">
        <f>IF(B823="SEPLAG",VLOOKUP(CONCATENATE("MEDIANA - ",C823),COTAÇÃO,5,FALSE),VLOOKUP($C823,DESON!$A:$D,4,))</f>
        <v>0.28000000000000003</v>
      </c>
      <c r="J823" s="209">
        <f t="shared" si="61"/>
        <v>8.4</v>
      </c>
    </row>
    <row r="824" spans="1:10" ht="15" customHeight="1">
      <c r="A824" s="208" t="s">
        <v>39</v>
      </c>
      <c r="B824" s="241" t="s">
        <v>14504</v>
      </c>
      <c r="C824" s="1181" t="s">
        <v>14315</v>
      </c>
      <c r="D824" s="161" t="str">
        <f>IF(B824="SEPLAG",VLOOKUP(COMPOSIÇÕES!C824,'MAPA COMPARATIVO'!A:B,2,FALSE),VLOOKUP(C824,'NAO DESO'!A:B,2,0))</f>
        <v>PARAF. PANELA PHILIPS INOX 4,8 X32 PONTA PILOTO</v>
      </c>
      <c r="E824" s="1194" t="s">
        <v>24</v>
      </c>
      <c r="F824" s="242">
        <v>28</v>
      </c>
      <c r="G824" s="242">
        <f>IF(B824="SEPLAG",VLOOKUP(CONCATENATE("MEDIANA - ",C824),COTAÇÃO,5,FALSE),VLOOKUP($C824,'NAO DESO'!$A:$D,4,))</f>
        <v>0.95</v>
      </c>
      <c r="H824" s="242">
        <f t="shared" si="60"/>
        <v>26.6</v>
      </c>
      <c r="I824" s="54">
        <f>IF(B824="SEPLAG",VLOOKUP(CONCATENATE("MEDIANA - ",C824),COTAÇÃO,5,FALSE),VLOOKUP($C824,DESON!$A:$D,4,))</f>
        <v>0.95</v>
      </c>
      <c r="J824" s="209">
        <f t="shared" si="61"/>
        <v>26.6</v>
      </c>
    </row>
    <row r="825" spans="1:10" ht="15" customHeight="1">
      <c r="A825" s="208" t="s">
        <v>39</v>
      </c>
      <c r="B825" s="241" t="s">
        <v>14504</v>
      </c>
      <c r="C825" s="1181" t="s">
        <v>14316</v>
      </c>
      <c r="D825" s="161" t="str">
        <f>IF(B825="SEPLAG",VLOOKUP(COMPOSIÇÕES!C825,'MAPA COMPARATIVO'!A:B,2,FALSE),VLOOKUP(C825,'NAO DESO'!A:B,2,0))</f>
        <v>CHUMBADOR DE CM-063/060</v>
      </c>
      <c r="E825" s="1194" t="s">
        <v>24</v>
      </c>
      <c r="F825" s="242">
        <v>30</v>
      </c>
      <c r="G825" s="242">
        <f>IF(B825="SEPLAG",VLOOKUP(CONCATENATE("MEDIANA - ",C825),COTAÇÃO,5,FALSE),VLOOKUP($C825,'NAO DESO'!$A:$D,4,))</f>
        <v>0.86</v>
      </c>
      <c r="H825" s="242">
        <f t="shared" si="60"/>
        <v>25.8</v>
      </c>
      <c r="I825" s="54">
        <f>IF(B825="SEPLAG",VLOOKUP(CONCATENATE("MEDIANA - ",C825),COTAÇÃO,5,FALSE),VLOOKUP($C825,DESON!$A:$D,4,))</f>
        <v>0.86</v>
      </c>
      <c r="J825" s="209">
        <f t="shared" si="61"/>
        <v>25.8</v>
      </c>
    </row>
    <row r="826" spans="1:10" ht="15" customHeight="1">
      <c r="A826" s="208" t="s">
        <v>39</v>
      </c>
      <c r="B826" s="241" t="s">
        <v>14504</v>
      </c>
      <c r="C826" s="1181" t="s">
        <v>14317</v>
      </c>
      <c r="D826" s="161" t="str">
        <f>IF(B826="SEPLAG",VLOOKUP(COMPOSIÇÕES!C826,'MAPA COMPARATIVO'!A:B,2,FALSE),VLOOKUP(C826,'NAO DESO'!A:B,2,0))</f>
        <v>Silicone neutro incolor 280 g</v>
      </c>
      <c r="E826" s="1194" t="s">
        <v>24</v>
      </c>
      <c r="F826" s="242">
        <v>2</v>
      </c>
      <c r="G826" s="242">
        <f>IF(B826="SEPLAG",VLOOKUP(CONCATENATE("MEDIANA - ",C826),COTAÇÃO,5,FALSE),VLOOKUP($C826,'NAO DESO'!$A:$D,4,))</f>
        <v>43.9</v>
      </c>
      <c r="H826" s="242">
        <f t="shared" si="60"/>
        <v>87.8</v>
      </c>
      <c r="I826" s="54">
        <f>IF(B826="SEPLAG",VLOOKUP(CONCATENATE("MEDIANA - ",C826),COTAÇÃO,5,FALSE),VLOOKUP($C826,DESON!$A:$D,4,))</f>
        <v>43.9</v>
      </c>
      <c r="J826" s="209">
        <f t="shared" si="61"/>
        <v>87.8</v>
      </c>
    </row>
    <row r="827" spans="1:10" ht="15" customHeight="1">
      <c r="A827" s="208" t="s">
        <v>245</v>
      </c>
      <c r="B827" s="241"/>
      <c r="C827" s="1181">
        <v>10505</v>
      </c>
      <c r="D827" s="161" t="str">
        <f>IF(B827="SEPLAG",VLOOKUP(COMPOSIÇÕES!C827,'MAPA COMPARATIVO'!A:B,2,FALSE),VLOOKUP(C827,'NAO DESO'!A:B,2,0))</f>
        <v>VIDRO TEMPERADO INCOLOR E = 6 MM, SEM COLOCACAO</v>
      </c>
      <c r="E827" s="241" t="str">
        <f>VLOOKUP($C827,'NAO DESO'!$A:$D,3,)</f>
        <v xml:space="preserve">M2    </v>
      </c>
      <c r="F827" s="242">
        <v>6.84</v>
      </c>
      <c r="G827" s="242">
        <f>IF(B827="SEPLAG",VLOOKUP(CONCATENATE("MEDIANA - ",C827),COTAÇÃO,5,FALSE),VLOOKUP($C827,'NAO DESO'!$A:$D,4,))</f>
        <v>272.77</v>
      </c>
      <c r="H827" s="242">
        <f t="shared" si="60"/>
        <v>1865.74</v>
      </c>
      <c r="I827" s="54" t="str">
        <f>IF(B827="SEPLAG",VLOOKUP(CONCATENATE("MEDIANA - ",C827),COTAÇÃO,5,FALSE),VLOOKUP($C827,DESON!$A:$D,4,))</f>
        <v>272,77</v>
      </c>
      <c r="J827" s="209">
        <f t="shared" si="61"/>
        <v>1865.74</v>
      </c>
    </row>
    <row r="828" spans="1:10" ht="15" customHeight="1">
      <c r="A828" s="208" t="s">
        <v>245</v>
      </c>
      <c r="B828" s="241"/>
      <c r="C828" s="1181">
        <v>88315</v>
      </c>
      <c r="D828" s="161" t="str">
        <f>IF(B828="SEPLAG",VLOOKUP(COMPOSIÇÕES!C828,'MAPA COMPARATIVO'!A:B,2,FALSE),VLOOKUP(C828,'NAO DESO'!A:B,2,0))</f>
        <v>SERRALHEIRO COM ENCARGOS COMPLEMENTARES</v>
      </c>
      <c r="E828" s="241" t="str">
        <f>VLOOKUP($C828,'NAO DESO'!$A:$D,3,)</f>
        <v>H</v>
      </c>
      <c r="F828" s="242">
        <v>22.167999999999999</v>
      </c>
      <c r="G828" s="242" t="str">
        <f>IF(B828="SEPLAG",VLOOKUP(CONCATENATE("MEDIANA - ",C828),COTAÇÃO,5,FALSE),VLOOKUP($C828,'NAO DESO'!$A:$D,4,))</f>
        <v>20,97</v>
      </c>
      <c r="H828" s="242">
        <f t="shared" si="60"/>
        <v>464.86</v>
      </c>
      <c r="I828" s="54" t="str">
        <f>IF(B828="SEPLAG",VLOOKUP(CONCATENATE("MEDIANA - ",C828),COTAÇÃO,5,FALSE),VLOOKUP($C828,DESON!$A:$D,4,))</f>
        <v>18,75</v>
      </c>
      <c r="J828" s="209">
        <f t="shared" si="61"/>
        <v>415.65</v>
      </c>
    </row>
    <row r="829" spans="1:10" ht="15" customHeight="1">
      <c r="A829" s="208" t="s">
        <v>245</v>
      </c>
      <c r="B829" s="241"/>
      <c r="C829" s="1181">
        <v>88316</v>
      </c>
      <c r="D829" s="161" t="str">
        <f>IF(B829="SEPLAG",VLOOKUP(COMPOSIÇÕES!C829,'MAPA COMPARATIVO'!A:B,2,FALSE),VLOOKUP(C829,'NAO DESO'!A:B,2,0))</f>
        <v>SERVENTE COM ENCARGOS COMPLEMENTARES</v>
      </c>
      <c r="E829" s="241" t="str">
        <f>VLOOKUP($C829,'NAO DESO'!$A:$D,3,)</f>
        <v>H</v>
      </c>
      <c r="F829" s="242">
        <v>22.167999999999999</v>
      </c>
      <c r="G829" s="242" t="str">
        <f>IF(B829="SEPLAG",VLOOKUP(CONCATENATE("MEDIANA - ",C829),COTAÇÃO,5,FALSE),VLOOKUP($C829,'NAO DESO'!$A:$D,4,))</f>
        <v>16,83</v>
      </c>
      <c r="H829" s="242">
        <f t="shared" si="60"/>
        <v>373.08</v>
      </c>
      <c r="I829" s="54" t="str">
        <f>IF(B829="SEPLAG",VLOOKUP(CONCATENATE("MEDIANA - ",C829),COTAÇÃO,5,FALSE),VLOOKUP($C829,DESON!$A:$D,4,))</f>
        <v>15,16</v>
      </c>
      <c r="J829" s="209">
        <f t="shared" si="61"/>
        <v>336.06</v>
      </c>
    </row>
    <row r="830" spans="1:10" ht="15" customHeight="1">
      <c r="A830" s="210" t="str">
        <f>CONCATENATE("TOTAL DO ITEM NÃO DESON. - ",C803)</f>
        <v>TOTAL DO ITEM NÃO DESON. - SEPLAG  ARQ 70</v>
      </c>
      <c r="B830" s="424"/>
      <c r="C830" s="424"/>
      <c r="D830" s="424"/>
      <c r="E830" s="424"/>
      <c r="F830" s="425"/>
      <c r="G830" s="426"/>
      <c r="H830" s="1182">
        <f>SUM(H805:H829)</f>
        <v>5096.38</v>
      </c>
      <c r="I830" s="214"/>
      <c r="J830" s="215"/>
    </row>
    <row r="831" spans="1:10" ht="15.75" customHeight="1" thickBot="1">
      <c r="A831" s="216" t="str">
        <f>CONCATENATE("TOTAL DO ITEM DESON. - ",C803)</f>
        <v>TOTAL DO ITEM DESON. - SEPLAG  ARQ 70</v>
      </c>
      <c r="B831" s="427"/>
      <c r="C831" s="427"/>
      <c r="D831" s="427"/>
      <c r="E831" s="427"/>
      <c r="F831" s="428"/>
      <c r="G831" s="429"/>
      <c r="H831" s="1187"/>
      <c r="I831" s="229"/>
      <c r="J831" s="219">
        <f>SUM(J805:J829)</f>
        <v>5010.1500000000005</v>
      </c>
    </row>
    <row r="832" spans="1:10" ht="15" customHeight="1" thickBot="1">
      <c r="A832" s="235"/>
      <c r="B832" s="1135"/>
      <c r="C832" s="1135"/>
      <c r="D832" s="1135"/>
      <c r="E832" s="1135"/>
      <c r="F832" s="1188"/>
      <c r="G832" s="1188"/>
      <c r="H832" s="1188"/>
      <c r="I832" s="236"/>
      <c r="J832" s="237"/>
    </row>
    <row r="833" spans="1:10" ht="25.5" customHeight="1">
      <c r="A833" s="198"/>
      <c r="B833" s="1175"/>
      <c r="C833" s="1176" t="s">
        <v>7347</v>
      </c>
      <c r="D833" s="156" t="s">
        <v>7622</v>
      </c>
      <c r="E833" s="1176" t="s">
        <v>32</v>
      </c>
      <c r="F833" s="1177" t="s">
        <v>18</v>
      </c>
      <c r="G833" s="1178" t="s">
        <v>7017</v>
      </c>
      <c r="H833" s="1179"/>
      <c r="I833" s="200" t="s">
        <v>7016</v>
      </c>
      <c r="J833" s="201"/>
    </row>
    <row r="834" spans="1:10" ht="15" customHeight="1">
      <c r="A834" s="233"/>
      <c r="B834" s="247"/>
      <c r="C834" s="1155"/>
      <c r="D834" s="157"/>
      <c r="E834" s="1155"/>
      <c r="F834" s="1180"/>
      <c r="G834" s="1180" t="s">
        <v>19</v>
      </c>
      <c r="H834" s="1180" t="s">
        <v>20</v>
      </c>
      <c r="I834" s="205" t="s">
        <v>19</v>
      </c>
      <c r="J834" s="206" t="s">
        <v>20</v>
      </c>
    </row>
    <row r="835" spans="1:10" ht="15" customHeight="1">
      <c r="A835" s="208" t="s">
        <v>39</v>
      </c>
      <c r="B835" s="241"/>
      <c r="C835" s="241">
        <v>34360</v>
      </c>
      <c r="D835" s="161" t="s">
        <v>7348</v>
      </c>
      <c r="E835" s="1194" t="s">
        <v>133</v>
      </c>
      <c r="F835" s="242">
        <v>36.495999999999995</v>
      </c>
      <c r="G835" s="242">
        <f>IF(B835="SEPLAG",VLOOKUP(CONCATENATE("MEDIANA - ",C835),COTAÇÃO,5,FALSE),VLOOKUP($C835,'NAO DESO'!$A:$D,4,))</f>
        <v>47.31</v>
      </c>
      <c r="H835" s="242">
        <f t="shared" ref="H835:H854" si="62">TRUNC(F835*G835,2)</f>
        <v>1726.62</v>
      </c>
      <c r="I835" s="54" t="str">
        <f>IF(B835="SEPLAG",VLOOKUP(CONCATENATE("MEDIANA - ",C835),COTAÇÃO,5,FALSE),VLOOKUP($C835,DESON!$A:$D,4,))</f>
        <v>47,31</v>
      </c>
      <c r="J835" s="209">
        <f t="shared" ref="J835:J854" si="63">TRUNC(F835*I835,2)</f>
        <v>1726.62</v>
      </c>
    </row>
    <row r="836" spans="1:10" ht="15" customHeight="1">
      <c r="A836" s="208" t="s">
        <v>39</v>
      </c>
      <c r="B836" s="241"/>
      <c r="C836" s="241">
        <v>34360</v>
      </c>
      <c r="D836" s="161" t="s">
        <v>7349</v>
      </c>
      <c r="E836" s="1194" t="s">
        <v>133</v>
      </c>
      <c r="F836" s="242">
        <v>9.6839999999999993</v>
      </c>
      <c r="G836" s="242">
        <f>IF(B836="SEPLAG",VLOOKUP(CONCATENATE("MEDIANA - ",C836),COTAÇÃO,5,FALSE),VLOOKUP($C836,'NAO DESO'!$A:$D,4,))</f>
        <v>47.31</v>
      </c>
      <c r="H836" s="242">
        <f t="shared" si="62"/>
        <v>458.15</v>
      </c>
      <c r="I836" s="54" t="str">
        <f>IF(B836="SEPLAG",VLOOKUP(CONCATENATE("MEDIANA - ",C836),COTAÇÃO,5,FALSE),VLOOKUP($C836,DESON!$A:$D,4,))</f>
        <v>47,31</v>
      </c>
      <c r="J836" s="209">
        <f t="shared" si="63"/>
        <v>458.15</v>
      </c>
    </row>
    <row r="837" spans="1:10" ht="15" customHeight="1">
      <c r="A837" s="208" t="s">
        <v>39</v>
      </c>
      <c r="B837" s="241"/>
      <c r="C837" s="241">
        <v>34360</v>
      </c>
      <c r="D837" s="161" t="s">
        <v>7350</v>
      </c>
      <c r="E837" s="1194" t="s">
        <v>133</v>
      </c>
      <c r="F837" s="242">
        <v>9.6370000000000005</v>
      </c>
      <c r="G837" s="242">
        <f>IF(B837="SEPLAG",VLOOKUP(CONCATENATE("MEDIANA - ",C837),COTAÇÃO,5,FALSE),VLOOKUP($C837,'NAO DESO'!$A:$D,4,))</f>
        <v>47.31</v>
      </c>
      <c r="H837" s="242">
        <f t="shared" si="62"/>
        <v>455.92</v>
      </c>
      <c r="I837" s="54" t="str">
        <f>IF(B837="SEPLAG",VLOOKUP(CONCATENATE("MEDIANA - ",C837),COTAÇÃO,5,FALSE),VLOOKUP($C837,DESON!$A:$D,4,))</f>
        <v>47,31</v>
      </c>
      <c r="J837" s="209">
        <f t="shared" si="63"/>
        <v>455.92</v>
      </c>
    </row>
    <row r="838" spans="1:10" ht="15" customHeight="1">
      <c r="A838" s="208" t="s">
        <v>39</v>
      </c>
      <c r="B838" s="241"/>
      <c r="C838" s="241">
        <v>34360</v>
      </c>
      <c r="D838" s="161" t="s">
        <v>7351</v>
      </c>
      <c r="E838" s="1194" t="s">
        <v>133</v>
      </c>
      <c r="F838" s="242">
        <v>25.688000000000002</v>
      </c>
      <c r="G838" s="242">
        <f>IF(B838="SEPLAG",VLOOKUP(CONCATENATE("MEDIANA - ",C838),COTAÇÃO,5,FALSE),VLOOKUP($C838,'NAO DESO'!$A:$D,4,))</f>
        <v>47.31</v>
      </c>
      <c r="H838" s="242">
        <f t="shared" si="62"/>
        <v>1215.29</v>
      </c>
      <c r="I838" s="54" t="str">
        <f>IF(B838="SEPLAG",VLOOKUP(CONCATENATE("MEDIANA - ",C838),COTAÇÃO,5,FALSE),VLOOKUP($C838,DESON!$A:$D,4,))</f>
        <v>47,31</v>
      </c>
      <c r="J838" s="209">
        <f t="shared" si="63"/>
        <v>1215.29</v>
      </c>
    </row>
    <row r="839" spans="1:10" ht="15" customHeight="1">
      <c r="A839" s="208" t="s">
        <v>39</v>
      </c>
      <c r="B839" s="241"/>
      <c r="C839" s="241">
        <v>34360</v>
      </c>
      <c r="D839" s="161" t="s">
        <v>7352</v>
      </c>
      <c r="E839" s="1194" t="s">
        <v>133</v>
      </c>
      <c r="F839" s="242">
        <v>9.952</v>
      </c>
      <c r="G839" s="242">
        <f>IF(B839="SEPLAG",VLOOKUP(CONCATENATE("MEDIANA - ",C839),COTAÇÃO,5,FALSE),VLOOKUP($C839,'NAO DESO'!$A:$D,4,))</f>
        <v>47.31</v>
      </c>
      <c r="H839" s="242">
        <f t="shared" si="62"/>
        <v>470.82</v>
      </c>
      <c r="I839" s="54" t="str">
        <f>IF(B839="SEPLAG",VLOOKUP(CONCATENATE("MEDIANA - ",C839),COTAÇÃO,5,FALSE),VLOOKUP($C839,DESON!$A:$D,4,))</f>
        <v>47,31</v>
      </c>
      <c r="J839" s="209">
        <f t="shared" si="63"/>
        <v>470.82</v>
      </c>
    </row>
    <row r="840" spans="1:10" ht="15" customHeight="1">
      <c r="A840" s="208" t="s">
        <v>39</v>
      </c>
      <c r="B840" s="241"/>
      <c r="C840" s="241">
        <v>34360</v>
      </c>
      <c r="D840" s="161" t="s">
        <v>7353</v>
      </c>
      <c r="E840" s="1194" t="s">
        <v>133</v>
      </c>
      <c r="F840" s="242">
        <v>3.1219999999999999</v>
      </c>
      <c r="G840" s="242">
        <f>IF(B840="SEPLAG",VLOOKUP(CONCATENATE("MEDIANA - ",C840),COTAÇÃO,5,FALSE),VLOOKUP($C840,'NAO DESO'!$A:$D,4,))</f>
        <v>47.31</v>
      </c>
      <c r="H840" s="242">
        <f t="shared" si="62"/>
        <v>147.69999999999999</v>
      </c>
      <c r="I840" s="54" t="str">
        <f>IF(B840="SEPLAG",VLOOKUP(CONCATENATE("MEDIANA - ",C840),COTAÇÃO,5,FALSE),VLOOKUP($C840,DESON!$A:$D,4,))</f>
        <v>47,31</v>
      </c>
      <c r="J840" s="209">
        <f t="shared" si="63"/>
        <v>147.69999999999999</v>
      </c>
    </row>
    <row r="841" spans="1:10" ht="15" customHeight="1">
      <c r="A841" s="208" t="s">
        <v>39</v>
      </c>
      <c r="B841" s="241"/>
      <c r="C841" s="241">
        <v>34360</v>
      </c>
      <c r="D841" s="161" t="s">
        <v>7354</v>
      </c>
      <c r="E841" s="1194" t="s">
        <v>133</v>
      </c>
      <c r="F841" s="242">
        <v>1.792</v>
      </c>
      <c r="G841" s="242">
        <f>IF(B841="SEPLAG",VLOOKUP(CONCATENATE("MEDIANA - ",C841),COTAÇÃO,5,FALSE),VLOOKUP($C841,'NAO DESO'!$A:$D,4,))</f>
        <v>47.31</v>
      </c>
      <c r="H841" s="242">
        <f t="shared" si="62"/>
        <v>84.77</v>
      </c>
      <c r="I841" s="54" t="str">
        <f>IF(B841="SEPLAG",VLOOKUP(CONCATENATE("MEDIANA - ",C841),COTAÇÃO,5,FALSE),VLOOKUP($C841,DESON!$A:$D,4,))</f>
        <v>47,31</v>
      </c>
      <c r="J841" s="209">
        <f t="shared" si="63"/>
        <v>84.77</v>
      </c>
    </row>
    <row r="842" spans="1:10" ht="15" customHeight="1">
      <c r="A842" s="208" t="s">
        <v>39</v>
      </c>
      <c r="B842" s="241"/>
      <c r="C842" s="241">
        <v>34360</v>
      </c>
      <c r="D842" s="161" t="s">
        <v>7355</v>
      </c>
      <c r="E842" s="1194" t="s">
        <v>133</v>
      </c>
      <c r="F842" s="242">
        <v>5.2309999999999999</v>
      </c>
      <c r="G842" s="242">
        <f>IF(B842="SEPLAG",VLOOKUP(CONCATENATE("MEDIANA - ",C842),COTAÇÃO,5,FALSE),VLOOKUP($C842,'NAO DESO'!$A:$D,4,))</f>
        <v>47.31</v>
      </c>
      <c r="H842" s="242">
        <f t="shared" si="62"/>
        <v>247.47</v>
      </c>
      <c r="I842" s="54" t="str">
        <f>IF(B842="SEPLAG",VLOOKUP(CONCATENATE("MEDIANA - ",C842),COTAÇÃO,5,FALSE),VLOOKUP($C842,DESON!$A:$D,4,))</f>
        <v>47,31</v>
      </c>
      <c r="J842" s="209">
        <f t="shared" si="63"/>
        <v>247.47</v>
      </c>
    </row>
    <row r="843" spans="1:10" ht="15" customHeight="1">
      <c r="A843" s="208" t="s">
        <v>39</v>
      </c>
      <c r="B843" s="241"/>
      <c r="C843" s="241">
        <v>34360</v>
      </c>
      <c r="D843" s="161" t="s">
        <v>7356</v>
      </c>
      <c r="E843" s="1194" t="s">
        <v>133</v>
      </c>
      <c r="F843" s="242">
        <v>1.0920000000000001</v>
      </c>
      <c r="G843" s="242">
        <f>IF(B843="SEPLAG",VLOOKUP(CONCATENATE("MEDIANA - ",C843),COTAÇÃO,5,FALSE),VLOOKUP($C843,'NAO DESO'!$A:$D,4,))</f>
        <v>47.31</v>
      </c>
      <c r="H843" s="242">
        <f t="shared" si="62"/>
        <v>51.66</v>
      </c>
      <c r="I843" s="54" t="str">
        <f>IF(B843="SEPLAG",VLOOKUP(CONCATENATE("MEDIANA - ",C843),COTAÇÃO,5,FALSE),VLOOKUP($C843,DESON!$A:$D,4,))</f>
        <v>47,31</v>
      </c>
      <c r="J843" s="209">
        <f t="shared" si="63"/>
        <v>51.66</v>
      </c>
    </row>
    <row r="844" spans="1:10" ht="15" customHeight="1">
      <c r="A844" s="208" t="s">
        <v>39</v>
      </c>
      <c r="B844" s="241"/>
      <c r="C844" s="241">
        <v>34360</v>
      </c>
      <c r="D844" s="161" t="s">
        <v>7357</v>
      </c>
      <c r="E844" s="1194" t="s">
        <v>133</v>
      </c>
      <c r="F844" s="242">
        <v>4.3410000000000002</v>
      </c>
      <c r="G844" s="242">
        <f>IF(B844="SEPLAG",VLOOKUP(CONCATENATE("MEDIANA - ",C844),COTAÇÃO,5,FALSE),VLOOKUP($C844,'NAO DESO'!$A:$D,4,))</f>
        <v>47.31</v>
      </c>
      <c r="H844" s="242">
        <f t="shared" si="62"/>
        <v>205.37</v>
      </c>
      <c r="I844" s="54" t="str">
        <f>IF(B844="SEPLAG",VLOOKUP(CONCATENATE("MEDIANA - ",C844),COTAÇÃO,5,FALSE),VLOOKUP($C844,DESON!$A:$D,4,))</f>
        <v>47,31</v>
      </c>
      <c r="J844" s="209">
        <f t="shared" si="63"/>
        <v>205.37</v>
      </c>
    </row>
    <row r="845" spans="1:10" ht="15" customHeight="1">
      <c r="A845" s="208" t="s">
        <v>39</v>
      </c>
      <c r="B845" s="241" t="s">
        <v>14504</v>
      </c>
      <c r="C845" s="241" t="s">
        <v>14318</v>
      </c>
      <c r="D845" s="161" t="str">
        <f>IF(B845="SEPLAG",VLOOKUP(COMPOSIÇÕES!C845,'MAPA COMPARATIVO'!A:B,2,FALSE),VLOOKUP(C845,'NAO DESO'!A:B,2,0))</f>
        <v>Fecho mini direito L. 20/25/30</v>
      </c>
      <c r="E845" s="1194" t="s">
        <v>24</v>
      </c>
      <c r="F845" s="242">
        <v>24</v>
      </c>
      <c r="G845" s="242">
        <f>IF(B845="SEPLAG",VLOOKUP(CONCATENATE("MEDIANA - ",C845),COTAÇÃO,5,FALSE),VLOOKUP($C845,'NAO DESO'!$A:$D,4,))</f>
        <v>35.61</v>
      </c>
      <c r="H845" s="242">
        <f t="shared" si="62"/>
        <v>854.64</v>
      </c>
      <c r="I845" s="54">
        <f>IF(B845="SEPLAG",VLOOKUP(CONCATENATE("MEDIANA - ",C845),COTAÇÃO,5,FALSE),VLOOKUP($C845,DESON!$A:$D,4,))</f>
        <v>35.61</v>
      </c>
      <c r="J845" s="209">
        <f t="shared" si="63"/>
        <v>854.64</v>
      </c>
    </row>
    <row r="846" spans="1:10" ht="15" customHeight="1">
      <c r="A846" s="208" t="s">
        <v>39</v>
      </c>
      <c r="B846" s="241" t="s">
        <v>14504</v>
      </c>
      <c r="C846" s="1181" t="s">
        <v>14315</v>
      </c>
      <c r="D846" s="161" t="str">
        <f>IF(B846="SEPLAG",VLOOKUP(COMPOSIÇÕES!C846,'MAPA COMPARATIVO'!A:B,2,FALSE),VLOOKUP(C846,'NAO DESO'!A:B,2,0))</f>
        <v>PARAF. PANELA PHILIPS INOX 4,8 X32 PONTA PILOTO</v>
      </c>
      <c r="E846" s="1194" t="s">
        <v>24</v>
      </c>
      <c r="F846" s="242">
        <v>56</v>
      </c>
      <c r="G846" s="242">
        <f>IF(B846="SEPLAG",VLOOKUP(CONCATENATE("MEDIANA - ",C846),COTAÇÃO,5,FALSE),VLOOKUP($C846,'NAO DESO'!$A:$D,4,))</f>
        <v>0.95</v>
      </c>
      <c r="H846" s="242">
        <f t="shared" si="62"/>
        <v>53.2</v>
      </c>
      <c r="I846" s="54">
        <f>IF(B846="SEPLAG",VLOOKUP(CONCATENATE("MEDIANA - ",C846),COTAÇÃO,5,FALSE),VLOOKUP($C846,DESON!$A:$D,4,))</f>
        <v>0.95</v>
      </c>
      <c r="J846" s="209">
        <f t="shared" si="63"/>
        <v>53.2</v>
      </c>
    </row>
    <row r="847" spans="1:10" ht="15" customHeight="1">
      <c r="A847" s="208" t="s">
        <v>39</v>
      </c>
      <c r="B847" s="241" t="s">
        <v>14504</v>
      </c>
      <c r="C847" s="1181" t="s">
        <v>14313</v>
      </c>
      <c r="D847" s="161" t="str">
        <f>IF(B847="SEPLAG",VLOOKUP(COMPOSIÇÕES!C847,'MAPA COMPARATIVO'!A:B,2,FALSE),VLOOKUP(C847,'NAO DESO'!A:B,2,0))</f>
        <v>PRESILHA DE FIXAÇÃO DO ARREMATE MP-347</v>
      </c>
      <c r="E847" s="1194" t="s">
        <v>24</v>
      </c>
      <c r="F847" s="242">
        <v>56</v>
      </c>
      <c r="G847" s="242">
        <f>IF(B847="SEPLAG",VLOOKUP(CONCATENATE("MEDIANA - ",C847),COTAÇÃO,5,FALSE),VLOOKUP($C847,'NAO DESO'!$A:$D,4,))</f>
        <v>0.34</v>
      </c>
      <c r="H847" s="242">
        <f t="shared" si="62"/>
        <v>19.04</v>
      </c>
      <c r="I847" s="54">
        <f>IF(B847="SEPLAG",VLOOKUP(CONCATENATE("MEDIANA - ",C847),COTAÇÃO,5,FALSE),VLOOKUP($C847,DESON!$A:$D,4,))</f>
        <v>0.34</v>
      </c>
      <c r="J847" s="209">
        <f t="shared" si="63"/>
        <v>19.04</v>
      </c>
    </row>
    <row r="848" spans="1:10" ht="15" customHeight="1">
      <c r="A848" s="208" t="s">
        <v>39</v>
      </c>
      <c r="B848" s="241" t="s">
        <v>14504</v>
      </c>
      <c r="C848" s="1181" t="s">
        <v>14309</v>
      </c>
      <c r="D848" s="161" t="str">
        <f>IF(B848="SEPLAG",VLOOKUP(COMPOSIÇÕES!C848,'MAPA COMPARATIVO'!A:B,2,FALSE),VLOOKUP(C848,'NAO DESO'!A:B,2,0))</f>
        <v>Guarnição em EPDM p/ pingadeira</v>
      </c>
      <c r="E848" s="1194" t="s">
        <v>7388</v>
      </c>
      <c r="F848" s="242">
        <v>24.99</v>
      </c>
      <c r="G848" s="242">
        <f>IF(B848="SEPLAG",VLOOKUP(CONCATENATE("MEDIANA - ",C848),COTAÇÃO,5,FALSE),VLOOKUP($C848,'NAO DESO'!$A:$D,4,))</f>
        <v>4.3849999999999998</v>
      </c>
      <c r="H848" s="242">
        <f t="shared" si="62"/>
        <v>109.58</v>
      </c>
      <c r="I848" s="54">
        <f>IF(B848="SEPLAG",VLOOKUP(CONCATENATE("MEDIANA - ",C848),COTAÇÃO,5,FALSE),VLOOKUP($C848,DESON!$A:$D,4,))</f>
        <v>4.3849999999999998</v>
      </c>
      <c r="J848" s="209">
        <f t="shared" si="63"/>
        <v>109.58</v>
      </c>
    </row>
    <row r="849" spans="1:10" ht="15" customHeight="1">
      <c r="A849" s="208" t="s">
        <v>39</v>
      </c>
      <c r="B849" s="241" t="s">
        <v>14504</v>
      </c>
      <c r="C849" s="1181" t="s">
        <v>14315</v>
      </c>
      <c r="D849" s="161" t="str">
        <f>IF(B849="SEPLAG",VLOOKUP(COMPOSIÇÕES!C849,'MAPA COMPARATIVO'!A:B,2,FALSE),VLOOKUP(C849,'NAO DESO'!A:B,2,0))</f>
        <v>PARAF. PANELA PHILIPS INOX 4,8 X32 PONTA PILOTO</v>
      </c>
      <c r="E849" s="1194" t="s">
        <v>24</v>
      </c>
      <c r="F849" s="242">
        <v>44</v>
      </c>
      <c r="G849" s="242">
        <f>IF(B849="SEPLAG",VLOOKUP(CONCATENATE("MEDIANA - ",C849),COTAÇÃO,5,FALSE),VLOOKUP($C849,'NAO DESO'!$A:$D,4,))</f>
        <v>0.95</v>
      </c>
      <c r="H849" s="242">
        <f t="shared" si="62"/>
        <v>41.8</v>
      </c>
      <c r="I849" s="54">
        <f>IF(B849="SEPLAG",VLOOKUP(CONCATENATE("MEDIANA - ",C849),COTAÇÃO,5,FALSE),VLOOKUP($C849,DESON!$A:$D,4,))</f>
        <v>0.95</v>
      </c>
      <c r="J849" s="209">
        <f t="shared" si="63"/>
        <v>41.8</v>
      </c>
    </row>
    <row r="850" spans="1:10" ht="15" customHeight="1">
      <c r="A850" s="208" t="s">
        <v>39</v>
      </c>
      <c r="B850" s="241" t="s">
        <v>14504</v>
      </c>
      <c r="C850" s="1181" t="s">
        <v>14316</v>
      </c>
      <c r="D850" s="161" t="str">
        <f>IF(B850="SEPLAG",VLOOKUP(COMPOSIÇÕES!C850,'MAPA COMPARATIVO'!A:B,2,FALSE),VLOOKUP(C850,'NAO DESO'!A:B,2,0))</f>
        <v>CHUMBADOR DE CM-063/060</v>
      </c>
      <c r="E850" s="1194" t="s">
        <v>24</v>
      </c>
      <c r="F850" s="242">
        <v>56</v>
      </c>
      <c r="G850" s="242">
        <f>IF(B850="SEPLAG",VLOOKUP(CONCATENATE("MEDIANA - ",C850),COTAÇÃO,5,FALSE),VLOOKUP($C850,'NAO DESO'!$A:$D,4,))</f>
        <v>0.86</v>
      </c>
      <c r="H850" s="242">
        <f t="shared" si="62"/>
        <v>48.16</v>
      </c>
      <c r="I850" s="54">
        <f>IF(B850="SEPLAG",VLOOKUP(CONCATENATE("MEDIANA - ",C850),COTAÇÃO,5,FALSE),VLOOKUP($C850,DESON!$A:$D,4,))</f>
        <v>0.86</v>
      </c>
      <c r="J850" s="209">
        <f t="shared" si="63"/>
        <v>48.16</v>
      </c>
    </row>
    <row r="851" spans="1:10" ht="15" customHeight="1">
      <c r="A851" s="208" t="s">
        <v>39</v>
      </c>
      <c r="B851" s="241" t="s">
        <v>14504</v>
      </c>
      <c r="C851" s="1181" t="s">
        <v>14317</v>
      </c>
      <c r="D851" s="161" t="str">
        <f>IF(B851="SEPLAG",VLOOKUP(COMPOSIÇÕES!C851,'MAPA COMPARATIVO'!A:B,2,FALSE),VLOOKUP(C851,'NAO DESO'!A:B,2,0))</f>
        <v>Silicone neutro incolor 280 g</v>
      </c>
      <c r="E851" s="1194" t="s">
        <v>24</v>
      </c>
      <c r="F851" s="242">
        <v>4</v>
      </c>
      <c r="G851" s="242">
        <f>IF(B851="SEPLAG",VLOOKUP(CONCATENATE("MEDIANA - ",C851),COTAÇÃO,5,FALSE),VLOOKUP($C851,'NAO DESO'!$A:$D,4,))</f>
        <v>43.9</v>
      </c>
      <c r="H851" s="242">
        <f t="shared" si="62"/>
        <v>175.6</v>
      </c>
      <c r="I851" s="54">
        <f>IF(B851="SEPLAG",VLOOKUP(CONCATENATE("MEDIANA - ",C851),COTAÇÃO,5,FALSE),VLOOKUP($C851,DESON!$A:$D,4,))</f>
        <v>43.9</v>
      </c>
      <c r="J851" s="209">
        <f t="shared" si="63"/>
        <v>175.6</v>
      </c>
    </row>
    <row r="852" spans="1:10" ht="15" customHeight="1">
      <c r="A852" s="208" t="s">
        <v>245</v>
      </c>
      <c r="B852" s="241"/>
      <c r="C852" s="1181">
        <v>10505</v>
      </c>
      <c r="D852" s="161" t="str">
        <f>IF(B852="SEPLAG",VLOOKUP(COMPOSIÇÕES!C852,'MAPA COMPARATIVO'!A:B,2,FALSE),VLOOKUP(C852,'NAO DESO'!A:B,2,0))</f>
        <v>VIDRO TEMPERADO INCOLOR E = 6 MM, SEM COLOCACAO</v>
      </c>
      <c r="E852" s="241" t="str">
        <f>VLOOKUP($C852,'NAO DESO'!$A:$D,3,)</f>
        <v xml:space="preserve">M2    </v>
      </c>
      <c r="F852" s="242">
        <v>23.295999999999999</v>
      </c>
      <c r="G852" s="242">
        <f>IF(B852="SEPLAG",VLOOKUP(CONCATENATE("MEDIANA - ",C852),COTAÇÃO,5,FALSE),VLOOKUP($C852,'NAO DESO'!$A:$D,4,))</f>
        <v>272.77</v>
      </c>
      <c r="H852" s="242">
        <f t="shared" si="62"/>
        <v>6354.44</v>
      </c>
      <c r="I852" s="54" t="str">
        <f>IF(B852="SEPLAG",VLOOKUP(CONCATENATE("MEDIANA - ",C852),COTAÇÃO,5,FALSE),VLOOKUP($C852,DESON!$A:$D,4,))</f>
        <v>272,77</v>
      </c>
      <c r="J852" s="209">
        <f t="shared" si="63"/>
        <v>6354.44</v>
      </c>
    </row>
    <row r="853" spans="1:10" ht="15" customHeight="1">
      <c r="A853" s="208" t="s">
        <v>245</v>
      </c>
      <c r="B853" s="241"/>
      <c r="C853" s="1181">
        <v>88315</v>
      </c>
      <c r="D853" s="161" t="str">
        <f>IF(B853="SEPLAG",VLOOKUP(COMPOSIÇÕES!C853,'MAPA COMPARATIVO'!A:B,2,FALSE),VLOOKUP(C853,'NAO DESO'!A:B,2,0))</f>
        <v>SERRALHEIRO COM ENCARGOS COMPLEMENTARES</v>
      </c>
      <c r="E853" s="241" t="str">
        <f>VLOOKUP($C853,'NAO DESO'!$A:$D,3,)</f>
        <v>H</v>
      </c>
      <c r="F853" s="242">
        <v>76.036239999999992</v>
      </c>
      <c r="G853" s="242" t="str">
        <f>IF(B853="SEPLAG",VLOOKUP(CONCATENATE("MEDIANA - ",C853),COTAÇÃO,5,FALSE),VLOOKUP($C853,'NAO DESO'!$A:$D,4,))</f>
        <v>20,97</v>
      </c>
      <c r="H853" s="242">
        <f t="shared" si="62"/>
        <v>1594.47</v>
      </c>
      <c r="I853" s="54" t="str">
        <f>IF(B853="SEPLAG",VLOOKUP(CONCATENATE("MEDIANA - ",C853),COTAÇÃO,5,FALSE),VLOOKUP($C853,DESON!$A:$D,4,))</f>
        <v>18,75</v>
      </c>
      <c r="J853" s="209">
        <f t="shared" si="63"/>
        <v>1425.67</v>
      </c>
    </row>
    <row r="854" spans="1:10" ht="15" customHeight="1">
      <c r="A854" s="208" t="s">
        <v>245</v>
      </c>
      <c r="B854" s="241"/>
      <c r="C854" s="1181">
        <v>88316</v>
      </c>
      <c r="D854" s="161" t="str">
        <f>IF(B854="SEPLAG",VLOOKUP(COMPOSIÇÕES!C854,'MAPA COMPARATIVO'!A:B,2,FALSE),VLOOKUP(C854,'NAO DESO'!A:B,2,0))</f>
        <v>SERVENTE COM ENCARGOS COMPLEMENTARES</v>
      </c>
      <c r="E854" s="241" t="str">
        <f>VLOOKUP($C854,'NAO DESO'!$A:$D,3,)</f>
        <v>H</v>
      </c>
      <c r="F854" s="242">
        <v>76.036239999999992</v>
      </c>
      <c r="G854" s="242" t="str">
        <f>IF(B854="SEPLAG",VLOOKUP(CONCATENATE("MEDIANA - ",C854),COTAÇÃO,5,FALSE),VLOOKUP($C854,'NAO DESO'!$A:$D,4,))</f>
        <v>16,83</v>
      </c>
      <c r="H854" s="242">
        <f t="shared" si="62"/>
        <v>1279.68</v>
      </c>
      <c r="I854" s="54" t="str">
        <f>IF(B854="SEPLAG",VLOOKUP(CONCATENATE("MEDIANA - ",C854),COTAÇÃO,5,FALSE),VLOOKUP($C854,DESON!$A:$D,4,))</f>
        <v>15,16</v>
      </c>
      <c r="J854" s="209">
        <f t="shared" si="63"/>
        <v>1152.7</v>
      </c>
    </row>
    <row r="855" spans="1:10" ht="15" customHeight="1">
      <c r="A855" s="210" t="str">
        <f>CONCATENATE("TOTAL DO ITEM NÃO DESON. - ",C833)</f>
        <v>TOTAL DO ITEM NÃO DESON. - SEPLAG  ARQ 71</v>
      </c>
      <c r="B855" s="424"/>
      <c r="C855" s="424"/>
      <c r="D855" s="424"/>
      <c r="E855" s="424"/>
      <c r="F855" s="425"/>
      <c r="G855" s="426"/>
      <c r="H855" s="1182">
        <f>SUM(H835:H854)</f>
        <v>15594.38</v>
      </c>
      <c r="I855" s="214"/>
      <c r="J855" s="215"/>
    </row>
    <row r="856" spans="1:10" ht="15.75" customHeight="1" thickBot="1">
      <c r="A856" s="216" t="str">
        <f>CONCATENATE("TOTAL DO ITEM DESON. - ",C833)</f>
        <v>TOTAL DO ITEM DESON. - SEPLAG  ARQ 71</v>
      </c>
      <c r="B856" s="427"/>
      <c r="C856" s="427"/>
      <c r="D856" s="427"/>
      <c r="E856" s="427"/>
      <c r="F856" s="428"/>
      <c r="G856" s="429"/>
      <c r="H856" s="1187"/>
      <c r="I856" s="229"/>
      <c r="J856" s="219">
        <f>SUM(J835:J854)</f>
        <v>15298.6</v>
      </c>
    </row>
    <row r="857" spans="1:10" ht="15" customHeight="1" thickBot="1">
      <c r="A857" s="235"/>
      <c r="B857" s="1135"/>
      <c r="C857" s="1135"/>
      <c r="D857" s="1135"/>
      <c r="E857" s="1135"/>
      <c r="F857" s="1188"/>
      <c r="G857" s="1188"/>
      <c r="H857" s="1188"/>
      <c r="I857" s="236"/>
      <c r="J857" s="237"/>
    </row>
    <row r="858" spans="1:10" ht="29.25" customHeight="1">
      <c r="A858" s="198"/>
      <c r="B858" s="1175"/>
      <c r="C858" s="1176" t="s">
        <v>7360</v>
      </c>
      <c r="D858" s="156" t="s">
        <v>7623</v>
      </c>
      <c r="E858" s="1176" t="s">
        <v>32</v>
      </c>
      <c r="F858" s="1177" t="s">
        <v>18</v>
      </c>
      <c r="G858" s="1178" t="s">
        <v>7017</v>
      </c>
      <c r="H858" s="1179"/>
      <c r="I858" s="200" t="s">
        <v>7016</v>
      </c>
      <c r="J858" s="201"/>
    </row>
    <row r="859" spans="1:10" ht="15" customHeight="1">
      <c r="A859" s="233"/>
      <c r="B859" s="247"/>
      <c r="C859" s="1155"/>
      <c r="D859" s="157"/>
      <c r="E859" s="1155"/>
      <c r="F859" s="1180"/>
      <c r="G859" s="1180" t="s">
        <v>19</v>
      </c>
      <c r="H859" s="1180" t="s">
        <v>20</v>
      </c>
      <c r="I859" s="205" t="s">
        <v>19</v>
      </c>
      <c r="J859" s="206" t="s">
        <v>20</v>
      </c>
    </row>
    <row r="860" spans="1:10" ht="15" customHeight="1">
      <c r="A860" s="208" t="s">
        <v>39</v>
      </c>
      <c r="B860" s="241"/>
      <c r="C860" s="241">
        <v>34360</v>
      </c>
      <c r="D860" s="161" t="s">
        <v>7348</v>
      </c>
      <c r="E860" s="1194" t="s">
        <v>133</v>
      </c>
      <c r="F860" s="242">
        <v>54.92</v>
      </c>
      <c r="G860" s="242">
        <f>IF(B860="SEPLAG",VLOOKUP(CONCATENATE("MEDIANA - ",C860),COTAÇÃO,5,FALSE),VLOOKUP($C860,'NAO DESO'!$A:$D,4,))</f>
        <v>47.31</v>
      </c>
      <c r="H860" s="242">
        <f t="shared" ref="H860:H880" si="64">TRUNC(F860*G860,2)</f>
        <v>2598.2600000000002</v>
      </c>
      <c r="I860" s="54" t="str">
        <f>IF(B860="SEPLAG",VLOOKUP(CONCATENATE("MEDIANA - ",C860),COTAÇÃO,5,FALSE),VLOOKUP($C860,DESON!$A:$D,4,))</f>
        <v>47,31</v>
      </c>
      <c r="J860" s="209">
        <f t="shared" ref="J860:J880" si="65">TRUNC(F860*I860,2)</f>
        <v>2598.2600000000002</v>
      </c>
    </row>
    <row r="861" spans="1:10" ht="15" customHeight="1">
      <c r="A861" s="208" t="s">
        <v>39</v>
      </c>
      <c r="B861" s="241"/>
      <c r="C861" s="241">
        <v>34360</v>
      </c>
      <c r="D861" s="161" t="s">
        <v>7349</v>
      </c>
      <c r="E861" s="1194" t="s">
        <v>133</v>
      </c>
      <c r="F861" s="242">
        <v>14.673</v>
      </c>
      <c r="G861" s="242">
        <f>IF(B861="SEPLAG",VLOOKUP(CONCATENATE("MEDIANA - ",C861),COTAÇÃO,5,FALSE),VLOOKUP($C861,'NAO DESO'!$A:$D,4,))</f>
        <v>47.31</v>
      </c>
      <c r="H861" s="242">
        <f t="shared" si="64"/>
        <v>694.17</v>
      </c>
      <c r="I861" s="54" t="str">
        <f>IF(B861="SEPLAG",VLOOKUP(CONCATENATE("MEDIANA - ",C861),COTAÇÃO,5,FALSE),VLOOKUP($C861,DESON!$A:$D,4,))</f>
        <v>47,31</v>
      </c>
      <c r="J861" s="209">
        <f t="shared" si="65"/>
        <v>694.17</v>
      </c>
    </row>
    <row r="862" spans="1:10" ht="15" customHeight="1">
      <c r="A862" s="208" t="s">
        <v>39</v>
      </c>
      <c r="B862" s="241"/>
      <c r="C862" s="241">
        <v>34360</v>
      </c>
      <c r="D862" s="161" t="s">
        <v>7350</v>
      </c>
      <c r="E862" s="1194" t="s">
        <v>133</v>
      </c>
      <c r="F862" s="242">
        <v>13.352</v>
      </c>
      <c r="G862" s="242">
        <f>IF(B862="SEPLAG",VLOOKUP(CONCATENATE("MEDIANA - ",C862),COTAÇÃO,5,FALSE),VLOOKUP($C862,'NAO DESO'!$A:$D,4,))</f>
        <v>47.31</v>
      </c>
      <c r="H862" s="242">
        <f t="shared" si="64"/>
        <v>631.67999999999995</v>
      </c>
      <c r="I862" s="54" t="str">
        <f>IF(B862="SEPLAG",VLOOKUP(CONCATENATE("MEDIANA - ",C862),COTAÇÃO,5,FALSE),VLOOKUP($C862,DESON!$A:$D,4,))</f>
        <v>47,31</v>
      </c>
      <c r="J862" s="209">
        <f t="shared" si="65"/>
        <v>631.67999999999995</v>
      </c>
    </row>
    <row r="863" spans="1:10" ht="15" customHeight="1">
      <c r="A863" s="208" t="s">
        <v>39</v>
      </c>
      <c r="B863" s="241"/>
      <c r="C863" s="241">
        <v>34360</v>
      </c>
      <c r="D863" s="161" t="s">
        <v>7351</v>
      </c>
      <c r="E863" s="1194" t="s">
        <v>133</v>
      </c>
      <c r="F863" s="242">
        <v>39.700000000000003</v>
      </c>
      <c r="G863" s="242">
        <f>IF(B863="SEPLAG",VLOOKUP(CONCATENATE("MEDIANA - ",C863),COTAÇÃO,5,FALSE),VLOOKUP($C863,'NAO DESO'!$A:$D,4,))</f>
        <v>47.31</v>
      </c>
      <c r="H863" s="242">
        <f t="shared" si="64"/>
        <v>1878.2</v>
      </c>
      <c r="I863" s="54" t="str">
        <f>IF(B863="SEPLAG",VLOOKUP(CONCATENATE("MEDIANA - ",C863),COTAÇÃO,5,FALSE),VLOOKUP($C863,DESON!$A:$D,4,))</f>
        <v>47,31</v>
      </c>
      <c r="J863" s="209">
        <f t="shared" si="65"/>
        <v>1878.2</v>
      </c>
    </row>
    <row r="864" spans="1:10" ht="15" customHeight="1">
      <c r="A864" s="208" t="s">
        <v>39</v>
      </c>
      <c r="B864" s="241"/>
      <c r="C864" s="241">
        <v>34360</v>
      </c>
      <c r="D864" s="161" t="s">
        <v>7352</v>
      </c>
      <c r="E864" s="1194" t="s">
        <v>133</v>
      </c>
      <c r="F864" s="242">
        <v>15.012</v>
      </c>
      <c r="G864" s="242">
        <f>IF(B864="SEPLAG",VLOOKUP(CONCATENATE("MEDIANA - ",C864),COTAÇÃO,5,FALSE),VLOOKUP($C864,'NAO DESO'!$A:$D,4,))</f>
        <v>47.31</v>
      </c>
      <c r="H864" s="242">
        <f t="shared" si="64"/>
        <v>710.21</v>
      </c>
      <c r="I864" s="54" t="str">
        <f>IF(B864="SEPLAG",VLOOKUP(CONCATENATE("MEDIANA - ",C864),COTAÇÃO,5,FALSE),VLOOKUP($C864,DESON!$A:$D,4,))</f>
        <v>47,31</v>
      </c>
      <c r="J864" s="209">
        <f t="shared" si="65"/>
        <v>710.21</v>
      </c>
    </row>
    <row r="865" spans="1:10" ht="15" customHeight="1">
      <c r="A865" s="208" t="s">
        <v>39</v>
      </c>
      <c r="B865" s="241"/>
      <c r="C865" s="241">
        <v>34360</v>
      </c>
      <c r="D865" s="161" t="s">
        <v>7353</v>
      </c>
      <c r="E865" s="1194" t="s">
        <v>133</v>
      </c>
      <c r="F865" s="242">
        <v>4.5640000000000001</v>
      </c>
      <c r="G865" s="242">
        <f>IF(B865="SEPLAG",VLOOKUP(CONCATENATE("MEDIANA - ",C865),COTAÇÃO,5,FALSE),VLOOKUP($C865,'NAO DESO'!$A:$D,4,))</f>
        <v>47.31</v>
      </c>
      <c r="H865" s="242">
        <f t="shared" si="64"/>
        <v>215.92</v>
      </c>
      <c r="I865" s="54" t="str">
        <f>IF(B865="SEPLAG",VLOOKUP(CONCATENATE("MEDIANA - ",C865),COTAÇÃO,5,FALSE),VLOOKUP($C865,DESON!$A:$D,4,))</f>
        <v>47,31</v>
      </c>
      <c r="J865" s="209">
        <f t="shared" si="65"/>
        <v>215.92</v>
      </c>
    </row>
    <row r="866" spans="1:10" ht="15" customHeight="1">
      <c r="A866" s="208" t="s">
        <v>39</v>
      </c>
      <c r="B866" s="241"/>
      <c r="C866" s="241">
        <v>34360</v>
      </c>
      <c r="D866" s="161" t="s">
        <v>7354</v>
      </c>
      <c r="E866" s="1194" t="s">
        <v>133</v>
      </c>
      <c r="F866" s="242">
        <v>2.6179999999999999</v>
      </c>
      <c r="G866" s="242">
        <f>IF(B866="SEPLAG",VLOOKUP(CONCATENATE("MEDIANA - ",C866),COTAÇÃO,5,FALSE),VLOOKUP($C866,'NAO DESO'!$A:$D,4,))</f>
        <v>47.31</v>
      </c>
      <c r="H866" s="242">
        <f t="shared" si="64"/>
        <v>123.85</v>
      </c>
      <c r="I866" s="54" t="str">
        <f>IF(B866="SEPLAG",VLOOKUP(CONCATENATE("MEDIANA - ",C866),COTAÇÃO,5,FALSE),VLOOKUP($C866,DESON!$A:$D,4,))</f>
        <v>47,31</v>
      </c>
      <c r="J866" s="209">
        <f t="shared" si="65"/>
        <v>123.85</v>
      </c>
    </row>
    <row r="867" spans="1:10" ht="15" customHeight="1">
      <c r="A867" s="208" t="s">
        <v>39</v>
      </c>
      <c r="B867" s="241"/>
      <c r="C867" s="241">
        <v>34360</v>
      </c>
      <c r="D867" s="161" t="s">
        <v>7355</v>
      </c>
      <c r="E867" s="1194" t="s">
        <v>133</v>
      </c>
      <c r="F867" s="242">
        <v>7.9210000000000003</v>
      </c>
      <c r="G867" s="242">
        <f>IF(B867="SEPLAG",VLOOKUP(CONCATENATE("MEDIANA - ",C867),COTAÇÃO,5,FALSE),VLOOKUP($C867,'NAO DESO'!$A:$D,4,))</f>
        <v>47.31</v>
      </c>
      <c r="H867" s="242">
        <f t="shared" si="64"/>
        <v>374.74</v>
      </c>
      <c r="I867" s="54" t="str">
        <f>IF(B867="SEPLAG",VLOOKUP(CONCATENATE("MEDIANA - ",C867),COTAÇÃO,5,FALSE),VLOOKUP($C867,DESON!$A:$D,4,))</f>
        <v>47,31</v>
      </c>
      <c r="J867" s="209">
        <f t="shared" si="65"/>
        <v>374.74</v>
      </c>
    </row>
    <row r="868" spans="1:10" ht="15" customHeight="1">
      <c r="A868" s="208" t="s">
        <v>39</v>
      </c>
      <c r="B868" s="241"/>
      <c r="C868" s="241">
        <v>34360</v>
      </c>
      <c r="D868" s="161" t="s">
        <v>7356</v>
      </c>
      <c r="E868" s="1194" t="s">
        <v>133</v>
      </c>
      <c r="F868" s="242">
        <v>4.9969999999999999</v>
      </c>
      <c r="G868" s="242">
        <f>IF(B868="SEPLAG",VLOOKUP(CONCATENATE("MEDIANA - ",C868),COTAÇÃO,5,FALSE),VLOOKUP($C868,'NAO DESO'!$A:$D,4,))</f>
        <v>47.31</v>
      </c>
      <c r="H868" s="242">
        <f t="shared" si="64"/>
        <v>236.4</v>
      </c>
      <c r="I868" s="54" t="str">
        <f>IF(B868="SEPLAG",VLOOKUP(CONCATENATE("MEDIANA - ",C868),COTAÇÃO,5,FALSE),VLOOKUP($C868,DESON!$A:$D,4,))</f>
        <v>47,31</v>
      </c>
      <c r="J868" s="209">
        <f t="shared" si="65"/>
        <v>236.4</v>
      </c>
    </row>
    <row r="869" spans="1:10" ht="15" customHeight="1">
      <c r="A869" s="208" t="s">
        <v>39</v>
      </c>
      <c r="B869" s="241"/>
      <c r="C869" s="241">
        <v>34360</v>
      </c>
      <c r="D869" s="161" t="s">
        <v>7357</v>
      </c>
      <c r="E869" s="1194" t="s">
        <v>133</v>
      </c>
      <c r="F869" s="242">
        <v>6.0060000000000002</v>
      </c>
      <c r="G869" s="242">
        <f>IF(B869="SEPLAG",VLOOKUP(CONCATENATE("MEDIANA - ",C869),COTAÇÃO,5,FALSE),VLOOKUP($C869,'NAO DESO'!$A:$D,4,))</f>
        <v>47.31</v>
      </c>
      <c r="H869" s="242">
        <f t="shared" si="64"/>
        <v>284.14</v>
      </c>
      <c r="I869" s="54" t="str">
        <f>IF(B869="SEPLAG",VLOOKUP(CONCATENATE("MEDIANA - ",C869),COTAÇÃO,5,FALSE),VLOOKUP($C869,DESON!$A:$D,4,))</f>
        <v>47,31</v>
      </c>
      <c r="J869" s="209">
        <f t="shared" si="65"/>
        <v>284.14</v>
      </c>
    </row>
    <row r="870" spans="1:10" ht="15" customHeight="1">
      <c r="A870" s="208" t="s">
        <v>39</v>
      </c>
      <c r="B870" s="241" t="s">
        <v>14504</v>
      </c>
      <c r="C870" s="241" t="s">
        <v>14318</v>
      </c>
      <c r="D870" s="161" t="str">
        <f>IF(B870="SEPLAG",VLOOKUP(COMPOSIÇÕES!C870,'MAPA COMPARATIVO'!A:B,2,FALSE),VLOOKUP(C870,'NAO DESO'!A:B,2,0))</f>
        <v>Fecho mini direito L. 20/25/30</v>
      </c>
      <c r="E870" s="1194" t="s">
        <v>133</v>
      </c>
      <c r="F870" s="242">
        <v>36</v>
      </c>
      <c r="G870" s="242">
        <f>IF(B870="SEPLAG",VLOOKUP(CONCATENATE("MEDIANA - ",C870),COTAÇÃO,5,FALSE),VLOOKUP($C870,'NAO DESO'!$A:$D,4,))</f>
        <v>35.61</v>
      </c>
      <c r="H870" s="242">
        <f t="shared" si="64"/>
        <v>1281.96</v>
      </c>
      <c r="I870" s="54">
        <f>IF(B870="SEPLAG",VLOOKUP(CONCATENATE("MEDIANA - ",C870),COTAÇÃO,5,FALSE),VLOOKUP($C870,DESON!$A:$D,4,))</f>
        <v>35.61</v>
      </c>
      <c r="J870" s="209">
        <f t="shared" si="65"/>
        <v>1281.96</v>
      </c>
    </row>
    <row r="871" spans="1:10" ht="15" customHeight="1">
      <c r="A871" s="208" t="s">
        <v>39</v>
      </c>
      <c r="B871" s="241" t="s">
        <v>14504</v>
      </c>
      <c r="C871" s="1181" t="s">
        <v>14315</v>
      </c>
      <c r="D871" s="161" t="str">
        <f>IF(B871="SEPLAG",VLOOKUP(COMPOSIÇÕES!C871,'MAPA COMPARATIVO'!A:B,2,FALSE),VLOOKUP(C871,'NAO DESO'!A:B,2,0))</f>
        <v>PARAF. PANELA PHILIPS INOX 4,8 X32 PONTA PILOTO</v>
      </c>
      <c r="E871" s="1194" t="s">
        <v>24</v>
      </c>
      <c r="F871" s="242">
        <v>78</v>
      </c>
      <c r="G871" s="242">
        <f>IF(B871="SEPLAG",VLOOKUP(CONCATENATE("MEDIANA - ",C871),COTAÇÃO,5,FALSE),VLOOKUP($C871,'NAO DESO'!$A:$D,4,))</f>
        <v>0.95</v>
      </c>
      <c r="H871" s="242">
        <f t="shared" si="64"/>
        <v>74.099999999999994</v>
      </c>
      <c r="I871" s="54">
        <f>IF(B871="SEPLAG",VLOOKUP(CONCATENATE("MEDIANA - ",C871),COTAÇÃO,5,FALSE),VLOOKUP($C871,DESON!$A:$D,4,))</f>
        <v>0.95</v>
      </c>
      <c r="J871" s="209">
        <f t="shared" si="65"/>
        <v>74.099999999999994</v>
      </c>
    </row>
    <row r="872" spans="1:10" ht="15" customHeight="1">
      <c r="A872" s="208" t="s">
        <v>39</v>
      </c>
      <c r="B872" s="241" t="s">
        <v>14504</v>
      </c>
      <c r="C872" s="1181" t="s">
        <v>14313</v>
      </c>
      <c r="D872" s="161" t="str">
        <f>IF(B872="SEPLAG",VLOOKUP(COMPOSIÇÕES!C872,'MAPA COMPARATIVO'!A:B,2,FALSE),VLOOKUP(C872,'NAO DESO'!A:B,2,0))</f>
        <v>PRESILHA DE FIXAÇÃO DO ARREMATE MP-347</v>
      </c>
      <c r="E872" s="1194" t="s">
        <v>24</v>
      </c>
      <c r="F872" s="242">
        <v>78</v>
      </c>
      <c r="G872" s="242">
        <f>IF(B872="SEPLAG",VLOOKUP(CONCATENATE("MEDIANA - ",C872),COTAÇÃO,5,FALSE),VLOOKUP($C872,'NAO DESO'!$A:$D,4,))</f>
        <v>0.34</v>
      </c>
      <c r="H872" s="242">
        <f t="shared" si="64"/>
        <v>26.52</v>
      </c>
      <c r="I872" s="54">
        <f>IF(B872="SEPLAG",VLOOKUP(CONCATENATE("MEDIANA - ",C872),COTAÇÃO,5,FALSE),VLOOKUP($C872,DESON!$A:$D,4,))</f>
        <v>0.34</v>
      </c>
      <c r="J872" s="209">
        <f t="shared" si="65"/>
        <v>26.52</v>
      </c>
    </row>
    <row r="873" spans="1:10" ht="15" customHeight="1">
      <c r="A873" s="208" t="s">
        <v>39</v>
      </c>
      <c r="B873" s="241" t="s">
        <v>14504</v>
      </c>
      <c r="C873" s="1181" t="s">
        <v>14309</v>
      </c>
      <c r="D873" s="161" t="str">
        <f>IF(B873="SEPLAG",VLOOKUP(COMPOSIÇÕES!C873,'MAPA COMPARATIVO'!A:B,2,FALSE),VLOOKUP(C873,'NAO DESO'!A:B,2,0))</f>
        <v>Guarnição em EPDM p/ pingadeira</v>
      </c>
      <c r="E873" s="1194" t="s">
        <v>7388</v>
      </c>
      <c r="F873" s="242">
        <v>37.799999999999997</v>
      </c>
      <c r="G873" s="242">
        <f>IF(B873="SEPLAG",VLOOKUP(CONCATENATE("MEDIANA - ",C873),COTAÇÃO,5,FALSE),VLOOKUP($C873,'NAO DESO'!$A:$D,4,))</f>
        <v>4.3849999999999998</v>
      </c>
      <c r="H873" s="242">
        <f t="shared" si="64"/>
        <v>165.75</v>
      </c>
      <c r="I873" s="54">
        <f>IF(B873="SEPLAG",VLOOKUP(CONCATENATE("MEDIANA - ",C873),COTAÇÃO,5,FALSE),VLOOKUP($C873,DESON!$A:$D,4,))</f>
        <v>4.3849999999999998</v>
      </c>
      <c r="J873" s="209">
        <f t="shared" si="65"/>
        <v>165.75</v>
      </c>
    </row>
    <row r="874" spans="1:10" ht="15" customHeight="1">
      <c r="A874" s="208" t="s">
        <v>39</v>
      </c>
      <c r="B874" s="241" t="s">
        <v>14504</v>
      </c>
      <c r="C874" s="1181" t="s">
        <v>14315</v>
      </c>
      <c r="D874" s="161" t="str">
        <f>IF(B874="SEPLAG",VLOOKUP(COMPOSIÇÕES!C874,'MAPA COMPARATIVO'!A:B,2,FALSE),VLOOKUP(C874,'NAO DESO'!A:B,2,0))</f>
        <v>PARAF. PANELA PHILIPS INOX 4,8 X32 PONTA PILOTO</v>
      </c>
      <c r="E874" s="1194" t="s">
        <v>24</v>
      </c>
      <c r="F874" s="242">
        <v>68</v>
      </c>
      <c r="G874" s="242">
        <f>IF(B874="SEPLAG",VLOOKUP(CONCATENATE("MEDIANA - ",C874),COTAÇÃO,5,FALSE),VLOOKUP($C874,'NAO DESO'!$A:$D,4,))</f>
        <v>0.95</v>
      </c>
      <c r="H874" s="242">
        <f t="shared" si="64"/>
        <v>64.599999999999994</v>
      </c>
      <c r="I874" s="54">
        <f>IF(B874="SEPLAG",VLOOKUP(CONCATENATE("MEDIANA - ",C874),COTAÇÃO,5,FALSE),VLOOKUP($C874,DESON!$A:$D,4,))</f>
        <v>0.95</v>
      </c>
      <c r="J874" s="209">
        <f t="shared" si="65"/>
        <v>64.599999999999994</v>
      </c>
    </row>
    <row r="875" spans="1:10" ht="15" customHeight="1">
      <c r="A875" s="208" t="s">
        <v>39</v>
      </c>
      <c r="B875" s="241" t="s">
        <v>14504</v>
      </c>
      <c r="C875" s="1181" t="s">
        <v>14316</v>
      </c>
      <c r="D875" s="161" t="str">
        <f>IF(B875="SEPLAG",VLOOKUP(COMPOSIÇÕES!C875,'MAPA COMPARATIVO'!A:B,2,FALSE),VLOOKUP(C875,'NAO DESO'!A:B,2,0))</f>
        <v>CHUMBADOR DE CM-063/060</v>
      </c>
      <c r="E875" s="1194" t="s">
        <v>24</v>
      </c>
      <c r="F875" s="242">
        <v>78</v>
      </c>
      <c r="G875" s="242">
        <f>IF(B875="SEPLAG",VLOOKUP(CONCATENATE("MEDIANA - ",C875),COTAÇÃO,5,FALSE),VLOOKUP($C875,'NAO DESO'!$A:$D,4,))</f>
        <v>0.86</v>
      </c>
      <c r="H875" s="242">
        <f t="shared" si="64"/>
        <v>67.08</v>
      </c>
      <c r="I875" s="54">
        <f>IF(B875="SEPLAG",VLOOKUP(CONCATENATE("MEDIANA - ",C875),COTAÇÃO,5,FALSE),VLOOKUP($C875,DESON!$A:$D,4,))</f>
        <v>0.86</v>
      </c>
      <c r="J875" s="209">
        <f t="shared" si="65"/>
        <v>67.08</v>
      </c>
    </row>
    <row r="876" spans="1:10" ht="15" customHeight="1">
      <c r="A876" s="208" t="s">
        <v>39</v>
      </c>
      <c r="B876" s="241" t="s">
        <v>14504</v>
      </c>
      <c r="C876" s="1181" t="s">
        <v>14307</v>
      </c>
      <c r="D876" s="161" t="str">
        <f>IF(B876="SEPLAG",VLOOKUP(COMPOSIÇÕES!C876,'MAPA COMPARATIVO'!A:B,2,FALSE),VLOOKUP(C876,'NAO DESO'!A:B,2,0))</f>
        <v xml:space="preserve">Braço de max-ar linha gold de 600mm </v>
      </c>
      <c r="E876" s="1194" t="s">
        <v>24</v>
      </c>
      <c r="F876" s="242">
        <v>36</v>
      </c>
      <c r="G876" s="242">
        <f>IF(B876="SEPLAG",VLOOKUP(CONCATENATE("MEDIANA - ",C876),COTAÇÃO,5,FALSE),VLOOKUP($C876,'NAO DESO'!$A:$D,4,))</f>
        <v>36.575000000000003</v>
      </c>
      <c r="H876" s="242">
        <f t="shared" si="64"/>
        <v>1316.7</v>
      </c>
      <c r="I876" s="54">
        <f>IF(B876="SEPLAG",VLOOKUP(CONCATENATE("MEDIANA - ",C876),COTAÇÃO,5,FALSE),VLOOKUP($C876,DESON!$A:$D,4,))</f>
        <v>36.575000000000003</v>
      </c>
      <c r="J876" s="209">
        <f t="shared" si="65"/>
        <v>1316.7</v>
      </c>
    </row>
    <row r="877" spans="1:10" ht="15" customHeight="1">
      <c r="A877" s="208" t="s">
        <v>39</v>
      </c>
      <c r="B877" s="241" t="s">
        <v>14504</v>
      </c>
      <c r="C877" s="1181" t="s">
        <v>14317</v>
      </c>
      <c r="D877" s="161" t="str">
        <f>IF(B877="SEPLAG",VLOOKUP(COMPOSIÇÕES!C877,'MAPA COMPARATIVO'!A:B,2,FALSE),VLOOKUP(C877,'NAO DESO'!A:B,2,0))</f>
        <v>Silicone neutro incolor 280 g</v>
      </c>
      <c r="E877" s="1194" t="s">
        <v>24</v>
      </c>
      <c r="F877" s="242">
        <v>6</v>
      </c>
      <c r="G877" s="242">
        <f>IF(B877="SEPLAG",VLOOKUP(CONCATENATE("MEDIANA - ",C877),COTAÇÃO,5,FALSE),VLOOKUP($C877,'NAO DESO'!$A:$D,4,))</f>
        <v>43.9</v>
      </c>
      <c r="H877" s="242">
        <f t="shared" si="64"/>
        <v>263.39999999999998</v>
      </c>
      <c r="I877" s="54">
        <f>IF(B877="SEPLAG",VLOOKUP(CONCATENATE("MEDIANA - ",C877),COTAÇÃO,5,FALSE),VLOOKUP($C877,DESON!$A:$D,4,))</f>
        <v>43.9</v>
      </c>
      <c r="J877" s="209">
        <f t="shared" si="65"/>
        <v>263.39999999999998</v>
      </c>
    </row>
    <row r="878" spans="1:10" ht="15" customHeight="1">
      <c r="A878" s="208" t="s">
        <v>245</v>
      </c>
      <c r="B878" s="241"/>
      <c r="C878" s="1181">
        <v>10505</v>
      </c>
      <c r="D878" s="161" t="str">
        <f>IF(B878="SEPLAG",VLOOKUP(COMPOSIÇÕES!C878,'MAPA COMPARATIVO'!A:B,2,FALSE),VLOOKUP(C878,'NAO DESO'!A:B,2,0))</f>
        <v>VIDRO TEMPERADO INCOLOR E = 6 MM, SEM COLOCACAO</v>
      </c>
      <c r="E878" s="241" t="str">
        <f>VLOOKUP($C878,'NAO DESO'!$A:$D,3,)</f>
        <v xml:space="preserve">M2    </v>
      </c>
      <c r="F878" s="242">
        <v>35.28</v>
      </c>
      <c r="G878" s="242">
        <f>IF(B878="SEPLAG",VLOOKUP(CONCATENATE("MEDIANA - ",C878),COTAÇÃO,5,FALSE),VLOOKUP($C878,'NAO DESO'!$A:$D,4,))</f>
        <v>272.77</v>
      </c>
      <c r="H878" s="242">
        <f t="shared" si="64"/>
        <v>9623.32</v>
      </c>
      <c r="I878" s="54" t="str">
        <f>IF(B878="SEPLAG",VLOOKUP(CONCATENATE("MEDIANA - ",C878),COTAÇÃO,5,FALSE),VLOOKUP($C878,DESON!$A:$D,4,))</f>
        <v>272,77</v>
      </c>
      <c r="J878" s="209">
        <f t="shared" si="65"/>
        <v>9623.32</v>
      </c>
    </row>
    <row r="879" spans="1:10" ht="15" customHeight="1">
      <c r="A879" s="208" t="s">
        <v>245</v>
      </c>
      <c r="B879" s="241"/>
      <c r="C879" s="1181">
        <v>88315</v>
      </c>
      <c r="D879" s="161" t="str">
        <f>IF(B879="SEPLAG",VLOOKUP(COMPOSIÇÕES!C879,'MAPA COMPARATIVO'!A:B,2,FALSE),VLOOKUP(C879,'NAO DESO'!A:B,2,0))</f>
        <v>SERRALHEIRO COM ENCARGOS COMPLEMENTARES</v>
      </c>
      <c r="E879" s="241" t="str">
        <f>VLOOKUP($C879,'NAO DESO'!$A:$D,3,)</f>
        <v>H</v>
      </c>
      <c r="F879" s="242">
        <v>3.0969999999999995</v>
      </c>
      <c r="G879" s="242" t="str">
        <f>IF(B879="SEPLAG",VLOOKUP(CONCATENATE("MEDIANA - ",C879),COTAÇÃO,5,FALSE),VLOOKUP($C879,'NAO DESO'!$A:$D,4,))</f>
        <v>20,97</v>
      </c>
      <c r="H879" s="242">
        <f t="shared" si="64"/>
        <v>64.94</v>
      </c>
      <c r="I879" s="54" t="str">
        <f>IF(B879="SEPLAG",VLOOKUP(CONCATENATE("MEDIANA - ",C879),COTAÇÃO,5,FALSE),VLOOKUP($C879,DESON!$A:$D,4,))</f>
        <v>18,75</v>
      </c>
      <c r="J879" s="209">
        <f t="shared" si="65"/>
        <v>58.06</v>
      </c>
    </row>
    <row r="880" spans="1:10" ht="15" customHeight="1">
      <c r="A880" s="208" t="s">
        <v>245</v>
      </c>
      <c r="B880" s="241"/>
      <c r="C880" s="1181">
        <v>88316</v>
      </c>
      <c r="D880" s="161" t="str">
        <f>IF(B880="SEPLAG",VLOOKUP(COMPOSIÇÕES!C880,'MAPA COMPARATIVO'!A:B,2,FALSE),VLOOKUP(C880,'NAO DESO'!A:B,2,0))</f>
        <v>SERVENTE COM ENCARGOS COMPLEMENTARES</v>
      </c>
      <c r="E880" s="241" t="str">
        <f>VLOOKUP($C880,'NAO DESO'!$A:$D,3,)</f>
        <v>H</v>
      </c>
      <c r="F880" s="242">
        <v>3.0969999999999995</v>
      </c>
      <c r="G880" s="242" t="str">
        <f>IF(B880="SEPLAG",VLOOKUP(CONCATENATE("MEDIANA - ",C880),COTAÇÃO,5,FALSE),VLOOKUP($C880,'NAO DESO'!$A:$D,4,))</f>
        <v>16,83</v>
      </c>
      <c r="H880" s="242">
        <f t="shared" si="64"/>
        <v>52.12</v>
      </c>
      <c r="I880" s="54" t="str">
        <f>IF(B880="SEPLAG",VLOOKUP(CONCATENATE("MEDIANA - ",C880),COTAÇÃO,5,FALSE),VLOOKUP($C880,DESON!$A:$D,4,))</f>
        <v>15,16</v>
      </c>
      <c r="J880" s="209">
        <f t="shared" si="65"/>
        <v>46.95</v>
      </c>
    </row>
    <row r="881" spans="1:10" ht="15" customHeight="1">
      <c r="A881" s="210" t="str">
        <f>CONCATENATE("TOTAL DO ITEM NÃO DESON. - ",C858)</f>
        <v>TOTAL DO ITEM NÃO DESON. - SEPLAG  ARQ 72</v>
      </c>
      <c r="B881" s="424"/>
      <c r="C881" s="424"/>
      <c r="D881" s="424"/>
      <c r="E881" s="424"/>
      <c r="F881" s="425"/>
      <c r="G881" s="426"/>
      <c r="H881" s="1182">
        <f>SUM(H860:H880)</f>
        <v>20748.059999999998</v>
      </c>
      <c r="I881" s="214"/>
      <c r="J881" s="215"/>
    </row>
    <row r="882" spans="1:10" ht="15.75" customHeight="1" thickBot="1">
      <c r="A882" s="216" t="str">
        <f>CONCATENATE("TOTAL DO ITEM DESON. - ",C858)</f>
        <v>TOTAL DO ITEM DESON. - SEPLAG  ARQ 72</v>
      </c>
      <c r="B882" s="427"/>
      <c r="C882" s="427"/>
      <c r="D882" s="427"/>
      <c r="E882" s="427"/>
      <c r="F882" s="428"/>
      <c r="G882" s="429"/>
      <c r="H882" s="1187"/>
      <c r="I882" s="229"/>
      <c r="J882" s="219">
        <f>SUM(J860:J880)</f>
        <v>20736.010000000002</v>
      </c>
    </row>
    <row r="883" spans="1:10" ht="15" customHeight="1" thickBot="1">
      <c r="A883" s="235"/>
      <c r="B883" s="1135"/>
      <c r="C883" s="1135"/>
      <c r="D883" s="1135"/>
      <c r="E883" s="1135"/>
      <c r="F883" s="1188"/>
      <c r="G883" s="1188"/>
      <c r="H883" s="1188"/>
      <c r="I883" s="236"/>
      <c r="J883" s="237"/>
    </row>
    <row r="884" spans="1:10" ht="34.5" customHeight="1">
      <c r="A884" s="198"/>
      <c r="B884" s="1175"/>
      <c r="C884" s="1176" t="s">
        <v>7361</v>
      </c>
      <c r="D884" s="156" t="s">
        <v>7624</v>
      </c>
      <c r="E884" s="1176" t="s">
        <v>32</v>
      </c>
      <c r="F884" s="1177" t="s">
        <v>18</v>
      </c>
      <c r="G884" s="1178" t="s">
        <v>7017</v>
      </c>
      <c r="H884" s="1179"/>
      <c r="I884" s="200" t="s">
        <v>7016</v>
      </c>
      <c r="J884" s="201"/>
    </row>
    <row r="885" spans="1:10" ht="15" customHeight="1">
      <c r="A885" s="233"/>
      <c r="B885" s="247"/>
      <c r="C885" s="1155"/>
      <c r="D885" s="157"/>
      <c r="E885" s="1155"/>
      <c r="F885" s="1180"/>
      <c r="G885" s="1180" t="s">
        <v>19</v>
      </c>
      <c r="H885" s="1180" t="s">
        <v>20</v>
      </c>
      <c r="I885" s="205" t="s">
        <v>19</v>
      </c>
      <c r="J885" s="206" t="s">
        <v>20</v>
      </c>
    </row>
    <row r="886" spans="1:10" ht="15" customHeight="1">
      <c r="A886" s="208" t="s">
        <v>39</v>
      </c>
      <c r="B886" s="241"/>
      <c r="C886" s="241">
        <v>34360</v>
      </c>
      <c r="D886" s="161" t="s">
        <v>7348</v>
      </c>
      <c r="E886" s="1194" t="s">
        <v>133</v>
      </c>
      <c r="F886" s="242">
        <v>30.652999999999999</v>
      </c>
      <c r="G886" s="242">
        <f>IF(B886="SEPLAG",VLOOKUP(CONCATENATE("MEDIANA - ",C886),COTAÇÃO,5,FALSE),VLOOKUP($C886,'NAO DESO'!$A:$D,4,))</f>
        <v>47.31</v>
      </c>
      <c r="H886" s="242">
        <f t="shared" ref="H886:H904" si="66">TRUNC(F886*G886,2)</f>
        <v>1450.19</v>
      </c>
      <c r="I886" s="54" t="str">
        <f>IF(B886="SEPLAG",VLOOKUP(CONCATENATE("MEDIANA - ",C886),COTAÇÃO,5,FALSE),VLOOKUP($C886,DESON!$A:$D,4,))</f>
        <v>47,31</v>
      </c>
      <c r="J886" s="209">
        <f t="shared" ref="J886:J904" si="67">TRUNC(F886*I886,2)</f>
        <v>1450.19</v>
      </c>
    </row>
    <row r="887" spans="1:10" ht="15" customHeight="1">
      <c r="A887" s="208" t="s">
        <v>39</v>
      </c>
      <c r="B887" s="241"/>
      <c r="C887" s="241">
        <v>34360</v>
      </c>
      <c r="D887" s="161" t="s">
        <v>7349</v>
      </c>
      <c r="E887" s="1194" t="s">
        <v>133</v>
      </c>
      <c r="F887" s="242">
        <v>0.66100000000000003</v>
      </c>
      <c r="G887" s="242">
        <f>IF(B887="SEPLAG",VLOOKUP(CONCATENATE("MEDIANA - ",C887),COTAÇÃO,5,FALSE),VLOOKUP($C887,'NAO DESO'!$A:$D,4,))</f>
        <v>47.31</v>
      </c>
      <c r="H887" s="242">
        <f t="shared" si="66"/>
        <v>31.27</v>
      </c>
      <c r="I887" s="54" t="str">
        <f>IF(B887="SEPLAG",VLOOKUP(CONCATENATE("MEDIANA - ",C887),COTAÇÃO,5,FALSE),VLOOKUP($C887,DESON!$A:$D,4,))</f>
        <v>47,31</v>
      </c>
      <c r="J887" s="209">
        <f t="shared" si="67"/>
        <v>31.27</v>
      </c>
    </row>
    <row r="888" spans="1:10" ht="15" customHeight="1">
      <c r="A888" s="208" t="s">
        <v>39</v>
      </c>
      <c r="B888" s="241"/>
      <c r="C888" s="241">
        <v>34360</v>
      </c>
      <c r="D888" s="161" t="s">
        <v>7350</v>
      </c>
      <c r="E888" s="1194" t="s">
        <v>133</v>
      </c>
      <c r="F888" s="242">
        <v>3.3029999999999999</v>
      </c>
      <c r="G888" s="242">
        <f>IF(B888="SEPLAG",VLOOKUP(CONCATENATE("MEDIANA - ",C888),COTAÇÃO,5,FALSE),VLOOKUP($C888,'NAO DESO'!$A:$D,4,))</f>
        <v>47.31</v>
      </c>
      <c r="H888" s="242">
        <f t="shared" si="66"/>
        <v>156.26</v>
      </c>
      <c r="I888" s="54" t="str">
        <f>IF(B888="SEPLAG",VLOOKUP(CONCATENATE("MEDIANA - ",C888),COTAÇÃO,5,FALSE),VLOOKUP($C888,DESON!$A:$D,4,))</f>
        <v>47,31</v>
      </c>
      <c r="J888" s="209">
        <f t="shared" si="67"/>
        <v>156.26</v>
      </c>
    </row>
    <row r="889" spans="1:10" ht="15" customHeight="1">
      <c r="A889" s="208" t="s">
        <v>39</v>
      </c>
      <c r="B889" s="241"/>
      <c r="C889" s="241">
        <v>34360</v>
      </c>
      <c r="D889" s="161" t="s">
        <v>7351</v>
      </c>
      <c r="E889" s="1194" t="s">
        <v>133</v>
      </c>
      <c r="F889" s="242">
        <v>19.016999999999999</v>
      </c>
      <c r="G889" s="242">
        <f>IF(B889="SEPLAG",VLOOKUP(CONCATENATE("MEDIANA - ",C889),COTAÇÃO,5,FALSE),VLOOKUP($C889,'NAO DESO'!$A:$D,4,))</f>
        <v>47.31</v>
      </c>
      <c r="H889" s="242">
        <f t="shared" si="66"/>
        <v>899.69</v>
      </c>
      <c r="I889" s="54" t="str">
        <f>IF(B889="SEPLAG",VLOOKUP(CONCATENATE("MEDIANA - ",C889),COTAÇÃO,5,FALSE),VLOOKUP($C889,DESON!$A:$D,4,))</f>
        <v>47,31</v>
      </c>
      <c r="J889" s="209">
        <f t="shared" si="67"/>
        <v>899.69</v>
      </c>
    </row>
    <row r="890" spans="1:10" ht="15" customHeight="1">
      <c r="A890" s="208" t="s">
        <v>39</v>
      </c>
      <c r="B890" s="241"/>
      <c r="C890" s="241">
        <v>34360</v>
      </c>
      <c r="D890" s="161" t="s">
        <v>7352</v>
      </c>
      <c r="E890" s="1194" t="s">
        <v>133</v>
      </c>
      <c r="F890" s="242">
        <v>5.99</v>
      </c>
      <c r="G890" s="242">
        <f>IF(B890="SEPLAG",VLOOKUP(CONCATENATE("MEDIANA - ",C890),COTAÇÃO,5,FALSE),VLOOKUP($C890,'NAO DESO'!$A:$D,4,))</f>
        <v>47.31</v>
      </c>
      <c r="H890" s="242">
        <f t="shared" si="66"/>
        <v>283.38</v>
      </c>
      <c r="I890" s="54" t="str">
        <f>IF(B890="SEPLAG",VLOOKUP(CONCATENATE("MEDIANA - ",C890),COTAÇÃO,5,FALSE),VLOOKUP($C890,DESON!$A:$D,4,))</f>
        <v>47,31</v>
      </c>
      <c r="J890" s="209">
        <f t="shared" si="67"/>
        <v>283.38</v>
      </c>
    </row>
    <row r="891" spans="1:10" ht="15" customHeight="1">
      <c r="A891" s="208" t="s">
        <v>39</v>
      </c>
      <c r="B891" s="241"/>
      <c r="C891" s="241">
        <v>34360</v>
      </c>
      <c r="D891" s="161" t="s">
        <v>7353</v>
      </c>
      <c r="E891" s="1194" t="s">
        <v>133</v>
      </c>
      <c r="F891" s="242">
        <v>3.843</v>
      </c>
      <c r="G891" s="242">
        <f>IF(B891="SEPLAG",VLOOKUP(CONCATENATE("MEDIANA - ",C891),COTAÇÃO,5,FALSE),VLOOKUP($C891,'NAO DESO'!$A:$D,4,))</f>
        <v>47.31</v>
      </c>
      <c r="H891" s="242">
        <f t="shared" si="66"/>
        <v>181.81</v>
      </c>
      <c r="I891" s="54" t="str">
        <f>IF(B891="SEPLAG",VLOOKUP(CONCATENATE("MEDIANA - ",C891),COTAÇÃO,5,FALSE),VLOOKUP($C891,DESON!$A:$D,4,))</f>
        <v>47,31</v>
      </c>
      <c r="J891" s="209">
        <f t="shared" si="67"/>
        <v>181.81</v>
      </c>
    </row>
    <row r="892" spans="1:10" ht="15" customHeight="1">
      <c r="A892" s="208" t="s">
        <v>39</v>
      </c>
      <c r="B892" s="241"/>
      <c r="C892" s="241">
        <v>34360</v>
      </c>
      <c r="D892" s="161" t="s">
        <v>7354</v>
      </c>
      <c r="E892" s="1194" t="s">
        <v>133</v>
      </c>
      <c r="F892" s="242">
        <v>2.2050000000000001</v>
      </c>
      <c r="G892" s="242">
        <f>IF(B892="SEPLAG",VLOOKUP(CONCATENATE("MEDIANA - ",C892),COTAÇÃO,5,FALSE),VLOOKUP($C892,'NAO DESO'!$A:$D,4,))</f>
        <v>47.31</v>
      </c>
      <c r="H892" s="242">
        <f t="shared" si="66"/>
        <v>104.31</v>
      </c>
      <c r="I892" s="54" t="str">
        <f>IF(B892="SEPLAG",VLOOKUP(CONCATENATE("MEDIANA - ",C892),COTAÇÃO,5,FALSE),VLOOKUP($C892,DESON!$A:$D,4,))</f>
        <v>47,31</v>
      </c>
      <c r="J892" s="209">
        <f t="shared" si="67"/>
        <v>104.31</v>
      </c>
    </row>
    <row r="893" spans="1:10" ht="15" customHeight="1">
      <c r="A893" s="208" t="s">
        <v>39</v>
      </c>
      <c r="B893" s="241"/>
      <c r="C893" s="241">
        <v>34360</v>
      </c>
      <c r="D893" s="161" t="s">
        <v>7355</v>
      </c>
      <c r="E893" s="1194" t="s">
        <v>133</v>
      </c>
      <c r="F893" s="242">
        <v>0.64400000000000002</v>
      </c>
      <c r="G893" s="242">
        <f>IF(B893="SEPLAG",VLOOKUP(CONCATENATE("MEDIANA - ",C893),COTAÇÃO,5,FALSE),VLOOKUP($C893,'NAO DESO'!$A:$D,4,))</f>
        <v>47.31</v>
      </c>
      <c r="H893" s="242">
        <f t="shared" si="66"/>
        <v>30.46</v>
      </c>
      <c r="I893" s="54" t="str">
        <f>IF(B893="SEPLAG",VLOOKUP(CONCATENATE("MEDIANA - ",C893),COTAÇÃO,5,FALSE),VLOOKUP($C893,DESON!$A:$D,4,))</f>
        <v>47,31</v>
      </c>
      <c r="J893" s="209">
        <f t="shared" si="67"/>
        <v>30.46</v>
      </c>
    </row>
    <row r="894" spans="1:10" ht="15" customHeight="1">
      <c r="A894" s="208" t="s">
        <v>39</v>
      </c>
      <c r="B894" s="241"/>
      <c r="C894" s="241">
        <v>34360</v>
      </c>
      <c r="D894" s="161" t="s">
        <v>7356</v>
      </c>
      <c r="E894" s="1194" t="s">
        <v>133</v>
      </c>
      <c r="F894" s="242">
        <v>1.2549999999999999</v>
      </c>
      <c r="G894" s="242">
        <f>IF(B894="SEPLAG",VLOOKUP(CONCATENATE("MEDIANA - ",C894),COTAÇÃO,5,FALSE),VLOOKUP($C894,'NAO DESO'!$A:$D,4,))</f>
        <v>47.31</v>
      </c>
      <c r="H894" s="242">
        <f t="shared" si="66"/>
        <v>59.37</v>
      </c>
      <c r="I894" s="54" t="str">
        <f>IF(B894="SEPLAG",VLOOKUP(CONCATENATE("MEDIANA - ",C894),COTAÇÃO,5,FALSE),VLOOKUP($C894,DESON!$A:$D,4,))</f>
        <v>47,31</v>
      </c>
      <c r="J894" s="209">
        <f t="shared" si="67"/>
        <v>59.37</v>
      </c>
    </row>
    <row r="895" spans="1:10" ht="15" customHeight="1">
      <c r="A895" s="208" t="s">
        <v>39</v>
      </c>
      <c r="B895" s="241"/>
      <c r="C895" s="241">
        <v>34360</v>
      </c>
      <c r="D895" s="161" t="s">
        <v>7357</v>
      </c>
      <c r="E895" s="1194" t="s">
        <v>133</v>
      </c>
      <c r="F895" s="242">
        <v>1.502</v>
      </c>
      <c r="G895" s="242">
        <f>IF(B895="SEPLAG",VLOOKUP(CONCATENATE("MEDIANA - ",C895),COTAÇÃO,5,FALSE),VLOOKUP($C895,'NAO DESO'!$A:$D,4,))</f>
        <v>47.31</v>
      </c>
      <c r="H895" s="242">
        <f t="shared" si="66"/>
        <v>71.05</v>
      </c>
      <c r="I895" s="54" t="str">
        <f>IF(B895="SEPLAG",VLOOKUP(CONCATENATE("MEDIANA - ",C895),COTAÇÃO,5,FALSE),VLOOKUP($C895,DESON!$A:$D,4,))</f>
        <v>47,31</v>
      </c>
      <c r="J895" s="209">
        <f t="shared" si="67"/>
        <v>71.05</v>
      </c>
    </row>
    <row r="896" spans="1:10" ht="15" customHeight="1">
      <c r="A896" s="208" t="s">
        <v>39</v>
      </c>
      <c r="B896" s="241" t="s">
        <v>14504</v>
      </c>
      <c r="C896" s="241" t="s">
        <v>14318</v>
      </c>
      <c r="D896" s="161" t="str">
        <f>IF(B896="SEPLAG",VLOOKUP(COMPOSIÇÕES!C896,'MAPA COMPARATIVO'!A:B,2,FALSE),VLOOKUP(C896,'NAO DESO'!A:B,2,0))</f>
        <v>Fecho mini direito L. 20/25/30</v>
      </c>
      <c r="E896" s="1194" t="s">
        <v>133</v>
      </c>
      <c r="F896" s="242">
        <v>30</v>
      </c>
      <c r="G896" s="242">
        <f>IF(B896="SEPLAG",VLOOKUP(CONCATENATE("MEDIANA - ",C896),COTAÇÃO,5,FALSE),VLOOKUP($C896,'NAO DESO'!$A:$D,4,))</f>
        <v>35.61</v>
      </c>
      <c r="H896" s="242">
        <f t="shared" si="66"/>
        <v>1068.3</v>
      </c>
      <c r="I896" s="54">
        <f>IF(B896="SEPLAG",VLOOKUP(CONCATENATE("MEDIANA - ",C896),COTAÇÃO,5,FALSE),VLOOKUP($C896,DESON!$A:$D,4,))</f>
        <v>35.61</v>
      </c>
      <c r="J896" s="209">
        <f t="shared" si="67"/>
        <v>1068.3</v>
      </c>
    </row>
    <row r="897" spans="1:10" ht="15" customHeight="1">
      <c r="A897" s="208" t="s">
        <v>39</v>
      </c>
      <c r="B897" s="241" t="s">
        <v>14504</v>
      </c>
      <c r="C897" s="1181" t="s">
        <v>14315</v>
      </c>
      <c r="D897" s="161" t="str">
        <f>IF(B897="SEPLAG",VLOOKUP(COMPOSIÇÕES!C897,'MAPA COMPARATIVO'!A:B,2,FALSE),VLOOKUP(C897,'NAO DESO'!A:B,2,0))</f>
        <v>PARAF. PANELA PHILIPS INOX 4,8 X32 PONTA PILOTO</v>
      </c>
      <c r="E897" s="1194" t="s">
        <v>24</v>
      </c>
      <c r="F897" s="242">
        <v>20</v>
      </c>
      <c r="G897" s="242">
        <f>IF(B897="SEPLAG",VLOOKUP(CONCATENATE("MEDIANA - ",C897),COTAÇÃO,5,FALSE),VLOOKUP($C897,'NAO DESO'!$A:$D,4,))</f>
        <v>0.95</v>
      </c>
      <c r="H897" s="242">
        <f t="shared" si="66"/>
        <v>19</v>
      </c>
      <c r="I897" s="54">
        <f>IF(B897="SEPLAG",VLOOKUP(CONCATENATE("MEDIANA - ",C897),COTAÇÃO,5,FALSE),VLOOKUP($C897,DESON!$A:$D,4,))</f>
        <v>0.95</v>
      </c>
      <c r="J897" s="209">
        <f t="shared" si="67"/>
        <v>19</v>
      </c>
    </row>
    <row r="898" spans="1:10" ht="15" customHeight="1">
      <c r="A898" s="208" t="s">
        <v>39</v>
      </c>
      <c r="B898" s="241" t="s">
        <v>14504</v>
      </c>
      <c r="C898" s="1181" t="s">
        <v>14313</v>
      </c>
      <c r="D898" s="161" t="str">
        <f>IF(B898="SEPLAG",VLOOKUP(COMPOSIÇÕES!C898,'MAPA COMPARATIVO'!A:B,2,FALSE),VLOOKUP(C898,'NAO DESO'!A:B,2,0))</f>
        <v>PRESILHA DE FIXAÇÃO DO ARREMATE MP-347</v>
      </c>
      <c r="E898" s="1194" t="s">
        <v>24</v>
      </c>
      <c r="F898" s="242">
        <v>20</v>
      </c>
      <c r="G898" s="242">
        <f>IF(B898="SEPLAG",VLOOKUP(CONCATENATE("MEDIANA - ",C898),COTAÇÃO,5,FALSE),VLOOKUP($C898,'NAO DESO'!$A:$D,4,))</f>
        <v>0.34</v>
      </c>
      <c r="H898" s="242">
        <f t="shared" si="66"/>
        <v>6.8</v>
      </c>
      <c r="I898" s="54">
        <f>IF(B898="SEPLAG",VLOOKUP(CONCATENATE("MEDIANA - ",C898),COTAÇÃO,5,FALSE),VLOOKUP($C898,DESON!$A:$D,4,))</f>
        <v>0.34</v>
      </c>
      <c r="J898" s="209">
        <f t="shared" si="67"/>
        <v>6.8</v>
      </c>
    </row>
    <row r="899" spans="1:10" ht="15" customHeight="1">
      <c r="A899" s="208" t="s">
        <v>39</v>
      </c>
      <c r="B899" s="241" t="s">
        <v>14504</v>
      </c>
      <c r="C899" s="1181" t="s">
        <v>14309</v>
      </c>
      <c r="D899" s="161" t="str">
        <f>IF(B899="SEPLAG",VLOOKUP(COMPOSIÇÕES!C899,'MAPA COMPARATIVO'!A:B,2,FALSE),VLOOKUP(C899,'NAO DESO'!A:B,2,0))</f>
        <v>Guarnição em EPDM p/ pingadeira</v>
      </c>
      <c r="E899" s="1194" t="s">
        <v>7388</v>
      </c>
      <c r="F899" s="242">
        <v>3.15</v>
      </c>
      <c r="G899" s="242">
        <f>IF(B899="SEPLAG",VLOOKUP(CONCATENATE("MEDIANA - ",C899),COTAÇÃO,5,FALSE),VLOOKUP($C899,'NAO DESO'!$A:$D,4,))</f>
        <v>4.3849999999999998</v>
      </c>
      <c r="H899" s="242">
        <f t="shared" si="66"/>
        <v>13.81</v>
      </c>
      <c r="I899" s="54">
        <f>IF(B899="SEPLAG",VLOOKUP(CONCATENATE("MEDIANA - ",C899),COTAÇÃO,5,FALSE),VLOOKUP($C899,DESON!$A:$D,4,))</f>
        <v>4.3849999999999998</v>
      </c>
      <c r="J899" s="209">
        <f t="shared" si="67"/>
        <v>13.81</v>
      </c>
    </row>
    <row r="900" spans="1:10" ht="15" customHeight="1">
      <c r="A900" s="208" t="s">
        <v>39</v>
      </c>
      <c r="B900" s="241" t="s">
        <v>14504</v>
      </c>
      <c r="C900" s="1181" t="s">
        <v>14315</v>
      </c>
      <c r="D900" s="161" t="str">
        <f>IF(B900="SEPLAG",VLOOKUP(COMPOSIÇÕES!C900,'MAPA COMPARATIVO'!A:B,2,FALSE),VLOOKUP(C900,'NAO DESO'!A:B,2,0))</f>
        <v>PARAF. PANELA PHILIPS INOX 4,8 X32 PONTA PILOTO</v>
      </c>
      <c r="E900" s="1194" t="s">
        <v>24</v>
      </c>
      <c r="F900" s="242">
        <v>56</v>
      </c>
      <c r="G900" s="242">
        <f>IF(B900="SEPLAG",VLOOKUP(CONCATENATE("MEDIANA - ",C900),COTAÇÃO,5,FALSE),VLOOKUP($C900,'NAO DESO'!$A:$D,4,))</f>
        <v>0.95</v>
      </c>
      <c r="H900" s="242">
        <f t="shared" si="66"/>
        <v>53.2</v>
      </c>
      <c r="I900" s="54">
        <f>IF(B900="SEPLAG",VLOOKUP(CONCATENATE("MEDIANA - ",C900),COTAÇÃO,5,FALSE),VLOOKUP($C900,DESON!$A:$D,4,))</f>
        <v>0.95</v>
      </c>
      <c r="J900" s="209">
        <f t="shared" si="67"/>
        <v>53.2</v>
      </c>
    </row>
    <row r="901" spans="1:10" ht="15" customHeight="1">
      <c r="A901" s="208" t="s">
        <v>39</v>
      </c>
      <c r="B901" s="241" t="s">
        <v>14504</v>
      </c>
      <c r="C901" s="1181" t="s">
        <v>14316</v>
      </c>
      <c r="D901" s="161" t="str">
        <f>IF(B901="SEPLAG",VLOOKUP(COMPOSIÇÕES!C901,'MAPA COMPARATIVO'!A:B,2,FALSE),VLOOKUP(C901,'NAO DESO'!A:B,2,0))</f>
        <v>CHUMBADOR DE CM-063/060</v>
      </c>
      <c r="E901" s="1194" t="s">
        <v>24</v>
      </c>
      <c r="F901" s="242">
        <v>20</v>
      </c>
      <c r="G901" s="242">
        <f>IF(B901="SEPLAG",VLOOKUP(CONCATENATE("MEDIANA - ",C901),COTAÇÃO,5,FALSE),VLOOKUP($C901,'NAO DESO'!$A:$D,4,))</f>
        <v>0.86</v>
      </c>
      <c r="H901" s="242">
        <f t="shared" si="66"/>
        <v>17.2</v>
      </c>
      <c r="I901" s="54">
        <f>IF(B901="SEPLAG",VLOOKUP(CONCATENATE("MEDIANA - ",C901),COTAÇÃO,5,FALSE),VLOOKUP($C901,DESON!$A:$D,4,))</f>
        <v>0.86</v>
      </c>
      <c r="J901" s="209">
        <f t="shared" si="67"/>
        <v>17.2</v>
      </c>
    </row>
    <row r="902" spans="1:10" ht="15" customHeight="1">
      <c r="A902" s="208" t="s">
        <v>39</v>
      </c>
      <c r="B902" s="241" t="s">
        <v>14504</v>
      </c>
      <c r="C902" s="1181" t="s">
        <v>14307</v>
      </c>
      <c r="D902" s="161" t="str">
        <f>IF(B902="SEPLAG",VLOOKUP(COMPOSIÇÕES!C902,'MAPA COMPARATIVO'!A:B,2,FALSE),VLOOKUP(C902,'NAO DESO'!A:B,2,0))</f>
        <v xml:space="preserve">Braço de max-ar linha gold de 600mm </v>
      </c>
      <c r="E902" s="1194" t="s">
        <v>24</v>
      </c>
      <c r="F902" s="242">
        <v>30</v>
      </c>
      <c r="G902" s="242">
        <f>IF(B902="SEPLAG",VLOOKUP(CONCATENATE("MEDIANA - ",C902),COTAÇÃO,5,FALSE),VLOOKUP($C902,'NAO DESO'!$A:$D,4,))</f>
        <v>36.575000000000003</v>
      </c>
      <c r="H902" s="242">
        <f t="shared" si="66"/>
        <v>1097.25</v>
      </c>
      <c r="I902" s="54">
        <f>IF(B902="SEPLAG",VLOOKUP(CONCATENATE("MEDIANA - ",C902),COTAÇÃO,5,FALSE),VLOOKUP($C902,DESON!$A:$D,4,))</f>
        <v>36.575000000000003</v>
      </c>
      <c r="J902" s="209">
        <f t="shared" si="67"/>
        <v>1097.25</v>
      </c>
    </row>
    <row r="903" spans="1:10" ht="15" customHeight="1">
      <c r="A903" s="208" t="s">
        <v>39</v>
      </c>
      <c r="B903" s="241" t="s">
        <v>14504</v>
      </c>
      <c r="C903" s="1181" t="s">
        <v>14317</v>
      </c>
      <c r="D903" s="161" t="str">
        <f>IF(B903="SEPLAG",VLOOKUP(COMPOSIÇÕES!C903,'MAPA COMPARATIVO'!A:B,2,FALSE),VLOOKUP(C903,'NAO DESO'!A:B,2,0))</f>
        <v>Silicone neutro incolor 280 g</v>
      </c>
      <c r="E903" s="1194" t="s">
        <v>24</v>
      </c>
      <c r="F903" s="242">
        <v>5</v>
      </c>
      <c r="G903" s="242">
        <f>IF(B903="SEPLAG",VLOOKUP(CONCATENATE("MEDIANA - ",C903),COTAÇÃO,5,FALSE),VLOOKUP($C903,'NAO DESO'!$A:$D,4,))</f>
        <v>43.9</v>
      </c>
      <c r="H903" s="242">
        <f t="shared" si="66"/>
        <v>219.5</v>
      </c>
      <c r="I903" s="54">
        <f>IF(B903="SEPLAG",VLOOKUP(CONCATENATE("MEDIANA - ",C903),COTAÇÃO,5,FALSE),VLOOKUP($C903,DESON!$A:$D,4,))</f>
        <v>43.9</v>
      </c>
      <c r="J903" s="209">
        <f t="shared" si="67"/>
        <v>219.5</v>
      </c>
    </row>
    <row r="904" spans="1:10" ht="15" customHeight="1">
      <c r="A904" s="208" t="s">
        <v>245</v>
      </c>
      <c r="B904" s="241"/>
      <c r="C904" s="1181">
        <v>10505</v>
      </c>
      <c r="D904" s="161" t="str">
        <f>IF(B904="SEPLAG",VLOOKUP(COMPOSIÇÕES!C904,'MAPA COMPARATIVO'!A:B,2,FALSE),VLOOKUP(C904,'NAO DESO'!A:B,2,0))</f>
        <v>VIDRO TEMPERADO INCOLOR E = 6 MM, SEM COLOCACAO</v>
      </c>
      <c r="E904" s="241" t="str">
        <f>VLOOKUP($C904,'NAO DESO'!$A:$D,3,)</f>
        <v xml:space="preserve">M2    </v>
      </c>
      <c r="F904" s="242">
        <v>29.4</v>
      </c>
      <c r="G904" s="242">
        <f>IF(B904="SEPLAG",VLOOKUP(CONCATENATE("MEDIANA - ",C904),COTAÇÃO,5,FALSE),VLOOKUP($C904,'NAO DESO'!$A:$D,4,))</f>
        <v>272.77</v>
      </c>
      <c r="H904" s="242">
        <f t="shared" si="66"/>
        <v>8019.43</v>
      </c>
      <c r="I904" s="54" t="str">
        <f>IF(B904="SEPLAG",VLOOKUP(CONCATENATE("MEDIANA - ",C904),COTAÇÃO,5,FALSE),VLOOKUP($C904,DESON!$A:$D,4,))</f>
        <v>272,77</v>
      </c>
      <c r="J904" s="209">
        <f t="shared" si="67"/>
        <v>8019.43</v>
      </c>
    </row>
    <row r="905" spans="1:10" ht="15" customHeight="1">
      <c r="A905" s="208" t="s">
        <v>245</v>
      </c>
      <c r="B905" s="241"/>
      <c r="C905" s="1181">
        <v>88315</v>
      </c>
      <c r="D905" s="161" t="str">
        <f>IF(B905="SEPLAG",VLOOKUP(COMPOSIÇÕES!C905,'MAPA COMPARATIVO'!A:B,2,FALSE),VLOOKUP(C905,'NAO DESO'!A:B,2,0))</f>
        <v>SERRALHEIRO COM ENCARGOS COMPLEMENTARES</v>
      </c>
      <c r="E905" s="241" t="str">
        <f>VLOOKUP($C905,'NAO DESO'!$A:$D,3,)</f>
        <v>H</v>
      </c>
      <c r="F905" s="242"/>
      <c r="G905" s="242" t="str">
        <f>IF(B905="SEPLAG",VLOOKUP(CONCATENATE("MEDIANA - ",C905),COTAÇÃO,5,FALSE),VLOOKUP($C905,'NAO DESO'!$A:$D,4,))</f>
        <v>20,97</v>
      </c>
      <c r="H905" s="242">
        <f>F905*G905</f>
        <v>0</v>
      </c>
      <c r="I905" s="54" t="str">
        <f>IF(B905="SEPLAG",VLOOKUP(CONCATENATE("MEDIANA - ",C905),COTAÇÃO,5,FALSE),VLOOKUP($C905,DESON!$A:$D,4,))</f>
        <v>18,75</v>
      </c>
      <c r="J905" s="209">
        <f>F905*I905</f>
        <v>0</v>
      </c>
    </row>
    <row r="906" spans="1:10" ht="15" customHeight="1">
      <c r="A906" s="208" t="s">
        <v>245</v>
      </c>
      <c r="B906" s="241"/>
      <c r="C906" s="1181">
        <v>88316</v>
      </c>
      <c r="D906" s="161" t="str">
        <f>IF(B906="SEPLAG",VLOOKUP(COMPOSIÇÕES!C906,'MAPA COMPARATIVO'!A:B,2,FALSE),VLOOKUP(C906,'NAO DESO'!A:B,2,0))</f>
        <v>SERVENTE COM ENCARGOS COMPLEMENTARES</v>
      </c>
      <c r="E906" s="241" t="str">
        <f>VLOOKUP($C906,'NAO DESO'!$A:$D,3,)</f>
        <v>H</v>
      </c>
      <c r="F906" s="242"/>
      <c r="G906" s="242" t="str">
        <f>IF(B906="SEPLAG",VLOOKUP(CONCATENATE("MEDIANA - ",C906),COTAÇÃO,5,FALSE),VLOOKUP($C906,'NAO DESO'!$A:$D,4,))</f>
        <v>16,83</v>
      </c>
      <c r="H906" s="242">
        <f>F906*G906</f>
        <v>0</v>
      </c>
      <c r="I906" s="54" t="str">
        <f>IF(B906="SEPLAG",VLOOKUP(CONCATENATE("MEDIANA - ",C906),COTAÇÃO,5,FALSE),VLOOKUP($C906,DESON!$A:$D,4,))</f>
        <v>15,16</v>
      </c>
      <c r="J906" s="209">
        <f>F906*I906</f>
        <v>0</v>
      </c>
    </row>
    <row r="907" spans="1:10" ht="15" customHeight="1">
      <c r="A907" s="210" t="str">
        <f>CONCATENATE("TOTAL DO ITEM NÃO DESON. - ",C884)</f>
        <v>TOTAL DO ITEM NÃO DESON. - SEPLAG  ARQ 73</v>
      </c>
      <c r="B907" s="424"/>
      <c r="C907" s="424"/>
      <c r="D907" s="424"/>
      <c r="E907" s="424"/>
      <c r="F907" s="425"/>
      <c r="G907" s="426"/>
      <c r="H907" s="1182">
        <f>SUM(H886:H906)</f>
        <v>13782.28</v>
      </c>
      <c r="I907" s="214"/>
      <c r="J907" s="215"/>
    </row>
    <row r="908" spans="1:10" ht="15.75" customHeight="1" thickBot="1">
      <c r="A908" s="216" t="str">
        <f>CONCATENATE("TOTAL DO ITEM DESON. - ",C884)</f>
        <v>TOTAL DO ITEM DESON. - SEPLAG  ARQ 73</v>
      </c>
      <c r="B908" s="427"/>
      <c r="C908" s="427"/>
      <c r="D908" s="427"/>
      <c r="E908" s="427"/>
      <c r="F908" s="428"/>
      <c r="G908" s="429"/>
      <c r="H908" s="1187"/>
      <c r="I908" s="229"/>
      <c r="J908" s="219">
        <f>SUM(J886:J906)</f>
        <v>13782.28</v>
      </c>
    </row>
    <row r="909" spans="1:10" ht="15" customHeight="1" thickBot="1">
      <c r="A909" s="235"/>
      <c r="B909" s="1135"/>
      <c r="C909" s="1135"/>
      <c r="D909" s="1135"/>
      <c r="E909" s="1135"/>
      <c r="F909" s="1188"/>
      <c r="G909" s="1188"/>
      <c r="H909" s="1188"/>
      <c r="I909" s="236"/>
      <c r="J909" s="237"/>
    </row>
    <row r="910" spans="1:10" ht="27" customHeight="1">
      <c r="A910" s="198"/>
      <c r="B910" s="1175"/>
      <c r="C910" s="1176" t="s">
        <v>7362</v>
      </c>
      <c r="D910" s="156" t="s">
        <v>7655</v>
      </c>
      <c r="E910" s="1176" t="s">
        <v>32</v>
      </c>
      <c r="F910" s="1177" t="s">
        <v>18</v>
      </c>
      <c r="G910" s="1178" t="s">
        <v>7017</v>
      </c>
      <c r="H910" s="1179"/>
      <c r="I910" s="200" t="s">
        <v>7016</v>
      </c>
      <c r="J910" s="201"/>
    </row>
    <row r="911" spans="1:10" ht="15" customHeight="1">
      <c r="A911" s="233"/>
      <c r="B911" s="247"/>
      <c r="C911" s="1155"/>
      <c r="D911" s="157"/>
      <c r="E911" s="1155"/>
      <c r="F911" s="1180"/>
      <c r="G911" s="1180" t="s">
        <v>19</v>
      </c>
      <c r="H911" s="1180" t="s">
        <v>20</v>
      </c>
      <c r="I911" s="205" t="s">
        <v>19</v>
      </c>
      <c r="J911" s="206" t="s">
        <v>20</v>
      </c>
    </row>
    <row r="912" spans="1:10" ht="15" customHeight="1">
      <c r="A912" s="208" t="s">
        <v>39</v>
      </c>
      <c r="B912" s="241"/>
      <c r="C912" s="241">
        <v>34360</v>
      </c>
      <c r="D912" s="161" t="s">
        <v>7323</v>
      </c>
      <c r="E912" s="1194" t="s">
        <v>133</v>
      </c>
      <c r="F912" s="242">
        <v>2.3199999999999998</v>
      </c>
      <c r="G912" s="242">
        <f>IF(B912="SEPLAG",VLOOKUP(CONCATENATE("MEDIANA - ",C912),COTAÇÃO,5,FALSE),VLOOKUP($C912,'NAO DESO'!$A:$D,4,))</f>
        <v>47.31</v>
      </c>
      <c r="H912" s="242">
        <f t="shared" ref="H912:H917" si="68">TRUNC(F912*G912,2)</f>
        <v>109.75</v>
      </c>
      <c r="I912" s="54" t="str">
        <f>IF(B912="SEPLAG",VLOOKUP(CONCATENATE("MEDIANA - ",C912),COTAÇÃO,5,FALSE),VLOOKUP($C912,DESON!$A:$D,4,))</f>
        <v>47,31</v>
      </c>
      <c r="J912" s="209">
        <f t="shared" ref="J912:J917" si="69">TRUNC(F912*I912,2)</f>
        <v>109.75</v>
      </c>
    </row>
    <row r="913" spans="1:10" ht="15" customHeight="1">
      <c r="A913" s="208" t="s">
        <v>39</v>
      </c>
      <c r="B913" s="241"/>
      <c r="C913" s="241">
        <v>34360</v>
      </c>
      <c r="D913" s="161" t="s">
        <v>7324</v>
      </c>
      <c r="E913" s="1194" t="s">
        <v>133</v>
      </c>
      <c r="F913" s="242">
        <v>1.9590000000000001</v>
      </c>
      <c r="G913" s="242">
        <f>IF(B913="SEPLAG",VLOOKUP(CONCATENATE("MEDIANA - ",C913),COTAÇÃO,5,FALSE),VLOOKUP($C913,'NAO DESO'!$A:$D,4,))</f>
        <v>47.31</v>
      </c>
      <c r="H913" s="242">
        <f t="shared" si="68"/>
        <v>92.68</v>
      </c>
      <c r="I913" s="54" t="str">
        <f>IF(B913="SEPLAG",VLOOKUP(CONCATENATE("MEDIANA - ",C913),COTAÇÃO,5,FALSE),VLOOKUP($C913,DESON!$A:$D,4,))</f>
        <v>47,31</v>
      </c>
      <c r="J913" s="209">
        <f t="shared" si="69"/>
        <v>92.68</v>
      </c>
    </row>
    <row r="914" spans="1:10" ht="15" customHeight="1">
      <c r="A914" s="208" t="s">
        <v>39</v>
      </c>
      <c r="B914" s="241"/>
      <c r="C914" s="241">
        <v>34360</v>
      </c>
      <c r="D914" s="161" t="s">
        <v>7325</v>
      </c>
      <c r="E914" s="1194" t="s">
        <v>133</v>
      </c>
      <c r="F914" s="242">
        <v>0.77400000000000002</v>
      </c>
      <c r="G914" s="242">
        <f>IF(B914="SEPLAG",VLOOKUP(CONCATENATE("MEDIANA - ",C914),COTAÇÃO,5,FALSE),VLOOKUP($C914,'NAO DESO'!$A:$D,4,))</f>
        <v>47.31</v>
      </c>
      <c r="H914" s="242">
        <f t="shared" si="68"/>
        <v>36.61</v>
      </c>
      <c r="I914" s="54" t="str">
        <f>IF(B914="SEPLAG",VLOOKUP(CONCATENATE("MEDIANA - ",C914),COTAÇÃO,5,FALSE),VLOOKUP($C914,DESON!$A:$D,4,))</f>
        <v>47,31</v>
      </c>
      <c r="J914" s="209">
        <f t="shared" si="69"/>
        <v>36.61</v>
      </c>
    </row>
    <row r="915" spans="1:10" ht="15" customHeight="1">
      <c r="A915" s="208" t="s">
        <v>39</v>
      </c>
      <c r="B915" s="241"/>
      <c r="C915" s="241">
        <v>34360</v>
      </c>
      <c r="D915" s="161" t="s">
        <v>7326</v>
      </c>
      <c r="E915" s="1194" t="s">
        <v>133</v>
      </c>
      <c r="F915" s="242">
        <v>2.2999999999999998</v>
      </c>
      <c r="G915" s="242">
        <f>IF(B915="SEPLAG",VLOOKUP(CONCATENATE("MEDIANA - ",C915),COTAÇÃO,5,FALSE),VLOOKUP($C915,'NAO DESO'!$A:$D,4,))</f>
        <v>47.31</v>
      </c>
      <c r="H915" s="242">
        <f t="shared" si="68"/>
        <v>108.81</v>
      </c>
      <c r="I915" s="54" t="str">
        <f>IF(B915="SEPLAG",VLOOKUP(CONCATENATE("MEDIANA - ",C915),COTAÇÃO,5,FALSE),VLOOKUP($C915,DESON!$A:$D,4,))</f>
        <v>47,31</v>
      </c>
      <c r="J915" s="209">
        <f t="shared" si="69"/>
        <v>108.81</v>
      </c>
    </row>
    <row r="916" spans="1:10" ht="15" customHeight="1">
      <c r="A916" s="208" t="s">
        <v>39</v>
      </c>
      <c r="B916" s="241"/>
      <c r="C916" s="241">
        <v>34360</v>
      </c>
      <c r="D916" s="161" t="s">
        <v>7327</v>
      </c>
      <c r="E916" s="1194" t="s">
        <v>133</v>
      </c>
      <c r="F916" s="242">
        <v>4.0049999999999999</v>
      </c>
      <c r="G916" s="242">
        <f>IF(B916="SEPLAG",VLOOKUP(CONCATENATE("MEDIANA - ",C916),COTAÇÃO,5,FALSE),VLOOKUP($C916,'NAO DESO'!$A:$D,4,))</f>
        <v>47.31</v>
      </c>
      <c r="H916" s="242">
        <f t="shared" si="68"/>
        <v>189.47</v>
      </c>
      <c r="I916" s="54" t="str">
        <f>IF(B916="SEPLAG",VLOOKUP(CONCATENATE("MEDIANA - ",C916),COTAÇÃO,5,FALSE),VLOOKUP($C916,DESON!$A:$D,4,))</f>
        <v>47,31</v>
      </c>
      <c r="J916" s="209">
        <f t="shared" si="69"/>
        <v>189.47</v>
      </c>
    </row>
    <row r="917" spans="1:10" ht="15" customHeight="1">
      <c r="A917" s="208" t="s">
        <v>39</v>
      </c>
      <c r="B917" s="241"/>
      <c r="C917" s="241">
        <v>34360</v>
      </c>
      <c r="D917" s="161" t="s">
        <v>7328</v>
      </c>
      <c r="E917" s="1194" t="s">
        <v>133</v>
      </c>
      <c r="F917" s="242">
        <v>2.62</v>
      </c>
      <c r="G917" s="242">
        <f>IF(B917="SEPLAG",VLOOKUP(CONCATENATE("MEDIANA - ",C917),COTAÇÃO,5,FALSE),VLOOKUP($C917,'NAO DESO'!$A:$D,4,))</f>
        <v>47.31</v>
      </c>
      <c r="H917" s="242">
        <f t="shared" si="68"/>
        <v>123.95</v>
      </c>
      <c r="I917" s="54" t="str">
        <f>IF(B917="SEPLAG",VLOOKUP(CONCATENATE("MEDIANA - ",C917),COTAÇÃO,5,FALSE),VLOOKUP($C917,DESON!$A:$D,4,))</f>
        <v>47,31</v>
      </c>
      <c r="J917" s="209">
        <f t="shared" si="69"/>
        <v>123.95</v>
      </c>
    </row>
    <row r="918" spans="1:10" ht="15" customHeight="1">
      <c r="A918" s="208" t="s">
        <v>39</v>
      </c>
      <c r="B918" s="241"/>
      <c r="C918" s="241">
        <v>34360</v>
      </c>
      <c r="D918" s="161" t="s">
        <v>7329</v>
      </c>
      <c r="E918" s="1194" t="s">
        <v>133</v>
      </c>
      <c r="F918" s="242">
        <v>0</v>
      </c>
      <c r="G918" s="242">
        <f>IF(B918="SEPLAG",VLOOKUP(CONCATENATE("MEDIANA - ",C918),COTAÇÃO,5,FALSE),VLOOKUP($C918,'NAO DESO'!$A:$D,4,))</f>
        <v>47.31</v>
      </c>
      <c r="H918" s="242">
        <f>F918*G918</f>
        <v>0</v>
      </c>
      <c r="I918" s="54" t="str">
        <f>IF(B918="SEPLAG",VLOOKUP(CONCATENATE("MEDIANA - ",C918),COTAÇÃO,5,FALSE),VLOOKUP($C918,DESON!$A:$D,4,))</f>
        <v>47,31</v>
      </c>
      <c r="J918" s="209">
        <f>F918*I918</f>
        <v>0</v>
      </c>
    </row>
    <row r="919" spans="1:10" ht="15" customHeight="1">
      <c r="A919" s="208" t="s">
        <v>39</v>
      </c>
      <c r="B919" s="241"/>
      <c r="C919" s="241">
        <v>34360</v>
      </c>
      <c r="D919" s="161" t="s">
        <v>7330</v>
      </c>
      <c r="E919" s="1194" t="s">
        <v>133</v>
      </c>
      <c r="F919" s="242">
        <v>0</v>
      </c>
      <c r="G919" s="242">
        <f>IF(B919="SEPLAG",VLOOKUP(CONCATENATE("MEDIANA - ",C919),COTAÇÃO,5,FALSE),VLOOKUP($C919,'NAO DESO'!$A:$D,4,))</f>
        <v>47.31</v>
      </c>
      <c r="H919" s="242">
        <f>F919*G919</f>
        <v>0</v>
      </c>
      <c r="I919" s="54" t="str">
        <f>IF(B919="SEPLAG",VLOOKUP(CONCATENATE("MEDIANA - ",C919),COTAÇÃO,5,FALSE),VLOOKUP($C919,DESON!$A:$D,4,))</f>
        <v>47,31</v>
      </c>
      <c r="J919" s="209">
        <f>F919*I919</f>
        <v>0</v>
      </c>
    </row>
    <row r="920" spans="1:10" ht="15" customHeight="1">
      <c r="A920" s="208" t="s">
        <v>39</v>
      </c>
      <c r="B920" s="241"/>
      <c r="C920" s="241">
        <v>34360</v>
      </c>
      <c r="D920" s="161" t="s">
        <v>7331</v>
      </c>
      <c r="E920" s="1194" t="s">
        <v>133</v>
      </c>
      <c r="F920" s="242">
        <v>8.7789999999999999</v>
      </c>
      <c r="G920" s="242">
        <f>IF(B920="SEPLAG",VLOOKUP(CONCATENATE("MEDIANA - ",C920),COTAÇÃO,5,FALSE),VLOOKUP($C920,'NAO DESO'!$A:$D,4,))</f>
        <v>47.31</v>
      </c>
      <c r="H920" s="242">
        <f t="shared" ref="H920:H936" si="70">TRUNC(F920*G920,2)</f>
        <v>415.33</v>
      </c>
      <c r="I920" s="54" t="str">
        <f>IF(B920="SEPLAG",VLOOKUP(CONCATENATE("MEDIANA - ",C920),COTAÇÃO,5,FALSE),VLOOKUP($C920,DESON!$A:$D,4,))</f>
        <v>47,31</v>
      </c>
      <c r="J920" s="209">
        <f t="shared" ref="J920:J936" si="71">TRUNC(F920*I920,2)</f>
        <v>415.33</v>
      </c>
    </row>
    <row r="921" spans="1:10" ht="15" customHeight="1">
      <c r="A921" s="208" t="s">
        <v>39</v>
      </c>
      <c r="B921" s="241"/>
      <c r="C921" s="241">
        <v>34360</v>
      </c>
      <c r="D921" s="161" t="s">
        <v>7332</v>
      </c>
      <c r="E921" s="1194" t="s">
        <v>133</v>
      </c>
      <c r="F921" s="242">
        <v>0.70699999999999996</v>
      </c>
      <c r="G921" s="242">
        <f>IF(B921="SEPLAG",VLOOKUP(CONCATENATE("MEDIANA - ",C921),COTAÇÃO,5,FALSE),VLOOKUP($C921,'NAO DESO'!$A:$D,4,))</f>
        <v>47.31</v>
      </c>
      <c r="H921" s="242">
        <f t="shared" si="70"/>
        <v>33.44</v>
      </c>
      <c r="I921" s="54" t="str">
        <f>IF(B921="SEPLAG",VLOOKUP(CONCATENATE("MEDIANA - ",C921),COTAÇÃO,5,FALSE),VLOOKUP($C921,DESON!$A:$D,4,))</f>
        <v>47,31</v>
      </c>
      <c r="J921" s="209">
        <f t="shared" si="71"/>
        <v>33.44</v>
      </c>
    </row>
    <row r="922" spans="1:10" ht="15" customHeight="1">
      <c r="A922" s="208" t="s">
        <v>39</v>
      </c>
      <c r="B922" s="241"/>
      <c r="C922" s="241">
        <v>34360</v>
      </c>
      <c r="D922" s="161" t="s">
        <v>7333</v>
      </c>
      <c r="E922" s="1194" t="s">
        <v>133</v>
      </c>
      <c r="F922" s="242">
        <v>2.036</v>
      </c>
      <c r="G922" s="242">
        <f>IF(B922="SEPLAG",VLOOKUP(CONCATENATE("MEDIANA - ",C922),COTAÇÃO,5,FALSE),VLOOKUP($C922,'NAO DESO'!$A:$D,4,))</f>
        <v>47.31</v>
      </c>
      <c r="H922" s="242">
        <f t="shared" si="70"/>
        <v>96.32</v>
      </c>
      <c r="I922" s="54" t="str">
        <f>IF(B922="SEPLAG",VLOOKUP(CONCATENATE("MEDIANA - ",C922),COTAÇÃO,5,FALSE),VLOOKUP($C922,DESON!$A:$D,4,))</f>
        <v>47,31</v>
      </c>
      <c r="J922" s="209">
        <f t="shared" si="71"/>
        <v>96.32</v>
      </c>
    </row>
    <row r="923" spans="1:10" ht="15" customHeight="1">
      <c r="A923" s="208" t="s">
        <v>39</v>
      </c>
      <c r="B923" s="241" t="s">
        <v>14504</v>
      </c>
      <c r="C923" s="1181" t="s">
        <v>14307</v>
      </c>
      <c r="D923" s="161" t="str">
        <f>IF(B923="SEPLAG",VLOOKUP(COMPOSIÇÕES!C923,'MAPA COMPARATIVO'!A:B,2,FALSE),VLOOKUP(C923,'NAO DESO'!A:B,2,0))</f>
        <v xml:space="preserve">Braço de max-ar linha gold de 600mm </v>
      </c>
      <c r="E923" s="1194" t="s">
        <v>24</v>
      </c>
      <c r="F923" s="242">
        <v>9</v>
      </c>
      <c r="G923" s="242">
        <f>IF(B923="SEPLAG",VLOOKUP(CONCATENATE("MEDIANA - ",C923),COTAÇÃO,5,FALSE),VLOOKUP($C923,'NAO DESO'!$A:$D,4,))</f>
        <v>36.575000000000003</v>
      </c>
      <c r="H923" s="242">
        <f t="shared" si="70"/>
        <v>329.17</v>
      </c>
      <c r="I923" s="54">
        <f>IF(B923="SEPLAG",VLOOKUP(CONCATENATE("MEDIANA - ",C923),COTAÇÃO,5,FALSE),VLOOKUP($C923,DESON!$A:$D,4,))</f>
        <v>36.575000000000003</v>
      </c>
      <c r="J923" s="209">
        <f t="shared" si="71"/>
        <v>329.17</v>
      </c>
    </row>
    <row r="924" spans="1:10" ht="15" customHeight="1">
      <c r="A924" s="208" t="s">
        <v>39</v>
      </c>
      <c r="B924" s="241" t="s">
        <v>14504</v>
      </c>
      <c r="C924" s="1181" t="s">
        <v>14308</v>
      </c>
      <c r="D924" s="161" t="str">
        <f>IF(B924="SEPLAG",VLOOKUP(COMPOSIÇÕES!C924,'MAPA COMPARATIVO'!A:B,2,FALSE),VLOOKUP(C924,'NAO DESO'!A:B,2,0))</f>
        <v>Fecho max-ar linha gold</v>
      </c>
      <c r="E924" s="1194" t="s">
        <v>24</v>
      </c>
      <c r="F924" s="242">
        <v>9</v>
      </c>
      <c r="G924" s="242">
        <f>IF(B924="SEPLAG",VLOOKUP(CONCATENATE("MEDIANA - ",C924),COTAÇÃO,5,FALSE),VLOOKUP($C924,'NAO DESO'!$A:$D,4,))</f>
        <v>47.36</v>
      </c>
      <c r="H924" s="242">
        <f t="shared" si="70"/>
        <v>426.24</v>
      </c>
      <c r="I924" s="54">
        <f>IF(B924="SEPLAG",VLOOKUP(CONCATENATE("MEDIANA - ",C924),COTAÇÃO,5,FALSE),VLOOKUP($C924,DESON!$A:$D,4,))</f>
        <v>47.36</v>
      </c>
      <c r="J924" s="209">
        <f t="shared" si="71"/>
        <v>426.24</v>
      </c>
    </row>
    <row r="925" spans="1:10" ht="15" customHeight="1">
      <c r="A925" s="208" t="s">
        <v>39</v>
      </c>
      <c r="B925" s="241" t="s">
        <v>14504</v>
      </c>
      <c r="C925" s="1181" t="s">
        <v>14309</v>
      </c>
      <c r="D925" s="161" t="str">
        <f>IF(B925="SEPLAG",VLOOKUP(COMPOSIÇÕES!C925,'MAPA COMPARATIVO'!A:B,2,FALSE),VLOOKUP(C925,'NAO DESO'!A:B,2,0))</f>
        <v>Guarnição em EPDM p/ pingadeira</v>
      </c>
      <c r="E925" s="1194" t="s">
        <v>7388</v>
      </c>
      <c r="F925" s="242">
        <v>4.4720000000000004</v>
      </c>
      <c r="G925" s="242">
        <f>IF(B925="SEPLAG",VLOOKUP(CONCATENATE("MEDIANA - ",C925),COTAÇÃO,5,FALSE),VLOOKUP($C925,'NAO DESO'!$A:$D,4,))</f>
        <v>4.3849999999999998</v>
      </c>
      <c r="H925" s="242">
        <f t="shared" si="70"/>
        <v>19.600000000000001</v>
      </c>
      <c r="I925" s="54">
        <f>IF(B925="SEPLAG",VLOOKUP(CONCATENATE("MEDIANA - ",C925),COTAÇÃO,5,FALSE),VLOOKUP($C925,DESON!$A:$D,4,))</f>
        <v>4.3849999999999998</v>
      </c>
      <c r="J925" s="209">
        <f t="shared" si="71"/>
        <v>19.600000000000001</v>
      </c>
    </row>
    <row r="926" spans="1:10" ht="15" customHeight="1">
      <c r="A926" s="208" t="s">
        <v>39</v>
      </c>
      <c r="B926" s="241" t="s">
        <v>14504</v>
      </c>
      <c r="C926" s="1181" t="s">
        <v>14310</v>
      </c>
      <c r="D926" s="161" t="str">
        <f>IF(B926="SEPLAG",VLOOKUP(COMPOSIÇÕES!C926,'MAPA COMPARATIVO'!A:B,2,FALSE),VLOOKUP(C926,'NAO DESO'!A:B,2,0))</f>
        <v>Guarnição em EPDM para vidro</v>
      </c>
      <c r="E926" s="1194" t="s">
        <v>250</v>
      </c>
      <c r="F926" s="242">
        <v>16.61</v>
      </c>
      <c r="G926" s="242">
        <f>IF(B926="SEPLAG",VLOOKUP(CONCATENATE("MEDIANA - ",C926),COTAÇÃO,5,FALSE),VLOOKUP($C926,'NAO DESO'!$A:$D,4,))</f>
        <v>2.4091999999999998</v>
      </c>
      <c r="H926" s="242">
        <f t="shared" si="70"/>
        <v>40.01</v>
      </c>
      <c r="I926" s="54">
        <f>IF(B926="SEPLAG",VLOOKUP(CONCATENATE("MEDIANA - ",C926),COTAÇÃO,5,FALSE),VLOOKUP($C926,DESON!$A:$D,4,))</f>
        <v>2.4091999999999998</v>
      </c>
      <c r="J926" s="209">
        <f t="shared" si="71"/>
        <v>40.01</v>
      </c>
    </row>
    <row r="927" spans="1:10" ht="15" customHeight="1">
      <c r="A927" s="208" t="s">
        <v>39</v>
      </c>
      <c r="B927" s="241" t="s">
        <v>14504</v>
      </c>
      <c r="C927" s="1181" t="s">
        <v>14311</v>
      </c>
      <c r="D927" s="161" t="str">
        <f>IF(B927="SEPLAG",VLOOKUP(COMPOSIÇÕES!C927,'MAPA COMPARATIVO'!A:B,2,FALSE),VLOOKUP(C927,'NAO DESO'!A:B,2,0))</f>
        <v>Espuma adesiva 1 face</v>
      </c>
      <c r="E927" s="1194" t="s">
        <v>250</v>
      </c>
      <c r="F927" s="242">
        <v>16.61</v>
      </c>
      <c r="G927" s="242">
        <f>IF(B927="SEPLAG",VLOOKUP(CONCATENATE("MEDIANA - ",C927),COTAÇÃO,5,FALSE),VLOOKUP($C927,'NAO DESO'!$A:$D,4,))</f>
        <v>2.1800000000000002</v>
      </c>
      <c r="H927" s="242">
        <f t="shared" si="70"/>
        <v>36.200000000000003</v>
      </c>
      <c r="I927" s="54">
        <f>IF(B927="SEPLAG",VLOOKUP(CONCATENATE("MEDIANA - ",C927),COTAÇÃO,5,FALSE),VLOOKUP($C927,DESON!$A:$D,4,))</f>
        <v>2.1800000000000002</v>
      </c>
      <c r="J927" s="209">
        <f t="shared" si="71"/>
        <v>36.200000000000003</v>
      </c>
    </row>
    <row r="928" spans="1:10" ht="15" customHeight="1">
      <c r="A928" s="208" t="s">
        <v>39</v>
      </c>
      <c r="B928" s="241" t="s">
        <v>14504</v>
      </c>
      <c r="C928" s="1181" t="s">
        <v>14312</v>
      </c>
      <c r="D928" s="161" t="str">
        <f>IF(B928="SEPLAG",VLOOKUP(COMPOSIÇÕES!C928,'MAPA COMPARATIVO'!A:B,2,FALSE),VLOOKUP(C928,'NAO DESO'!A:B,2,0))</f>
        <v>Guarnição em EPDM p/ marco max-ar</v>
      </c>
      <c r="E928" s="1194" t="s">
        <v>250</v>
      </c>
      <c r="F928" s="242">
        <v>33.61</v>
      </c>
      <c r="G928" s="242">
        <f>IF(B928="SEPLAG",VLOOKUP(CONCATENATE("MEDIANA - ",C928),COTAÇÃO,5,FALSE),VLOOKUP($C928,'NAO DESO'!$A:$D,4,))</f>
        <v>3.8138999999999998</v>
      </c>
      <c r="H928" s="242">
        <f t="shared" si="70"/>
        <v>128.18</v>
      </c>
      <c r="I928" s="54">
        <f>IF(B928="SEPLAG",VLOOKUP(CONCATENATE("MEDIANA - ",C928),COTAÇÃO,5,FALSE),VLOOKUP($C928,DESON!$A:$D,4,))</f>
        <v>3.8138999999999998</v>
      </c>
      <c r="J928" s="209">
        <f t="shared" si="71"/>
        <v>128.18</v>
      </c>
    </row>
    <row r="929" spans="1:10" ht="15" customHeight="1">
      <c r="A929" s="208" t="s">
        <v>39</v>
      </c>
      <c r="B929" s="241" t="s">
        <v>14504</v>
      </c>
      <c r="C929" s="1181" t="s">
        <v>14313</v>
      </c>
      <c r="D929" s="161" t="str">
        <f>IF(B929="SEPLAG",VLOOKUP(COMPOSIÇÕES!C929,'MAPA COMPARATIVO'!A:B,2,FALSE),VLOOKUP(C929,'NAO DESO'!A:B,2,0))</f>
        <v>PRESILHA DE FIXAÇÃO DO ARREMATE MP-347</v>
      </c>
      <c r="E929" s="1194" t="s">
        <v>24</v>
      </c>
      <c r="F929" s="242">
        <v>28</v>
      </c>
      <c r="G929" s="242">
        <f>IF(B929="SEPLAG",VLOOKUP(CONCATENATE("MEDIANA - ",C929),COTAÇÃO,5,FALSE),VLOOKUP($C929,'NAO DESO'!$A:$D,4,))</f>
        <v>0.34</v>
      </c>
      <c r="H929" s="242">
        <f t="shared" si="70"/>
        <v>9.52</v>
      </c>
      <c r="I929" s="54">
        <f>IF(B929="SEPLAG",VLOOKUP(CONCATENATE("MEDIANA - ",C929),COTAÇÃO,5,FALSE),VLOOKUP($C929,DESON!$A:$D,4,))</f>
        <v>0.34</v>
      </c>
      <c r="J929" s="209">
        <f t="shared" si="71"/>
        <v>9.52</v>
      </c>
    </row>
    <row r="930" spans="1:10" ht="15" customHeight="1">
      <c r="A930" s="208" t="s">
        <v>39</v>
      </c>
      <c r="B930" s="241" t="s">
        <v>14504</v>
      </c>
      <c r="C930" s="1181" t="s">
        <v>14314</v>
      </c>
      <c r="D930" s="161" t="str">
        <f>IF(B930="SEPLAG",VLOOKUP(COMPOSIÇÕES!C930,'MAPA COMPARATIVO'!A:B,2,FALSE),VLOOKUP(C930,'NAO DESO'!A:B,2,0))</f>
        <v>Parafuso zincado phillips flangeado autobrocante 4,2 x 16mm</v>
      </c>
      <c r="E930" s="1194" t="s">
        <v>24</v>
      </c>
      <c r="F930" s="242">
        <v>28</v>
      </c>
      <c r="G930" s="242">
        <f>IF(B930="SEPLAG",VLOOKUP(CONCATENATE("MEDIANA - ",C930),COTAÇÃO,5,FALSE),VLOOKUP($C930,'NAO DESO'!$A:$D,4,))</f>
        <v>0.28000000000000003</v>
      </c>
      <c r="H930" s="242">
        <f t="shared" si="70"/>
        <v>7.84</v>
      </c>
      <c r="I930" s="54">
        <f>IF(B930="SEPLAG",VLOOKUP(CONCATENATE("MEDIANA - ",C930),COTAÇÃO,5,FALSE),VLOOKUP($C930,DESON!$A:$D,4,))</f>
        <v>0.28000000000000003</v>
      </c>
      <c r="J930" s="209">
        <f t="shared" si="71"/>
        <v>7.84</v>
      </c>
    </row>
    <row r="931" spans="1:10" ht="15" customHeight="1">
      <c r="A931" s="208" t="s">
        <v>39</v>
      </c>
      <c r="B931" s="241" t="s">
        <v>14504</v>
      </c>
      <c r="C931" s="1181" t="s">
        <v>14315</v>
      </c>
      <c r="D931" s="161" t="str">
        <f>IF(B931="SEPLAG",VLOOKUP(COMPOSIÇÕES!C931,'MAPA COMPARATIVO'!A:B,2,FALSE),VLOOKUP(C931,'NAO DESO'!A:B,2,0))</f>
        <v>PARAF. PANELA PHILIPS INOX 4,8 X32 PONTA PILOTO</v>
      </c>
      <c r="E931" s="1194" t="s">
        <v>24</v>
      </c>
      <c r="F931" s="242">
        <v>32</v>
      </c>
      <c r="G931" s="242">
        <f>IF(B931="SEPLAG",VLOOKUP(CONCATENATE("MEDIANA - ",C931),COTAÇÃO,5,FALSE),VLOOKUP($C931,'NAO DESO'!$A:$D,4,))</f>
        <v>0.95</v>
      </c>
      <c r="H931" s="242">
        <f t="shared" si="70"/>
        <v>30.4</v>
      </c>
      <c r="I931" s="54">
        <f>IF(B931="SEPLAG",VLOOKUP(CONCATENATE("MEDIANA - ",C931),COTAÇÃO,5,FALSE),VLOOKUP($C931,DESON!$A:$D,4,))</f>
        <v>0.95</v>
      </c>
      <c r="J931" s="209">
        <f t="shared" si="71"/>
        <v>30.4</v>
      </c>
    </row>
    <row r="932" spans="1:10" ht="15" customHeight="1">
      <c r="A932" s="208" t="s">
        <v>39</v>
      </c>
      <c r="B932" s="241" t="s">
        <v>14504</v>
      </c>
      <c r="C932" s="1181" t="s">
        <v>14316</v>
      </c>
      <c r="D932" s="161" t="str">
        <f>IF(B932="SEPLAG",VLOOKUP(COMPOSIÇÕES!C932,'MAPA COMPARATIVO'!A:B,2,FALSE),VLOOKUP(C932,'NAO DESO'!A:B,2,0))</f>
        <v>CHUMBADOR DE CM-063/060</v>
      </c>
      <c r="E932" s="1194" t="s">
        <v>24</v>
      </c>
      <c r="F932" s="242">
        <v>28</v>
      </c>
      <c r="G932" s="242">
        <f>IF(B932="SEPLAG",VLOOKUP(CONCATENATE("MEDIANA - ",C932),COTAÇÃO,5,FALSE),VLOOKUP($C932,'NAO DESO'!$A:$D,4,))</f>
        <v>0.86</v>
      </c>
      <c r="H932" s="242">
        <f t="shared" si="70"/>
        <v>24.08</v>
      </c>
      <c r="I932" s="54">
        <f>IF(B932="SEPLAG",VLOOKUP(CONCATENATE("MEDIANA - ",C932),COTAÇÃO,5,FALSE),VLOOKUP($C932,DESON!$A:$D,4,))</f>
        <v>0.86</v>
      </c>
      <c r="J932" s="209">
        <f t="shared" si="71"/>
        <v>24.08</v>
      </c>
    </row>
    <row r="933" spans="1:10" ht="15" customHeight="1">
      <c r="A933" s="208" t="s">
        <v>39</v>
      </c>
      <c r="B933" s="241" t="s">
        <v>14504</v>
      </c>
      <c r="C933" s="1181" t="s">
        <v>14317</v>
      </c>
      <c r="D933" s="161" t="str">
        <f>IF(B933="SEPLAG",VLOOKUP(COMPOSIÇÕES!C933,'MAPA COMPARATIVO'!A:B,2,FALSE),VLOOKUP(C933,'NAO DESO'!A:B,2,0))</f>
        <v>Silicone neutro incolor 280 g</v>
      </c>
      <c r="E933" s="1194" t="s">
        <v>24</v>
      </c>
      <c r="F933" s="242">
        <v>4.5</v>
      </c>
      <c r="G933" s="242">
        <f>IF(B933="SEPLAG",VLOOKUP(CONCATENATE("MEDIANA - ",C933),COTAÇÃO,5,FALSE),VLOOKUP($C933,'NAO DESO'!$A:$D,4,))</f>
        <v>43.9</v>
      </c>
      <c r="H933" s="242">
        <f t="shared" si="70"/>
        <v>197.55</v>
      </c>
      <c r="I933" s="54">
        <f>IF(B933="SEPLAG",VLOOKUP(CONCATENATE("MEDIANA - ",C933),COTAÇÃO,5,FALSE),VLOOKUP($C933,DESON!$A:$D,4,))</f>
        <v>43.9</v>
      </c>
      <c r="J933" s="209">
        <f t="shared" si="71"/>
        <v>197.55</v>
      </c>
    </row>
    <row r="934" spans="1:10" ht="15" customHeight="1">
      <c r="A934" s="208" t="s">
        <v>245</v>
      </c>
      <c r="B934" s="241"/>
      <c r="C934" s="1181">
        <v>10505</v>
      </c>
      <c r="D934" s="161" t="str">
        <f>IF(B934="SEPLAG",VLOOKUP(COMPOSIÇÕES!C934,'MAPA COMPARATIVO'!A:B,2,FALSE),VLOOKUP(C934,'NAO DESO'!A:B,2,0))</f>
        <v>VIDRO TEMPERADO INCOLOR E = 6 MM, SEM COLOCACAO</v>
      </c>
      <c r="E934" s="241" t="str">
        <f>VLOOKUP($C934,'NAO DESO'!$A:$D,3,)</f>
        <v xml:space="preserve">M2    </v>
      </c>
      <c r="F934" s="242">
        <v>2.25</v>
      </c>
      <c r="G934" s="242">
        <f>IF(B934="SEPLAG",VLOOKUP(CONCATENATE("MEDIANA - ",C934),COTAÇÃO,5,FALSE),VLOOKUP($C934,'NAO DESO'!$A:$D,4,))</f>
        <v>272.77</v>
      </c>
      <c r="H934" s="242">
        <f t="shared" si="70"/>
        <v>613.73</v>
      </c>
      <c r="I934" s="54" t="str">
        <f>IF(B934="SEPLAG",VLOOKUP(CONCATENATE("MEDIANA - ",C934),COTAÇÃO,5,FALSE),VLOOKUP($C934,DESON!$A:$D,4,))</f>
        <v>272,77</v>
      </c>
      <c r="J934" s="209">
        <f t="shared" si="71"/>
        <v>613.73</v>
      </c>
    </row>
    <row r="935" spans="1:10" ht="15" customHeight="1">
      <c r="A935" s="208" t="s">
        <v>245</v>
      </c>
      <c r="B935" s="241"/>
      <c r="C935" s="1181">
        <v>88315</v>
      </c>
      <c r="D935" s="161" t="str">
        <f>IF(B935="SEPLAG",VLOOKUP(COMPOSIÇÕES!C935,'MAPA COMPARATIVO'!A:B,2,FALSE),VLOOKUP(C935,'NAO DESO'!A:B,2,0))</f>
        <v>SERRALHEIRO COM ENCARGOS COMPLEMENTARES</v>
      </c>
      <c r="E935" s="241" t="str">
        <f>VLOOKUP($C935,'NAO DESO'!$A:$D,3,)</f>
        <v>H</v>
      </c>
      <c r="F935" s="242">
        <v>7.34</v>
      </c>
      <c r="G935" s="242" t="str">
        <f>IF(B935="SEPLAG",VLOOKUP(CONCATENATE("MEDIANA - ",C935),COTAÇÃO,5,FALSE),VLOOKUP($C935,'NAO DESO'!$A:$D,4,))</f>
        <v>20,97</v>
      </c>
      <c r="H935" s="242">
        <f t="shared" si="70"/>
        <v>153.91</v>
      </c>
      <c r="I935" s="54" t="str">
        <f>IF(B935="SEPLAG",VLOOKUP(CONCATENATE("MEDIANA - ",C935),COTAÇÃO,5,FALSE),VLOOKUP($C935,DESON!$A:$D,4,))</f>
        <v>18,75</v>
      </c>
      <c r="J935" s="209">
        <f t="shared" si="71"/>
        <v>137.62</v>
      </c>
    </row>
    <row r="936" spans="1:10" ht="15" customHeight="1">
      <c r="A936" s="208" t="s">
        <v>245</v>
      </c>
      <c r="B936" s="241"/>
      <c r="C936" s="1181">
        <v>88316</v>
      </c>
      <c r="D936" s="161" t="str">
        <f>IF(B936="SEPLAG",VLOOKUP(COMPOSIÇÕES!C936,'MAPA COMPARATIVO'!A:B,2,FALSE),VLOOKUP(C936,'NAO DESO'!A:B,2,0))</f>
        <v>SERVENTE COM ENCARGOS COMPLEMENTARES</v>
      </c>
      <c r="E936" s="241" t="str">
        <f>VLOOKUP($C936,'NAO DESO'!$A:$D,3,)</f>
        <v>H</v>
      </c>
      <c r="F936" s="242">
        <v>7.34</v>
      </c>
      <c r="G936" s="242" t="str">
        <f>IF(B936="SEPLAG",VLOOKUP(CONCATENATE("MEDIANA - ",C936),COTAÇÃO,5,FALSE),VLOOKUP($C936,'NAO DESO'!$A:$D,4,))</f>
        <v>16,83</v>
      </c>
      <c r="H936" s="242">
        <f t="shared" si="70"/>
        <v>123.53</v>
      </c>
      <c r="I936" s="54" t="str">
        <f>IF(B936="SEPLAG",VLOOKUP(CONCATENATE("MEDIANA - ",C936),COTAÇÃO,5,FALSE),VLOOKUP($C936,DESON!$A:$D,4,))</f>
        <v>15,16</v>
      </c>
      <c r="J936" s="209">
        <f t="shared" si="71"/>
        <v>111.27</v>
      </c>
    </row>
    <row r="937" spans="1:10" ht="15" customHeight="1">
      <c r="A937" s="210" t="str">
        <f>CONCATENATE("TOTAL DO ITEM NÃO DESON. - ",C910)</f>
        <v>TOTAL DO ITEM NÃO DESON. - SEPLAG  ARQ 74</v>
      </c>
      <c r="B937" s="424"/>
      <c r="C937" s="424"/>
      <c r="D937" s="424"/>
      <c r="E937" s="424"/>
      <c r="F937" s="425"/>
      <c r="G937" s="426"/>
      <c r="H937" s="1182">
        <f>SUM(H912:H936)</f>
        <v>3346.32</v>
      </c>
      <c r="I937" s="214"/>
      <c r="J937" s="215"/>
    </row>
    <row r="938" spans="1:10" ht="15.75" customHeight="1" thickBot="1">
      <c r="A938" s="216" t="str">
        <f>CONCATENATE("TOTAL DO ITEM DESON. - ",C910)</f>
        <v>TOTAL DO ITEM DESON. - SEPLAG  ARQ 74</v>
      </c>
      <c r="B938" s="427"/>
      <c r="C938" s="427"/>
      <c r="D938" s="427"/>
      <c r="E938" s="427"/>
      <c r="F938" s="428"/>
      <c r="G938" s="429"/>
      <c r="H938" s="1187"/>
      <c r="I938" s="229"/>
      <c r="J938" s="219">
        <f>SUM(J912:J936)</f>
        <v>3317.77</v>
      </c>
    </row>
    <row r="939" spans="1:10" ht="15" customHeight="1" thickBot="1">
      <c r="A939" s="235"/>
      <c r="B939" s="1135"/>
      <c r="C939" s="1135"/>
      <c r="D939" s="1135"/>
      <c r="E939" s="1135"/>
      <c r="F939" s="1188"/>
      <c r="G939" s="1188"/>
      <c r="H939" s="1188"/>
      <c r="I939" s="236"/>
      <c r="J939" s="237"/>
    </row>
    <row r="940" spans="1:10" ht="28.5" customHeight="1">
      <c r="A940" s="198"/>
      <c r="B940" s="1175"/>
      <c r="C940" s="1176" t="s">
        <v>7363</v>
      </c>
      <c r="D940" s="156" t="s">
        <v>7631</v>
      </c>
      <c r="E940" s="1176" t="s">
        <v>32</v>
      </c>
      <c r="F940" s="1177" t="s">
        <v>18</v>
      </c>
      <c r="G940" s="1178" t="s">
        <v>7017</v>
      </c>
      <c r="H940" s="1179"/>
      <c r="I940" s="200" t="s">
        <v>7016</v>
      </c>
      <c r="J940" s="201"/>
    </row>
    <row r="941" spans="1:10" ht="15" customHeight="1">
      <c r="A941" s="233"/>
      <c r="B941" s="247"/>
      <c r="C941" s="1155"/>
      <c r="D941" s="157"/>
      <c r="E941" s="1155"/>
      <c r="F941" s="1180"/>
      <c r="G941" s="1180" t="s">
        <v>19</v>
      </c>
      <c r="H941" s="1180" t="s">
        <v>20</v>
      </c>
      <c r="I941" s="205" t="s">
        <v>19</v>
      </c>
      <c r="J941" s="206" t="s">
        <v>20</v>
      </c>
    </row>
    <row r="942" spans="1:10" ht="15" customHeight="1">
      <c r="A942" s="208" t="s">
        <v>39</v>
      </c>
      <c r="B942" s="241"/>
      <c r="C942" s="241">
        <v>34360</v>
      </c>
      <c r="D942" s="161" t="s">
        <v>7323</v>
      </c>
      <c r="E942" s="1194" t="s">
        <v>133</v>
      </c>
      <c r="F942" s="242">
        <v>1.0920000000000001</v>
      </c>
      <c r="G942" s="242">
        <f>IF(B942="SEPLAG",VLOOKUP(CONCATENATE("MEDIANA - ",C942),COTAÇÃO,5,FALSE),VLOOKUP($C942,'NAO DESO'!$A:$D,4,))</f>
        <v>47.31</v>
      </c>
      <c r="H942" s="242">
        <f t="shared" ref="H942:H947" si="72">TRUNC(F942*G942,2)</f>
        <v>51.66</v>
      </c>
      <c r="I942" s="54" t="str">
        <f>IF(B942="SEPLAG",VLOOKUP(CONCATENATE("MEDIANA - ",C942),COTAÇÃO,5,FALSE),VLOOKUP($C942,DESON!$A:$D,4,))</f>
        <v>47,31</v>
      </c>
      <c r="J942" s="209">
        <f t="shared" ref="J942:J947" si="73">TRUNC(F942*I942,2)</f>
        <v>51.66</v>
      </c>
    </row>
    <row r="943" spans="1:10" ht="15" customHeight="1">
      <c r="A943" s="208" t="s">
        <v>39</v>
      </c>
      <c r="B943" s="241"/>
      <c r="C943" s="241">
        <v>34360</v>
      </c>
      <c r="D943" s="161" t="s">
        <v>7324</v>
      </c>
      <c r="E943" s="1194" t="s">
        <v>133</v>
      </c>
      <c r="F943" s="242">
        <v>1.054</v>
      </c>
      <c r="G943" s="242">
        <f>IF(B943="SEPLAG",VLOOKUP(CONCATENATE("MEDIANA - ",C943),COTAÇÃO,5,FALSE),VLOOKUP($C943,'NAO DESO'!$A:$D,4,))</f>
        <v>47.31</v>
      </c>
      <c r="H943" s="242">
        <f t="shared" si="72"/>
        <v>49.86</v>
      </c>
      <c r="I943" s="54" t="str">
        <f>IF(B943="SEPLAG",VLOOKUP(CONCATENATE("MEDIANA - ",C943),COTAÇÃO,5,FALSE),VLOOKUP($C943,DESON!$A:$D,4,))</f>
        <v>47,31</v>
      </c>
      <c r="J943" s="209">
        <f t="shared" si="73"/>
        <v>49.86</v>
      </c>
    </row>
    <row r="944" spans="1:10" ht="15" customHeight="1">
      <c r="A944" s="208" t="s">
        <v>39</v>
      </c>
      <c r="B944" s="241"/>
      <c r="C944" s="241">
        <v>34360</v>
      </c>
      <c r="D944" s="161" t="s">
        <v>7325</v>
      </c>
      <c r="E944" s="1194" t="s">
        <v>133</v>
      </c>
      <c r="F944" s="242">
        <v>0.41599999999999998</v>
      </c>
      <c r="G944" s="242">
        <f>IF(B944="SEPLAG",VLOOKUP(CONCATENATE("MEDIANA - ",C944),COTAÇÃO,5,FALSE),VLOOKUP($C944,'NAO DESO'!$A:$D,4,))</f>
        <v>47.31</v>
      </c>
      <c r="H944" s="242">
        <f t="shared" si="72"/>
        <v>19.68</v>
      </c>
      <c r="I944" s="54" t="str">
        <f>IF(B944="SEPLAG",VLOOKUP(CONCATENATE("MEDIANA - ",C944),COTAÇÃO,5,FALSE),VLOOKUP($C944,DESON!$A:$D,4,))</f>
        <v>47,31</v>
      </c>
      <c r="J944" s="209">
        <f t="shared" si="73"/>
        <v>19.68</v>
      </c>
    </row>
    <row r="945" spans="1:10" ht="15" customHeight="1">
      <c r="A945" s="208" t="s">
        <v>39</v>
      </c>
      <c r="B945" s="241"/>
      <c r="C945" s="241">
        <v>34360</v>
      </c>
      <c r="D945" s="161" t="s">
        <v>7326</v>
      </c>
      <c r="E945" s="1194" t="s">
        <v>133</v>
      </c>
      <c r="F945" s="242">
        <v>1.242</v>
      </c>
      <c r="G945" s="242">
        <f>IF(B945="SEPLAG",VLOOKUP(CONCATENATE("MEDIANA - ",C945),COTAÇÃO,5,FALSE),VLOOKUP($C945,'NAO DESO'!$A:$D,4,))</f>
        <v>47.31</v>
      </c>
      <c r="H945" s="242">
        <f t="shared" si="72"/>
        <v>58.75</v>
      </c>
      <c r="I945" s="54" t="str">
        <f>IF(B945="SEPLAG",VLOOKUP(CONCATENATE("MEDIANA - ",C945),COTAÇÃO,5,FALSE),VLOOKUP($C945,DESON!$A:$D,4,))</f>
        <v>47,31</v>
      </c>
      <c r="J945" s="209">
        <f t="shared" si="73"/>
        <v>58.75</v>
      </c>
    </row>
    <row r="946" spans="1:10" ht="15" customHeight="1">
      <c r="A946" s="208" t="s">
        <v>39</v>
      </c>
      <c r="B946" s="241"/>
      <c r="C946" s="241">
        <v>34360</v>
      </c>
      <c r="D946" s="161" t="s">
        <v>7327</v>
      </c>
      <c r="E946" s="1194" t="s">
        <v>133</v>
      </c>
      <c r="F946" s="242">
        <v>2.1419999999999999</v>
      </c>
      <c r="G946" s="242">
        <f>IF(B946="SEPLAG",VLOOKUP(CONCATENATE("MEDIANA - ",C946),COTAÇÃO,5,FALSE),VLOOKUP($C946,'NAO DESO'!$A:$D,4,))</f>
        <v>47.31</v>
      </c>
      <c r="H946" s="242">
        <f t="shared" si="72"/>
        <v>101.33</v>
      </c>
      <c r="I946" s="54" t="str">
        <f>IF(B946="SEPLAG",VLOOKUP(CONCATENATE("MEDIANA - ",C946),COTAÇÃO,5,FALSE),VLOOKUP($C946,DESON!$A:$D,4,))</f>
        <v>47,31</v>
      </c>
      <c r="J946" s="209">
        <f t="shared" si="73"/>
        <v>101.33</v>
      </c>
    </row>
    <row r="947" spans="1:10" ht="15" customHeight="1">
      <c r="A947" s="208" t="s">
        <v>39</v>
      </c>
      <c r="B947" s="241"/>
      <c r="C947" s="241">
        <v>34360</v>
      </c>
      <c r="D947" s="161" t="s">
        <v>7328</v>
      </c>
      <c r="E947" s="1194" t="s">
        <v>133</v>
      </c>
      <c r="F947" s="242">
        <v>0.98299999999999998</v>
      </c>
      <c r="G947" s="242">
        <f>IF(B947="SEPLAG",VLOOKUP(CONCATENATE("MEDIANA - ",C947),COTAÇÃO,5,FALSE),VLOOKUP($C947,'NAO DESO'!$A:$D,4,))</f>
        <v>47.31</v>
      </c>
      <c r="H947" s="242">
        <f t="shared" si="72"/>
        <v>46.5</v>
      </c>
      <c r="I947" s="54" t="str">
        <f>IF(B947="SEPLAG",VLOOKUP(CONCATENATE("MEDIANA - ",C947),COTAÇÃO,5,FALSE),VLOOKUP($C947,DESON!$A:$D,4,))</f>
        <v>47,31</v>
      </c>
      <c r="J947" s="209">
        <f t="shared" si="73"/>
        <v>46.5</v>
      </c>
    </row>
    <row r="948" spans="1:10" ht="15" customHeight="1">
      <c r="A948" s="208" t="s">
        <v>39</v>
      </c>
      <c r="B948" s="241"/>
      <c r="C948" s="241">
        <v>34360</v>
      </c>
      <c r="D948" s="161" t="s">
        <v>7329</v>
      </c>
      <c r="E948" s="1194" t="s">
        <v>133</v>
      </c>
      <c r="F948" s="242"/>
      <c r="G948" s="242">
        <f>IF(B948="SEPLAG",VLOOKUP(CONCATENATE("MEDIANA - ",C948),COTAÇÃO,5,FALSE),VLOOKUP($C948,'NAO DESO'!$A:$D,4,))</f>
        <v>47.31</v>
      </c>
      <c r="H948" s="242">
        <f>F948*G948</f>
        <v>0</v>
      </c>
      <c r="I948" s="54" t="str">
        <f>IF(B948="SEPLAG",VLOOKUP(CONCATENATE("MEDIANA - ",C948),COTAÇÃO,5,FALSE),VLOOKUP($C948,DESON!$A:$D,4,))</f>
        <v>47,31</v>
      </c>
      <c r="J948" s="209">
        <f>F948*I948</f>
        <v>0</v>
      </c>
    </row>
    <row r="949" spans="1:10" ht="15" customHeight="1">
      <c r="A949" s="208" t="s">
        <v>39</v>
      </c>
      <c r="B949" s="241"/>
      <c r="C949" s="241">
        <v>34360</v>
      </c>
      <c r="D949" s="161" t="s">
        <v>7330</v>
      </c>
      <c r="E949" s="1194" t="s">
        <v>133</v>
      </c>
      <c r="F949" s="242">
        <v>0</v>
      </c>
      <c r="G949" s="242">
        <f>IF(B949="SEPLAG",VLOOKUP(CONCATENATE("MEDIANA - ",C949),COTAÇÃO,5,FALSE),VLOOKUP($C949,'NAO DESO'!$A:$D,4,))</f>
        <v>47.31</v>
      </c>
      <c r="H949" s="242">
        <f>F949*G949</f>
        <v>0</v>
      </c>
      <c r="I949" s="54" t="str">
        <f>IF(B949="SEPLAG",VLOOKUP(CONCATENATE("MEDIANA - ",C949),COTAÇÃO,5,FALSE),VLOOKUP($C949,DESON!$A:$D,4,))</f>
        <v>47,31</v>
      </c>
      <c r="J949" s="209">
        <f>F949*I949</f>
        <v>0</v>
      </c>
    </row>
    <row r="950" spans="1:10" ht="15" customHeight="1">
      <c r="A950" s="208" t="s">
        <v>39</v>
      </c>
      <c r="B950" s="241"/>
      <c r="C950" s="241">
        <v>34360</v>
      </c>
      <c r="D950" s="161" t="s">
        <v>7331</v>
      </c>
      <c r="E950" s="1194" t="s">
        <v>133</v>
      </c>
      <c r="F950" s="242">
        <v>4.0920000000000005</v>
      </c>
      <c r="G950" s="242">
        <f>IF(B950="SEPLAG",VLOOKUP(CONCATENATE("MEDIANA - ",C950),COTAÇÃO,5,FALSE),VLOOKUP($C950,'NAO DESO'!$A:$D,4,))</f>
        <v>47.31</v>
      </c>
      <c r="H950" s="242">
        <f t="shared" ref="H950:H966" si="74">TRUNC(F950*G950,2)</f>
        <v>193.59</v>
      </c>
      <c r="I950" s="54" t="str">
        <f>IF(B950="SEPLAG",VLOOKUP(CONCATENATE("MEDIANA - ",C950),COTAÇÃO,5,FALSE),VLOOKUP($C950,DESON!$A:$D,4,))</f>
        <v>47,31</v>
      </c>
      <c r="J950" s="209">
        <f t="shared" ref="J950:J966" si="75">TRUNC(F950*I950,2)</f>
        <v>193.59</v>
      </c>
    </row>
    <row r="951" spans="1:10" ht="15" customHeight="1">
      <c r="A951" s="208" t="s">
        <v>39</v>
      </c>
      <c r="B951" s="241"/>
      <c r="C951" s="241">
        <v>34360</v>
      </c>
      <c r="D951" s="161" t="s">
        <v>7332</v>
      </c>
      <c r="E951" s="1194" t="s">
        <v>133</v>
      </c>
      <c r="F951" s="242">
        <v>0.34300000000000003</v>
      </c>
      <c r="G951" s="242">
        <f>IF(B951="SEPLAG",VLOOKUP(CONCATENATE("MEDIANA - ",C951),COTAÇÃO,5,FALSE),VLOOKUP($C951,'NAO DESO'!$A:$D,4,))</f>
        <v>47.31</v>
      </c>
      <c r="H951" s="242">
        <f t="shared" si="74"/>
        <v>16.22</v>
      </c>
      <c r="I951" s="54" t="str">
        <f>IF(B951="SEPLAG",VLOOKUP(CONCATENATE("MEDIANA - ",C951),COTAÇÃO,5,FALSE),VLOOKUP($C951,DESON!$A:$D,4,))</f>
        <v>47,31</v>
      </c>
      <c r="J951" s="209">
        <f t="shared" si="75"/>
        <v>16.22</v>
      </c>
    </row>
    <row r="952" spans="1:10" ht="15" customHeight="1">
      <c r="A952" s="208" t="s">
        <v>39</v>
      </c>
      <c r="B952" s="241"/>
      <c r="C952" s="241">
        <v>34360</v>
      </c>
      <c r="D952" s="161" t="s">
        <v>7333</v>
      </c>
      <c r="E952" s="1194" t="s">
        <v>133</v>
      </c>
      <c r="F952" s="242">
        <v>1.107</v>
      </c>
      <c r="G952" s="242">
        <f>IF(B952="SEPLAG",VLOOKUP(CONCATENATE("MEDIANA - ",C952),COTAÇÃO,5,FALSE),VLOOKUP($C952,'NAO DESO'!$A:$D,4,))</f>
        <v>47.31</v>
      </c>
      <c r="H952" s="242">
        <f t="shared" si="74"/>
        <v>52.37</v>
      </c>
      <c r="I952" s="54" t="str">
        <f>IF(B952="SEPLAG",VLOOKUP(CONCATENATE("MEDIANA - ",C952),COTAÇÃO,5,FALSE),VLOOKUP($C952,DESON!$A:$D,4,))</f>
        <v>47,31</v>
      </c>
      <c r="J952" s="209">
        <f t="shared" si="75"/>
        <v>52.37</v>
      </c>
    </row>
    <row r="953" spans="1:10" ht="15" customHeight="1">
      <c r="A953" s="208" t="s">
        <v>39</v>
      </c>
      <c r="B953" s="241" t="s">
        <v>14504</v>
      </c>
      <c r="C953" s="1181" t="s">
        <v>14307</v>
      </c>
      <c r="D953" s="161" t="str">
        <f>IF(B953="SEPLAG",VLOOKUP(COMPOSIÇÕES!C953,'MAPA COMPARATIVO'!A:B,2,FALSE),VLOOKUP(C953,'NAO DESO'!A:B,2,0))</f>
        <v xml:space="preserve">Braço de max-ar linha gold de 600mm </v>
      </c>
      <c r="E953" s="1194" t="s">
        <v>24</v>
      </c>
      <c r="F953" s="242">
        <v>4</v>
      </c>
      <c r="G953" s="242">
        <f>IF(B953="SEPLAG",VLOOKUP(CONCATENATE("MEDIANA - ",C953),COTAÇÃO,5,FALSE),VLOOKUP($C953,'NAO DESO'!$A:$D,4,))</f>
        <v>36.575000000000003</v>
      </c>
      <c r="H953" s="242">
        <f t="shared" si="74"/>
        <v>146.30000000000001</v>
      </c>
      <c r="I953" s="54">
        <f>IF(B953="SEPLAG",VLOOKUP(CONCATENATE("MEDIANA - ",C953),COTAÇÃO,5,FALSE),VLOOKUP($C953,DESON!$A:$D,4,))</f>
        <v>36.575000000000003</v>
      </c>
      <c r="J953" s="209">
        <f t="shared" si="75"/>
        <v>146.30000000000001</v>
      </c>
    </row>
    <row r="954" spans="1:10" ht="15" customHeight="1">
      <c r="A954" s="208" t="s">
        <v>39</v>
      </c>
      <c r="B954" s="241" t="s">
        <v>14504</v>
      </c>
      <c r="C954" s="1181" t="s">
        <v>14308</v>
      </c>
      <c r="D954" s="161" t="str">
        <f>IF(B954="SEPLAG",VLOOKUP(COMPOSIÇÕES!C954,'MAPA COMPARATIVO'!A:B,2,FALSE),VLOOKUP(C954,'NAO DESO'!A:B,2,0))</f>
        <v>Fecho max-ar linha gold</v>
      </c>
      <c r="E954" s="1194" t="s">
        <v>24</v>
      </c>
      <c r="F954" s="242">
        <v>4</v>
      </c>
      <c r="G954" s="242">
        <f>IF(B954="SEPLAG",VLOOKUP(CONCATENATE("MEDIANA - ",C954),COTAÇÃO,5,FALSE),VLOOKUP($C954,'NAO DESO'!$A:$D,4,))</f>
        <v>47.36</v>
      </c>
      <c r="H954" s="242">
        <f t="shared" si="74"/>
        <v>189.44</v>
      </c>
      <c r="I954" s="54">
        <f>IF(B954="SEPLAG",VLOOKUP(CONCATENATE("MEDIANA - ",C954),COTAÇÃO,5,FALSE),VLOOKUP($C954,DESON!$A:$D,4,))</f>
        <v>47.36</v>
      </c>
      <c r="J954" s="209">
        <f t="shared" si="75"/>
        <v>189.44</v>
      </c>
    </row>
    <row r="955" spans="1:10" ht="15" customHeight="1">
      <c r="A955" s="208" t="s">
        <v>39</v>
      </c>
      <c r="B955" s="241" t="s">
        <v>14504</v>
      </c>
      <c r="C955" s="1181" t="s">
        <v>14309</v>
      </c>
      <c r="D955" s="161" t="str">
        <f>IF(B955="SEPLAG",VLOOKUP(COMPOSIÇÕES!C955,'MAPA COMPARATIVO'!A:B,2,FALSE),VLOOKUP(C955,'NAO DESO'!A:B,2,0))</f>
        <v>Guarnição em EPDM p/ pingadeira</v>
      </c>
      <c r="E955" s="1194" t="s">
        <v>7388</v>
      </c>
      <c r="F955" s="242">
        <v>2.1720000000000002</v>
      </c>
      <c r="G955" s="242">
        <f>IF(B955="SEPLAG",VLOOKUP(CONCATENATE("MEDIANA - ",C955),COTAÇÃO,5,FALSE),VLOOKUP($C955,'NAO DESO'!$A:$D,4,))</f>
        <v>4.3849999999999998</v>
      </c>
      <c r="H955" s="242">
        <f t="shared" si="74"/>
        <v>9.52</v>
      </c>
      <c r="I955" s="54">
        <f>IF(B955="SEPLAG",VLOOKUP(CONCATENATE("MEDIANA - ",C955),COTAÇÃO,5,FALSE),VLOOKUP($C955,DESON!$A:$D,4,))</f>
        <v>4.3849999999999998</v>
      </c>
      <c r="J955" s="209">
        <f t="shared" si="75"/>
        <v>9.52</v>
      </c>
    </row>
    <row r="956" spans="1:10" ht="15" customHeight="1">
      <c r="A956" s="208" t="s">
        <v>39</v>
      </c>
      <c r="B956" s="241" t="s">
        <v>14504</v>
      </c>
      <c r="C956" s="1181" t="s">
        <v>14310</v>
      </c>
      <c r="D956" s="161" t="str">
        <f>IF(B956="SEPLAG",VLOOKUP(COMPOSIÇÕES!C956,'MAPA COMPARATIVO'!A:B,2,FALSE),VLOOKUP(C956,'NAO DESO'!A:B,2,0))</f>
        <v>Guarnição em EPDM para vidro</v>
      </c>
      <c r="E956" s="1194" t="s">
        <v>250</v>
      </c>
      <c r="F956" s="242">
        <v>7.74</v>
      </c>
      <c r="G956" s="242">
        <f>IF(B956="SEPLAG",VLOOKUP(CONCATENATE("MEDIANA - ",C956),COTAÇÃO,5,FALSE),VLOOKUP($C956,'NAO DESO'!$A:$D,4,))</f>
        <v>2.4091999999999998</v>
      </c>
      <c r="H956" s="242">
        <f t="shared" si="74"/>
        <v>18.64</v>
      </c>
      <c r="I956" s="54">
        <f>IF(B956="SEPLAG",VLOOKUP(CONCATENATE("MEDIANA - ",C956),COTAÇÃO,5,FALSE),VLOOKUP($C956,DESON!$A:$D,4,))</f>
        <v>2.4091999999999998</v>
      </c>
      <c r="J956" s="209">
        <f t="shared" si="75"/>
        <v>18.64</v>
      </c>
    </row>
    <row r="957" spans="1:10" ht="15" customHeight="1">
      <c r="A957" s="208" t="s">
        <v>39</v>
      </c>
      <c r="B957" s="241" t="s">
        <v>14504</v>
      </c>
      <c r="C957" s="1181" t="s">
        <v>14311</v>
      </c>
      <c r="D957" s="161" t="str">
        <f>IF(B957="SEPLAG",VLOOKUP(COMPOSIÇÕES!C957,'MAPA COMPARATIVO'!A:B,2,FALSE),VLOOKUP(C957,'NAO DESO'!A:B,2,0))</f>
        <v>Espuma adesiva 1 face</v>
      </c>
      <c r="E957" s="1194" t="s">
        <v>250</v>
      </c>
      <c r="F957" s="242">
        <v>7.74</v>
      </c>
      <c r="G957" s="242">
        <f>IF(B957="SEPLAG",VLOOKUP(CONCATENATE("MEDIANA - ",C957),COTAÇÃO,5,FALSE),VLOOKUP($C957,'NAO DESO'!$A:$D,4,))</f>
        <v>2.1800000000000002</v>
      </c>
      <c r="H957" s="242">
        <f t="shared" si="74"/>
        <v>16.87</v>
      </c>
      <c r="I957" s="54">
        <f>IF(B957="SEPLAG",VLOOKUP(CONCATENATE("MEDIANA - ",C957),COTAÇÃO,5,FALSE),VLOOKUP($C957,DESON!$A:$D,4,))</f>
        <v>2.1800000000000002</v>
      </c>
      <c r="J957" s="209">
        <f t="shared" si="75"/>
        <v>16.87</v>
      </c>
    </row>
    <row r="958" spans="1:10" ht="15" customHeight="1">
      <c r="A958" s="208" t="s">
        <v>39</v>
      </c>
      <c r="B958" s="241" t="s">
        <v>14504</v>
      </c>
      <c r="C958" s="1181" t="s">
        <v>14312</v>
      </c>
      <c r="D958" s="161" t="str">
        <f>IF(B958="SEPLAG",VLOOKUP(COMPOSIÇÕES!C958,'MAPA COMPARATIVO'!A:B,2,FALSE),VLOOKUP(C958,'NAO DESO'!A:B,2,0))</f>
        <v>Guarnição em EPDM p/ marco max-ar</v>
      </c>
      <c r="E958" s="1194" t="s">
        <v>250</v>
      </c>
      <c r="F958" s="242">
        <v>15.14</v>
      </c>
      <c r="G958" s="242">
        <f>IF(B958="SEPLAG",VLOOKUP(CONCATENATE("MEDIANA - ",C958),COTAÇÃO,5,FALSE),VLOOKUP($C958,'NAO DESO'!$A:$D,4,))</f>
        <v>3.8138999999999998</v>
      </c>
      <c r="H958" s="242">
        <f t="shared" si="74"/>
        <v>57.74</v>
      </c>
      <c r="I958" s="54">
        <f>IF(B958="SEPLAG",VLOOKUP(CONCATENATE("MEDIANA - ",C958),COTAÇÃO,5,FALSE),VLOOKUP($C958,DESON!$A:$D,4,))</f>
        <v>3.8138999999999998</v>
      </c>
      <c r="J958" s="209">
        <f t="shared" si="75"/>
        <v>57.74</v>
      </c>
    </row>
    <row r="959" spans="1:10" ht="15" customHeight="1">
      <c r="A959" s="208" t="s">
        <v>39</v>
      </c>
      <c r="B959" s="241" t="s">
        <v>14504</v>
      </c>
      <c r="C959" s="1181" t="s">
        <v>14313</v>
      </c>
      <c r="D959" s="161" t="str">
        <f>IF(B959="SEPLAG",VLOOKUP(COMPOSIÇÕES!C959,'MAPA COMPARATIVO'!A:B,2,FALSE),VLOOKUP(C959,'NAO DESO'!A:B,2,0))</f>
        <v>PRESILHA DE FIXAÇÃO DO ARREMATE MP-347</v>
      </c>
      <c r="E959" s="1194" t="s">
        <v>24</v>
      </c>
      <c r="F959" s="242">
        <v>16</v>
      </c>
      <c r="G959" s="242">
        <f>IF(B959="SEPLAG",VLOOKUP(CONCATENATE("MEDIANA - ",C959),COTAÇÃO,5,FALSE),VLOOKUP($C959,'NAO DESO'!$A:$D,4,))</f>
        <v>0.34</v>
      </c>
      <c r="H959" s="242">
        <f t="shared" si="74"/>
        <v>5.44</v>
      </c>
      <c r="I959" s="54">
        <f>IF(B959="SEPLAG",VLOOKUP(CONCATENATE("MEDIANA - ",C959),COTAÇÃO,5,FALSE),VLOOKUP($C959,DESON!$A:$D,4,))</f>
        <v>0.34</v>
      </c>
      <c r="J959" s="209">
        <f t="shared" si="75"/>
        <v>5.44</v>
      </c>
    </row>
    <row r="960" spans="1:10" ht="15" customHeight="1">
      <c r="A960" s="208" t="s">
        <v>39</v>
      </c>
      <c r="B960" s="241" t="s">
        <v>14504</v>
      </c>
      <c r="C960" s="1181" t="s">
        <v>14314</v>
      </c>
      <c r="D960" s="161" t="str">
        <f>IF(B960="SEPLAG",VLOOKUP(COMPOSIÇÕES!C960,'MAPA COMPARATIVO'!A:B,2,FALSE),VLOOKUP(C960,'NAO DESO'!A:B,2,0))</f>
        <v>Parafuso zincado phillips flangeado autobrocante 4,2 x 16mm</v>
      </c>
      <c r="E960" s="1194" t="s">
        <v>24</v>
      </c>
      <c r="F960" s="242">
        <v>16</v>
      </c>
      <c r="G960" s="242">
        <f>IF(B960="SEPLAG",VLOOKUP(CONCATENATE("MEDIANA - ",C960),COTAÇÃO,5,FALSE),VLOOKUP($C960,'NAO DESO'!$A:$D,4,))</f>
        <v>0.28000000000000003</v>
      </c>
      <c r="H960" s="242">
        <f t="shared" si="74"/>
        <v>4.4800000000000004</v>
      </c>
      <c r="I960" s="54">
        <f>IF(B960="SEPLAG",VLOOKUP(CONCATENATE("MEDIANA - ",C960),COTAÇÃO,5,FALSE),VLOOKUP($C960,DESON!$A:$D,4,))</f>
        <v>0.28000000000000003</v>
      </c>
      <c r="J960" s="209">
        <f t="shared" si="75"/>
        <v>4.4800000000000004</v>
      </c>
    </row>
    <row r="961" spans="1:10" ht="15" customHeight="1">
      <c r="A961" s="208" t="s">
        <v>39</v>
      </c>
      <c r="B961" s="241" t="s">
        <v>14504</v>
      </c>
      <c r="C961" s="1181" t="s">
        <v>14315</v>
      </c>
      <c r="D961" s="161" t="str">
        <f>IF(B961="SEPLAG",VLOOKUP(COMPOSIÇÕES!C961,'MAPA COMPARATIVO'!A:B,2,FALSE),VLOOKUP(C961,'NAO DESO'!A:B,2,0))</f>
        <v>PARAF. PANELA PHILIPS INOX 4,8 X32 PONTA PILOTO</v>
      </c>
      <c r="E961" s="1194" t="s">
        <v>24</v>
      </c>
      <c r="F961" s="242">
        <v>12</v>
      </c>
      <c r="G961" s="242">
        <f>IF(B961="SEPLAG",VLOOKUP(CONCATENATE("MEDIANA - ",C961),COTAÇÃO,5,FALSE),VLOOKUP($C961,'NAO DESO'!$A:$D,4,))</f>
        <v>0.95</v>
      </c>
      <c r="H961" s="242">
        <f t="shared" si="74"/>
        <v>11.4</v>
      </c>
      <c r="I961" s="54">
        <f>IF(B961="SEPLAG",VLOOKUP(CONCATENATE("MEDIANA - ",C961),COTAÇÃO,5,FALSE),VLOOKUP($C961,DESON!$A:$D,4,))</f>
        <v>0.95</v>
      </c>
      <c r="J961" s="209">
        <f t="shared" si="75"/>
        <v>11.4</v>
      </c>
    </row>
    <row r="962" spans="1:10" ht="15" customHeight="1">
      <c r="A962" s="208" t="s">
        <v>39</v>
      </c>
      <c r="B962" s="241" t="s">
        <v>14504</v>
      </c>
      <c r="C962" s="1181" t="s">
        <v>14316</v>
      </c>
      <c r="D962" s="161" t="str">
        <f>IF(B962="SEPLAG",VLOOKUP(COMPOSIÇÕES!C962,'MAPA COMPARATIVO'!A:B,2,FALSE),VLOOKUP(C962,'NAO DESO'!A:B,2,0))</f>
        <v>CHUMBADOR DE CM-063/060</v>
      </c>
      <c r="E962" s="1194" t="s">
        <v>24</v>
      </c>
      <c r="F962" s="242">
        <v>16</v>
      </c>
      <c r="G962" s="242">
        <f>IF(B962="SEPLAG",VLOOKUP(CONCATENATE("MEDIANA - ",C962),COTAÇÃO,5,FALSE),VLOOKUP($C962,'NAO DESO'!$A:$D,4,))</f>
        <v>0.86</v>
      </c>
      <c r="H962" s="242">
        <f t="shared" si="74"/>
        <v>13.76</v>
      </c>
      <c r="I962" s="54">
        <f>IF(B962="SEPLAG",VLOOKUP(CONCATENATE("MEDIANA - ",C962),COTAÇÃO,5,FALSE),VLOOKUP($C962,DESON!$A:$D,4,))</f>
        <v>0.86</v>
      </c>
      <c r="J962" s="209">
        <f t="shared" si="75"/>
        <v>13.76</v>
      </c>
    </row>
    <row r="963" spans="1:10" ht="15" customHeight="1">
      <c r="A963" s="208" t="s">
        <v>39</v>
      </c>
      <c r="B963" s="241" t="s">
        <v>14504</v>
      </c>
      <c r="C963" s="1181" t="s">
        <v>14317</v>
      </c>
      <c r="D963" s="161" t="str">
        <f>IF(B963="SEPLAG",VLOOKUP(COMPOSIÇÕES!C963,'MAPA COMPARATIVO'!A:B,2,FALSE),VLOOKUP(C963,'NAO DESO'!A:B,2,0))</f>
        <v>Silicone neutro incolor 280 g</v>
      </c>
      <c r="E963" s="1194" t="s">
        <v>24</v>
      </c>
      <c r="F963" s="242">
        <v>2</v>
      </c>
      <c r="G963" s="242">
        <f>IF(B963="SEPLAG",VLOOKUP(CONCATENATE("MEDIANA - ",C963),COTAÇÃO,5,FALSE),VLOOKUP($C963,'NAO DESO'!$A:$D,4,))</f>
        <v>43.9</v>
      </c>
      <c r="H963" s="242">
        <f t="shared" si="74"/>
        <v>87.8</v>
      </c>
      <c r="I963" s="54">
        <f>IF(B963="SEPLAG",VLOOKUP(CONCATENATE("MEDIANA - ",C963),COTAÇÃO,5,FALSE),VLOOKUP($C963,DESON!$A:$D,4,))</f>
        <v>43.9</v>
      </c>
      <c r="J963" s="209">
        <f t="shared" si="75"/>
        <v>87.8</v>
      </c>
    </row>
    <row r="964" spans="1:10" ht="15" customHeight="1">
      <c r="A964" s="208" t="s">
        <v>245</v>
      </c>
      <c r="B964" s="241"/>
      <c r="C964" s="1181">
        <v>10505</v>
      </c>
      <c r="D964" s="161" t="str">
        <f>IF(B964="SEPLAG",VLOOKUP(COMPOSIÇÕES!C964,'MAPA COMPARATIVO'!A:B,2,FALSE),VLOOKUP(C964,'NAO DESO'!A:B,2,0))</f>
        <v>VIDRO TEMPERADO INCOLOR E = 6 MM, SEM COLOCACAO</v>
      </c>
      <c r="E964" s="241" t="str">
        <f>VLOOKUP($C964,'NAO DESO'!$A:$D,3,)</f>
        <v xml:space="preserve">M2    </v>
      </c>
      <c r="F964" s="242">
        <v>1.1000000000000001</v>
      </c>
      <c r="G964" s="242">
        <f>IF(B964="SEPLAG",VLOOKUP(CONCATENATE("MEDIANA - ",C964),COTAÇÃO,5,FALSE),VLOOKUP($C964,'NAO DESO'!$A:$D,4,))</f>
        <v>272.77</v>
      </c>
      <c r="H964" s="242">
        <f t="shared" si="74"/>
        <v>300.04000000000002</v>
      </c>
      <c r="I964" s="54" t="str">
        <f>IF(B964="SEPLAG",VLOOKUP(CONCATENATE("MEDIANA - ",C964),COTAÇÃO,5,FALSE),VLOOKUP($C964,DESON!$A:$D,4,))</f>
        <v>272,77</v>
      </c>
      <c r="J964" s="209">
        <f t="shared" si="75"/>
        <v>300.04000000000002</v>
      </c>
    </row>
    <row r="965" spans="1:10" ht="15" customHeight="1">
      <c r="A965" s="208" t="s">
        <v>245</v>
      </c>
      <c r="B965" s="241"/>
      <c r="C965" s="1181">
        <v>88315</v>
      </c>
      <c r="D965" s="161" t="str">
        <f>IF(B965="SEPLAG",VLOOKUP(COMPOSIÇÕES!C965,'MAPA COMPARATIVO'!A:B,2,FALSE),VLOOKUP(C965,'NAO DESO'!A:B,2,0))</f>
        <v>SERRALHEIRO COM ENCARGOS COMPLEMENTARES</v>
      </c>
      <c r="E965" s="241" t="str">
        <f>VLOOKUP($C965,'NAO DESO'!$A:$D,3,)</f>
        <v>H</v>
      </c>
      <c r="F965" s="242">
        <v>3.59</v>
      </c>
      <c r="G965" s="242" t="str">
        <f>IF(B965="SEPLAG",VLOOKUP(CONCATENATE("MEDIANA - ",C965),COTAÇÃO,5,FALSE),VLOOKUP($C965,'NAO DESO'!$A:$D,4,))</f>
        <v>20,97</v>
      </c>
      <c r="H965" s="242">
        <f t="shared" si="74"/>
        <v>75.28</v>
      </c>
      <c r="I965" s="54" t="str">
        <f>IF(B965="SEPLAG",VLOOKUP(CONCATENATE("MEDIANA - ",C965),COTAÇÃO,5,FALSE),VLOOKUP($C965,DESON!$A:$D,4,))</f>
        <v>18,75</v>
      </c>
      <c r="J965" s="209">
        <f t="shared" si="75"/>
        <v>67.31</v>
      </c>
    </row>
    <row r="966" spans="1:10" ht="15" customHeight="1">
      <c r="A966" s="208" t="s">
        <v>245</v>
      </c>
      <c r="B966" s="241"/>
      <c r="C966" s="1181">
        <v>88316</v>
      </c>
      <c r="D966" s="161" t="str">
        <f>IF(B966="SEPLAG",VLOOKUP(COMPOSIÇÕES!C966,'MAPA COMPARATIVO'!A:B,2,FALSE),VLOOKUP(C966,'NAO DESO'!A:B,2,0))</f>
        <v>SERVENTE COM ENCARGOS COMPLEMENTARES</v>
      </c>
      <c r="E966" s="241" t="str">
        <f>VLOOKUP($C966,'NAO DESO'!$A:$D,3,)</f>
        <v>H</v>
      </c>
      <c r="F966" s="242">
        <v>3.59</v>
      </c>
      <c r="G966" s="242" t="str">
        <f>IF(B966="SEPLAG",VLOOKUP(CONCATENATE("MEDIANA - ",C966),COTAÇÃO,5,FALSE),VLOOKUP($C966,'NAO DESO'!$A:$D,4,))</f>
        <v>16,83</v>
      </c>
      <c r="H966" s="242">
        <f t="shared" si="74"/>
        <v>60.41</v>
      </c>
      <c r="I966" s="54" t="str">
        <f>IF(B966="SEPLAG",VLOOKUP(CONCATENATE("MEDIANA - ",C966),COTAÇÃO,5,FALSE),VLOOKUP($C966,DESON!$A:$D,4,))</f>
        <v>15,16</v>
      </c>
      <c r="J966" s="209">
        <f t="shared" si="75"/>
        <v>54.42</v>
      </c>
    </row>
    <row r="967" spans="1:10" ht="15" customHeight="1">
      <c r="A967" s="210" t="str">
        <f>CONCATENATE("TOTAL DO ITEM NÃO DESON. - ",C940)</f>
        <v>TOTAL DO ITEM NÃO DESON. - SEPLAG  ARQ 75</v>
      </c>
      <c r="B967" s="424"/>
      <c r="C967" s="424"/>
      <c r="D967" s="424"/>
      <c r="E967" s="424"/>
      <c r="F967" s="425"/>
      <c r="G967" s="426"/>
      <c r="H967" s="1182">
        <f>SUM(H942:H966)</f>
        <v>1587.0800000000002</v>
      </c>
      <c r="I967" s="214"/>
      <c r="J967" s="215"/>
    </row>
    <row r="968" spans="1:10" ht="15.75" customHeight="1" thickBot="1">
      <c r="A968" s="216" t="str">
        <f>CONCATENATE("TOTAL DO ITEM DESON. - ",C940)</f>
        <v>TOTAL DO ITEM DESON. - SEPLAG  ARQ 75</v>
      </c>
      <c r="B968" s="427"/>
      <c r="C968" s="427"/>
      <c r="D968" s="427"/>
      <c r="E968" s="427"/>
      <c r="F968" s="428"/>
      <c r="G968" s="429"/>
      <c r="H968" s="1187"/>
      <c r="I968" s="229"/>
      <c r="J968" s="219">
        <f>SUM(J942:J966)</f>
        <v>1573.1200000000001</v>
      </c>
    </row>
    <row r="969" spans="1:10" ht="15" customHeight="1" thickBot="1">
      <c r="A969" s="235"/>
      <c r="B969" s="1135"/>
      <c r="C969" s="1135"/>
      <c r="D969" s="1135"/>
      <c r="E969" s="1135"/>
      <c r="F969" s="1188"/>
      <c r="G969" s="1188"/>
      <c r="H969" s="1188"/>
      <c r="I969" s="236"/>
      <c r="J969" s="237"/>
    </row>
    <row r="970" spans="1:10" ht="27.75" customHeight="1">
      <c r="A970" s="198"/>
      <c r="B970" s="1175"/>
      <c r="C970" s="1176" t="s">
        <v>7364</v>
      </c>
      <c r="D970" s="156" t="s">
        <v>14160</v>
      </c>
      <c r="E970" s="1176" t="s">
        <v>32</v>
      </c>
      <c r="F970" s="1177" t="s">
        <v>18</v>
      </c>
      <c r="G970" s="1178" t="s">
        <v>7017</v>
      </c>
      <c r="H970" s="1179"/>
      <c r="I970" s="200" t="s">
        <v>7016</v>
      </c>
      <c r="J970" s="201"/>
    </row>
    <row r="971" spans="1:10" ht="15" customHeight="1">
      <c r="A971" s="233"/>
      <c r="B971" s="247"/>
      <c r="C971" s="1155"/>
      <c r="D971" s="157"/>
      <c r="E971" s="1155"/>
      <c r="F971" s="1180"/>
      <c r="G971" s="1180" t="s">
        <v>19</v>
      </c>
      <c r="H971" s="1180" t="s">
        <v>20</v>
      </c>
      <c r="I971" s="205" t="s">
        <v>19</v>
      </c>
      <c r="J971" s="206" t="s">
        <v>20</v>
      </c>
    </row>
    <row r="972" spans="1:10" ht="15" customHeight="1">
      <c r="A972" s="208" t="s">
        <v>39</v>
      </c>
      <c r="B972" s="241"/>
      <c r="C972" s="241">
        <v>34360</v>
      </c>
      <c r="D972" s="161" t="s">
        <v>7323</v>
      </c>
      <c r="E972" s="1194" t="s">
        <v>133</v>
      </c>
      <c r="F972" s="242">
        <v>1.099</v>
      </c>
      <c r="G972" s="242">
        <f>IF(B972="SEPLAG",VLOOKUP(CONCATENATE("MEDIANA - ",C972),COTAÇÃO,5,FALSE),VLOOKUP($C972,'NAO DESO'!$A:$D,4,))</f>
        <v>47.31</v>
      </c>
      <c r="H972" s="242">
        <f>TRUNC(F972*G972,2)</f>
        <v>51.99</v>
      </c>
      <c r="I972" s="54" t="str">
        <f>IF(B972="SEPLAG",VLOOKUP(CONCATENATE("MEDIANA - ",C972),COTAÇÃO,5,FALSE),VLOOKUP($C972,DESON!$A:$D,4,))</f>
        <v>47,31</v>
      </c>
      <c r="J972" s="209">
        <f>TRUNC(F972*I972,2)</f>
        <v>51.99</v>
      </c>
    </row>
    <row r="973" spans="1:10" ht="15" customHeight="1">
      <c r="A973" s="208" t="s">
        <v>39</v>
      </c>
      <c r="B973" s="241"/>
      <c r="C973" s="241">
        <v>34360</v>
      </c>
      <c r="D973" s="161" t="s">
        <v>7324</v>
      </c>
      <c r="E973" s="1194" t="s">
        <v>133</v>
      </c>
      <c r="F973" s="242">
        <v>0.51100000000000001</v>
      </c>
      <c r="G973" s="242">
        <f>IF(B973="SEPLAG",VLOOKUP(CONCATENATE("MEDIANA - ",C973),COTAÇÃO,5,FALSE),VLOOKUP($C973,'NAO DESO'!$A:$D,4,))</f>
        <v>47.31</v>
      </c>
      <c r="H973" s="242">
        <f>TRUNC(F973*G973,2)</f>
        <v>24.17</v>
      </c>
      <c r="I973" s="54" t="str">
        <f>IF(B973="SEPLAG",VLOOKUP(CONCATENATE("MEDIANA - ",C973),COTAÇÃO,5,FALSE),VLOOKUP($C973,DESON!$A:$D,4,))</f>
        <v>47,31</v>
      </c>
      <c r="J973" s="209">
        <f>TRUNC(F973*I973,2)</f>
        <v>24.17</v>
      </c>
    </row>
    <row r="974" spans="1:10" ht="15" customHeight="1">
      <c r="A974" s="208" t="s">
        <v>39</v>
      </c>
      <c r="B974" s="241"/>
      <c r="C974" s="241">
        <v>34360</v>
      </c>
      <c r="D974" s="161" t="s">
        <v>7325</v>
      </c>
      <c r="E974" s="1194" t="s">
        <v>133</v>
      </c>
      <c r="F974" s="242">
        <v>0.20199999999999999</v>
      </c>
      <c r="G974" s="242">
        <f>IF(B974="SEPLAG",VLOOKUP(CONCATENATE("MEDIANA - ",C974),COTAÇÃO,5,FALSE),VLOOKUP($C974,'NAO DESO'!$A:$D,4,))</f>
        <v>47.31</v>
      </c>
      <c r="H974" s="242">
        <f>TRUNC(F974*G974,2)</f>
        <v>9.5500000000000007</v>
      </c>
      <c r="I974" s="54" t="str">
        <f>IF(B974="SEPLAG",VLOOKUP(CONCATENATE("MEDIANA - ",C974),COTAÇÃO,5,FALSE),VLOOKUP($C974,DESON!$A:$D,4,))</f>
        <v>47,31</v>
      </c>
      <c r="J974" s="209">
        <f>TRUNC(F974*I974,2)</f>
        <v>9.5500000000000007</v>
      </c>
    </row>
    <row r="975" spans="1:10" ht="15" customHeight="1">
      <c r="A975" s="208" t="s">
        <v>39</v>
      </c>
      <c r="B975" s="241"/>
      <c r="C975" s="241">
        <v>34360</v>
      </c>
      <c r="D975" s="161" t="s">
        <v>7326</v>
      </c>
      <c r="E975" s="1194" t="s">
        <v>133</v>
      </c>
      <c r="F975" s="242">
        <v>1.242</v>
      </c>
      <c r="G975" s="242">
        <f>IF(B975="SEPLAG",VLOOKUP(CONCATENATE("MEDIANA - ",C975),COTAÇÃO,5,FALSE),VLOOKUP($C975,'NAO DESO'!$A:$D,4,))</f>
        <v>47.31</v>
      </c>
      <c r="H975" s="242">
        <f>TRUNC(F975*G975,2)</f>
        <v>58.75</v>
      </c>
      <c r="I975" s="54" t="str">
        <f>IF(B975="SEPLAG",VLOOKUP(CONCATENATE("MEDIANA - ",C975),COTAÇÃO,5,FALSE),VLOOKUP($C975,DESON!$A:$D,4,))</f>
        <v>47,31</v>
      </c>
      <c r="J975" s="209">
        <f>TRUNC(F975*I975,2)</f>
        <v>58.75</v>
      </c>
    </row>
    <row r="976" spans="1:10" ht="15" customHeight="1">
      <c r="A976" s="208" t="s">
        <v>39</v>
      </c>
      <c r="B976" s="241"/>
      <c r="C976" s="241">
        <v>34360</v>
      </c>
      <c r="D976" s="161" t="s">
        <v>7327</v>
      </c>
      <c r="E976" s="1194" t="s">
        <v>133</v>
      </c>
      <c r="F976" s="242">
        <v>2.1419999999999999</v>
      </c>
      <c r="G976" s="242">
        <f>IF(B976="SEPLAG",VLOOKUP(CONCATENATE("MEDIANA - ",C976),COTAÇÃO,5,FALSE),VLOOKUP($C976,'NAO DESO'!$A:$D,4,))</f>
        <v>47.31</v>
      </c>
      <c r="H976" s="242">
        <f>TRUNC(F976*G976,2)</f>
        <v>101.33</v>
      </c>
      <c r="I976" s="54" t="str">
        <f>IF(B976="SEPLAG",VLOOKUP(CONCATENATE("MEDIANA - ",C976),COTAÇÃO,5,FALSE),VLOOKUP($C976,DESON!$A:$D,4,))</f>
        <v>47,31</v>
      </c>
      <c r="J976" s="209">
        <f>TRUNC(F976*I976,2)</f>
        <v>101.33</v>
      </c>
    </row>
    <row r="977" spans="1:10" ht="15" customHeight="1">
      <c r="A977" s="208" t="s">
        <v>39</v>
      </c>
      <c r="B977" s="241"/>
      <c r="C977" s="241">
        <v>34360</v>
      </c>
      <c r="D977" s="161" t="s">
        <v>7328</v>
      </c>
      <c r="E977" s="1194" t="s">
        <v>133</v>
      </c>
      <c r="F977" s="242">
        <v>0</v>
      </c>
      <c r="G977" s="242">
        <f>IF(B977="SEPLAG",VLOOKUP(CONCATENATE("MEDIANA - ",C977),COTAÇÃO,5,FALSE),VLOOKUP($C977,'NAO DESO'!$A:$D,4,))</f>
        <v>47.31</v>
      </c>
      <c r="H977" s="242">
        <f>F977*G977</f>
        <v>0</v>
      </c>
      <c r="I977" s="54" t="str">
        <f>IF(B977="SEPLAG",VLOOKUP(CONCATENATE("MEDIANA - ",C977),COTAÇÃO,5,FALSE),VLOOKUP($C977,DESON!$A:$D,4,))</f>
        <v>47,31</v>
      </c>
      <c r="J977" s="209">
        <f>F977*I977</f>
        <v>0</v>
      </c>
    </row>
    <row r="978" spans="1:10" ht="15" customHeight="1">
      <c r="A978" s="208" t="s">
        <v>39</v>
      </c>
      <c r="B978" s="241"/>
      <c r="C978" s="241">
        <v>34360</v>
      </c>
      <c r="D978" s="161" t="s">
        <v>7329</v>
      </c>
      <c r="E978" s="1194" t="s">
        <v>133</v>
      </c>
      <c r="F978" s="242">
        <v>0.71099999999999997</v>
      </c>
      <c r="G978" s="242">
        <f>IF(B978="SEPLAG",VLOOKUP(CONCATENATE("MEDIANA - ",C978),COTAÇÃO,5,FALSE),VLOOKUP($C978,'NAO DESO'!$A:$D,4,))</f>
        <v>47.31</v>
      </c>
      <c r="H978" s="242">
        <f t="shared" ref="H978:H996" si="76">TRUNC(F978*G978,2)</f>
        <v>33.630000000000003</v>
      </c>
      <c r="I978" s="54" t="str">
        <f>IF(B978="SEPLAG",VLOOKUP(CONCATENATE("MEDIANA - ",C978),COTAÇÃO,5,FALSE),VLOOKUP($C978,DESON!$A:$D,4,))</f>
        <v>47,31</v>
      </c>
      <c r="J978" s="209">
        <f t="shared" ref="J978:J996" si="77">TRUNC(F978*I978,2)</f>
        <v>33.630000000000003</v>
      </c>
    </row>
    <row r="979" spans="1:10" ht="15" customHeight="1">
      <c r="A979" s="208" t="s">
        <v>39</v>
      </c>
      <c r="B979" s="241"/>
      <c r="C979" s="241">
        <v>34360</v>
      </c>
      <c r="D979" s="161" t="s">
        <v>7330</v>
      </c>
      <c r="E979" s="1194" t="s">
        <v>133</v>
      </c>
      <c r="F979" s="242">
        <v>0.52700000000000002</v>
      </c>
      <c r="G979" s="242">
        <f>IF(B979="SEPLAG",VLOOKUP(CONCATENATE("MEDIANA - ",C979),COTAÇÃO,5,FALSE),VLOOKUP($C979,'NAO DESO'!$A:$D,4,))</f>
        <v>47.31</v>
      </c>
      <c r="H979" s="242">
        <f t="shared" si="76"/>
        <v>24.93</v>
      </c>
      <c r="I979" s="54" t="str">
        <f>IF(B979="SEPLAG",VLOOKUP(CONCATENATE("MEDIANA - ",C979),COTAÇÃO,5,FALSE),VLOOKUP($C979,DESON!$A:$D,4,))</f>
        <v>47,31</v>
      </c>
      <c r="J979" s="209">
        <f t="shared" si="77"/>
        <v>24.93</v>
      </c>
    </row>
    <row r="980" spans="1:10" ht="15" customHeight="1">
      <c r="A980" s="208" t="s">
        <v>39</v>
      </c>
      <c r="B980" s="241"/>
      <c r="C980" s="241">
        <v>34360</v>
      </c>
      <c r="D980" s="161" t="s">
        <v>7331</v>
      </c>
      <c r="E980" s="1194" t="s">
        <v>133</v>
      </c>
      <c r="F980" s="242">
        <v>2.3330000000000002</v>
      </c>
      <c r="G980" s="242">
        <f>IF(B980="SEPLAG",VLOOKUP(CONCATENATE("MEDIANA - ",C980),COTAÇÃO,5,FALSE),VLOOKUP($C980,'NAO DESO'!$A:$D,4,))</f>
        <v>47.31</v>
      </c>
      <c r="H980" s="242">
        <f t="shared" si="76"/>
        <v>110.37</v>
      </c>
      <c r="I980" s="54" t="str">
        <f>IF(B980="SEPLAG",VLOOKUP(CONCATENATE("MEDIANA - ",C980),COTAÇÃO,5,FALSE),VLOOKUP($C980,DESON!$A:$D,4,))</f>
        <v>47,31</v>
      </c>
      <c r="J980" s="209">
        <f t="shared" si="77"/>
        <v>110.37</v>
      </c>
    </row>
    <row r="981" spans="1:10" ht="15" customHeight="1">
      <c r="A981" s="208" t="s">
        <v>39</v>
      </c>
      <c r="B981" s="241"/>
      <c r="C981" s="241">
        <v>34360</v>
      </c>
      <c r="D981" s="161" t="s">
        <v>7332</v>
      </c>
      <c r="E981" s="1194" t="s">
        <v>133</v>
      </c>
      <c r="F981" s="242">
        <v>0.154</v>
      </c>
      <c r="G981" s="242">
        <f>IF(B981="SEPLAG",VLOOKUP(CONCATENATE("MEDIANA - ",C981),COTAÇÃO,5,FALSE),VLOOKUP($C981,'NAO DESO'!$A:$D,4,))</f>
        <v>47.31</v>
      </c>
      <c r="H981" s="242">
        <f t="shared" si="76"/>
        <v>7.28</v>
      </c>
      <c r="I981" s="54" t="str">
        <f>IF(B981="SEPLAG",VLOOKUP(CONCATENATE("MEDIANA - ",C981),COTAÇÃO,5,FALSE),VLOOKUP($C981,DESON!$A:$D,4,))</f>
        <v>47,31</v>
      </c>
      <c r="J981" s="209">
        <f t="shared" si="77"/>
        <v>7.28</v>
      </c>
    </row>
    <row r="982" spans="1:10" ht="15" customHeight="1">
      <c r="A982" s="208" t="s">
        <v>39</v>
      </c>
      <c r="B982" s="241"/>
      <c r="C982" s="241">
        <v>34360</v>
      </c>
      <c r="D982" s="161" t="s">
        <v>7333</v>
      </c>
      <c r="E982" s="1194" t="s">
        <v>133</v>
      </c>
      <c r="F982" s="242">
        <v>1.107</v>
      </c>
      <c r="G982" s="242">
        <f>IF(B982="SEPLAG",VLOOKUP(CONCATENATE("MEDIANA - ",C982),COTAÇÃO,5,FALSE),VLOOKUP($C982,'NAO DESO'!$A:$D,4,))</f>
        <v>47.31</v>
      </c>
      <c r="H982" s="242">
        <f t="shared" si="76"/>
        <v>52.37</v>
      </c>
      <c r="I982" s="54" t="str">
        <f>IF(B982="SEPLAG",VLOOKUP(CONCATENATE("MEDIANA - ",C982),COTAÇÃO,5,FALSE),VLOOKUP($C982,DESON!$A:$D,4,))</f>
        <v>47,31</v>
      </c>
      <c r="J982" s="209">
        <f t="shared" si="77"/>
        <v>52.37</v>
      </c>
    </row>
    <row r="983" spans="1:10" ht="15" customHeight="1">
      <c r="A983" s="208" t="s">
        <v>39</v>
      </c>
      <c r="B983" s="241" t="s">
        <v>14504</v>
      </c>
      <c r="C983" s="1181" t="s">
        <v>14307</v>
      </c>
      <c r="D983" s="161" t="str">
        <f>IF(B983="SEPLAG",VLOOKUP(COMPOSIÇÕES!C983,'MAPA COMPARATIVO'!A:B,2,FALSE),VLOOKUP(C983,'NAO DESO'!A:B,2,0))</f>
        <v xml:space="preserve">Braço de max-ar linha gold de 600mm </v>
      </c>
      <c r="E983" s="1194" t="s">
        <v>24</v>
      </c>
      <c r="F983" s="242">
        <v>1</v>
      </c>
      <c r="G983" s="242">
        <f>IF(B983="SEPLAG",VLOOKUP(CONCATENATE("MEDIANA - ",C983),COTAÇÃO,5,FALSE),VLOOKUP($C983,'NAO DESO'!$A:$D,4,))</f>
        <v>36.575000000000003</v>
      </c>
      <c r="H983" s="242">
        <f t="shared" si="76"/>
        <v>36.57</v>
      </c>
      <c r="I983" s="54">
        <f>IF(B983="SEPLAG",VLOOKUP(CONCATENATE("MEDIANA - ",C983),COTAÇÃO,5,FALSE),VLOOKUP($C983,DESON!$A:$D,4,))</f>
        <v>36.575000000000003</v>
      </c>
      <c r="J983" s="209">
        <f t="shared" si="77"/>
        <v>36.57</v>
      </c>
    </row>
    <row r="984" spans="1:10" ht="15" customHeight="1">
      <c r="A984" s="208" t="s">
        <v>39</v>
      </c>
      <c r="B984" s="241" t="s">
        <v>14504</v>
      </c>
      <c r="C984" s="1181" t="s">
        <v>14308</v>
      </c>
      <c r="D984" s="161" t="str">
        <f>IF(B984="SEPLAG",VLOOKUP(COMPOSIÇÕES!C984,'MAPA COMPARATIVO'!A:B,2,FALSE),VLOOKUP(C984,'NAO DESO'!A:B,2,0))</f>
        <v>Fecho max-ar linha gold</v>
      </c>
      <c r="E984" s="1194" t="s">
        <v>24</v>
      </c>
      <c r="F984" s="242">
        <v>1</v>
      </c>
      <c r="G984" s="242">
        <f>IF(B984="SEPLAG",VLOOKUP(CONCATENATE("MEDIANA - ",C984),COTAÇÃO,5,FALSE),VLOOKUP($C984,'NAO DESO'!$A:$D,4,))</f>
        <v>47.36</v>
      </c>
      <c r="H984" s="242">
        <f t="shared" si="76"/>
        <v>47.36</v>
      </c>
      <c r="I984" s="54">
        <f>IF(B984="SEPLAG",VLOOKUP(CONCATENATE("MEDIANA - ",C984),COTAÇÃO,5,FALSE),VLOOKUP($C984,DESON!$A:$D,4,))</f>
        <v>47.36</v>
      </c>
      <c r="J984" s="209">
        <f t="shared" si="77"/>
        <v>47.36</v>
      </c>
    </row>
    <row r="985" spans="1:10" ht="15" customHeight="1">
      <c r="A985" s="208" t="s">
        <v>39</v>
      </c>
      <c r="B985" s="241" t="s">
        <v>14504</v>
      </c>
      <c r="C985" s="1181" t="s">
        <v>14309</v>
      </c>
      <c r="D985" s="161" t="str">
        <f>IF(B985="SEPLAG",VLOOKUP(COMPOSIÇÕES!C985,'MAPA COMPARATIVO'!A:B,2,FALSE),VLOOKUP(C985,'NAO DESO'!A:B,2,0))</f>
        <v>Guarnição em EPDM p/ pingadeira</v>
      </c>
      <c r="E985" s="1194" t="s">
        <v>7388</v>
      </c>
      <c r="F985" s="242">
        <v>0.97199999999999998</v>
      </c>
      <c r="G985" s="242">
        <f>IF(B985="SEPLAG",VLOOKUP(CONCATENATE("MEDIANA - ",C985),COTAÇÃO,5,FALSE),VLOOKUP($C985,'NAO DESO'!$A:$D,4,))</f>
        <v>4.3849999999999998</v>
      </c>
      <c r="H985" s="242">
        <f t="shared" si="76"/>
        <v>4.26</v>
      </c>
      <c r="I985" s="54">
        <f>IF(B985="SEPLAG",VLOOKUP(CONCATENATE("MEDIANA - ",C985),COTAÇÃO,5,FALSE),VLOOKUP($C985,DESON!$A:$D,4,))</f>
        <v>4.3849999999999998</v>
      </c>
      <c r="J985" s="209">
        <f t="shared" si="77"/>
        <v>4.26</v>
      </c>
    </row>
    <row r="986" spans="1:10" ht="15" customHeight="1">
      <c r="A986" s="208" t="s">
        <v>39</v>
      </c>
      <c r="B986" s="241" t="s">
        <v>14504</v>
      </c>
      <c r="C986" s="1181" t="s">
        <v>14310</v>
      </c>
      <c r="D986" s="161" t="str">
        <f>IF(B986="SEPLAG",VLOOKUP(COMPOSIÇÕES!C986,'MAPA COMPARATIVO'!A:B,2,FALSE),VLOOKUP(C986,'NAO DESO'!A:B,2,0))</f>
        <v>Guarnição em EPDM para vidro</v>
      </c>
      <c r="E986" s="1194" t="s">
        <v>250</v>
      </c>
      <c r="F986" s="242">
        <v>7.21</v>
      </c>
      <c r="G986" s="242">
        <f>IF(B986="SEPLAG",VLOOKUP(CONCATENATE("MEDIANA - ",C986),COTAÇÃO,5,FALSE),VLOOKUP($C986,'NAO DESO'!$A:$D,4,))</f>
        <v>2.4091999999999998</v>
      </c>
      <c r="H986" s="242">
        <f t="shared" si="76"/>
        <v>17.37</v>
      </c>
      <c r="I986" s="54">
        <f>IF(B986="SEPLAG",VLOOKUP(CONCATENATE("MEDIANA - ",C986),COTAÇÃO,5,FALSE),VLOOKUP($C986,DESON!$A:$D,4,))</f>
        <v>2.4091999999999998</v>
      </c>
      <c r="J986" s="209">
        <f t="shared" si="77"/>
        <v>17.37</v>
      </c>
    </row>
    <row r="987" spans="1:10" ht="15" customHeight="1">
      <c r="A987" s="208" t="s">
        <v>39</v>
      </c>
      <c r="B987" s="241" t="s">
        <v>14504</v>
      </c>
      <c r="C987" s="1181" t="s">
        <v>14311</v>
      </c>
      <c r="D987" s="161" t="str">
        <f>IF(B987="SEPLAG",VLOOKUP(COMPOSIÇÕES!C987,'MAPA COMPARATIVO'!A:B,2,FALSE),VLOOKUP(C987,'NAO DESO'!A:B,2,0))</f>
        <v>Espuma adesiva 1 face</v>
      </c>
      <c r="E987" s="1194" t="s">
        <v>250</v>
      </c>
      <c r="F987" s="242">
        <v>7.21</v>
      </c>
      <c r="G987" s="242">
        <f>IF(B987="SEPLAG",VLOOKUP(CONCATENATE("MEDIANA - ",C987),COTAÇÃO,5,FALSE),VLOOKUP($C987,'NAO DESO'!$A:$D,4,))</f>
        <v>2.1800000000000002</v>
      </c>
      <c r="H987" s="242">
        <f t="shared" si="76"/>
        <v>15.71</v>
      </c>
      <c r="I987" s="54">
        <f>IF(B987="SEPLAG",VLOOKUP(CONCATENATE("MEDIANA - ",C987),COTAÇÃO,5,FALSE),VLOOKUP($C987,DESON!$A:$D,4,))</f>
        <v>2.1800000000000002</v>
      </c>
      <c r="J987" s="209">
        <f t="shared" si="77"/>
        <v>15.71</v>
      </c>
    </row>
    <row r="988" spans="1:10" ht="15" customHeight="1">
      <c r="A988" s="208" t="s">
        <v>39</v>
      </c>
      <c r="B988" s="241" t="s">
        <v>14504</v>
      </c>
      <c r="C988" s="1181" t="s">
        <v>14312</v>
      </c>
      <c r="D988" s="161" t="str">
        <f>IF(B988="SEPLAG",VLOOKUP(COMPOSIÇÕES!C988,'MAPA COMPARATIVO'!A:B,2,FALSE),VLOOKUP(C988,'NAO DESO'!A:B,2,0))</f>
        <v>Guarnição em EPDM p/ marco max-ar</v>
      </c>
      <c r="E988" s="1194" t="s">
        <v>250</v>
      </c>
      <c r="F988" s="242">
        <v>9.01</v>
      </c>
      <c r="G988" s="242">
        <f>IF(B988="SEPLAG",VLOOKUP(CONCATENATE("MEDIANA - ",C988),COTAÇÃO,5,FALSE),VLOOKUP($C988,'NAO DESO'!$A:$D,4,))</f>
        <v>3.8138999999999998</v>
      </c>
      <c r="H988" s="242">
        <f t="shared" si="76"/>
        <v>34.36</v>
      </c>
      <c r="I988" s="54">
        <f>IF(B988="SEPLAG",VLOOKUP(CONCATENATE("MEDIANA - ",C988),COTAÇÃO,5,FALSE),VLOOKUP($C988,DESON!$A:$D,4,))</f>
        <v>3.8138999999999998</v>
      </c>
      <c r="J988" s="209">
        <f t="shared" si="77"/>
        <v>34.36</v>
      </c>
    </row>
    <row r="989" spans="1:10" ht="15" customHeight="1">
      <c r="A989" s="208" t="s">
        <v>39</v>
      </c>
      <c r="B989" s="241" t="s">
        <v>14504</v>
      </c>
      <c r="C989" s="1181" t="s">
        <v>14313</v>
      </c>
      <c r="D989" s="161" t="str">
        <f>IF(B989="SEPLAG",VLOOKUP(COMPOSIÇÕES!C989,'MAPA COMPARATIVO'!A:B,2,FALSE),VLOOKUP(C989,'NAO DESO'!A:B,2,0))</f>
        <v>PRESILHA DE FIXAÇÃO DO ARREMATE MP-347</v>
      </c>
      <c r="E989" s="1194" t="s">
        <v>24</v>
      </c>
      <c r="F989" s="242">
        <v>16</v>
      </c>
      <c r="G989" s="242">
        <f>IF(B989="SEPLAG",VLOOKUP(CONCATENATE("MEDIANA - ",C989),COTAÇÃO,5,FALSE),VLOOKUP($C989,'NAO DESO'!$A:$D,4,))</f>
        <v>0.34</v>
      </c>
      <c r="H989" s="242">
        <f t="shared" si="76"/>
        <v>5.44</v>
      </c>
      <c r="I989" s="54">
        <f>IF(B989="SEPLAG",VLOOKUP(CONCATENATE("MEDIANA - ",C989),COTAÇÃO,5,FALSE),VLOOKUP($C989,DESON!$A:$D,4,))</f>
        <v>0.34</v>
      </c>
      <c r="J989" s="209">
        <f t="shared" si="77"/>
        <v>5.44</v>
      </c>
    </row>
    <row r="990" spans="1:10" ht="15" customHeight="1">
      <c r="A990" s="208" t="s">
        <v>39</v>
      </c>
      <c r="B990" s="241" t="s">
        <v>14504</v>
      </c>
      <c r="C990" s="1181" t="s">
        <v>14314</v>
      </c>
      <c r="D990" s="161" t="str">
        <f>IF(B990="SEPLAG",VLOOKUP(COMPOSIÇÕES!C990,'MAPA COMPARATIVO'!A:B,2,FALSE),VLOOKUP(C990,'NAO DESO'!A:B,2,0))</f>
        <v>Parafuso zincado phillips flangeado autobrocante 4,2 x 16mm</v>
      </c>
      <c r="E990" s="1194" t="s">
        <v>24</v>
      </c>
      <c r="F990" s="242">
        <v>16</v>
      </c>
      <c r="G990" s="242">
        <f>IF(B990="SEPLAG",VLOOKUP(CONCATENATE("MEDIANA - ",C990),COTAÇÃO,5,FALSE),VLOOKUP($C990,'NAO DESO'!$A:$D,4,))</f>
        <v>0.28000000000000003</v>
      </c>
      <c r="H990" s="242">
        <f t="shared" si="76"/>
        <v>4.4800000000000004</v>
      </c>
      <c r="I990" s="54">
        <f>IF(B990="SEPLAG",VLOOKUP(CONCATENATE("MEDIANA - ",C990),COTAÇÃO,5,FALSE),VLOOKUP($C990,DESON!$A:$D,4,))</f>
        <v>0.28000000000000003</v>
      </c>
      <c r="J990" s="209">
        <f t="shared" si="77"/>
        <v>4.4800000000000004</v>
      </c>
    </row>
    <row r="991" spans="1:10" ht="15" customHeight="1">
      <c r="A991" s="208" t="s">
        <v>39</v>
      </c>
      <c r="B991" s="241" t="s">
        <v>14504</v>
      </c>
      <c r="C991" s="1181" t="s">
        <v>14315</v>
      </c>
      <c r="D991" s="161" t="str">
        <f>IF(B991="SEPLAG",VLOOKUP(COMPOSIÇÕES!C991,'MAPA COMPARATIVO'!A:B,2,FALSE),VLOOKUP(C991,'NAO DESO'!A:B,2,0))</f>
        <v>PARAF. PANELA PHILIPS INOX 4,8 X32 PONTA PILOTO</v>
      </c>
      <c r="E991" s="1194" t="s">
        <v>24</v>
      </c>
      <c r="F991" s="242">
        <v>4</v>
      </c>
      <c r="G991" s="242">
        <f>IF(B991="SEPLAG",VLOOKUP(CONCATENATE("MEDIANA - ",C991),COTAÇÃO,5,FALSE),VLOOKUP($C991,'NAO DESO'!$A:$D,4,))</f>
        <v>0.95</v>
      </c>
      <c r="H991" s="242">
        <f t="shared" si="76"/>
        <v>3.8</v>
      </c>
      <c r="I991" s="54">
        <f>IF(B991="SEPLAG",VLOOKUP(CONCATENATE("MEDIANA - ",C991),COTAÇÃO,5,FALSE),VLOOKUP($C991,DESON!$A:$D,4,))</f>
        <v>0.95</v>
      </c>
      <c r="J991" s="209">
        <f t="shared" si="77"/>
        <v>3.8</v>
      </c>
    </row>
    <row r="992" spans="1:10" ht="15" customHeight="1">
      <c r="A992" s="208" t="s">
        <v>39</v>
      </c>
      <c r="B992" s="241" t="s">
        <v>14504</v>
      </c>
      <c r="C992" s="1181" t="s">
        <v>14316</v>
      </c>
      <c r="D992" s="161" t="str">
        <f>IF(B992="SEPLAG",VLOOKUP(COMPOSIÇÕES!C992,'MAPA COMPARATIVO'!A:B,2,FALSE),VLOOKUP(C992,'NAO DESO'!A:B,2,0))</f>
        <v>CHUMBADOR DE CM-063/060</v>
      </c>
      <c r="E992" s="1194" t="s">
        <v>24</v>
      </c>
      <c r="F992" s="242">
        <v>16</v>
      </c>
      <c r="G992" s="242">
        <f>IF(B992="SEPLAG",VLOOKUP(CONCATENATE("MEDIANA - ",C992),COTAÇÃO,5,FALSE),VLOOKUP($C992,'NAO DESO'!$A:$D,4,))</f>
        <v>0.86</v>
      </c>
      <c r="H992" s="242">
        <f t="shared" si="76"/>
        <v>13.76</v>
      </c>
      <c r="I992" s="54">
        <f>IF(B992="SEPLAG",VLOOKUP(CONCATENATE("MEDIANA - ",C992),COTAÇÃO,5,FALSE),VLOOKUP($C992,DESON!$A:$D,4,))</f>
        <v>0.86</v>
      </c>
      <c r="J992" s="209">
        <f t="shared" si="77"/>
        <v>13.76</v>
      </c>
    </row>
    <row r="993" spans="1:10" ht="15" customHeight="1">
      <c r="A993" s="208" t="s">
        <v>39</v>
      </c>
      <c r="B993" s="241" t="s">
        <v>14504</v>
      </c>
      <c r="C993" s="1181" t="s">
        <v>14317</v>
      </c>
      <c r="D993" s="161" t="str">
        <f>IF(B993="SEPLAG",VLOOKUP(COMPOSIÇÕES!C993,'MAPA COMPARATIVO'!A:B,2,FALSE),VLOOKUP(C993,'NAO DESO'!A:B,2,0))</f>
        <v>Silicone neutro incolor 280 g</v>
      </c>
      <c r="E993" s="1194" t="s">
        <v>24</v>
      </c>
      <c r="F993" s="242">
        <v>1.5</v>
      </c>
      <c r="G993" s="242">
        <f>IF(B993="SEPLAG",VLOOKUP(CONCATENATE("MEDIANA - ",C993),COTAÇÃO,5,FALSE),VLOOKUP($C993,'NAO DESO'!$A:$D,4,))</f>
        <v>43.9</v>
      </c>
      <c r="H993" s="242">
        <f t="shared" si="76"/>
        <v>65.849999999999994</v>
      </c>
      <c r="I993" s="54">
        <f>IF(B993="SEPLAG",VLOOKUP(CONCATENATE("MEDIANA - ",C993),COTAÇÃO,5,FALSE),VLOOKUP($C993,DESON!$A:$D,4,))</f>
        <v>43.9</v>
      </c>
      <c r="J993" s="209">
        <f t="shared" si="77"/>
        <v>65.849999999999994</v>
      </c>
    </row>
    <row r="994" spans="1:10" ht="15" customHeight="1">
      <c r="A994" s="208" t="s">
        <v>245</v>
      </c>
      <c r="B994" s="241"/>
      <c r="C994" s="1181">
        <v>10505</v>
      </c>
      <c r="D994" s="161" t="str">
        <f>IF(B994="SEPLAG",VLOOKUP(COMPOSIÇÕES!C994,'MAPA COMPARATIVO'!A:B,2,FALSE),VLOOKUP(C994,'NAO DESO'!A:B,2,0))</f>
        <v>VIDRO TEMPERADO INCOLOR E = 6 MM, SEM COLOCACAO</v>
      </c>
      <c r="E994" s="241" t="str">
        <f>VLOOKUP($C994,'NAO DESO'!$A:$D,3,)</f>
        <v xml:space="preserve">M2    </v>
      </c>
      <c r="F994" s="242">
        <v>1.1000000000000001</v>
      </c>
      <c r="G994" s="242">
        <f>IF(B994="SEPLAG",VLOOKUP(CONCATENATE("MEDIANA - ",C994),COTAÇÃO,5,FALSE),VLOOKUP($C994,'NAO DESO'!$A:$D,4,))</f>
        <v>272.77</v>
      </c>
      <c r="H994" s="242">
        <f t="shared" si="76"/>
        <v>300.04000000000002</v>
      </c>
      <c r="I994" s="54" t="str">
        <f>IF(B994="SEPLAG",VLOOKUP(CONCATENATE("MEDIANA - ",C994),COTAÇÃO,5,FALSE),VLOOKUP($C994,DESON!$A:$D,4,))</f>
        <v>272,77</v>
      </c>
      <c r="J994" s="209">
        <f t="shared" si="77"/>
        <v>300.04000000000002</v>
      </c>
    </row>
    <row r="995" spans="1:10" ht="15" customHeight="1">
      <c r="A995" s="208" t="s">
        <v>245</v>
      </c>
      <c r="B995" s="241"/>
      <c r="C995" s="1181">
        <v>88315</v>
      </c>
      <c r="D995" s="161" t="str">
        <f>IF(B995="SEPLAG",VLOOKUP(COMPOSIÇÕES!C995,'MAPA COMPARATIVO'!A:B,2,FALSE),VLOOKUP(C995,'NAO DESO'!A:B,2,0))</f>
        <v>SERRALHEIRO COM ENCARGOS COMPLEMENTARES</v>
      </c>
      <c r="E995" s="241" t="str">
        <f>VLOOKUP($C995,'NAO DESO'!$A:$D,3,)</f>
        <v>H</v>
      </c>
      <c r="F995" s="242">
        <v>3.59</v>
      </c>
      <c r="G995" s="242" t="str">
        <f>IF(B995="SEPLAG",VLOOKUP(CONCATENATE("MEDIANA - ",C995),COTAÇÃO,5,FALSE),VLOOKUP($C995,'NAO DESO'!$A:$D,4,))</f>
        <v>20,97</v>
      </c>
      <c r="H995" s="242">
        <f t="shared" si="76"/>
        <v>75.28</v>
      </c>
      <c r="I995" s="54" t="str">
        <f>IF(B995="SEPLAG",VLOOKUP(CONCATENATE("MEDIANA - ",C995),COTAÇÃO,5,FALSE),VLOOKUP($C995,DESON!$A:$D,4,))</f>
        <v>18,75</v>
      </c>
      <c r="J995" s="209">
        <f t="shared" si="77"/>
        <v>67.31</v>
      </c>
    </row>
    <row r="996" spans="1:10" ht="15" customHeight="1">
      <c r="A996" s="208" t="s">
        <v>245</v>
      </c>
      <c r="B996" s="241"/>
      <c r="C996" s="1181">
        <v>88316</v>
      </c>
      <c r="D996" s="161" t="str">
        <f>IF(B996="SEPLAG",VLOOKUP(COMPOSIÇÕES!C996,'MAPA COMPARATIVO'!A:B,2,FALSE),VLOOKUP(C996,'NAO DESO'!A:B,2,0))</f>
        <v>SERVENTE COM ENCARGOS COMPLEMENTARES</v>
      </c>
      <c r="E996" s="241" t="str">
        <f>VLOOKUP($C996,'NAO DESO'!$A:$D,3,)</f>
        <v>H</v>
      </c>
      <c r="F996" s="242">
        <v>3.59</v>
      </c>
      <c r="G996" s="242" t="str">
        <f>IF(B996="SEPLAG",VLOOKUP(CONCATENATE("MEDIANA - ",C996),COTAÇÃO,5,FALSE),VLOOKUP($C996,'NAO DESO'!$A:$D,4,))</f>
        <v>16,83</v>
      </c>
      <c r="H996" s="242">
        <f t="shared" si="76"/>
        <v>60.41</v>
      </c>
      <c r="I996" s="54" t="str">
        <f>IF(B996="SEPLAG",VLOOKUP(CONCATENATE("MEDIANA - ",C996),COTAÇÃO,5,FALSE),VLOOKUP($C996,DESON!$A:$D,4,))</f>
        <v>15,16</v>
      </c>
      <c r="J996" s="209">
        <f t="shared" si="77"/>
        <v>54.42</v>
      </c>
    </row>
    <row r="997" spans="1:10" ht="15" customHeight="1">
      <c r="A997" s="210" t="str">
        <f>CONCATENATE("TOTAL DO ITEM NÃO DESON. - ",C970)</f>
        <v>TOTAL DO ITEM NÃO DESON. - SEPLAG  ARQ 76</v>
      </c>
      <c r="B997" s="424"/>
      <c r="C997" s="424"/>
      <c r="D997" s="424"/>
      <c r="E997" s="424"/>
      <c r="F997" s="425"/>
      <c r="G997" s="426"/>
      <c r="H997" s="1182">
        <f>SUM(H972:H996)</f>
        <v>1159.0600000000002</v>
      </c>
      <c r="I997" s="214"/>
      <c r="J997" s="215"/>
    </row>
    <row r="998" spans="1:10" ht="15.75" customHeight="1" thickBot="1">
      <c r="A998" s="216" t="str">
        <f>CONCATENATE("TOTAL DO ITEM DESON. - ",C970)</f>
        <v>TOTAL DO ITEM DESON. - SEPLAG  ARQ 76</v>
      </c>
      <c r="B998" s="427"/>
      <c r="C998" s="427"/>
      <c r="D998" s="427"/>
      <c r="E998" s="427"/>
      <c r="F998" s="428"/>
      <c r="G998" s="429"/>
      <c r="H998" s="1187"/>
      <c r="I998" s="229"/>
      <c r="J998" s="219">
        <f>SUM(J972:J996)</f>
        <v>1145.1000000000001</v>
      </c>
    </row>
    <row r="999" spans="1:10" ht="15" customHeight="1" thickBot="1">
      <c r="A999" s="235"/>
      <c r="B999" s="1135"/>
      <c r="C999" s="1135"/>
      <c r="D999" s="1135"/>
      <c r="E999" s="1135"/>
      <c r="F999" s="1188"/>
      <c r="G999" s="1188"/>
      <c r="H999" s="1188"/>
      <c r="I999" s="236"/>
      <c r="J999" s="237"/>
    </row>
    <row r="1000" spans="1:10" ht="24.75" customHeight="1">
      <c r="A1000" s="198"/>
      <c r="B1000" s="1175"/>
      <c r="C1000" s="1176" t="s">
        <v>7365</v>
      </c>
      <c r="D1000" s="156" t="s">
        <v>7625</v>
      </c>
      <c r="E1000" s="1176" t="s">
        <v>32</v>
      </c>
      <c r="F1000" s="1177" t="s">
        <v>18</v>
      </c>
      <c r="G1000" s="1178" t="s">
        <v>7017</v>
      </c>
      <c r="H1000" s="1179"/>
      <c r="I1000" s="200" t="s">
        <v>7016</v>
      </c>
      <c r="J1000" s="201"/>
    </row>
    <row r="1001" spans="1:10" ht="15" customHeight="1">
      <c r="A1001" s="233"/>
      <c r="B1001" s="247"/>
      <c r="C1001" s="1155"/>
      <c r="D1001" s="157"/>
      <c r="E1001" s="1155"/>
      <c r="F1001" s="1180"/>
      <c r="G1001" s="1180" t="s">
        <v>19</v>
      </c>
      <c r="H1001" s="1180" t="s">
        <v>20</v>
      </c>
      <c r="I1001" s="205" t="s">
        <v>19</v>
      </c>
      <c r="J1001" s="206" t="s">
        <v>20</v>
      </c>
    </row>
    <row r="1002" spans="1:10" ht="15" customHeight="1">
      <c r="A1002" s="208" t="s">
        <v>39</v>
      </c>
      <c r="B1002" s="241"/>
      <c r="C1002" s="241">
        <v>34360</v>
      </c>
      <c r="D1002" s="161" t="s">
        <v>7323</v>
      </c>
      <c r="E1002" s="1194" t="s">
        <v>133</v>
      </c>
      <c r="F1002" s="242">
        <v>3.3470000000000004</v>
      </c>
      <c r="G1002" s="242">
        <f>IF(B1002="SEPLAG",VLOOKUP(CONCATENATE("MEDIANA - ",C1002),COTAÇÃO,5,FALSE),VLOOKUP($C1002,'NAO DESO'!$A:$D,4,))</f>
        <v>47.31</v>
      </c>
      <c r="H1002" s="242">
        <f t="shared" ref="H1002:H1026" si="78">TRUNC(F1002*G1002,2)</f>
        <v>158.34</v>
      </c>
      <c r="I1002" s="54" t="str">
        <f>IF(B1002="SEPLAG",VLOOKUP(CONCATENATE("MEDIANA - ",C1002),COTAÇÃO,5,FALSE),VLOOKUP($C1002,DESON!$A:$D,4,))</f>
        <v>47,31</v>
      </c>
      <c r="J1002" s="209">
        <f t="shared" ref="J1002:J1026" si="79">TRUNC(F1002*I1002,2)</f>
        <v>158.34</v>
      </c>
    </row>
    <row r="1003" spans="1:10" ht="15" customHeight="1">
      <c r="A1003" s="208" t="s">
        <v>39</v>
      </c>
      <c r="B1003" s="241"/>
      <c r="C1003" s="241">
        <v>34360</v>
      </c>
      <c r="D1003" s="161" t="s">
        <v>7324</v>
      </c>
      <c r="E1003" s="1194" t="s">
        <v>133</v>
      </c>
      <c r="F1003" s="242">
        <v>0.873</v>
      </c>
      <c r="G1003" s="242">
        <f>IF(B1003="SEPLAG",VLOOKUP(CONCATENATE("MEDIANA - ",C1003),COTAÇÃO,5,FALSE),VLOOKUP($C1003,'NAO DESO'!$A:$D,4,))</f>
        <v>47.31</v>
      </c>
      <c r="H1003" s="242">
        <f t="shared" si="78"/>
        <v>41.3</v>
      </c>
      <c r="I1003" s="54" t="str">
        <f>IF(B1003="SEPLAG",VLOOKUP(CONCATENATE("MEDIANA - ",C1003),COTAÇÃO,5,FALSE),VLOOKUP($C1003,DESON!$A:$D,4,))</f>
        <v>47,31</v>
      </c>
      <c r="J1003" s="209">
        <f t="shared" si="79"/>
        <v>41.3</v>
      </c>
    </row>
    <row r="1004" spans="1:10" ht="15" customHeight="1">
      <c r="A1004" s="208" t="s">
        <v>39</v>
      </c>
      <c r="B1004" s="241"/>
      <c r="C1004" s="241">
        <v>34360</v>
      </c>
      <c r="D1004" s="161" t="s">
        <v>7325</v>
      </c>
      <c r="E1004" s="1194" t="s">
        <v>133</v>
      </c>
      <c r="F1004" s="242">
        <v>0.34499999999999997</v>
      </c>
      <c r="G1004" s="242">
        <f>IF(B1004="SEPLAG",VLOOKUP(CONCATENATE("MEDIANA - ",C1004),COTAÇÃO,5,FALSE),VLOOKUP($C1004,'NAO DESO'!$A:$D,4,))</f>
        <v>47.31</v>
      </c>
      <c r="H1004" s="242">
        <f t="shared" si="78"/>
        <v>16.32</v>
      </c>
      <c r="I1004" s="54" t="str">
        <f>IF(B1004="SEPLAG",VLOOKUP(CONCATENATE("MEDIANA - ",C1004),COTAÇÃO,5,FALSE),VLOOKUP($C1004,DESON!$A:$D,4,))</f>
        <v>47,31</v>
      </c>
      <c r="J1004" s="209">
        <f t="shared" si="79"/>
        <v>16.32</v>
      </c>
    </row>
    <row r="1005" spans="1:10" ht="15" customHeight="1">
      <c r="A1005" s="208" t="s">
        <v>39</v>
      </c>
      <c r="B1005" s="241"/>
      <c r="C1005" s="241">
        <v>34360</v>
      </c>
      <c r="D1005" s="161" t="s">
        <v>7326</v>
      </c>
      <c r="E1005" s="1194" t="s">
        <v>133</v>
      </c>
      <c r="F1005" s="242">
        <v>2.1619999999999999</v>
      </c>
      <c r="G1005" s="242">
        <f>IF(B1005="SEPLAG",VLOOKUP(CONCATENATE("MEDIANA - ",C1005),COTAÇÃO,5,FALSE),VLOOKUP($C1005,'NAO DESO'!$A:$D,4,))</f>
        <v>47.31</v>
      </c>
      <c r="H1005" s="242">
        <f t="shared" si="78"/>
        <v>102.28</v>
      </c>
      <c r="I1005" s="54" t="str">
        <f>IF(B1005="SEPLAG",VLOOKUP(CONCATENATE("MEDIANA - ",C1005),COTAÇÃO,5,FALSE),VLOOKUP($C1005,DESON!$A:$D,4,))</f>
        <v>47,31</v>
      </c>
      <c r="J1005" s="209">
        <f t="shared" si="79"/>
        <v>102.28</v>
      </c>
    </row>
    <row r="1006" spans="1:10" ht="15" customHeight="1">
      <c r="A1006" s="208" t="s">
        <v>39</v>
      </c>
      <c r="B1006" s="241"/>
      <c r="C1006" s="241">
        <v>34360</v>
      </c>
      <c r="D1006" s="161" t="s">
        <v>7327</v>
      </c>
      <c r="E1006" s="1194" t="s">
        <v>133</v>
      </c>
      <c r="F1006" s="242">
        <v>3.762</v>
      </c>
      <c r="G1006" s="242">
        <f>IF(B1006="SEPLAG",VLOOKUP(CONCATENATE("MEDIANA - ",C1006),COTAÇÃO,5,FALSE),VLOOKUP($C1006,'NAO DESO'!$A:$D,4,))</f>
        <v>47.31</v>
      </c>
      <c r="H1006" s="242">
        <f t="shared" si="78"/>
        <v>177.98</v>
      </c>
      <c r="I1006" s="54" t="str">
        <f>IF(B1006="SEPLAG",VLOOKUP(CONCATENATE("MEDIANA - ",C1006),COTAÇÃO,5,FALSE),VLOOKUP($C1006,DESON!$A:$D,4,))</f>
        <v>47,31</v>
      </c>
      <c r="J1006" s="209">
        <f t="shared" si="79"/>
        <v>177.98</v>
      </c>
    </row>
    <row r="1007" spans="1:10" ht="15" customHeight="1">
      <c r="A1007" s="208" t="s">
        <v>39</v>
      </c>
      <c r="B1007" s="241"/>
      <c r="C1007" s="241">
        <v>34360</v>
      </c>
      <c r="D1007" s="161" t="s">
        <v>7328</v>
      </c>
      <c r="E1007" s="1194" t="s">
        <v>133</v>
      </c>
      <c r="F1007" s="242">
        <v>2.4790000000000001</v>
      </c>
      <c r="G1007" s="242">
        <f>IF(B1007="SEPLAG",VLOOKUP(CONCATENATE("MEDIANA - ",C1007),COTAÇÃO,5,FALSE),VLOOKUP($C1007,'NAO DESO'!$A:$D,4,))</f>
        <v>47.31</v>
      </c>
      <c r="H1007" s="242">
        <f t="shared" si="78"/>
        <v>117.28</v>
      </c>
      <c r="I1007" s="54" t="str">
        <f>IF(B1007="SEPLAG",VLOOKUP(CONCATENATE("MEDIANA - ",C1007),COTAÇÃO,5,FALSE),VLOOKUP($C1007,DESON!$A:$D,4,))</f>
        <v>47,31</v>
      </c>
      <c r="J1007" s="209">
        <f t="shared" si="79"/>
        <v>117.28</v>
      </c>
    </row>
    <row r="1008" spans="1:10" ht="15" customHeight="1">
      <c r="A1008" s="208" t="s">
        <v>39</v>
      </c>
      <c r="B1008" s="241"/>
      <c r="C1008" s="241">
        <v>34360</v>
      </c>
      <c r="D1008" s="161" t="s">
        <v>7329</v>
      </c>
      <c r="E1008" s="1194" t="s">
        <v>133</v>
      </c>
      <c r="F1008" s="242">
        <v>2.1920000000000002</v>
      </c>
      <c r="G1008" s="242">
        <f>IF(B1008="SEPLAG",VLOOKUP(CONCATENATE("MEDIANA - ",C1008),COTAÇÃO,5,FALSE),VLOOKUP($C1008,'NAO DESO'!$A:$D,4,))</f>
        <v>47.31</v>
      </c>
      <c r="H1008" s="242">
        <f t="shared" si="78"/>
        <v>103.7</v>
      </c>
      <c r="I1008" s="54" t="str">
        <f>IF(B1008="SEPLAG",VLOOKUP(CONCATENATE("MEDIANA - ",C1008),COTAÇÃO,5,FALSE),VLOOKUP($C1008,DESON!$A:$D,4,))</f>
        <v>47,31</v>
      </c>
      <c r="J1008" s="209">
        <f t="shared" si="79"/>
        <v>103.7</v>
      </c>
    </row>
    <row r="1009" spans="1:10" ht="15" customHeight="1">
      <c r="A1009" s="208" t="s">
        <v>39</v>
      </c>
      <c r="B1009" s="241"/>
      <c r="C1009" s="241">
        <v>34360</v>
      </c>
      <c r="D1009" s="161" t="s">
        <v>7330</v>
      </c>
      <c r="E1009" s="1194" t="s">
        <v>133</v>
      </c>
      <c r="F1009" s="242">
        <v>1.6040000000000001</v>
      </c>
      <c r="G1009" s="242">
        <f>IF(B1009="SEPLAG",VLOOKUP(CONCATENATE("MEDIANA - ",C1009),COTAÇÃO,5,FALSE),VLOOKUP($C1009,'NAO DESO'!$A:$D,4,))</f>
        <v>47.31</v>
      </c>
      <c r="H1009" s="242">
        <f t="shared" si="78"/>
        <v>75.88</v>
      </c>
      <c r="I1009" s="54" t="str">
        <f>IF(B1009="SEPLAG",VLOOKUP(CONCATENATE("MEDIANA - ",C1009),COTAÇÃO,5,FALSE),VLOOKUP($C1009,DESON!$A:$D,4,))</f>
        <v>47,31</v>
      </c>
      <c r="J1009" s="209">
        <f t="shared" si="79"/>
        <v>75.88</v>
      </c>
    </row>
    <row r="1010" spans="1:10" ht="15" customHeight="1">
      <c r="A1010" s="208" t="s">
        <v>39</v>
      </c>
      <c r="B1010" s="241"/>
      <c r="C1010" s="241">
        <v>34360</v>
      </c>
      <c r="D1010" s="161" t="s">
        <v>7331</v>
      </c>
      <c r="E1010" s="1194" t="s">
        <v>133</v>
      </c>
      <c r="F1010" s="242">
        <v>7.0760000000000005</v>
      </c>
      <c r="G1010" s="242">
        <f>IF(B1010="SEPLAG",VLOOKUP(CONCATENATE("MEDIANA - ",C1010),COTAÇÃO,5,FALSE),VLOOKUP($C1010,'NAO DESO'!$A:$D,4,))</f>
        <v>47.31</v>
      </c>
      <c r="H1010" s="242">
        <f t="shared" si="78"/>
        <v>334.76</v>
      </c>
      <c r="I1010" s="54" t="str">
        <f>IF(B1010="SEPLAG",VLOOKUP(CONCATENATE("MEDIANA - ",C1010),COTAÇÃO,5,FALSE),VLOOKUP($C1010,DESON!$A:$D,4,))</f>
        <v>47,31</v>
      </c>
      <c r="J1010" s="209">
        <f t="shared" si="79"/>
        <v>334.76</v>
      </c>
    </row>
    <row r="1011" spans="1:10" ht="15" customHeight="1">
      <c r="A1011" s="208" t="s">
        <v>39</v>
      </c>
      <c r="B1011" s="241"/>
      <c r="C1011" s="241">
        <v>34360</v>
      </c>
      <c r="D1011" s="161" t="s">
        <v>7332</v>
      </c>
      <c r="E1011" s="1194" t="s">
        <v>133</v>
      </c>
      <c r="F1011" s="242">
        <v>0.47</v>
      </c>
      <c r="G1011" s="242">
        <f>IF(B1011="SEPLAG",VLOOKUP(CONCATENATE("MEDIANA - ",C1011),COTAÇÃO,5,FALSE),VLOOKUP($C1011,'NAO DESO'!$A:$D,4,))</f>
        <v>47.31</v>
      </c>
      <c r="H1011" s="242">
        <f t="shared" si="78"/>
        <v>22.23</v>
      </c>
      <c r="I1011" s="54" t="str">
        <f>IF(B1011="SEPLAG",VLOOKUP(CONCATENATE("MEDIANA - ",C1011),COTAÇÃO,5,FALSE),VLOOKUP($C1011,DESON!$A:$D,4,))</f>
        <v>47,31</v>
      </c>
      <c r="J1011" s="209">
        <f t="shared" si="79"/>
        <v>22.23</v>
      </c>
    </row>
    <row r="1012" spans="1:10" ht="15" customHeight="1">
      <c r="A1012" s="208" t="s">
        <v>39</v>
      </c>
      <c r="B1012" s="241"/>
      <c r="C1012" s="241">
        <v>34360</v>
      </c>
      <c r="D1012" s="161" t="s">
        <v>7333</v>
      </c>
      <c r="E1012" s="1194" t="s">
        <v>133</v>
      </c>
      <c r="F1012" s="242">
        <v>1.915</v>
      </c>
      <c r="G1012" s="242">
        <f>IF(B1012="SEPLAG",VLOOKUP(CONCATENATE("MEDIANA - ",C1012),COTAÇÃO,5,FALSE),VLOOKUP($C1012,'NAO DESO'!$A:$D,4,))</f>
        <v>47.31</v>
      </c>
      <c r="H1012" s="242">
        <f t="shared" si="78"/>
        <v>90.59</v>
      </c>
      <c r="I1012" s="54" t="str">
        <f>IF(B1012="SEPLAG",VLOOKUP(CONCATENATE("MEDIANA - ",C1012),COTAÇÃO,5,FALSE),VLOOKUP($C1012,DESON!$A:$D,4,))</f>
        <v>47,31</v>
      </c>
      <c r="J1012" s="209">
        <f t="shared" si="79"/>
        <v>90.59</v>
      </c>
    </row>
    <row r="1013" spans="1:10" ht="15" customHeight="1">
      <c r="A1013" s="208" t="s">
        <v>39</v>
      </c>
      <c r="B1013" s="241" t="s">
        <v>14504</v>
      </c>
      <c r="C1013" s="1181" t="s">
        <v>14307</v>
      </c>
      <c r="D1013" s="161" t="str">
        <f>IF(B1013="SEPLAG",VLOOKUP(COMPOSIÇÕES!C1013,'MAPA COMPARATIVO'!A:B,2,FALSE),VLOOKUP(C1013,'NAO DESO'!A:B,2,0))</f>
        <v xml:space="preserve">Braço de max-ar linha gold de 600mm </v>
      </c>
      <c r="E1013" s="1194" t="s">
        <v>24</v>
      </c>
      <c r="F1013" s="242">
        <v>3</v>
      </c>
      <c r="G1013" s="242">
        <f>IF(B1013="SEPLAG",VLOOKUP(CONCATENATE("MEDIANA - ",C1013),COTAÇÃO,5,FALSE),VLOOKUP($C1013,'NAO DESO'!$A:$D,4,))</f>
        <v>36.575000000000003</v>
      </c>
      <c r="H1013" s="242">
        <f t="shared" si="78"/>
        <v>109.72</v>
      </c>
      <c r="I1013" s="54">
        <f>IF(B1013="SEPLAG",VLOOKUP(CONCATENATE("MEDIANA - ",C1013),COTAÇÃO,5,FALSE),VLOOKUP($C1013,DESON!$A:$D,4,))</f>
        <v>36.575000000000003</v>
      </c>
      <c r="J1013" s="209">
        <f t="shared" si="79"/>
        <v>109.72</v>
      </c>
    </row>
    <row r="1014" spans="1:10" ht="15" customHeight="1">
      <c r="A1014" s="208" t="s">
        <v>39</v>
      </c>
      <c r="B1014" s="241" t="s">
        <v>14504</v>
      </c>
      <c r="C1014" s="1181" t="s">
        <v>14308</v>
      </c>
      <c r="D1014" s="161" t="str">
        <f>IF(B1014="SEPLAG",VLOOKUP(COMPOSIÇÕES!C1014,'MAPA COMPARATIVO'!A:B,2,FALSE),VLOOKUP(C1014,'NAO DESO'!A:B,2,0))</f>
        <v>Fecho max-ar linha gold</v>
      </c>
      <c r="E1014" s="1194" t="s">
        <v>24</v>
      </c>
      <c r="F1014" s="242">
        <v>3</v>
      </c>
      <c r="G1014" s="242">
        <f>IF(B1014="SEPLAG",VLOOKUP(CONCATENATE("MEDIANA - ",C1014),COTAÇÃO,5,FALSE),VLOOKUP($C1014,'NAO DESO'!$A:$D,4,))</f>
        <v>47.36</v>
      </c>
      <c r="H1014" s="242">
        <f t="shared" si="78"/>
        <v>142.08000000000001</v>
      </c>
      <c r="I1014" s="54">
        <f>IF(B1014="SEPLAG",VLOOKUP(CONCATENATE("MEDIANA - ",C1014),COTAÇÃO,5,FALSE),VLOOKUP($C1014,DESON!$A:$D,4,))</f>
        <v>47.36</v>
      </c>
      <c r="J1014" s="209">
        <f t="shared" si="79"/>
        <v>142.08000000000001</v>
      </c>
    </row>
    <row r="1015" spans="1:10" ht="15" customHeight="1">
      <c r="A1015" s="208" t="s">
        <v>39</v>
      </c>
      <c r="B1015" s="241" t="s">
        <v>14504</v>
      </c>
      <c r="C1015" s="1181" t="s">
        <v>14309</v>
      </c>
      <c r="D1015" s="161" t="str">
        <f>IF(B1015="SEPLAG",VLOOKUP(COMPOSIÇÕES!C1015,'MAPA COMPARATIVO'!A:B,2,FALSE),VLOOKUP(C1015,'NAO DESO'!A:B,2,0))</f>
        <v>Guarnição em EPDM p/ pingadeira</v>
      </c>
      <c r="E1015" s="1194" t="s">
        <v>7388</v>
      </c>
      <c r="F1015" s="242">
        <v>2.972</v>
      </c>
      <c r="G1015" s="242">
        <f>IF(B1015="SEPLAG",VLOOKUP(CONCATENATE("MEDIANA - ",C1015),COTAÇÃO,5,FALSE),VLOOKUP($C1015,'NAO DESO'!$A:$D,4,))</f>
        <v>4.3849999999999998</v>
      </c>
      <c r="H1015" s="242">
        <f t="shared" si="78"/>
        <v>13.03</v>
      </c>
      <c r="I1015" s="54">
        <f>IF(B1015="SEPLAG",VLOOKUP(CONCATENATE("MEDIANA - ",C1015),COTAÇÃO,5,FALSE),VLOOKUP($C1015,DESON!$A:$D,4,))</f>
        <v>4.3849999999999998</v>
      </c>
      <c r="J1015" s="209">
        <f t="shared" si="79"/>
        <v>13.03</v>
      </c>
    </row>
    <row r="1016" spans="1:10" ht="15" customHeight="1">
      <c r="A1016" s="208" t="s">
        <v>39</v>
      </c>
      <c r="B1016" s="241" t="s">
        <v>14504</v>
      </c>
      <c r="C1016" s="1181" t="s">
        <v>14310</v>
      </c>
      <c r="D1016" s="161" t="str">
        <f>IF(B1016="SEPLAG",VLOOKUP(COMPOSIÇÕES!C1016,'MAPA COMPARATIVO'!A:B,2,FALSE),VLOOKUP(C1016,'NAO DESO'!A:B,2,0))</f>
        <v>Guarnição em EPDM para vidro</v>
      </c>
      <c r="E1016" s="1194" t="s">
        <v>250</v>
      </c>
      <c r="F1016" s="242">
        <v>21.782</v>
      </c>
      <c r="G1016" s="242">
        <f>IF(B1016="SEPLAG",VLOOKUP(CONCATENATE("MEDIANA - ",C1016),COTAÇÃO,5,FALSE),VLOOKUP($C1016,'NAO DESO'!$A:$D,4,))</f>
        <v>2.4091999999999998</v>
      </c>
      <c r="H1016" s="242">
        <f t="shared" si="78"/>
        <v>52.47</v>
      </c>
      <c r="I1016" s="54">
        <f>IF(B1016="SEPLAG",VLOOKUP(CONCATENATE("MEDIANA - ",C1016),COTAÇÃO,5,FALSE),VLOOKUP($C1016,DESON!$A:$D,4,))</f>
        <v>2.4091999999999998</v>
      </c>
      <c r="J1016" s="209">
        <f t="shared" si="79"/>
        <v>52.47</v>
      </c>
    </row>
    <row r="1017" spans="1:10" ht="15" customHeight="1">
      <c r="A1017" s="208" t="s">
        <v>39</v>
      </c>
      <c r="B1017" s="241" t="s">
        <v>14504</v>
      </c>
      <c r="C1017" s="1181" t="s">
        <v>14311</v>
      </c>
      <c r="D1017" s="161" t="str">
        <f>IF(B1017="SEPLAG",VLOOKUP(COMPOSIÇÕES!C1017,'MAPA COMPARATIVO'!A:B,2,FALSE),VLOOKUP(C1017,'NAO DESO'!A:B,2,0))</f>
        <v>Espuma adesiva 1 face</v>
      </c>
      <c r="E1017" s="1194" t="s">
        <v>250</v>
      </c>
      <c r="F1017" s="242">
        <v>21.782</v>
      </c>
      <c r="G1017" s="242">
        <f>IF(B1017="SEPLAG",VLOOKUP(CONCATENATE("MEDIANA - ",C1017),COTAÇÃO,5,FALSE),VLOOKUP($C1017,'NAO DESO'!$A:$D,4,))</f>
        <v>2.1800000000000002</v>
      </c>
      <c r="H1017" s="242">
        <f t="shared" si="78"/>
        <v>47.48</v>
      </c>
      <c r="I1017" s="54">
        <f>IF(B1017="SEPLAG",VLOOKUP(CONCATENATE("MEDIANA - ",C1017),COTAÇÃO,5,FALSE),VLOOKUP($C1017,DESON!$A:$D,4,))</f>
        <v>2.1800000000000002</v>
      </c>
      <c r="J1017" s="209">
        <f t="shared" si="79"/>
        <v>47.48</v>
      </c>
    </row>
    <row r="1018" spans="1:10" ht="15" customHeight="1">
      <c r="A1018" s="208" t="s">
        <v>39</v>
      </c>
      <c r="B1018" s="241" t="s">
        <v>14504</v>
      </c>
      <c r="C1018" s="1181" t="s">
        <v>14312</v>
      </c>
      <c r="D1018" s="161" t="str">
        <f>IF(B1018="SEPLAG",VLOOKUP(COMPOSIÇÕES!C1018,'MAPA COMPARATIVO'!A:B,2,FALSE),VLOOKUP(C1018,'NAO DESO'!A:B,2,0))</f>
        <v>Guarnição em EPDM p/ marco max-ar</v>
      </c>
      <c r="E1018" s="1194" t="s">
        <v>250</v>
      </c>
      <c r="F1018" s="242">
        <v>24.582000000000001</v>
      </c>
      <c r="G1018" s="242">
        <f>IF(B1018="SEPLAG",VLOOKUP(CONCATENATE("MEDIANA - ",C1018),COTAÇÃO,5,FALSE),VLOOKUP($C1018,'NAO DESO'!$A:$D,4,))</f>
        <v>3.8138999999999998</v>
      </c>
      <c r="H1018" s="242">
        <f t="shared" si="78"/>
        <v>93.75</v>
      </c>
      <c r="I1018" s="54">
        <f>IF(B1018="SEPLAG",VLOOKUP(CONCATENATE("MEDIANA - ",C1018),COTAÇÃO,5,FALSE),VLOOKUP($C1018,DESON!$A:$D,4,))</f>
        <v>3.8138999999999998</v>
      </c>
      <c r="J1018" s="209">
        <f t="shared" si="79"/>
        <v>93.75</v>
      </c>
    </row>
    <row r="1019" spans="1:10" ht="15" customHeight="1">
      <c r="A1019" s="208" t="s">
        <v>39</v>
      </c>
      <c r="B1019" s="241" t="s">
        <v>14504</v>
      </c>
      <c r="C1019" s="1181" t="s">
        <v>14313</v>
      </c>
      <c r="D1019" s="161" t="str">
        <f>IF(B1019="SEPLAG",VLOOKUP(COMPOSIÇÕES!C1019,'MAPA COMPARATIVO'!A:B,2,FALSE),VLOOKUP(C1019,'NAO DESO'!A:B,2,0))</f>
        <v>PRESILHA DE FIXAÇÃO DO ARREMATE MP-347</v>
      </c>
      <c r="E1019" s="1194" t="s">
        <v>24</v>
      </c>
      <c r="F1019" s="242">
        <v>26</v>
      </c>
      <c r="G1019" s="242">
        <f>IF(B1019="SEPLAG",VLOOKUP(CONCATENATE("MEDIANA - ",C1019),COTAÇÃO,5,FALSE),VLOOKUP($C1019,'NAO DESO'!$A:$D,4,))</f>
        <v>0.34</v>
      </c>
      <c r="H1019" s="242">
        <f t="shared" si="78"/>
        <v>8.84</v>
      </c>
      <c r="I1019" s="54">
        <f>IF(B1019="SEPLAG",VLOOKUP(CONCATENATE("MEDIANA - ",C1019),COTAÇÃO,5,FALSE),VLOOKUP($C1019,DESON!$A:$D,4,))</f>
        <v>0.34</v>
      </c>
      <c r="J1019" s="209">
        <f t="shared" si="79"/>
        <v>8.84</v>
      </c>
    </row>
    <row r="1020" spans="1:10" ht="15" customHeight="1">
      <c r="A1020" s="208" t="s">
        <v>39</v>
      </c>
      <c r="B1020" s="241" t="s">
        <v>14504</v>
      </c>
      <c r="C1020" s="1181" t="s">
        <v>14314</v>
      </c>
      <c r="D1020" s="161" t="str">
        <f>IF(B1020="SEPLAG",VLOOKUP(COMPOSIÇÕES!C1020,'MAPA COMPARATIVO'!A:B,2,FALSE),VLOOKUP(C1020,'NAO DESO'!A:B,2,0))</f>
        <v>Parafuso zincado phillips flangeado autobrocante 4,2 x 16mm</v>
      </c>
      <c r="E1020" s="1194" t="s">
        <v>24</v>
      </c>
      <c r="F1020" s="242">
        <v>26</v>
      </c>
      <c r="G1020" s="242">
        <f>IF(B1020="SEPLAG",VLOOKUP(CONCATENATE("MEDIANA - ",C1020),COTAÇÃO,5,FALSE),VLOOKUP($C1020,'NAO DESO'!$A:$D,4,))</f>
        <v>0.28000000000000003</v>
      </c>
      <c r="H1020" s="242">
        <f t="shared" si="78"/>
        <v>7.28</v>
      </c>
      <c r="I1020" s="54">
        <f>IF(B1020="SEPLAG",VLOOKUP(CONCATENATE("MEDIANA - ",C1020),COTAÇÃO,5,FALSE),VLOOKUP($C1020,DESON!$A:$D,4,))</f>
        <v>0.28000000000000003</v>
      </c>
      <c r="J1020" s="209">
        <f t="shared" si="79"/>
        <v>7.28</v>
      </c>
    </row>
    <row r="1021" spans="1:10" ht="15" customHeight="1">
      <c r="A1021" s="208" t="s">
        <v>39</v>
      </c>
      <c r="B1021" s="241" t="s">
        <v>14504</v>
      </c>
      <c r="C1021" s="1181" t="s">
        <v>14315</v>
      </c>
      <c r="D1021" s="161" t="str">
        <f>IF(B1021="SEPLAG",VLOOKUP(COMPOSIÇÕES!C1021,'MAPA COMPARATIVO'!A:B,2,FALSE),VLOOKUP(C1021,'NAO DESO'!A:B,2,0))</f>
        <v>PARAF. PANELA PHILIPS INOX 4,8 X32 PONTA PILOTO</v>
      </c>
      <c r="E1021" s="1194" t="s">
        <v>24</v>
      </c>
      <c r="F1021" s="242">
        <v>20</v>
      </c>
      <c r="G1021" s="242">
        <f>IF(B1021="SEPLAG",VLOOKUP(CONCATENATE("MEDIANA - ",C1021),COTAÇÃO,5,FALSE),VLOOKUP($C1021,'NAO DESO'!$A:$D,4,))</f>
        <v>0.95</v>
      </c>
      <c r="H1021" s="242">
        <f t="shared" si="78"/>
        <v>19</v>
      </c>
      <c r="I1021" s="54">
        <f>IF(B1021="SEPLAG",VLOOKUP(CONCATENATE("MEDIANA - ",C1021),COTAÇÃO,5,FALSE),VLOOKUP($C1021,DESON!$A:$D,4,))</f>
        <v>0.95</v>
      </c>
      <c r="J1021" s="209">
        <f t="shared" si="79"/>
        <v>19</v>
      </c>
    </row>
    <row r="1022" spans="1:10" ht="15" customHeight="1">
      <c r="A1022" s="208" t="s">
        <v>39</v>
      </c>
      <c r="B1022" s="241" t="s">
        <v>14504</v>
      </c>
      <c r="C1022" s="1181" t="s">
        <v>14316</v>
      </c>
      <c r="D1022" s="161" t="str">
        <f>IF(B1022="SEPLAG",VLOOKUP(COMPOSIÇÕES!C1022,'MAPA COMPARATIVO'!A:B,2,FALSE),VLOOKUP(C1022,'NAO DESO'!A:B,2,0))</f>
        <v>CHUMBADOR DE CM-063/060</v>
      </c>
      <c r="E1022" s="1194" t="s">
        <v>24</v>
      </c>
      <c r="F1022" s="242">
        <v>26</v>
      </c>
      <c r="G1022" s="242">
        <f>IF(B1022="SEPLAG",VLOOKUP(CONCATENATE("MEDIANA - ",C1022),COTAÇÃO,5,FALSE),VLOOKUP($C1022,'NAO DESO'!$A:$D,4,))</f>
        <v>0.86</v>
      </c>
      <c r="H1022" s="242">
        <f t="shared" si="78"/>
        <v>22.36</v>
      </c>
      <c r="I1022" s="54">
        <f>IF(B1022="SEPLAG",VLOOKUP(CONCATENATE("MEDIANA - ",C1022),COTAÇÃO,5,FALSE),VLOOKUP($C1022,DESON!$A:$D,4,))</f>
        <v>0.86</v>
      </c>
      <c r="J1022" s="209">
        <f t="shared" si="79"/>
        <v>22.36</v>
      </c>
    </row>
    <row r="1023" spans="1:10" ht="15" customHeight="1">
      <c r="A1023" s="208" t="s">
        <v>39</v>
      </c>
      <c r="B1023" s="241" t="s">
        <v>14504</v>
      </c>
      <c r="C1023" s="1181" t="s">
        <v>14317</v>
      </c>
      <c r="D1023" s="161" t="str">
        <f>IF(B1023="SEPLAG",VLOOKUP(COMPOSIÇÕES!C1023,'MAPA COMPARATIVO'!A:B,2,FALSE),VLOOKUP(C1023,'NAO DESO'!A:B,2,0))</f>
        <v>Silicone neutro incolor 280 g</v>
      </c>
      <c r="E1023" s="1194" t="s">
        <v>24</v>
      </c>
      <c r="F1023" s="242">
        <v>2</v>
      </c>
      <c r="G1023" s="242">
        <f>IF(B1023="SEPLAG",VLOOKUP(CONCATENATE("MEDIANA - ",C1023),COTAÇÃO,5,FALSE),VLOOKUP($C1023,'NAO DESO'!$A:$D,4,))</f>
        <v>43.9</v>
      </c>
      <c r="H1023" s="242">
        <f t="shared" si="78"/>
        <v>87.8</v>
      </c>
      <c r="I1023" s="54">
        <f>IF(B1023="SEPLAG",VLOOKUP(CONCATENATE("MEDIANA - ",C1023),COTAÇÃO,5,FALSE),VLOOKUP($C1023,DESON!$A:$D,4,))</f>
        <v>43.9</v>
      </c>
      <c r="J1023" s="209">
        <f t="shared" si="79"/>
        <v>87.8</v>
      </c>
    </row>
    <row r="1024" spans="1:10" ht="15" customHeight="1">
      <c r="A1024" s="208" t="s">
        <v>245</v>
      </c>
      <c r="B1024" s="241"/>
      <c r="C1024" s="1181">
        <v>10505</v>
      </c>
      <c r="D1024" s="161" t="str">
        <f>IF(B1024="SEPLAG",VLOOKUP(COMPOSIÇÕES!C1024,'MAPA COMPARATIVO'!A:B,2,FALSE),VLOOKUP(C1024,'NAO DESO'!A:B,2,0))</f>
        <v>VIDRO TEMPERADO INCOLOR E = 6 MM, SEM COLOCACAO</v>
      </c>
      <c r="E1024" s="241" t="str">
        <f>VLOOKUP($C1024,'NAO DESO'!$A:$D,3,)</f>
        <v xml:space="preserve">M2    </v>
      </c>
      <c r="F1024" s="242">
        <v>5.0999999999999996</v>
      </c>
      <c r="G1024" s="242">
        <f>IF(B1024="SEPLAG",VLOOKUP(CONCATENATE("MEDIANA - ",C1024),COTAÇÃO,5,FALSE),VLOOKUP($C1024,'NAO DESO'!$A:$D,4,))</f>
        <v>272.77</v>
      </c>
      <c r="H1024" s="242">
        <f t="shared" si="78"/>
        <v>1391.12</v>
      </c>
      <c r="I1024" s="54" t="str">
        <f>IF(B1024="SEPLAG",VLOOKUP(CONCATENATE("MEDIANA - ",C1024),COTAÇÃO,5,FALSE),VLOOKUP($C1024,DESON!$A:$D,4,))</f>
        <v>272,77</v>
      </c>
      <c r="J1024" s="209">
        <f t="shared" si="79"/>
        <v>1391.12</v>
      </c>
    </row>
    <row r="1025" spans="1:10" ht="15" customHeight="1">
      <c r="A1025" s="208" t="s">
        <v>245</v>
      </c>
      <c r="B1025" s="241"/>
      <c r="C1025" s="1181">
        <v>88315</v>
      </c>
      <c r="D1025" s="161" t="str">
        <f>IF(B1025="SEPLAG",VLOOKUP(COMPOSIÇÕES!C1025,'MAPA COMPARATIVO'!A:B,2,FALSE),VLOOKUP(C1025,'NAO DESO'!A:B,2,0))</f>
        <v>SERRALHEIRO COM ENCARGOS COMPLEMENTARES</v>
      </c>
      <c r="E1025" s="241" t="str">
        <f>VLOOKUP($C1025,'NAO DESO'!$A:$D,3,)</f>
        <v>H</v>
      </c>
      <c r="F1025" s="242">
        <v>16.63</v>
      </c>
      <c r="G1025" s="242" t="str">
        <f>IF(B1025="SEPLAG",VLOOKUP(CONCATENATE("MEDIANA - ",C1025),COTAÇÃO,5,FALSE),VLOOKUP($C1025,'NAO DESO'!$A:$D,4,))</f>
        <v>20,97</v>
      </c>
      <c r="H1025" s="242">
        <f t="shared" si="78"/>
        <v>348.73</v>
      </c>
      <c r="I1025" s="54" t="str">
        <f>IF(B1025="SEPLAG",VLOOKUP(CONCATENATE("MEDIANA - ",C1025),COTAÇÃO,5,FALSE),VLOOKUP($C1025,DESON!$A:$D,4,))</f>
        <v>18,75</v>
      </c>
      <c r="J1025" s="209">
        <f t="shared" si="79"/>
        <v>311.81</v>
      </c>
    </row>
    <row r="1026" spans="1:10" ht="15" customHeight="1">
      <c r="A1026" s="208" t="s">
        <v>245</v>
      </c>
      <c r="B1026" s="241"/>
      <c r="C1026" s="1181">
        <v>88316</v>
      </c>
      <c r="D1026" s="161" t="str">
        <f>IF(B1026="SEPLAG",VLOOKUP(COMPOSIÇÕES!C1026,'MAPA COMPARATIVO'!A:B,2,FALSE),VLOOKUP(C1026,'NAO DESO'!A:B,2,0))</f>
        <v>SERVENTE COM ENCARGOS COMPLEMENTARES</v>
      </c>
      <c r="E1026" s="241" t="str">
        <f>VLOOKUP($C1026,'NAO DESO'!$A:$D,3,)</f>
        <v>H</v>
      </c>
      <c r="F1026" s="242">
        <v>16.63</v>
      </c>
      <c r="G1026" s="242" t="str">
        <f>IF(B1026="SEPLAG",VLOOKUP(CONCATENATE("MEDIANA - ",C1026),COTAÇÃO,5,FALSE),VLOOKUP($C1026,'NAO DESO'!$A:$D,4,))</f>
        <v>16,83</v>
      </c>
      <c r="H1026" s="242">
        <f t="shared" si="78"/>
        <v>279.88</v>
      </c>
      <c r="I1026" s="54" t="str">
        <f>IF(B1026="SEPLAG",VLOOKUP(CONCATENATE("MEDIANA - ",C1026),COTAÇÃO,5,FALSE),VLOOKUP($C1026,DESON!$A:$D,4,))</f>
        <v>15,16</v>
      </c>
      <c r="J1026" s="209">
        <f t="shared" si="79"/>
        <v>252.11</v>
      </c>
    </row>
    <row r="1027" spans="1:10" ht="15" customHeight="1">
      <c r="A1027" s="210" t="str">
        <f>CONCATENATE("TOTAL DO ITEM NÃO DESON. - ",C1000)</f>
        <v>TOTAL DO ITEM NÃO DESON. - SEPLAG  ARQ 77</v>
      </c>
      <c r="B1027" s="424"/>
      <c r="C1027" s="424"/>
      <c r="D1027" s="424"/>
      <c r="E1027" s="424"/>
      <c r="F1027" s="425"/>
      <c r="G1027" s="426"/>
      <c r="H1027" s="1182">
        <f>SUM(H1002:H1026)</f>
        <v>3864.2</v>
      </c>
      <c r="I1027" s="214"/>
      <c r="J1027" s="215"/>
    </row>
    <row r="1028" spans="1:10" ht="15.75" customHeight="1" thickBot="1">
      <c r="A1028" s="216" t="str">
        <f>CONCATENATE("TOTAL DO ITEM DESON. - ",C1000)</f>
        <v>TOTAL DO ITEM DESON. - SEPLAG  ARQ 77</v>
      </c>
      <c r="B1028" s="427"/>
      <c r="C1028" s="427"/>
      <c r="D1028" s="427"/>
      <c r="E1028" s="427"/>
      <c r="F1028" s="428"/>
      <c r="G1028" s="429"/>
      <c r="H1028" s="1187"/>
      <c r="I1028" s="229"/>
      <c r="J1028" s="219">
        <f>SUM(J1002:J1026)</f>
        <v>3799.5099999999998</v>
      </c>
    </row>
    <row r="1029" spans="1:10" ht="15" customHeight="1" thickBot="1">
      <c r="A1029" s="235"/>
      <c r="B1029" s="1135"/>
      <c r="C1029" s="1135"/>
      <c r="D1029" s="1135"/>
      <c r="E1029" s="1135"/>
      <c r="F1029" s="1188"/>
      <c r="G1029" s="1188"/>
      <c r="H1029" s="1188"/>
      <c r="I1029" s="236"/>
      <c r="J1029" s="237"/>
    </row>
    <row r="1030" spans="1:10" ht="23.25" customHeight="1">
      <c r="A1030" s="198"/>
      <c r="B1030" s="1175"/>
      <c r="C1030" s="1176" t="s">
        <v>7366</v>
      </c>
      <c r="D1030" s="156" t="s">
        <v>7626</v>
      </c>
      <c r="E1030" s="1176" t="s">
        <v>32</v>
      </c>
      <c r="F1030" s="1177" t="s">
        <v>18</v>
      </c>
      <c r="G1030" s="1178" t="s">
        <v>7017</v>
      </c>
      <c r="H1030" s="1179"/>
      <c r="I1030" s="200" t="s">
        <v>7016</v>
      </c>
      <c r="J1030" s="201"/>
    </row>
    <row r="1031" spans="1:10" ht="15" customHeight="1">
      <c r="A1031" s="233"/>
      <c r="B1031" s="247"/>
      <c r="C1031" s="1155"/>
      <c r="D1031" s="157"/>
      <c r="E1031" s="1155"/>
      <c r="F1031" s="1180"/>
      <c r="G1031" s="1180" t="s">
        <v>19</v>
      </c>
      <c r="H1031" s="1180" t="s">
        <v>20</v>
      </c>
      <c r="I1031" s="205" t="s">
        <v>19</v>
      </c>
      <c r="J1031" s="206" t="s">
        <v>20</v>
      </c>
    </row>
    <row r="1032" spans="1:10" ht="15" customHeight="1">
      <c r="A1032" s="208" t="s">
        <v>39</v>
      </c>
      <c r="B1032" s="241"/>
      <c r="C1032" s="241">
        <v>34360</v>
      </c>
      <c r="D1032" s="161" t="s">
        <v>7323</v>
      </c>
      <c r="E1032" s="1194" t="s">
        <v>133</v>
      </c>
      <c r="F1032" s="242">
        <v>6.72</v>
      </c>
      <c r="G1032" s="242">
        <f>IF(B1032="SEPLAG",VLOOKUP(CONCATENATE("MEDIANA - ",C1032),COTAÇÃO,5,FALSE),VLOOKUP($C1032,'NAO DESO'!$A:$D,4,))</f>
        <v>47.31</v>
      </c>
      <c r="H1032" s="242">
        <f t="shared" ref="H1032:H1056" si="80">TRUNC(F1032*G1032,2)</f>
        <v>317.92</v>
      </c>
      <c r="I1032" s="54" t="str">
        <f>IF(B1032="SEPLAG",VLOOKUP(CONCATENATE("MEDIANA - ",C1032),COTAÇÃO,5,FALSE),VLOOKUP($C1032,DESON!$A:$D,4,))</f>
        <v>47,31</v>
      </c>
      <c r="J1032" s="209">
        <f t="shared" ref="J1032:J1056" si="81">TRUNC(F1032*I1032,2)</f>
        <v>317.92</v>
      </c>
    </row>
    <row r="1033" spans="1:10" ht="15" customHeight="1">
      <c r="A1033" s="208" t="s">
        <v>39</v>
      </c>
      <c r="B1033" s="241"/>
      <c r="C1033" s="241">
        <v>34360</v>
      </c>
      <c r="D1033" s="161" t="s">
        <v>7324</v>
      </c>
      <c r="E1033" s="1194" t="s">
        <v>133</v>
      </c>
      <c r="F1033" s="242">
        <v>1.4159999999999999</v>
      </c>
      <c r="G1033" s="242">
        <f>IF(B1033="SEPLAG",VLOOKUP(CONCATENATE("MEDIANA - ",C1033),COTAÇÃO,5,FALSE),VLOOKUP($C1033,'NAO DESO'!$A:$D,4,))</f>
        <v>47.31</v>
      </c>
      <c r="H1033" s="242">
        <f t="shared" si="80"/>
        <v>66.989999999999995</v>
      </c>
      <c r="I1033" s="54" t="str">
        <f>IF(B1033="SEPLAG",VLOOKUP(CONCATENATE("MEDIANA - ",C1033),COTAÇÃO,5,FALSE),VLOOKUP($C1033,DESON!$A:$D,4,))</f>
        <v>47,31</v>
      </c>
      <c r="J1033" s="209">
        <f t="shared" si="81"/>
        <v>66.989999999999995</v>
      </c>
    </row>
    <row r="1034" spans="1:10" ht="15" customHeight="1">
      <c r="A1034" s="208" t="s">
        <v>39</v>
      </c>
      <c r="B1034" s="241"/>
      <c r="C1034" s="241">
        <v>34360</v>
      </c>
      <c r="D1034" s="161" t="s">
        <v>7325</v>
      </c>
      <c r="E1034" s="1194" t="s">
        <v>133</v>
      </c>
      <c r="F1034" s="242">
        <v>0.55899999999999994</v>
      </c>
      <c r="G1034" s="242">
        <f>IF(B1034="SEPLAG",VLOOKUP(CONCATENATE("MEDIANA - ",C1034),COTAÇÃO,5,FALSE),VLOOKUP($C1034,'NAO DESO'!$A:$D,4,))</f>
        <v>47.31</v>
      </c>
      <c r="H1034" s="242">
        <f t="shared" si="80"/>
        <v>26.44</v>
      </c>
      <c r="I1034" s="54" t="str">
        <f>IF(B1034="SEPLAG",VLOOKUP(CONCATENATE("MEDIANA - ",C1034),COTAÇÃO,5,FALSE),VLOOKUP($C1034,DESON!$A:$D,4,))</f>
        <v>47,31</v>
      </c>
      <c r="J1034" s="209">
        <f t="shared" si="81"/>
        <v>26.44</v>
      </c>
    </row>
    <row r="1035" spans="1:10" ht="15" customHeight="1">
      <c r="A1035" s="208" t="s">
        <v>39</v>
      </c>
      <c r="B1035" s="241"/>
      <c r="C1035" s="241">
        <v>34360</v>
      </c>
      <c r="D1035" s="161" t="s">
        <v>7326</v>
      </c>
      <c r="E1035" s="1194" t="s">
        <v>133</v>
      </c>
      <c r="F1035" s="242">
        <v>3.5419999999999998</v>
      </c>
      <c r="G1035" s="242">
        <f>IF(B1035="SEPLAG",VLOOKUP(CONCATENATE("MEDIANA - ",C1035),COTAÇÃO,5,FALSE),VLOOKUP($C1035,'NAO DESO'!$A:$D,4,))</f>
        <v>47.31</v>
      </c>
      <c r="H1035" s="242">
        <f t="shared" si="80"/>
        <v>167.57</v>
      </c>
      <c r="I1035" s="54" t="str">
        <f>IF(B1035="SEPLAG",VLOOKUP(CONCATENATE("MEDIANA - ",C1035),COTAÇÃO,5,FALSE),VLOOKUP($C1035,DESON!$A:$D,4,))</f>
        <v>47,31</v>
      </c>
      <c r="J1035" s="209">
        <f t="shared" si="81"/>
        <v>167.57</v>
      </c>
    </row>
    <row r="1036" spans="1:10" ht="15" customHeight="1">
      <c r="A1036" s="208" t="s">
        <v>39</v>
      </c>
      <c r="B1036" s="241"/>
      <c r="C1036" s="241">
        <v>34360</v>
      </c>
      <c r="D1036" s="161" t="s">
        <v>7327</v>
      </c>
      <c r="E1036" s="1194" t="s">
        <v>133</v>
      </c>
      <c r="F1036" s="242">
        <v>6.1920000000000002</v>
      </c>
      <c r="G1036" s="242">
        <f>IF(B1036="SEPLAG",VLOOKUP(CONCATENATE("MEDIANA - ",C1036),COTAÇÃO,5,FALSE),VLOOKUP($C1036,'NAO DESO'!$A:$D,4,))</f>
        <v>47.31</v>
      </c>
      <c r="H1036" s="242">
        <f t="shared" si="80"/>
        <v>292.94</v>
      </c>
      <c r="I1036" s="54" t="str">
        <f>IF(B1036="SEPLAG",VLOOKUP(CONCATENATE("MEDIANA - ",C1036),COTAÇÃO,5,FALSE),VLOOKUP($C1036,DESON!$A:$D,4,))</f>
        <v>47,31</v>
      </c>
      <c r="J1036" s="209">
        <f t="shared" si="81"/>
        <v>292.94</v>
      </c>
    </row>
    <row r="1037" spans="1:10" ht="15" customHeight="1">
      <c r="A1037" s="208" t="s">
        <v>39</v>
      </c>
      <c r="B1037" s="241"/>
      <c r="C1037" s="241">
        <v>34360</v>
      </c>
      <c r="D1037" s="161" t="s">
        <v>7328</v>
      </c>
      <c r="E1037" s="1194" t="s">
        <v>133</v>
      </c>
      <c r="F1037" s="242">
        <v>6.1980000000000004</v>
      </c>
      <c r="G1037" s="242">
        <f>IF(B1037="SEPLAG",VLOOKUP(CONCATENATE("MEDIANA - ",C1037),COTAÇÃO,5,FALSE),VLOOKUP($C1037,'NAO DESO'!$A:$D,4,))</f>
        <v>47.31</v>
      </c>
      <c r="H1037" s="242">
        <f t="shared" si="80"/>
        <v>293.22000000000003</v>
      </c>
      <c r="I1037" s="54" t="str">
        <f>IF(B1037="SEPLAG",VLOOKUP(CONCATENATE("MEDIANA - ",C1037),COTAÇÃO,5,FALSE),VLOOKUP($C1037,DESON!$A:$D,4,))</f>
        <v>47,31</v>
      </c>
      <c r="J1037" s="209">
        <f t="shared" si="81"/>
        <v>293.22000000000003</v>
      </c>
    </row>
    <row r="1038" spans="1:10" ht="15" customHeight="1">
      <c r="A1038" s="208" t="s">
        <v>39</v>
      </c>
      <c r="B1038" s="241"/>
      <c r="C1038" s="241">
        <v>34360</v>
      </c>
      <c r="D1038" s="161" t="s">
        <v>7329</v>
      </c>
      <c r="E1038" s="1194" t="s">
        <v>133</v>
      </c>
      <c r="F1038" s="242">
        <v>4.4109999999999996</v>
      </c>
      <c r="G1038" s="242">
        <f>IF(B1038="SEPLAG",VLOOKUP(CONCATENATE("MEDIANA - ",C1038),COTAÇÃO,5,FALSE),VLOOKUP($C1038,'NAO DESO'!$A:$D,4,))</f>
        <v>47.31</v>
      </c>
      <c r="H1038" s="242">
        <f t="shared" si="80"/>
        <v>208.68</v>
      </c>
      <c r="I1038" s="54" t="str">
        <f>IF(B1038="SEPLAG",VLOOKUP(CONCATENATE("MEDIANA - ",C1038),COTAÇÃO,5,FALSE),VLOOKUP($C1038,DESON!$A:$D,4,))</f>
        <v>47,31</v>
      </c>
      <c r="J1038" s="209">
        <f t="shared" si="81"/>
        <v>208.68</v>
      </c>
    </row>
    <row r="1039" spans="1:10" ht="15" customHeight="1">
      <c r="A1039" s="208" t="s">
        <v>39</v>
      </c>
      <c r="B1039" s="241"/>
      <c r="C1039" s="241">
        <v>34360</v>
      </c>
      <c r="D1039" s="161" t="s">
        <v>7330</v>
      </c>
      <c r="E1039" s="1194" t="s">
        <v>133</v>
      </c>
      <c r="F1039" s="242">
        <v>3.2190000000000003</v>
      </c>
      <c r="G1039" s="242">
        <f>IF(B1039="SEPLAG",VLOOKUP(CONCATENATE("MEDIANA - ",C1039),COTAÇÃO,5,FALSE),VLOOKUP($C1039,'NAO DESO'!$A:$D,4,))</f>
        <v>47.31</v>
      </c>
      <c r="H1039" s="242">
        <f t="shared" si="80"/>
        <v>152.29</v>
      </c>
      <c r="I1039" s="54" t="str">
        <f>IF(B1039="SEPLAG",VLOOKUP(CONCATENATE("MEDIANA - ",C1039),COTAÇÃO,5,FALSE),VLOOKUP($C1039,DESON!$A:$D,4,))</f>
        <v>47,31</v>
      </c>
      <c r="J1039" s="209">
        <f t="shared" si="81"/>
        <v>152.29</v>
      </c>
    </row>
    <row r="1040" spans="1:10" ht="15" customHeight="1">
      <c r="A1040" s="208" t="s">
        <v>39</v>
      </c>
      <c r="B1040" s="241"/>
      <c r="C1040" s="241">
        <v>34360</v>
      </c>
      <c r="D1040" s="161" t="s">
        <v>7331</v>
      </c>
      <c r="E1040" s="1194" t="s">
        <v>133</v>
      </c>
      <c r="F1040" s="242">
        <v>14.194000000000001</v>
      </c>
      <c r="G1040" s="242">
        <f>IF(B1040="SEPLAG",VLOOKUP(CONCATENATE("MEDIANA - ",C1040),COTAÇÃO,5,FALSE),VLOOKUP($C1040,'NAO DESO'!$A:$D,4,))</f>
        <v>47.31</v>
      </c>
      <c r="H1040" s="242">
        <f t="shared" si="80"/>
        <v>671.51</v>
      </c>
      <c r="I1040" s="54" t="str">
        <f>IF(B1040="SEPLAG",VLOOKUP(CONCATENATE("MEDIANA - ",C1040),COTAÇÃO,5,FALSE),VLOOKUP($C1040,DESON!$A:$D,4,))</f>
        <v>47,31</v>
      </c>
      <c r="J1040" s="209">
        <f t="shared" si="81"/>
        <v>671.51</v>
      </c>
    </row>
    <row r="1041" spans="1:10" ht="15" customHeight="1">
      <c r="A1041" s="208" t="s">
        <v>39</v>
      </c>
      <c r="B1041" s="241"/>
      <c r="C1041" s="241">
        <v>34360</v>
      </c>
      <c r="D1041" s="161" t="s">
        <v>7332</v>
      </c>
      <c r="E1041" s="1194" t="s">
        <v>133</v>
      </c>
      <c r="F1041" s="242">
        <v>0.94399999999999995</v>
      </c>
      <c r="G1041" s="242">
        <f>IF(B1041="SEPLAG",VLOOKUP(CONCATENATE("MEDIANA - ",C1041),COTAÇÃO,5,FALSE),VLOOKUP($C1041,'NAO DESO'!$A:$D,4,))</f>
        <v>47.31</v>
      </c>
      <c r="H1041" s="242">
        <f t="shared" si="80"/>
        <v>44.66</v>
      </c>
      <c r="I1041" s="54" t="str">
        <f>IF(B1041="SEPLAG",VLOOKUP(CONCATENATE("MEDIANA - ",C1041),COTAÇÃO,5,FALSE),VLOOKUP($C1041,DESON!$A:$D,4,))</f>
        <v>47,31</v>
      </c>
      <c r="J1041" s="209">
        <f t="shared" si="81"/>
        <v>44.66</v>
      </c>
    </row>
    <row r="1042" spans="1:10" ht="15" customHeight="1">
      <c r="A1042" s="208" t="s">
        <v>39</v>
      </c>
      <c r="B1042" s="241"/>
      <c r="C1042" s="241">
        <v>34360</v>
      </c>
      <c r="D1042" s="161" t="s">
        <v>7333</v>
      </c>
      <c r="E1042" s="1194" t="s">
        <v>133</v>
      </c>
      <c r="F1042" s="242">
        <v>3.1269999999999998</v>
      </c>
      <c r="G1042" s="242">
        <f>IF(B1042="SEPLAG",VLOOKUP(CONCATENATE("MEDIANA - ",C1042),COTAÇÃO,5,FALSE),VLOOKUP($C1042,'NAO DESO'!$A:$D,4,))</f>
        <v>47.31</v>
      </c>
      <c r="H1042" s="242">
        <f t="shared" si="80"/>
        <v>147.93</v>
      </c>
      <c r="I1042" s="54" t="str">
        <f>IF(B1042="SEPLAG",VLOOKUP(CONCATENATE("MEDIANA - ",C1042),COTAÇÃO,5,FALSE),VLOOKUP($C1042,DESON!$A:$D,4,))</f>
        <v>47,31</v>
      </c>
      <c r="J1042" s="209">
        <f t="shared" si="81"/>
        <v>147.93</v>
      </c>
    </row>
    <row r="1043" spans="1:10" ht="15" customHeight="1">
      <c r="A1043" s="208" t="s">
        <v>39</v>
      </c>
      <c r="B1043" s="241" t="s">
        <v>14504</v>
      </c>
      <c r="C1043" s="1181" t="s">
        <v>14307</v>
      </c>
      <c r="D1043" s="161" t="str">
        <f>IF(B1043="SEPLAG",VLOOKUP(COMPOSIÇÕES!C1043,'MAPA COMPARATIVO'!A:B,2,FALSE),VLOOKUP(C1043,'NAO DESO'!A:B,2,0))</f>
        <v xml:space="preserve">Braço de max-ar linha gold de 600mm </v>
      </c>
      <c r="E1043" s="1194" t="s">
        <v>24</v>
      </c>
      <c r="F1043" s="242">
        <v>6</v>
      </c>
      <c r="G1043" s="242">
        <f>IF(B1043="SEPLAG",VLOOKUP(CONCATENATE("MEDIANA - ",C1043),COTAÇÃO,5,FALSE),VLOOKUP($C1043,'NAO DESO'!$A:$D,4,))</f>
        <v>36.575000000000003</v>
      </c>
      <c r="H1043" s="242">
        <f t="shared" si="80"/>
        <v>219.45</v>
      </c>
      <c r="I1043" s="54">
        <f>IF(B1043="SEPLAG",VLOOKUP(CONCATENATE("MEDIANA - ",C1043),COTAÇÃO,5,FALSE),VLOOKUP($C1043,DESON!$A:$D,4,))</f>
        <v>36.575000000000003</v>
      </c>
      <c r="J1043" s="209">
        <f t="shared" si="81"/>
        <v>219.45</v>
      </c>
    </row>
    <row r="1044" spans="1:10" ht="15" customHeight="1">
      <c r="A1044" s="208" t="s">
        <v>39</v>
      </c>
      <c r="B1044" s="241" t="s">
        <v>14504</v>
      </c>
      <c r="C1044" s="1181" t="s">
        <v>14308</v>
      </c>
      <c r="D1044" s="161" t="str">
        <f>IF(B1044="SEPLAG",VLOOKUP(COMPOSIÇÕES!C1044,'MAPA COMPARATIVO'!A:B,2,FALSE),VLOOKUP(C1044,'NAO DESO'!A:B,2,0))</f>
        <v>Fecho max-ar linha gold</v>
      </c>
      <c r="E1044" s="1194" t="s">
        <v>24</v>
      </c>
      <c r="F1044" s="242">
        <v>6</v>
      </c>
      <c r="G1044" s="242">
        <f>IF(B1044="SEPLAG",VLOOKUP(CONCATENATE("MEDIANA - ",C1044),COTAÇÃO,5,FALSE),VLOOKUP($C1044,'NAO DESO'!$A:$D,4,))</f>
        <v>47.36</v>
      </c>
      <c r="H1044" s="242">
        <f t="shared" si="80"/>
        <v>284.16000000000003</v>
      </c>
      <c r="I1044" s="54">
        <f>IF(B1044="SEPLAG",VLOOKUP(CONCATENATE("MEDIANA - ",C1044),COTAÇÃO,5,FALSE),VLOOKUP($C1044,DESON!$A:$D,4,))</f>
        <v>47.36</v>
      </c>
      <c r="J1044" s="209">
        <f t="shared" si="81"/>
        <v>284.16000000000003</v>
      </c>
    </row>
    <row r="1045" spans="1:10" ht="15" customHeight="1">
      <c r="A1045" s="208" t="s">
        <v>39</v>
      </c>
      <c r="B1045" s="241" t="s">
        <v>14504</v>
      </c>
      <c r="C1045" s="1181" t="s">
        <v>14309</v>
      </c>
      <c r="D1045" s="161" t="str">
        <f>IF(B1045="SEPLAG",VLOOKUP(COMPOSIÇÕES!C1045,'MAPA COMPARATIVO'!A:B,2,FALSE),VLOOKUP(C1045,'NAO DESO'!A:B,2,0))</f>
        <v>Guarnição em EPDM p/ pingadeira</v>
      </c>
      <c r="E1045" s="1194" t="s">
        <v>7388</v>
      </c>
      <c r="F1045" s="242">
        <v>5.9720000000000004</v>
      </c>
      <c r="G1045" s="242">
        <f>IF(B1045="SEPLAG",VLOOKUP(CONCATENATE("MEDIANA - ",C1045),COTAÇÃO,5,FALSE),VLOOKUP($C1045,'NAO DESO'!$A:$D,4,))</f>
        <v>4.3849999999999998</v>
      </c>
      <c r="H1045" s="242">
        <f t="shared" si="80"/>
        <v>26.18</v>
      </c>
      <c r="I1045" s="54">
        <f>IF(B1045="SEPLAG",VLOOKUP(CONCATENATE("MEDIANA - ",C1045),COTAÇÃO,5,FALSE),VLOOKUP($C1045,DESON!$A:$D,4,))</f>
        <v>4.3849999999999998</v>
      </c>
      <c r="J1045" s="209">
        <f t="shared" si="81"/>
        <v>26.18</v>
      </c>
    </row>
    <row r="1046" spans="1:10" ht="15" customHeight="1">
      <c r="A1046" s="208" t="s">
        <v>39</v>
      </c>
      <c r="B1046" s="241" t="s">
        <v>14504</v>
      </c>
      <c r="C1046" s="1181" t="s">
        <v>14310</v>
      </c>
      <c r="D1046" s="161" t="str">
        <f>IF(B1046="SEPLAG",VLOOKUP(COMPOSIÇÕES!C1046,'MAPA COMPARATIVO'!A:B,2,FALSE),VLOOKUP(C1046,'NAO DESO'!A:B,2,0))</f>
        <v>Guarnição em EPDM para vidro</v>
      </c>
      <c r="E1046" s="1194" t="s">
        <v>250</v>
      </c>
      <c r="F1046" s="242">
        <v>43.64</v>
      </c>
      <c r="G1046" s="242">
        <f>IF(B1046="SEPLAG",VLOOKUP(CONCATENATE("MEDIANA - ",C1046),COTAÇÃO,5,FALSE),VLOOKUP($C1046,'NAO DESO'!$A:$D,4,))</f>
        <v>2.4091999999999998</v>
      </c>
      <c r="H1046" s="242">
        <f t="shared" si="80"/>
        <v>105.13</v>
      </c>
      <c r="I1046" s="54">
        <f>IF(B1046="SEPLAG",VLOOKUP(CONCATENATE("MEDIANA - ",C1046),COTAÇÃO,5,FALSE),VLOOKUP($C1046,DESON!$A:$D,4,))</f>
        <v>2.4091999999999998</v>
      </c>
      <c r="J1046" s="209">
        <f t="shared" si="81"/>
        <v>105.13</v>
      </c>
    </row>
    <row r="1047" spans="1:10" ht="15" customHeight="1">
      <c r="A1047" s="208" t="s">
        <v>39</v>
      </c>
      <c r="B1047" s="241" t="s">
        <v>14504</v>
      </c>
      <c r="C1047" s="1181" t="s">
        <v>14311</v>
      </c>
      <c r="D1047" s="161" t="str">
        <f>IF(B1047="SEPLAG",VLOOKUP(COMPOSIÇÕES!C1047,'MAPA COMPARATIVO'!A:B,2,FALSE),VLOOKUP(C1047,'NAO DESO'!A:B,2,0))</f>
        <v>Espuma adesiva 1 face</v>
      </c>
      <c r="E1047" s="1194" t="s">
        <v>250</v>
      </c>
      <c r="F1047" s="242">
        <v>43.64</v>
      </c>
      <c r="G1047" s="242">
        <f>IF(B1047="SEPLAG",VLOOKUP(CONCATENATE("MEDIANA - ",C1047),COTAÇÃO,5,FALSE),VLOOKUP($C1047,'NAO DESO'!$A:$D,4,))</f>
        <v>2.1800000000000002</v>
      </c>
      <c r="H1047" s="242">
        <f t="shared" si="80"/>
        <v>95.13</v>
      </c>
      <c r="I1047" s="54">
        <f>IF(B1047="SEPLAG",VLOOKUP(CONCATENATE("MEDIANA - ",C1047),COTAÇÃO,5,FALSE),VLOOKUP($C1047,DESON!$A:$D,4,))</f>
        <v>2.1800000000000002</v>
      </c>
      <c r="J1047" s="209">
        <f t="shared" si="81"/>
        <v>95.13</v>
      </c>
    </row>
    <row r="1048" spans="1:10" ht="15" customHeight="1">
      <c r="A1048" s="208" t="s">
        <v>39</v>
      </c>
      <c r="B1048" s="241" t="s">
        <v>14504</v>
      </c>
      <c r="C1048" s="1181" t="s">
        <v>14312</v>
      </c>
      <c r="D1048" s="161" t="str">
        <f>IF(B1048="SEPLAG",VLOOKUP(COMPOSIÇÕES!C1048,'MAPA COMPARATIVO'!A:B,2,FALSE),VLOOKUP(C1048,'NAO DESO'!A:B,2,0))</f>
        <v>Guarnição em EPDM p/ marco max-ar</v>
      </c>
      <c r="E1048" s="1194" t="s">
        <v>250</v>
      </c>
      <c r="F1048" s="242">
        <v>47.94</v>
      </c>
      <c r="G1048" s="242">
        <f>IF(B1048="SEPLAG",VLOOKUP(CONCATENATE("MEDIANA - ",C1048),COTAÇÃO,5,FALSE),VLOOKUP($C1048,'NAO DESO'!$A:$D,4,))</f>
        <v>3.8138999999999998</v>
      </c>
      <c r="H1048" s="242">
        <f t="shared" si="80"/>
        <v>182.83</v>
      </c>
      <c r="I1048" s="54">
        <f>IF(B1048="SEPLAG",VLOOKUP(CONCATENATE("MEDIANA - ",C1048),COTAÇÃO,5,FALSE),VLOOKUP($C1048,DESON!$A:$D,4,))</f>
        <v>3.8138999999999998</v>
      </c>
      <c r="J1048" s="209">
        <f t="shared" si="81"/>
        <v>182.83</v>
      </c>
    </row>
    <row r="1049" spans="1:10" ht="15" customHeight="1">
      <c r="A1049" s="208" t="s">
        <v>39</v>
      </c>
      <c r="B1049" s="241" t="s">
        <v>14504</v>
      </c>
      <c r="C1049" s="1181" t="s">
        <v>14313</v>
      </c>
      <c r="D1049" s="161" t="str">
        <f>IF(B1049="SEPLAG",VLOOKUP(COMPOSIÇÕES!C1049,'MAPA COMPARATIVO'!A:B,2,FALSE),VLOOKUP(C1049,'NAO DESO'!A:B,2,0))</f>
        <v>PRESILHA DE FIXAÇÃO DO ARREMATE MP-347</v>
      </c>
      <c r="E1049" s="1194" t="s">
        <v>24</v>
      </c>
      <c r="F1049" s="242">
        <v>40</v>
      </c>
      <c r="G1049" s="242">
        <f>IF(B1049="SEPLAG",VLOOKUP(CONCATENATE("MEDIANA - ",C1049),COTAÇÃO,5,FALSE),VLOOKUP($C1049,'NAO DESO'!$A:$D,4,))</f>
        <v>0.34</v>
      </c>
      <c r="H1049" s="242">
        <f t="shared" si="80"/>
        <v>13.6</v>
      </c>
      <c r="I1049" s="54">
        <f>IF(B1049="SEPLAG",VLOOKUP(CONCATENATE("MEDIANA - ",C1049),COTAÇÃO,5,FALSE),VLOOKUP($C1049,DESON!$A:$D,4,))</f>
        <v>0.34</v>
      </c>
      <c r="J1049" s="209">
        <f t="shared" si="81"/>
        <v>13.6</v>
      </c>
    </row>
    <row r="1050" spans="1:10" ht="15" customHeight="1">
      <c r="A1050" s="208" t="s">
        <v>39</v>
      </c>
      <c r="B1050" s="241" t="s">
        <v>14504</v>
      </c>
      <c r="C1050" s="1181" t="s">
        <v>14314</v>
      </c>
      <c r="D1050" s="161" t="str">
        <f>IF(B1050="SEPLAG",VLOOKUP(COMPOSIÇÕES!C1050,'MAPA COMPARATIVO'!A:B,2,FALSE),VLOOKUP(C1050,'NAO DESO'!A:B,2,0))</f>
        <v>Parafuso zincado phillips flangeado autobrocante 4,2 x 16mm</v>
      </c>
      <c r="E1050" s="1194" t="s">
        <v>24</v>
      </c>
      <c r="F1050" s="242">
        <v>40</v>
      </c>
      <c r="G1050" s="242">
        <f>IF(B1050="SEPLAG",VLOOKUP(CONCATENATE("MEDIANA - ",C1050),COTAÇÃO,5,FALSE),VLOOKUP($C1050,'NAO DESO'!$A:$D,4,))</f>
        <v>0.28000000000000003</v>
      </c>
      <c r="H1050" s="242">
        <f t="shared" si="80"/>
        <v>11.2</v>
      </c>
      <c r="I1050" s="54">
        <f>IF(B1050="SEPLAG",VLOOKUP(CONCATENATE("MEDIANA - ",C1050),COTAÇÃO,5,FALSE),VLOOKUP($C1050,DESON!$A:$D,4,))</f>
        <v>0.28000000000000003</v>
      </c>
      <c r="J1050" s="209">
        <f t="shared" si="81"/>
        <v>11.2</v>
      </c>
    </row>
    <row r="1051" spans="1:10" ht="15" customHeight="1">
      <c r="A1051" s="208" t="s">
        <v>39</v>
      </c>
      <c r="B1051" s="241" t="s">
        <v>14504</v>
      </c>
      <c r="C1051" s="1181" t="s">
        <v>14315</v>
      </c>
      <c r="D1051" s="161" t="str">
        <f>IF(B1051="SEPLAG",VLOOKUP(COMPOSIÇÕES!C1051,'MAPA COMPARATIVO'!A:B,2,FALSE),VLOOKUP(C1051,'NAO DESO'!A:B,2,0))</f>
        <v>PARAF. PANELA PHILIPS INOX 4,8 X32 PONTA PILOTO</v>
      </c>
      <c r="E1051" s="1194" t="s">
        <v>24</v>
      </c>
      <c r="F1051" s="242">
        <v>44</v>
      </c>
      <c r="G1051" s="242">
        <f>IF(B1051="SEPLAG",VLOOKUP(CONCATENATE("MEDIANA - ",C1051),COTAÇÃO,5,FALSE),VLOOKUP($C1051,'NAO DESO'!$A:$D,4,))</f>
        <v>0.95</v>
      </c>
      <c r="H1051" s="242">
        <f t="shared" si="80"/>
        <v>41.8</v>
      </c>
      <c r="I1051" s="54">
        <f>IF(B1051="SEPLAG",VLOOKUP(CONCATENATE("MEDIANA - ",C1051),COTAÇÃO,5,FALSE),VLOOKUP($C1051,DESON!$A:$D,4,))</f>
        <v>0.95</v>
      </c>
      <c r="J1051" s="209">
        <f t="shared" si="81"/>
        <v>41.8</v>
      </c>
    </row>
    <row r="1052" spans="1:10" ht="15" customHeight="1">
      <c r="A1052" s="208" t="s">
        <v>39</v>
      </c>
      <c r="B1052" s="241" t="s">
        <v>14504</v>
      </c>
      <c r="C1052" s="1181" t="s">
        <v>14316</v>
      </c>
      <c r="D1052" s="161" t="str">
        <f>IF(B1052="SEPLAG",VLOOKUP(COMPOSIÇÕES!C1052,'MAPA COMPARATIVO'!A:B,2,FALSE),VLOOKUP(C1052,'NAO DESO'!A:B,2,0))</f>
        <v>CHUMBADOR DE CM-063/060</v>
      </c>
      <c r="E1052" s="1194" t="s">
        <v>24</v>
      </c>
      <c r="F1052" s="242">
        <v>40</v>
      </c>
      <c r="G1052" s="242">
        <f>IF(B1052="SEPLAG",VLOOKUP(CONCATENATE("MEDIANA - ",C1052),COTAÇÃO,5,FALSE),VLOOKUP($C1052,'NAO DESO'!$A:$D,4,))</f>
        <v>0.86</v>
      </c>
      <c r="H1052" s="242">
        <f t="shared" si="80"/>
        <v>34.4</v>
      </c>
      <c r="I1052" s="54">
        <f>IF(B1052="SEPLAG",VLOOKUP(CONCATENATE("MEDIANA - ",C1052),COTAÇÃO,5,FALSE),VLOOKUP($C1052,DESON!$A:$D,4,))</f>
        <v>0.86</v>
      </c>
      <c r="J1052" s="209">
        <f t="shared" si="81"/>
        <v>34.4</v>
      </c>
    </row>
    <row r="1053" spans="1:10" ht="15" customHeight="1">
      <c r="A1053" s="208" t="s">
        <v>39</v>
      </c>
      <c r="B1053" s="241" t="s">
        <v>14504</v>
      </c>
      <c r="C1053" s="1181" t="s">
        <v>14317</v>
      </c>
      <c r="D1053" s="161" t="str">
        <f>IF(B1053="SEPLAG",VLOOKUP(COMPOSIÇÕES!C1053,'MAPA COMPARATIVO'!A:B,2,FALSE),VLOOKUP(C1053,'NAO DESO'!A:B,2,0))</f>
        <v>Silicone neutro incolor 280 g</v>
      </c>
      <c r="E1053" s="1194" t="s">
        <v>24</v>
      </c>
      <c r="F1053" s="242">
        <v>3</v>
      </c>
      <c r="G1053" s="242">
        <f>IF(B1053="SEPLAG",VLOOKUP(CONCATENATE("MEDIANA - ",C1053),COTAÇÃO,5,FALSE),VLOOKUP($C1053,'NAO DESO'!$A:$D,4,))</f>
        <v>43.9</v>
      </c>
      <c r="H1053" s="242">
        <f t="shared" si="80"/>
        <v>131.69999999999999</v>
      </c>
      <c r="I1053" s="54">
        <f>IF(B1053="SEPLAG",VLOOKUP(CONCATENATE("MEDIANA - ",C1053),COTAÇÃO,5,FALSE),VLOOKUP($C1053,DESON!$A:$D,4,))</f>
        <v>43.9</v>
      </c>
      <c r="J1053" s="209">
        <f t="shared" si="81"/>
        <v>131.69999999999999</v>
      </c>
    </row>
    <row r="1054" spans="1:10" ht="15" customHeight="1">
      <c r="A1054" s="208" t="s">
        <v>245</v>
      </c>
      <c r="B1054" s="241"/>
      <c r="C1054" s="1181">
        <v>10505</v>
      </c>
      <c r="D1054" s="161" t="str">
        <f>IF(B1054="SEPLAG",VLOOKUP(COMPOSIÇÕES!C1054,'MAPA COMPARATIVO'!A:B,2,FALSE),VLOOKUP(C1054,'NAO DESO'!A:B,2,0))</f>
        <v>VIDRO TEMPERADO INCOLOR E = 6 MM, SEM COLOCACAO</v>
      </c>
      <c r="E1054" s="241" t="str">
        <f>VLOOKUP($C1054,'NAO DESO'!$A:$D,3,)</f>
        <v xml:space="preserve">M2    </v>
      </c>
      <c r="F1054" s="242">
        <v>12.6</v>
      </c>
      <c r="G1054" s="242">
        <f>IF(B1054="SEPLAG",VLOOKUP(CONCATENATE("MEDIANA - ",C1054),COTAÇÃO,5,FALSE),VLOOKUP($C1054,'NAO DESO'!$A:$D,4,))</f>
        <v>272.77</v>
      </c>
      <c r="H1054" s="242">
        <f t="shared" si="80"/>
        <v>3436.9</v>
      </c>
      <c r="I1054" s="54" t="str">
        <f>IF(B1054="SEPLAG",VLOOKUP(CONCATENATE("MEDIANA - ",C1054),COTAÇÃO,5,FALSE),VLOOKUP($C1054,DESON!$A:$D,4,))</f>
        <v>272,77</v>
      </c>
      <c r="J1054" s="209">
        <f t="shared" si="81"/>
        <v>3436.9</v>
      </c>
    </row>
    <row r="1055" spans="1:10" ht="15" customHeight="1">
      <c r="A1055" s="208" t="s">
        <v>245</v>
      </c>
      <c r="B1055" s="241"/>
      <c r="C1055" s="1181">
        <v>88315</v>
      </c>
      <c r="D1055" s="161" t="str">
        <f>IF(B1055="SEPLAG",VLOOKUP(COMPOSIÇÕES!C1055,'MAPA COMPARATIVO'!A:B,2,FALSE),VLOOKUP(C1055,'NAO DESO'!A:B,2,0))</f>
        <v>SERRALHEIRO COM ENCARGOS COMPLEMENTARES</v>
      </c>
      <c r="E1055" s="241" t="str">
        <f>VLOOKUP($C1055,'NAO DESO'!$A:$D,3,)</f>
        <v>H</v>
      </c>
      <c r="F1055" s="242">
        <v>33.25</v>
      </c>
      <c r="G1055" s="242" t="str">
        <f>IF(B1055="SEPLAG",VLOOKUP(CONCATENATE("MEDIANA - ",C1055),COTAÇÃO,5,FALSE),VLOOKUP($C1055,'NAO DESO'!$A:$D,4,))</f>
        <v>20,97</v>
      </c>
      <c r="H1055" s="242">
        <f t="shared" si="80"/>
        <v>697.25</v>
      </c>
      <c r="I1055" s="54" t="str">
        <f>IF(B1055="SEPLAG",VLOOKUP(CONCATENATE("MEDIANA - ",C1055),COTAÇÃO,5,FALSE),VLOOKUP($C1055,DESON!$A:$D,4,))</f>
        <v>18,75</v>
      </c>
      <c r="J1055" s="209">
        <f t="shared" si="81"/>
        <v>623.42999999999995</v>
      </c>
    </row>
    <row r="1056" spans="1:10" ht="15" customHeight="1">
      <c r="A1056" s="208" t="s">
        <v>245</v>
      </c>
      <c r="B1056" s="241"/>
      <c r="C1056" s="1181">
        <v>88316</v>
      </c>
      <c r="D1056" s="161" t="str">
        <f>IF(B1056="SEPLAG",VLOOKUP(COMPOSIÇÕES!C1056,'MAPA COMPARATIVO'!A:B,2,FALSE),VLOOKUP(C1056,'NAO DESO'!A:B,2,0))</f>
        <v>SERVENTE COM ENCARGOS COMPLEMENTARES</v>
      </c>
      <c r="E1056" s="241" t="str">
        <f>VLOOKUP($C1056,'NAO DESO'!$A:$D,3,)</f>
        <v>H</v>
      </c>
      <c r="F1056" s="242">
        <v>33.25</v>
      </c>
      <c r="G1056" s="242" t="str">
        <f>IF(B1056="SEPLAG",VLOOKUP(CONCATENATE("MEDIANA - ",C1056),COTAÇÃO,5,FALSE),VLOOKUP($C1056,'NAO DESO'!$A:$D,4,))</f>
        <v>16,83</v>
      </c>
      <c r="H1056" s="242">
        <f t="shared" si="80"/>
        <v>559.59</v>
      </c>
      <c r="I1056" s="54" t="str">
        <f>IF(B1056="SEPLAG",VLOOKUP(CONCATENATE("MEDIANA - ",C1056),COTAÇÃO,5,FALSE),VLOOKUP($C1056,DESON!$A:$D,4,))</f>
        <v>15,16</v>
      </c>
      <c r="J1056" s="209">
        <f t="shared" si="81"/>
        <v>504.07</v>
      </c>
    </row>
    <row r="1057" spans="1:10" ht="15" customHeight="1">
      <c r="A1057" s="210" t="str">
        <f>CONCATENATE("TOTAL DO ITEM NÃO DESON. - ",C1030)</f>
        <v>TOTAL DO ITEM NÃO DESON. - SEPLAG  ARQ 78</v>
      </c>
      <c r="B1057" s="424"/>
      <c r="C1057" s="424"/>
      <c r="D1057" s="424"/>
      <c r="E1057" s="424"/>
      <c r="F1057" s="425"/>
      <c r="G1057" s="426"/>
      <c r="H1057" s="1182">
        <f>SUM(H1032:H1056)</f>
        <v>8229.4699999999993</v>
      </c>
      <c r="I1057" s="214"/>
      <c r="J1057" s="215"/>
    </row>
    <row r="1058" spans="1:10" ht="15.75" customHeight="1" thickBot="1">
      <c r="A1058" s="216" t="str">
        <f>CONCATENATE("TOTAL DO ITEM DESON. - ",C1030)</f>
        <v>TOTAL DO ITEM DESON. - SEPLAG  ARQ 78</v>
      </c>
      <c r="B1058" s="427"/>
      <c r="C1058" s="427"/>
      <c r="D1058" s="427"/>
      <c r="E1058" s="427"/>
      <c r="F1058" s="428"/>
      <c r="G1058" s="429"/>
      <c r="H1058" s="1187"/>
      <c r="I1058" s="229"/>
      <c r="J1058" s="219">
        <f>SUM(J1032:J1056)</f>
        <v>8100.1299999999992</v>
      </c>
    </row>
    <row r="1059" spans="1:10" ht="15" customHeight="1" thickBot="1">
      <c r="A1059" s="235"/>
      <c r="B1059" s="1135"/>
      <c r="C1059" s="1135"/>
      <c r="D1059" s="1135"/>
      <c r="E1059" s="1135"/>
      <c r="F1059" s="1188"/>
      <c r="G1059" s="1188"/>
      <c r="H1059" s="1188"/>
      <c r="I1059" s="236"/>
      <c r="J1059" s="237"/>
    </row>
    <row r="1060" spans="1:10" ht="31.5" customHeight="1">
      <c r="A1060" s="198"/>
      <c r="B1060" s="1175"/>
      <c r="C1060" s="1176" t="s">
        <v>7367</v>
      </c>
      <c r="D1060" s="156" t="s">
        <v>7616</v>
      </c>
      <c r="E1060" s="1176" t="s">
        <v>32</v>
      </c>
      <c r="F1060" s="1177" t="s">
        <v>18</v>
      </c>
      <c r="G1060" s="1178" t="s">
        <v>7017</v>
      </c>
      <c r="H1060" s="1179"/>
      <c r="I1060" s="200" t="s">
        <v>7016</v>
      </c>
      <c r="J1060" s="201"/>
    </row>
    <row r="1061" spans="1:10" ht="15" customHeight="1">
      <c r="A1061" s="233"/>
      <c r="B1061" s="247"/>
      <c r="C1061" s="1155"/>
      <c r="D1061" s="157"/>
      <c r="E1061" s="1155"/>
      <c r="F1061" s="1180"/>
      <c r="G1061" s="1180" t="s">
        <v>19</v>
      </c>
      <c r="H1061" s="1180" t="s">
        <v>20</v>
      </c>
      <c r="I1061" s="205" t="s">
        <v>19</v>
      </c>
      <c r="J1061" s="206" t="s">
        <v>20</v>
      </c>
    </row>
    <row r="1062" spans="1:10" ht="15" customHeight="1">
      <c r="A1062" s="208" t="s">
        <v>39</v>
      </c>
      <c r="B1062" s="241"/>
      <c r="C1062" s="241">
        <v>34360</v>
      </c>
      <c r="D1062" s="161" t="s">
        <v>7323</v>
      </c>
      <c r="E1062" s="1194" t="s">
        <v>133</v>
      </c>
      <c r="F1062" s="242">
        <v>0.50600000000000001</v>
      </c>
      <c r="G1062" s="242">
        <f>IF(B1062="SEPLAG",VLOOKUP(CONCATENATE("MEDIANA - ",C1062),COTAÇÃO,5,FALSE),VLOOKUP($C1062,'NAO DESO'!$A:$D,4,))</f>
        <v>47.31</v>
      </c>
      <c r="H1062" s="242">
        <f t="shared" ref="H1062:H1067" si="82">TRUNC(F1062*G1062,2)</f>
        <v>23.93</v>
      </c>
      <c r="I1062" s="54" t="str">
        <f>IF(B1062="SEPLAG",VLOOKUP(CONCATENATE("MEDIANA - ",C1062),COTAÇÃO,5,FALSE),VLOOKUP($C1062,DESON!$A:$D,4,))</f>
        <v>47,31</v>
      </c>
      <c r="J1062" s="209">
        <f t="shared" ref="J1062:J1067" si="83">TRUNC(F1062*I1062,2)</f>
        <v>23.93</v>
      </c>
    </row>
    <row r="1063" spans="1:10" ht="15" customHeight="1">
      <c r="A1063" s="208" t="s">
        <v>39</v>
      </c>
      <c r="B1063" s="241"/>
      <c r="C1063" s="241">
        <v>34360</v>
      </c>
      <c r="D1063" s="161" t="s">
        <v>7324</v>
      </c>
      <c r="E1063" s="1194" t="s">
        <v>133</v>
      </c>
      <c r="F1063" s="242">
        <v>0.69200000000000006</v>
      </c>
      <c r="G1063" s="242">
        <f>IF(B1063="SEPLAG",VLOOKUP(CONCATENATE("MEDIANA - ",C1063),COTAÇÃO,5,FALSE),VLOOKUP($C1063,'NAO DESO'!$A:$D,4,))</f>
        <v>47.31</v>
      </c>
      <c r="H1063" s="242">
        <f t="shared" si="82"/>
        <v>32.729999999999997</v>
      </c>
      <c r="I1063" s="54" t="str">
        <f>IF(B1063="SEPLAG",VLOOKUP(CONCATENATE("MEDIANA - ",C1063),COTAÇÃO,5,FALSE),VLOOKUP($C1063,DESON!$A:$D,4,))</f>
        <v>47,31</v>
      </c>
      <c r="J1063" s="209">
        <f t="shared" si="83"/>
        <v>32.729999999999997</v>
      </c>
    </row>
    <row r="1064" spans="1:10" ht="15" customHeight="1">
      <c r="A1064" s="208" t="s">
        <v>39</v>
      </c>
      <c r="B1064" s="241"/>
      <c r="C1064" s="241">
        <v>34360</v>
      </c>
      <c r="D1064" s="161" t="s">
        <v>7325</v>
      </c>
      <c r="E1064" s="1194" t="s">
        <v>133</v>
      </c>
      <c r="F1064" s="242">
        <v>0.27300000000000002</v>
      </c>
      <c r="G1064" s="242">
        <f>IF(B1064="SEPLAG",VLOOKUP(CONCATENATE("MEDIANA - ",C1064),COTAÇÃO,5,FALSE),VLOOKUP($C1064,'NAO DESO'!$A:$D,4,))</f>
        <v>47.31</v>
      </c>
      <c r="H1064" s="242">
        <f t="shared" si="82"/>
        <v>12.91</v>
      </c>
      <c r="I1064" s="54" t="str">
        <f>IF(B1064="SEPLAG",VLOOKUP(CONCATENATE("MEDIANA - ",C1064),COTAÇÃO,5,FALSE),VLOOKUP($C1064,DESON!$A:$D,4,))</f>
        <v>47,31</v>
      </c>
      <c r="J1064" s="209">
        <f t="shared" si="83"/>
        <v>12.91</v>
      </c>
    </row>
    <row r="1065" spans="1:10" ht="15" customHeight="1">
      <c r="A1065" s="208" t="s">
        <v>39</v>
      </c>
      <c r="B1065" s="241"/>
      <c r="C1065" s="241">
        <v>34360</v>
      </c>
      <c r="D1065" s="161" t="s">
        <v>7326</v>
      </c>
      <c r="E1065" s="1194" t="s">
        <v>133</v>
      </c>
      <c r="F1065" s="242">
        <v>0.69000000000000006</v>
      </c>
      <c r="G1065" s="242">
        <f>IF(B1065="SEPLAG",VLOOKUP(CONCATENATE("MEDIANA - ",C1065),COTAÇÃO,5,FALSE),VLOOKUP($C1065,'NAO DESO'!$A:$D,4,))</f>
        <v>47.31</v>
      </c>
      <c r="H1065" s="242">
        <f t="shared" si="82"/>
        <v>32.64</v>
      </c>
      <c r="I1065" s="54" t="str">
        <f>IF(B1065="SEPLAG",VLOOKUP(CONCATENATE("MEDIANA - ",C1065),COTAÇÃO,5,FALSE),VLOOKUP($C1065,DESON!$A:$D,4,))</f>
        <v>47,31</v>
      </c>
      <c r="J1065" s="209">
        <f t="shared" si="83"/>
        <v>32.64</v>
      </c>
    </row>
    <row r="1066" spans="1:10" ht="15" customHeight="1">
      <c r="A1066" s="208" t="s">
        <v>39</v>
      </c>
      <c r="B1066" s="241"/>
      <c r="C1066" s="241">
        <v>34360</v>
      </c>
      <c r="D1066" s="161" t="s">
        <v>7327</v>
      </c>
      <c r="E1066" s="1194" t="s">
        <v>133</v>
      </c>
      <c r="F1066" s="242">
        <v>1.17</v>
      </c>
      <c r="G1066" s="242">
        <f>IF(B1066="SEPLAG",VLOOKUP(CONCATENATE("MEDIANA - ",C1066),COTAÇÃO,5,FALSE),VLOOKUP($C1066,'NAO DESO'!$A:$D,4,))</f>
        <v>47.31</v>
      </c>
      <c r="H1066" s="242">
        <f t="shared" si="82"/>
        <v>55.35</v>
      </c>
      <c r="I1066" s="54" t="str">
        <f>IF(B1066="SEPLAG",VLOOKUP(CONCATENATE("MEDIANA - ",C1066),COTAÇÃO,5,FALSE),VLOOKUP($C1066,DESON!$A:$D,4,))</f>
        <v>47,31</v>
      </c>
      <c r="J1066" s="209">
        <f t="shared" si="83"/>
        <v>55.35</v>
      </c>
    </row>
    <row r="1067" spans="1:10" ht="15" customHeight="1">
      <c r="A1067" s="208" t="s">
        <v>39</v>
      </c>
      <c r="B1067" s="241"/>
      <c r="C1067" s="241">
        <v>34360</v>
      </c>
      <c r="D1067" s="161" t="s">
        <v>7328</v>
      </c>
      <c r="E1067" s="1194" t="s">
        <v>133</v>
      </c>
      <c r="F1067" s="242">
        <v>0.32800000000000001</v>
      </c>
      <c r="G1067" s="242">
        <f>IF(B1067="SEPLAG",VLOOKUP(CONCATENATE("MEDIANA - ",C1067),COTAÇÃO,5,FALSE),VLOOKUP($C1067,'NAO DESO'!$A:$D,4,))</f>
        <v>47.31</v>
      </c>
      <c r="H1067" s="242">
        <f t="shared" si="82"/>
        <v>15.51</v>
      </c>
      <c r="I1067" s="54" t="str">
        <f>IF(B1067="SEPLAG",VLOOKUP(CONCATENATE("MEDIANA - ",C1067),COTAÇÃO,5,FALSE),VLOOKUP($C1067,DESON!$A:$D,4,))</f>
        <v>47,31</v>
      </c>
      <c r="J1067" s="209">
        <f t="shared" si="83"/>
        <v>15.51</v>
      </c>
    </row>
    <row r="1068" spans="1:10" ht="15" customHeight="1">
      <c r="A1068" s="208" t="s">
        <v>39</v>
      </c>
      <c r="B1068" s="241"/>
      <c r="C1068" s="241">
        <v>34360</v>
      </c>
      <c r="D1068" s="161" t="s">
        <v>7329</v>
      </c>
      <c r="E1068" s="1194" t="s">
        <v>133</v>
      </c>
      <c r="F1068" s="242"/>
      <c r="G1068" s="242">
        <f>IF(B1068="SEPLAG",VLOOKUP(CONCATENATE("MEDIANA - ",C1068),COTAÇÃO,5,FALSE),VLOOKUP($C1068,'NAO DESO'!$A:$D,4,))</f>
        <v>47.31</v>
      </c>
      <c r="H1068" s="242">
        <f>F1068*G1068</f>
        <v>0</v>
      </c>
      <c r="I1068" s="54" t="str">
        <f>IF(B1068="SEPLAG",VLOOKUP(CONCATENATE("MEDIANA - ",C1068),COTAÇÃO,5,FALSE),VLOOKUP($C1068,DESON!$A:$D,4,))</f>
        <v>47,31</v>
      </c>
      <c r="J1068" s="209">
        <f>F1068*I1068</f>
        <v>0</v>
      </c>
    </row>
    <row r="1069" spans="1:10" ht="15" customHeight="1">
      <c r="A1069" s="208" t="s">
        <v>39</v>
      </c>
      <c r="B1069" s="241"/>
      <c r="C1069" s="241">
        <v>34360</v>
      </c>
      <c r="D1069" s="161" t="s">
        <v>7330</v>
      </c>
      <c r="E1069" s="1194" t="s">
        <v>133</v>
      </c>
      <c r="F1069" s="242">
        <v>0</v>
      </c>
      <c r="G1069" s="242">
        <f>IF(B1069="SEPLAG",VLOOKUP(CONCATENATE("MEDIANA - ",C1069),COTAÇÃO,5,FALSE),VLOOKUP($C1069,'NAO DESO'!$A:$D,4,))</f>
        <v>47.31</v>
      </c>
      <c r="H1069" s="242">
        <f>F1069*G1069</f>
        <v>0</v>
      </c>
      <c r="I1069" s="54" t="str">
        <f>IF(B1069="SEPLAG",VLOOKUP(CONCATENATE("MEDIANA - ",C1069),COTAÇÃO,5,FALSE),VLOOKUP($C1069,DESON!$A:$D,4,))</f>
        <v>47,31</v>
      </c>
      <c r="J1069" s="209">
        <f>F1069*I1069</f>
        <v>0</v>
      </c>
    </row>
    <row r="1070" spans="1:10" ht="15" customHeight="1">
      <c r="A1070" s="208" t="s">
        <v>39</v>
      </c>
      <c r="B1070" s="241"/>
      <c r="C1070" s="241">
        <v>34360</v>
      </c>
      <c r="D1070" s="161" t="s">
        <v>7331</v>
      </c>
      <c r="E1070" s="1194" t="s">
        <v>133</v>
      </c>
      <c r="F1070" s="242">
        <v>1.9219999999999999</v>
      </c>
      <c r="G1070" s="242">
        <f>IF(B1070="SEPLAG",VLOOKUP(CONCATENATE("MEDIANA - ",C1070),COTAÇÃO,5,FALSE),VLOOKUP($C1070,'NAO DESO'!$A:$D,4,))</f>
        <v>47.31</v>
      </c>
      <c r="H1070" s="242">
        <f t="shared" ref="H1070:H1086" si="84">TRUNC(F1070*G1070,2)</f>
        <v>90.92</v>
      </c>
      <c r="I1070" s="54" t="str">
        <f>IF(B1070="SEPLAG",VLOOKUP(CONCATENATE("MEDIANA - ",C1070),COTAÇÃO,5,FALSE),VLOOKUP($C1070,DESON!$A:$D,4,))</f>
        <v>47,31</v>
      </c>
      <c r="J1070" s="209">
        <f t="shared" ref="J1070:J1086" si="85">TRUNC(F1070*I1070,2)</f>
        <v>90.92</v>
      </c>
    </row>
    <row r="1071" spans="1:10" ht="15" customHeight="1">
      <c r="A1071" s="208" t="s">
        <v>39</v>
      </c>
      <c r="B1071" s="241"/>
      <c r="C1071" s="241">
        <v>34360</v>
      </c>
      <c r="D1071" s="161" t="s">
        <v>7332</v>
      </c>
      <c r="E1071" s="1194" t="s">
        <v>133</v>
      </c>
      <c r="F1071" s="242">
        <v>0.154</v>
      </c>
      <c r="G1071" s="242">
        <f>IF(B1071="SEPLAG",VLOOKUP(CONCATENATE("MEDIANA - ",C1071),COTAÇÃO,5,FALSE),VLOOKUP($C1071,'NAO DESO'!$A:$D,4,))</f>
        <v>47.31</v>
      </c>
      <c r="H1071" s="242">
        <f t="shared" si="84"/>
        <v>7.28</v>
      </c>
      <c r="I1071" s="54" t="str">
        <f>IF(B1071="SEPLAG",VLOOKUP(CONCATENATE("MEDIANA - ",C1071),COTAÇÃO,5,FALSE),VLOOKUP($C1071,DESON!$A:$D,4,))</f>
        <v>47,31</v>
      </c>
      <c r="J1071" s="209">
        <f t="shared" si="85"/>
        <v>7.28</v>
      </c>
    </row>
    <row r="1072" spans="1:10" ht="15" customHeight="1">
      <c r="A1072" s="208" t="s">
        <v>39</v>
      </c>
      <c r="B1072" s="241"/>
      <c r="C1072" s="241">
        <v>34360</v>
      </c>
      <c r="D1072" s="161" t="s">
        <v>7333</v>
      </c>
      <c r="E1072" s="1194" t="s">
        <v>133</v>
      </c>
      <c r="F1072" s="242">
        <v>0.622</v>
      </c>
      <c r="G1072" s="242">
        <f>IF(B1072="SEPLAG",VLOOKUP(CONCATENATE("MEDIANA - ",C1072),COTAÇÃO,5,FALSE),VLOOKUP($C1072,'NAO DESO'!$A:$D,4,))</f>
        <v>47.31</v>
      </c>
      <c r="H1072" s="242">
        <f t="shared" si="84"/>
        <v>29.42</v>
      </c>
      <c r="I1072" s="54" t="str">
        <f>IF(B1072="SEPLAG",VLOOKUP(CONCATENATE("MEDIANA - ",C1072),COTAÇÃO,5,FALSE),VLOOKUP($C1072,DESON!$A:$D,4,))</f>
        <v>47,31</v>
      </c>
      <c r="J1072" s="209">
        <f t="shared" si="85"/>
        <v>29.42</v>
      </c>
    </row>
    <row r="1073" spans="1:10" ht="15" customHeight="1">
      <c r="A1073" s="208" t="s">
        <v>39</v>
      </c>
      <c r="B1073" s="241" t="s">
        <v>14504</v>
      </c>
      <c r="C1073" s="1181" t="s">
        <v>14307</v>
      </c>
      <c r="D1073" s="161" t="str">
        <f>IF(B1073="SEPLAG",VLOOKUP(COMPOSIÇÕES!C1073,'MAPA COMPARATIVO'!A:B,2,FALSE),VLOOKUP(C1073,'NAO DESO'!A:B,2,0))</f>
        <v xml:space="preserve">Braço de max-ar linha gold de 600mm </v>
      </c>
      <c r="E1073" s="1194" t="s">
        <v>24</v>
      </c>
      <c r="F1073" s="242">
        <v>2</v>
      </c>
      <c r="G1073" s="242">
        <f>IF(B1073="SEPLAG",VLOOKUP(CONCATENATE("MEDIANA - ",C1073),COTAÇÃO,5,FALSE),VLOOKUP($C1073,'NAO DESO'!$A:$D,4,))</f>
        <v>36.575000000000003</v>
      </c>
      <c r="H1073" s="242">
        <f t="shared" si="84"/>
        <v>73.150000000000006</v>
      </c>
      <c r="I1073" s="54">
        <f>IF(B1073="SEPLAG",VLOOKUP(CONCATENATE("MEDIANA - ",C1073),COTAÇÃO,5,FALSE),VLOOKUP($C1073,DESON!$A:$D,4,))</f>
        <v>36.575000000000003</v>
      </c>
      <c r="J1073" s="209">
        <f t="shared" si="85"/>
        <v>73.150000000000006</v>
      </c>
    </row>
    <row r="1074" spans="1:10" ht="15" customHeight="1">
      <c r="A1074" s="208" t="s">
        <v>39</v>
      </c>
      <c r="B1074" s="241" t="s">
        <v>14504</v>
      </c>
      <c r="C1074" s="1181" t="s">
        <v>14308</v>
      </c>
      <c r="D1074" s="161" t="str">
        <f>IF(B1074="SEPLAG",VLOOKUP(COMPOSIÇÕES!C1074,'MAPA COMPARATIVO'!A:B,2,FALSE),VLOOKUP(C1074,'NAO DESO'!A:B,2,0))</f>
        <v>Fecho max-ar linha gold</v>
      </c>
      <c r="E1074" s="1194" t="s">
        <v>24</v>
      </c>
      <c r="F1074" s="242">
        <v>2</v>
      </c>
      <c r="G1074" s="242">
        <f>IF(B1074="SEPLAG",VLOOKUP(CONCATENATE("MEDIANA - ",C1074),COTAÇÃO,5,FALSE),VLOOKUP($C1074,'NAO DESO'!$A:$D,4,))</f>
        <v>47.36</v>
      </c>
      <c r="H1074" s="242">
        <f t="shared" si="84"/>
        <v>94.72</v>
      </c>
      <c r="I1074" s="54">
        <f>IF(B1074="SEPLAG",VLOOKUP(CONCATENATE("MEDIANA - ",C1074),COTAÇÃO,5,FALSE),VLOOKUP($C1074,DESON!$A:$D,4,))</f>
        <v>47.36</v>
      </c>
      <c r="J1074" s="209">
        <f t="shared" si="85"/>
        <v>94.72</v>
      </c>
    </row>
    <row r="1075" spans="1:10" ht="15" customHeight="1">
      <c r="A1075" s="208" t="s">
        <v>39</v>
      </c>
      <c r="B1075" s="241" t="s">
        <v>14504</v>
      </c>
      <c r="C1075" s="1181" t="s">
        <v>14309</v>
      </c>
      <c r="D1075" s="161" t="str">
        <f>IF(B1075="SEPLAG",VLOOKUP(COMPOSIÇÕES!C1075,'MAPA COMPARATIVO'!A:B,2,FALSE),VLOOKUP(C1075,'NAO DESO'!A:B,2,0))</f>
        <v>Guarnição em EPDM p/ pingadeira</v>
      </c>
      <c r="E1075" s="1194" t="s">
        <v>7388</v>
      </c>
      <c r="F1075" s="242">
        <v>0.97199999999999998</v>
      </c>
      <c r="G1075" s="242">
        <f>IF(B1075="SEPLAG",VLOOKUP(CONCATENATE("MEDIANA - ",C1075),COTAÇÃO,5,FALSE),VLOOKUP($C1075,'NAO DESO'!$A:$D,4,))</f>
        <v>4.3849999999999998</v>
      </c>
      <c r="H1075" s="242">
        <f t="shared" si="84"/>
        <v>4.26</v>
      </c>
      <c r="I1075" s="54">
        <f>IF(B1075="SEPLAG",VLOOKUP(CONCATENATE("MEDIANA - ",C1075),COTAÇÃO,5,FALSE),VLOOKUP($C1075,DESON!$A:$D,4,))</f>
        <v>4.3849999999999998</v>
      </c>
      <c r="J1075" s="209">
        <f t="shared" si="85"/>
        <v>4.26</v>
      </c>
    </row>
    <row r="1076" spans="1:10" ht="15" customHeight="1">
      <c r="A1076" s="208" t="s">
        <v>39</v>
      </c>
      <c r="B1076" s="241" t="s">
        <v>14504</v>
      </c>
      <c r="C1076" s="1181" t="s">
        <v>14310</v>
      </c>
      <c r="D1076" s="161" t="str">
        <f>IF(B1076="SEPLAG",VLOOKUP(COMPOSIÇÕES!C1076,'MAPA COMPARATIVO'!A:B,2,FALSE),VLOOKUP(C1076,'NAO DESO'!A:B,2,0))</f>
        <v>Guarnição em EPDM para vidro</v>
      </c>
      <c r="E1076" s="1194" t="s">
        <v>250</v>
      </c>
      <c r="F1076" s="242">
        <v>3.6320000000000001</v>
      </c>
      <c r="G1076" s="242">
        <f>IF(B1076="SEPLAG",VLOOKUP(CONCATENATE("MEDIANA - ",C1076),COTAÇÃO,5,FALSE),VLOOKUP($C1076,'NAO DESO'!$A:$D,4,))</f>
        <v>2.4091999999999998</v>
      </c>
      <c r="H1076" s="242">
        <f t="shared" si="84"/>
        <v>8.75</v>
      </c>
      <c r="I1076" s="54">
        <f>IF(B1076="SEPLAG",VLOOKUP(CONCATENATE("MEDIANA - ",C1076),COTAÇÃO,5,FALSE),VLOOKUP($C1076,DESON!$A:$D,4,))</f>
        <v>2.4091999999999998</v>
      </c>
      <c r="J1076" s="209">
        <f t="shared" si="85"/>
        <v>8.75</v>
      </c>
    </row>
    <row r="1077" spans="1:10" ht="15" customHeight="1">
      <c r="A1077" s="208" t="s">
        <v>39</v>
      </c>
      <c r="B1077" s="241" t="s">
        <v>14504</v>
      </c>
      <c r="C1077" s="1181" t="s">
        <v>14311</v>
      </c>
      <c r="D1077" s="161" t="str">
        <f>IF(B1077="SEPLAG",VLOOKUP(COMPOSIÇÕES!C1077,'MAPA COMPARATIVO'!A:B,2,FALSE),VLOOKUP(C1077,'NAO DESO'!A:B,2,0))</f>
        <v>Espuma adesiva 1 face</v>
      </c>
      <c r="E1077" s="1194" t="s">
        <v>250</v>
      </c>
      <c r="F1077" s="242">
        <v>3.6320000000000001</v>
      </c>
      <c r="G1077" s="242">
        <f>IF(B1077="SEPLAG",VLOOKUP(CONCATENATE("MEDIANA - ",C1077),COTAÇÃO,5,FALSE),VLOOKUP($C1077,'NAO DESO'!$A:$D,4,))</f>
        <v>2.1800000000000002</v>
      </c>
      <c r="H1077" s="242">
        <f t="shared" si="84"/>
        <v>7.91</v>
      </c>
      <c r="I1077" s="54">
        <f>IF(B1077="SEPLAG",VLOOKUP(CONCATENATE("MEDIANA - ",C1077),COTAÇÃO,5,FALSE),VLOOKUP($C1077,DESON!$A:$D,4,))</f>
        <v>2.1800000000000002</v>
      </c>
      <c r="J1077" s="209">
        <f t="shared" si="85"/>
        <v>7.91</v>
      </c>
    </row>
    <row r="1078" spans="1:10" ht="15" customHeight="1">
      <c r="A1078" s="208" t="s">
        <v>39</v>
      </c>
      <c r="B1078" s="241" t="s">
        <v>14504</v>
      </c>
      <c r="C1078" s="1181" t="s">
        <v>14312</v>
      </c>
      <c r="D1078" s="161" t="str">
        <f>IF(B1078="SEPLAG",VLOOKUP(COMPOSIÇÕES!C1078,'MAPA COMPARATIVO'!A:B,2,FALSE),VLOOKUP(C1078,'NAO DESO'!A:B,2,0))</f>
        <v>Guarnição em EPDM p/ marco max-ar</v>
      </c>
      <c r="E1078" s="1194" t="s">
        <v>250</v>
      </c>
      <c r="F1078" s="242">
        <v>6.6319999999999997</v>
      </c>
      <c r="G1078" s="242">
        <f>IF(B1078="SEPLAG",VLOOKUP(CONCATENATE("MEDIANA - ",C1078),COTAÇÃO,5,FALSE),VLOOKUP($C1078,'NAO DESO'!$A:$D,4,))</f>
        <v>3.8138999999999998</v>
      </c>
      <c r="H1078" s="242">
        <f t="shared" si="84"/>
        <v>25.29</v>
      </c>
      <c r="I1078" s="54">
        <f>IF(B1078="SEPLAG",VLOOKUP(CONCATENATE("MEDIANA - ",C1078),COTAÇÃO,5,FALSE),VLOOKUP($C1078,DESON!$A:$D,4,))</f>
        <v>3.8138999999999998</v>
      </c>
      <c r="J1078" s="209">
        <f t="shared" si="85"/>
        <v>25.29</v>
      </c>
    </row>
    <row r="1079" spans="1:10" ht="15" customHeight="1">
      <c r="A1079" s="208" t="s">
        <v>39</v>
      </c>
      <c r="B1079" s="241" t="s">
        <v>14504</v>
      </c>
      <c r="C1079" s="1181" t="s">
        <v>14313</v>
      </c>
      <c r="D1079" s="161" t="str">
        <f>IF(B1079="SEPLAG",VLOOKUP(COMPOSIÇÕES!C1079,'MAPA COMPARATIVO'!A:B,2,FALSE),VLOOKUP(C1079,'NAO DESO'!A:B,2,0))</f>
        <v>PRESILHA DE FIXAÇÃO DO ARREMATE MP-347</v>
      </c>
      <c r="E1079" s="1194" t="s">
        <v>24</v>
      </c>
      <c r="F1079" s="242">
        <v>10</v>
      </c>
      <c r="G1079" s="242">
        <f>IF(B1079="SEPLAG",VLOOKUP(CONCATENATE("MEDIANA - ",C1079),COTAÇÃO,5,FALSE),VLOOKUP($C1079,'NAO DESO'!$A:$D,4,))</f>
        <v>0.34</v>
      </c>
      <c r="H1079" s="242">
        <f t="shared" si="84"/>
        <v>3.4</v>
      </c>
      <c r="I1079" s="54">
        <f>IF(B1079="SEPLAG",VLOOKUP(CONCATENATE("MEDIANA - ",C1079),COTAÇÃO,5,FALSE),VLOOKUP($C1079,DESON!$A:$D,4,))</f>
        <v>0.34</v>
      </c>
      <c r="J1079" s="209">
        <f t="shared" si="85"/>
        <v>3.4</v>
      </c>
    </row>
    <row r="1080" spans="1:10" ht="15" customHeight="1">
      <c r="A1080" s="208" t="s">
        <v>39</v>
      </c>
      <c r="B1080" s="241" t="s">
        <v>14504</v>
      </c>
      <c r="C1080" s="1181" t="s">
        <v>14314</v>
      </c>
      <c r="D1080" s="161" t="str">
        <f>IF(B1080="SEPLAG",VLOOKUP(COMPOSIÇÕES!C1080,'MAPA COMPARATIVO'!A:B,2,FALSE),VLOOKUP(C1080,'NAO DESO'!A:B,2,0))</f>
        <v>Parafuso zincado phillips flangeado autobrocante 4,2 x 16mm</v>
      </c>
      <c r="E1080" s="1194" t="s">
        <v>24</v>
      </c>
      <c r="F1080" s="242">
        <v>10</v>
      </c>
      <c r="G1080" s="242">
        <f>IF(B1080="SEPLAG",VLOOKUP(CONCATENATE("MEDIANA - ",C1080),COTAÇÃO,5,FALSE),VLOOKUP($C1080,'NAO DESO'!$A:$D,4,))</f>
        <v>0.28000000000000003</v>
      </c>
      <c r="H1080" s="242">
        <f t="shared" si="84"/>
        <v>2.8</v>
      </c>
      <c r="I1080" s="54">
        <f>IF(B1080="SEPLAG",VLOOKUP(CONCATENATE("MEDIANA - ",C1080),COTAÇÃO,5,FALSE),VLOOKUP($C1080,DESON!$A:$D,4,))</f>
        <v>0.28000000000000003</v>
      </c>
      <c r="J1080" s="209">
        <f t="shared" si="85"/>
        <v>2.8</v>
      </c>
    </row>
    <row r="1081" spans="1:10" ht="15" customHeight="1">
      <c r="A1081" s="208" t="s">
        <v>39</v>
      </c>
      <c r="B1081" s="241" t="s">
        <v>14504</v>
      </c>
      <c r="C1081" s="1181" t="s">
        <v>14315</v>
      </c>
      <c r="D1081" s="161" t="str">
        <f>IF(B1081="SEPLAG",VLOOKUP(COMPOSIÇÕES!C1081,'MAPA COMPARATIVO'!A:B,2,FALSE),VLOOKUP(C1081,'NAO DESO'!A:B,2,0))</f>
        <v>PARAF. PANELA PHILIPS INOX 4,8 X32 PONTA PILOTO</v>
      </c>
      <c r="E1081" s="1194" t="s">
        <v>24</v>
      </c>
      <c r="F1081" s="242">
        <v>4</v>
      </c>
      <c r="G1081" s="242">
        <f>IF(B1081="SEPLAG",VLOOKUP(CONCATENATE("MEDIANA - ",C1081),COTAÇÃO,5,FALSE),VLOOKUP($C1081,'NAO DESO'!$A:$D,4,))</f>
        <v>0.95</v>
      </c>
      <c r="H1081" s="242">
        <f t="shared" si="84"/>
        <v>3.8</v>
      </c>
      <c r="I1081" s="54">
        <f>IF(B1081="SEPLAG",VLOOKUP(CONCATENATE("MEDIANA - ",C1081),COTAÇÃO,5,FALSE),VLOOKUP($C1081,DESON!$A:$D,4,))</f>
        <v>0.95</v>
      </c>
      <c r="J1081" s="209">
        <f t="shared" si="85"/>
        <v>3.8</v>
      </c>
    </row>
    <row r="1082" spans="1:10" ht="15" customHeight="1">
      <c r="A1082" s="208" t="s">
        <v>39</v>
      </c>
      <c r="B1082" s="241" t="s">
        <v>14504</v>
      </c>
      <c r="C1082" s="1181" t="s">
        <v>14316</v>
      </c>
      <c r="D1082" s="161" t="str">
        <f>IF(B1082="SEPLAG",VLOOKUP(COMPOSIÇÕES!C1082,'MAPA COMPARATIVO'!A:B,2,FALSE),VLOOKUP(C1082,'NAO DESO'!A:B,2,0))</f>
        <v>CHUMBADOR DE CM-063/060</v>
      </c>
      <c r="E1082" s="1194" t="s">
        <v>24</v>
      </c>
      <c r="F1082" s="242">
        <v>10</v>
      </c>
      <c r="G1082" s="242">
        <f>IF(B1082="SEPLAG",VLOOKUP(CONCATENATE("MEDIANA - ",C1082),COTAÇÃO,5,FALSE),VLOOKUP($C1082,'NAO DESO'!$A:$D,4,))</f>
        <v>0.86</v>
      </c>
      <c r="H1082" s="242">
        <f t="shared" si="84"/>
        <v>8.6</v>
      </c>
      <c r="I1082" s="54">
        <f>IF(B1082="SEPLAG",VLOOKUP(CONCATENATE("MEDIANA - ",C1082),COTAÇÃO,5,FALSE),VLOOKUP($C1082,DESON!$A:$D,4,))</f>
        <v>0.86</v>
      </c>
      <c r="J1082" s="209">
        <f t="shared" si="85"/>
        <v>8.6</v>
      </c>
    </row>
    <row r="1083" spans="1:10" ht="15" customHeight="1">
      <c r="A1083" s="208" t="s">
        <v>39</v>
      </c>
      <c r="B1083" s="241" t="s">
        <v>14504</v>
      </c>
      <c r="C1083" s="1181" t="s">
        <v>14317</v>
      </c>
      <c r="D1083" s="161" t="str">
        <f>IF(B1083="SEPLAG",VLOOKUP(COMPOSIÇÕES!C1083,'MAPA COMPARATIVO'!A:B,2,FALSE),VLOOKUP(C1083,'NAO DESO'!A:B,2,0))</f>
        <v>Silicone neutro incolor 280 g</v>
      </c>
      <c r="E1083" s="1194" t="s">
        <v>24</v>
      </c>
      <c r="F1083" s="242">
        <v>1</v>
      </c>
      <c r="G1083" s="242">
        <f>IF(B1083="SEPLAG",VLOOKUP(CONCATENATE("MEDIANA - ",C1083),COTAÇÃO,5,FALSE),VLOOKUP($C1083,'NAO DESO'!$A:$D,4,))</f>
        <v>43.9</v>
      </c>
      <c r="H1083" s="242">
        <f t="shared" si="84"/>
        <v>43.9</v>
      </c>
      <c r="I1083" s="54">
        <f>IF(B1083="SEPLAG",VLOOKUP(CONCATENATE("MEDIANA - ",C1083),COTAÇÃO,5,FALSE),VLOOKUP($C1083,DESON!$A:$D,4,))</f>
        <v>43.9</v>
      </c>
      <c r="J1083" s="209">
        <f t="shared" si="85"/>
        <v>43.9</v>
      </c>
    </row>
    <row r="1084" spans="1:10" ht="15" customHeight="1">
      <c r="A1084" s="208" t="s">
        <v>245</v>
      </c>
      <c r="B1084" s="241"/>
      <c r="C1084" s="1181">
        <v>10505</v>
      </c>
      <c r="D1084" s="161" t="str">
        <f>IF(B1084="SEPLAG",VLOOKUP(COMPOSIÇÕES!C1084,'MAPA COMPARATIVO'!A:B,2,FALSE),VLOOKUP(C1084,'NAO DESO'!A:B,2,0))</f>
        <v>VIDRO TEMPERADO INCOLOR E = 6 MM, SEM COLOCACAO</v>
      </c>
      <c r="E1084" s="241" t="str">
        <f>VLOOKUP($C1084,'NAO DESO'!$A:$D,3,)</f>
        <v xml:space="preserve">M2    </v>
      </c>
      <c r="F1084" s="242">
        <v>0.5</v>
      </c>
      <c r="G1084" s="242">
        <f>IF(B1084="SEPLAG",VLOOKUP(CONCATENATE("MEDIANA - ",C1084),COTAÇÃO,5,FALSE),VLOOKUP($C1084,'NAO DESO'!$A:$D,4,))</f>
        <v>272.77</v>
      </c>
      <c r="H1084" s="242">
        <f t="shared" si="84"/>
        <v>136.38</v>
      </c>
      <c r="I1084" s="54" t="str">
        <f>IF(B1084="SEPLAG",VLOOKUP(CONCATENATE("MEDIANA - ",C1084),COTAÇÃO,5,FALSE),VLOOKUP($C1084,DESON!$A:$D,4,))</f>
        <v>272,77</v>
      </c>
      <c r="J1084" s="209">
        <f t="shared" si="85"/>
        <v>136.38</v>
      </c>
    </row>
    <row r="1085" spans="1:10" ht="15" customHeight="1">
      <c r="A1085" s="208" t="s">
        <v>245</v>
      </c>
      <c r="B1085" s="241"/>
      <c r="C1085" s="1181">
        <v>88315</v>
      </c>
      <c r="D1085" s="161" t="str">
        <f>IF(B1085="SEPLAG",VLOOKUP(COMPOSIÇÕES!C1085,'MAPA COMPARATIVO'!A:B,2,FALSE),VLOOKUP(C1085,'NAO DESO'!A:B,2,0))</f>
        <v>SERRALHEIRO COM ENCARGOS COMPLEMENTARES</v>
      </c>
      <c r="E1085" s="241" t="str">
        <f>VLOOKUP($C1085,'NAO DESO'!$A:$D,3,)</f>
        <v>H</v>
      </c>
      <c r="F1085" s="242">
        <v>1.63</v>
      </c>
      <c r="G1085" s="242" t="str">
        <f>IF(B1085="SEPLAG",VLOOKUP(CONCATENATE("MEDIANA - ",C1085),COTAÇÃO,5,FALSE),VLOOKUP($C1085,'NAO DESO'!$A:$D,4,))</f>
        <v>20,97</v>
      </c>
      <c r="H1085" s="242">
        <f t="shared" si="84"/>
        <v>34.18</v>
      </c>
      <c r="I1085" s="54" t="str">
        <f>IF(B1085="SEPLAG",VLOOKUP(CONCATENATE("MEDIANA - ",C1085),COTAÇÃO,5,FALSE),VLOOKUP($C1085,DESON!$A:$D,4,))</f>
        <v>18,75</v>
      </c>
      <c r="J1085" s="209">
        <f t="shared" si="85"/>
        <v>30.56</v>
      </c>
    </row>
    <row r="1086" spans="1:10" ht="15" customHeight="1">
      <c r="A1086" s="208" t="s">
        <v>245</v>
      </c>
      <c r="B1086" s="241"/>
      <c r="C1086" s="1181">
        <v>88316</v>
      </c>
      <c r="D1086" s="161" t="str">
        <f>IF(B1086="SEPLAG",VLOOKUP(COMPOSIÇÕES!C1086,'MAPA COMPARATIVO'!A:B,2,FALSE),VLOOKUP(C1086,'NAO DESO'!A:B,2,0))</f>
        <v>SERVENTE COM ENCARGOS COMPLEMENTARES</v>
      </c>
      <c r="E1086" s="241" t="str">
        <f>VLOOKUP($C1086,'NAO DESO'!$A:$D,3,)</f>
        <v>H</v>
      </c>
      <c r="F1086" s="242">
        <v>1.63</v>
      </c>
      <c r="G1086" s="242" t="str">
        <f>IF(B1086="SEPLAG",VLOOKUP(CONCATENATE("MEDIANA - ",C1086),COTAÇÃO,5,FALSE),VLOOKUP($C1086,'NAO DESO'!$A:$D,4,))</f>
        <v>16,83</v>
      </c>
      <c r="H1086" s="242">
        <f t="shared" si="84"/>
        <v>27.43</v>
      </c>
      <c r="I1086" s="54" t="str">
        <f>IF(B1086="SEPLAG",VLOOKUP(CONCATENATE("MEDIANA - ",C1086),COTAÇÃO,5,FALSE),VLOOKUP($C1086,DESON!$A:$D,4,))</f>
        <v>15,16</v>
      </c>
      <c r="J1086" s="209">
        <f t="shared" si="85"/>
        <v>24.71</v>
      </c>
    </row>
    <row r="1087" spans="1:10" ht="15" customHeight="1">
      <c r="A1087" s="210" t="str">
        <f>CONCATENATE("TOTAL DO ITEM NÃO DESON. - ",C1060)</f>
        <v>TOTAL DO ITEM NÃO DESON. - SEPLAG  ARQ 79</v>
      </c>
      <c r="B1087" s="424"/>
      <c r="C1087" s="424"/>
      <c r="D1087" s="424"/>
      <c r="E1087" s="424"/>
      <c r="F1087" s="425"/>
      <c r="G1087" s="426"/>
      <c r="H1087" s="1182">
        <f>SUM(H1062:H1086)</f>
        <v>775.25999999999988</v>
      </c>
      <c r="I1087" s="214"/>
      <c r="J1087" s="215"/>
    </row>
    <row r="1088" spans="1:10" ht="15.75" customHeight="1" thickBot="1">
      <c r="A1088" s="216" t="str">
        <f>CONCATENATE("TOTAL DO ITEM DESON. - ",C1060)</f>
        <v>TOTAL DO ITEM DESON. - SEPLAG  ARQ 79</v>
      </c>
      <c r="B1088" s="427"/>
      <c r="C1088" s="427"/>
      <c r="D1088" s="427"/>
      <c r="E1088" s="427"/>
      <c r="F1088" s="428"/>
      <c r="G1088" s="429"/>
      <c r="H1088" s="1187"/>
      <c r="I1088" s="229"/>
      <c r="J1088" s="219">
        <f>SUM(J1062:J1086)</f>
        <v>768.92</v>
      </c>
    </row>
    <row r="1089" spans="1:10" ht="15" customHeight="1" thickBot="1">
      <c r="A1089" s="235"/>
      <c r="B1089" s="1135"/>
      <c r="C1089" s="1135"/>
      <c r="D1089" s="1135"/>
      <c r="E1089" s="1135"/>
      <c r="F1089" s="1188"/>
      <c r="G1089" s="1188"/>
      <c r="H1089" s="1188"/>
      <c r="I1089" s="236"/>
      <c r="J1089" s="237"/>
    </row>
    <row r="1090" spans="1:10" ht="27.75" customHeight="1">
      <c r="A1090" s="198"/>
      <c r="B1090" s="1175"/>
      <c r="C1090" s="1176" t="s">
        <v>7368</v>
      </c>
      <c r="D1090" s="156" t="s">
        <v>7627</v>
      </c>
      <c r="E1090" s="1176" t="s">
        <v>32</v>
      </c>
      <c r="F1090" s="1177" t="s">
        <v>18</v>
      </c>
      <c r="G1090" s="1178" t="s">
        <v>7017</v>
      </c>
      <c r="H1090" s="1179"/>
      <c r="I1090" s="200" t="s">
        <v>7016</v>
      </c>
      <c r="J1090" s="201"/>
    </row>
    <row r="1091" spans="1:10" ht="15" customHeight="1">
      <c r="A1091" s="233"/>
      <c r="B1091" s="247"/>
      <c r="C1091" s="1155"/>
      <c r="D1091" s="157"/>
      <c r="E1091" s="1155"/>
      <c r="F1091" s="1180"/>
      <c r="G1091" s="1180" t="s">
        <v>19</v>
      </c>
      <c r="H1091" s="1180" t="s">
        <v>20</v>
      </c>
      <c r="I1091" s="205" t="s">
        <v>19</v>
      </c>
      <c r="J1091" s="206" t="s">
        <v>20</v>
      </c>
    </row>
    <row r="1092" spans="1:10" ht="15" customHeight="1">
      <c r="A1092" s="208" t="s">
        <v>39</v>
      </c>
      <c r="B1092" s="241"/>
      <c r="C1092" s="241">
        <v>34360</v>
      </c>
      <c r="D1092" s="161" t="s">
        <v>7323</v>
      </c>
      <c r="E1092" s="1194" t="s">
        <v>133</v>
      </c>
      <c r="F1092" s="242">
        <v>10.092000000000001</v>
      </c>
      <c r="G1092" s="242">
        <f>IF(B1092="SEPLAG",VLOOKUP(CONCATENATE("MEDIANA - ",C1092),COTAÇÃO,5,FALSE),VLOOKUP($C1092,'NAO DESO'!$A:$D,4,))</f>
        <v>47.31</v>
      </c>
      <c r="H1092" s="242">
        <f t="shared" ref="H1092:H1116" si="86">TRUNC(F1092*G1092,2)</f>
        <v>477.45</v>
      </c>
      <c r="I1092" s="54" t="str">
        <f>IF(B1092="SEPLAG",VLOOKUP(CONCATENATE("MEDIANA - ",C1092),COTAÇÃO,5,FALSE),VLOOKUP($C1092,DESON!$A:$D,4,))</f>
        <v>47,31</v>
      </c>
      <c r="J1092" s="209">
        <f t="shared" ref="J1092:J1116" si="87">TRUNC(F1092*I1092,2)</f>
        <v>477.45</v>
      </c>
    </row>
    <row r="1093" spans="1:10" ht="15" customHeight="1">
      <c r="A1093" s="208" t="s">
        <v>39</v>
      </c>
      <c r="B1093" s="241"/>
      <c r="C1093" s="241">
        <v>34360</v>
      </c>
      <c r="D1093" s="161" t="s">
        <v>7324</v>
      </c>
      <c r="E1093" s="1194" t="s">
        <v>133</v>
      </c>
      <c r="F1093" s="242">
        <v>1.9590000000000001</v>
      </c>
      <c r="G1093" s="242">
        <f>IF(B1093="SEPLAG",VLOOKUP(CONCATENATE("MEDIANA - ",C1093),COTAÇÃO,5,FALSE),VLOOKUP($C1093,'NAO DESO'!$A:$D,4,))</f>
        <v>47.31</v>
      </c>
      <c r="H1093" s="242">
        <f t="shared" si="86"/>
        <v>92.68</v>
      </c>
      <c r="I1093" s="54" t="str">
        <f>IF(B1093="SEPLAG",VLOOKUP(CONCATENATE("MEDIANA - ",C1093),COTAÇÃO,5,FALSE),VLOOKUP($C1093,DESON!$A:$D,4,))</f>
        <v>47,31</v>
      </c>
      <c r="J1093" s="209">
        <f t="shared" si="87"/>
        <v>92.68</v>
      </c>
    </row>
    <row r="1094" spans="1:10" ht="15" customHeight="1">
      <c r="A1094" s="208" t="s">
        <v>39</v>
      </c>
      <c r="B1094" s="241"/>
      <c r="C1094" s="241">
        <v>34360</v>
      </c>
      <c r="D1094" s="161" t="s">
        <v>7325</v>
      </c>
      <c r="E1094" s="1194" t="s">
        <v>133</v>
      </c>
      <c r="F1094" s="242">
        <v>0.77400000000000002</v>
      </c>
      <c r="G1094" s="242">
        <f>IF(B1094="SEPLAG",VLOOKUP(CONCATENATE("MEDIANA - ",C1094),COTAÇÃO,5,FALSE),VLOOKUP($C1094,'NAO DESO'!$A:$D,4,))</f>
        <v>47.31</v>
      </c>
      <c r="H1094" s="242">
        <f t="shared" si="86"/>
        <v>36.61</v>
      </c>
      <c r="I1094" s="54" t="str">
        <f>IF(B1094="SEPLAG",VLOOKUP(CONCATENATE("MEDIANA - ",C1094),COTAÇÃO,5,FALSE),VLOOKUP($C1094,DESON!$A:$D,4,))</f>
        <v>47,31</v>
      </c>
      <c r="J1094" s="209">
        <f t="shared" si="87"/>
        <v>36.61</v>
      </c>
    </row>
    <row r="1095" spans="1:10" ht="15" customHeight="1">
      <c r="A1095" s="208" t="s">
        <v>39</v>
      </c>
      <c r="B1095" s="241"/>
      <c r="C1095" s="241">
        <v>34360</v>
      </c>
      <c r="D1095" s="161" t="s">
        <v>7326</v>
      </c>
      <c r="E1095" s="1194" t="s">
        <v>133</v>
      </c>
      <c r="F1095" s="242">
        <v>4.9219999999999997</v>
      </c>
      <c r="G1095" s="242">
        <f>IF(B1095="SEPLAG",VLOOKUP(CONCATENATE("MEDIANA - ",C1095),COTAÇÃO,5,FALSE),VLOOKUP($C1095,'NAO DESO'!$A:$D,4,))</f>
        <v>47.31</v>
      </c>
      <c r="H1095" s="242">
        <f t="shared" si="86"/>
        <v>232.85</v>
      </c>
      <c r="I1095" s="54" t="str">
        <f>IF(B1095="SEPLAG",VLOOKUP(CONCATENATE("MEDIANA - ",C1095),COTAÇÃO,5,FALSE),VLOOKUP($C1095,DESON!$A:$D,4,))</f>
        <v>47,31</v>
      </c>
      <c r="J1095" s="209">
        <f t="shared" si="87"/>
        <v>232.85</v>
      </c>
    </row>
    <row r="1096" spans="1:10" ht="15" customHeight="1">
      <c r="A1096" s="208" t="s">
        <v>39</v>
      </c>
      <c r="B1096" s="241"/>
      <c r="C1096" s="241">
        <v>34360</v>
      </c>
      <c r="D1096" s="161" t="s">
        <v>7327</v>
      </c>
      <c r="E1096" s="1194" t="s">
        <v>133</v>
      </c>
      <c r="F1096" s="242">
        <v>8.6219999999999999</v>
      </c>
      <c r="G1096" s="242">
        <f>IF(B1096="SEPLAG",VLOOKUP(CONCATENATE("MEDIANA - ",C1096),COTAÇÃO,5,FALSE),VLOOKUP($C1096,'NAO DESO'!$A:$D,4,))</f>
        <v>47.31</v>
      </c>
      <c r="H1096" s="242">
        <f t="shared" si="86"/>
        <v>407.9</v>
      </c>
      <c r="I1096" s="54" t="str">
        <f>IF(B1096="SEPLAG",VLOOKUP(CONCATENATE("MEDIANA - ",C1096),COTAÇÃO,5,FALSE),VLOOKUP($C1096,DESON!$A:$D,4,))</f>
        <v>47,31</v>
      </c>
      <c r="J1096" s="209">
        <f t="shared" si="87"/>
        <v>407.9</v>
      </c>
    </row>
    <row r="1097" spans="1:10" ht="15" customHeight="1">
      <c r="A1097" s="208" t="s">
        <v>39</v>
      </c>
      <c r="B1097" s="241"/>
      <c r="C1097" s="241">
        <v>34360</v>
      </c>
      <c r="D1097" s="161" t="s">
        <v>7328</v>
      </c>
      <c r="E1097" s="1194" t="s">
        <v>133</v>
      </c>
      <c r="F1097" s="242">
        <v>9.9160000000000004</v>
      </c>
      <c r="G1097" s="242">
        <f>IF(B1097="SEPLAG",VLOOKUP(CONCATENATE("MEDIANA - ",C1097),COTAÇÃO,5,FALSE),VLOOKUP($C1097,'NAO DESO'!$A:$D,4,))</f>
        <v>47.31</v>
      </c>
      <c r="H1097" s="242">
        <f t="shared" si="86"/>
        <v>469.12</v>
      </c>
      <c r="I1097" s="54" t="str">
        <f>IF(B1097="SEPLAG",VLOOKUP(CONCATENATE("MEDIANA - ",C1097),COTAÇÃO,5,FALSE),VLOOKUP($C1097,DESON!$A:$D,4,))</f>
        <v>47,31</v>
      </c>
      <c r="J1097" s="209">
        <f t="shared" si="87"/>
        <v>469.12</v>
      </c>
    </row>
    <row r="1098" spans="1:10" ht="15" customHeight="1">
      <c r="A1098" s="208" t="s">
        <v>39</v>
      </c>
      <c r="B1098" s="241"/>
      <c r="C1098" s="241">
        <v>34360</v>
      </c>
      <c r="D1098" s="161" t="s">
        <v>7329</v>
      </c>
      <c r="E1098" s="1194" t="s">
        <v>133</v>
      </c>
      <c r="F1098" s="242">
        <v>6.63</v>
      </c>
      <c r="G1098" s="242">
        <f>IF(B1098="SEPLAG",VLOOKUP(CONCATENATE("MEDIANA - ",C1098),COTAÇÃO,5,FALSE),VLOOKUP($C1098,'NAO DESO'!$A:$D,4,))</f>
        <v>47.31</v>
      </c>
      <c r="H1098" s="242">
        <f t="shared" si="86"/>
        <v>313.66000000000003</v>
      </c>
      <c r="I1098" s="54" t="str">
        <f>IF(B1098="SEPLAG",VLOOKUP(CONCATENATE("MEDIANA - ",C1098),COTAÇÃO,5,FALSE),VLOOKUP($C1098,DESON!$A:$D,4,))</f>
        <v>47,31</v>
      </c>
      <c r="J1098" s="209">
        <f t="shared" si="87"/>
        <v>313.66000000000003</v>
      </c>
    </row>
    <row r="1099" spans="1:10" ht="15" customHeight="1">
      <c r="A1099" s="208" t="s">
        <v>39</v>
      </c>
      <c r="B1099" s="241"/>
      <c r="C1099" s="241">
        <v>34360</v>
      </c>
      <c r="D1099" s="161" t="s">
        <v>7330</v>
      </c>
      <c r="E1099" s="1194" t="s">
        <v>133</v>
      </c>
      <c r="F1099" s="242">
        <v>4.835</v>
      </c>
      <c r="G1099" s="242">
        <f>IF(B1099="SEPLAG",VLOOKUP(CONCATENATE("MEDIANA - ",C1099),COTAÇÃO,5,FALSE),VLOOKUP($C1099,'NAO DESO'!$A:$D,4,))</f>
        <v>47.31</v>
      </c>
      <c r="H1099" s="242">
        <f t="shared" si="86"/>
        <v>228.74</v>
      </c>
      <c r="I1099" s="54" t="str">
        <f>IF(B1099="SEPLAG",VLOOKUP(CONCATENATE("MEDIANA - ",C1099),COTAÇÃO,5,FALSE),VLOOKUP($C1099,DESON!$A:$D,4,))</f>
        <v>47,31</v>
      </c>
      <c r="J1099" s="209">
        <f t="shared" si="87"/>
        <v>228.74</v>
      </c>
    </row>
    <row r="1100" spans="1:10" ht="15" customHeight="1">
      <c r="A1100" s="208" t="s">
        <v>39</v>
      </c>
      <c r="B1100" s="241"/>
      <c r="C1100" s="241">
        <v>34360</v>
      </c>
      <c r="D1100" s="161" t="s">
        <v>7331</v>
      </c>
      <c r="E1100" s="1194" t="s">
        <v>133</v>
      </c>
      <c r="F1100" s="242">
        <v>21.310000000000002</v>
      </c>
      <c r="G1100" s="242">
        <f>IF(B1100="SEPLAG",VLOOKUP(CONCATENATE("MEDIANA - ",C1100),COTAÇÃO,5,FALSE),VLOOKUP($C1100,'NAO DESO'!$A:$D,4,))</f>
        <v>47.31</v>
      </c>
      <c r="H1100" s="242">
        <f t="shared" si="86"/>
        <v>1008.17</v>
      </c>
      <c r="I1100" s="54" t="str">
        <f>IF(B1100="SEPLAG",VLOOKUP(CONCATENATE("MEDIANA - ",C1100),COTAÇÃO,5,FALSE),VLOOKUP($C1100,DESON!$A:$D,4,))</f>
        <v>47,31</v>
      </c>
      <c r="J1100" s="209">
        <f t="shared" si="87"/>
        <v>1008.17</v>
      </c>
    </row>
    <row r="1101" spans="1:10" ht="15" customHeight="1">
      <c r="A1101" s="208" t="s">
        <v>39</v>
      </c>
      <c r="B1101" s="241"/>
      <c r="C1101" s="241">
        <v>34360</v>
      </c>
      <c r="D1101" s="161" t="s">
        <v>7332</v>
      </c>
      <c r="E1101" s="1194" t="s">
        <v>133</v>
      </c>
      <c r="F1101" s="242">
        <v>1.4179999999999999</v>
      </c>
      <c r="G1101" s="242">
        <f>IF(B1101="SEPLAG",VLOOKUP(CONCATENATE("MEDIANA - ",C1101),COTAÇÃO,5,FALSE),VLOOKUP($C1101,'NAO DESO'!$A:$D,4,))</f>
        <v>47.31</v>
      </c>
      <c r="H1101" s="242">
        <f t="shared" si="86"/>
        <v>67.08</v>
      </c>
      <c r="I1101" s="54" t="str">
        <f>IF(B1101="SEPLAG",VLOOKUP(CONCATENATE("MEDIANA - ",C1101),COTAÇÃO,5,FALSE),VLOOKUP($C1101,DESON!$A:$D,4,))</f>
        <v>47,31</v>
      </c>
      <c r="J1101" s="209">
        <f t="shared" si="87"/>
        <v>67.08</v>
      </c>
    </row>
    <row r="1102" spans="1:10" ht="15" customHeight="1">
      <c r="A1102" s="208" t="s">
        <v>39</v>
      </c>
      <c r="B1102" s="241"/>
      <c r="C1102" s="241">
        <v>34360</v>
      </c>
      <c r="D1102" s="161" t="s">
        <v>7333</v>
      </c>
      <c r="E1102" s="1194" t="s">
        <v>133</v>
      </c>
      <c r="F1102" s="242">
        <v>4.3390000000000004</v>
      </c>
      <c r="G1102" s="242">
        <f>IF(B1102="SEPLAG",VLOOKUP(CONCATENATE("MEDIANA - ",C1102),COTAÇÃO,5,FALSE),VLOOKUP($C1102,'NAO DESO'!$A:$D,4,))</f>
        <v>47.31</v>
      </c>
      <c r="H1102" s="242">
        <f t="shared" si="86"/>
        <v>205.27</v>
      </c>
      <c r="I1102" s="54" t="str">
        <f>IF(B1102="SEPLAG",VLOOKUP(CONCATENATE("MEDIANA - ",C1102),COTAÇÃO,5,FALSE),VLOOKUP($C1102,DESON!$A:$D,4,))</f>
        <v>47,31</v>
      </c>
      <c r="J1102" s="209">
        <f t="shared" si="87"/>
        <v>205.27</v>
      </c>
    </row>
    <row r="1103" spans="1:10" ht="15" customHeight="1">
      <c r="A1103" s="208" t="s">
        <v>39</v>
      </c>
      <c r="B1103" s="241" t="s">
        <v>14504</v>
      </c>
      <c r="C1103" s="1181" t="s">
        <v>14307</v>
      </c>
      <c r="D1103" s="161" t="str">
        <f>IF(B1103="SEPLAG",VLOOKUP(COMPOSIÇÕES!C1103,'MAPA COMPARATIVO'!A:B,2,FALSE),VLOOKUP(C1103,'NAO DESO'!A:B,2,0))</f>
        <v xml:space="preserve">Braço de max-ar linha gold de 600mm </v>
      </c>
      <c r="E1103" s="1194" t="s">
        <v>24</v>
      </c>
      <c r="F1103" s="242">
        <v>9</v>
      </c>
      <c r="G1103" s="242">
        <f>IF(B1103="SEPLAG",VLOOKUP(CONCATENATE("MEDIANA - ",C1103),COTAÇÃO,5,FALSE),VLOOKUP($C1103,'NAO DESO'!$A:$D,4,))</f>
        <v>36.575000000000003</v>
      </c>
      <c r="H1103" s="242">
        <f t="shared" si="86"/>
        <v>329.17</v>
      </c>
      <c r="I1103" s="54">
        <f>IF(B1103="SEPLAG",VLOOKUP(CONCATENATE("MEDIANA - ",C1103),COTAÇÃO,5,FALSE),VLOOKUP($C1103,DESON!$A:$D,4,))</f>
        <v>36.575000000000003</v>
      </c>
      <c r="J1103" s="209">
        <f t="shared" si="87"/>
        <v>329.17</v>
      </c>
    </row>
    <row r="1104" spans="1:10" ht="15" customHeight="1">
      <c r="A1104" s="208" t="s">
        <v>39</v>
      </c>
      <c r="B1104" s="241" t="s">
        <v>14504</v>
      </c>
      <c r="C1104" s="1181" t="s">
        <v>14308</v>
      </c>
      <c r="D1104" s="161" t="str">
        <f>IF(B1104="SEPLAG",VLOOKUP(COMPOSIÇÕES!C1104,'MAPA COMPARATIVO'!A:B,2,FALSE),VLOOKUP(C1104,'NAO DESO'!A:B,2,0))</f>
        <v>Fecho max-ar linha gold</v>
      </c>
      <c r="E1104" s="1194" t="s">
        <v>24</v>
      </c>
      <c r="F1104" s="242">
        <v>9</v>
      </c>
      <c r="G1104" s="242">
        <f>IF(B1104="SEPLAG",VLOOKUP(CONCATENATE("MEDIANA - ",C1104),COTAÇÃO,5,FALSE),VLOOKUP($C1104,'NAO DESO'!$A:$D,4,))</f>
        <v>47.36</v>
      </c>
      <c r="H1104" s="242">
        <f t="shared" si="86"/>
        <v>426.24</v>
      </c>
      <c r="I1104" s="54">
        <f>IF(B1104="SEPLAG",VLOOKUP(CONCATENATE("MEDIANA - ",C1104),COTAÇÃO,5,FALSE),VLOOKUP($C1104,DESON!$A:$D,4,))</f>
        <v>47.36</v>
      </c>
      <c r="J1104" s="209">
        <f t="shared" si="87"/>
        <v>426.24</v>
      </c>
    </row>
    <row r="1105" spans="1:10" ht="15" customHeight="1">
      <c r="A1105" s="208" t="s">
        <v>39</v>
      </c>
      <c r="B1105" s="241" t="s">
        <v>14504</v>
      </c>
      <c r="C1105" s="1181" t="s">
        <v>14309</v>
      </c>
      <c r="D1105" s="161" t="str">
        <f>IF(B1105="SEPLAG",VLOOKUP(COMPOSIÇÕES!C1105,'MAPA COMPARATIVO'!A:B,2,FALSE),VLOOKUP(C1105,'NAO DESO'!A:B,2,0))</f>
        <v>Guarnição em EPDM p/ pingadeira</v>
      </c>
      <c r="E1105" s="1194" t="s">
        <v>7388</v>
      </c>
      <c r="F1105" s="242">
        <v>8.9719999999999995</v>
      </c>
      <c r="G1105" s="242">
        <f>IF(B1105="SEPLAG",VLOOKUP(CONCATENATE("MEDIANA - ",C1105),COTAÇÃO,5,FALSE),VLOOKUP($C1105,'NAO DESO'!$A:$D,4,))</f>
        <v>4.3849999999999998</v>
      </c>
      <c r="H1105" s="242">
        <f t="shared" si="86"/>
        <v>39.340000000000003</v>
      </c>
      <c r="I1105" s="54">
        <f>IF(B1105="SEPLAG",VLOOKUP(CONCATENATE("MEDIANA - ",C1105),COTAÇÃO,5,FALSE),VLOOKUP($C1105,DESON!$A:$D,4,))</f>
        <v>4.3849999999999998</v>
      </c>
      <c r="J1105" s="209">
        <f t="shared" si="87"/>
        <v>39.340000000000003</v>
      </c>
    </row>
    <row r="1106" spans="1:10" ht="15" customHeight="1">
      <c r="A1106" s="208" t="s">
        <v>39</v>
      </c>
      <c r="B1106" s="241" t="s">
        <v>14504</v>
      </c>
      <c r="C1106" s="1181" t="s">
        <v>14310</v>
      </c>
      <c r="D1106" s="161" t="str">
        <f>IF(B1106="SEPLAG",VLOOKUP(COMPOSIÇÕES!C1106,'MAPA COMPARATIVO'!A:B,2,FALSE),VLOOKUP(C1106,'NAO DESO'!A:B,2,0))</f>
        <v>Guarnição em EPDM para vidro</v>
      </c>
      <c r="E1106" s="1194" t="s">
        <v>250</v>
      </c>
      <c r="F1106" s="242">
        <v>65.498000000000005</v>
      </c>
      <c r="G1106" s="242">
        <f>IF(B1106="SEPLAG",VLOOKUP(CONCATENATE("MEDIANA - ",C1106),COTAÇÃO,5,FALSE),VLOOKUP($C1106,'NAO DESO'!$A:$D,4,))</f>
        <v>2.4091999999999998</v>
      </c>
      <c r="H1106" s="242">
        <f t="shared" si="86"/>
        <v>157.79</v>
      </c>
      <c r="I1106" s="54">
        <f>IF(B1106="SEPLAG",VLOOKUP(CONCATENATE("MEDIANA - ",C1106),COTAÇÃO,5,FALSE),VLOOKUP($C1106,DESON!$A:$D,4,))</f>
        <v>2.4091999999999998</v>
      </c>
      <c r="J1106" s="209">
        <f t="shared" si="87"/>
        <v>157.79</v>
      </c>
    </row>
    <row r="1107" spans="1:10" ht="15" customHeight="1">
      <c r="A1107" s="208" t="s">
        <v>39</v>
      </c>
      <c r="B1107" s="241" t="s">
        <v>14504</v>
      </c>
      <c r="C1107" s="1181" t="s">
        <v>14311</v>
      </c>
      <c r="D1107" s="161" t="str">
        <f>IF(B1107="SEPLAG",VLOOKUP(COMPOSIÇÕES!C1107,'MAPA COMPARATIVO'!A:B,2,FALSE),VLOOKUP(C1107,'NAO DESO'!A:B,2,0))</f>
        <v>Espuma adesiva 1 face</v>
      </c>
      <c r="E1107" s="1194" t="s">
        <v>250</v>
      </c>
      <c r="F1107" s="242">
        <v>65.498000000000005</v>
      </c>
      <c r="G1107" s="242">
        <f>IF(B1107="SEPLAG",VLOOKUP(CONCATENATE("MEDIANA - ",C1107),COTAÇÃO,5,FALSE),VLOOKUP($C1107,'NAO DESO'!$A:$D,4,))</f>
        <v>2.1800000000000002</v>
      </c>
      <c r="H1107" s="242">
        <f t="shared" si="86"/>
        <v>142.78</v>
      </c>
      <c r="I1107" s="54">
        <f>IF(B1107="SEPLAG",VLOOKUP(CONCATENATE("MEDIANA - ",C1107),COTAÇÃO,5,FALSE),VLOOKUP($C1107,DESON!$A:$D,4,))</f>
        <v>2.1800000000000002</v>
      </c>
      <c r="J1107" s="209">
        <f t="shared" si="87"/>
        <v>142.78</v>
      </c>
    </row>
    <row r="1108" spans="1:10" ht="15" customHeight="1">
      <c r="A1108" s="208" t="s">
        <v>39</v>
      </c>
      <c r="B1108" s="241" t="s">
        <v>14504</v>
      </c>
      <c r="C1108" s="1181" t="s">
        <v>14312</v>
      </c>
      <c r="D1108" s="161" t="str">
        <f>IF(B1108="SEPLAG",VLOOKUP(COMPOSIÇÕES!C1108,'MAPA COMPARATIVO'!A:B,2,FALSE),VLOOKUP(C1108,'NAO DESO'!A:B,2,0))</f>
        <v>Guarnição em EPDM p/ marco max-ar</v>
      </c>
      <c r="E1108" s="1194" t="s">
        <v>250</v>
      </c>
      <c r="F1108" s="242">
        <v>71.298000000000002</v>
      </c>
      <c r="G1108" s="242">
        <f>IF(B1108="SEPLAG",VLOOKUP(CONCATENATE("MEDIANA - ",C1108),COTAÇÃO,5,FALSE),VLOOKUP($C1108,'NAO DESO'!$A:$D,4,))</f>
        <v>3.8138999999999998</v>
      </c>
      <c r="H1108" s="242">
        <f t="shared" si="86"/>
        <v>271.92</v>
      </c>
      <c r="I1108" s="54">
        <f>IF(B1108="SEPLAG",VLOOKUP(CONCATENATE("MEDIANA - ",C1108),COTAÇÃO,5,FALSE),VLOOKUP($C1108,DESON!$A:$D,4,))</f>
        <v>3.8138999999999998</v>
      </c>
      <c r="J1108" s="209">
        <f t="shared" si="87"/>
        <v>271.92</v>
      </c>
    </row>
    <row r="1109" spans="1:10" ht="15" customHeight="1">
      <c r="A1109" s="208" t="s">
        <v>39</v>
      </c>
      <c r="B1109" s="241" t="s">
        <v>14504</v>
      </c>
      <c r="C1109" s="1181" t="s">
        <v>14313</v>
      </c>
      <c r="D1109" s="161" t="str">
        <f>IF(B1109="SEPLAG",VLOOKUP(COMPOSIÇÕES!C1109,'MAPA COMPARATIVO'!A:B,2,FALSE),VLOOKUP(C1109,'NAO DESO'!A:B,2,0))</f>
        <v>PRESILHA DE FIXAÇÃO DO ARREMATE MP-347</v>
      </c>
      <c r="E1109" s="1194" t="s">
        <v>24</v>
      </c>
      <c r="F1109" s="242">
        <v>56</v>
      </c>
      <c r="G1109" s="242">
        <f>IF(B1109="SEPLAG",VLOOKUP(CONCATENATE("MEDIANA - ",C1109),COTAÇÃO,5,FALSE),VLOOKUP($C1109,'NAO DESO'!$A:$D,4,))</f>
        <v>0.34</v>
      </c>
      <c r="H1109" s="242">
        <f t="shared" si="86"/>
        <v>19.04</v>
      </c>
      <c r="I1109" s="54">
        <f>IF(B1109="SEPLAG",VLOOKUP(CONCATENATE("MEDIANA - ",C1109),COTAÇÃO,5,FALSE),VLOOKUP($C1109,DESON!$A:$D,4,))</f>
        <v>0.34</v>
      </c>
      <c r="J1109" s="209">
        <f t="shared" si="87"/>
        <v>19.04</v>
      </c>
    </row>
    <row r="1110" spans="1:10" ht="15" customHeight="1">
      <c r="A1110" s="208" t="s">
        <v>39</v>
      </c>
      <c r="B1110" s="241" t="s">
        <v>14504</v>
      </c>
      <c r="C1110" s="1181" t="s">
        <v>14314</v>
      </c>
      <c r="D1110" s="161" t="str">
        <f>IF(B1110="SEPLAG",VLOOKUP(COMPOSIÇÕES!C1110,'MAPA COMPARATIVO'!A:B,2,FALSE),VLOOKUP(C1110,'NAO DESO'!A:B,2,0))</f>
        <v>Parafuso zincado phillips flangeado autobrocante 4,2 x 16mm</v>
      </c>
      <c r="E1110" s="1194" t="s">
        <v>24</v>
      </c>
      <c r="F1110" s="242">
        <v>56</v>
      </c>
      <c r="G1110" s="242">
        <f>IF(B1110="SEPLAG",VLOOKUP(CONCATENATE("MEDIANA - ",C1110),COTAÇÃO,5,FALSE),VLOOKUP($C1110,'NAO DESO'!$A:$D,4,))</f>
        <v>0.28000000000000003</v>
      </c>
      <c r="H1110" s="242">
        <f t="shared" si="86"/>
        <v>15.68</v>
      </c>
      <c r="I1110" s="54">
        <f>IF(B1110="SEPLAG",VLOOKUP(CONCATENATE("MEDIANA - ",C1110),COTAÇÃO,5,FALSE),VLOOKUP($C1110,DESON!$A:$D,4,))</f>
        <v>0.28000000000000003</v>
      </c>
      <c r="J1110" s="209">
        <f t="shared" si="87"/>
        <v>15.68</v>
      </c>
    </row>
    <row r="1111" spans="1:10" ht="15" customHeight="1">
      <c r="A1111" s="208" t="s">
        <v>39</v>
      </c>
      <c r="B1111" s="241" t="s">
        <v>14504</v>
      </c>
      <c r="C1111" s="1181" t="s">
        <v>14315</v>
      </c>
      <c r="D1111" s="161" t="str">
        <f>IF(B1111="SEPLAG",VLOOKUP(COMPOSIÇÕES!C1111,'MAPA COMPARATIVO'!A:B,2,FALSE),VLOOKUP(C1111,'NAO DESO'!A:B,2,0))</f>
        <v>PARAF. PANELA PHILIPS INOX 4,8 X32 PONTA PILOTO</v>
      </c>
      <c r="E1111" s="1194" t="s">
        <v>24</v>
      </c>
      <c r="F1111" s="242">
        <v>68</v>
      </c>
      <c r="G1111" s="242">
        <f>IF(B1111="SEPLAG",VLOOKUP(CONCATENATE("MEDIANA - ",C1111),COTAÇÃO,5,FALSE),VLOOKUP($C1111,'NAO DESO'!$A:$D,4,))</f>
        <v>0.95</v>
      </c>
      <c r="H1111" s="242">
        <f t="shared" si="86"/>
        <v>64.599999999999994</v>
      </c>
      <c r="I1111" s="54">
        <f>IF(B1111="SEPLAG",VLOOKUP(CONCATENATE("MEDIANA - ",C1111),COTAÇÃO,5,FALSE),VLOOKUP($C1111,DESON!$A:$D,4,))</f>
        <v>0.95</v>
      </c>
      <c r="J1111" s="209">
        <f t="shared" si="87"/>
        <v>64.599999999999994</v>
      </c>
    </row>
    <row r="1112" spans="1:10" ht="15" customHeight="1">
      <c r="A1112" s="208" t="s">
        <v>39</v>
      </c>
      <c r="B1112" s="241" t="s">
        <v>14504</v>
      </c>
      <c r="C1112" s="1181" t="s">
        <v>14316</v>
      </c>
      <c r="D1112" s="161" t="str">
        <f>IF(B1112="SEPLAG",VLOOKUP(COMPOSIÇÕES!C1112,'MAPA COMPARATIVO'!A:B,2,FALSE),VLOOKUP(C1112,'NAO DESO'!A:B,2,0))</f>
        <v>CHUMBADOR DE CM-063/060</v>
      </c>
      <c r="E1112" s="1194" t="s">
        <v>24</v>
      </c>
      <c r="F1112" s="242">
        <v>56</v>
      </c>
      <c r="G1112" s="242">
        <f>IF(B1112="SEPLAG",VLOOKUP(CONCATENATE("MEDIANA - ",C1112),COTAÇÃO,5,FALSE),VLOOKUP($C1112,'NAO DESO'!$A:$D,4,))</f>
        <v>0.86</v>
      </c>
      <c r="H1112" s="242">
        <f t="shared" si="86"/>
        <v>48.16</v>
      </c>
      <c r="I1112" s="54">
        <f>IF(B1112="SEPLAG",VLOOKUP(CONCATENATE("MEDIANA - ",C1112),COTAÇÃO,5,FALSE),VLOOKUP($C1112,DESON!$A:$D,4,))</f>
        <v>0.86</v>
      </c>
      <c r="J1112" s="209">
        <f t="shared" si="87"/>
        <v>48.16</v>
      </c>
    </row>
    <row r="1113" spans="1:10" ht="15" customHeight="1">
      <c r="A1113" s="208" t="s">
        <v>39</v>
      </c>
      <c r="B1113" s="241" t="s">
        <v>14504</v>
      </c>
      <c r="C1113" s="1181" t="s">
        <v>14317</v>
      </c>
      <c r="D1113" s="161" t="str">
        <f>IF(B1113="SEPLAG",VLOOKUP(COMPOSIÇÕES!C1113,'MAPA COMPARATIVO'!A:B,2,FALSE),VLOOKUP(C1113,'NAO DESO'!A:B,2,0))</f>
        <v>Silicone neutro incolor 280 g</v>
      </c>
      <c r="E1113" s="1194" t="s">
        <v>24</v>
      </c>
      <c r="F1113" s="242">
        <v>4.5</v>
      </c>
      <c r="G1113" s="242">
        <f>IF(B1113="SEPLAG",VLOOKUP(CONCATENATE("MEDIANA - ",C1113),COTAÇÃO,5,FALSE),VLOOKUP($C1113,'NAO DESO'!$A:$D,4,))</f>
        <v>43.9</v>
      </c>
      <c r="H1113" s="242">
        <f t="shared" si="86"/>
        <v>197.55</v>
      </c>
      <c r="I1113" s="54">
        <f>IF(B1113="SEPLAG",VLOOKUP(CONCATENATE("MEDIANA - ",C1113),COTAÇÃO,5,FALSE),VLOOKUP($C1113,DESON!$A:$D,4,))</f>
        <v>43.9</v>
      </c>
      <c r="J1113" s="209">
        <f t="shared" si="87"/>
        <v>197.55</v>
      </c>
    </row>
    <row r="1114" spans="1:10" ht="15" customHeight="1">
      <c r="A1114" s="208" t="s">
        <v>245</v>
      </c>
      <c r="B1114" s="241"/>
      <c r="C1114" s="1181">
        <v>10505</v>
      </c>
      <c r="D1114" s="161" t="str">
        <f>IF(B1114="SEPLAG",VLOOKUP(COMPOSIÇÕES!C1114,'MAPA COMPARATIVO'!A:B,2,FALSE),VLOOKUP(C1114,'NAO DESO'!A:B,2,0))</f>
        <v>VIDRO TEMPERADO INCOLOR E = 6 MM, SEM COLOCACAO</v>
      </c>
      <c r="E1114" s="241" t="str">
        <f>VLOOKUP($C1114,'NAO DESO'!$A:$D,3,)</f>
        <v xml:space="preserve">M2    </v>
      </c>
      <c r="F1114" s="242">
        <v>15.3</v>
      </c>
      <c r="G1114" s="242">
        <f>IF(B1114="SEPLAG",VLOOKUP(CONCATENATE("MEDIANA - ",C1114),COTAÇÃO,5,FALSE),VLOOKUP($C1114,'NAO DESO'!$A:$D,4,))</f>
        <v>272.77</v>
      </c>
      <c r="H1114" s="242">
        <f t="shared" si="86"/>
        <v>4173.38</v>
      </c>
      <c r="I1114" s="54" t="str">
        <f>IF(B1114="SEPLAG",VLOOKUP(CONCATENATE("MEDIANA - ",C1114),COTAÇÃO,5,FALSE),VLOOKUP($C1114,DESON!$A:$D,4,))</f>
        <v>272,77</v>
      </c>
      <c r="J1114" s="209">
        <f t="shared" si="87"/>
        <v>4173.38</v>
      </c>
    </row>
    <row r="1115" spans="1:10" ht="15" customHeight="1">
      <c r="A1115" s="208" t="s">
        <v>245</v>
      </c>
      <c r="B1115" s="241"/>
      <c r="C1115" s="1181">
        <v>88315</v>
      </c>
      <c r="D1115" s="161" t="str">
        <f>IF(B1115="SEPLAG",VLOOKUP(COMPOSIÇÕES!C1115,'MAPA COMPARATIVO'!A:B,2,FALSE),VLOOKUP(C1115,'NAO DESO'!A:B,2,0))</f>
        <v>SERRALHEIRO COM ENCARGOS COMPLEMENTARES</v>
      </c>
      <c r="E1115" s="241" t="str">
        <f>VLOOKUP($C1115,'NAO DESO'!$A:$D,3,)</f>
        <v>H</v>
      </c>
      <c r="F1115" s="242">
        <v>49.88</v>
      </c>
      <c r="G1115" s="242" t="str">
        <f>IF(B1115="SEPLAG",VLOOKUP(CONCATENATE("MEDIANA - ",C1115),COTAÇÃO,5,FALSE),VLOOKUP($C1115,'NAO DESO'!$A:$D,4,))</f>
        <v>20,97</v>
      </c>
      <c r="H1115" s="242">
        <f t="shared" si="86"/>
        <v>1045.98</v>
      </c>
      <c r="I1115" s="54" t="str">
        <f>IF(B1115="SEPLAG",VLOOKUP(CONCATENATE("MEDIANA - ",C1115),COTAÇÃO,5,FALSE),VLOOKUP($C1115,DESON!$A:$D,4,))</f>
        <v>18,75</v>
      </c>
      <c r="J1115" s="209">
        <f t="shared" si="87"/>
        <v>935.25</v>
      </c>
    </row>
    <row r="1116" spans="1:10" ht="15" customHeight="1">
      <c r="A1116" s="208" t="s">
        <v>245</v>
      </c>
      <c r="B1116" s="241"/>
      <c r="C1116" s="1181">
        <v>88316</v>
      </c>
      <c r="D1116" s="161" t="str">
        <f>IF(B1116="SEPLAG",VLOOKUP(COMPOSIÇÕES!C1116,'MAPA COMPARATIVO'!A:B,2,FALSE),VLOOKUP(C1116,'NAO DESO'!A:B,2,0))</f>
        <v>SERVENTE COM ENCARGOS COMPLEMENTARES</v>
      </c>
      <c r="E1116" s="241" t="str">
        <f>VLOOKUP($C1116,'NAO DESO'!$A:$D,3,)</f>
        <v>H</v>
      </c>
      <c r="F1116" s="242">
        <v>49.88</v>
      </c>
      <c r="G1116" s="242" t="str">
        <f>IF(B1116="SEPLAG",VLOOKUP(CONCATENATE("MEDIANA - ",C1116),COTAÇÃO,5,FALSE),VLOOKUP($C1116,'NAO DESO'!$A:$D,4,))</f>
        <v>16,83</v>
      </c>
      <c r="H1116" s="242">
        <f t="shared" si="86"/>
        <v>839.48</v>
      </c>
      <c r="I1116" s="54" t="str">
        <f>IF(B1116="SEPLAG",VLOOKUP(CONCATENATE("MEDIANA - ",C1116),COTAÇÃO,5,FALSE),VLOOKUP($C1116,DESON!$A:$D,4,))</f>
        <v>15,16</v>
      </c>
      <c r="J1116" s="209">
        <f t="shared" si="87"/>
        <v>756.18</v>
      </c>
    </row>
    <row r="1117" spans="1:10" ht="15" customHeight="1">
      <c r="A1117" s="210" t="str">
        <f>CONCATENATE("TOTAL DO ITEM NÃO DESON. - ",C1090)</f>
        <v>TOTAL DO ITEM NÃO DESON. - SEPLAG  ARQ 80</v>
      </c>
      <c r="B1117" s="424"/>
      <c r="C1117" s="424"/>
      <c r="D1117" s="424"/>
      <c r="E1117" s="424"/>
      <c r="F1117" s="425"/>
      <c r="G1117" s="426"/>
      <c r="H1117" s="1182">
        <f>SUM(H1092:H1116)</f>
        <v>11310.64</v>
      </c>
      <c r="I1117" s="214"/>
      <c r="J1117" s="215"/>
    </row>
    <row r="1118" spans="1:10" ht="15.75" customHeight="1" thickBot="1">
      <c r="A1118" s="216" t="str">
        <f>CONCATENATE("TOTAL DO ITEM DESON. - ",C1090)</f>
        <v>TOTAL DO ITEM DESON. - SEPLAG  ARQ 80</v>
      </c>
      <c r="B1118" s="427"/>
      <c r="C1118" s="427"/>
      <c r="D1118" s="427"/>
      <c r="E1118" s="427"/>
      <c r="F1118" s="428"/>
      <c r="G1118" s="429"/>
      <c r="H1118" s="1187"/>
      <c r="I1118" s="229"/>
      <c r="J1118" s="219">
        <f>SUM(J1092:J1116)</f>
        <v>11116.61</v>
      </c>
    </row>
    <row r="1119" spans="1:10" ht="15" customHeight="1" thickBot="1">
      <c r="A1119" s="235"/>
      <c r="B1119" s="1135"/>
      <c r="C1119" s="1135"/>
      <c r="D1119" s="1135"/>
      <c r="E1119" s="1135"/>
      <c r="F1119" s="1188"/>
      <c r="G1119" s="1188"/>
      <c r="H1119" s="1188"/>
      <c r="I1119" s="236"/>
      <c r="J1119" s="237"/>
    </row>
    <row r="1120" spans="1:10" ht="27" customHeight="1">
      <c r="A1120" s="198"/>
      <c r="B1120" s="1175"/>
      <c r="C1120" s="1176" t="s">
        <v>7369</v>
      </c>
      <c r="D1120" s="156" t="s">
        <v>7628</v>
      </c>
      <c r="E1120" s="1176" t="s">
        <v>32</v>
      </c>
      <c r="F1120" s="1177" t="s">
        <v>18</v>
      </c>
      <c r="G1120" s="1178" t="s">
        <v>7017</v>
      </c>
      <c r="H1120" s="1179"/>
      <c r="I1120" s="200" t="s">
        <v>7016</v>
      </c>
      <c r="J1120" s="201"/>
    </row>
    <row r="1121" spans="1:10" ht="15" customHeight="1">
      <c r="A1121" s="233"/>
      <c r="B1121" s="247"/>
      <c r="C1121" s="1155"/>
      <c r="D1121" s="157"/>
      <c r="E1121" s="1155"/>
      <c r="F1121" s="1180"/>
      <c r="G1121" s="1180" t="s">
        <v>19</v>
      </c>
      <c r="H1121" s="1180" t="s">
        <v>20</v>
      </c>
      <c r="I1121" s="205" t="s">
        <v>19</v>
      </c>
      <c r="J1121" s="206" t="s">
        <v>20</v>
      </c>
    </row>
    <row r="1122" spans="1:10" ht="15" customHeight="1">
      <c r="A1122" s="208" t="s">
        <v>39</v>
      </c>
      <c r="B1122" s="241"/>
      <c r="C1122" s="241">
        <v>34360</v>
      </c>
      <c r="D1122" s="161" t="s">
        <v>7323</v>
      </c>
      <c r="E1122" s="1194" t="s">
        <v>133</v>
      </c>
      <c r="F1122" s="242">
        <v>12.753</v>
      </c>
      <c r="G1122" s="242">
        <f>IF(B1122="SEPLAG",VLOOKUP(CONCATENATE("MEDIANA - ",C1122),COTAÇÃO,5,FALSE),VLOOKUP($C1122,'NAO DESO'!$A:$D,4,))</f>
        <v>47.31</v>
      </c>
      <c r="H1122" s="242">
        <f t="shared" ref="H1122:H1146" si="88">TRUNC(F1122*G1122,2)</f>
        <v>603.34</v>
      </c>
      <c r="I1122" s="54" t="str">
        <f>IF(B1122="SEPLAG",VLOOKUP(CONCATENATE("MEDIANA - ",C1122),COTAÇÃO,5,FALSE),VLOOKUP($C1122,DESON!$A:$D,4,))</f>
        <v>47,31</v>
      </c>
      <c r="J1122" s="209">
        <f t="shared" ref="J1122:J1146" si="89">TRUNC(F1122*I1122,2)</f>
        <v>603.34</v>
      </c>
    </row>
    <row r="1123" spans="1:10" ht="15" customHeight="1">
      <c r="A1123" s="208" t="s">
        <v>39</v>
      </c>
      <c r="B1123" s="241"/>
      <c r="C1123" s="241">
        <v>34360</v>
      </c>
      <c r="D1123" s="161" t="s">
        <v>7324</v>
      </c>
      <c r="E1123" s="1194" t="s">
        <v>133</v>
      </c>
      <c r="F1123" s="242">
        <v>2.3210000000000002</v>
      </c>
      <c r="G1123" s="242">
        <f>IF(B1123="SEPLAG",VLOOKUP(CONCATENATE("MEDIANA - ",C1123),COTAÇÃO,5,FALSE),VLOOKUP($C1123,'NAO DESO'!$A:$D,4,))</f>
        <v>47.31</v>
      </c>
      <c r="H1123" s="242">
        <f t="shared" si="88"/>
        <v>109.8</v>
      </c>
      <c r="I1123" s="54" t="str">
        <f>IF(B1123="SEPLAG",VLOOKUP(CONCATENATE("MEDIANA - ",C1123),COTAÇÃO,5,FALSE),VLOOKUP($C1123,DESON!$A:$D,4,))</f>
        <v>47,31</v>
      </c>
      <c r="J1123" s="209">
        <f t="shared" si="89"/>
        <v>109.8</v>
      </c>
    </row>
    <row r="1124" spans="1:10" ht="15" customHeight="1">
      <c r="A1124" s="208" t="s">
        <v>39</v>
      </c>
      <c r="B1124" s="241"/>
      <c r="C1124" s="241">
        <v>34360</v>
      </c>
      <c r="D1124" s="161" t="s">
        <v>7325</v>
      </c>
      <c r="E1124" s="1194" t="s">
        <v>133</v>
      </c>
      <c r="F1124" s="242">
        <v>0.91599999999999993</v>
      </c>
      <c r="G1124" s="242">
        <f>IF(B1124="SEPLAG",VLOOKUP(CONCATENATE("MEDIANA - ",C1124),COTAÇÃO,5,FALSE),VLOOKUP($C1124,'NAO DESO'!$A:$D,4,))</f>
        <v>47.31</v>
      </c>
      <c r="H1124" s="242">
        <f t="shared" si="88"/>
        <v>43.33</v>
      </c>
      <c r="I1124" s="54" t="str">
        <f>IF(B1124="SEPLAG",VLOOKUP(CONCATENATE("MEDIANA - ",C1124),COTAÇÃO,5,FALSE),VLOOKUP($C1124,DESON!$A:$D,4,))</f>
        <v>47,31</v>
      </c>
      <c r="J1124" s="209">
        <f t="shared" si="89"/>
        <v>43.33</v>
      </c>
    </row>
    <row r="1125" spans="1:10" ht="15" customHeight="1">
      <c r="A1125" s="208" t="s">
        <v>39</v>
      </c>
      <c r="B1125" s="241"/>
      <c r="C1125" s="241">
        <v>34360</v>
      </c>
      <c r="D1125" s="161" t="s">
        <v>7326</v>
      </c>
      <c r="E1125" s="1194" t="s">
        <v>133</v>
      </c>
      <c r="F1125" s="242">
        <v>6.1180000000000003</v>
      </c>
      <c r="G1125" s="242">
        <f>IF(B1125="SEPLAG",VLOOKUP(CONCATENATE("MEDIANA - ",C1125),COTAÇÃO,5,FALSE),VLOOKUP($C1125,'NAO DESO'!$A:$D,4,))</f>
        <v>47.31</v>
      </c>
      <c r="H1125" s="242">
        <f t="shared" si="88"/>
        <v>289.44</v>
      </c>
      <c r="I1125" s="54" t="str">
        <f>IF(B1125="SEPLAG",VLOOKUP(CONCATENATE("MEDIANA - ",C1125),COTAÇÃO,5,FALSE),VLOOKUP($C1125,DESON!$A:$D,4,))</f>
        <v>47,31</v>
      </c>
      <c r="J1125" s="209">
        <f t="shared" si="89"/>
        <v>289.44</v>
      </c>
    </row>
    <row r="1126" spans="1:10" ht="15" customHeight="1">
      <c r="A1126" s="208" t="s">
        <v>39</v>
      </c>
      <c r="B1126" s="241"/>
      <c r="C1126" s="241">
        <v>34360</v>
      </c>
      <c r="D1126" s="161" t="s">
        <v>7327</v>
      </c>
      <c r="E1126" s="1194" t="s">
        <v>133</v>
      </c>
      <c r="F1126" s="242">
        <v>10.728</v>
      </c>
      <c r="G1126" s="242">
        <f>IF(B1126="SEPLAG",VLOOKUP(CONCATENATE("MEDIANA - ",C1126),COTAÇÃO,5,FALSE),VLOOKUP($C1126,'NAO DESO'!$A:$D,4,))</f>
        <v>47.31</v>
      </c>
      <c r="H1126" s="242">
        <f t="shared" si="88"/>
        <v>507.54</v>
      </c>
      <c r="I1126" s="54" t="str">
        <f>IF(B1126="SEPLAG",VLOOKUP(CONCATENATE("MEDIANA - ",C1126),COTAÇÃO,5,FALSE),VLOOKUP($C1126,DESON!$A:$D,4,))</f>
        <v>47,31</v>
      </c>
      <c r="J1126" s="209">
        <f t="shared" si="89"/>
        <v>507.54</v>
      </c>
    </row>
    <row r="1127" spans="1:10" ht="15" customHeight="1">
      <c r="A1127" s="208" t="s">
        <v>39</v>
      </c>
      <c r="B1127" s="241"/>
      <c r="C1127" s="241">
        <v>34360</v>
      </c>
      <c r="D1127" s="161" t="s">
        <v>7328</v>
      </c>
      <c r="E1127" s="1194" t="s">
        <v>133</v>
      </c>
      <c r="F1127" s="242">
        <v>12.396000000000001</v>
      </c>
      <c r="G1127" s="242">
        <f>IF(B1127="SEPLAG",VLOOKUP(CONCATENATE("MEDIANA - ",C1127),COTAÇÃO,5,FALSE),VLOOKUP($C1127,'NAO DESO'!$A:$D,4,))</f>
        <v>47.31</v>
      </c>
      <c r="H1127" s="242">
        <f t="shared" si="88"/>
        <v>586.45000000000005</v>
      </c>
      <c r="I1127" s="54" t="str">
        <f>IF(B1127="SEPLAG",VLOOKUP(CONCATENATE("MEDIANA - ",C1127),COTAÇÃO,5,FALSE),VLOOKUP($C1127,DESON!$A:$D,4,))</f>
        <v>47,31</v>
      </c>
      <c r="J1127" s="209">
        <f t="shared" si="89"/>
        <v>586.45000000000005</v>
      </c>
    </row>
    <row r="1128" spans="1:10" ht="15" customHeight="1">
      <c r="A1128" s="208" t="s">
        <v>39</v>
      </c>
      <c r="B1128" s="241"/>
      <c r="C1128" s="241">
        <v>34360</v>
      </c>
      <c r="D1128" s="161" t="s">
        <v>7329</v>
      </c>
      <c r="E1128" s="1194" t="s">
        <v>133</v>
      </c>
      <c r="F1128" s="242">
        <v>8.5749999999999993</v>
      </c>
      <c r="G1128" s="242">
        <f>IF(B1128="SEPLAG",VLOOKUP(CONCATENATE("MEDIANA - ",C1128),COTAÇÃO,5,FALSE),VLOOKUP($C1128,'NAO DESO'!$A:$D,4,))</f>
        <v>47.31</v>
      </c>
      <c r="H1128" s="242">
        <f t="shared" si="88"/>
        <v>405.68</v>
      </c>
      <c r="I1128" s="54" t="str">
        <f>IF(B1128="SEPLAG",VLOOKUP(CONCATENATE("MEDIANA - ",C1128),COTAÇÃO,5,FALSE),VLOOKUP($C1128,DESON!$A:$D,4,))</f>
        <v>47,31</v>
      </c>
      <c r="J1128" s="209">
        <f t="shared" si="89"/>
        <v>405.68</v>
      </c>
    </row>
    <row r="1129" spans="1:10" ht="15" customHeight="1">
      <c r="A1129" s="208" t="s">
        <v>39</v>
      </c>
      <c r="B1129" s="241"/>
      <c r="C1129" s="241">
        <v>34360</v>
      </c>
      <c r="D1129" s="161" t="s">
        <v>7330</v>
      </c>
      <c r="E1129" s="1194" t="s">
        <v>133</v>
      </c>
      <c r="F1129" s="242">
        <v>6.11</v>
      </c>
      <c r="G1129" s="242">
        <f>IF(B1129="SEPLAG",VLOOKUP(CONCATENATE("MEDIANA - ",C1129),COTAÇÃO,5,FALSE),VLOOKUP($C1129,'NAO DESO'!$A:$D,4,))</f>
        <v>47.31</v>
      </c>
      <c r="H1129" s="242">
        <f t="shared" si="88"/>
        <v>289.06</v>
      </c>
      <c r="I1129" s="54" t="str">
        <f>IF(B1129="SEPLAG",VLOOKUP(CONCATENATE("MEDIANA - ",C1129),COTAÇÃO,5,FALSE),VLOOKUP($C1129,DESON!$A:$D,4,))</f>
        <v>47,31</v>
      </c>
      <c r="J1129" s="209">
        <f t="shared" si="89"/>
        <v>289.06</v>
      </c>
    </row>
    <row r="1130" spans="1:10" ht="15" customHeight="1">
      <c r="A1130" s="208" t="s">
        <v>39</v>
      </c>
      <c r="B1130" s="241"/>
      <c r="C1130" s="241">
        <v>34360</v>
      </c>
      <c r="D1130" s="161" t="s">
        <v>7331</v>
      </c>
      <c r="E1130" s="1194" t="s">
        <v>133</v>
      </c>
      <c r="F1130" s="242">
        <v>26.698</v>
      </c>
      <c r="G1130" s="242">
        <f>IF(B1130="SEPLAG",VLOOKUP(CONCATENATE("MEDIANA - ",C1130),COTAÇÃO,5,FALSE),VLOOKUP($C1130,'NAO DESO'!$A:$D,4,))</f>
        <v>47.31</v>
      </c>
      <c r="H1130" s="242">
        <f t="shared" si="88"/>
        <v>1263.08</v>
      </c>
      <c r="I1130" s="54" t="str">
        <f>IF(B1130="SEPLAG",VLOOKUP(CONCATENATE("MEDIANA - ",C1130),COTAÇÃO,5,FALSE),VLOOKUP($C1130,DESON!$A:$D,4,))</f>
        <v>47,31</v>
      </c>
      <c r="J1130" s="209">
        <f t="shared" si="89"/>
        <v>1263.08</v>
      </c>
    </row>
    <row r="1131" spans="1:10" ht="15" customHeight="1">
      <c r="A1131" s="208" t="s">
        <v>39</v>
      </c>
      <c r="B1131" s="241"/>
      <c r="C1131" s="241">
        <v>34360</v>
      </c>
      <c r="D1131" s="161" t="s">
        <v>7332</v>
      </c>
      <c r="E1131" s="1194" t="s">
        <v>133</v>
      </c>
      <c r="F1131" s="242">
        <v>1.8280000000000001</v>
      </c>
      <c r="G1131" s="242">
        <f>IF(B1131="SEPLAG",VLOOKUP(CONCATENATE("MEDIANA - ",C1131),COTAÇÃO,5,FALSE),VLOOKUP($C1131,'NAO DESO'!$A:$D,4,))</f>
        <v>47.31</v>
      </c>
      <c r="H1131" s="242">
        <f t="shared" si="88"/>
        <v>86.48</v>
      </c>
      <c r="I1131" s="54" t="str">
        <f>IF(B1131="SEPLAG",VLOOKUP(CONCATENATE("MEDIANA - ",C1131),COTAÇÃO,5,FALSE),VLOOKUP($C1131,DESON!$A:$D,4,))</f>
        <v>47,31</v>
      </c>
      <c r="J1131" s="209">
        <f t="shared" si="89"/>
        <v>86.48</v>
      </c>
    </row>
    <row r="1132" spans="1:10" ht="15" customHeight="1">
      <c r="A1132" s="208" t="s">
        <v>39</v>
      </c>
      <c r="B1132" s="241"/>
      <c r="C1132" s="241">
        <v>34360</v>
      </c>
      <c r="D1132" s="161" t="s">
        <v>7333</v>
      </c>
      <c r="E1132" s="1194" t="s">
        <v>133</v>
      </c>
      <c r="F1132" s="242">
        <v>5.3890000000000002</v>
      </c>
      <c r="G1132" s="242">
        <f>IF(B1132="SEPLAG",VLOOKUP(CONCATENATE("MEDIANA - ",C1132),COTAÇÃO,5,FALSE),VLOOKUP($C1132,'NAO DESO'!$A:$D,4,))</f>
        <v>47.31</v>
      </c>
      <c r="H1132" s="242">
        <f t="shared" si="88"/>
        <v>254.95</v>
      </c>
      <c r="I1132" s="54" t="str">
        <f>IF(B1132="SEPLAG",VLOOKUP(CONCATENATE("MEDIANA - ",C1132),COTAÇÃO,5,FALSE),VLOOKUP($C1132,DESON!$A:$D,4,))</f>
        <v>47,31</v>
      </c>
      <c r="J1132" s="209">
        <f t="shared" si="89"/>
        <v>254.95</v>
      </c>
    </row>
    <row r="1133" spans="1:10" ht="15" customHeight="1">
      <c r="A1133" s="208" t="s">
        <v>39</v>
      </c>
      <c r="B1133" s="241" t="s">
        <v>14504</v>
      </c>
      <c r="C1133" s="1181" t="s">
        <v>14307</v>
      </c>
      <c r="D1133" s="161" t="str">
        <f>IF(B1133="SEPLAG",VLOOKUP(COMPOSIÇÕES!C1133,'MAPA COMPARATIVO'!A:B,2,FALSE),VLOOKUP(C1133,'NAO DESO'!A:B,2,0))</f>
        <v xml:space="preserve">Braço de max-ar linha gold de 600mm </v>
      </c>
      <c r="E1133" s="1194" t="s">
        <v>24</v>
      </c>
      <c r="F1133" s="242">
        <v>11</v>
      </c>
      <c r="G1133" s="242">
        <f>IF(B1133="SEPLAG",VLOOKUP(CONCATENATE("MEDIANA - ",C1133),COTAÇÃO,5,FALSE),VLOOKUP($C1133,'NAO DESO'!$A:$D,4,))</f>
        <v>36.575000000000003</v>
      </c>
      <c r="H1133" s="242">
        <f t="shared" si="88"/>
        <v>402.32</v>
      </c>
      <c r="I1133" s="54">
        <f>IF(B1133="SEPLAG",VLOOKUP(CONCATENATE("MEDIANA - ",C1133),COTAÇÃO,5,FALSE),VLOOKUP($C1133,DESON!$A:$D,4,))</f>
        <v>36.575000000000003</v>
      </c>
      <c r="J1133" s="209">
        <f t="shared" si="89"/>
        <v>402.32</v>
      </c>
    </row>
    <row r="1134" spans="1:10" ht="15" customHeight="1">
      <c r="A1134" s="208" t="s">
        <v>39</v>
      </c>
      <c r="B1134" s="241" t="s">
        <v>14504</v>
      </c>
      <c r="C1134" s="1181" t="s">
        <v>14308</v>
      </c>
      <c r="D1134" s="161" t="str">
        <f>IF(B1134="SEPLAG",VLOOKUP(COMPOSIÇÕES!C1134,'MAPA COMPARATIVO'!A:B,2,FALSE),VLOOKUP(C1134,'NAO DESO'!A:B,2,0))</f>
        <v>Fecho max-ar linha gold</v>
      </c>
      <c r="E1134" s="1194" t="s">
        <v>24</v>
      </c>
      <c r="F1134" s="242">
        <v>11</v>
      </c>
      <c r="G1134" s="242">
        <f>IF(B1134="SEPLAG",VLOOKUP(CONCATENATE("MEDIANA - ",C1134),COTAÇÃO,5,FALSE),VLOOKUP($C1134,'NAO DESO'!$A:$D,4,))</f>
        <v>47.36</v>
      </c>
      <c r="H1134" s="242">
        <f t="shared" si="88"/>
        <v>520.96</v>
      </c>
      <c r="I1134" s="54">
        <f>IF(B1134="SEPLAG",VLOOKUP(CONCATENATE("MEDIANA - ",C1134),COTAÇÃO,5,FALSE),VLOOKUP($C1134,DESON!$A:$D,4,))</f>
        <v>47.36</v>
      </c>
      <c r="J1134" s="209">
        <f t="shared" si="89"/>
        <v>520.96</v>
      </c>
    </row>
    <row r="1135" spans="1:10" ht="15" customHeight="1">
      <c r="A1135" s="208" t="s">
        <v>39</v>
      </c>
      <c r="B1135" s="241" t="s">
        <v>14504</v>
      </c>
      <c r="C1135" s="1181" t="s">
        <v>14309</v>
      </c>
      <c r="D1135" s="161" t="str">
        <f>IF(B1135="SEPLAG",VLOOKUP(COMPOSIÇÕES!C1135,'MAPA COMPARATIVO'!A:B,2,FALSE),VLOOKUP(C1135,'NAO DESO'!A:B,2,0))</f>
        <v>Guarnição em EPDM p/ pingadeira</v>
      </c>
      <c r="E1135" s="1194" t="s">
        <v>7388</v>
      </c>
      <c r="F1135" s="242">
        <v>11.571999999999999</v>
      </c>
      <c r="G1135" s="242">
        <f>IF(B1135="SEPLAG",VLOOKUP(CONCATENATE("MEDIANA - ",C1135),COTAÇÃO,5,FALSE),VLOOKUP($C1135,'NAO DESO'!$A:$D,4,))</f>
        <v>4.3849999999999998</v>
      </c>
      <c r="H1135" s="242">
        <f t="shared" si="88"/>
        <v>50.74</v>
      </c>
      <c r="I1135" s="54">
        <f>IF(B1135="SEPLAG",VLOOKUP(CONCATENATE("MEDIANA - ",C1135),COTAÇÃO,5,FALSE),VLOOKUP($C1135,DESON!$A:$D,4,))</f>
        <v>4.3849999999999998</v>
      </c>
      <c r="J1135" s="209">
        <f t="shared" si="89"/>
        <v>50.74</v>
      </c>
    </row>
    <row r="1136" spans="1:10" ht="15" customHeight="1">
      <c r="A1136" s="208" t="s">
        <v>39</v>
      </c>
      <c r="B1136" s="241" t="s">
        <v>14504</v>
      </c>
      <c r="C1136" s="1181" t="s">
        <v>14310</v>
      </c>
      <c r="D1136" s="161" t="str">
        <f>IF(B1136="SEPLAG",VLOOKUP(COMPOSIÇÕES!C1136,'MAPA COMPARATIVO'!A:B,2,FALSE),VLOOKUP(C1136,'NAO DESO'!A:B,2,0))</f>
        <v>Guarnição em EPDM para vidro</v>
      </c>
      <c r="E1136" s="1194" t="s">
        <v>250</v>
      </c>
      <c r="F1136" s="242">
        <v>82.47</v>
      </c>
      <c r="G1136" s="242">
        <f>IF(B1136="SEPLAG",VLOOKUP(CONCATENATE("MEDIANA - ",C1136),COTAÇÃO,5,FALSE),VLOOKUP($C1136,'NAO DESO'!$A:$D,4,))</f>
        <v>2.4091999999999998</v>
      </c>
      <c r="H1136" s="242">
        <f t="shared" si="88"/>
        <v>198.68</v>
      </c>
      <c r="I1136" s="54">
        <f>IF(B1136="SEPLAG",VLOOKUP(CONCATENATE("MEDIANA - ",C1136),COTAÇÃO,5,FALSE),VLOOKUP($C1136,DESON!$A:$D,4,))</f>
        <v>2.4091999999999998</v>
      </c>
      <c r="J1136" s="209">
        <f t="shared" si="89"/>
        <v>198.68</v>
      </c>
    </row>
    <row r="1137" spans="1:10" ht="15" customHeight="1">
      <c r="A1137" s="208" t="s">
        <v>39</v>
      </c>
      <c r="B1137" s="241" t="s">
        <v>14504</v>
      </c>
      <c r="C1137" s="1181" t="s">
        <v>14311</v>
      </c>
      <c r="D1137" s="161" t="str">
        <f>IF(B1137="SEPLAG",VLOOKUP(COMPOSIÇÕES!C1137,'MAPA COMPARATIVO'!A:B,2,FALSE),VLOOKUP(C1137,'NAO DESO'!A:B,2,0))</f>
        <v>Espuma adesiva 1 face</v>
      </c>
      <c r="E1137" s="1194" t="s">
        <v>250</v>
      </c>
      <c r="F1137" s="242">
        <v>82.47</v>
      </c>
      <c r="G1137" s="242">
        <f>IF(B1137="SEPLAG",VLOOKUP(CONCATENATE("MEDIANA - ",C1137),COTAÇÃO,5,FALSE),VLOOKUP($C1137,'NAO DESO'!$A:$D,4,))</f>
        <v>2.1800000000000002</v>
      </c>
      <c r="H1137" s="242">
        <f t="shared" si="88"/>
        <v>179.78</v>
      </c>
      <c r="I1137" s="54">
        <f>IF(B1137="SEPLAG",VLOOKUP(CONCATENATE("MEDIANA - ",C1137),COTAÇÃO,5,FALSE),VLOOKUP($C1137,DESON!$A:$D,4,))</f>
        <v>2.1800000000000002</v>
      </c>
      <c r="J1137" s="209">
        <f t="shared" si="89"/>
        <v>179.78</v>
      </c>
    </row>
    <row r="1138" spans="1:10" ht="15" customHeight="1">
      <c r="A1138" s="208" t="s">
        <v>39</v>
      </c>
      <c r="B1138" s="241" t="s">
        <v>14504</v>
      </c>
      <c r="C1138" s="1181" t="s">
        <v>14312</v>
      </c>
      <c r="D1138" s="161" t="str">
        <f>IF(B1138="SEPLAG",VLOOKUP(COMPOSIÇÕES!C1138,'MAPA COMPARATIVO'!A:B,2,FALSE),VLOOKUP(C1138,'NAO DESO'!A:B,2,0))</f>
        <v>Guarnição em EPDM p/ marco max-ar</v>
      </c>
      <c r="E1138" s="1194" t="s">
        <v>250</v>
      </c>
      <c r="F1138" s="242">
        <v>89.27</v>
      </c>
      <c r="G1138" s="242">
        <f>IF(B1138="SEPLAG",VLOOKUP(CONCATENATE("MEDIANA - ",C1138),COTAÇÃO,5,FALSE),VLOOKUP($C1138,'NAO DESO'!$A:$D,4,))</f>
        <v>3.8138999999999998</v>
      </c>
      <c r="H1138" s="242">
        <f t="shared" si="88"/>
        <v>340.46</v>
      </c>
      <c r="I1138" s="54">
        <f>IF(B1138="SEPLAG",VLOOKUP(CONCATENATE("MEDIANA - ",C1138),COTAÇÃO,5,FALSE),VLOOKUP($C1138,DESON!$A:$D,4,))</f>
        <v>3.8138999999999998</v>
      </c>
      <c r="J1138" s="209">
        <f t="shared" si="89"/>
        <v>340.46</v>
      </c>
    </row>
    <row r="1139" spans="1:10" ht="15" customHeight="1">
      <c r="A1139" s="208" t="s">
        <v>39</v>
      </c>
      <c r="B1139" s="241" t="s">
        <v>14504</v>
      </c>
      <c r="C1139" s="1181" t="s">
        <v>14313</v>
      </c>
      <c r="D1139" s="161" t="str">
        <f>IF(B1139="SEPLAG",VLOOKUP(COMPOSIÇÕES!C1139,'MAPA COMPARATIVO'!A:B,2,FALSE),VLOOKUP(C1139,'NAO DESO'!A:B,2,0))</f>
        <v>PRESILHA DE FIXAÇÃO DO ARREMATE MP-347</v>
      </c>
      <c r="E1139" s="1194" t="s">
        <v>24</v>
      </c>
      <c r="F1139" s="242">
        <v>69</v>
      </c>
      <c r="G1139" s="242">
        <f>IF(B1139="SEPLAG",VLOOKUP(CONCATENATE("MEDIANA - ",C1139),COTAÇÃO,5,FALSE),VLOOKUP($C1139,'NAO DESO'!$A:$D,4,))</f>
        <v>0.34</v>
      </c>
      <c r="H1139" s="242">
        <f t="shared" si="88"/>
        <v>23.46</v>
      </c>
      <c r="I1139" s="54">
        <f>IF(B1139="SEPLAG",VLOOKUP(CONCATENATE("MEDIANA - ",C1139),COTAÇÃO,5,FALSE),VLOOKUP($C1139,DESON!$A:$D,4,))</f>
        <v>0.34</v>
      </c>
      <c r="J1139" s="209">
        <f t="shared" si="89"/>
        <v>23.46</v>
      </c>
    </row>
    <row r="1140" spans="1:10" ht="15" customHeight="1">
      <c r="A1140" s="208" t="s">
        <v>39</v>
      </c>
      <c r="B1140" s="241" t="s">
        <v>14504</v>
      </c>
      <c r="C1140" s="1181" t="s">
        <v>14314</v>
      </c>
      <c r="D1140" s="161" t="str">
        <f>IF(B1140="SEPLAG",VLOOKUP(COMPOSIÇÕES!C1140,'MAPA COMPARATIVO'!A:B,2,FALSE),VLOOKUP(C1140,'NAO DESO'!A:B,2,0))</f>
        <v>Parafuso zincado phillips flangeado autobrocante 4,2 x 16mm</v>
      </c>
      <c r="E1140" s="1194" t="s">
        <v>24</v>
      </c>
      <c r="F1140" s="242">
        <v>69</v>
      </c>
      <c r="G1140" s="242">
        <f>IF(B1140="SEPLAG",VLOOKUP(CONCATENATE("MEDIANA - ",C1140),COTAÇÃO,5,FALSE),VLOOKUP($C1140,'NAO DESO'!$A:$D,4,))</f>
        <v>0.28000000000000003</v>
      </c>
      <c r="H1140" s="242">
        <f t="shared" si="88"/>
        <v>19.32</v>
      </c>
      <c r="I1140" s="54">
        <f>IF(B1140="SEPLAG",VLOOKUP(CONCATENATE("MEDIANA - ",C1140),COTAÇÃO,5,FALSE),VLOOKUP($C1140,DESON!$A:$D,4,))</f>
        <v>0.28000000000000003</v>
      </c>
      <c r="J1140" s="209">
        <f t="shared" si="89"/>
        <v>19.32</v>
      </c>
    </row>
    <row r="1141" spans="1:10" ht="15" customHeight="1">
      <c r="A1141" s="208" t="s">
        <v>39</v>
      </c>
      <c r="B1141" s="241" t="s">
        <v>14504</v>
      </c>
      <c r="C1141" s="1181" t="s">
        <v>14315</v>
      </c>
      <c r="D1141" s="161" t="str">
        <f>IF(B1141="SEPLAG",VLOOKUP(COMPOSIÇÕES!C1141,'MAPA COMPARATIVO'!A:B,2,FALSE),VLOOKUP(C1141,'NAO DESO'!A:B,2,0))</f>
        <v>PARAF. PANELA PHILIPS INOX 4,8 X32 PONTA PILOTO</v>
      </c>
      <c r="E1141" s="1194" t="s">
        <v>24</v>
      </c>
      <c r="F1141" s="242">
        <v>84</v>
      </c>
      <c r="G1141" s="242">
        <f>IF(B1141="SEPLAG",VLOOKUP(CONCATENATE("MEDIANA - ",C1141),COTAÇÃO,5,FALSE),VLOOKUP($C1141,'NAO DESO'!$A:$D,4,))</f>
        <v>0.95</v>
      </c>
      <c r="H1141" s="242">
        <f t="shared" si="88"/>
        <v>79.8</v>
      </c>
      <c r="I1141" s="54">
        <f>IF(B1141="SEPLAG",VLOOKUP(CONCATENATE("MEDIANA - ",C1141),COTAÇÃO,5,FALSE),VLOOKUP($C1141,DESON!$A:$D,4,))</f>
        <v>0.95</v>
      </c>
      <c r="J1141" s="209">
        <f t="shared" si="89"/>
        <v>79.8</v>
      </c>
    </row>
    <row r="1142" spans="1:10" ht="15" customHeight="1">
      <c r="A1142" s="208" t="s">
        <v>39</v>
      </c>
      <c r="B1142" s="241" t="s">
        <v>14504</v>
      </c>
      <c r="C1142" s="1181" t="s">
        <v>14316</v>
      </c>
      <c r="D1142" s="161" t="str">
        <f>IF(B1142="SEPLAG",VLOOKUP(COMPOSIÇÕES!C1142,'MAPA COMPARATIVO'!A:B,2,FALSE),VLOOKUP(C1142,'NAO DESO'!A:B,2,0))</f>
        <v>CHUMBADOR DE CM-063/060</v>
      </c>
      <c r="E1142" s="1194" t="s">
        <v>24</v>
      </c>
      <c r="F1142" s="242">
        <v>68</v>
      </c>
      <c r="G1142" s="242">
        <f>IF(B1142="SEPLAG",VLOOKUP(CONCATENATE("MEDIANA - ",C1142),COTAÇÃO,5,FALSE),VLOOKUP($C1142,'NAO DESO'!$A:$D,4,))</f>
        <v>0.86</v>
      </c>
      <c r="H1142" s="242">
        <f t="shared" si="88"/>
        <v>58.48</v>
      </c>
      <c r="I1142" s="54">
        <f>IF(B1142="SEPLAG",VLOOKUP(CONCATENATE("MEDIANA - ",C1142),COTAÇÃO,5,FALSE),VLOOKUP($C1142,DESON!$A:$D,4,))</f>
        <v>0.86</v>
      </c>
      <c r="J1142" s="209">
        <f t="shared" si="89"/>
        <v>58.48</v>
      </c>
    </row>
    <row r="1143" spans="1:10" ht="15" customHeight="1">
      <c r="A1143" s="208" t="s">
        <v>39</v>
      </c>
      <c r="B1143" s="241" t="s">
        <v>14504</v>
      </c>
      <c r="C1143" s="1181" t="s">
        <v>14317</v>
      </c>
      <c r="D1143" s="161" t="str">
        <f>IF(B1143="SEPLAG",VLOOKUP(COMPOSIÇÕES!C1143,'MAPA COMPARATIVO'!A:B,2,FALSE),VLOOKUP(C1143,'NAO DESO'!A:B,2,0))</f>
        <v>Silicone neutro incolor 280 g</v>
      </c>
      <c r="E1143" s="1194" t="s">
        <v>24</v>
      </c>
      <c r="F1143" s="242">
        <v>5</v>
      </c>
      <c r="G1143" s="242">
        <f>IF(B1143="SEPLAG",VLOOKUP(CONCATENATE("MEDIANA - ",C1143),COTAÇÃO,5,FALSE),VLOOKUP($C1143,'NAO DESO'!$A:$D,4,))</f>
        <v>43.9</v>
      </c>
      <c r="H1143" s="242">
        <f t="shared" si="88"/>
        <v>219.5</v>
      </c>
      <c r="I1143" s="54">
        <f>IF(B1143="SEPLAG",VLOOKUP(CONCATENATE("MEDIANA - ",C1143),COTAÇÃO,5,FALSE),VLOOKUP($C1143,DESON!$A:$D,4,))</f>
        <v>43.9</v>
      </c>
      <c r="J1143" s="209">
        <f t="shared" si="89"/>
        <v>219.5</v>
      </c>
    </row>
    <row r="1144" spans="1:10" ht="15" customHeight="1">
      <c r="A1144" s="208" t="s">
        <v>245</v>
      </c>
      <c r="B1144" s="241"/>
      <c r="C1144" s="1181">
        <v>10505</v>
      </c>
      <c r="D1144" s="161" t="str">
        <f>IF(B1144="SEPLAG",VLOOKUP(COMPOSIÇÕES!C1144,'MAPA COMPARATIVO'!A:B,2,FALSE),VLOOKUP(C1144,'NAO DESO'!A:B,2,0))</f>
        <v>VIDRO TEMPERADO INCOLOR E = 6 MM, SEM COLOCACAO</v>
      </c>
      <c r="E1144" s="241" t="str">
        <f>VLOOKUP($C1144,'NAO DESO'!$A:$D,3,)</f>
        <v xml:space="preserve">M2    </v>
      </c>
      <c r="F1144" s="242">
        <v>19.64</v>
      </c>
      <c r="G1144" s="242">
        <f>IF(B1144="SEPLAG",VLOOKUP(CONCATENATE("MEDIANA - ",C1144),COTAÇÃO,5,FALSE),VLOOKUP($C1144,'NAO DESO'!$A:$D,4,))</f>
        <v>272.77</v>
      </c>
      <c r="H1144" s="242">
        <f t="shared" si="88"/>
        <v>5357.2</v>
      </c>
      <c r="I1144" s="54" t="str">
        <f>IF(B1144="SEPLAG",VLOOKUP(CONCATENATE("MEDIANA - ",C1144),COTAÇÃO,5,FALSE),VLOOKUP($C1144,DESON!$A:$D,4,))</f>
        <v>272,77</v>
      </c>
      <c r="J1144" s="209">
        <f t="shared" si="89"/>
        <v>5357.2</v>
      </c>
    </row>
    <row r="1145" spans="1:10" ht="15" customHeight="1">
      <c r="A1145" s="208" t="s">
        <v>245</v>
      </c>
      <c r="B1145" s="241"/>
      <c r="C1145" s="1181">
        <v>88315</v>
      </c>
      <c r="D1145" s="161" t="str">
        <f>IF(B1145="SEPLAG",VLOOKUP(COMPOSIÇÕES!C1145,'MAPA COMPARATIVO'!A:B,2,FALSE),VLOOKUP(C1145,'NAO DESO'!A:B,2,0))</f>
        <v>SERRALHEIRO COM ENCARGOS COMPLEMENTARES</v>
      </c>
      <c r="E1145" s="241" t="str">
        <f>VLOOKUP($C1145,'NAO DESO'!$A:$D,3,)</f>
        <v>H</v>
      </c>
      <c r="F1145" s="242">
        <v>64.290000000000006</v>
      </c>
      <c r="G1145" s="242" t="str">
        <f>IF(B1145="SEPLAG",VLOOKUP(CONCATENATE("MEDIANA - ",C1145),COTAÇÃO,5,FALSE),VLOOKUP($C1145,'NAO DESO'!$A:$D,4,))</f>
        <v>20,97</v>
      </c>
      <c r="H1145" s="242">
        <f t="shared" si="88"/>
        <v>1348.16</v>
      </c>
      <c r="I1145" s="54" t="str">
        <f>IF(B1145="SEPLAG",VLOOKUP(CONCATENATE("MEDIANA - ",C1145),COTAÇÃO,5,FALSE),VLOOKUP($C1145,DESON!$A:$D,4,))</f>
        <v>18,75</v>
      </c>
      <c r="J1145" s="209">
        <f t="shared" si="89"/>
        <v>1205.43</v>
      </c>
    </row>
    <row r="1146" spans="1:10" ht="15" customHeight="1">
      <c r="A1146" s="208" t="s">
        <v>245</v>
      </c>
      <c r="B1146" s="241"/>
      <c r="C1146" s="1181">
        <v>88316</v>
      </c>
      <c r="D1146" s="161" t="str">
        <f>IF(B1146="SEPLAG",VLOOKUP(COMPOSIÇÕES!C1146,'MAPA COMPARATIVO'!A:B,2,FALSE),VLOOKUP(C1146,'NAO DESO'!A:B,2,0))</f>
        <v>SERVENTE COM ENCARGOS COMPLEMENTARES</v>
      </c>
      <c r="E1146" s="241" t="str">
        <f>VLOOKUP($C1146,'NAO DESO'!$A:$D,3,)</f>
        <v>H</v>
      </c>
      <c r="F1146" s="242">
        <v>64.290000000000006</v>
      </c>
      <c r="G1146" s="242" t="str">
        <f>IF(B1146="SEPLAG",VLOOKUP(CONCATENATE("MEDIANA - ",C1146),COTAÇÃO,5,FALSE),VLOOKUP($C1146,'NAO DESO'!$A:$D,4,))</f>
        <v>16,83</v>
      </c>
      <c r="H1146" s="242">
        <f t="shared" si="88"/>
        <v>1082</v>
      </c>
      <c r="I1146" s="54" t="str">
        <f>IF(B1146="SEPLAG",VLOOKUP(CONCATENATE("MEDIANA - ",C1146),COTAÇÃO,5,FALSE),VLOOKUP($C1146,DESON!$A:$D,4,))</f>
        <v>15,16</v>
      </c>
      <c r="J1146" s="209">
        <f t="shared" si="89"/>
        <v>974.63</v>
      </c>
    </row>
    <row r="1147" spans="1:10" ht="15" customHeight="1">
      <c r="A1147" s="210" t="str">
        <f>CONCATENATE("TOTAL DO ITEM NÃO DESON. - ",C1120)</f>
        <v>TOTAL DO ITEM NÃO DESON. - SEPLAG  ARQ 81</v>
      </c>
      <c r="B1147" s="424"/>
      <c r="C1147" s="424"/>
      <c r="D1147" s="424"/>
      <c r="E1147" s="424"/>
      <c r="F1147" s="425"/>
      <c r="G1147" s="426"/>
      <c r="H1147" s="1182">
        <f>SUM(H1122:H1146)</f>
        <v>14320.009999999998</v>
      </c>
      <c r="I1147" s="214"/>
      <c r="J1147" s="215"/>
    </row>
    <row r="1148" spans="1:10" ht="15.75" customHeight="1" thickBot="1">
      <c r="A1148" s="216" t="str">
        <f>CONCATENATE("TOTAL DO ITEM DESON. - ",C1120)</f>
        <v>TOTAL DO ITEM DESON. - SEPLAG  ARQ 81</v>
      </c>
      <c r="B1148" s="427"/>
      <c r="C1148" s="427"/>
      <c r="D1148" s="427"/>
      <c r="E1148" s="427"/>
      <c r="F1148" s="428"/>
      <c r="G1148" s="429"/>
      <c r="H1148" s="1187"/>
      <c r="I1148" s="229"/>
      <c r="J1148" s="219">
        <f>SUM(J1122:J1146)</f>
        <v>14069.909999999998</v>
      </c>
    </row>
    <row r="1149" spans="1:10" ht="15" customHeight="1" thickBot="1">
      <c r="A1149" s="235"/>
      <c r="B1149" s="1135"/>
      <c r="C1149" s="1135"/>
      <c r="D1149" s="1135"/>
      <c r="E1149" s="1135"/>
      <c r="F1149" s="1188"/>
      <c r="G1149" s="1188"/>
      <c r="H1149" s="1188"/>
      <c r="I1149" s="236"/>
      <c r="J1149" s="237"/>
    </row>
    <row r="1150" spans="1:10" ht="24" customHeight="1">
      <c r="A1150" s="198"/>
      <c r="B1150" s="1175"/>
      <c r="C1150" s="1176" t="s">
        <v>7370</v>
      </c>
      <c r="D1150" s="156" t="s">
        <v>7611</v>
      </c>
      <c r="E1150" s="1176" t="s">
        <v>32</v>
      </c>
      <c r="F1150" s="1177" t="s">
        <v>18</v>
      </c>
      <c r="G1150" s="1178" t="s">
        <v>7017</v>
      </c>
      <c r="H1150" s="1179"/>
      <c r="I1150" s="200" t="s">
        <v>7016</v>
      </c>
      <c r="J1150" s="201"/>
    </row>
    <row r="1151" spans="1:10" ht="15" customHeight="1">
      <c r="A1151" s="233"/>
      <c r="B1151" s="247"/>
      <c r="C1151" s="1155"/>
      <c r="D1151" s="157"/>
      <c r="E1151" s="1155"/>
      <c r="F1151" s="1180"/>
      <c r="G1151" s="1180" t="s">
        <v>19</v>
      </c>
      <c r="H1151" s="1180" t="s">
        <v>20</v>
      </c>
      <c r="I1151" s="205" t="s">
        <v>19</v>
      </c>
      <c r="J1151" s="206" t="s">
        <v>20</v>
      </c>
    </row>
    <row r="1152" spans="1:10" ht="15" customHeight="1">
      <c r="A1152" s="208" t="s">
        <v>39</v>
      </c>
      <c r="B1152" s="241"/>
      <c r="C1152" s="241">
        <v>34360</v>
      </c>
      <c r="D1152" s="161" t="s">
        <v>7323</v>
      </c>
      <c r="E1152" s="1194" t="s">
        <v>133</v>
      </c>
      <c r="F1152" s="242">
        <v>10.367000000000001</v>
      </c>
      <c r="G1152" s="242">
        <f>IF(B1152="SEPLAG",VLOOKUP(CONCATENATE("MEDIANA - ",C1152),COTAÇÃO,5,FALSE),VLOOKUP($C1152,'NAO DESO'!$A:$D,4,))</f>
        <v>47.31</v>
      </c>
      <c r="H1152" s="242">
        <f t="shared" ref="H1152:H1176" si="90">TRUNC(F1152*G1152,2)</f>
        <v>490.46</v>
      </c>
      <c r="I1152" s="54" t="str">
        <f>IF(B1152="SEPLAG",VLOOKUP(CONCATENATE("MEDIANA - ",C1152),COTAÇÃO,5,FALSE),VLOOKUP($C1152,DESON!$A:$D,4,))</f>
        <v>47,31</v>
      </c>
      <c r="J1152" s="209">
        <f t="shared" ref="J1152:J1176" si="91">TRUNC(F1152*I1152,2)</f>
        <v>490.46</v>
      </c>
    </row>
    <row r="1153" spans="1:10" ht="15" customHeight="1">
      <c r="A1153" s="208" t="s">
        <v>39</v>
      </c>
      <c r="B1153" s="241"/>
      <c r="C1153" s="241">
        <v>34360</v>
      </c>
      <c r="D1153" s="161" t="s">
        <v>7324</v>
      </c>
      <c r="E1153" s="1194" t="s">
        <v>133</v>
      </c>
      <c r="F1153" s="242">
        <v>1.9590000000000001</v>
      </c>
      <c r="G1153" s="242">
        <f>IF(B1153="SEPLAG",VLOOKUP(CONCATENATE("MEDIANA - ",C1153),COTAÇÃO,5,FALSE),VLOOKUP($C1153,'NAO DESO'!$A:$D,4,))</f>
        <v>47.31</v>
      </c>
      <c r="H1153" s="242">
        <f t="shared" si="90"/>
        <v>92.68</v>
      </c>
      <c r="I1153" s="54" t="str">
        <f>IF(B1153="SEPLAG",VLOOKUP(CONCATENATE("MEDIANA - ",C1153),COTAÇÃO,5,FALSE),VLOOKUP($C1153,DESON!$A:$D,4,))</f>
        <v>47,31</v>
      </c>
      <c r="J1153" s="209">
        <f t="shared" si="91"/>
        <v>92.68</v>
      </c>
    </row>
    <row r="1154" spans="1:10" ht="15" customHeight="1">
      <c r="A1154" s="208" t="s">
        <v>39</v>
      </c>
      <c r="B1154" s="241"/>
      <c r="C1154" s="241">
        <v>34360</v>
      </c>
      <c r="D1154" s="161" t="s">
        <v>7325</v>
      </c>
      <c r="E1154" s="1194" t="s">
        <v>133</v>
      </c>
      <c r="F1154" s="242">
        <v>0.77400000000000002</v>
      </c>
      <c r="G1154" s="242">
        <f>IF(B1154="SEPLAG",VLOOKUP(CONCATENATE("MEDIANA - ",C1154),COTAÇÃO,5,FALSE),VLOOKUP($C1154,'NAO DESO'!$A:$D,4,))</f>
        <v>47.31</v>
      </c>
      <c r="H1154" s="242">
        <f t="shared" si="90"/>
        <v>36.61</v>
      </c>
      <c r="I1154" s="54" t="str">
        <f>IF(B1154="SEPLAG",VLOOKUP(CONCATENATE("MEDIANA - ",C1154),COTAÇÃO,5,FALSE),VLOOKUP($C1154,DESON!$A:$D,4,))</f>
        <v>47,31</v>
      </c>
      <c r="J1154" s="209">
        <f t="shared" si="91"/>
        <v>36.61</v>
      </c>
    </row>
    <row r="1155" spans="1:10" ht="15" customHeight="1">
      <c r="A1155" s="208" t="s">
        <v>39</v>
      </c>
      <c r="B1155" s="241"/>
      <c r="C1155" s="241">
        <v>34360</v>
      </c>
      <c r="D1155" s="161" t="s">
        <v>7326</v>
      </c>
      <c r="E1155" s="1194" t="s">
        <v>133</v>
      </c>
      <c r="F1155" s="242">
        <v>5.1059999999999999</v>
      </c>
      <c r="G1155" s="242">
        <f>IF(B1155="SEPLAG",VLOOKUP(CONCATENATE("MEDIANA - ",C1155),COTAÇÃO,5,FALSE),VLOOKUP($C1155,'NAO DESO'!$A:$D,4,))</f>
        <v>47.31</v>
      </c>
      <c r="H1155" s="242">
        <f t="shared" si="90"/>
        <v>241.56</v>
      </c>
      <c r="I1155" s="54" t="str">
        <f>IF(B1155="SEPLAG",VLOOKUP(CONCATENATE("MEDIANA - ",C1155),COTAÇÃO,5,FALSE),VLOOKUP($C1155,DESON!$A:$D,4,))</f>
        <v>47,31</v>
      </c>
      <c r="J1155" s="209">
        <f t="shared" si="91"/>
        <v>241.56</v>
      </c>
    </row>
    <row r="1156" spans="1:10" ht="15" customHeight="1">
      <c r="A1156" s="208" t="s">
        <v>39</v>
      </c>
      <c r="B1156" s="241"/>
      <c r="C1156" s="241">
        <v>34360</v>
      </c>
      <c r="D1156" s="161" t="s">
        <v>7327</v>
      </c>
      <c r="E1156" s="1194" t="s">
        <v>133</v>
      </c>
      <c r="F1156" s="242">
        <v>8.9459999999999997</v>
      </c>
      <c r="G1156" s="242">
        <f>IF(B1156="SEPLAG",VLOOKUP(CONCATENATE("MEDIANA - ",C1156),COTAÇÃO,5,FALSE),VLOOKUP($C1156,'NAO DESO'!$A:$D,4,))</f>
        <v>47.31</v>
      </c>
      <c r="H1156" s="242">
        <f t="shared" si="90"/>
        <v>423.23</v>
      </c>
      <c r="I1156" s="54" t="str">
        <f>IF(B1156="SEPLAG",VLOOKUP(CONCATENATE("MEDIANA - ",C1156),COTAÇÃO,5,FALSE),VLOOKUP($C1156,DESON!$A:$D,4,))</f>
        <v>47,31</v>
      </c>
      <c r="J1156" s="209">
        <f t="shared" si="91"/>
        <v>423.23</v>
      </c>
    </row>
    <row r="1157" spans="1:10" ht="15" customHeight="1">
      <c r="A1157" s="208" t="s">
        <v>39</v>
      </c>
      <c r="B1157" s="241"/>
      <c r="C1157" s="241">
        <v>34360</v>
      </c>
      <c r="D1157" s="161" t="s">
        <v>7328</v>
      </c>
      <c r="E1157" s="1194" t="s">
        <v>133</v>
      </c>
      <c r="F1157" s="242">
        <v>9.9160000000000004</v>
      </c>
      <c r="G1157" s="242">
        <f>IF(B1157="SEPLAG",VLOOKUP(CONCATENATE("MEDIANA - ",C1157),COTAÇÃO,5,FALSE),VLOOKUP($C1157,'NAO DESO'!$A:$D,4,))</f>
        <v>47.31</v>
      </c>
      <c r="H1157" s="242">
        <f t="shared" si="90"/>
        <v>469.12</v>
      </c>
      <c r="I1157" s="54" t="str">
        <f>IF(B1157="SEPLAG",VLOOKUP(CONCATENATE("MEDIANA - ",C1157),COTAÇÃO,5,FALSE),VLOOKUP($C1157,DESON!$A:$D,4,))</f>
        <v>47,31</v>
      </c>
      <c r="J1157" s="209">
        <f t="shared" si="91"/>
        <v>469.12</v>
      </c>
    </row>
    <row r="1158" spans="1:10" ht="15" customHeight="1">
      <c r="A1158" s="208" t="s">
        <v>39</v>
      </c>
      <c r="B1158" s="241"/>
      <c r="C1158" s="241">
        <v>34360</v>
      </c>
      <c r="D1158" s="161" t="s">
        <v>7329</v>
      </c>
      <c r="E1158" s="1194" t="s">
        <v>133</v>
      </c>
      <c r="F1158" s="242">
        <v>6.94</v>
      </c>
      <c r="G1158" s="242">
        <f>IF(B1158="SEPLAG",VLOOKUP(CONCATENATE("MEDIANA - ",C1158),COTAÇÃO,5,FALSE),VLOOKUP($C1158,'NAO DESO'!$A:$D,4,))</f>
        <v>47.31</v>
      </c>
      <c r="H1158" s="242">
        <f t="shared" si="90"/>
        <v>328.33</v>
      </c>
      <c r="I1158" s="54" t="str">
        <f>IF(B1158="SEPLAG",VLOOKUP(CONCATENATE("MEDIANA - ",C1158),COTAÇÃO,5,FALSE),VLOOKUP($C1158,DESON!$A:$D,4,))</f>
        <v>47,31</v>
      </c>
      <c r="J1158" s="209">
        <f t="shared" si="91"/>
        <v>328.33</v>
      </c>
    </row>
    <row r="1159" spans="1:10" ht="15" customHeight="1">
      <c r="A1159" s="208" t="s">
        <v>39</v>
      </c>
      <c r="B1159" s="241"/>
      <c r="C1159" s="241">
        <v>34360</v>
      </c>
      <c r="D1159" s="161" t="s">
        <v>7330</v>
      </c>
      <c r="E1159" s="1194" t="s">
        <v>133</v>
      </c>
      <c r="F1159" s="242">
        <v>4.9670000000000005</v>
      </c>
      <c r="G1159" s="242">
        <f>IF(B1159="SEPLAG",VLOOKUP(CONCATENATE("MEDIANA - ",C1159),COTAÇÃO,5,FALSE),VLOOKUP($C1159,'NAO DESO'!$A:$D,4,))</f>
        <v>47.31</v>
      </c>
      <c r="H1159" s="242">
        <f t="shared" si="90"/>
        <v>234.98</v>
      </c>
      <c r="I1159" s="54" t="str">
        <f>IF(B1159="SEPLAG",VLOOKUP(CONCATENATE("MEDIANA - ",C1159),COTAÇÃO,5,FALSE),VLOOKUP($C1159,DESON!$A:$D,4,))</f>
        <v>47,31</v>
      </c>
      <c r="J1159" s="209">
        <f t="shared" si="91"/>
        <v>234.98</v>
      </c>
    </row>
    <row r="1160" spans="1:10" ht="15" customHeight="1">
      <c r="A1160" s="208" t="s">
        <v>39</v>
      </c>
      <c r="B1160" s="241"/>
      <c r="C1160" s="241">
        <v>34360</v>
      </c>
      <c r="D1160" s="161" t="s">
        <v>7331</v>
      </c>
      <c r="E1160" s="1194" t="s">
        <v>133</v>
      </c>
      <c r="F1160" s="242">
        <v>21.378</v>
      </c>
      <c r="G1160" s="242">
        <f>IF(B1160="SEPLAG",VLOOKUP(CONCATENATE("MEDIANA - ",C1160),COTAÇÃO,5,FALSE),VLOOKUP($C1160,'NAO DESO'!$A:$D,4,))</f>
        <v>47.31</v>
      </c>
      <c r="H1160" s="242">
        <f t="shared" si="90"/>
        <v>1011.39</v>
      </c>
      <c r="I1160" s="54" t="str">
        <f>IF(B1160="SEPLAG",VLOOKUP(CONCATENATE("MEDIANA - ",C1160),COTAÇÃO,5,FALSE),VLOOKUP($C1160,DESON!$A:$D,4,))</f>
        <v>47,31</v>
      </c>
      <c r="J1160" s="209">
        <f t="shared" si="91"/>
        <v>1011.39</v>
      </c>
    </row>
    <row r="1161" spans="1:10" ht="15" customHeight="1">
      <c r="A1161" s="208" t="s">
        <v>39</v>
      </c>
      <c r="B1161" s="241"/>
      <c r="C1161" s="241">
        <v>34360</v>
      </c>
      <c r="D1161" s="161" t="s">
        <v>7332</v>
      </c>
      <c r="E1161" s="1194" t="s">
        <v>133</v>
      </c>
      <c r="F1161" s="242">
        <v>1.4810000000000001</v>
      </c>
      <c r="G1161" s="242">
        <f>IF(B1161="SEPLAG",VLOOKUP(CONCATENATE("MEDIANA - ",C1161),COTAÇÃO,5,FALSE),VLOOKUP($C1161,'NAO DESO'!$A:$D,4,))</f>
        <v>47.31</v>
      </c>
      <c r="H1161" s="242">
        <f t="shared" si="90"/>
        <v>70.06</v>
      </c>
      <c r="I1161" s="54" t="str">
        <f>IF(B1161="SEPLAG",VLOOKUP(CONCATENATE("MEDIANA - ",C1161),COTAÇÃO,5,FALSE),VLOOKUP($C1161,DESON!$A:$D,4,))</f>
        <v>47,31</v>
      </c>
      <c r="J1161" s="209">
        <f t="shared" si="91"/>
        <v>70.06</v>
      </c>
    </row>
    <row r="1162" spans="1:10" ht="15" customHeight="1">
      <c r="A1162" s="208" t="s">
        <v>39</v>
      </c>
      <c r="B1162" s="241"/>
      <c r="C1162" s="241">
        <v>34360</v>
      </c>
      <c r="D1162" s="161" t="s">
        <v>7333</v>
      </c>
      <c r="E1162" s="1194" t="s">
        <v>133</v>
      </c>
      <c r="F1162" s="242">
        <v>4.5010000000000003</v>
      </c>
      <c r="G1162" s="242">
        <f>IF(B1162="SEPLAG",VLOOKUP(CONCATENATE("MEDIANA - ",C1162),COTAÇÃO,5,FALSE),VLOOKUP($C1162,'NAO DESO'!$A:$D,4,))</f>
        <v>47.31</v>
      </c>
      <c r="H1162" s="242">
        <f t="shared" si="90"/>
        <v>212.94</v>
      </c>
      <c r="I1162" s="54" t="str">
        <f>IF(B1162="SEPLAG",VLOOKUP(CONCATENATE("MEDIANA - ",C1162),COTAÇÃO,5,FALSE),VLOOKUP($C1162,DESON!$A:$D,4,))</f>
        <v>47,31</v>
      </c>
      <c r="J1162" s="209">
        <f t="shared" si="91"/>
        <v>212.94</v>
      </c>
    </row>
    <row r="1163" spans="1:10" ht="15" customHeight="1">
      <c r="A1163" s="208" t="s">
        <v>39</v>
      </c>
      <c r="B1163" s="241" t="s">
        <v>14504</v>
      </c>
      <c r="C1163" s="1181" t="s">
        <v>14307</v>
      </c>
      <c r="D1163" s="161" t="str">
        <f>IF(B1163="SEPLAG",VLOOKUP(COMPOSIÇÕES!C1163,'MAPA COMPARATIVO'!A:B,2,FALSE),VLOOKUP(C1163,'NAO DESO'!A:B,2,0))</f>
        <v xml:space="preserve">Braço de max-ar linha gold de 600mm </v>
      </c>
      <c r="E1163" s="1194" t="s">
        <v>24</v>
      </c>
      <c r="F1163" s="242">
        <v>9</v>
      </c>
      <c r="G1163" s="242">
        <f>IF(B1163="SEPLAG",VLOOKUP(CONCATENATE("MEDIANA - ",C1163),COTAÇÃO,5,FALSE),VLOOKUP($C1163,'NAO DESO'!$A:$D,4,))</f>
        <v>36.575000000000003</v>
      </c>
      <c r="H1163" s="242">
        <f t="shared" si="90"/>
        <v>329.17</v>
      </c>
      <c r="I1163" s="54">
        <f>IF(B1163="SEPLAG",VLOOKUP(CONCATENATE("MEDIANA - ",C1163),COTAÇÃO,5,FALSE),VLOOKUP($C1163,DESON!$A:$D,4,))</f>
        <v>36.575000000000003</v>
      </c>
      <c r="J1163" s="209">
        <f t="shared" si="91"/>
        <v>329.17</v>
      </c>
    </row>
    <row r="1164" spans="1:10" ht="15" customHeight="1">
      <c r="A1164" s="208" t="s">
        <v>39</v>
      </c>
      <c r="B1164" s="241" t="s">
        <v>14504</v>
      </c>
      <c r="C1164" s="1181" t="s">
        <v>14308</v>
      </c>
      <c r="D1164" s="161" t="str">
        <f>IF(B1164="SEPLAG",VLOOKUP(COMPOSIÇÕES!C1164,'MAPA COMPARATIVO'!A:B,2,FALSE),VLOOKUP(C1164,'NAO DESO'!A:B,2,0))</f>
        <v>Fecho max-ar linha gold</v>
      </c>
      <c r="E1164" s="1194" t="s">
        <v>24</v>
      </c>
      <c r="F1164" s="242">
        <v>9</v>
      </c>
      <c r="G1164" s="242">
        <f>IF(B1164="SEPLAG",VLOOKUP(CONCATENATE("MEDIANA - ",C1164),COTAÇÃO,5,FALSE),VLOOKUP($C1164,'NAO DESO'!$A:$D,4,))</f>
        <v>47.36</v>
      </c>
      <c r="H1164" s="242">
        <f t="shared" si="90"/>
        <v>426.24</v>
      </c>
      <c r="I1164" s="54">
        <f>IF(B1164="SEPLAG",VLOOKUP(CONCATENATE("MEDIANA - ",C1164),COTAÇÃO,5,FALSE),VLOOKUP($C1164,DESON!$A:$D,4,))</f>
        <v>47.36</v>
      </c>
      <c r="J1164" s="209">
        <f t="shared" si="91"/>
        <v>426.24</v>
      </c>
    </row>
    <row r="1165" spans="1:10" ht="15" customHeight="1">
      <c r="A1165" s="208" t="s">
        <v>39</v>
      </c>
      <c r="B1165" s="241" t="s">
        <v>14504</v>
      </c>
      <c r="C1165" s="1181" t="s">
        <v>14309</v>
      </c>
      <c r="D1165" s="161" t="str">
        <f>IF(B1165="SEPLAG",VLOOKUP(COMPOSIÇÕES!C1165,'MAPA COMPARATIVO'!A:B,2,FALSE),VLOOKUP(C1165,'NAO DESO'!A:B,2,0))</f>
        <v>Guarnição em EPDM p/ pingadeira</v>
      </c>
      <c r="E1165" s="1194" t="s">
        <v>7388</v>
      </c>
      <c r="F1165" s="242">
        <v>9.3719999999999999</v>
      </c>
      <c r="G1165" s="242">
        <f>IF(B1165="SEPLAG",VLOOKUP(CONCATENATE("MEDIANA - ",C1165),COTAÇÃO,5,FALSE),VLOOKUP($C1165,'NAO DESO'!$A:$D,4,))</f>
        <v>4.3849999999999998</v>
      </c>
      <c r="H1165" s="242">
        <f t="shared" si="90"/>
        <v>41.09</v>
      </c>
      <c r="I1165" s="54">
        <f>IF(B1165="SEPLAG",VLOOKUP(CONCATENATE("MEDIANA - ",C1165),COTAÇÃO,5,FALSE),VLOOKUP($C1165,DESON!$A:$D,4,))</f>
        <v>4.3849999999999998</v>
      </c>
      <c r="J1165" s="209">
        <f t="shared" si="91"/>
        <v>41.09</v>
      </c>
    </row>
    <row r="1166" spans="1:10" ht="15" customHeight="1">
      <c r="A1166" s="208" t="s">
        <v>39</v>
      </c>
      <c r="B1166" s="241" t="s">
        <v>14504</v>
      </c>
      <c r="C1166" s="1181" t="s">
        <v>14310</v>
      </c>
      <c r="D1166" s="161" t="str">
        <f>IF(B1166="SEPLAG",VLOOKUP(COMPOSIÇÕES!C1166,'MAPA COMPARATIVO'!A:B,2,FALSE),VLOOKUP(C1166,'NAO DESO'!A:B,2,0))</f>
        <v>Guarnição em EPDM para vidro</v>
      </c>
      <c r="E1166" s="1194" t="s">
        <v>250</v>
      </c>
      <c r="F1166" s="242">
        <v>67.097999999999999</v>
      </c>
      <c r="G1166" s="242">
        <f>IF(B1166="SEPLAG",VLOOKUP(CONCATENATE("MEDIANA - ",C1166),COTAÇÃO,5,FALSE),VLOOKUP($C1166,'NAO DESO'!$A:$D,4,))</f>
        <v>2.4091999999999998</v>
      </c>
      <c r="H1166" s="242">
        <f t="shared" si="90"/>
        <v>161.65</v>
      </c>
      <c r="I1166" s="54">
        <f>IF(B1166="SEPLAG",VLOOKUP(CONCATENATE("MEDIANA - ",C1166),COTAÇÃO,5,FALSE),VLOOKUP($C1166,DESON!$A:$D,4,))</f>
        <v>2.4091999999999998</v>
      </c>
      <c r="J1166" s="209">
        <f t="shared" si="91"/>
        <v>161.65</v>
      </c>
    </row>
    <row r="1167" spans="1:10" ht="15" customHeight="1">
      <c r="A1167" s="208" t="s">
        <v>39</v>
      </c>
      <c r="B1167" s="241" t="s">
        <v>14504</v>
      </c>
      <c r="C1167" s="1181" t="s">
        <v>14311</v>
      </c>
      <c r="D1167" s="161" t="str">
        <f>IF(B1167="SEPLAG",VLOOKUP(COMPOSIÇÕES!C1167,'MAPA COMPARATIVO'!A:B,2,FALSE),VLOOKUP(C1167,'NAO DESO'!A:B,2,0))</f>
        <v>Espuma adesiva 1 face</v>
      </c>
      <c r="E1167" s="1194" t="s">
        <v>250</v>
      </c>
      <c r="F1167" s="242">
        <v>67.097999999999999</v>
      </c>
      <c r="G1167" s="242">
        <f>IF(B1167="SEPLAG",VLOOKUP(CONCATENATE("MEDIANA - ",C1167),COTAÇÃO,5,FALSE),VLOOKUP($C1167,'NAO DESO'!$A:$D,4,))</f>
        <v>2.1800000000000002</v>
      </c>
      <c r="H1167" s="242">
        <f t="shared" si="90"/>
        <v>146.27000000000001</v>
      </c>
      <c r="I1167" s="54">
        <f>IF(B1167="SEPLAG",VLOOKUP(CONCATENATE("MEDIANA - ",C1167),COTAÇÃO,5,FALSE),VLOOKUP($C1167,DESON!$A:$D,4,))</f>
        <v>2.1800000000000002</v>
      </c>
      <c r="J1167" s="209">
        <f t="shared" si="91"/>
        <v>146.27000000000001</v>
      </c>
    </row>
    <row r="1168" spans="1:10" ht="15" customHeight="1">
      <c r="A1168" s="208" t="s">
        <v>39</v>
      </c>
      <c r="B1168" s="241" t="s">
        <v>14504</v>
      </c>
      <c r="C1168" s="1181" t="s">
        <v>14312</v>
      </c>
      <c r="D1168" s="161" t="str">
        <f>IF(B1168="SEPLAG",VLOOKUP(COMPOSIÇÕES!C1168,'MAPA COMPARATIVO'!A:B,2,FALSE),VLOOKUP(C1168,'NAO DESO'!A:B,2,0))</f>
        <v>Guarnição em EPDM p/ marco max-ar</v>
      </c>
      <c r="E1168" s="1194" t="s">
        <v>250</v>
      </c>
      <c r="F1168" s="242">
        <v>72.897999999999996</v>
      </c>
      <c r="G1168" s="242">
        <f>IF(B1168="SEPLAG",VLOOKUP(CONCATENATE("MEDIANA - ",C1168),COTAÇÃO,5,FALSE),VLOOKUP($C1168,'NAO DESO'!$A:$D,4,))</f>
        <v>3.8138999999999998</v>
      </c>
      <c r="H1168" s="242">
        <f t="shared" si="90"/>
        <v>278.02</v>
      </c>
      <c r="I1168" s="54">
        <f>IF(B1168="SEPLAG",VLOOKUP(CONCATENATE("MEDIANA - ",C1168),COTAÇÃO,5,FALSE),VLOOKUP($C1168,DESON!$A:$D,4,))</f>
        <v>3.8138999999999998</v>
      </c>
      <c r="J1168" s="209">
        <f t="shared" si="91"/>
        <v>278.02</v>
      </c>
    </row>
    <row r="1169" spans="1:10" ht="15" customHeight="1">
      <c r="A1169" s="208" t="s">
        <v>39</v>
      </c>
      <c r="B1169" s="241" t="s">
        <v>14504</v>
      </c>
      <c r="C1169" s="1181" t="s">
        <v>14313</v>
      </c>
      <c r="D1169" s="161" t="str">
        <f>IF(B1169="SEPLAG",VLOOKUP(COMPOSIÇÕES!C1169,'MAPA COMPARATIVO'!A:B,2,FALSE),VLOOKUP(C1169,'NAO DESO'!A:B,2,0))</f>
        <v>PRESILHA DE FIXAÇÃO DO ARREMATE MP-347</v>
      </c>
      <c r="E1169" s="1194" t="s">
        <v>24</v>
      </c>
      <c r="F1169" s="242">
        <v>58</v>
      </c>
      <c r="G1169" s="242">
        <f>IF(B1169="SEPLAG",VLOOKUP(CONCATENATE("MEDIANA - ",C1169),COTAÇÃO,5,FALSE),VLOOKUP($C1169,'NAO DESO'!$A:$D,4,))</f>
        <v>0.34</v>
      </c>
      <c r="H1169" s="242">
        <f t="shared" si="90"/>
        <v>19.72</v>
      </c>
      <c r="I1169" s="54">
        <f>IF(B1169="SEPLAG",VLOOKUP(CONCATENATE("MEDIANA - ",C1169),COTAÇÃO,5,FALSE),VLOOKUP($C1169,DESON!$A:$D,4,))</f>
        <v>0.34</v>
      </c>
      <c r="J1169" s="209">
        <f t="shared" si="91"/>
        <v>19.72</v>
      </c>
    </row>
    <row r="1170" spans="1:10" ht="15" customHeight="1">
      <c r="A1170" s="208" t="s">
        <v>39</v>
      </c>
      <c r="B1170" s="241" t="s">
        <v>14504</v>
      </c>
      <c r="C1170" s="1181" t="s">
        <v>14314</v>
      </c>
      <c r="D1170" s="161" t="str">
        <f>IF(B1170="SEPLAG",VLOOKUP(COMPOSIÇÕES!C1170,'MAPA COMPARATIVO'!A:B,2,FALSE),VLOOKUP(C1170,'NAO DESO'!A:B,2,0))</f>
        <v>Parafuso zincado phillips flangeado autobrocante 4,2 x 16mm</v>
      </c>
      <c r="E1170" s="1194" t="s">
        <v>24</v>
      </c>
      <c r="F1170" s="242">
        <v>58</v>
      </c>
      <c r="G1170" s="242">
        <f>IF(B1170="SEPLAG",VLOOKUP(CONCATENATE("MEDIANA - ",C1170),COTAÇÃO,5,FALSE),VLOOKUP($C1170,'NAO DESO'!$A:$D,4,))</f>
        <v>0.28000000000000003</v>
      </c>
      <c r="H1170" s="242">
        <f t="shared" si="90"/>
        <v>16.239999999999998</v>
      </c>
      <c r="I1170" s="54">
        <f>IF(B1170="SEPLAG",VLOOKUP(CONCATENATE("MEDIANA - ",C1170),COTAÇÃO,5,FALSE),VLOOKUP($C1170,DESON!$A:$D,4,))</f>
        <v>0.28000000000000003</v>
      </c>
      <c r="J1170" s="209">
        <f t="shared" si="91"/>
        <v>16.239999999999998</v>
      </c>
    </row>
    <row r="1171" spans="1:10" ht="15" customHeight="1">
      <c r="A1171" s="208" t="s">
        <v>39</v>
      </c>
      <c r="B1171" s="241" t="s">
        <v>14504</v>
      </c>
      <c r="C1171" s="1181" t="s">
        <v>14315</v>
      </c>
      <c r="D1171" s="161" t="str">
        <f>IF(B1171="SEPLAG",VLOOKUP(COMPOSIÇÕES!C1171,'MAPA COMPARATIVO'!A:B,2,FALSE),VLOOKUP(C1171,'NAO DESO'!A:B,2,0))</f>
        <v>PARAF. PANELA PHILIPS INOX 4,8 X32 PONTA PILOTO</v>
      </c>
      <c r="E1171" s="1194" t="s">
        <v>24</v>
      </c>
      <c r="F1171" s="242">
        <v>68</v>
      </c>
      <c r="G1171" s="242">
        <f>IF(B1171="SEPLAG",VLOOKUP(CONCATENATE("MEDIANA - ",C1171),COTAÇÃO,5,FALSE),VLOOKUP($C1171,'NAO DESO'!$A:$D,4,))</f>
        <v>0.95</v>
      </c>
      <c r="H1171" s="242">
        <f t="shared" si="90"/>
        <v>64.599999999999994</v>
      </c>
      <c r="I1171" s="54">
        <f>IF(B1171="SEPLAG",VLOOKUP(CONCATENATE("MEDIANA - ",C1171),COTAÇÃO,5,FALSE),VLOOKUP($C1171,DESON!$A:$D,4,))</f>
        <v>0.95</v>
      </c>
      <c r="J1171" s="209">
        <f t="shared" si="91"/>
        <v>64.599999999999994</v>
      </c>
    </row>
    <row r="1172" spans="1:10" ht="15" customHeight="1">
      <c r="A1172" s="208" t="s">
        <v>39</v>
      </c>
      <c r="B1172" s="241" t="s">
        <v>14504</v>
      </c>
      <c r="C1172" s="1181" t="s">
        <v>14316</v>
      </c>
      <c r="D1172" s="161" t="str">
        <f>IF(B1172="SEPLAG",VLOOKUP(COMPOSIÇÕES!C1172,'MAPA COMPARATIVO'!A:B,2,FALSE),VLOOKUP(C1172,'NAO DESO'!A:B,2,0))</f>
        <v>CHUMBADOR DE CM-063/060</v>
      </c>
      <c r="E1172" s="1194" t="s">
        <v>24</v>
      </c>
      <c r="F1172" s="242">
        <v>58</v>
      </c>
      <c r="G1172" s="242">
        <f>IF(B1172="SEPLAG",VLOOKUP(CONCATENATE("MEDIANA - ",C1172),COTAÇÃO,5,FALSE),VLOOKUP($C1172,'NAO DESO'!$A:$D,4,))</f>
        <v>0.86</v>
      </c>
      <c r="H1172" s="242">
        <f t="shared" si="90"/>
        <v>49.88</v>
      </c>
      <c r="I1172" s="54">
        <f>IF(B1172="SEPLAG",VLOOKUP(CONCATENATE("MEDIANA - ",C1172),COTAÇÃO,5,FALSE),VLOOKUP($C1172,DESON!$A:$D,4,))</f>
        <v>0.86</v>
      </c>
      <c r="J1172" s="209">
        <f t="shared" si="91"/>
        <v>49.88</v>
      </c>
    </row>
    <row r="1173" spans="1:10" ht="15" customHeight="1">
      <c r="A1173" s="208" t="s">
        <v>39</v>
      </c>
      <c r="B1173" s="241" t="s">
        <v>14504</v>
      </c>
      <c r="C1173" s="1181" t="s">
        <v>14317</v>
      </c>
      <c r="D1173" s="161" t="str">
        <f>IF(B1173="SEPLAG",VLOOKUP(COMPOSIÇÕES!C1173,'MAPA COMPARATIVO'!A:B,2,FALSE),VLOOKUP(C1173,'NAO DESO'!A:B,2,0))</f>
        <v>Silicone neutro incolor 280 g</v>
      </c>
      <c r="E1173" s="1194" t="s">
        <v>24</v>
      </c>
      <c r="F1173" s="242">
        <v>4.5</v>
      </c>
      <c r="G1173" s="242">
        <f>IF(B1173="SEPLAG",VLOOKUP(CONCATENATE("MEDIANA - ",C1173),COTAÇÃO,5,FALSE),VLOOKUP($C1173,'NAO DESO'!$A:$D,4,))</f>
        <v>43.9</v>
      </c>
      <c r="H1173" s="242">
        <f t="shared" si="90"/>
        <v>197.55</v>
      </c>
      <c r="I1173" s="54">
        <f>IF(B1173="SEPLAG",VLOOKUP(CONCATENATE("MEDIANA - ",C1173),COTAÇÃO,5,FALSE),VLOOKUP($C1173,DESON!$A:$D,4,))</f>
        <v>43.9</v>
      </c>
      <c r="J1173" s="209">
        <f t="shared" si="91"/>
        <v>197.55</v>
      </c>
    </row>
    <row r="1174" spans="1:10" ht="15" customHeight="1">
      <c r="A1174" s="208" t="s">
        <v>245</v>
      </c>
      <c r="B1174" s="241"/>
      <c r="C1174" s="1181">
        <v>10505</v>
      </c>
      <c r="D1174" s="161" t="str">
        <f>IF(B1174="SEPLAG",VLOOKUP(COMPOSIÇÕES!C1174,'MAPA COMPARATIVO'!A:B,2,FALSE),VLOOKUP(C1174,'NAO DESO'!A:B,2,0))</f>
        <v>VIDRO TEMPERADO INCOLOR E = 6 MM, SEM COLOCACAO</v>
      </c>
      <c r="E1174" s="241" t="str">
        <f>VLOOKUP($C1174,'NAO DESO'!$A:$D,3,)</f>
        <v xml:space="preserve">M2    </v>
      </c>
      <c r="F1174" s="242">
        <v>15.91</v>
      </c>
      <c r="G1174" s="242">
        <f>IF(B1174="SEPLAG",VLOOKUP(CONCATENATE("MEDIANA - ",C1174),COTAÇÃO,5,FALSE),VLOOKUP($C1174,'NAO DESO'!$A:$D,4,))</f>
        <v>272.77</v>
      </c>
      <c r="H1174" s="242">
        <f t="shared" si="90"/>
        <v>4339.7700000000004</v>
      </c>
      <c r="I1174" s="54" t="str">
        <f>IF(B1174="SEPLAG",VLOOKUP(CONCATENATE("MEDIANA - ",C1174),COTAÇÃO,5,FALSE),VLOOKUP($C1174,DESON!$A:$D,4,))</f>
        <v>272,77</v>
      </c>
      <c r="J1174" s="209">
        <f t="shared" si="91"/>
        <v>4339.7700000000004</v>
      </c>
    </row>
    <row r="1175" spans="1:10" ht="15" customHeight="1">
      <c r="A1175" s="208" t="s">
        <v>245</v>
      </c>
      <c r="B1175" s="241"/>
      <c r="C1175" s="1181">
        <v>88315</v>
      </c>
      <c r="D1175" s="161" t="str">
        <f>IF(B1175="SEPLAG",VLOOKUP(COMPOSIÇÕES!C1175,'MAPA COMPARATIVO'!A:B,2,FALSE),VLOOKUP(C1175,'NAO DESO'!A:B,2,0))</f>
        <v>SERRALHEIRO COM ENCARGOS COMPLEMENTARES</v>
      </c>
      <c r="E1175" s="241" t="str">
        <f>VLOOKUP($C1175,'NAO DESO'!$A:$D,3,)</f>
        <v>H</v>
      </c>
      <c r="F1175" s="242">
        <v>52.09</v>
      </c>
      <c r="G1175" s="242" t="str">
        <f>IF(B1175="SEPLAG",VLOOKUP(CONCATENATE("MEDIANA - ",C1175),COTAÇÃO,5,FALSE),VLOOKUP($C1175,'NAO DESO'!$A:$D,4,))</f>
        <v>20,97</v>
      </c>
      <c r="H1175" s="242">
        <f t="shared" si="90"/>
        <v>1092.32</v>
      </c>
      <c r="I1175" s="54" t="str">
        <f>IF(B1175="SEPLAG",VLOOKUP(CONCATENATE("MEDIANA - ",C1175),COTAÇÃO,5,FALSE),VLOOKUP($C1175,DESON!$A:$D,4,))</f>
        <v>18,75</v>
      </c>
      <c r="J1175" s="209">
        <f t="shared" si="91"/>
        <v>976.68</v>
      </c>
    </row>
    <row r="1176" spans="1:10" ht="15" customHeight="1">
      <c r="A1176" s="208" t="s">
        <v>245</v>
      </c>
      <c r="B1176" s="241"/>
      <c r="C1176" s="1181">
        <v>88316</v>
      </c>
      <c r="D1176" s="161" t="str">
        <f>IF(B1176="SEPLAG",VLOOKUP(COMPOSIÇÕES!C1176,'MAPA COMPARATIVO'!A:B,2,FALSE),VLOOKUP(C1176,'NAO DESO'!A:B,2,0))</f>
        <v>SERVENTE COM ENCARGOS COMPLEMENTARES</v>
      </c>
      <c r="E1176" s="241" t="str">
        <f>VLOOKUP($C1176,'NAO DESO'!$A:$D,3,)</f>
        <v>H</v>
      </c>
      <c r="F1176" s="242">
        <v>52.09</v>
      </c>
      <c r="G1176" s="242" t="str">
        <f>IF(B1176="SEPLAG",VLOOKUP(CONCATENATE("MEDIANA - ",C1176),COTAÇÃO,5,FALSE),VLOOKUP($C1176,'NAO DESO'!$A:$D,4,))</f>
        <v>16,83</v>
      </c>
      <c r="H1176" s="242">
        <f t="shared" si="90"/>
        <v>876.67</v>
      </c>
      <c r="I1176" s="54" t="str">
        <f>IF(B1176="SEPLAG",VLOOKUP(CONCATENATE("MEDIANA - ",C1176),COTAÇÃO,5,FALSE),VLOOKUP($C1176,DESON!$A:$D,4,))</f>
        <v>15,16</v>
      </c>
      <c r="J1176" s="209">
        <f t="shared" si="91"/>
        <v>789.68</v>
      </c>
    </row>
    <row r="1177" spans="1:10" ht="15" customHeight="1">
      <c r="A1177" s="210" t="str">
        <f>CONCATENATE("TOTAL DO ITEM NÃO DESON. - ",C1150)</f>
        <v>TOTAL DO ITEM NÃO DESON. - SEPLAG  ARQ 82</v>
      </c>
      <c r="B1177" s="424"/>
      <c r="C1177" s="424"/>
      <c r="D1177" s="424"/>
      <c r="E1177" s="424"/>
      <c r="F1177" s="425"/>
      <c r="G1177" s="426"/>
      <c r="H1177" s="1182">
        <f>SUM(H1152:H1176)</f>
        <v>11650.550000000001</v>
      </c>
      <c r="I1177" s="214"/>
      <c r="J1177" s="215"/>
    </row>
    <row r="1178" spans="1:10" ht="15.75" customHeight="1" thickBot="1">
      <c r="A1178" s="216" t="str">
        <f>CONCATENATE("TOTAL DO ITEM DESON. - ",C1150)</f>
        <v>TOTAL DO ITEM DESON. - SEPLAG  ARQ 82</v>
      </c>
      <c r="B1178" s="427"/>
      <c r="C1178" s="427"/>
      <c r="D1178" s="427"/>
      <c r="E1178" s="427"/>
      <c r="F1178" s="428"/>
      <c r="G1178" s="429"/>
      <c r="H1178" s="1187"/>
      <c r="I1178" s="229"/>
      <c r="J1178" s="219">
        <f>SUM(J1152:J1176)</f>
        <v>11447.920000000002</v>
      </c>
    </row>
    <row r="1179" spans="1:10" ht="15" customHeight="1" thickBot="1">
      <c r="A1179" s="235"/>
      <c r="B1179" s="1135"/>
      <c r="C1179" s="1135"/>
      <c r="D1179" s="1135"/>
      <c r="E1179" s="1135"/>
      <c r="F1179" s="1188"/>
      <c r="G1179" s="1188"/>
      <c r="H1179" s="1188"/>
      <c r="I1179" s="236"/>
      <c r="J1179" s="237"/>
    </row>
    <row r="1180" spans="1:10" ht="30.75" customHeight="1">
      <c r="A1180" s="198"/>
      <c r="B1180" s="1175"/>
      <c r="C1180" s="1176" t="s">
        <v>7371</v>
      </c>
      <c r="D1180" s="156" t="s">
        <v>7609</v>
      </c>
      <c r="E1180" s="1176" t="s">
        <v>32</v>
      </c>
      <c r="F1180" s="1177" t="s">
        <v>18</v>
      </c>
      <c r="G1180" s="1178" t="s">
        <v>7017</v>
      </c>
      <c r="H1180" s="1179"/>
      <c r="I1180" s="200" t="s">
        <v>7016</v>
      </c>
      <c r="J1180" s="201"/>
    </row>
    <row r="1181" spans="1:10" ht="15" customHeight="1">
      <c r="A1181" s="233"/>
      <c r="B1181" s="247"/>
      <c r="C1181" s="1155"/>
      <c r="D1181" s="157"/>
      <c r="E1181" s="1155"/>
      <c r="F1181" s="1180"/>
      <c r="G1181" s="1180" t="s">
        <v>19</v>
      </c>
      <c r="H1181" s="1180" t="s">
        <v>20</v>
      </c>
      <c r="I1181" s="205" t="s">
        <v>19</v>
      </c>
      <c r="J1181" s="206" t="s">
        <v>20</v>
      </c>
    </row>
    <row r="1182" spans="1:10" ht="15" customHeight="1">
      <c r="A1182" s="208" t="s">
        <v>39</v>
      </c>
      <c r="B1182" s="241"/>
      <c r="C1182" s="241">
        <v>34360</v>
      </c>
      <c r="D1182" s="161" t="s">
        <v>7323</v>
      </c>
      <c r="E1182" s="1194" t="s">
        <v>133</v>
      </c>
      <c r="F1182" s="242">
        <v>3.9400000000000004</v>
      </c>
      <c r="G1182" s="242">
        <f>IF(B1182="SEPLAG",VLOOKUP(CONCATENATE("MEDIANA - ",C1182),COTAÇÃO,5,FALSE),VLOOKUP($C1182,'NAO DESO'!$A:$D,4,))</f>
        <v>47.31</v>
      </c>
      <c r="H1182" s="242">
        <f t="shared" ref="H1182:H1187" si="92">TRUNC(F1182*G1182,2)</f>
        <v>186.4</v>
      </c>
      <c r="I1182" s="54" t="str">
        <f>IF(B1182="SEPLAG",VLOOKUP(CONCATENATE("MEDIANA - ",C1182),COTAÇÃO,5,FALSE),VLOOKUP($C1182,DESON!$A:$D,4,))</f>
        <v>47,31</v>
      </c>
      <c r="J1182" s="209">
        <f t="shared" ref="J1182:J1187" si="93">TRUNC(F1182*I1182,2)</f>
        <v>186.4</v>
      </c>
    </row>
    <row r="1183" spans="1:10" ht="15" customHeight="1">
      <c r="A1183" s="208" t="s">
        <v>39</v>
      </c>
      <c r="B1183" s="241"/>
      <c r="C1183" s="241">
        <v>34360</v>
      </c>
      <c r="D1183" s="161" t="s">
        <v>7324</v>
      </c>
      <c r="E1183" s="1194" t="s">
        <v>133</v>
      </c>
      <c r="F1183" s="242">
        <v>1.597</v>
      </c>
      <c r="G1183" s="242">
        <f>IF(B1183="SEPLAG",VLOOKUP(CONCATENATE("MEDIANA - ",C1183),COTAÇÃO,5,FALSE),VLOOKUP($C1183,'NAO DESO'!$A:$D,4,))</f>
        <v>47.31</v>
      </c>
      <c r="H1183" s="242">
        <f t="shared" si="92"/>
        <v>75.55</v>
      </c>
      <c r="I1183" s="54" t="str">
        <f>IF(B1183="SEPLAG",VLOOKUP(CONCATENATE("MEDIANA - ",C1183),COTAÇÃO,5,FALSE),VLOOKUP($C1183,DESON!$A:$D,4,))</f>
        <v>47,31</v>
      </c>
      <c r="J1183" s="209">
        <f t="shared" si="93"/>
        <v>75.55</v>
      </c>
    </row>
    <row r="1184" spans="1:10" ht="15" customHeight="1">
      <c r="A1184" s="208" t="s">
        <v>39</v>
      </c>
      <c r="B1184" s="241"/>
      <c r="C1184" s="241">
        <v>34360</v>
      </c>
      <c r="D1184" s="161" t="s">
        <v>7325</v>
      </c>
      <c r="E1184" s="1194" t="s">
        <v>133</v>
      </c>
      <c r="F1184" s="242">
        <v>0.63100000000000001</v>
      </c>
      <c r="G1184" s="242">
        <f>IF(B1184="SEPLAG",VLOOKUP(CONCATENATE("MEDIANA - ",C1184),COTAÇÃO,5,FALSE),VLOOKUP($C1184,'NAO DESO'!$A:$D,4,))</f>
        <v>47.31</v>
      </c>
      <c r="H1184" s="242">
        <f t="shared" si="92"/>
        <v>29.85</v>
      </c>
      <c r="I1184" s="54" t="str">
        <f>IF(B1184="SEPLAG",VLOOKUP(CONCATENATE("MEDIANA - ",C1184),COTAÇÃO,5,FALSE),VLOOKUP($C1184,DESON!$A:$D,4,))</f>
        <v>47,31</v>
      </c>
      <c r="J1184" s="209">
        <f t="shared" si="93"/>
        <v>29.85</v>
      </c>
    </row>
    <row r="1185" spans="1:10" ht="15" customHeight="1">
      <c r="A1185" s="208" t="s">
        <v>39</v>
      </c>
      <c r="B1185" s="241"/>
      <c r="C1185" s="241">
        <v>34360</v>
      </c>
      <c r="D1185" s="161" t="s">
        <v>7326</v>
      </c>
      <c r="E1185" s="1194" t="s">
        <v>133</v>
      </c>
      <c r="F1185" s="242">
        <v>3.7030000000000003</v>
      </c>
      <c r="G1185" s="242">
        <f>IF(B1185="SEPLAG",VLOOKUP(CONCATENATE("MEDIANA - ",C1185),COTAÇÃO,5,FALSE),VLOOKUP($C1185,'NAO DESO'!$A:$D,4,))</f>
        <v>47.31</v>
      </c>
      <c r="H1185" s="242">
        <f t="shared" si="92"/>
        <v>175.18</v>
      </c>
      <c r="I1185" s="54" t="str">
        <f>IF(B1185="SEPLAG",VLOOKUP(CONCATENATE("MEDIANA - ",C1185),COTAÇÃO,5,FALSE),VLOOKUP($C1185,DESON!$A:$D,4,))</f>
        <v>47,31</v>
      </c>
      <c r="J1185" s="209">
        <f t="shared" si="93"/>
        <v>175.18</v>
      </c>
    </row>
    <row r="1186" spans="1:10" ht="15" customHeight="1">
      <c r="A1186" s="208" t="s">
        <v>39</v>
      </c>
      <c r="B1186" s="241"/>
      <c r="C1186" s="241">
        <v>34360</v>
      </c>
      <c r="D1186" s="161" t="s">
        <v>7327</v>
      </c>
      <c r="E1186" s="1194" t="s">
        <v>133</v>
      </c>
      <c r="F1186" s="242">
        <v>6.476</v>
      </c>
      <c r="G1186" s="242">
        <f>IF(B1186="SEPLAG",VLOOKUP(CONCATENATE("MEDIANA - ",C1186),COTAÇÃO,5,FALSE),VLOOKUP($C1186,'NAO DESO'!$A:$D,4,))</f>
        <v>47.31</v>
      </c>
      <c r="H1186" s="242">
        <f t="shared" si="92"/>
        <v>306.37</v>
      </c>
      <c r="I1186" s="54" t="str">
        <f>IF(B1186="SEPLAG",VLOOKUP(CONCATENATE("MEDIANA - ",C1186),COTAÇÃO,5,FALSE),VLOOKUP($C1186,DESON!$A:$D,4,))</f>
        <v>47,31</v>
      </c>
      <c r="J1186" s="209">
        <f t="shared" si="93"/>
        <v>306.37</v>
      </c>
    </row>
    <row r="1187" spans="1:10" ht="15" customHeight="1">
      <c r="A1187" s="208" t="s">
        <v>39</v>
      </c>
      <c r="B1187" s="241"/>
      <c r="C1187" s="241">
        <v>34360</v>
      </c>
      <c r="D1187" s="161" t="s">
        <v>7328</v>
      </c>
      <c r="E1187" s="1194" t="s">
        <v>133</v>
      </c>
      <c r="F1187" s="242">
        <v>3.7890000000000001</v>
      </c>
      <c r="G1187" s="242">
        <f>IF(B1187="SEPLAG",VLOOKUP(CONCATENATE("MEDIANA - ",C1187),COTAÇÃO,5,FALSE),VLOOKUP($C1187,'NAO DESO'!$A:$D,4,))</f>
        <v>47.31</v>
      </c>
      <c r="H1187" s="242">
        <f t="shared" si="92"/>
        <v>179.25</v>
      </c>
      <c r="I1187" s="54" t="str">
        <f>IF(B1187="SEPLAG",VLOOKUP(CONCATENATE("MEDIANA - ",C1187),COTAÇÃO,5,FALSE),VLOOKUP($C1187,DESON!$A:$D,4,))</f>
        <v>47,31</v>
      </c>
      <c r="J1187" s="209">
        <f t="shared" si="93"/>
        <v>179.25</v>
      </c>
    </row>
    <row r="1188" spans="1:10" ht="15" customHeight="1">
      <c r="A1188" s="208" t="s">
        <v>39</v>
      </c>
      <c r="B1188" s="241"/>
      <c r="C1188" s="241">
        <v>34360</v>
      </c>
      <c r="D1188" s="161" t="s">
        <v>7329</v>
      </c>
      <c r="E1188" s="1194" t="s">
        <v>133</v>
      </c>
      <c r="F1188" s="242">
        <v>0</v>
      </c>
      <c r="G1188" s="242">
        <f>IF(B1188="SEPLAG",VLOOKUP(CONCATENATE("MEDIANA - ",C1188),COTAÇÃO,5,FALSE),VLOOKUP($C1188,'NAO DESO'!$A:$D,4,))</f>
        <v>47.31</v>
      </c>
      <c r="H1188" s="242">
        <f>F1188*G1188</f>
        <v>0</v>
      </c>
      <c r="I1188" s="54" t="str">
        <f>IF(B1188="SEPLAG",VLOOKUP(CONCATENATE("MEDIANA - ",C1188),COTAÇÃO,5,FALSE),VLOOKUP($C1188,DESON!$A:$D,4,))</f>
        <v>47,31</v>
      </c>
      <c r="J1188" s="209">
        <f>F1188*I1188</f>
        <v>0</v>
      </c>
    </row>
    <row r="1189" spans="1:10" ht="15" customHeight="1">
      <c r="A1189" s="208" t="s">
        <v>39</v>
      </c>
      <c r="B1189" s="241"/>
      <c r="C1189" s="241">
        <v>34360</v>
      </c>
      <c r="D1189" s="161" t="s">
        <v>7330</v>
      </c>
      <c r="E1189" s="1194" t="s">
        <v>133</v>
      </c>
      <c r="F1189" s="242">
        <v>0</v>
      </c>
      <c r="G1189" s="242">
        <f>IF(B1189="SEPLAG",VLOOKUP(CONCATENATE("MEDIANA - ",C1189),COTAÇÃO,5,FALSE),VLOOKUP($C1189,'NAO DESO'!$A:$D,4,))</f>
        <v>47.31</v>
      </c>
      <c r="H1189" s="242">
        <f>F1189*G1189</f>
        <v>0</v>
      </c>
      <c r="I1189" s="54" t="str">
        <f>IF(B1189="SEPLAG",VLOOKUP(CONCATENATE("MEDIANA - ",C1189),COTAÇÃO,5,FALSE),VLOOKUP($C1189,DESON!$A:$D,4,))</f>
        <v>47,31</v>
      </c>
      <c r="J1189" s="209">
        <f>F1189*I1189</f>
        <v>0</v>
      </c>
    </row>
    <row r="1190" spans="1:10" ht="15" customHeight="1">
      <c r="A1190" s="208" t="s">
        <v>39</v>
      </c>
      <c r="B1190" s="241"/>
      <c r="C1190" s="241">
        <v>34360</v>
      </c>
      <c r="D1190" s="161" t="s">
        <v>7331</v>
      </c>
      <c r="E1190" s="1194" t="s">
        <v>133</v>
      </c>
      <c r="F1190" s="242">
        <v>13.649000000000001</v>
      </c>
      <c r="G1190" s="242">
        <f>IF(B1190="SEPLAG",VLOOKUP(CONCATENATE("MEDIANA - ",C1190),COTAÇÃO,5,FALSE),VLOOKUP($C1190,'NAO DESO'!$A:$D,4,))</f>
        <v>47.31</v>
      </c>
      <c r="H1190" s="242">
        <f t="shared" ref="H1190:H1206" si="94">TRUNC(F1190*G1190,2)</f>
        <v>645.73</v>
      </c>
      <c r="I1190" s="54" t="str">
        <f>IF(B1190="SEPLAG",VLOOKUP(CONCATENATE("MEDIANA - ",C1190),COTAÇÃO,5,FALSE),VLOOKUP($C1190,DESON!$A:$D,4,))</f>
        <v>47,31</v>
      </c>
      <c r="J1190" s="209">
        <f t="shared" ref="J1190:J1206" si="95">TRUNC(F1190*I1190,2)</f>
        <v>645.73</v>
      </c>
    </row>
    <row r="1191" spans="1:10" ht="15" customHeight="1">
      <c r="A1191" s="208" t="s">
        <v>39</v>
      </c>
      <c r="B1191" s="241"/>
      <c r="C1191" s="241">
        <v>34360</v>
      </c>
      <c r="D1191" s="161" t="s">
        <v>7332</v>
      </c>
      <c r="E1191" s="1194" t="s">
        <v>133</v>
      </c>
      <c r="F1191" s="242">
        <v>1.125</v>
      </c>
      <c r="G1191" s="242">
        <f>IF(B1191="SEPLAG",VLOOKUP(CONCATENATE("MEDIANA - ",C1191),COTAÇÃO,5,FALSE),VLOOKUP($C1191,'NAO DESO'!$A:$D,4,))</f>
        <v>47.31</v>
      </c>
      <c r="H1191" s="242">
        <f t="shared" si="94"/>
        <v>53.22</v>
      </c>
      <c r="I1191" s="54" t="str">
        <f>IF(B1191="SEPLAG",VLOOKUP(CONCATENATE("MEDIANA - ",C1191),COTAÇÃO,5,FALSE),VLOOKUP($C1191,DESON!$A:$D,4,))</f>
        <v>47,31</v>
      </c>
      <c r="J1191" s="209">
        <f t="shared" si="95"/>
        <v>53.22</v>
      </c>
    </row>
    <row r="1192" spans="1:10" ht="15" customHeight="1">
      <c r="A1192" s="208" t="s">
        <v>39</v>
      </c>
      <c r="B1192" s="241"/>
      <c r="C1192" s="241">
        <v>34360</v>
      </c>
      <c r="D1192" s="161" t="s">
        <v>7333</v>
      </c>
      <c r="E1192" s="1194" t="s">
        <v>133</v>
      </c>
      <c r="F1192" s="242">
        <v>3.2689999999999997</v>
      </c>
      <c r="G1192" s="242">
        <f>IF(B1192="SEPLAG",VLOOKUP(CONCATENATE("MEDIANA - ",C1192),COTAÇÃO,5,FALSE),VLOOKUP($C1192,'NAO DESO'!$A:$D,4,))</f>
        <v>47.31</v>
      </c>
      <c r="H1192" s="242">
        <f t="shared" si="94"/>
        <v>154.65</v>
      </c>
      <c r="I1192" s="54" t="str">
        <f>IF(B1192="SEPLAG",VLOOKUP(CONCATENATE("MEDIANA - ",C1192),COTAÇÃO,5,FALSE),VLOOKUP($C1192,DESON!$A:$D,4,))</f>
        <v>47,31</v>
      </c>
      <c r="J1192" s="209">
        <f t="shared" si="95"/>
        <v>154.65</v>
      </c>
    </row>
    <row r="1193" spans="1:10" ht="15" customHeight="1">
      <c r="A1193" s="208" t="s">
        <v>39</v>
      </c>
      <c r="B1193" s="241" t="s">
        <v>14504</v>
      </c>
      <c r="C1193" s="1181" t="s">
        <v>14307</v>
      </c>
      <c r="D1193" s="161" t="str">
        <f>IF(B1193="SEPLAG",VLOOKUP(COMPOSIÇÕES!C1193,'MAPA COMPARATIVO'!A:B,2,FALSE),VLOOKUP(C1193,'NAO DESO'!A:B,2,0))</f>
        <v xml:space="preserve">Braço de max-ar linha gold de 600mm </v>
      </c>
      <c r="E1193" s="1194" t="s">
        <v>24</v>
      </c>
      <c r="F1193" s="242">
        <v>7</v>
      </c>
      <c r="G1193" s="242">
        <f>IF(B1193="SEPLAG",VLOOKUP(CONCATENATE("MEDIANA - ",C1193),COTAÇÃO,5,FALSE),VLOOKUP($C1193,'NAO DESO'!$A:$D,4,))</f>
        <v>36.575000000000003</v>
      </c>
      <c r="H1193" s="242">
        <f t="shared" si="94"/>
        <v>256.02</v>
      </c>
      <c r="I1193" s="54">
        <f>IF(B1193="SEPLAG",VLOOKUP(CONCATENATE("MEDIANA - ",C1193),COTAÇÃO,5,FALSE),VLOOKUP($C1193,DESON!$A:$D,4,))</f>
        <v>36.575000000000003</v>
      </c>
      <c r="J1193" s="209">
        <f t="shared" si="95"/>
        <v>256.02</v>
      </c>
    </row>
    <row r="1194" spans="1:10" ht="15" customHeight="1">
      <c r="A1194" s="208" t="s">
        <v>39</v>
      </c>
      <c r="B1194" s="241" t="s">
        <v>14504</v>
      </c>
      <c r="C1194" s="1181" t="s">
        <v>14308</v>
      </c>
      <c r="D1194" s="161" t="str">
        <f>IF(B1194="SEPLAG",VLOOKUP(COMPOSIÇÕES!C1194,'MAPA COMPARATIVO'!A:B,2,FALSE),VLOOKUP(C1194,'NAO DESO'!A:B,2,0))</f>
        <v>Fecho max-ar linha gold</v>
      </c>
      <c r="E1194" s="1194" t="s">
        <v>24</v>
      </c>
      <c r="F1194" s="242">
        <v>7</v>
      </c>
      <c r="G1194" s="242">
        <f>IF(B1194="SEPLAG",VLOOKUP(CONCATENATE("MEDIANA - ",C1194),COTAÇÃO,5,FALSE),VLOOKUP($C1194,'NAO DESO'!$A:$D,4,))</f>
        <v>47.36</v>
      </c>
      <c r="H1194" s="242">
        <f t="shared" si="94"/>
        <v>331.52</v>
      </c>
      <c r="I1194" s="54">
        <f>IF(B1194="SEPLAG",VLOOKUP(CONCATENATE("MEDIANA - ",C1194),COTAÇÃO,5,FALSE),VLOOKUP($C1194,DESON!$A:$D,4,))</f>
        <v>47.36</v>
      </c>
      <c r="J1194" s="209">
        <f t="shared" si="95"/>
        <v>331.52</v>
      </c>
    </row>
    <row r="1195" spans="1:10" ht="15" customHeight="1">
      <c r="A1195" s="208" t="s">
        <v>39</v>
      </c>
      <c r="B1195" s="241" t="s">
        <v>14504</v>
      </c>
      <c r="C1195" s="1181" t="s">
        <v>14309</v>
      </c>
      <c r="D1195" s="161" t="str">
        <f>IF(B1195="SEPLAG",VLOOKUP(COMPOSIÇÕES!C1195,'MAPA COMPARATIVO'!A:B,2,FALSE),VLOOKUP(C1195,'NAO DESO'!A:B,2,0))</f>
        <v>Guarnição em EPDM p/ pingadeira</v>
      </c>
      <c r="E1195" s="1194" t="s">
        <v>7388</v>
      </c>
      <c r="F1195" s="242">
        <v>7.1219999999999999</v>
      </c>
      <c r="G1195" s="242">
        <f>IF(B1195="SEPLAG",VLOOKUP(CONCATENATE("MEDIANA - ",C1195),COTAÇÃO,5,FALSE),VLOOKUP($C1195,'NAO DESO'!$A:$D,4,))</f>
        <v>4.3849999999999998</v>
      </c>
      <c r="H1195" s="242">
        <f t="shared" si="94"/>
        <v>31.22</v>
      </c>
      <c r="I1195" s="54">
        <f>IF(B1195="SEPLAG",VLOOKUP(CONCATENATE("MEDIANA - ",C1195),COTAÇÃO,5,FALSE),VLOOKUP($C1195,DESON!$A:$D,4,))</f>
        <v>4.3849999999999998</v>
      </c>
      <c r="J1195" s="209">
        <f t="shared" si="95"/>
        <v>31.22</v>
      </c>
    </row>
    <row r="1196" spans="1:10" ht="15" customHeight="1">
      <c r="A1196" s="208" t="s">
        <v>39</v>
      </c>
      <c r="B1196" s="241" t="s">
        <v>14504</v>
      </c>
      <c r="C1196" s="1181" t="s">
        <v>14310</v>
      </c>
      <c r="D1196" s="161" t="str">
        <f>IF(B1196="SEPLAG",VLOOKUP(COMPOSIÇÕES!C1196,'MAPA COMPARATIVO'!A:B,2,FALSE),VLOOKUP(C1196,'NAO DESO'!A:B,2,0))</f>
        <v>Guarnição em EPDM para vidro</v>
      </c>
      <c r="E1196" s="1194" t="s">
        <v>250</v>
      </c>
      <c r="F1196" s="242">
        <v>25.802</v>
      </c>
      <c r="G1196" s="242">
        <f>IF(B1196="SEPLAG",VLOOKUP(CONCATENATE("MEDIANA - ",C1196),COTAÇÃO,5,FALSE),VLOOKUP($C1196,'NAO DESO'!$A:$D,4,))</f>
        <v>2.4091999999999998</v>
      </c>
      <c r="H1196" s="242">
        <f t="shared" si="94"/>
        <v>62.16</v>
      </c>
      <c r="I1196" s="54">
        <f>IF(B1196="SEPLAG",VLOOKUP(CONCATENATE("MEDIANA - ",C1196),COTAÇÃO,5,FALSE),VLOOKUP($C1196,DESON!$A:$D,4,))</f>
        <v>2.4091999999999998</v>
      </c>
      <c r="J1196" s="209">
        <f t="shared" si="95"/>
        <v>62.16</v>
      </c>
    </row>
    <row r="1197" spans="1:10" ht="15" customHeight="1">
      <c r="A1197" s="208" t="s">
        <v>39</v>
      </c>
      <c r="B1197" s="241" t="s">
        <v>14504</v>
      </c>
      <c r="C1197" s="1181" t="s">
        <v>14311</v>
      </c>
      <c r="D1197" s="161" t="str">
        <f>IF(B1197="SEPLAG",VLOOKUP(COMPOSIÇÕES!C1197,'MAPA COMPARATIVO'!A:B,2,FALSE),VLOOKUP(C1197,'NAO DESO'!A:B,2,0))</f>
        <v>Espuma adesiva 1 face</v>
      </c>
      <c r="E1197" s="1194" t="s">
        <v>250</v>
      </c>
      <c r="F1197" s="242">
        <v>25.802</v>
      </c>
      <c r="G1197" s="242">
        <f>IF(B1197="SEPLAG",VLOOKUP(CONCATENATE("MEDIANA - ",C1197),COTAÇÃO,5,FALSE),VLOOKUP($C1197,'NAO DESO'!$A:$D,4,))</f>
        <v>2.1800000000000002</v>
      </c>
      <c r="H1197" s="242">
        <f t="shared" si="94"/>
        <v>56.24</v>
      </c>
      <c r="I1197" s="54">
        <f>IF(B1197="SEPLAG",VLOOKUP(CONCATENATE("MEDIANA - ",C1197),COTAÇÃO,5,FALSE),VLOOKUP($C1197,DESON!$A:$D,4,))</f>
        <v>2.1800000000000002</v>
      </c>
      <c r="J1197" s="209">
        <f t="shared" si="95"/>
        <v>56.24</v>
      </c>
    </row>
    <row r="1198" spans="1:10" ht="15" customHeight="1">
      <c r="A1198" s="208" t="s">
        <v>39</v>
      </c>
      <c r="B1198" s="241" t="s">
        <v>14504</v>
      </c>
      <c r="C1198" s="1181" t="s">
        <v>14312</v>
      </c>
      <c r="D1198" s="161" t="str">
        <f>IF(B1198="SEPLAG",VLOOKUP(COMPOSIÇÕES!C1198,'MAPA COMPARATIVO'!A:B,2,FALSE),VLOOKUP(C1198,'NAO DESO'!A:B,2,0))</f>
        <v>Guarnição em EPDM p/ marco max-ar</v>
      </c>
      <c r="E1198" s="1194" t="s">
        <v>250</v>
      </c>
      <c r="F1198" s="242">
        <v>50.902000000000001</v>
      </c>
      <c r="G1198" s="242">
        <f>IF(B1198="SEPLAG",VLOOKUP(CONCATENATE("MEDIANA - ",C1198),COTAÇÃO,5,FALSE),VLOOKUP($C1198,'NAO DESO'!$A:$D,4,))</f>
        <v>3.8138999999999998</v>
      </c>
      <c r="H1198" s="242">
        <f t="shared" si="94"/>
        <v>194.13</v>
      </c>
      <c r="I1198" s="54">
        <f>IF(B1198="SEPLAG",VLOOKUP(CONCATENATE("MEDIANA - ",C1198),COTAÇÃO,5,FALSE),VLOOKUP($C1198,DESON!$A:$D,4,))</f>
        <v>3.8138999999999998</v>
      </c>
      <c r="J1198" s="209">
        <f t="shared" si="95"/>
        <v>194.13</v>
      </c>
    </row>
    <row r="1199" spans="1:10" ht="15" customHeight="1">
      <c r="A1199" s="208" t="s">
        <v>39</v>
      </c>
      <c r="B1199" s="241" t="s">
        <v>14504</v>
      </c>
      <c r="C1199" s="1181" t="s">
        <v>14313</v>
      </c>
      <c r="D1199" s="161" t="str">
        <f>IF(B1199="SEPLAG",VLOOKUP(COMPOSIÇÕES!C1199,'MAPA COMPARATIVO'!A:B,2,FALSE),VLOOKUP(C1199,'NAO DESO'!A:B,2,0))</f>
        <v>PRESILHA DE FIXAÇÃO DO ARREMATE MP-347</v>
      </c>
      <c r="E1199" s="1194" t="s">
        <v>24</v>
      </c>
      <c r="F1199" s="242">
        <v>42</v>
      </c>
      <c r="G1199" s="242">
        <f>IF(B1199="SEPLAG",VLOOKUP(CONCATENATE("MEDIANA - ",C1199),COTAÇÃO,5,FALSE),VLOOKUP($C1199,'NAO DESO'!$A:$D,4,))</f>
        <v>0.34</v>
      </c>
      <c r="H1199" s="242">
        <f t="shared" si="94"/>
        <v>14.28</v>
      </c>
      <c r="I1199" s="54">
        <f>IF(B1199="SEPLAG",VLOOKUP(CONCATENATE("MEDIANA - ",C1199),COTAÇÃO,5,FALSE),VLOOKUP($C1199,DESON!$A:$D,4,))</f>
        <v>0.34</v>
      </c>
      <c r="J1199" s="209">
        <f t="shared" si="95"/>
        <v>14.28</v>
      </c>
    </row>
    <row r="1200" spans="1:10" ht="15" customHeight="1">
      <c r="A1200" s="208" t="s">
        <v>39</v>
      </c>
      <c r="B1200" s="241" t="s">
        <v>14504</v>
      </c>
      <c r="C1200" s="1181" t="s">
        <v>14314</v>
      </c>
      <c r="D1200" s="161" t="str">
        <f>IF(B1200="SEPLAG",VLOOKUP(COMPOSIÇÕES!C1200,'MAPA COMPARATIVO'!A:B,2,FALSE),VLOOKUP(C1200,'NAO DESO'!A:B,2,0))</f>
        <v>Parafuso zincado phillips flangeado autobrocante 4,2 x 16mm</v>
      </c>
      <c r="E1200" s="1194" t="s">
        <v>24</v>
      </c>
      <c r="F1200" s="242">
        <v>42</v>
      </c>
      <c r="G1200" s="242">
        <f>IF(B1200="SEPLAG",VLOOKUP(CONCATENATE("MEDIANA - ",C1200),COTAÇÃO,5,FALSE),VLOOKUP($C1200,'NAO DESO'!$A:$D,4,))</f>
        <v>0.28000000000000003</v>
      </c>
      <c r="H1200" s="242">
        <f t="shared" si="94"/>
        <v>11.76</v>
      </c>
      <c r="I1200" s="54">
        <f>IF(B1200="SEPLAG",VLOOKUP(CONCATENATE("MEDIANA - ",C1200),COTAÇÃO,5,FALSE),VLOOKUP($C1200,DESON!$A:$D,4,))</f>
        <v>0.28000000000000003</v>
      </c>
      <c r="J1200" s="209">
        <f t="shared" si="95"/>
        <v>11.76</v>
      </c>
    </row>
    <row r="1201" spans="1:10" ht="15" customHeight="1">
      <c r="A1201" s="208" t="s">
        <v>39</v>
      </c>
      <c r="B1201" s="241" t="s">
        <v>14504</v>
      </c>
      <c r="C1201" s="1181" t="s">
        <v>14315</v>
      </c>
      <c r="D1201" s="161" t="str">
        <f>IF(B1201="SEPLAG",VLOOKUP(COMPOSIÇÕES!C1201,'MAPA COMPARATIVO'!A:B,2,FALSE),VLOOKUP(C1201,'NAO DESO'!A:B,2,0))</f>
        <v>PARAF. PANELA PHILIPS INOX 4,8 X32 PONTA PILOTO</v>
      </c>
      <c r="E1201" s="1194" t="s">
        <v>24</v>
      </c>
      <c r="F1201" s="242">
        <v>24</v>
      </c>
      <c r="G1201" s="242">
        <f>IF(B1201="SEPLAG",VLOOKUP(CONCATENATE("MEDIANA - ",C1201),COTAÇÃO,5,FALSE),VLOOKUP($C1201,'NAO DESO'!$A:$D,4,))</f>
        <v>0.95</v>
      </c>
      <c r="H1201" s="242">
        <f t="shared" si="94"/>
        <v>22.8</v>
      </c>
      <c r="I1201" s="54">
        <f>IF(B1201="SEPLAG",VLOOKUP(CONCATENATE("MEDIANA - ",C1201),COTAÇÃO,5,FALSE),VLOOKUP($C1201,DESON!$A:$D,4,))</f>
        <v>0.95</v>
      </c>
      <c r="J1201" s="209">
        <f t="shared" si="95"/>
        <v>22.8</v>
      </c>
    </row>
    <row r="1202" spans="1:10" ht="15" customHeight="1">
      <c r="A1202" s="208" t="s">
        <v>39</v>
      </c>
      <c r="B1202" s="241" t="s">
        <v>14504</v>
      </c>
      <c r="C1202" s="1181" t="s">
        <v>14316</v>
      </c>
      <c r="D1202" s="161" t="str">
        <f>IF(B1202="SEPLAG",VLOOKUP(COMPOSIÇÕES!C1202,'MAPA COMPARATIVO'!A:B,2,FALSE),VLOOKUP(C1202,'NAO DESO'!A:B,2,0))</f>
        <v>CHUMBADOR DE CM-063/060</v>
      </c>
      <c r="E1202" s="1194" t="s">
        <v>24</v>
      </c>
      <c r="F1202" s="242">
        <v>42</v>
      </c>
      <c r="G1202" s="242">
        <f>IF(B1202="SEPLAG",VLOOKUP(CONCATENATE("MEDIANA - ",C1202),COTAÇÃO,5,FALSE),VLOOKUP($C1202,'NAO DESO'!$A:$D,4,))</f>
        <v>0.86</v>
      </c>
      <c r="H1202" s="242">
        <f t="shared" si="94"/>
        <v>36.119999999999997</v>
      </c>
      <c r="I1202" s="54">
        <f>IF(B1202="SEPLAG",VLOOKUP(CONCATENATE("MEDIANA - ",C1202),COTAÇÃO,5,FALSE),VLOOKUP($C1202,DESON!$A:$D,4,))</f>
        <v>0.86</v>
      </c>
      <c r="J1202" s="209">
        <f t="shared" si="95"/>
        <v>36.119999999999997</v>
      </c>
    </row>
    <row r="1203" spans="1:10" ht="15" customHeight="1">
      <c r="A1203" s="208" t="s">
        <v>39</v>
      </c>
      <c r="B1203" s="241" t="s">
        <v>14504</v>
      </c>
      <c r="C1203" s="1181" t="s">
        <v>14317</v>
      </c>
      <c r="D1203" s="161" t="str">
        <f>IF(B1203="SEPLAG",VLOOKUP(COMPOSIÇÕES!C1203,'MAPA COMPARATIVO'!A:B,2,FALSE),VLOOKUP(C1203,'NAO DESO'!A:B,2,0))</f>
        <v>Silicone neutro incolor 280 g</v>
      </c>
      <c r="E1203" s="1194" t="s">
        <v>24</v>
      </c>
      <c r="F1203" s="242">
        <v>3.5</v>
      </c>
      <c r="G1203" s="242">
        <f>IF(B1203="SEPLAG",VLOOKUP(CONCATENATE("MEDIANA - ",C1203),COTAÇÃO,5,FALSE),VLOOKUP($C1203,'NAO DESO'!$A:$D,4,))</f>
        <v>43.9</v>
      </c>
      <c r="H1203" s="242">
        <f t="shared" si="94"/>
        <v>153.65</v>
      </c>
      <c r="I1203" s="54">
        <f>IF(B1203="SEPLAG",VLOOKUP(CONCATENATE("MEDIANA - ",C1203),COTAÇÃO,5,FALSE),VLOOKUP($C1203,DESON!$A:$D,4,))</f>
        <v>43.9</v>
      </c>
      <c r="J1203" s="209">
        <f t="shared" si="95"/>
        <v>153.65</v>
      </c>
    </row>
    <row r="1204" spans="1:10" ht="15" customHeight="1">
      <c r="A1204" s="208" t="s">
        <v>245</v>
      </c>
      <c r="B1204" s="241"/>
      <c r="C1204" s="1181">
        <v>10505</v>
      </c>
      <c r="D1204" s="161" t="str">
        <f>IF(B1204="SEPLAG",VLOOKUP(COMPOSIÇÕES!C1204,'MAPA COMPARATIVO'!A:B,2,FALSE),VLOOKUP(C1204,'NAO DESO'!A:B,2,0))</f>
        <v>VIDRO TEMPERADO INCOLOR E = 6 MM, SEM COLOCACAO</v>
      </c>
      <c r="E1204" s="241" t="str">
        <f>VLOOKUP($C1204,'NAO DESO'!$A:$D,3,)</f>
        <v xml:space="preserve">M2    </v>
      </c>
      <c r="F1204" s="242">
        <v>6.42</v>
      </c>
      <c r="G1204" s="242">
        <f>IF(B1204="SEPLAG",VLOOKUP(CONCATENATE("MEDIANA - ",C1204),COTAÇÃO,5,FALSE),VLOOKUP($C1204,'NAO DESO'!$A:$D,4,))</f>
        <v>272.77</v>
      </c>
      <c r="H1204" s="242">
        <f t="shared" si="94"/>
        <v>1751.18</v>
      </c>
      <c r="I1204" s="54" t="str">
        <f>IF(B1204="SEPLAG",VLOOKUP(CONCATENATE("MEDIANA - ",C1204),COTAÇÃO,5,FALSE),VLOOKUP($C1204,DESON!$A:$D,4,))</f>
        <v>272,77</v>
      </c>
      <c r="J1204" s="209">
        <f t="shared" si="95"/>
        <v>1751.18</v>
      </c>
    </row>
    <row r="1205" spans="1:10" ht="15" customHeight="1">
      <c r="A1205" s="208" t="s">
        <v>245</v>
      </c>
      <c r="B1205" s="241"/>
      <c r="C1205" s="1181">
        <v>88315</v>
      </c>
      <c r="D1205" s="161" t="str">
        <f>IF(B1205="SEPLAG",VLOOKUP(COMPOSIÇÕES!C1205,'MAPA COMPARATIVO'!A:B,2,FALSE),VLOOKUP(C1205,'NAO DESO'!A:B,2,0))</f>
        <v>SERRALHEIRO COM ENCARGOS COMPLEMENTARES</v>
      </c>
      <c r="E1205" s="241" t="str">
        <f>VLOOKUP($C1205,'NAO DESO'!$A:$D,3,)</f>
        <v>H</v>
      </c>
      <c r="F1205" s="242">
        <v>20.98</v>
      </c>
      <c r="G1205" s="242" t="str">
        <f>IF(B1205="SEPLAG",VLOOKUP(CONCATENATE("MEDIANA - ",C1205),COTAÇÃO,5,FALSE),VLOOKUP($C1205,'NAO DESO'!$A:$D,4,))</f>
        <v>20,97</v>
      </c>
      <c r="H1205" s="242">
        <f t="shared" si="94"/>
        <v>439.95</v>
      </c>
      <c r="I1205" s="54" t="str">
        <f>IF(B1205="SEPLAG",VLOOKUP(CONCATENATE("MEDIANA - ",C1205),COTAÇÃO,5,FALSE),VLOOKUP($C1205,DESON!$A:$D,4,))</f>
        <v>18,75</v>
      </c>
      <c r="J1205" s="209">
        <f t="shared" si="95"/>
        <v>393.37</v>
      </c>
    </row>
    <row r="1206" spans="1:10" ht="15" customHeight="1">
      <c r="A1206" s="208" t="s">
        <v>245</v>
      </c>
      <c r="B1206" s="241"/>
      <c r="C1206" s="1181">
        <v>88316</v>
      </c>
      <c r="D1206" s="161" t="str">
        <f>IF(B1206="SEPLAG",VLOOKUP(COMPOSIÇÕES!C1206,'MAPA COMPARATIVO'!A:B,2,FALSE),VLOOKUP(C1206,'NAO DESO'!A:B,2,0))</f>
        <v>SERVENTE COM ENCARGOS COMPLEMENTARES</v>
      </c>
      <c r="E1206" s="241" t="str">
        <f>VLOOKUP($C1206,'NAO DESO'!$A:$D,3,)</f>
        <v>H</v>
      </c>
      <c r="F1206" s="242">
        <v>20.98</v>
      </c>
      <c r="G1206" s="242" t="str">
        <f>IF(B1206="SEPLAG",VLOOKUP(CONCATENATE("MEDIANA - ",C1206),COTAÇÃO,5,FALSE),VLOOKUP($C1206,'NAO DESO'!$A:$D,4,))</f>
        <v>16,83</v>
      </c>
      <c r="H1206" s="242">
        <f t="shared" si="94"/>
        <v>353.09</v>
      </c>
      <c r="I1206" s="54" t="str">
        <f>IF(B1206="SEPLAG",VLOOKUP(CONCATENATE("MEDIANA - ",C1206),COTAÇÃO,5,FALSE),VLOOKUP($C1206,DESON!$A:$D,4,))</f>
        <v>15,16</v>
      </c>
      <c r="J1206" s="209">
        <f t="shared" si="95"/>
        <v>318.05</v>
      </c>
    </row>
    <row r="1207" spans="1:10" ht="15" customHeight="1">
      <c r="A1207" s="210" t="str">
        <f>CONCATENATE("TOTAL DO ITEM NÃO DESON. - ",C1180)</f>
        <v>TOTAL DO ITEM NÃO DESON. - SEPLAG  ARQ 83</v>
      </c>
      <c r="B1207" s="424"/>
      <c r="C1207" s="424"/>
      <c r="D1207" s="424"/>
      <c r="E1207" s="424"/>
      <c r="F1207" s="425"/>
      <c r="G1207" s="426"/>
      <c r="H1207" s="1182">
        <f>SUM(H1182:H1206)</f>
        <v>5520.3200000000006</v>
      </c>
      <c r="I1207" s="214"/>
      <c r="J1207" s="215"/>
    </row>
    <row r="1208" spans="1:10" ht="15.75" customHeight="1" thickBot="1">
      <c r="A1208" s="216" t="str">
        <f>CONCATENATE("TOTAL DO ITEM DESON. - ",C1180)</f>
        <v>TOTAL DO ITEM DESON. - SEPLAG  ARQ 83</v>
      </c>
      <c r="B1208" s="427"/>
      <c r="C1208" s="427"/>
      <c r="D1208" s="427"/>
      <c r="E1208" s="427"/>
      <c r="F1208" s="428"/>
      <c r="G1208" s="429"/>
      <c r="H1208" s="1187"/>
      <c r="I1208" s="229"/>
      <c r="J1208" s="219">
        <f>SUM(J1182:J1206)</f>
        <v>5438.7000000000007</v>
      </c>
    </row>
    <row r="1209" spans="1:10" ht="15" customHeight="1" thickBot="1">
      <c r="A1209" s="235"/>
      <c r="B1209" s="1135"/>
      <c r="C1209" s="1135"/>
      <c r="D1209" s="1135"/>
      <c r="E1209" s="1135"/>
      <c r="F1209" s="1188"/>
      <c r="G1209" s="1188"/>
      <c r="H1209" s="1188"/>
      <c r="I1209" s="236"/>
      <c r="J1209" s="237"/>
    </row>
    <row r="1210" spans="1:10" ht="27" customHeight="1">
      <c r="A1210" s="198"/>
      <c r="B1210" s="1175"/>
      <c r="C1210" s="1176" t="s">
        <v>7372</v>
      </c>
      <c r="D1210" s="156" t="s">
        <v>7610</v>
      </c>
      <c r="E1210" s="1176" t="s">
        <v>32</v>
      </c>
      <c r="F1210" s="1177" t="s">
        <v>18</v>
      </c>
      <c r="G1210" s="1178" t="s">
        <v>7017</v>
      </c>
      <c r="H1210" s="1179"/>
      <c r="I1210" s="200" t="s">
        <v>7016</v>
      </c>
      <c r="J1210" s="201"/>
    </row>
    <row r="1211" spans="1:10" ht="15" customHeight="1">
      <c r="A1211" s="233"/>
      <c r="B1211" s="247"/>
      <c r="C1211" s="1155"/>
      <c r="D1211" s="157"/>
      <c r="E1211" s="1155"/>
      <c r="F1211" s="1180"/>
      <c r="G1211" s="1180" t="s">
        <v>19</v>
      </c>
      <c r="H1211" s="1180" t="s">
        <v>20</v>
      </c>
      <c r="I1211" s="205" t="s">
        <v>19</v>
      </c>
      <c r="J1211" s="206" t="s">
        <v>20</v>
      </c>
    </row>
    <row r="1212" spans="1:10" ht="15" customHeight="1">
      <c r="A1212" s="208" t="s">
        <v>39</v>
      </c>
      <c r="B1212" s="241"/>
      <c r="C1212" s="241">
        <v>34360</v>
      </c>
      <c r="D1212" s="161" t="s">
        <v>7323</v>
      </c>
      <c r="E1212" s="1194" t="s">
        <v>133</v>
      </c>
      <c r="F1212" s="242">
        <v>6.9320000000000004</v>
      </c>
      <c r="G1212" s="242">
        <f>IF(B1212="SEPLAG",VLOOKUP(CONCATENATE("MEDIANA - ",C1212),COTAÇÃO,5,FALSE),VLOOKUP($C1212,'NAO DESO'!$A:$D,4,))</f>
        <v>47.31</v>
      </c>
      <c r="H1212" s="242">
        <f t="shared" ref="H1212:H1217" si="96">TRUNC(F1212*G1212,2)</f>
        <v>327.95</v>
      </c>
      <c r="I1212" s="54" t="str">
        <f>IF(B1212="SEPLAG",VLOOKUP(CONCATENATE("MEDIANA - ",C1212),COTAÇÃO,5,FALSE),VLOOKUP($C1212,DESON!$A:$D,4,))</f>
        <v>47,31</v>
      </c>
      <c r="J1212" s="209">
        <f t="shared" ref="J1212:J1217" si="97">TRUNC(F1212*I1212,2)</f>
        <v>327.95</v>
      </c>
    </row>
    <row r="1213" spans="1:10" ht="15" customHeight="1">
      <c r="A1213" s="208" t="s">
        <v>39</v>
      </c>
      <c r="B1213" s="241"/>
      <c r="C1213" s="241">
        <v>34360</v>
      </c>
      <c r="D1213" s="161" t="s">
        <v>7324</v>
      </c>
      <c r="E1213" s="1194" t="s">
        <v>133</v>
      </c>
      <c r="F1213" s="242">
        <v>2.5020000000000002</v>
      </c>
      <c r="G1213" s="242">
        <f>IF(B1213="SEPLAG",VLOOKUP(CONCATENATE("MEDIANA - ",C1213),COTAÇÃO,5,FALSE),VLOOKUP($C1213,'NAO DESO'!$A:$D,4,))</f>
        <v>47.31</v>
      </c>
      <c r="H1213" s="242">
        <f t="shared" si="96"/>
        <v>118.36</v>
      </c>
      <c r="I1213" s="54" t="str">
        <f>IF(B1213="SEPLAG",VLOOKUP(CONCATENATE("MEDIANA - ",C1213),COTAÇÃO,5,FALSE),VLOOKUP($C1213,DESON!$A:$D,4,))</f>
        <v>47,31</v>
      </c>
      <c r="J1213" s="209">
        <f t="shared" si="97"/>
        <v>118.36</v>
      </c>
    </row>
    <row r="1214" spans="1:10" ht="15" customHeight="1">
      <c r="A1214" s="208" t="s">
        <v>39</v>
      </c>
      <c r="B1214" s="241"/>
      <c r="C1214" s="241">
        <v>34360</v>
      </c>
      <c r="D1214" s="161" t="s">
        <v>7325</v>
      </c>
      <c r="E1214" s="1194" t="s">
        <v>133</v>
      </c>
      <c r="F1214" s="242">
        <v>0.98799999999999999</v>
      </c>
      <c r="G1214" s="242">
        <f>IF(B1214="SEPLAG",VLOOKUP(CONCATENATE("MEDIANA - ",C1214),COTAÇÃO,5,FALSE),VLOOKUP($C1214,'NAO DESO'!$A:$D,4,))</f>
        <v>47.31</v>
      </c>
      <c r="H1214" s="242">
        <f t="shared" si="96"/>
        <v>46.74</v>
      </c>
      <c r="I1214" s="54" t="str">
        <f>IF(B1214="SEPLAG",VLOOKUP(CONCATENATE("MEDIANA - ",C1214),COTAÇÃO,5,FALSE),VLOOKUP($C1214,DESON!$A:$D,4,))</f>
        <v>47,31</v>
      </c>
      <c r="J1214" s="209">
        <f t="shared" si="97"/>
        <v>46.74</v>
      </c>
    </row>
    <row r="1215" spans="1:10" ht="15" customHeight="1">
      <c r="A1215" s="208" t="s">
        <v>39</v>
      </c>
      <c r="B1215" s="241"/>
      <c r="C1215" s="241">
        <v>34360</v>
      </c>
      <c r="D1215" s="161" t="s">
        <v>7326</v>
      </c>
      <c r="E1215" s="1194" t="s">
        <v>133</v>
      </c>
      <c r="F1215" s="242">
        <v>6.1639999999999997</v>
      </c>
      <c r="G1215" s="242">
        <f>IF(B1215="SEPLAG",VLOOKUP(CONCATENATE("MEDIANA - ",C1215),COTAÇÃO,5,FALSE),VLOOKUP($C1215,'NAO DESO'!$A:$D,4,))</f>
        <v>47.31</v>
      </c>
      <c r="H1215" s="242">
        <f t="shared" si="96"/>
        <v>291.61</v>
      </c>
      <c r="I1215" s="54" t="str">
        <f>IF(B1215="SEPLAG",VLOOKUP(CONCATENATE("MEDIANA - ",C1215),COTAÇÃO,5,FALSE),VLOOKUP($C1215,DESON!$A:$D,4,))</f>
        <v>47,31</v>
      </c>
      <c r="J1215" s="209">
        <f t="shared" si="97"/>
        <v>291.61</v>
      </c>
    </row>
    <row r="1216" spans="1:10" ht="15" customHeight="1">
      <c r="A1216" s="208" t="s">
        <v>39</v>
      </c>
      <c r="B1216" s="241"/>
      <c r="C1216" s="241">
        <v>34360</v>
      </c>
      <c r="D1216" s="161" t="s">
        <v>7327</v>
      </c>
      <c r="E1216" s="1194" t="s">
        <v>133</v>
      </c>
      <c r="F1216" s="242">
        <v>10.809000000000001</v>
      </c>
      <c r="G1216" s="242">
        <f>IF(B1216="SEPLAG",VLOOKUP(CONCATENATE("MEDIANA - ",C1216),COTAÇÃO,5,FALSE),VLOOKUP($C1216,'NAO DESO'!$A:$D,4,))</f>
        <v>47.31</v>
      </c>
      <c r="H1216" s="242">
        <f t="shared" si="96"/>
        <v>511.37</v>
      </c>
      <c r="I1216" s="54" t="str">
        <f>IF(B1216="SEPLAG",VLOOKUP(CONCATENATE("MEDIANA - ",C1216),COTAÇÃO,5,FALSE),VLOOKUP($C1216,DESON!$A:$D,4,))</f>
        <v>47,31</v>
      </c>
      <c r="J1216" s="209">
        <f t="shared" si="97"/>
        <v>511.37</v>
      </c>
    </row>
    <row r="1217" spans="1:10" ht="15" customHeight="1">
      <c r="A1217" s="208" t="s">
        <v>39</v>
      </c>
      <c r="B1217" s="241"/>
      <c r="C1217" s="241">
        <v>34360</v>
      </c>
      <c r="D1217" s="161" t="s">
        <v>7328</v>
      </c>
      <c r="E1217" s="1194" t="s">
        <v>133</v>
      </c>
      <c r="F1217" s="242">
        <v>6.9470000000000001</v>
      </c>
      <c r="G1217" s="242">
        <f>IF(B1217="SEPLAG",VLOOKUP(CONCATENATE("MEDIANA - ",C1217),COTAÇÃO,5,FALSE),VLOOKUP($C1217,'NAO DESO'!$A:$D,4,))</f>
        <v>47.31</v>
      </c>
      <c r="H1217" s="242">
        <f t="shared" si="96"/>
        <v>328.66</v>
      </c>
      <c r="I1217" s="54" t="str">
        <f>IF(B1217="SEPLAG",VLOOKUP(CONCATENATE("MEDIANA - ",C1217),COTAÇÃO,5,FALSE),VLOOKUP($C1217,DESON!$A:$D,4,))</f>
        <v>47,31</v>
      </c>
      <c r="J1217" s="209">
        <f t="shared" si="97"/>
        <v>328.66</v>
      </c>
    </row>
    <row r="1218" spans="1:10" ht="15" customHeight="1">
      <c r="A1218" s="208" t="s">
        <v>39</v>
      </c>
      <c r="B1218" s="241"/>
      <c r="C1218" s="241">
        <v>34360</v>
      </c>
      <c r="D1218" s="161" t="s">
        <v>7329</v>
      </c>
      <c r="E1218" s="1194" t="s">
        <v>133</v>
      </c>
      <c r="F1218" s="242">
        <v>0</v>
      </c>
      <c r="G1218" s="242">
        <f>IF(B1218="SEPLAG",VLOOKUP(CONCATENATE("MEDIANA - ",C1218),COTAÇÃO,5,FALSE),VLOOKUP($C1218,'NAO DESO'!$A:$D,4,))</f>
        <v>47.31</v>
      </c>
      <c r="H1218" s="242">
        <f>F1218*G1218</f>
        <v>0</v>
      </c>
      <c r="I1218" s="54" t="str">
        <f>IF(B1218="SEPLAG",VLOOKUP(CONCATENATE("MEDIANA - ",C1218),COTAÇÃO,5,FALSE),VLOOKUP($C1218,DESON!$A:$D,4,))</f>
        <v>47,31</v>
      </c>
      <c r="J1218" s="209">
        <f>F1218*I1218</f>
        <v>0</v>
      </c>
    </row>
    <row r="1219" spans="1:10" ht="15" customHeight="1">
      <c r="A1219" s="208" t="s">
        <v>39</v>
      </c>
      <c r="B1219" s="241"/>
      <c r="C1219" s="241">
        <v>34360</v>
      </c>
      <c r="D1219" s="161" t="s">
        <v>7330</v>
      </c>
      <c r="E1219" s="1194" t="s">
        <v>133</v>
      </c>
      <c r="F1219" s="242">
        <v>0</v>
      </c>
      <c r="G1219" s="242">
        <f>IF(B1219="SEPLAG",VLOOKUP(CONCATENATE("MEDIANA - ",C1219),COTAÇÃO,5,FALSE),VLOOKUP($C1219,'NAO DESO'!$A:$D,4,))</f>
        <v>47.31</v>
      </c>
      <c r="H1219" s="242">
        <f>F1219*G1219</f>
        <v>0</v>
      </c>
      <c r="I1219" s="54" t="str">
        <f>IF(B1219="SEPLAG",VLOOKUP(CONCATENATE("MEDIANA - ",C1219),COTAÇÃO,5,FALSE),VLOOKUP($C1219,DESON!$A:$D,4,))</f>
        <v>47,31</v>
      </c>
      <c r="J1219" s="209">
        <f>F1219*I1219</f>
        <v>0</v>
      </c>
    </row>
    <row r="1220" spans="1:10" ht="15" customHeight="1">
      <c r="A1220" s="208" t="s">
        <v>39</v>
      </c>
      <c r="B1220" s="241"/>
      <c r="C1220" s="241">
        <v>34360</v>
      </c>
      <c r="D1220" s="161" t="s">
        <v>7331</v>
      </c>
      <c r="E1220" s="1194" t="s">
        <v>133</v>
      </c>
      <c r="F1220" s="242">
        <v>23.677999999999997</v>
      </c>
      <c r="G1220" s="242">
        <f>IF(B1220="SEPLAG",VLOOKUP(CONCATENATE("MEDIANA - ",C1220),COTAÇÃO,5,FALSE),VLOOKUP($C1220,'NAO DESO'!$A:$D,4,))</f>
        <v>47.31</v>
      </c>
      <c r="H1220" s="242">
        <f t="shared" ref="H1220:H1236" si="98">TRUNC(F1220*G1220,2)</f>
        <v>1120.2</v>
      </c>
      <c r="I1220" s="54" t="str">
        <f>IF(B1220="SEPLAG",VLOOKUP(CONCATENATE("MEDIANA - ",C1220),COTAÇÃO,5,FALSE),VLOOKUP($C1220,DESON!$A:$D,4,))</f>
        <v>47,31</v>
      </c>
      <c r="J1220" s="209">
        <f t="shared" ref="J1220:J1236" si="99">TRUNC(F1220*I1220,2)</f>
        <v>1120.2</v>
      </c>
    </row>
    <row r="1221" spans="1:10" ht="15" customHeight="1">
      <c r="A1221" s="208" t="s">
        <v>39</v>
      </c>
      <c r="B1221" s="241"/>
      <c r="C1221" s="241">
        <v>34360</v>
      </c>
      <c r="D1221" s="161" t="s">
        <v>7332</v>
      </c>
      <c r="E1221" s="1194" t="s">
        <v>133</v>
      </c>
      <c r="F1221" s="242">
        <v>1.9710000000000001</v>
      </c>
      <c r="G1221" s="242">
        <f>IF(B1221="SEPLAG",VLOOKUP(CONCATENATE("MEDIANA - ",C1221),COTAÇÃO,5,FALSE),VLOOKUP($C1221,'NAO DESO'!$A:$D,4,))</f>
        <v>47.31</v>
      </c>
      <c r="H1221" s="242">
        <f t="shared" si="98"/>
        <v>93.24</v>
      </c>
      <c r="I1221" s="54" t="str">
        <f>IF(B1221="SEPLAG",VLOOKUP(CONCATENATE("MEDIANA - ",C1221),COTAÇÃO,5,FALSE),VLOOKUP($C1221,DESON!$A:$D,4,))</f>
        <v>47,31</v>
      </c>
      <c r="J1221" s="209">
        <f t="shared" si="99"/>
        <v>93.24</v>
      </c>
    </row>
    <row r="1222" spans="1:10" ht="15" customHeight="1">
      <c r="A1222" s="208" t="s">
        <v>39</v>
      </c>
      <c r="B1222" s="241"/>
      <c r="C1222" s="241">
        <v>34360</v>
      </c>
      <c r="D1222" s="161" t="s">
        <v>7333</v>
      </c>
      <c r="E1222" s="1194" t="s">
        <v>133</v>
      </c>
      <c r="F1222" s="242">
        <v>5.43</v>
      </c>
      <c r="G1222" s="242">
        <f>IF(B1222="SEPLAG",VLOOKUP(CONCATENATE("MEDIANA - ",C1222),COTAÇÃO,5,FALSE),VLOOKUP($C1222,'NAO DESO'!$A:$D,4,))</f>
        <v>47.31</v>
      </c>
      <c r="H1222" s="242">
        <f t="shared" si="98"/>
        <v>256.89</v>
      </c>
      <c r="I1222" s="54" t="str">
        <f>IF(B1222="SEPLAG",VLOOKUP(CONCATENATE("MEDIANA - ",C1222),COTAÇÃO,5,FALSE),VLOOKUP($C1222,DESON!$A:$D,4,))</f>
        <v>47,31</v>
      </c>
      <c r="J1222" s="209">
        <f t="shared" si="99"/>
        <v>256.89</v>
      </c>
    </row>
    <row r="1223" spans="1:10" ht="15" customHeight="1">
      <c r="A1223" s="208" t="s">
        <v>39</v>
      </c>
      <c r="B1223" s="241" t="s">
        <v>14504</v>
      </c>
      <c r="C1223" s="1181" t="s">
        <v>14307</v>
      </c>
      <c r="D1223" s="161" t="str">
        <f>IF(B1223="SEPLAG",VLOOKUP(COMPOSIÇÕES!C1223,'MAPA COMPARATIVO'!A:B,2,FALSE),VLOOKUP(C1223,'NAO DESO'!A:B,2,0))</f>
        <v xml:space="preserve">Braço de max-ar linha gold de 600mm </v>
      </c>
      <c r="E1223" s="1194" t="s">
        <v>24</v>
      </c>
      <c r="F1223" s="242">
        <v>12</v>
      </c>
      <c r="G1223" s="242">
        <f>IF(B1223="SEPLAG",VLOOKUP(CONCATENATE("MEDIANA - ",C1223),COTAÇÃO,5,FALSE),VLOOKUP($C1223,'NAO DESO'!$A:$D,4,))</f>
        <v>36.575000000000003</v>
      </c>
      <c r="H1223" s="242">
        <f t="shared" si="98"/>
        <v>438.9</v>
      </c>
      <c r="I1223" s="54">
        <f>IF(B1223="SEPLAG",VLOOKUP(CONCATENATE("MEDIANA - ",C1223),COTAÇÃO,5,FALSE),VLOOKUP($C1223,DESON!$A:$D,4,))</f>
        <v>36.575000000000003</v>
      </c>
      <c r="J1223" s="209">
        <f t="shared" si="99"/>
        <v>438.9</v>
      </c>
    </row>
    <row r="1224" spans="1:10" ht="15" customHeight="1">
      <c r="A1224" s="208" t="s">
        <v>39</v>
      </c>
      <c r="B1224" s="241" t="s">
        <v>14504</v>
      </c>
      <c r="C1224" s="1181" t="s">
        <v>14308</v>
      </c>
      <c r="D1224" s="161" t="str">
        <f>IF(B1224="SEPLAG",VLOOKUP(COMPOSIÇÕES!C1224,'MAPA COMPARATIVO'!A:B,2,FALSE),VLOOKUP(C1224,'NAO DESO'!A:B,2,0))</f>
        <v>Fecho max-ar linha gold</v>
      </c>
      <c r="E1224" s="1194" t="s">
        <v>24</v>
      </c>
      <c r="F1224" s="242">
        <v>12</v>
      </c>
      <c r="G1224" s="242">
        <f>IF(B1224="SEPLAG",VLOOKUP(CONCATENATE("MEDIANA - ",C1224),COTAÇÃO,5,FALSE),VLOOKUP($C1224,'NAO DESO'!$A:$D,4,))</f>
        <v>47.36</v>
      </c>
      <c r="H1224" s="242">
        <f t="shared" si="98"/>
        <v>568.32000000000005</v>
      </c>
      <c r="I1224" s="54">
        <f>IF(B1224="SEPLAG",VLOOKUP(CONCATENATE("MEDIANA - ",C1224),COTAÇÃO,5,FALSE),VLOOKUP($C1224,DESON!$A:$D,4,))</f>
        <v>47.36</v>
      </c>
      <c r="J1224" s="209">
        <f t="shared" si="99"/>
        <v>568.32000000000005</v>
      </c>
    </row>
    <row r="1225" spans="1:10" ht="15" customHeight="1">
      <c r="A1225" s="208" t="s">
        <v>39</v>
      </c>
      <c r="B1225" s="241" t="s">
        <v>14504</v>
      </c>
      <c r="C1225" s="1181" t="s">
        <v>14309</v>
      </c>
      <c r="D1225" s="161" t="str">
        <f>IF(B1225="SEPLAG",VLOOKUP(COMPOSIÇÕES!C1225,'MAPA COMPARATIVO'!A:B,2,FALSE),VLOOKUP(C1225,'NAO DESO'!A:B,2,0))</f>
        <v>Guarnição em EPDM p/ pingadeira</v>
      </c>
      <c r="E1225" s="1194" t="s">
        <v>7388</v>
      </c>
      <c r="F1225" s="242">
        <v>12.472</v>
      </c>
      <c r="G1225" s="242">
        <f>IF(B1225="SEPLAG",VLOOKUP(CONCATENATE("MEDIANA - ",C1225),COTAÇÃO,5,FALSE),VLOOKUP($C1225,'NAO DESO'!$A:$D,4,))</f>
        <v>4.3849999999999998</v>
      </c>
      <c r="H1225" s="242">
        <f t="shared" si="98"/>
        <v>54.68</v>
      </c>
      <c r="I1225" s="54">
        <f>IF(B1225="SEPLAG",VLOOKUP(CONCATENATE("MEDIANA - ",C1225),COTAÇÃO,5,FALSE),VLOOKUP($C1225,DESON!$A:$D,4,))</f>
        <v>4.3849999999999998</v>
      </c>
      <c r="J1225" s="209">
        <f t="shared" si="99"/>
        <v>54.68</v>
      </c>
    </row>
    <row r="1226" spans="1:10" ht="15" customHeight="1">
      <c r="A1226" s="208" t="s">
        <v>39</v>
      </c>
      <c r="B1226" s="241" t="s">
        <v>14504</v>
      </c>
      <c r="C1226" s="1181" t="s">
        <v>14310</v>
      </c>
      <c r="D1226" s="161" t="str">
        <f>IF(B1226="SEPLAG",VLOOKUP(COMPOSIÇÕES!C1226,'MAPA COMPARATIVO'!A:B,2,FALSE),VLOOKUP(C1226,'NAO DESO'!A:B,2,0))</f>
        <v>Guarnição em EPDM para vidro</v>
      </c>
      <c r="E1226" s="1194" t="s">
        <v>250</v>
      </c>
      <c r="F1226" s="242">
        <v>44.771999999999998</v>
      </c>
      <c r="G1226" s="242">
        <f>IF(B1226="SEPLAG",VLOOKUP(CONCATENATE("MEDIANA - ",C1226),COTAÇÃO,5,FALSE),VLOOKUP($C1226,'NAO DESO'!$A:$D,4,))</f>
        <v>2.4091999999999998</v>
      </c>
      <c r="H1226" s="242">
        <f t="shared" si="98"/>
        <v>107.86</v>
      </c>
      <c r="I1226" s="54">
        <f>IF(B1226="SEPLAG",VLOOKUP(CONCATENATE("MEDIANA - ",C1226),COTAÇÃO,5,FALSE),VLOOKUP($C1226,DESON!$A:$D,4,))</f>
        <v>2.4091999999999998</v>
      </c>
      <c r="J1226" s="209">
        <f t="shared" si="99"/>
        <v>107.86</v>
      </c>
    </row>
    <row r="1227" spans="1:10" ht="15" customHeight="1">
      <c r="A1227" s="208" t="s">
        <v>39</v>
      </c>
      <c r="B1227" s="241" t="s">
        <v>14504</v>
      </c>
      <c r="C1227" s="1181" t="s">
        <v>14311</v>
      </c>
      <c r="D1227" s="161" t="str">
        <f>IF(B1227="SEPLAG",VLOOKUP(COMPOSIÇÕES!C1227,'MAPA COMPARATIVO'!A:B,2,FALSE),VLOOKUP(C1227,'NAO DESO'!A:B,2,0))</f>
        <v>Espuma adesiva 1 face</v>
      </c>
      <c r="E1227" s="1194" t="s">
        <v>250</v>
      </c>
      <c r="F1227" s="242">
        <v>44.771999999999998</v>
      </c>
      <c r="G1227" s="242">
        <f>IF(B1227="SEPLAG",VLOOKUP(CONCATENATE("MEDIANA - ",C1227),COTAÇÃO,5,FALSE),VLOOKUP($C1227,'NAO DESO'!$A:$D,4,))</f>
        <v>2.1800000000000002</v>
      </c>
      <c r="H1227" s="242">
        <f t="shared" si="98"/>
        <v>97.6</v>
      </c>
      <c r="I1227" s="54">
        <f>IF(B1227="SEPLAG",VLOOKUP(CONCATENATE("MEDIANA - ",C1227),COTAÇÃO,5,FALSE),VLOOKUP($C1227,DESON!$A:$D,4,))</f>
        <v>2.1800000000000002</v>
      </c>
      <c r="J1227" s="209">
        <f t="shared" si="99"/>
        <v>97.6</v>
      </c>
    </row>
    <row r="1228" spans="1:10" ht="15" customHeight="1">
      <c r="A1228" s="208" t="s">
        <v>39</v>
      </c>
      <c r="B1228" s="241" t="s">
        <v>14504</v>
      </c>
      <c r="C1228" s="1181" t="s">
        <v>14312</v>
      </c>
      <c r="D1228" s="161" t="str">
        <f>IF(B1228="SEPLAG",VLOOKUP(COMPOSIÇÕES!C1228,'MAPA COMPARATIVO'!A:B,2,FALSE),VLOOKUP(C1228,'NAO DESO'!A:B,2,0))</f>
        <v>Guarnição em EPDM p/ marco max-ar</v>
      </c>
      <c r="E1228" s="1194" t="s">
        <v>250</v>
      </c>
      <c r="F1228" s="242">
        <v>89.572000000000003</v>
      </c>
      <c r="G1228" s="242">
        <f>IF(B1228="SEPLAG",VLOOKUP(CONCATENATE("MEDIANA - ",C1228),COTAÇÃO,5,FALSE),VLOOKUP($C1228,'NAO DESO'!$A:$D,4,))</f>
        <v>3.8138999999999998</v>
      </c>
      <c r="H1228" s="242">
        <f t="shared" si="98"/>
        <v>341.61</v>
      </c>
      <c r="I1228" s="54">
        <f>IF(B1228="SEPLAG",VLOOKUP(CONCATENATE("MEDIANA - ",C1228),COTAÇÃO,5,FALSE),VLOOKUP($C1228,DESON!$A:$D,4,))</f>
        <v>3.8138999999999998</v>
      </c>
      <c r="J1228" s="209">
        <f t="shared" si="99"/>
        <v>341.61</v>
      </c>
    </row>
    <row r="1229" spans="1:10" ht="15" customHeight="1">
      <c r="A1229" s="208" t="s">
        <v>39</v>
      </c>
      <c r="B1229" s="241" t="s">
        <v>14504</v>
      </c>
      <c r="C1229" s="1181" t="s">
        <v>14313</v>
      </c>
      <c r="D1229" s="161" t="str">
        <f>IF(B1229="SEPLAG",VLOOKUP(COMPOSIÇÕES!C1229,'MAPA COMPARATIVO'!A:B,2,FALSE),VLOOKUP(C1229,'NAO DESO'!A:B,2,0))</f>
        <v>PRESILHA DE FIXAÇÃO DO ARREMATE MP-347</v>
      </c>
      <c r="E1229" s="1194" t="s">
        <v>24</v>
      </c>
      <c r="F1229" s="242">
        <v>70</v>
      </c>
      <c r="G1229" s="242">
        <f>IF(B1229="SEPLAG",VLOOKUP(CONCATENATE("MEDIANA - ",C1229),COTAÇÃO,5,FALSE),VLOOKUP($C1229,'NAO DESO'!$A:$D,4,))</f>
        <v>0.34</v>
      </c>
      <c r="H1229" s="242">
        <f t="shared" si="98"/>
        <v>23.8</v>
      </c>
      <c r="I1229" s="54">
        <f>IF(B1229="SEPLAG",VLOOKUP(CONCATENATE("MEDIANA - ",C1229),COTAÇÃO,5,FALSE),VLOOKUP($C1229,DESON!$A:$D,4,))</f>
        <v>0.34</v>
      </c>
      <c r="J1229" s="209">
        <f t="shared" si="99"/>
        <v>23.8</v>
      </c>
    </row>
    <row r="1230" spans="1:10" ht="15" customHeight="1">
      <c r="A1230" s="208" t="s">
        <v>39</v>
      </c>
      <c r="B1230" s="241" t="s">
        <v>14504</v>
      </c>
      <c r="C1230" s="1181" t="s">
        <v>14314</v>
      </c>
      <c r="D1230" s="161" t="str">
        <f>IF(B1230="SEPLAG",VLOOKUP(COMPOSIÇÕES!C1230,'MAPA COMPARATIVO'!A:B,2,FALSE),VLOOKUP(C1230,'NAO DESO'!A:B,2,0))</f>
        <v>Parafuso zincado phillips flangeado autobrocante 4,2 x 16mm</v>
      </c>
      <c r="E1230" s="1194" t="s">
        <v>24</v>
      </c>
      <c r="F1230" s="242">
        <v>70</v>
      </c>
      <c r="G1230" s="242">
        <f>IF(B1230="SEPLAG",VLOOKUP(CONCATENATE("MEDIANA - ",C1230),COTAÇÃO,5,FALSE),VLOOKUP($C1230,'NAO DESO'!$A:$D,4,))</f>
        <v>0.28000000000000003</v>
      </c>
      <c r="H1230" s="242">
        <f t="shared" si="98"/>
        <v>19.600000000000001</v>
      </c>
      <c r="I1230" s="54">
        <f>IF(B1230="SEPLAG",VLOOKUP(CONCATENATE("MEDIANA - ",C1230),COTAÇÃO,5,FALSE),VLOOKUP($C1230,DESON!$A:$D,4,))</f>
        <v>0.28000000000000003</v>
      </c>
      <c r="J1230" s="209">
        <f t="shared" si="99"/>
        <v>19.600000000000001</v>
      </c>
    </row>
    <row r="1231" spans="1:10" ht="15" customHeight="1">
      <c r="A1231" s="208" t="s">
        <v>39</v>
      </c>
      <c r="B1231" s="241" t="s">
        <v>14504</v>
      </c>
      <c r="C1231" s="1181" t="s">
        <v>14315</v>
      </c>
      <c r="D1231" s="161" t="str">
        <f>IF(B1231="SEPLAG",VLOOKUP(COMPOSIÇÕES!C1231,'MAPA COMPARATIVO'!A:B,2,FALSE),VLOOKUP(C1231,'NAO DESO'!A:B,2,0))</f>
        <v>PARAF. PANELA PHILIPS INOX 4,8 X32 PONTA PILOTO</v>
      </c>
      <c r="E1231" s="1194" t="s">
        <v>24</v>
      </c>
      <c r="F1231" s="242">
        <v>44</v>
      </c>
      <c r="G1231" s="242">
        <f>IF(B1231="SEPLAG",VLOOKUP(CONCATENATE("MEDIANA - ",C1231),COTAÇÃO,5,FALSE),VLOOKUP($C1231,'NAO DESO'!$A:$D,4,))</f>
        <v>0.95</v>
      </c>
      <c r="H1231" s="242">
        <f t="shared" si="98"/>
        <v>41.8</v>
      </c>
      <c r="I1231" s="54">
        <f>IF(B1231="SEPLAG",VLOOKUP(CONCATENATE("MEDIANA - ",C1231),COTAÇÃO,5,FALSE),VLOOKUP($C1231,DESON!$A:$D,4,))</f>
        <v>0.95</v>
      </c>
      <c r="J1231" s="209">
        <f t="shared" si="99"/>
        <v>41.8</v>
      </c>
    </row>
    <row r="1232" spans="1:10" ht="15" customHeight="1">
      <c r="A1232" s="208" t="s">
        <v>39</v>
      </c>
      <c r="B1232" s="241" t="s">
        <v>14504</v>
      </c>
      <c r="C1232" s="1181" t="s">
        <v>14316</v>
      </c>
      <c r="D1232" s="161" t="str">
        <f>IF(B1232="SEPLAG",VLOOKUP(COMPOSIÇÕES!C1232,'MAPA COMPARATIVO'!A:B,2,FALSE),VLOOKUP(C1232,'NAO DESO'!A:B,2,0))</f>
        <v>CHUMBADOR DE CM-063/060</v>
      </c>
      <c r="E1232" s="1194" t="s">
        <v>24</v>
      </c>
      <c r="F1232" s="242">
        <v>70</v>
      </c>
      <c r="G1232" s="242">
        <f>IF(B1232="SEPLAG",VLOOKUP(CONCATENATE("MEDIANA - ",C1232),COTAÇÃO,5,FALSE),VLOOKUP($C1232,'NAO DESO'!$A:$D,4,))</f>
        <v>0.86</v>
      </c>
      <c r="H1232" s="242">
        <f t="shared" si="98"/>
        <v>60.2</v>
      </c>
      <c r="I1232" s="54">
        <f>IF(B1232="SEPLAG",VLOOKUP(CONCATENATE("MEDIANA - ",C1232),COTAÇÃO,5,FALSE),VLOOKUP($C1232,DESON!$A:$D,4,))</f>
        <v>0.86</v>
      </c>
      <c r="J1232" s="209">
        <f t="shared" si="99"/>
        <v>60.2</v>
      </c>
    </row>
    <row r="1233" spans="1:10" ht="15" customHeight="1">
      <c r="A1233" s="208" t="s">
        <v>39</v>
      </c>
      <c r="B1233" s="241" t="s">
        <v>14504</v>
      </c>
      <c r="C1233" s="1181" t="s">
        <v>14317</v>
      </c>
      <c r="D1233" s="161" t="str">
        <f>IF(B1233="SEPLAG",VLOOKUP(COMPOSIÇÕES!C1233,'MAPA COMPARATIVO'!A:B,2,FALSE),VLOOKUP(C1233,'NAO DESO'!A:B,2,0))</f>
        <v>Silicone neutro incolor 280 g</v>
      </c>
      <c r="E1233" s="1194" t="s">
        <v>24</v>
      </c>
      <c r="F1233" s="242">
        <v>6</v>
      </c>
      <c r="G1233" s="242">
        <f>IF(B1233="SEPLAG",VLOOKUP(CONCATENATE("MEDIANA - ",C1233),COTAÇÃO,5,FALSE),VLOOKUP($C1233,'NAO DESO'!$A:$D,4,))</f>
        <v>43.9</v>
      </c>
      <c r="H1233" s="242">
        <f t="shared" si="98"/>
        <v>263.39999999999998</v>
      </c>
      <c r="I1233" s="54">
        <f>IF(B1233="SEPLAG",VLOOKUP(CONCATENATE("MEDIANA - ",C1233),COTAÇÃO,5,FALSE),VLOOKUP($C1233,DESON!$A:$D,4,))</f>
        <v>43.9</v>
      </c>
      <c r="J1233" s="209">
        <f t="shared" si="99"/>
        <v>263.39999999999998</v>
      </c>
    </row>
    <row r="1234" spans="1:10" ht="15" customHeight="1">
      <c r="A1234" s="208" t="s">
        <v>245</v>
      </c>
      <c r="B1234" s="241"/>
      <c r="C1234" s="1181">
        <v>10505</v>
      </c>
      <c r="D1234" s="161" t="str">
        <f>IF(B1234="SEPLAG",VLOOKUP(COMPOSIÇÕES!C1234,'MAPA COMPARATIVO'!A:B,2,FALSE),VLOOKUP(C1234,'NAO DESO'!A:B,2,0))</f>
        <v>VIDRO TEMPERADO INCOLOR E = 6 MM, SEM COLOCACAO</v>
      </c>
      <c r="E1234" s="241" t="str">
        <f>VLOOKUP($C1234,'NAO DESO'!$A:$D,3,)</f>
        <v xml:space="preserve">M2    </v>
      </c>
      <c r="F1234" s="242">
        <v>11.34</v>
      </c>
      <c r="G1234" s="242">
        <f>IF(B1234="SEPLAG",VLOOKUP(CONCATENATE("MEDIANA - ",C1234),COTAÇÃO,5,FALSE),VLOOKUP($C1234,'NAO DESO'!$A:$D,4,))</f>
        <v>272.77</v>
      </c>
      <c r="H1234" s="242">
        <f t="shared" si="98"/>
        <v>3093.21</v>
      </c>
      <c r="I1234" s="54" t="str">
        <f>IF(B1234="SEPLAG",VLOOKUP(CONCATENATE("MEDIANA - ",C1234),COTAÇÃO,5,FALSE),VLOOKUP($C1234,DESON!$A:$D,4,))</f>
        <v>272,77</v>
      </c>
      <c r="J1234" s="209">
        <f t="shared" si="99"/>
        <v>3093.21</v>
      </c>
    </row>
    <row r="1235" spans="1:10" ht="15" customHeight="1">
      <c r="A1235" s="208" t="s">
        <v>245</v>
      </c>
      <c r="B1235" s="241"/>
      <c r="C1235" s="1181">
        <v>88315</v>
      </c>
      <c r="D1235" s="161" t="str">
        <f>IF(B1235="SEPLAG",VLOOKUP(COMPOSIÇÕES!C1235,'MAPA COMPARATIVO'!A:B,2,FALSE),VLOOKUP(C1235,'NAO DESO'!A:B,2,0))</f>
        <v>SERRALHEIRO COM ENCARGOS COMPLEMENTARES</v>
      </c>
      <c r="E1235" s="241" t="str">
        <f>VLOOKUP($C1235,'NAO DESO'!$A:$D,3,)</f>
        <v>H</v>
      </c>
      <c r="F1235" s="242">
        <v>36.68</v>
      </c>
      <c r="G1235" s="242" t="str">
        <f>IF(B1235="SEPLAG",VLOOKUP(CONCATENATE("MEDIANA - ",C1235),COTAÇÃO,5,FALSE),VLOOKUP($C1235,'NAO DESO'!$A:$D,4,))</f>
        <v>20,97</v>
      </c>
      <c r="H1235" s="242">
        <f t="shared" si="98"/>
        <v>769.17</v>
      </c>
      <c r="I1235" s="54" t="str">
        <f>IF(B1235="SEPLAG",VLOOKUP(CONCATENATE("MEDIANA - ",C1235),COTAÇÃO,5,FALSE),VLOOKUP($C1235,DESON!$A:$D,4,))</f>
        <v>18,75</v>
      </c>
      <c r="J1235" s="209">
        <f t="shared" si="99"/>
        <v>687.75</v>
      </c>
    </row>
    <row r="1236" spans="1:10" ht="15" customHeight="1">
      <c r="A1236" s="208" t="s">
        <v>245</v>
      </c>
      <c r="B1236" s="241"/>
      <c r="C1236" s="1181">
        <v>88316</v>
      </c>
      <c r="D1236" s="161" t="str">
        <f>IF(B1236="SEPLAG",VLOOKUP(COMPOSIÇÕES!C1236,'MAPA COMPARATIVO'!A:B,2,FALSE),VLOOKUP(C1236,'NAO DESO'!A:B,2,0))</f>
        <v>SERVENTE COM ENCARGOS COMPLEMENTARES</v>
      </c>
      <c r="E1236" s="241" t="str">
        <f>VLOOKUP($C1236,'NAO DESO'!$A:$D,3,)</f>
        <v>H</v>
      </c>
      <c r="F1236" s="242">
        <v>36.68</v>
      </c>
      <c r="G1236" s="242" t="str">
        <f>IF(B1236="SEPLAG",VLOOKUP(CONCATENATE("MEDIANA - ",C1236),COTAÇÃO,5,FALSE),VLOOKUP($C1236,'NAO DESO'!$A:$D,4,))</f>
        <v>16,83</v>
      </c>
      <c r="H1236" s="242">
        <f t="shared" si="98"/>
        <v>617.32000000000005</v>
      </c>
      <c r="I1236" s="54" t="str">
        <f>IF(B1236="SEPLAG",VLOOKUP(CONCATENATE("MEDIANA - ",C1236),COTAÇÃO,5,FALSE),VLOOKUP($C1236,DESON!$A:$D,4,))</f>
        <v>15,16</v>
      </c>
      <c r="J1236" s="209">
        <f t="shared" si="99"/>
        <v>556.05999999999995</v>
      </c>
    </row>
    <row r="1237" spans="1:10" ht="15" customHeight="1">
      <c r="A1237" s="210" t="str">
        <f>CONCATENATE("TOTAL DO ITEM NÃO DESON. - ",C1210)</f>
        <v>TOTAL DO ITEM NÃO DESON. - SEPLAG  ARQ 84</v>
      </c>
      <c r="B1237" s="424"/>
      <c r="C1237" s="424"/>
      <c r="D1237" s="424"/>
      <c r="E1237" s="424"/>
      <c r="F1237" s="425"/>
      <c r="G1237" s="426"/>
      <c r="H1237" s="1182">
        <f>SUM(H1212:H1236)</f>
        <v>9592.49</v>
      </c>
      <c r="I1237" s="214"/>
      <c r="J1237" s="215"/>
    </row>
    <row r="1238" spans="1:10" ht="15.75" customHeight="1" thickBot="1">
      <c r="A1238" s="216" t="str">
        <f>CONCATENATE("TOTAL DO ITEM DESON. - ",C1210)</f>
        <v>TOTAL DO ITEM DESON. - SEPLAG  ARQ 84</v>
      </c>
      <c r="B1238" s="427"/>
      <c r="C1238" s="427"/>
      <c r="D1238" s="427"/>
      <c r="E1238" s="427"/>
      <c r="F1238" s="428"/>
      <c r="G1238" s="429"/>
      <c r="H1238" s="1187"/>
      <c r="I1238" s="229"/>
      <c r="J1238" s="219">
        <f>SUM(J1212:J1236)</f>
        <v>9449.81</v>
      </c>
    </row>
    <row r="1239" spans="1:10" ht="15" customHeight="1" thickBot="1">
      <c r="A1239" s="235"/>
      <c r="B1239" s="1135"/>
      <c r="C1239" s="1135"/>
      <c r="D1239" s="1135"/>
      <c r="E1239" s="1135"/>
      <c r="F1239" s="1188"/>
      <c r="G1239" s="1188"/>
      <c r="H1239" s="1188"/>
      <c r="I1239" s="236"/>
      <c r="J1239" s="237"/>
    </row>
    <row r="1240" spans="1:10" ht="29.25" customHeight="1">
      <c r="A1240" s="198"/>
      <c r="B1240" s="1175"/>
      <c r="C1240" s="1176" t="s">
        <v>7373</v>
      </c>
      <c r="D1240" s="156" t="s">
        <v>7651</v>
      </c>
      <c r="E1240" s="1176" t="s">
        <v>32</v>
      </c>
      <c r="F1240" s="1177" t="s">
        <v>18</v>
      </c>
      <c r="G1240" s="1178" t="s">
        <v>7017</v>
      </c>
      <c r="H1240" s="1179"/>
      <c r="I1240" s="200" t="s">
        <v>7016</v>
      </c>
      <c r="J1240" s="201"/>
    </row>
    <row r="1241" spans="1:10" ht="15" customHeight="1">
      <c r="A1241" s="233"/>
      <c r="B1241" s="247"/>
      <c r="C1241" s="1155"/>
      <c r="D1241" s="157"/>
      <c r="E1241" s="1155"/>
      <c r="F1241" s="1180"/>
      <c r="G1241" s="1180" t="s">
        <v>19</v>
      </c>
      <c r="H1241" s="1180" t="s">
        <v>20</v>
      </c>
      <c r="I1241" s="205" t="s">
        <v>19</v>
      </c>
      <c r="J1241" s="206" t="s">
        <v>20</v>
      </c>
    </row>
    <row r="1242" spans="1:10" ht="15" customHeight="1">
      <c r="A1242" s="208" t="s">
        <v>39</v>
      </c>
      <c r="B1242" s="241"/>
      <c r="C1242" s="241">
        <v>34360</v>
      </c>
      <c r="D1242" s="161" t="s">
        <v>7348</v>
      </c>
      <c r="E1242" s="1194" t="s">
        <v>133</v>
      </c>
      <c r="F1242" s="242">
        <v>36.774000000000001</v>
      </c>
      <c r="G1242" s="242">
        <f>IF(B1242="SEPLAG",VLOOKUP(CONCATENATE("MEDIANA - ",C1242),COTAÇÃO,5,FALSE),VLOOKUP($C1242,'NAO DESO'!$A:$D,4,))</f>
        <v>47.31</v>
      </c>
      <c r="H1242" s="242">
        <f t="shared" ref="H1242:H1260" si="100">TRUNC(F1242*G1242,2)</f>
        <v>1739.77</v>
      </c>
      <c r="I1242" s="54" t="str">
        <f>IF(B1242="SEPLAG",VLOOKUP(CONCATENATE("MEDIANA - ",C1242),COTAÇÃO,5,FALSE),VLOOKUP($C1242,DESON!$A:$D,4,))</f>
        <v>47,31</v>
      </c>
      <c r="J1242" s="209">
        <f t="shared" ref="J1242:J1260" si="101">TRUNC(F1242*I1242,2)</f>
        <v>1739.77</v>
      </c>
    </row>
    <row r="1243" spans="1:10" ht="15" customHeight="1">
      <c r="A1243" s="208" t="s">
        <v>39</v>
      </c>
      <c r="B1243" s="241"/>
      <c r="C1243" s="241">
        <v>34360</v>
      </c>
      <c r="D1243" s="161" t="s">
        <v>7349</v>
      </c>
      <c r="E1243" s="1194" t="s">
        <v>133</v>
      </c>
      <c r="F1243" s="242">
        <v>0.77800000000000002</v>
      </c>
      <c r="G1243" s="242">
        <f>IF(B1243="SEPLAG",VLOOKUP(CONCATENATE("MEDIANA - ",C1243),COTAÇÃO,5,FALSE),VLOOKUP($C1243,'NAO DESO'!$A:$D,4,))</f>
        <v>47.31</v>
      </c>
      <c r="H1243" s="242">
        <f t="shared" si="100"/>
        <v>36.799999999999997</v>
      </c>
      <c r="I1243" s="54" t="str">
        <f>IF(B1243="SEPLAG",VLOOKUP(CONCATENATE("MEDIANA - ",C1243),COTAÇÃO,5,FALSE),VLOOKUP($C1243,DESON!$A:$D,4,))</f>
        <v>47,31</v>
      </c>
      <c r="J1243" s="209">
        <f t="shared" si="101"/>
        <v>36.799999999999997</v>
      </c>
    </row>
    <row r="1244" spans="1:10" ht="15" customHeight="1">
      <c r="A1244" s="208" t="s">
        <v>39</v>
      </c>
      <c r="B1244" s="241"/>
      <c r="C1244" s="241">
        <v>34360</v>
      </c>
      <c r="D1244" s="161" t="s">
        <v>7350</v>
      </c>
      <c r="E1244" s="1194" t="s">
        <v>133</v>
      </c>
      <c r="F1244" s="242">
        <v>3.4769999999999999</v>
      </c>
      <c r="G1244" s="242">
        <f>IF(B1244="SEPLAG",VLOOKUP(CONCATENATE("MEDIANA - ",C1244),COTAÇÃO,5,FALSE),VLOOKUP($C1244,'NAO DESO'!$A:$D,4,))</f>
        <v>47.31</v>
      </c>
      <c r="H1244" s="242">
        <f t="shared" si="100"/>
        <v>164.49</v>
      </c>
      <c r="I1244" s="54" t="str">
        <f>IF(B1244="SEPLAG",VLOOKUP(CONCATENATE("MEDIANA - ",C1244),COTAÇÃO,5,FALSE),VLOOKUP($C1244,DESON!$A:$D,4,))</f>
        <v>47,31</v>
      </c>
      <c r="J1244" s="209">
        <f t="shared" si="101"/>
        <v>164.49</v>
      </c>
    </row>
    <row r="1245" spans="1:10" ht="15" customHeight="1">
      <c r="A1245" s="208" t="s">
        <v>39</v>
      </c>
      <c r="B1245" s="241"/>
      <c r="C1245" s="241">
        <v>34360</v>
      </c>
      <c r="D1245" s="161" t="s">
        <v>7351</v>
      </c>
      <c r="E1245" s="1194" t="s">
        <v>133</v>
      </c>
      <c r="F1245" s="242">
        <v>23.216999999999999</v>
      </c>
      <c r="G1245" s="242">
        <f>IF(B1245="SEPLAG",VLOOKUP(CONCATENATE("MEDIANA - ",C1245),COTAÇÃO,5,FALSE),VLOOKUP($C1245,'NAO DESO'!$A:$D,4,))</f>
        <v>47.31</v>
      </c>
      <c r="H1245" s="242">
        <f t="shared" si="100"/>
        <v>1098.3900000000001</v>
      </c>
      <c r="I1245" s="54" t="str">
        <f>IF(B1245="SEPLAG",VLOOKUP(CONCATENATE("MEDIANA - ",C1245),COTAÇÃO,5,FALSE),VLOOKUP($C1245,DESON!$A:$D,4,))</f>
        <v>47,31</v>
      </c>
      <c r="J1245" s="209">
        <f t="shared" si="101"/>
        <v>1098.3900000000001</v>
      </c>
    </row>
    <row r="1246" spans="1:10" ht="15" customHeight="1">
      <c r="A1246" s="208" t="s">
        <v>39</v>
      </c>
      <c r="B1246" s="241"/>
      <c r="C1246" s="241">
        <v>34360</v>
      </c>
      <c r="D1246" s="1137" t="s">
        <v>7352</v>
      </c>
      <c r="E1246" s="1194" t="s">
        <v>133</v>
      </c>
      <c r="F1246" s="242">
        <v>7.1790000000000003</v>
      </c>
      <c r="G1246" s="242">
        <f>IF(B1246="SEPLAG",VLOOKUP(CONCATENATE("MEDIANA - ",C1246),COTAÇÃO,5,FALSE),VLOOKUP($C1246,'NAO DESO'!$A:$D,4,))</f>
        <v>47.31</v>
      </c>
      <c r="H1246" s="242">
        <f t="shared" si="100"/>
        <v>339.63</v>
      </c>
      <c r="I1246" s="54" t="str">
        <f>IF(B1246="SEPLAG",VLOOKUP(CONCATENATE("MEDIANA - ",C1246),COTAÇÃO,5,FALSE),VLOOKUP($C1246,DESON!$A:$D,4,))</f>
        <v>47,31</v>
      </c>
      <c r="J1246" s="209">
        <f t="shared" si="101"/>
        <v>339.63</v>
      </c>
    </row>
    <row r="1247" spans="1:10" ht="15" customHeight="1">
      <c r="A1247" s="208" t="s">
        <v>39</v>
      </c>
      <c r="B1247" s="241"/>
      <c r="C1247" s="241">
        <v>34360</v>
      </c>
      <c r="D1247" s="161" t="s">
        <v>7353</v>
      </c>
      <c r="E1247" s="1194" t="s">
        <v>133</v>
      </c>
      <c r="F1247" s="242">
        <v>4.5640000000000001</v>
      </c>
      <c r="G1247" s="242">
        <f>IF(B1247="SEPLAG",VLOOKUP(CONCATENATE("MEDIANA - ",C1247),COTAÇÃO,5,FALSE),VLOOKUP($C1247,'NAO DESO'!$A:$D,4,))</f>
        <v>47.31</v>
      </c>
      <c r="H1247" s="242">
        <f t="shared" si="100"/>
        <v>215.92</v>
      </c>
      <c r="I1247" s="54" t="str">
        <f>IF(B1247="SEPLAG",VLOOKUP(CONCATENATE("MEDIANA - ",C1247),COTAÇÃO,5,FALSE),VLOOKUP($C1247,DESON!$A:$D,4,))</f>
        <v>47,31</v>
      </c>
      <c r="J1247" s="209">
        <f t="shared" si="101"/>
        <v>215.92</v>
      </c>
    </row>
    <row r="1248" spans="1:10" ht="15" customHeight="1">
      <c r="A1248" s="208" t="s">
        <v>39</v>
      </c>
      <c r="B1248" s="241"/>
      <c r="C1248" s="241">
        <v>34360</v>
      </c>
      <c r="D1248" s="161" t="s">
        <v>7354</v>
      </c>
      <c r="E1248" s="1194" t="s">
        <v>133</v>
      </c>
      <c r="F1248" s="242">
        <v>2.6179999999999999</v>
      </c>
      <c r="G1248" s="242">
        <f>IF(B1248="SEPLAG",VLOOKUP(CONCATENATE("MEDIANA - ",C1248),COTAÇÃO,5,FALSE),VLOOKUP($C1248,'NAO DESO'!$A:$D,4,))</f>
        <v>47.31</v>
      </c>
      <c r="H1248" s="242">
        <f t="shared" si="100"/>
        <v>123.85</v>
      </c>
      <c r="I1248" s="54" t="str">
        <f>IF(B1248="SEPLAG",VLOOKUP(CONCATENATE("MEDIANA - ",C1248),COTAÇÃO,5,FALSE),VLOOKUP($C1248,DESON!$A:$D,4,))</f>
        <v>47,31</v>
      </c>
      <c r="J1248" s="209">
        <f t="shared" si="101"/>
        <v>123.85</v>
      </c>
    </row>
    <row r="1249" spans="1:10" ht="15" customHeight="1">
      <c r="A1249" s="208" t="s">
        <v>39</v>
      </c>
      <c r="B1249" s="241"/>
      <c r="C1249" s="241">
        <v>34360</v>
      </c>
      <c r="D1249" s="161" t="s">
        <v>7355</v>
      </c>
      <c r="E1249" s="1194" t="s">
        <v>133</v>
      </c>
      <c r="F1249" s="242">
        <v>0.77</v>
      </c>
      <c r="G1249" s="242">
        <f>IF(B1249="SEPLAG",VLOOKUP(CONCATENATE("MEDIANA - ",C1249),COTAÇÃO,5,FALSE),VLOOKUP($C1249,'NAO DESO'!$A:$D,4,))</f>
        <v>47.31</v>
      </c>
      <c r="H1249" s="242">
        <f t="shared" si="100"/>
        <v>36.42</v>
      </c>
      <c r="I1249" s="54" t="str">
        <f>IF(B1249="SEPLAG",VLOOKUP(CONCATENATE("MEDIANA - ",C1249),COTAÇÃO,5,FALSE),VLOOKUP($C1249,DESON!$A:$D,4,))</f>
        <v>47,31</v>
      </c>
      <c r="J1249" s="209">
        <f t="shared" si="101"/>
        <v>36.42</v>
      </c>
    </row>
    <row r="1250" spans="1:10" ht="15" customHeight="1">
      <c r="A1250" s="208" t="s">
        <v>39</v>
      </c>
      <c r="B1250" s="241"/>
      <c r="C1250" s="241">
        <v>34360</v>
      </c>
      <c r="D1250" s="161" t="s">
        <v>7356</v>
      </c>
      <c r="E1250" s="1194" t="s">
        <v>133</v>
      </c>
      <c r="F1250" s="242">
        <v>1.32</v>
      </c>
      <c r="G1250" s="242">
        <f>IF(B1250="SEPLAG",VLOOKUP(CONCATENATE("MEDIANA - ",C1250),COTAÇÃO,5,FALSE),VLOOKUP($C1250,'NAO DESO'!$A:$D,4,))</f>
        <v>47.31</v>
      </c>
      <c r="H1250" s="242">
        <f t="shared" si="100"/>
        <v>62.44</v>
      </c>
      <c r="I1250" s="54" t="str">
        <f>IF(B1250="SEPLAG",VLOOKUP(CONCATENATE("MEDIANA - ",C1250),COTAÇÃO,5,FALSE),VLOOKUP($C1250,DESON!$A:$D,4,))</f>
        <v>47,31</v>
      </c>
      <c r="J1250" s="209">
        <f t="shared" si="101"/>
        <v>62.44</v>
      </c>
    </row>
    <row r="1251" spans="1:10" ht="15" customHeight="1">
      <c r="A1251" s="208" t="s">
        <v>39</v>
      </c>
      <c r="B1251" s="241"/>
      <c r="C1251" s="241">
        <v>34360</v>
      </c>
      <c r="D1251" s="161" t="s">
        <v>7357</v>
      </c>
      <c r="E1251" s="1194" t="s">
        <v>133</v>
      </c>
      <c r="F1251" s="242">
        <v>1.58</v>
      </c>
      <c r="G1251" s="242">
        <f>IF(B1251="SEPLAG",VLOOKUP(CONCATENATE("MEDIANA - ",C1251),COTAÇÃO,5,FALSE),VLOOKUP($C1251,'NAO DESO'!$A:$D,4,))</f>
        <v>47.31</v>
      </c>
      <c r="H1251" s="242">
        <f t="shared" si="100"/>
        <v>74.739999999999995</v>
      </c>
      <c r="I1251" s="54" t="str">
        <f>IF(B1251="SEPLAG",VLOOKUP(CONCATENATE("MEDIANA - ",C1251),COTAÇÃO,5,FALSE),VLOOKUP($C1251,DESON!$A:$D,4,))</f>
        <v>47,31</v>
      </c>
      <c r="J1251" s="209">
        <f t="shared" si="101"/>
        <v>74.739999999999995</v>
      </c>
    </row>
    <row r="1252" spans="1:10" ht="15" customHeight="1">
      <c r="A1252" s="208" t="s">
        <v>39</v>
      </c>
      <c r="B1252" s="241" t="s">
        <v>14504</v>
      </c>
      <c r="C1252" s="241" t="s">
        <v>14318</v>
      </c>
      <c r="D1252" s="161" t="str">
        <f>IF(B1252="SEPLAG",VLOOKUP(COMPOSIÇÕES!C1252,'MAPA COMPARATIVO'!A:B,2,FALSE),VLOOKUP(C1252,'NAO DESO'!A:B,2,0))</f>
        <v>Fecho mini direito L. 20/25/30</v>
      </c>
      <c r="E1252" s="1194" t="s">
        <v>133</v>
      </c>
      <c r="F1252" s="242">
        <v>36</v>
      </c>
      <c r="G1252" s="242">
        <f>IF(B1252="SEPLAG",VLOOKUP(CONCATENATE("MEDIANA - ",C1252),COTAÇÃO,5,FALSE),VLOOKUP($C1252,'NAO DESO'!$A:$D,4,))</f>
        <v>35.61</v>
      </c>
      <c r="H1252" s="242">
        <f t="shared" si="100"/>
        <v>1281.96</v>
      </c>
      <c r="I1252" s="54">
        <f>IF(B1252="SEPLAG",VLOOKUP(CONCATENATE("MEDIANA - ",C1252),COTAÇÃO,5,FALSE),VLOOKUP($C1252,DESON!$A:$D,4,))</f>
        <v>35.61</v>
      </c>
      <c r="J1252" s="209">
        <f t="shared" si="101"/>
        <v>1281.96</v>
      </c>
    </row>
    <row r="1253" spans="1:10" ht="15" customHeight="1">
      <c r="A1253" s="208" t="s">
        <v>39</v>
      </c>
      <c r="B1253" s="241" t="s">
        <v>14504</v>
      </c>
      <c r="C1253" s="1181" t="s">
        <v>14315</v>
      </c>
      <c r="D1253" s="161" t="str">
        <f>IF(B1253="SEPLAG",VLOOKUP(COMPOSIÇÕES!C1253,'MAPA COMPARATIVO'!A:B,2,FALSE),VLOOKUP(C1253,'NAO DESO'!A:B,2,0))</f>
        <v>PARAF. PANELA PHILIPS INOX 4,8 X32 PONTA PILOTO</v>
      </c>
      <c r="E1253" s="1194" t="s">
        <v>24</v>
      </c>
      <c r="F1253" s="242">
        <v>20</v>
      </c>
      <c r="G1253" s="242">
        <f>IF(B1253="SEPLAG",VLOOKUP(CONCATENATE("MEDIANA - ",C1253),COTAÇÃO,5,FALSE),VLOOKUP($C1253,'NAO DESO'!$A:$D,4,))</f>
        <v>0.95</v>
      </c>
      <c r="H1253" s="242">
        <f t="shared" si="100"/>
        <v>19</v>
      </c>
      <c r="I1253" s="54">
        <f>IF(B1253="SEPLAG",VLOOKUP(CONCATENATE("MEDIANA - ",C1253),COTAÇÃO,5,FALSE),VLOOKUP($C1253,DESON!$A:$D,4,))</f>
        <v>0.95</v>
      </c>
      <c r="J1253" s="209">
        <f t="shared" si="101"/>
        <v>19</v>
      </c>
    </row>
    <row r="1254" spans="1:10" ht="15" customHeight="1">
      <c r="A1254" s="208" t="s">
        <v>39</v>
      </c>
      <c r="B1254" s="241" t="s">
        <v>14504</v>
      </c>
      <c r="C1254" s="1181" t="s">
        <v>14313</v>
      </c>
      <c r="D1254" s="161" t="str">
        <f>IF(B1254="SEPLAG",VLOOKUP(COMPOSIÇÕES!C1254,'MAPA COMPARATIVO'!A:B,2,FALSE),VLOOKUP(C1254,'NAO DESO'!A:B,2,0))</f>
        <v>PRESILHA DE FIXAÇÃO DO ARREMATE MP-347</v>
      </c>
      <c r="E1254" s="1194" t="s">
        <v>24</v>
      </c>
      <c r="F1254" s="242">
        <v>20</v>
      </c>
      <c r="G1254" s="242">
        <f>IF(B1254="SEPLAG",VLOOKUP(CONCATENATE("MEDIANA - ",C1254),COTAÇÃO,5,FALSE),VLOOKUP($C1254,'NAO DESO'!$A:$D,4,))</f>
        <v>0.34</v>
      </c>
      <c r="H1254" s="242">
        <f t="shared" si="100"/>
        <v>6.8</v>
      </c>
      <c r="I1254" s="54">
        <f>IF(B1254="SEPLAG",VLOOKUP(CONCATENATE("MEDIANA - ",C1254),COTAÇÃO,5,FALSE),VLOOKUP($C1254,DESON!$A:$D,4,))</f>
        <v>0.34</v>
      </c>
      <c r="J1254" s="209">
        <f t="shared" si="101"/>
        <v>6.8</v>
      </c>
    </row>
    <row r="1255" spans="1:10" ht="15" customHeight="1">
      <c r="A1255" s="208" t="s">
        <v>39</v>
      </c>
      <c r="B1255" s="241" t="s">
        <v>14504</v>
      </c>
      <c r="C1255" s="1181" t="s">
        <v>14309</v>
      </c>
      <c r="D1255" s="161" t="str">
        <f>IF(B1255="SEPLAG",VLOOKUP(COMPOSIÇÕES!C1255,'MAPA COMPARATIVO'!A:B,2,FALSE),VLOOKUP(C1255,'NAO DESO'!A:B,2,0))</f>
        <v>Guarnição em EPDM p/ pingadeira</v>
      </c>
      <c r="E1255" s="1194" t="s">
        <v>7388</v>
      </c>
      <c r="F1255" s="242">
        <v>3.75</v>
      </c>
      <c r="G1255" s="242">
        <f>IF(B1255="SEPLAG",VLOOKUP(CONCATENATE("MEDIANA - ",C1255),COTAÇÃO,5,FALSE),VLOOKUP($C1255,'NAO DESO'!$A:$D,4,))</f>
        <v>4.3849999999999998</v>
      </c>
      <c r="H1255" s="242">
        <f t="shared" si="100"/>
        <v>16.440000000000001</v>
      </c>
      <c r="I1255" s="54">
        <f>IF(B1255="SEPLAG",VLOOKUP(CONCATENATE("MEDIANA - ",C1255),COTAÇÃO,5,FALSE),VLOOKUP($C1255,DESON!$A:$D,4,))</f>
        <v>4.3849999999999998</v>
      </c>
      <c r="J1255" s="209">
        <f t="shared" si="101"/>
        <v>16.440000000000001</v>
      </c>
    </row>
    <row r="1256" spans="1:10" ht="15" customHeight="1">
      <c r="A1256" s="208" t="s">
        <v>39</v>
      </c>
      <c r="B1256" s="241" t="s">
        <v>14504</v>
      </c>
      <c r="C1256" s="1181" t="s">
        <v>14316</v>
      </c>
      <c r="D1256" s="161" t="str">
        <f>IF(B1256="SEPLAG",VLOOKUP(COMPOSIÇÕES!C1256,'MAPA COMPARATIVO'!A:B,2,FALSE),VLOOKUP(C1256,'NAO DESO'!A:B,2,0))</f>
        <v>CHUMBADOR DE CM-063/060</v>
      </c>
      <c r="E1256" s="1194" t="s">
        <v>24</v>
      </c>
      <c r="F1256" s="242">
        <v>68</v>
      </c>
      <c r="G1256" s="242">
        <f>IF(B1256="SEPLAG",VLOOKUP(CONCATENATE("MEDIANA - ",C1256),COTAÇÃO,5,FALSE),VLOOKUP($C1256,'NAO DESO'!$A:$D,4,))</f>
        <v>0.86</v>
      </c>
      <c r="H1256" s="242">
        <f t="shared" si="100"/>
        <v>58.48</v>
      </c>
      <c r="I1256" s="54">
        <f>IF(B1256="SEPLAG",VLOOKUP(CONCATENATE("MEDIANA - ",C1256),COTAÇÃO,5,FALSE),VLOOKUP($C1256,DESON!$A:$D,4,))</f>
        <v>0.86</v>
      </c>
      <c r="J1256" s="209">
        <f t="shared" si="101"/>
        <v>58.48</v>
      </c>
    </row>
    <row r="1257" spans="1:10" ht="15" customHeight="1">
      <c r="A1257" s="208" t="s">
        <v>39</v>
      </c>
      <c r="B1257" s="241" t="s">
        <v>14504</v>
      </c>
      <c r="C1257" s="1181" t="s">
        <v>14317</v>
      </c>
      <c r="D1257" s="161" t="str">
        <f>IF(B1257="SEPLAG",VLOOKUP(COMPOSIÇÕES!C1257,'MAPA COMPARATIVO'!A:B,2,FALSE),VLOOKUP(C1257,'NAO DESO'!A:B,2,0))</f>
        <v>Silicone neutro incolor 280 g</v>
      </c>
      <c r="E1257" s="1194" t="s">
        <v>24</v>
      </c>
      <c r="F1257" s="242">
        <v>6</v>
      </c>
      <c r="G1257" s="242">
        <f>IF(B1257="SEPLAG",VLOOKUP(CONCATENATE("MEDIANA - ",C1257),COTAÇÃO,5,FALSE),VLOOKUP($C1257,'NAO DESO'!$A:$D,4,))</f>
        <v>43.9</v>
      </c>
      <c r="H1257" s="242">
        <f t="shared" si="100"/>
        <v>263.39999999999998</v>
      </c>
      <c r="I1257" s="54">
        <f>IF(B1257="SEPLAG",VLOOKUP(CONCATENATE("MEDIANA - ",C1257),COTAÇÃO,5,FALSE),VLOOKUP($C1257,DESON!$A:$D,4,))</f>
        <v>43.9</v>
      </c>
      <c r="J1257" s="209">
        <f t="shared" si="101"/>
        <v>263.39999999999998</v>
      </c>
    </row>
    <row r="1258" spans="1:10" ht="15" customHeight="1">
      <c r="A1258" s="208" t="s">
        <v>245</v>
      </c>
      <c r="B1258" s="241"/>
      <c r="C1258" s="1181">
        <v>10505</v>
      </c>
      <c r="D1258" s="161" t="str">
        <f>IF(B1258="SEPLAG",VLOOKUP(COMPOSIÇÕES!C1258,'MAPA COMPARATIVO'!A:B,2,FALSE),VLOOKUP(C1258,'NAO DESO'!A:B,2,0))</f>
        <v>VIDRO TEMPERADO INCOLOR E = 6 MM, SEM COLOCACAO</v>
      </c>
      <c r="E1258" s="241" t="str">
        <f>VLOOKUP($C1258,'NAO DESO'!$A:$D,3,)</f>
        <v xml:space="preserve">M2    </v>
      </c>
      <c r="F1258" s="242">
        <v>34.94</v>
      </c>
      <c r="G1258" s="242">
        <f>IF(B1258="SEPLAG",VLOOKUP(CONCATENATE("MEDIANA - ",C1258),COTAÇÃO,5,FALSE),VLOOKUP($C1258,'NAO DESO'!$A:$D,4,))</f>
        <v>272.77</v>
      </c>
      <c r="H1258" s="242">
        <f t="shared" si="100"/>
        <v>9530.58</v>
      </c>
      <c r="I1258" s="54" t="str">
        <f>IF(B1258="SEPLAG",VLOOKUP(CONCATENATE("MEDIANA - ",C1258),COTAÇÃO,5,FALSE),VLOOKUP($C1258,DESON!$A:$D,4,))</f>
        <v>272,77</v>
      </c>
      <c r="J1258" s="209">
        <f t="shared" si="101"/>
        <v>9530.58</v>
      </c>
    </row>
    <row r="1259" spans="1:10" ht="15" customHeight="1">
      <c r="A1259" s="208" t="s">
        <v>245</v>
      </c>
      <c r="B1259" s="241"/>
      <c r="C1259" s="1181">
        <v>88315</v>
      </c>
      <c r="D1259" s="161" t="str">
        <f>IF(B1259="SEPLAG",VLOOKUP(COMPOSIÇÕES!C1259,'MAPA COMPARATIVO'!A:B,2,FALSE),VLOOKUP(C1259,'NAO DESO'!A:B,2,0))</f>
        <v>SERRALHEIRO COM ENCARGOS COMPLEMENTARES</v>
      </c>
      <c r="E1259" s="241" t="str">
        <f>VLOOKUP($C1259,'NAO DESO'!$A:$D,3,)</f>
        <v>H</v>
      </c>
      <c r="F1259" s="242">
        <v>36.68</v>
      </c>
      <c r="G1259" s="242" t="str">
        <f>IF(B1259="SEPLAG",VLOOKUP(CONCATENATE("MEDIANA - ",C1259),COTAÇÃO,5,FALSE),VLOOKUP($C1259,'NAO DESO'!$A:$D,4,))</f>
        <v>20,97</v>
      </c>
      <c r="H1259" s="242">
        <f t="shared" si="100"/>
        <v>769.17</v>
      </c>
      <c r="I1259" s="54" t="str">
        <f>IF(B1259="SEPLAG",VLOOKUP(CONCATENATE("MEDIANA - ",C1259),COTAÇÃO,5,FALSE),VLOOKUP($C1259,DESON!$A:$D,4,))</f>
        <v>18,75</v>
      </c>
      <c r="J1259" s="209">
        <f t="shared" si="101"/>
        <v>687.75</v>
      </c>
    </row>
    <row r="1260" spans="1:10" ht="15" customHeight="1">
      <c r="A1260" s="208" t="s">
        <v>245</v>
      </c>
      <c r="B1260" s="241"/>
      <c r="C1260" s="1181">
        <v>88316</v>
      </c>
      <c r="D1260" s="161" t="str">
        <f>IF(B1260="SEPLAG",VLOOKUP(COMPOSIÇÕES!C1260,'MAPA COMPARATIVO'!A:B,2,FALSE),VLOOKUP(C1260,'NAO DESO'!A:B,2,0))</f>
        <v>SERVENTE COM ENCARGOS COMPLEMENTARES</v>
      </c>
      <c r="E1260" s="241" t="str">
        <f>VLOOKUP($C1260,'NAO DESO'!$A:$D,3,)</f>
        <v>H</v>
      </c>
      <c r="F1260" s="242">
        <v>36.68</v>
      </c>
      <c r="G1260" s="242" t="str">
        <f>IF(B1260="SEPLAG",VLOOKUP(CONCATENATE("MEDIANA - ",C1260),COTAÇÃO,5,FALSE),VLOOKUP($C1260,'NAO DESO'!$A:$D,4,))</f>
        <v>16,83</v>
      </c>
      <c r="H1260" s="242">
        <f t="shared" si="100"/>
        <v>617.32000000000005</v>
      </c>
      <c r="I1260" s="54" t="str">
        <f>IF(B1260="SEPLAG",VLOOKUP(CONCATENATE("MEDIANA - ",C1260),COTAÇÃO,5,FALSE),VLOOKUP($C1260,DESON!$A:$D,4,))</f>
        <v>15,16</v>
      </c>
      <c r="J1260" s="209">
        <f t="shared" si="101"/>
        <v>556.05999999999995</v>
      </c>
    </row>
    <row r="1261" spans="1:10" ht="15" customHeight="1">
      <c r="A1261" s="210" t="str">
        <f>CONCATENATE("TOTAL DO ITEM NÃO DESON. - ",C1240)</f>
        <v>TOTAL DO ITEM NÃO DESON. - SEPLAG  ARQ 85</v>
      </c>
      <c r="B1261" s="424"/>
      <c r="C1261" s="424"/>
      <c r="D1261" s="424"/>
      <c r="E1261" s="424"/>
      <c r="F1261" s="425"/>
      <c r="G1261" s="426"/>
      <c r="H1261" s="1182">
        <f>SUM(H1242:H1260)</f>
        <v>16455.599999999999</v>
      </c>
      <c r="I1261" s="214"/>
      <c r="J1261" s="215"/>
    </row>
    <row r="1262" spans="1:10" ht="15.75" customHeight="1" thickBot="1">
      <c r="A1262" s="216" t="str">
        <f>CONCATENATE("TOTAL DO ITEM DESON. - ",C1240)</f>
        <v>TOTAL DO ITEM DESON. - SEPLAG  ARQ 85</v>
      </c>
      <c r="B1262" s="427"/>
      <c r="C1262" s="427"/>
      <c r="D1262" s="427"/>
      <c r="E1262" s="427"/>
      <c r="F1262" s="428"/>
      <c r="G1262" s="429"/>
      <c r="H1262" s="1187"/>
      <c r="I1262" s="229"/>
      <c r="J1262" s="219">
        <f>SUM(J1242:J1260)</f>
        <v>16312.919999999998</v>
      </c>
    </row>
    <row r="1263" spans="1:10" ht="15" customHeight="1" thickBot="1">
      <c r="A1263" s="235"/>
      <c r="B1263" s="1135"/>
      <c r="C1263" s="1135"/>
      <c r="D1263" s="1135"/>
      <c r="E1263" s="1135"/>
      <c r="F1263" s="1188"/>
      <c r="G1263" s="1188"/>
      <c r="H1263" s="1188"/>
      <c r="I1263" s="236"/>
      <c r="J1263" s="237"/>
    </row>
    <row r="1264" spans="1:10" ht="25.5" customHeight="1">
      <c r="A1264" s="198"/>
      <c r="B1264" s="1175"/>
      <c r="C1264" s="1176" t="s">
        <v>7374</v>
      </c>
      <c r="D1264" s="156" t="s">
        <v>7612</v>
      </c>
      <c r="E1264" s="1176" t="s">
        <v>32</v>
      </c>
      <c r="F1264" s="1177" t="s">
        <v>18</v>
      </c>
      <c r="G1264" s="1178" t="s">
        <v>7017</v>
      </c>
      <c r="H1264" s="1179"/>
      <c r="I1264" s="200" t="s">
        <v>7016</v>
      </c>
      <c r="J1264" s="201"/>
    </row>
    <row r="1265" spans="1:10" ht="15" customHeight="1">
      <c r="A1265" s="233"/>
      <c r="B1265" s="247"/>
      <c r="C1265" s="1155"/>
      <c r="D1265" s="157"/>
      <c r="E1265" s="1155"/>
      <c r="F1265" s="1180"/>
      <c r="G1265" s="1180" t="s">
        <v>19</v>
      </c>
      <c r="H1265" s="1180" t="s">
        <v>20</v>
      </c>
      <c r="I1265" s="205" t="s">
        <v>19</v>
      </c>
      <c r="J1265" s="206" t="s">
        <v>20</v>
      </c>
    </row>
    <row r="1266" spans="1:10" ht="15" customHeight="1">
      <c r="A1266" s="208" t="s">
        <v>39</v>
      </c>
      <c r="B1266" s="241"/>
      <c r="C1266" s="241">
        <v>34360</v>
      </c>
      <c r="D1266" s="161" t="s">
        <v>7323</v>
      </c>
      <c r="E1266" s="1194" t="s">
        <v>133</v>
      </c>
      <c r="F1266" s="242">
        <v>10.367000000000001</v>
      </c>
      <c r="G1266" s="242">
        <f>IF(B1266="SEPLAG",VLOOKUP(CONCATENATE("MEDIANA - ",C1266),COTAÇÃO,5,FALSE),VLOOKUP($C1266,'NAO DESO'!$A:$D,4,))</f>
        <v>47.31</v>
      </c>
      <c r="H1266" s="242">
        <f t="shared" ref="H1266:H1290" si="102">TRUNC(F1266*G1266,2)</f>
        <v>490.46</v>
      </c>
      <c r="I1266" s="54" t="str">
        <f>IF(B1266="SEPLAG",VLOOKUP(CONCATENATE("MEDIANA - ",C1266),COTAÇÃO,5,FALSE),VLOOKUP($C1266,DESON!$A:$D,4,))</f>
        <v>47,31</v>
      </c>
      <c r="J1266" s="209">
        <f t="shared" ref="J1266:J1290" si="103">TRUNC(F1266*I1266,2)</f>
        <v>490.46</v>
      </c>
    </row>
    <row r="1267" spans="1:10" ht="15" customHeight="1">
      <c r="A1267" s="208" t="s">
        <v>39</v>
      </c>
      <c r="B1267" s="241"/>
      <c r="C1267" s="241">
        <v>34360</v>
      </c>
      <c r="D1267" s="161" t="s">
        <v>7324</v>
      </c>
      <c r="E1267" s="1194" t="s">
        <v>133</v>
      </c>
      <c r="F1267" s="242">
        <v>1.9590000000000001</v>
      </c>
      <c r="G1267" s="242">
        <f>IF(B1267="SEPLAG",VLOOKUP(CONCATENATE("MEDIANA - ",C1267),COTAÇÃO,5,FALSE),VLOOKUP($C1267,'NAO DESO'!$A:$D,4,))</f>
        <v>47.31</v>
      </c>
      <c r="H1267" s="242">
        <f t="shared" si="102"/>
        <v>92.68</v>
      </c>
      <c r="I1267" s="54" t="str">
        <f>IF(B1267="SEPLAG",VLOOKUP(CONCATENATE("MEDIANA - ",C1267),COTAÇÃO,5,FALSE),VLOOKUP($C1267,DESON!$A:$D,4,))</f>
        <v>47,31</v>
      </c>
      <c r="J1267" s="209">
        <f t="shared" si="103"/>
        <v>92.68</v>
      </c>
    </row>
    <row r="1268" spans="1:10" ht="15" customHeight="1">
      <c r="A1268" s="208" t="s">
        <v>39</v>
      </c>
      <c r="B1268" s="241"/>
      <c r="C1268" s="241">
        <v>34360</v>
      </c>
      <c r="D1268" s="161" t="s">
        <v>7325</v>
      </c>
      <c r="E1268" s="1194" t="s">
        <v>133</v>
      </c>
      <c r="F1268" s="242">
        <v>0.77400000000000002</v>
      </c>
      <c r="G1268" s="242">
        <f>IF(B1268="SEPLAG",VLOOKUP(CONCATENATE("MEDIANA - ",C1268),COTAÇÃO,5,FALSE),VLOOKUP($C1268,'NAO DESO'!$A:$D,4,))</f>
        <v>47.31</v>
      </c>
      <c r="H1268" s="242">
        <f t="shared" si="102"/>
        <v>36.61</v>
      </c>
      <c r="I1268" s="54" t="str">
        <f>IF(B1268="SEPLAG",VLOOKUP(CONCATENATE("MEDIANA - ",C1268),COTAÇÃO,5,FALSE),VLOOKUP($C1268,DESON!$A:$D,4,))</f>
        <v>47,31</v>
      </c>
      <c r="J1268" s="209">
        <f t="shared" si="103"/>
        <v>36.61</v>
      </c>
    </row>
    <row r="1269" spans="1:10" ht="15" customHeight="1">
      <c r="A1269" s="208" t="s">
        <v>39</v>
      </c>
      <c r="B1269" s="241"/>
      <c r="C1269" s="241">
        <v>34360</v>
      </c>
      <c r="D1269" s="161" t="s">
        <v>7326</v>
      </c>
      <c r="E1269" s="1194" t="s">
        <v>133</v>
      </c>
      <c r="F1269" s="242">
        <v>5.1059999999999999</v>
      </c>
      <c r="G1269" s="242">
        <f>IF(B1269="SEPLAG",VLOOKUP(CONCATENATE("MEDIANA - ",C1269),COTAÇÃO,5,FALSE),VLOOKUP($C1269,'NAO DESO'!$A:$D,4,))</f>
        <v>47.31</v>
      </c>
      <c r="H1269" s="242">
        <f t="shared" si="102"/>
        <v>241.56</v>
      </c>
      <c r="I1269" s="54" t="str">
        <f>IF(B1269="SEPLAG",VLOOKUP(CONCATENATE("MEDIANA - ",C1269),COTAÇÃO,5,FALSE),VLOOKUP($C1269,DESON!$A:$D,4,))</f>
        <v>47,31</v>
      </c>
      <c r="J1269" s="209">
        <f t="shared" si="103"/>
        <v>241.56</v>
      </c>
    </row>
    <row r="1270" spans="1:10" ht="15" customHeight="1">
      <c r="A1270" s="208" t="s">
        <v>39</v>
      </c>
      <c r="B1270" s="241"/>
      <c r="C1270" s="241">
        <v>34360</v>
      </c>
      <c r="D1270" s="161" t="s">
        <v>7327</v>
      </c>
      <c r="E1270" s="1194" t="s">
        <v>133</v>
      </c>
      <c r="F1270" s="242">
        <v>8.9459999999999997</v>
      </c>
      <c r="G1270" s="242">
        <f>IF(B1270="SEPLAG",VLOOKUP(CONCATENATE("MEDIANA - ",C1270),COTAÇÃO,5,FALSE),VLOOKUP($C1270,'NAO DESO'!$A:$D,4,))</f>
        <v>47.31</v>
      </c>
      <c r="H1270" s="242">
        <f t="shared" si="102"/>
        <v>423.23</v>
      </c>
      <c r="I1270" s="54" t="str">
        <f>IF(B1270="SEPLAG",VLOOKUP(CONCATENATE("MEDIANA - ",C1270),COTAÇÃO,5,FALSE),VLOOKUP($C1270,DESON!$A:$D,4,))</f>
        <v>47,31</v>
      </c>
      <c r="J1270" s="209">
        <f t="shared" si="103"/>
        <v>423.23</v>
      </c>
    </row>
    <row r="1271" spans="1:10" ht="15" customHeight="1">
      <c r="A1271" s="208" t="s">
        <v>39</v>
      </c>
      <c r="B1271" s="241"/>
      <c r="C1271" s="241">
        <v>34360</v>
      </c>
      <c r="D1271" s="161" t="s">
        <v>7328</v>
      </c>
      <c r="E1271" s="1194" t="s">
        <v>133</v>
      </c>
      <c r="F1271" s="242">
        <v>9.9160000000000004</v>
      </c>
      <c r="G1271" s="242">
        <f>IF(B1271="SEPLAG",VLOOKUP(CONCATENATE("MEDIANA - ",C1271),COTAÇÃO,5,FALSE),VLOOKUP($C1271,'NAO DESO'!$A:$D,4,))</f>
        <v>47.31</v>
      </c>
      <c r="H1271" s="242">
        <f t="shared" si="102"/>
        <v>469.12</v>
      </c>
      <c r="I1271" s="54" t="str">
        <f>IF(B1271="SEPLAG",VLOOKUP(CONCATENATE("MEDIANA - ",C1271),COTAÇÃO,5,FALSE),VLOOKUP($C1271,DESON!$A:$D,4,))</f>
        <v>47,31</v>
      </c>
      <c r="J1271" s="209">
        <f t="shared" si="103"/>
        <v>469.12</v>
      </c>
    </row>
    <row r="1272" spans="1:10" ht="15" customHeight="1">
      <c r="A1272" s="208" t="s">
        <v>39</v>
      </c>
      <c r="B1272" s="241"/>
      <c r="C1272" s="241">
        <v>34360</v>
      </c>
      <c r="D1272" s="161" t="s">
        <v>7329</v>
      </c>
      <c r="E1272" s="1194" t="s">
        <v>133</v>
      </c>
      <c r="F1272" s="242">
        <v>6.94</v>
      </c>
      <c r="G1272" s="242">
        <f>IF(B1272="SEPLAG",VLOOKUP(CONCATENATE("MEDIANA - ",C1272),COTAÇÃO,5,FALSE),VLOOKUP($C1272,'NAO DESO'!$A:$D,4,))</f>
        <v>47.31</v>
      </c>
      <c r="H1272" s="242">
        <f t="shared" si="102"/>
        <v>328.33</v>
      </c>
      <c r="I1272" s="54" t="str">
        <f>IF(B1272="SEPLAG",VLOOKUP(CONCATENATE("MEDIANA - ",C1272),COTAÇÃO,5,FALSE),VLOOKUP($C1272,DESON!$A:$D,4,))</f>
        <v>47,31</v>
      </c>
      <c r="J1272" s="209">
        <f t="shared" si="103"/>
        <v>328.33</v>
      </c>
    </row>
    <row r="1273" spans="1:10" ht="15" customHeight="1">
      <c r="A1273" s="208" t="s">
        <v>39</v>
      </c>
      <c r="B1273" s="241"/>
      <c r="C1273" s="241">
        <v>34360</v>
      </c>
      <c r="D1273" s="161" t="s">
        <v>7330</v>
      </c>
      <c r="E1273" s="1194" t="s">
        <v>133</v>
      </c>
      <c r="F1273" s="242">
        <v>4.9670000000000005</v>
      </c>
      <c r="G1273" s="242">
        <f>IF(B1273="SEPLAG",VLOOKUP(CONCATENATE("MEDIANA - ",C1273),COTAÇÃO,5,FALSE),VLOOKUP($C1273,'NAO DESO'!$A:$D,4,))</f>
        <v>47.31</v>
      </c>
      <c r="H1273" s="242">
        <f t="shared" si="102"/>
        <v>234.98</v>
      </c>
      <c r="I1273" s="54" t="str">
        <f>IF(B1273="SEPLAG",VLOOKUP(CONCATENATE("MEDIANA - ",C1273),COTAÇÃO,5,FALSE),VLOOKUP($C1273,DESON!$A:$D,4,))</f>
        <v>47,31</v>
      </c>
      <c r="J1273" s="209">
        <f t="shared" si="103"/>
        <v>234.98</v>
      </c>
    </row>
    <row r="1274" spans="1:10" ht="15" customHeight="1">
      <c r="A1274" s="208" t="s">
        <v>39</v>
      </c>
      <c r="B1274" s="241"/>
      <c r="C1274" s="241">
        <v>34360</v>
      </c>
      <c r="D1274" s="161" t="s">
        <v>7331</v>
      </c>
      <c r="E1274" s="1194" t="s">
        <v>133</v>
      </c>
      <c r="F1274" s="242">
        <v>21.378</v>
      </c>
      <c r="G1274" s="242">
        <f>IF(B1274="SEPLAG",VLOOKUP(CONCATENATE("MEDIANA - ",C1274),COTAÇÃO,5,FALSE),VLOOKUP($C1274,'NAO DESO'!$A:$D,4,))</f>
        <v>47.31</v>
      </c>
      <c r="H1274" s="242">
        <f t="shared" si="102"/>
        <v>1011.39</v>
      </c>
      <c r="I1274" s="54" t="str">
        <f>IF(B1274="SEPLAG",VLOOKUP(CONCATENATE("MEDIANA - ",C1274),COTAÇÃO,5,FALSE),VLOOKUP($C1274,DESON!$A:$D,4,))</f>
        <v>47,31</v>
      </c>
      <c r="J1274" s="209">
        <f t="shared" si="103"/>
        <v>1011.39</v>
      </c>
    </row>
    <row r="1275" spans="1:10" ht="15" customHeight="1">
      <c r="A1275" s="208" t="s">
        <v>39</v>
      </c>
      <c r="B1275" s="241"/>
      <c r="C1275" s="241">
        <v>34360</v>
      </c>
      <c r="D1275" s="161" t="s">
        <v>7332</v>
      </c>
      <c r="E1275" s="1194" t="s">
        <v>133</v>
      </c>
      <c r="F1275" s="242">
        <v>1.4810000000000001</v>
      </c>
      <c r="G1275" s="242">
        <f>IF(B1275="SEPLAG",VLOOKUP(CONCATENATE("MEDIANA - ",C1275),COTAÇÃO,5,FALSE),VLOOKUP($C1275,'NAO DESO'!$A:$D,4,))</f>
        <v>47.31</v>
      </c>
      <c r="H1275" s="242">
        <f t="shared" si="102"/>
        <v>70.06</v>
      </c>
      <c r="I1275" s="54" t="str">
        <f>IF(B1275="SEPLAG",VLOOKUP(CONCATENATE("MEDIANA - ",C1275),COTAÇÃO,5,FALSE),VLOOKUP($C1275,DESON!$A:$D,4,))</f>
        <v>47,31</v>
      </c>
      <c r="J1275" s="209">
        <f t="shared" si="103"/>
        <v>70.06</v>
      </c>
    </row>
    <row r="1276" spans="1:10" ht="15" customHeight="1">
      <c r="A1276" s="208" t="s">
        <v>39</v>
      </c>
      <c r="B1276" s="241"/>
      <c r="C1276" s="241">
        <v>34360</v>
      </c>
      <c r="D1276" s="161" t="s">
        <v>7333</v>
      </c>
      <c r="E1276" s="1194" t="s">
        <v>133</v>
      </c>
      <c r="F1276" s="242">
        <v>4.5010000000000003</v>
      </c>
      <c r="G1276" s="242">
        <f>IF(B1276="SEPLAG",VLOOKUP(CONCATENATE("MEDIANA - ",C1276),COTAÇÃO,5,FALSE),VLOOKUP($C1276,'NAO DESO'!$A:$D,4,))</f>
        <v>47.31</v>
      </c>
      <c r="H1276" s="242">
        <f t="shared" si="102"/>
        <v>212.94</v>
      </c>
      <c r="I1276" s="54" t="str">
        <f>IF(B1276="SEPLAG",VLOOKUP(CONCATENATE("MEDIANA - ",C1276),COTAÇÃO,5,FALSE),VLOOKUP($C1276,DESON!$A:$D,4,))</f>
        <v>47,31</v>
      </c>
      <c r="J1276" s="209">
        <f t="shared" si="103"/>
        <v>212.94</v>
      </c>
    </row>
    <row r="1277" spans="1:10" ht="15" customHeight="1">
      <c r="A1277" s="208" t="s">
        <v>39</v>
      </c>
      <c r="B1277" s="241" t="s">
        <v>14504</v>
      </c>
      <c r="C1277" s="1181" t="s">
        <v>14307</v>
      </c>
      <c r="D1277" s="161" t="str">
        <f>IF(B1277="SEPLAG",VLOOKUP(COMPOSIÇÕES!C1277,'MAPA COMPARATIVO'!A:B,2,FALSE),VLOOKUP(C1277,'NAO DESO'!A:B,2,0))</f>
        <v xml:space="preserve">Braço de max-ar linha gold de 600mm </v>
      </c>
      <c r="E1277" s="1194" t="s">
        <v>24</v>
      </c>
      <c r="F1277" s="242">
        <v>9</v>
      </c>
      <c r="G1277" s="242">
        <f>IF(B1277="SEPLAG",VLOOKUP(CONCATENATE("MEDIANA - ",C1277),COTAÇÃO,5,FALSE),VLOOKUP($C1277,'NAO DESO'!$A:$D,4,))</f>
        <v>36.575000000000003</v>
      </c>
      <c r="H1277" s="242">
        <f t="shared" si="102"/>
        <v>329.17</v>
      </c>
      <c r="I1277" s="54">
        <f>IF(B1277="SEPLAG",VLOOKUP(CONCATENATE("MEDIANA - ",C1277),COTAÇÃO,5,FALSE),VLOOKUP($C1277,DESON!$A:$D,4,))</f>
        <v>36.575000000000003</v>
      </c>
      <c r="J1277" s="209">
        <f t="shared" si="103"/>
        <v>329.17</v>
      </c>
    </row>
    <row r="1278" spans="1:10" ht="15" customHeight="1">
      <c r="A1278" s="208" t="s">
        <v>39</v>
      </c>
      <c r="B1278" s="241" t="s">
        <v>14504</v>
      </c>
      <c r="C1278" s="1181" t="s">
        <v>14308</v>
      </c>
      <c r="D1278" s="161" t="str">
        <f>IF(B1278="SEPLAG",VLOOKUP(COMPOSIÇÕES!C1278,'MAPA COMPARATIVO'!A:B,2,FALSE),VLOOKUP(C1278,'NAO DESO'!A:B,2,0))</f>
        <v>Fecho max-ar linha gold</v>
      </c>
      <c r="E1278" s="1194" t="s">
        <v>24</v>
      </c>
      <c r="F1278" s="242">
        <v>9</v>
      </c>
      <c r="G1278" s="242">
        <f>IF(B1278="SEPLAG",VLOOKUP(CONCATENATE("MEDIANA - ",C1278),COTAÇÃO,5,FALSE),VLOOKUP($C1278,'NAO DESO'!$A:$D,4,))</f>
        <v>47.36</v>
      </c>
      <c r="H1278" s="242">
        <f t="shared" si="102"/>
        <v>426.24</v>
      </c>
      <c r="I1278" s="54">
        <f>IF(B1278="SEPLAG",VLOOKUP(CONCATENATE("MEDIANA - ",C1278),COTAÇÃO,5,FALSE),VLOOKUP($C1278,DESON!$A:$D,4,))</f>
        <v>47.36</v>
      </c>
      <c r="J1278" s="209">
        <f t="shared" si="103"/>
        <v>426.24</v>
      </c>
    </row>
    <row r="1279" spans="1:10" ht="15" customHeight="1">
      <c r="A1279" s="208" t="s">
        <v>39</v>
      </c>
      <c r="B1279" s="241" t="s">
        <v>14504</v>
      </c>
      <c r="C1279" s="1181" t="s">
        <v>14309</v>
      </c>
      <c r="D1279" s="161" t="str">
        <f>IF(B1279="SEPLAG",VLOOKUP(COMPOSIÇÕES!C1279,'MAPA COMPARATIVO'!A:B,2,FALSE),VLOOKUP(C1279,'NAO DESO'!A:B,2,0))</f>
        <v>Guarnição em EPDM p/ pingadeira</v>
      </c>
      <c r="E1279" s="1194" t="s">
        <v>24</v>
      </c>
      <c r="F1279" s="242">
        <v>9.3719999999999999</v>
      </c>
      <c r="G1279" s="242">
        <f>IF(B1279="SEPLAG",VLOOKUP(CONCATENATE("MEDIANA - ",C1279),COTAÇÃO,5,FALSE),VLOOKUP($C1279,'NAO DESO'!$A:$D,4,))</f>
        <v>4.3849999999999998</v>
      </c>
      <c r="H1279" s="242">
        <f t="shared" si="102"/>
        <v>41.09</v>
      </c>
      <c r="I1279" s="54">
        <f>IF(B1279="SEPLAG",VLOOKUP(CONCATENATE("MEDIANA - ",C1279),COTAÇÃO,5,FALSE),VLOOKUP($C1279,DESON!$A:$D,4,))</f>
        <v>4.3849999999999998</v>
      </c>
      <c r="J1279" s="209">
        <f t="shared" si="103"/>
        <v>41.09</v>
      </c>
    </row>
    <row r="1280" spans="1:10" ht="15" customHeight="1">
      <c r="A1280" s="208" t="s">
        <v>39</v>
      </c>
      <c r="B1280" s="241" t="s">
        <v>14504</v>
      </c>
      <c r="C1280" s="1181" t="s">
        <v>14310</v>
      </c>
      <c r="D1280" s="161" t="str">
        <f>IF(B1280="SEPLAG",VLOOKUP(COMPOSIÇÕES!C1280,'MAPA COMPARATIVO'!A:B,2,FALSE),VLOOKUP(C1280,'NAO DESO'!A:B,2,0))</f>
        <v>Guarnição em EPDM para vidro</v>
      </c>
      <c r="E1280" s="1194" t="s">
        <v>24</v>
      </c>
      <c r="F1280" s="242">
        <v>67.097999999999999</v>
      </c>
      <c r="G1280" s="242">
        <f>IF(B1280="SEPLAG",VLOOKUP(CONCATENATE("MEDIANA - ",C1280),COTAÇÃO,5,FALSE),VLOOKUP($C1280,'NAO DESO'!$A:$D,4,))</f>
        <v>2.4091999999999998</v>
      </c>
      <c r="H1280" s="242">
        <f t="shared" si="102"/>
        <v>161.65</v>
      </c>
      <c r="I1280" s="54">
        <f>IF(B1280="SEPLAG",VLOOKUP(CONCATENATE("MEDIANA - ",C1280),COTAÇÃO,5,FALSE),VLOOKUP($C1280,DESON!$A:$D,4,))</f>
        <v>2.4091999999999998</v>
      </c>
      <c r="J1280" s="209">
        <f t="shared" si="103"/>
        <v>161.65</v>
      </c>
    </row>
    <row r="1281" spans="1:10" ht="15" customHeight="1">
      <c r="A1281" s="208" t="s">
        <v>39</v>
      </c>
      <c r="B1281" s="241" t="s">
        <v>14504</v>
      </c>
      <c r="C1281" s="1181" t="s">
        <v>14311</v>
      </c>
      <c r="D1281" s="161" t="str">
        <f>IF(B1281="SEPLAG",VLOOKUP(COMPOSIÇÕES!C1281,'MAPA COMPARATIVO'!A:B,2,FALSE),VLOOKUP(C1281,'NAO DESO'!A:B,2,0))</f>
        <v>Espuma adesiva 1 face</v>
      </c>
      <c r="E1281" s="1194" t="s">
        <v>24</v>
      </c>
      <c r="F1281" s="242">
        <v>67.097999999999999</v>
      </c>
      <c r="G1281" s="242">
        <f>IF(B1281="SEPLAG",VLOOKUP(CONCATENATE("MEDIANA - ",C1281),COTAÇÃO,5,FALSE),VLOOKUP($C1281,'NAO DESO'!$A:$D,4,))</f>
        <v>2.1800000000000002</v>
      </c>
      <c r="H1281" s="242">
        <f t="shared" si="102"/>
        <v>146.27000000000001</v>
      </c>
      <c r="I1281" s="54">
        <f>IF(B1281="SEPLAG",VLOOKUP(CONCATENATE("MEDIANA - ",C1281),COTAÇÃO,5,FALSE),VLOOKUP($C1281,DESON!$A:$D,4,))</f>
        <v>2.1800000000000002</v>
      </c>
      <c r="J1281" s="209">
        <f t="shared" si="103"/>
        <v>146.27000000000001</v>
      </c>
    </row>
    <row r="1282" spans="1:10" ht="15" customHeight="1">
      <c r="A1282" s="208" t="s">
        <v>39</v>
      </c>
      <c r="B1282" s="241" t="s">
        <v>14504</v>
      </c>
      <c r="C1282" s="1181" t="s">
        <v>14312</v>
      </c>
      <c r="D1282" s="161" t="str">
        <f>IF(B1282="SEPLAG",VLOOKUP(COMPOSIÇÕES!C1282,'MAPA COMPARATIVO'!A:B,2,FALSE),VLOOKUP(C1282,'NAO DESO'!A:B,2,0))</f>
        <v>Guarnição em EPDM p/ marco max-ar</v>
      </c>
      <c r="E1282" s="1194" t="s">
        <v>24</v>
      </c>
      <c r="F1282" s="242">
        <v>72.897999999999996</v>
      </c>
      <c r="G1282" s="242">
        <f>IF(B1282="SEPLAG",VLOOKUP(CONCATENATE("MEDIANA - ",C1282),COTAÇÃO,5,FALSE),VLOOKUP($C1282,'NAO DESO'!$A:$D,4,))</f>
        <v>3.8138999999999998</v>
      </c>
      <c r="H1282" s="242">
        <f t="shared" si="102"/>
        <v>278.02</v>
      </c>
      <c r="I1282" s="54">
        <f>IF(B1282="SEPLAG",VLOOKUP(CONCATENATE("MEDIANA - ",C1282),COTAÇÃO,5,FALSE),VLOOKUP($C1282,DESON!$A:$D,4,))</f>
        <v>3.8138999999999998</v>
      </c>
      <c r="J1282" s="209">
        <f t="shared" si="103"/>
        <v>278.02</v>
      </c>
    </row>
    <row r="1283" spans="1:10" ht="15" customHeight="1">
      <c r="A1283" s="208" t="s">
        <v>39</v>
      </c>
      <c r="B1283" s="241" t="s">
        <v>14504</v>
      </c>
      <c r="C1283" s="1181" t="s">
        <v>14313</v>
      </c>
      <c r="D1283" s="161" t="str">
        <f>IF(B1283="SEPLAG",VLOOKUP(COMPOSIÇÕES!C1283,'MAPA COMPARATIVO'!A:B,2,FALSE),VLOOKUP(C1283,'NAO DESO'!A:B,2,0))</f>
        <v>PRESILHA DE FIXAÇÃO DO ARREMATE MP-347</v>
      </c>
      <c r="E1283" s="1194" t="s">
        <v>24</v>
      </c>
      <c r="F1283" s="242">
        <v>58</v>
      </c>
      <c r="G1283" s="242">
        <f>IF(B1283="SEPLAG",VLOOKUP(CONCATENATE("MEDIANA - ",C1283),COTAÇÃO,5,FALSE),VLOOKUP($C1283,'NAO DESO'!$A:$D,4,))</f>
        <v>0.34</v>
      </c>
      <c r="H1283" s="242">
        <f t="shared" si="102"/>
        <v>19.72</v>
      </c>
      <c r="I1283" s="54">
        <f>IF(B1283="SEPLAG",VLOOKUP(CONCATENATE("MEDIANA - ",C1283),COTAÇÃO,5,FALSE),VLOOKUP($C1283,DESON!$A:$D,4,))</f>
        <v>0.34</v>
      </c>
      <c r="J1283" s="209">
        <f t="shared" si="103"/>
        <v>19.72</v>
      </c>
    </row>
    <row r="1284" spans="1:10" ht="15" customHeight="1">
      <c r="A1284" s="208" t="s">
        <v>39</v>
      </c>
      <c r="B1284" s="241" t="s">
        <v>14504</v>
      </c>
      <c r="C1284" s="1181" t="s">
        <v>14314</v>
      </c>
      <c r="D1284" s="161" t="str">
        <f>IF(B1284="SEPLAG",VLOOKUP(COMPOSIÇÕES!C1284,'MAPA COMPARATIVO'!A:B,2,FALSE),VLOOKUP(C1284,'NAO DESO'!A:B,2,0))</f>
        <v>Parafuso zincado phillips flangeado autobrocante 4,2 x 16mm</v>
      </c>
      <c r="E1284" s="1194" t="s">
        <v>24</v>
      </c>
      <c r="F1284" s="242">
        <v>58</v>
      </c>
      <c r="G1284" s="242">
        <f>IF(B1284="SEPLAG",VLOOKUP(CONCATENATE("MEDIANA - ",C1284),COTAÇÃO,5,FALSE),VLOOKUP($C1284,'NAO DESO'!$A:$D,4,))</f>
        <v>0.28000000000000003</v>
      </c>
      <c r="H1284" s="242">
        <f t="shared" si="102"/>
        <v>16.239999999999998</v>
      </c>
      <c r="I1284" s="54">
        <f>IF(B1284="SEPLAG",VLOOKUP(CONCATENATE("MEDIANA - ",C1284),COTAÇÃO,5,FALSE),VLOOKUP($C1284,DESON!$A:$D,4,))</f>
        <v>0.28000000000000003</v>
      </c>
      <c r="J1284" s="209">
        <f t="shared" si="103"/>
        <v>16.239999999999998</v>
      </c>
    </row>
    <row r="1285" spans="1:10" ht="15" customHeight="1">
      <c r="A1285" s="208" t="s">
        <v>39</v>
      </c>
      <c r="B1285" s="241" t="s">
        <v>14504</v>
      </c>
      <c r="C1285" s="1181" t="s">
        <v>14315</v>
      </c>
      <c r="D1285" s="161" t="str">
        <f>IF(B1285="SEPLAG",VLOOKUP(COMPOSIÇÕES!C1285,'MAPA COMPARATIVO'!A:B,2,FALSE),VLOOKUP(C1285,'NAO DESO'!A:B,2,0))</f>
        <v>PARAF. PANELA PHILIPS INOX 4,8 X32 PONTA PILOTO</v>
      </c>
      <c r="E1285" s="1194" t="s">
        <v>24</v>
      </c>
      <c r="F1285" s="242">
        <v>68</v>
      </c>
      <c r="G1285" s="242">
        <f>IF(B1285="SEPLAG",VLOOKUP(CONCATENATE("MEDIANA - ",C1285),COTAÇÃO,5,FALSE),VLOOKUP($C1285,'NAO DESO'!$A:$D,4,))</f>
        <v>0.95</v>
      </c>
      <c r="H1285" s="242">
        <f t="shared" si="102"/>
        <v>64.599999999999994</v>
      </c>
      <c r="I1285" s="54">
        <f>IF(B1285="SEPLAG",VLOOKUP(CONCATENATE("MEDIANA - ",C1285),COTAÇÃO,5,FALSE),VLOOKUP($C1285,DESON!$A:$D,4,))</f>
        <v>0.95</v>
      </c>
      <c r="J1285" s="209">
        <f t="shared" si="103"/>
        <v>64.599999999999994</v>
      </c>
    </row>
    <row r="1286" spans="1:10" ht="15" customHeight="1">
      <c r="A1286" s="208" t="s">
        <v>39</v>
      </c>
      <c r="B1286" s="241" t="s">
        <v>14504</v>
      </c>
      <c r="C1286" s="1181" t="s">
        <v>14316</v>
      </c>
      <c r="D1286" s="161" t="str">
        <f>IF(B1286="SEPLAG",VLOOKUP(COMPOSIÇÕES!C1286,'MAPA COMPARATIVO'!A:B,2,FALSE),VLOOKUP(C1286,'NAO DESO'!A:B,2,0))</f>
        <v>CHUMBADOR DE CM-063/060</v>
      </c>
      <c r="E1286" s="1194" t="s">
        <v>24</v>
      </c>
      <c r="F1286" s="242">
        <v>58</v>
      </c>
      <c r="G1286" s="242">
        <f>IF(B1286="SEPLAG",VLOOKUP(CONCATENATE("MEDIANA - ",C1286),COTAÇÃO,5,FALSE),VLOOKUP($C1286,'NAO DESO'!$A:$D,4,))</f>
        <v>0.86</v>
      </c>
      <c r="H1286" s="242">
        <f t="shared" si="102"/>
        <v>49.88</v>
      </c>
      <c r="I1286" s="54">
        <f>IF(B1286="SEPLAG",VLOOKUP(CONCATENATE("MEDIANA - ",C1286),COTAÇÃO,5,FALSE),VLOOKUP($C1286,DESON!$A:$D,4,))</f>
        <v>0.86</v>
      </c>
      <c r="J1286" s="209">
        <f t="shared" si="103"/>
        <v>49.88</v>
      </c>
    </row>
    <row r="1287" spans="1:10" ht="15" customHeight="1">
      <c r="A1287" s="208" t="s">
        <v>39</v>
      </c>
      <c r="B1287" s="241" t="s">
        <v>14504</v>
      </c>
      <c r="C1287" s="1181" t="s">
        <v>14317</v>
      </c>
      <c r="D1287" s="161" t="str">
        <f>IF(B1287="SEPLAG",VLOOKUP(COMPOSIÇÕES!C1287,'MAPA COMPARATIVO'!A:B,2,FALSE),VLOOKUP(C1287,'NAO DESO'!A:B,2,0))</f>
        <v>Silicone neutro incolor 280 g</v>
      </c>
      <c r="E1287" s="1194" t="s">
        <v>24</v>
      </c>
      <c r="F1287" s="242">
        <v>4</v>
      </c>
      <c r="G1287" s="242">
        <f>IF(B1287="SEPLAG",VLOOKUP(CONCATENATE("MEDIANA - ",C1287),COTAÇÃO,5,FALSE),VLOOKUP($C1287,'NAO DESO'!$A:$D,4,))</f>
        <v>43.9</v>
      </c>
      <c r="H1287" s="242">
        <f t="shared" si="102"/>
        <v>175.6</v>
      </c>
      <c r="I1287" s="54">
        <f>IF(B1287="SEPLAG",VLOOKUP(CONCATENATE("MEDIANA - ",C1287),COTAÇÃO,5,FALSE),VLOOKUP($C1287,DESON!$A:$D,4,))</f>
        <v>43.9</v>
      </c>
      <c r="J1287" s="209">
        <f t="shared" si="103"/>
        <v>175.6</v>
      </c>
    </row>
    <row r="1288" spans="1:10" ht="15" customHeight="1">
      <c r="A1288" s="208" t="s">
        <v>245</v>
      </c>
      <c r="B1288" s="241"/>
      <c r="C1288" s="1181">
        <v>10505</v>
      </c>
      <c r="D1288" s="161" t="str">
        <f>IF(B1288="SEPLAG",VLOOKUP(COMPOSIÇÕES!C1288,'MAPA COMPARATIVO'!A:B,2,FALSE),VLOOKUP(C1288,'NAO DESO'!A:B,2,0))</f>
        <v>VIDRO TEMPERADO INCOLOR E = 6 MM, SEM COLOCACAO</v>
      </c>
      <c r="E1288" s="241" t="str">
        <f>VLOOKUP($C1288,'NAO DESO'!$A:$D,3,)</f>
        <v xml:space="preserve">M2    </v>
      </c>
      <c r="F1288" s="242">
        <v>14</v>
      </c>
      <c r="G1288" s="242">
        <f>IF(B1288="SEPLAG",VLOOKUP(CONCATENATE("MEDIANA - ",C1288),COTAÇÃO,5,FALSE),VLOOKUP($C1288,'NAO DESO'!$A:$D,4,))</f>
        <v>272.77</v>
      </c>
      <c r="H1288" s="242">
        <f t="shared" si="102"/>
        <v>3818.78</v>
      </c>
      <c r="I1288" s="54" t="str">
        <f>IF(B1288="SEPLAG",VLOOKUP(CONCATENATE("MEDIANA - ",C1288),COTAÇÃO,5,FALSE),VLOOKUP($C1288,DESON!$A:$D,4,))</f>
        <v>272,77</v>
      </c>
      <c r="J1288" s="209">
        <f t="shared" si="103"/>
        <v>3818.78</v>
      </c>
    </row>
    <row r="1289" spans="1:10" ht="15" customHeight="1">
      <c r="A1289" s="208" t="s">
        <v>245</v>
      </c>
      <c r="B1289" s="241"/>
      <c r="C1289" s="1181">
        <v>88315</v>
      </c>
      <c r="D1289" s="161" t="str">
        <f>IF(B1289="SEPLAG",VLOOKUP(COMPOSIÇÕES!C1289,'MAPA COMPARATIVO'!A:B,2,FALSE),VLOOKUP(C1289,'NAO DESO'!A:B,2,0))</f>
        <v>SERRALHEIRO COM ENCARGOS COMPLEMENTARES</v>
      </c>
      <c r="E1289" s="241" t="str">
        <f>VLOOKUP($C1289,'NAO DESO'!$A:$D,3,)</f>
        <v>H</v>
      </c>
      <c r="F1289" s="242">
        <v>46</v>
      </c>
      <c r="G1289" s="242" t="str">
        <f>IF(B1289="SEPLAG",VLOOKUP(CONCATENATE("MEDIANA - ",C1289),COTAÇÃO,5,FALSE),VLOOKUP($C1289,'NAO DESO'!$A:$D,4,))</f>
        <v>20,97</v>
      </c>
      <c r="H1289" s="242">
        <f t="shared" si="102"/>
        <v>964.62</v>
      </c>
      <c r="I1289" s="54" t="str">
        <f>IF(B1289="SEPLAG",VLOOKUP(CONCATENATE("MEDIANA - ",C1289),COTAÇÃO,5,FALSE),VLOOKUP($C1289,DESON!$A:$D,4,))</f>
        <v>18,75</v>
      </c>
      <c r="J1289" s="209">
        <f t="shared" si="103"/>
        <v>862.5</v>
      </c>
    </row>
    <row r="1290" spans="1:10" ht="15" customHeight="1">
      <c r="A1290" s="208" t="s">
        <v>245</v>
      </c>
      <c r="B1290" s="241"/>
      <c r="C1290" s="1181">
        <v>88316</v>
      </c>
      <c r="D1290" s="161" t="str">
        <f>IF(B1290="SEPLAG",VLOOKUP(COMPOSIÇÕES!C1290,'MAPA COMPARATIVO'!A:B,2,FALSE),VLOOKUP(C1290,'NAO DESO'!A:B,2,0))</f>
        <v>SERVENTE COM ENCARGOS COMPLEMENTARES</v>
      </c>
      <c r="E1290" s="241" t="str">
        <f>VLOOKUP($C1290,'NAO DESO'!$A:$D,3,)</f>
        <v>H</v>
      </c>
      <c r="F1290" s="242">
        <v>46</v>
      </c>
      <c r="G1290" s="242" t="str">
        <f>IF(B1290="SEPLAG",VLOOKUP(CONCATENATE("MEDIANA - ",C1290),COTAÇÃO,5,FALSE),VLOOKUP($C1290,'NAO DESO'!$A:$D,4,))</f>
        <v>16,83</v>
      </c>
      <c r="H1290" s="242">
        <f t="shared" si="102"/>
        <v>774.18</v>
      </c>
      <c r="I1290" s="54" t="str">
        <f>IF(B1290="SEPLAG",VLOOKUP(CONCATENATE("MEDIANA - ",C1290),COTAÇÃO,5,FALSE),VLOOKUP($C1290,DESON!$A:$D,4,))</f>
        <v>15,16</v>
      </c>
      <c r="J1290" s="209">
        <f t="shared" si="103"/>
        <v>697.36</v>
      </c>
    </row>
    <row r="1291" spans="1:10" ht="15" customHeight="1">
      <c r="A1291" s="210" t="str">
        <f>CONCATENATE("TOTAL DO ITEM NÃO DESON. - ",C1264)</f>
        <v>TOTAL DO ITEM NÃO DESON. - SEPLAG  ARQ 86</v>
      </c>
      <c r="B1291" s="424"/>
      <c r="C1291" s="424"/>
      <c r="D1291" s="424"/>
      <c r="E1291" s="424"/>
      <c r="F1291" s="425"/>
      <c r="G1291" s="426"/>
      <c r="H1291" s="1182">
        <f>SUM(H1266:H1290)</f>
        <v>10877.420000000002</v>
      </c>
      <c r="I1291" s="214"/>
      <c r="J1291" s="215"/>
    </row>
    <row r="1292" spans="1:10" ht="15.75" customHeight="1" thickBot="1">
      <c r="A1292" s="216" t="str">
        <f>CONCATENATE("TOTAL DO ITEM DESON. - ",C1264)</f>
        <v>TOTAL DO ITEM DESON. - SEPLAG  ARQ 86</v>
      </c>
      <c r="B1292" s="427"/>
      <c r="C1292" s="427"/>
      <c r="D1292" s="427"/>
      <c r="E1292" s="427"/>
      <c r="F1292" s="428"/>
      <c r="G1292" s="429"/>
      <c r="H1292" s="1187"/>
      <c r="I1292" s="229"/>
      <c r="J1292" s="219">
        <f>SUM(J1266:J1290)</f>
        <v>10698.480000000001</v>
      </c>
    </row>
    <row r="1293" spans="1:10" ht="15" customHeight="1" thickBot="1">
      <c r="A1293" s="235"/>
      <c r="B1293" s="1135"/>
      <c r="C1293" s="1135"/>
      <c r="D1293" s="1135"/>
      <c r="E1293" s="1135"/>
      <c r="F1293" s="1188"/>
      <c r="G1293" s="1188"/>
      <c r="H1293" s="1188"/>
      <c r="I1293" s="236"/>
      <c r="J1293" s="237"/>
    </row>
    <row r="1294" spans="1:10" ht="28.5" customHeight="1">
      <c r="A1294" s="198"/>
      <c r="B1294" s="1175"/>
      <c r="C1294" s="1176" t="s">
        <v>7375</v>
      </c>
      <c r="D1294" s="156" t="s">
        <v>7613</v>
      </c>
      <c r="E1294" s="1176" t="s">
        <v>32</v>
      </c>
      <c r="F1294" s="1177" t="s">
        <v>18</v>
      </c>
      <c r="G1294" s="1178" t="s">
        <v>7017</v>
      </c>
      <c r="H1294" s="1179"/>
      <c r="I1294" s="200" t="s">
        <v>7016</v>
      </c>
      <c r="J1294" s="201"/>
    </row>
    <row r="1295" spans="1:10" ht="15" customHeight="1">
      <c r="A1295" s="233"/>
      <c r="B1295" s="247"/>
      <c r="C1295" s="1155"/>
      <c r="D1295" s="157"/>
      <c r="E1295" s="1155"/>
      <c r="F1295" s="1180"/>
      <c r="G1295" s="1180" t="s">
        <v>19</v>
      </c>
      <c r="H1295" s="1180" t="s">
        <v>20</v>
      </c>
      <c r="I1295" s="205" t="s">
        <v>19</v>
      </c>
      <c r="J1295" s="206" t="s">
        <v>20</v>
      </c>
    </row>
    <row r="1296" spans="1:10" ht="15" customHeight="1">
      <c r="A1296" s="208" t="s">
        <v>39</v>
      </c>
      <c r="B1296" s="241"/>
      <c r="C1296" s="241">
        <v>34360</v>
      </c>
      <c r="D1296" s="161" t="s">
        <v>7323</v>
      </c>
      <c r="E1296" s="1194" t="s">
        <v>133</v>
      </c>
      <c r="F1296" s="242">
        <v>1.6830000000000001</v>
      </c>
      <c r="G1296" s="242">
        <f>IF(B1296="SEPLAG",VLOOKUP(CONCATENATE("MEDIANA - ",C1296),COTAÇÃO,5,FALSE),VLOOKUP($C1296,'NAO DESO'!$A:$D,4,))</f>
        <v>47.31</v>
      </c>
      <c r="H1296" s="242">
        <f t="shared" ref="H1296:H1301" si="104">TRUNC(F1296*G1296,2)</f>
        <v>79.62</v>
      </c>
      <c r="I1296" s="54" t="str">
        <f>IF(B1296="SEPLAG",VLOOKUP(CONCATENATE("MEDIANA - ",C1296),COTAÇÃO,5,FALSE),VLOOKUP($C1296,DESON!$A:$D,4,))</f>
        <v>47,31</v>
      </c>
      <c r="J1296" s="209">
        <f t="shared" ref="J1296:J1301" si="105">TRUNC(F1296*I1296,2)</f>
        <v>79.62</v>
      </c>
    </row>
    <row r="1297" spans="1:10" ht="15" customHeight="1">
      <c r="A1297" s="208" t="s">
        <v>39</v>
      </c>
      <c r="B1297" s="241"/>
      <c r="C1297" s="241">
        <v>34360</v>
      </c>
      <c r="D1297" s="161" t="s">
        <v>7324</v>
      </c>
      <c r="E1297" s="1194" t="s">
        <v>133</v>
      </c>
      <c r="F1297" s="242">
        <v>0.873</v>
      </c>
      <c r="G1297" s="242">
        <f>IF(B1297="SEPLAG",VLOOKUP(CONCATENATE("MEDIANA - ",C1297),COTAÇÃO,5,FALSE),VLOOKUP($C1297,'NAO DESO'!$A:$D,4,))</f>
        <v>47.31</v>
      </c>
      <c r="H1297" s="242">
        <f t="shared" si="104"/>
        <v>41.3</v>
      </c>
      <c r="I1297" s="54" t="str">
        <f>IF(B1297="SEPLAG",VLOOKUP(CONCATENATE("MEDIANA - ",C1297),COTAÇÃO,5,FALSE),VLOOKUP($C1297,DESON!$A:$D,4,))</f>
        <v>47,31</v>
      </c>
      <c r="J1297" s="209">
        <f t="shared" si="105"/>
        <v>41.3</v>
      </c>
    </row>
    <row r="1298" spans="1:10" ht="15" customHeight="1">
      <c r="A1298" s="208" t="s">
        <v>39</v>
      </c>
      <c r="B1298" s="241"/>
      <c r="C1298" s="241">
        <v>34360</v>
      </c>
      <c r="D1298" s="161" t="s">
        <v>7325</v>
      </c>
      <c r="E1298" s="1194" t="s">
        <v>133</v>
      </c>
      <c r="F1298" s="242">
        <v>0.34499999999999997</v>
      </c>
      <c r="G1298" s="242">
        <f>IF(B1298="SEPLAG",VLOOKUP(CONCATENATE("MEDIANA - ",C1298),COTAÇÃO,5,FALSE),VLOOKUP($C1298,'NAO DESO'!$A:$D,4,))</f>
        <v>47.31</v>
      </c>
      <c r="H1298" s="242">
        <f t="shared" si="104"/>
        <v>16.32</v>
      </c>
      <c r="I1298" s="54" t="str">
        <f>IF(B1298="SEPLAG",VLOOKUP(CONCATENATE("MEDIANA - ",C1298),COTAÇÃO,5,FALSE),VLOOKUP($C1298,DESON!$A:$D,4,))</f>
        <v>47,31</v>
      </c>
      <c r="J1298" s="209">
        <f t="shared" si="105"/>
        <v>16.32</v>
      </c>
    </row>
    <row r="1299" spans="1:10" ht="15" customHeight="1">
      <c r="A1299" s="208" t="s">
        <v>39</v>
      </c>
      <c r="B1299" s="241"/>
      <c r="C1299" s="241">
        <v>34360</v>
      </c>
      <c r="D1299" s="161" t="s">
        <v>7326</v>
      </c>
      <c r="E1299" s="1194" t="s">
        <v>133</v>
      </c>
      <c r="F1299" s="242">
        <v>1.7939999999999998</v>
      </c>
      <c r="G1299" s="242">
        <f>IF(B1299="SEPLAG",VLOOKUP(CONCATENATE("MEDIANA - ",C1299),COTAÇÃO,5,FALSE),VLOOKUP($C1299,'NAO DESO'!$A:$D,4,))</f>
        <v>47.31</v>
      </c>
      <c r="H1299" s="242">
        <f t="shared" si="104"/>
        <v>84.87</v>
      </c>
      <c r="I1299" s="54" t="str">
        <f>IF(B1299="SEPLAG",VLOOKUP(CONCATENATE("MEDIANA - ",C1299),COTAÇÃO,5,FALSE),VLOOKUP($C1299,DESON!$A:$D,4,))</f>
        <v>47,31</v>
      </c>
      <c r="J1299" s="209">
        <f t="shared" si="105"/>
        <v>84.87</v>
      </c>
    </row>
    <row r="1300" spans="1:10" ht="15" customHeight="1">
      <c r="A1300" s="208" t="s">
        <v>39</v>
      </c>
      <c r="B1300" s="241"/>
      <c r="C1300" s="241">
        <v>34360</v>
      </c>
      <c r="D1300" s="161" t="s">
        <v>7327</v>
      </c>
      <c r="E1300" s="1194" t="s">
        <v>133</v>
      </c>
      <c r="F1300" s="242">
        <v>3.1139999999999999</v>
      </c>
      <c r="G1300" s="242">
        <f>IF(B1300="SEPLAG",VLOOKUP(CONCATENATE("MEDIANA - ",C1300),COTAÇÃO,5,FALSE),VLOOKUP($C1300,'NAO DESO'!$A:$D,4,))</f>
        <v>47.31</v>
      </c>
      <c r="H1300" s="242">
        <f t="shared" si="104"/>
        <v>147.32</v>
      </c>
      <c r="I1300" s="54" t="str">
        <f>IF(B1300="SEPLAG",VLOOKUP(CONCATENATE("MEDIANA - ",C1300),COTAÇÃO,5,FALSE),VLOOKUP($C1300,DESON!$A:$D,4,))</f>
        <v>47,31</v>
      </c>
      <c r="J1300" s="209">
        <f t="shared" si="105"/>
        <v>147.32</v>
      </c>
    </row>
    <row r="1301" spans="1:10" ht="15" customHeight="1">
      <c r="A1301" s="208" t="s">
        <v>39</v>
      </c>
      <c r="B1301" s="241"/>
      <c r="C1301" s="241">
        <v>34360</v>
      </c>
      <c r="D1301" s="161" t="s">
        <v>7328</v>
      </c>
      <c r="E1301" s="1194" t="s">
        <v>133</v>
      </c>
      <c r="F1301" s="242">
        <v>1.2629999999999999</v>
      </c>
      <c r="G1301" s="242">
        <f>IF(B1301="SEPLAG",VLOOKUP(CONCATENATE("MEDIANA - ",C1301),COTAÇÃO,5,FALSE),VLOOKUP($C1301,'NAO DESO'!$A:$D,4,))</f>
        <v>47.31</v>
      </c>
      <c r="H1301" s="242">
        <f t="shared" si="104"/>
        <v>59.75</v>
      </c>
      <c r="I1301" s="54" t="str">
        <f>IF(B1301="SEPLAG",VLOOKUP(CONCATENATE("MEDIANA - ",C1301),COTAÇÃO,5,FALSE),VLOOKUP($C1301,DESON!$A:$D,4,))</f>
        <v>47,31</v>
      </c>
      <c r="J1301" s="209">
        <f t="shared" si="105"/>
        <v>59.75</v>
      </c>
    </row>
    <row r="1302" spans="1:10" ht="15" customHeight="1">
      <c r="A1302" s="208" t="s">
        <v>39</v>
      </c>
      <c r="B1302" s="241"/>
      <c r="C1302" s="241">
        <v>34360</v>
      </c>
      <c r="D1302" s="161" t="s">
        <v>7329</v>
      </c>
      <c r="E1302" s="1194" t="s">
        <v>133</v>
      </c>
      <c r="F1302" s="242">
        <v>0</v>
      </c>
      <c r="G1302" s="242">
        <f>IF(B1302="SEPLAG",VLOOKUP(CONCATENATE("MEDIANA - ",C1302),COTAÇÃO,5,FALSE),VLOOKUP($C1302,'NAO DESO'!$A:$D,4,))</f>
        <v>47.31</v>
      </c>
      <c r="H1302" s="242">
        <f>F1302*G1302</f>
        <v>0</v>
      </c>
      <c r="I1302" s="54" t="str">
        <f>IF(B1302="SEPLAG",VLOOKUP(CONCATENATE("MEDIANA - ",C1302),COTAÇÃO,5,FALSE),VLOOKUP($C1302,DESON!$A:$D,4,))</f>
        <v>47,31</v>
      </c>
      <c r="J1302" s="209">
        <f>F1302*I1302</f>
        <v>0</v>
      </c>
    </row>
    <row r="1303" spans="1:10" ht="15" customHeight="1">
      <c r="A1303" s="208" t="s">
        <v>39</v>
      </c>
      <c r="B1303" s="241"/>
      <c r="C1303" s="241">
        <v>34360</v>
      </c>
      <c r="D1303" s="161" t="s">
        <v>7330</v>
      </c>
      <c r="E1303" s="1194" t="s">
        <v>133</v>
      </c>
      <c r="F1303" s="242">
        <v>0</v>
      </c>
      <c r="G1303" s="242">
        <f>IF(B1303="SEPLAG",VLOOKUP(CONCATENATE("MEDIANA - ",C1303),COTAÇÃO,5,FALSE),VLOOKUP($C1303,'NAO DESO'!$A:$D,4,))</f>
        <v>47.31</v>
      </c>
      <c r="H1303" s="242">
        <f>F1303*G1303</f>
        <v>0</v>
      </c>
      <c r="I1303" s="54" t="str">
        <f>IF(B1303="SEPLAG",VLOOKUP(CONCATENATE("MEDIANA - ",C1303),COTAÇÃO,5,FALSE),VLOOKUP($C1303,DESON!$A:$D,4,))</f>
        <v>47,31</v>
      </c>
      <c r="J1303" s="209">
        <f>F1303*I1303</f>
        <v>0</v>
      </c>
    </row>
    <row r="1304" spans="1:10" ht="15" customHeight="1">
      <c r="A1304" s="208" t="s">
        <v>39</v>
      </c>
      <c r="B1304" s="241"/>
      <c r="C1304" s="241">
        <v>34360</v>
      </c>
      <c r="D1304" s="161" t="s">
        <v>7331</v>
      </c>
      <c r="E1304" s="1194" t="s">
        <v>133</v>
      </c>
      <c r="F1304" s="242">
        <v>5.758</v>
      </c>
      <c r="G1304" s="242">
        <f>IF(B1304="SEPLAG",VLOOKUP(CONCATENATE("MEDIANA - ",C1304),COTAÇÃO,5,FALSE),VLOOKUP($C1304,'NAO DESO'!$A:$D,4,))</f>
        <v>47.31</v>
      </c>
      <c r="H1304" s="242">
        <f t="shared" ref="H1304:H1320" si="106">TRUNC(F1304*G1304,2)</f>
        <v>272.41000000000003</v>
      </c>
      <c r="I1304" s="54" t="str">
        <f>IF(B1304="SEPLAG",VLOOKUP(CONCATENATE("MEDIANA - ",C1304),COTAÇÃO,5,FALSE),VLOOKUP($C1304,DESON!$A:$D,4,))</f>
        <v>47,31</v>
      </c>
      <c r="J1304" s="209">
        <f t="shared" ref="J1304:J1320" si="107">TRUNC(F1304*I1304,2)</f>
        <v>272.41000000000003</v>
      </c>
    </row>
    <row r="1305" spans="1:10" ht="15" customHeight="1">
      <c r="A1305" s="208" t="s">
        <v>39</v>
      </c>
      <c r="B1305" s="241"/>
      <c r="C1305" s="241">
        <v>34360</v>
      </c>
      <c r="D1305" s="161" t="s">
        <v>7332</v>
      </c>
      <c r="E1305" s="1194" t="s">
        <v>133</v>
      </c>
      <c r="F1305" s="242">
        <v>0.47</v>
      </c>
      <c r="G1305" s="242">
        <f>IF(B1305="SEPLAG",VLOOKUP(CONCATENATE("MEDIANA - ",C1305),COTAÇÃO,5,FALSE),VLOOKUP($C1305,'NAO DESO'!$A:$D,4,))</f>
        <v>47.31</v>
      </c>
      <c r="H1305" s="242">
        <f t="shared" si="106"/>
        <v>22.23</v>
      </c>
      <c r="I1305" s="54" t="str">
        <f>IF(B1305="SEPLAG",VLOOKUP(CONCATENATE("MEDIANA - ",C1305),COTAÇÃO,5,FALSE),VLOOKUP($C1305,DESON!$A:$D,4,))</f>
        <v>47,31</v>
      </c>
      <c r="J1305" s="209">
        <f t="shared" si="107"/>
        <v>22.23</v>
      </c>
    </row>
    <row r="1306" spans="1:10" ht="15" customHeight="1">
      <c r="A1306" s="208" t="s">
        <v>39</v>
      </c>
      <c r="B1306" s="241"/>
      <c r="C1306" s="241">
        <v>34360</v>
      </c>
      <c r="D1306" s="161" t="s">
        <v>7333</v>
      </c>
      <c r="E1306" s="1194" t="s">
        <v>133</v>
      </c>
      <c r="F1306" s="242">
        <v>1.5920000000000001</v>
      </c>
      <c r="G1306" s="242">
        <f>IF(B1306="SEPLAG",VLOOKUP(CONCATENATE("MEDIANA - ",C1306),COTAÇÃO,5,FALSE),VLOOKUP($C1306,'NAO DESO'!$A:$D,4,))</f>
        <v>47.31</v>
      </c>
      <c r="H1306" s="242">
        <f t="shared" si="106"/>
        <v>75.31</v>
      </c>
      <c r="I1306" s="54" t="str">
        <f>IF(B1306="SEPLAG",VLOOKUP(CONCATENATE("MEDIANA - ",C1306),COTAÇÃO,5,FALSE),VLOOKUP($C1306,DESON!$A:$D,4,))</f>
        <v>47,31</v>
      </c>
      <c r="J1306" s="209">
        <f t="shared" si="107"/>
        <v>75.31</v>
      </c>
    </row>
    <row r="1307" spans="1:10" ht="15" customHeight="1">
      <c r="A1307" s="208" t="s">
        <v>39</v>
      </c>
      <c r="B1307" s="241" t="s">
        <v>14504</v>
      </c>
      <c r="C1307" s="1181" t="s">
        <v>14307</v>
      </c>
      <c r="D1307" s="161" t="str">
        <f>IF(B1307="SEPLAG",VLOOKUP(COMPOSIÇÕES!C1307,'MAPA COMPARATIVO'!A:B,2,FALSE),VLOOKUP(C1307,'NAO DESO'!A:B,2,0))</f>
        <v xml:space="preserve">Braço de max-ar linha gold de 600mm </v>
      </c>
      <c r="E1307" s="1194" t="s">
        <v>24</v>
      </c>
      <c r="F1307" s="242">
        <v>3</v>
      </c>
      <c r="G1307" s="242">
        <f>IF(B1307="SEPLAG",VLOOKUP(CONCATENATE("MEDIANA - ",C1307),COTAÇÃO,5,FALSE),VLOOKUP($C1307,'NAO DESO'!$A:$D,4,))</f>
        <v>36.575000000000003</v>
      </c>
      <c r="H1307" s="242">
        <f t="shared" si="106"/>
        <v>109.72</v>
      </c>
      <c r="I1307" s="54">
        <f>IF(B1307="SEPLAG",VLOOKUP(CONCATENATE("MEDIANA - ",C1307),COTAÇÃO,5,FALSE),VLOOKUP($C1307,DESON!$A:$D,4,))</f>
        <v>36.575000000000003</v>
      </c>
      <c r="J1307" s="209">
        <f t="shared" si="107"/>
        <v>109.72</v>
      </c>
    </row>
    <row r="1308" spans="1:10" ht="15" customHeight="1">
      <c r="A1308" s="208" t="s">
        <v>39</v>
      </c>
      <c r="B1308" s="241" t="s">
        <v>14504</v>
      </c>
      <c r="C1308" s="1181" t="s">
        <v>14308</v>
      </c>
      <c r="D1308" s="161" t="str">
        <f>IF(B1308="SEPLAG",VLOOKUP(COMPOSIÇÕES!C1308,'MAPA COMPARATIVO'!A:B,2,FALSE),VLOOKUP(C1308,'NAO DESO'!A:B,2,0))</f>
        <v>Fecho max-ar linha gold</v>
      </c>
      <c r="E1308" s="1194" t="s">
        <v>24</v>
      </c>
      <c r="F1308" s="242">
        <v>3</v>
      </c>
      <c r="G1308" s="242">
        <f>IF(B1308="SEPLAG",VLOOKUP(CONCATENATE("MEDIANA - ",C1308),COTAÇÃO,5,FALSE),VLOOKUP($C1308,'NAO DESO'!$A:$D,4,))</f>
        <v>47.36</v>
      </c>
      <c r="H1308" s="242">
        <f t="shared" si="106"/>
        <v>142.08000000000001</v>
      </c>
      <c r="I1308" s="54">
        <f>IF(B1308="SEPLAG",VLOOKUP(CONCATENATE("MEDIANA - ",C1308),COTAÇÃO,5,FALSE),VLOOKUP($C1308,DESON!$A:$D,4,))</f>
        <v>47.36</v>
      </c>
      <c r="J1308" s="209">
        <f t="shared" si="107"/>
        <v>142.08000000000001</v>
      </c>
    </row>
    <row r="1309" spans="1:10" ht="15" customHeight="1">
      <c r="A1309" s="208" t="s">
        <v>39</v>
      </c>
      <c r="B1309" s="241" t="s">
        <v>14504</v>
      </c>
      <c r="C1309" s="1181" t="s">
        <v>14309</v>
      </c>
      <c r="D1309" s="161" t="str">
        <f>IF(B1309="SEPLAG",VLOOKUP(COMPOSIÇÕES!C1309,'MAPA COMPARATIVO'!A:B,2,FALSE),VLOOKUP(C1309,'NAO DESO'!A:B,2,0))</f>
        <v>Guarnição em EPDM p/ pingadeira</v>
      </c>
      <c r="E1309" s="1194" t="s">
        <v>7388</v>
      </c>
      <c r="F1309" s="242">
        <v>2.972</v>
      </c>
      <c r="G1309" s="242">
        <f>IF(B1309="SEPLAG",VLOOKUP(CONCATENATE("MEDIANA - ",C1309),COTAÇÃO,5,FALSE),VLOOKUP($C1309,'NAO DESO'!$A:$D,4,))</f>
        <v>4.3849999999999998</v>
      </c>
      <c r="H1309" s="242">
        <f t="shared" si="106"/>
        <v>13.03</v>
      </c>
      <c r="I1309" s="54">
        <f>IF(B1309="SEPLAG",VLOOKUP(CONCATENATE("MEDIANA - ",C1309),COTAÇÃO,5,FALSE),VLOOKUP($C1309,DESON!$A:$D,4,))</f>
        <v>4.3849999999999998</v>
      </c>
      <c r="J1309" s="209">
        <f t="shared" si="107"/>
        <v>13.03</v>
      </c>
    </row>
    <row r="1310" spans="1:10" ht="15" customHeight="1">
      <c r="A1310" s="208" t="s">
        <v>39</v>
      </c>
      <c r="B1310" s="241" t="s">
        <v>14504</v>
      </c>
      <c r="C1310" s="1181" t="s">
        <v>14310</v>
      </c>
      <c r="D1310" s="161" t="str">
        <f>IF(B1310="SEPLAG",VLOOKUP(COMPOSIÇÕES!C1310,'MAPA COMPARATIVO'!A:B,2,FALSE),VLOOKUP(C1310,'NAO DESO'!A:B,2,0))</f>
        <v>Guarnição em EPDM para vidro</v>
      </c>
      <c r="E1310" s="1194" t="s">
        <v>250</v>
      </c>
      <c r="F1310" s="242">
        <v>10.885999999999999</v>
      </c>
      <c r="G1310" s="242">
        <f>IF(B1310="SEPLAG",VLOOKUP(CONCATENATE("MEDIANA - ",C1310),COTAÇÃO,5,FALSE),VLOOKUP($C1310,'NAO DESO'!$A:$D,4,))</f>
        <v>2.4091999999999998</v>
      </c>
      <c r="H1310" s="242">
        <f t="shared" si="106"/>
        <v>26.22</v>
      </c>
      <c r="I1310" s="54">
        <f>IF(B1310="SEPLAG",VLOOKUP(CONCATENATE("MEDIANA - ",C1310),COTAÇÃO,5,FALSE),VLOOKUP($C1310,DESON!$A:$D,4,))</f>
        <v>2.4091999999999998</v>
      </c>
      <c r="J1310" s="209">
        <f t="shared" si="107"/>
        <v>26.22</v>
      </c>
    </row>
    <row r="1311" spans="1:10" ht="15" customHeight="1">
      <c r="A1311" s="208" t="s">
        <v>39</v>
      </c>
      <c r="B1311" s="241" t="s">
        <v>14504</v>
      </c>
      <c r="C1311" s="1181" t="s">
        <v>14311</v>
      </c>
      <c r="D1311" s="161" t="str">
        <f>IF(B1311="SEPLAG",VLOOKUP(COMPOSIÇÕES!C1311,'MAPA COMPARATIVO'!A:B,2,FALSE),VLOOKUP(C1311,'NAO DESO'!A:B,2,0))</f>
        <v>Espuma adesiva 1 face</v>
      </c>
      <c r="E1311" s="1194" t="s">
        <v>250</v>
      </c>
      <c r="F1311" s="242">
        <v>10.885999999999999</v>
      </c>
      <c r="G1311" s="242">
        <f>IF(B1311="SEPLAG",VLOOKUP(CONCATENATE("MEDIANA - ",C1311),COTAÇÃO,5,FALSE),VLOOKUP($C1311,'NAO DESO'!$A:$D,4,))</f>
        <v>2.1800000000000002</v>
      </c>
      <c r="H1311" s="242">
        <f t="shared" si="106"/>
        <v>23.73</v>
      </c>
      <c r="I1311" s="54">
        <f>IF(B1311="SEPLAG",VLOOKUP(CONCATENATE("MEDIANA - ",C1311),COTAÇÃO,5,FALSE),VLOOKUP($C1311,DESON!$A:$D,4,))</f>
        <v>2.1800000000000002</v>
      </c>
      <c r="J1311" s="209">
        <f t="shared" si="107"/>
        <v>23.73</v>
      </c>
    </row>
    <row r="1312" spans="1:10" ht="15" customHeight="1">
      <c r="A1312" s="208" t="s">
        <v>39</v>
      </c>
      <c r="B1312" s="241" t="s">
        <v>14504</v>
      </c>
      <c r="C1312" s="1181" t="s">
        <v>14312</v>
      </c>
      <c r="D1312" s="161" t="str">
        <f>IF(B1312="SEPLAG",VLOOKUP(COMPOSIÇÕES!C1312,'MAPA COMPARATIVO'!A:B,2,FALSE),VLOOKUP(C1312,'NAO DESO'!A:B,2,0))</f>
        <v>Guarnição em EPDM p/ marco max-ar</v>
      </c>
      <c r="E1312" s="1194" t="s">
        <v>250</v>
      </c>
      <c r="F1312" s="242">
        <v>20.486000000000001</v>
      </c>
      <c r="G1312" s="242">
        <f>IF(B1312="SEPLAG",VLOOKUP(CONCATENATE("MEDIANA - ",C1312),COTAÇÃO,5,FALSE),VLOOKUP($C1312,'NAO DESO'!$A:$D,4,))</f>
        <v>3.8138999999999998</v>
      </c>
      <c r="H1312" s="242">
        <f t="shared" si="106"/>
        <v>78.13</v>
      </c>
      <c r="I1312" s="54">
        <f>IF(B1312="SEPLAG",VLOOKUP(CONCATENATE("MEDIANA - ",C1312),COTAÇÃO,5,FALSE),VLOOKUP($C1312,DESON!$A:$D,4,))</f>
        <v>3.8138999999999998</v>
      </c>
      <c r="J1312" s="209">
        <f t="shared" si="107"/>
        <v>78.13</v>
      </c>
    </row>
    <row r="1313" spans="1:10" ht="15" customHeight="1">
      <c r="A1313" s="208" t="s">
        <v>39</v>
      </c>
      <c r="B1313" s="241" t="s">
        <v>14504</v>
      </c>
      <c r="C1313" s="1181" t="s">
        <v>14313</v>
      </c>
      <c r="D1313" s="161" t="str">
        <f>IF(B1313="SEPLAG",VLOOKUP(COMPOSIÇÕES!C1313,'MAPA COMPARATIVO'!A:B,2,FALSE),VLOOKUP(C1313,'NAO DESO'!A:B,2,0))</f>
        <v>PRESILHA DE FIXAÇÃO DO ARREMATE MP-347</v>
      </c>
      <c r="E1313" s="1194" t="s">
        <v>24</v>
      </c>
      <c r="F1313" s="242">
        <v>22</v>
      </c>
      <c r="G1313" s="242">
        <f>IF(B1313="SEPLAG",VLOOKUP(CONCATENATE("MEDIANA - ",C1313),COTAÇÃO,5,FALSE),VLOOKUP($C1313,'NAO DESO'!$A:$D,4,))</f>
        <v>0.34</v>
      </c>
      <c r="H1313" s="242">
        <f t="shared" si="106"/>
        <v>7.48</v>
      </c>
      <c r="I1313" s="54">
        <f>IF(B1313="SEPLAG",VLOOKUP(CONCATENATE("MEDIANA - ",C1313),COTAÇÃO,5,FALSE),VLOOKUP($C1313,DESON!$A:$D,4,))</f>
        <v>0.34</v>
      </c>
      <c r="J1313" s="209">
        <f t="shared" si="107"/>
        <v>7.48</v>
      </c>
    </row>
    <row r="1314" spans="1:10" ht="15" customHeight="1">
      <c r="A1314" s="208" t="s">
        <v>39</v>
      </c>
      <c r="B1314" s="241" t="s">
        <v>14504</v>
      </c>
      <c r="C1314" s="1181" t="s">
        <v>14314</v>
      </c>
      <c r="D1314" s="161" t="str">
        <f>IF(B1314="SEPLAG",VLOOKUP(COMPOSIÇÕES!C1314,'MAPA COMPARATIVO'!A:B,2,FALSE),VLOOKUP(C1314,'NAO DESO'!A:B,2,0))</f>
        <v>Parafuso zincado phillips flangeado autobrocante 4,2 x 16mm</v>
      </c>
      <c r="E1314" s="1194" t="s">
        <v>24</v>
      </c>
      <c r="F1314" s="242">
        <v>22</v>
      </c>
      <c r="G1314" s="242">
        <f>IF(B1314="SEPLAG",VLOOKUP(CONCATENATE("MEDIANA - ",C1314),COTAÇÃO,5,FALSE),VLOOKUP($C1314,'NAO DESO'!$A:$D,4,))</f>
        <v>0.28000000000000003</v>
      </c>
      <c r="H1314" s="242">
        <f t="shared" si="106"/>
        <v>6.16</v>
      </c>
      <c r="I1314" s="54">
        <f>IF(B1314="SEPLAG",VLOOKUP(CONCATENATE("MEDIANA - ",C1314),COTAÇÃO,5,FALSE),VLOOKUP($C1314,DESON!$A:$D,4,))</f>
        <v>0.28000000000000003</v>
      </c>
      <c r="J1314" s="209">
        <f t="shared" si="107"/>
        <v>6.16</v>
      </c>
    </row>
    <row r="1315" spans="1:10" ht="15" customHeight="1">
      <c r="A1315" s="208" t="s">
        <v>39</v>
      </c>
      <c r="B1315" s="241" t="s">
        <v>14504</v>
      </c>
      <c r="C1315" s="1181" t="s">
        <v>14315</v>
      </c>
      <c r="D1315" s="161" t="str">
        <f>IF(B1315="SEPLAG",VLOOKUP(COMPOSIÇÕES!C1315,'MAPA COMPARATIVO'!A:B,2,FALSE),VLOOKUP(C1315,'NAO DESO'!A:B,2,0))</f>
        <v>PARAF. PANELA PHILIPS INOX 4,8 X32 PONTA PILOTO</v>
      </c>
      <c r="E1315" s="1194" t="s">
        <v>24</v>
      </c>
      <c r="F1315" s="242">
        <v>8</v>
      </c>
      <c r="G1315" s="242">
        <f>IF(B1315="SEPLAG",VLOOKUP(CONCATENATE("MEDIANA - ",C1315),COTAÇÃO,5,FALSE),VLOOKUP($C1315,'NAO DESO'!$A:$D,4,))</f>
        <v>0.95</v>
      </c>
      <c r="H1315" s="242">
        <f t="shared" si="106"/>
        <v>7.6</v>
      </c>
      <c r="I1315" s="54">
        <f>IF(B1315="SEPLAG",VLOOKUP(CONCATENATE("MEDIANA - ",C1315),COTAÇÃO,5,FALSE),VLOOKUP($C1315,DESON!$A:$D,4,))</f>
        <v>0.95</v>
      </c>
      <c r="J1315" s="209">
        <f t="shared" si="107"/>
        <v>7.6</v>
      </c>
    </row>
    <row r="1316" spans="1:10" ht="15" customHeight="1">
      <c r="A1316" s="208" t="s">
        <v>39</v>
      </c>
      <c r="B1316" s="241" t="s">
        <v>14504</v>
      </c>
      <c r="C1316" s="1181" t="s">
        <v>14316</v>
      </c>
      <c r="D1316" s="161" t="str">
        <f>IF(B1316="SEPLAG",VLOOKUP(COMPOSIÇÕES!C1316,'MAPA COMPARATIVO'!A:B,2,FALSE),VLOOKUP(C1316,'NAO DESO'!A:B,2,0))</f>
        <v>CHUMBADOR DE CM-063/060</v>
      </c>
      <c r="E1316" s="1194" t="s">
        <v>24</v>
      </c>
      <c r="F1316" s="242">
        <v>22</v>
      </c>
      <c r="G1316" s="242">
        <f>IF(B1316="SEPLAG",VLOOKUP(CONCATENATE("MEDIANA - ",C1316),COTAÇÃO,5,FALSE),VLOOKUP($C1316,'NAO DESO'!$A:$D,4,))</f>
        <v>0.86</v>
      </c>
      <c r="H1316" s="242">
        <f t="shared" si="106"/>
        <v>18.920000000000002</v>
      </c>
      <c r="I1316" s="54">
        <f>IF(B1316="SEPLAG",VLOOKUP(CONCATENATE("MEDIANA - ",C1316),COTAÇÃO,5,FALSE),VLOOKUP($C1316,DESON!$A:$D,4,))</f>
        <v>0.86</v>
      </c>
      <c r="J1316" s="209">
        <f t="shared" si="107"/>
        <v>18.920000000000002</v>
      </c>
    </row>
    <row r="1317" spans="1:10" ht="15" customHeight="1">
      <c r="A1317" s="208" t="s">
        <v>39</v>
      </c>
      <c r="B1317" s="241" t="s">
        <v>14504</v>
      </c>
      <c r="C1317" s="1181" t="s">
        <v>14317</v>
      </c>
      <c r="D1317" s="161" t="str">
        <f>IF(B1317="SEPLAG",VLOOKUP(COMPOSIÇÕES!C1317,'MAPA COMPARATIVO'!A:B,2,FALSE),VLOOKUP(C1317,'NAO DESO'!A:B,2,0))</f>
        <v>Silicone neutro incolor 280 g</v>
      </c>
      <c r="E1317" s="1194" t="s">
        <v>24</v>
      </c>
      <c r="F1317" s="242">
        <v>1.5</v>
      </c>
      <c r="G1317" s="242">
        <f>IF(B1317="SEPLAG",VLOOKUP(CONCATENATE("MEDIANA - ",C1317),COTAÇÃO,5,FALSE),VLOOKUP($C1317,'NAO DESO'!$A:$D,4,))</f>
        <v>43.9</v>
      </c>
      <c r="H1317" s="242">
        <f t="shared" si="106"/>
        <v>65.849999999999994</v>
      </c>
      <c r="I1317" s="54">
        <f>IF(B1317="SEPLAG",VLOOKUP(CONCATENATE("MEDIANA - ",C1317),COTAÇÃO,5,FALSE),VLOOKUP($C1317,DESON!$A:$D,4,))</f>
        <v>43.9</v>
      </c>
      <c r="J1317" s="209">
        <f t="shared" si="107"/>
        <v>65.849999999999994</v>
      </c>
    </row>
    <row r="1318" spans="1:10" ht="15" customHeight="1">
      <c r="A1318" s="208" t="s">
        <v>245</v>
      </c>
      <c r="B1318" s="241"/>
      <c r="C1318" s="1181">
        <v>10505</v>
      </c>
      <c r="D1318" s="161" t="str">
        <f>IF(B1318="SEPLAG",VLOOKUP(COMPOSIÇÕES!C1318,'MAPA COMPARATIVO'!A:B,2,FALSE),VLOOKUP(C1318,'NAO DESO'!A:B,2,0))</f>
        <v>VIDRO TEMPERADO INCOLOR E = 6 MM, SEM COLOCACAO</v>
      </c>
      <c r="E1318" s="241" t="str">
        <f>VLOOKUP($C1318,'NAO DESO'!$A:$D,3,)</f>
        <v xml:space="preserve">M2    </v>
      </c>
      <c r="F1318" s="242">
        <v>2.7</v>
      </c>
      <c r="G1318" s="242">
        <f>IF(B1318="SEPLAG",VLOOKUP(CONCATENATE("MEDIANA - ",C1318),COTAÇÃO,5,FALSE),VLOOKUP($C1318,'NAO DESO'!$A:$D,4,))</f>
        <v>272.77</v>
      </c>
      <c r="H1318" s="242">
        <f t="shared" si="106"/>
        <v>736.47</v>
      </c>
      <c r="I1318" s="54" t="str">
        <f>IF(B1318="SEPLAG",VLOOKUP(CONCATENATE("MEDIANA - ",C1318),COTAÇÃO,5,FALSE),VLOOKUP($C1318,DESON!$A:$D,4,))</f>
        <v>272,77</v>
      </c>
      <c r="J1318" s="209">
        <f t="shared" si="107"/>
        <v>736.47</v>
      </c>
    </row>
    <row r="1319" spans="1:10" ht="15" customHeight="1">
      <c r="A1319" s="208" t="s">
        <v>245</v>
      </c>
      <c r="B1319" s="241"/>
      <c r="C1319" s="1181">
        <v>88315</v>
      </c>
      <c r="D1319" s="161" t="str">
        <f>IF(B1319="SEPLAG",VLOOKUP(COMPOSIÇÕES!C1319,'MAPA COMPARATIVO'!A:B,2,FALSE),VLOOKUP(C1319,'NAO DESO'!A:B,2,0))</f>
        <v>SERRALHEIRO COM ENCARGOS COMPLEMENTARES</v>
      </c>
      <c r="E1319" s="241" t="str">
        <f>VLOOKUP($C1319,'NAO DESO'!$A:$D,3,)</f>
        <v>H</v>
      </c>
      <c r="F1319" s="242">
        <v>8.8000000000000007</v>
      </c>
      <c r="G1319" s="242" t="str">
        <f>IF(B1319="SEPLAG",VLOOKUP(CONCATENATE("MEDIANA - ",C1319),COTAÇÃO,5,FALSE),VLOOKUP($C1319,'NAO DESO'!$A:$D,4,))</f>
        <v>20,97</v>
      </c>
      <c r="H1319" s="242">
        <f t="shared" si="106"/>
        <v>184.53</v>
      </c>
      <c r="I1319" s="54" t="str">
        <f>IF(B1319="SEPLAG",VLOOKUP(CONCATENATE("MEDIANA - ",C1319),COTAÇÃO,5,FALSE),VLOOKUP($C1319,DESON!$A:$D,4,))</f>
        <v>18,75</v>
      </c>
      <c r="J1319" s="209">
        <f t="shared" si="107"/>
        <v>165</v>
      </c>
    </row>
    <row r="1320" spans="1:10" ht="15" customHeight="1">
      <c r="A1320" s="208" t="s">
        <v>245</v>
      </c>
      <c r="B1320" s="241"/>
      <c r="C1320" s="1181">
        <v>88316</v>
      </c>
      <c r="D1320" s="161" t="str">
        <f>IF(B1320="SEPLAG",VLOOKUP(COMPOSIÇÕES!C1320,'MAPA COMPARATIVO'!A:B,2,FALSE),VLOOKUP(C1320,'NAO DESO'!A:B,2,0))</f>
        <v>SERVENTE COM ENCARGOS COMPLEMENTARES</v>
      </c>
      <c r="E1320" s="241" t="str">
        <f>VLOOKUP($C1320,'NAO DESO'!$A:$D,3,)</f>
        <v>H</v>
      </c>
      <c r="F1320" s="242">
        <v>8.8000000000000007</v>
      </c>
      <c r="G1320" s="242" t="str">
        <f>IF(B1320="SEPLAG",VLOOKUP(CONCATENATE("MEDIANA - ",C1320),COTAÇÃO,5,FALSE),VLOOKUP($C1320,'NAO DESO'!$A:$D,4,))</f>
        <v>16,83</v>
      </c>
      <c r="H1320" s="242">
        <f t="shared" si="106"/>
        <v>148.1</v>
      </c>
      <c r="I1320" s="54" t="str">
        <f>IF(B1320="SEPLAG",VLOOKUP(CONCATENATE("MEDIANA - ",C1320),COTAÇÃO,5,FALSE),VLOOKUP($C1320,DESON!$A:$D,4,))</f>
        <v>15,16</v>
      </c>
      <c r="J1320" s="209">
        <f t="shared" si="107"/>
        <v>133.4</v>
      </c>
    </row>
    <row r="1321" spans="1:10" ht="15" customHeight="1">
      <c r="A1321" s="210" t="str">
        <f>CONCATENATE("TOTAL DO ITEM NÃO DESON. - ",C1294)</f>
        <v>TOTAL DO ITEM NÃO DESON. - SEPLAG  ARQ 87</v>
      </c>
      <c r="B1321" s="424"/>
      <c r="C1321" s="424"/>
      <c r="D1321" s="424"/>
      <c r="E1321" s="424"/>
      <c r="F1321" s="425"/>
      <c r="G1321" s="426"/>
      <c r="H1321" s="1182">
        <f>SUM(H1296:H1320)</f>
        <v>2367.15</v>
      </c>
      <c r="I1321" s="214"/>
      <c r="J1321" s="215"/>
    </row>
    <row r="1322" spans="1:10" ht="15.75" customHeight="1" thickBot="1">
      <c r="A1322" s="216" t="str">
        <f>CONCATENATE("TOTAL DO ITEM DESON. - ",C1294)</f>
        <v>TOTAL DO ITEM DESON. - SEPLAG  ARQ 87</v>
      </c>
      <c r="B1322" s="427"/>
      <c r="C1322" s="427"/>
      <c r="D1322" s="427"/>
      <c r="E1322" s="427"/>
      <c r="F1322" s="428"/>
      <c r="G1322" s="429"/>
      <c r="H1322" s="1187"/>
      <c r="I1322" s="229"/>
      <c r="J1322" s="219">
        <f>SUM(J1296:J1320)</f>
        <v>2332.92</v>
      </c>
    </row>
    <row r="1323" spans="1:10" ht="15" customHeight="1" thickBot="1">
      <c r="A1323" s="235"/>
      <c r="B1323" s="1135"/>
      <c r="C1323" s="1135"/>
      <c r="D1323" s="1135"/>
      <c r="E1323" s="1135"/>
      <c r="F1323" s="1188"/>
      <c r="G1323" s="1188"/>
      <c r="H1323" s="1188"/>
      <c r="I1323" s="236"/>
      <c r="J1323" s="237"/>
    </row>
    <row r="1324" spans="1:10" ht="26.25" customHeight="1">
      <c r="A1324" s="198"/>
      <c r="B1324" s="1175"/>
      <c r="C1324" s="1176" t="s">
        <v>7376</v>
      </c>
      <c r="D1324" s="156" t="s">
        <v>13087</v>
      </c>
      <c r="E1324" s="1176" t="s">
        <v>32</v>
      </c>
      <c r="F1324" s="1177" t="s">
        <v>18</v>
      </c>
      <c r="G1324" s="1178" t="s">
        <v>7017</v>
      </c>
      <c r="H1324" s="1179"/>
      <c r="I1324" s="200" t="s">
        <v>7016</v>
      </c>
      <c r="J1324" s="201"/>
    </row>
    <row r="1325" spans="1:10" ht="15" customHeight="1">
      <c r="A1325" s="233"/>
      <c r="B1325" s="247"/>
      <c r="C1325" s="1155"/>
      <c r="D1325" s="157"/>
      <c r="E1325" s="1155"/>
      <c r="F1325" s="1180"/>
      <c r="G1325" s="1180" t="s">
        <v>19</v>
      </c>
      <c r="H1325" s="1180" t="s">
        <v>20</v>
      </c>
      <c r="I1325" s="205" t="s">
        <v>19</v>
      </c>
      <c r="J1325" s="206" t="s">
        <v>20</v>
      </c>
    </row>
    <row r="1326" spans="1:10" ht="15" customHeight="1">
      <c r="A1326" s="208" t="s">
        <v>39</v>
      </c>
      <c r="B1326" s="241"/>
      <c r="C1326" s="241">
        <v>34360</v>
      </c>
      <c r="D1326" s="161" t="s">
        <v>7323</v>
      </c>
      <c r="E1326" s="1194" t="s">
        <v>133</v>
      </c>
      <c r="F1326" s="242">
        <v>5.4019999999999992</v>
      </c>
      <c r="G1326" s="242">
        <f>IF(B1326="SEPLAG",VLOOKUP(CONCATENATE("MEDIANA - ",C1326),COTAÇÃO,5,FALSE),VLOOKUP($C1326,'NAO DESO'!$A:$D,4,))</f>
        <v>47.31</v>
      </c>
      <c r="H1326" s="242">
        <f t="shared" ref="H1326:H1331" si="108">TRUNC(F1326*G1326,2)</f>
        <v>255.56</v>
      </c>
      <c r="I1326" s="54" t="str">
        <f>IF(B1326="SEPLAG",VLOOKUP(CONCATENATE("MEDIANA - ",C1326),COTAÇÃO,5,FALSE),VLOOKUP($C1326,DESON!$A:$D,4,))</f>
        <v>47,31</v>
      </c>
      <c r="J1326" s="209">
        <f t="shared" ref="J1326:J1331" si="109">TRUNC(F1326*I1326,2)</f>
        <v>255.56</v>
      </c>
    </row>
    <row r="1327" spans="1:10" ht="15" customHeight="1">
      <c r="A1327" s="208" t="s">
        <v>39</v>
      </c>
      <c r="B1327" s="241"/>
      <c r="C1327" s="241">
        <v>34360</v>
      </c>
      <c r="D1327" s="161" t="s">
        <v>7324</v>
      </c>
      <c r="E1327" s="1194" t="s">
        <v>133</v>
      </c>
      <c r="F1327" s="242">
        <v>2.14</v>
      </c>
      <c r="G1327" s="242">
        <f>IF(B1327="SEPLAG",VLOOKUP(CONCATENATE("MEDIANA - ",C1327),COTAÇÃO,5,FALSE),VLOOKUP($C1327,'NAO DESO'!$A:$D,4,))</f>
        <v>47.31</v>
      </c>
      <c r="H1327" s="242">
        <f t="shared" si="108"/>
        <v>101.24</v>
      </c>
      <c r="I1327" s="54" t="str">
        <f>IF(B1327="SEPLAG",VLOOKUP(CONCATENATE("MEDIANA - ",C1327),COTAÇÃO,5,FALSE),VLOOKUP($C1327,DESON!$A:$D,4,))</f>
        <v>47,31</v>
      </c>
      <c r="J1327" s="209">
        <f t="shared" si="109"/>
        <v>101.24</v>
      </c>
    </row>
    <row r="1328" spans="1:10" ht="15" customHeight="1">
      <c r="A1328" s="208" t="s">
        <v>39</v>
      </c>
      <c r="B1328" s="241"/>
      <c r="C1328" s="241">
        <v>34360</v>
      </c>
      <c r="D1328" s="161" t="s">
        <v>7325</v>
      </c>
      <c r="E1328" s="1194" t="s">
        <v>133</v>
      </c>
      <c r="F1328" s="242">
        <v>0.84499999999999997</v>
      </c>
      <c r="G1328" s="242">
        <f>IF(B1328="SEPLAG",VLOOKUP(CONCATENATE("MEDIANA - ",C1328),COTAÇÃO,5,FALSE),VLOOKUP($C1328,'NAO DESO'!$A:$D,4,))</f>
        <v>47.31</v>
      </c>
      <c r="H1328" s="242">
        <f t="shared" si="108"/>
        <v>39.97</v>
      </c>
      <c r="I1328" s="54" t="str">
        <f>IF(B1328="SEPLAG",VLOOKUP(CONCATENATE("MEDIANA - ",C1328),COTAÇÃO,5,FALSE),VLOOKUP($C1328,DESON!$A:$D,4,))</f>
        <v>47,31</v>
      </c>
      <c r="J1328" s="209">
        <f t="shared" si="109"/>
        <v>39.97</v>
      </c>
    </row>
    <row r="1329" spans="1:10" ht="15" customHeight="1">
      <c r="A1329" s="208" t="s">
        <v>39</v>
      </c>
      <c r="B1329" s="241"/>
      <c r="C1329" s="241">
        <v>34360</v>
      </c>
      <c r="D1329" s="161" t="s">
        <v>7326</v>
      </c>
      <c r="E1329" s="1194" t="s">
        <v>133</v>
      </c>
      <c r="F1329" s="242">
        <v>5.1060000000000008</v>
      </c>
      <c r="G1329" s="242">
        <f>IF(B1329="SEPLAG",VLOOKUP(CONCATENATE("MEDIANA - ",C1329),COTAÇÃO,5,FALSE),VLOOKUP($C1329,'NAO DESO'!$A:$D,4,))</f>
        <v>47.31</v>
      </c>
      <c r="H1329" s="242">
        <f t="shared" si="108"/>
        <v>241.56</v>
      </c>
      <c r="I1329" s="54" t="str">
        <f>IF(B1329="SEPLAG",VLOOKUP(CONCATENATE("MEDIANA - ",C1329),COTAÇÃO,5,FALSE),VLOOKUP($C1329,DESON!$A:$D,4,))</f>
        <v>47,31</v>
      </c>
      <c r="J1329" s="209">
        <f t="shared" si="109"/>
        <v>241.56</v>
      </c>
    </row>
    <row r="1330" spans="1:10" ht="15" customHeight="1">
      <c r="A1330" s="208" t="s">
        <v>39</v>
      </c>
      <c r="B1330" s="241"/>
      <c r="C1330" s="241">
        <v>34360</v>
      </c>
      <c r="D1330" s="161" t="s">
        <v>7327</v>
      </c>
      <c r="E1330" s="1194" t="s">
        <v>133</v>
      </c>
      <c r="F1330" s="242">
        <v>8.9459999999999997</v>
      </c>
      <c r="G1330" s="242">
        <f>IF(B1330="SEPLAG",VLOOKUP(CONCATENATE("MEDIANA - ",C1330),COTAÇÃO,5,FALSE),VLOOKUP($C1330,'NAO DESO'!$A:$D,4,))</f>
        <v>47.31</v>
      </c>
      <c r="H1330" s="242">
        <f t="shared" si="108"/>
        <v>423.23</v>
      </c>
      <c r="I1330" s="54" t="str">
        <f>IF(B1330="SEPLAG",VLOOKUP(CONCATENATE("MEDIANA - ",C1330),COTAÇÃO,5,FALSE),VLOOKUP($C1330,DESON!$A:$D,4,))</f>
        <v>47,31</v>
      </c>
      <c r="J1330" s="209">
        <f t="shared" si="109"/>
        <v>423.23</v>
      </c>
    </row>
    <row r="1331" spans="1:10" ht="15" customHeight="1">
      <c r="A1331" s="208" t="s">
        <v>39</v>
      </c>
      <c r="B1331" s="241"/>
      <c r="C1331" s="241">
        <v>34360</v>
      </c>
      <c r="D1331" s="161" t="s">
        <v>7328</v>
      </c>
      <c r="E1331" s="1194" t="s">
        <v>133</v>
      </c>
      <c r="F1331" s="242">
        <v>5</v>
      </c>
      <c r="G1331" s="242">
        <f>IF(B1331="SEPLAG",VLOOKUP(CONCATENATE("MEDIANA - ",C1331),COTAÇÃO,5,FALSE),VLOOKUP($C1331,'NAO DESO'!$A:$D,4,))</f>
        <v>47.31</v>
      </c>
      <c r="H1331" s="242">
        <f t="shared" si="108"/>
        <v>236.55</v>
      </c>
      <c r="I1331" s="54" t="str">
        <f>IF(B1331="SEPLAG",VLOOKUP(CONCATENATE("MEDIANA - ",C1331),COTAÇÃO,5,FALSE),VLOOKUP($C1331,DESON!$A:$D,4,))</f>
        <v>47,31</v>
      </c>
      <c r="J1331" s="209">
        <f t="shared" si="109"/>
        <v>236.55</v>
      </c>
    </row>
    <row r="1332" spans="1:10" ht="15" customHeight="1">
      <c r="A1332" s="208" t="s">
        <v>39</v>
      </c>
      <c r="B1332" s="241"/>
      <c r="C1332" s="241">
        <v>34360</v>
      </c>
      <c r="D1332" s="161" t="s">
        <v>7329</v>
      </c>
      <c r="E1332" s="1194" t="s">
        <v>133</v>
      </c>
      <c r="F1332" s="242"/>
      <c r="G1332" s="242">
        <f>IF(B1332="SEPLAG",VLOOKUP(CONCATENATE("MEDIANA - ",C1332),COTAÇÃO,5,FALSE),VLOOKUP($C1332,'NAO DESO'!$A:$D,4,))</f>
        <v>47.31</v>
      </c>
      <c r="H1332" s="242">
        <f>F1332*G1332</f>
        <v>0</v>
      </c>
      <c r="I1332" s="54" t="str">
        <f>IF(B1332="SEPLAG",VLOOKUP(CONCATENATE("MEDIANA - ",C1332),COTAÇÃO,5,FALSE),VLOOKUP($C1332,DESON!$A:$D,4,))</f>
        <v>47,31</v>
      </c>
      <c r="J1332" s="209">
        <f>F1332*I1332</f>
        <v>0</v>
      </c>
    </row>
    <row r="1333" spans="1:10" ht="15" customHeight="1">
      <c r="A1333" s="208" t="s">
        <v>39</v>
      </c>
      <c r="B1333" s="241"/>
      <c r="C1333" s="241">
        <v>34360</v>
      </c>
      <c r="D1333" s="161" t="s">
        <v>7330</v>
      </c>
      <c r="E1333" s="1194" t="s">
        <v>133</v>
      </c>
      <c r="F1333" s="242">
        <v>0</v>
      </c>
      <c r="G1333" s="242">
        <f>IF(B1333="SEPLAG",VLOOKUP(CONCATENATE("MEDIANA - ",C1333),COTAÇÃO,5,FALSE),VLOOKUP($C1333,'NAO DESO'!$A:$D,4,))</f>
        <v>47.31</v>
      </c>
      <c r="H1333" s="242">
        <f>F1333*G1333</f>
        <v>0</v>
      </c>
      <c r="I1333" s="54" t="str">
        <f>IF(B1333="SEPLAG",VLOOKUP(CONCATENATE("MEDIANA - ",C1333),COTAÇÃO,5,FALSE),VLOOKUP($C1333,DESON!$A:$D,4,))</f>
        <v>47,31</v>
      </c>
      <c r="J1333" s="209">
        <f>F1333*I1333</f>
        <v>0</v>
      </c>
    </row>
    <row r="1334" spans="1:10" ht="15" customHeight="1">
      <c r="A1334" s="208" t="s">
        <v>39</v>
      </c>
      <c r="B1334" s="241"/>
      <c r="C1334" s="241">
        <v>34360</v>
      </c>
      <c r="D1334" s="161" t="s">
        <v>7331</v>
      </c>
      <c r="E1334" s="1194" t="s">
        <v>133</v>
      </c>
      <c r="F1334" s="242">
        <v>18.546999999999997</v>
      </c>
      <c r="G1334" s="242">
        <f>IF(B1334="SEPLAG",VLOOKUP(CONCATENATE("MEDIANA - ",C1334),COTAÇÃO,5,FALSE),VLOOKUP($C1334,'NAO DESO'!$A:$D,4,))</f>
        <v>47.31</v>
      </c>
      <c r="H1334" s="242">
        <f t="shared" ref="H1334:H1350" si="110">TRUNC(F1334*G1334,2)</f>
        <v>877.45</v>
      </c>
      <c r="I1334" s="54" t="str">
        <f>IF(B1334="SEPLAG",VLOOKUP(CONCATENATE("MEDIANA - ",C1334),COTAÇÃO,5,FALSE),VLOOKUP($C1334,DESON!$A:$D,4,))</f>
        <v>47,31</v>
      </c>
      <c r="J1334" s="209">
        <f t="shared" ref="J1334:J1350" si="111">TRUNC(F1334*I1334,2)</f>
        <v>877.45</v>
      </c>
    </row>
    <row r="1335" spans="1:10" ht="15" customHeight="1">
      <c r="A1335" s="208" t="s">
        <v>39</v>
      </c>
      <c r="B1335" s="241"/>
      <c r="C1335" s="241">
        <v>34360</v>
      </c>
      <c r="D1335" s="161" t="s">
        <v>7332</v>
      </c>
      <c r="E1335" s="1194" t="s">
        <v>133</v>
      </c>
      <c r="F1335" s="242">
        <v>1.623</v>
      </c>
      <c r="G1335" s="242">
        <f>IF(B1335="SEPLAG",VLOOKUP(CONCATENATE("MEDIANA - ",C1335),COTAÇÃO,5,FALSE),VLOOKUP($C1335,'NAO DESO'!$A:$D,4,))</f>
        <v>47.31</v>
      </c>
      <c r="H1335" s="242">
        <f t="shared" si="110"/>
        <v>76.78</v>
      </c>
      <c r="I1335" s="54" t="str">
        <f>IF(B1335="SEPLAG",VLOOKUP(CONCATENATE("MEDIANA - ",C1335),COTAÇÃO,5,FALSE),VLOOKUP($C1335,DESON!$A:$D,4,))</f>
        <v>47,31</v>
      </c>
      <c r="J1335" s="209">
        <f t="shared" si="111"/>
        <v>76.78</v>
      </c>
    </row>
    <row r="1336" spans="1:10" ht="15" customHeight="1">
      <c r="A1336" s="208" t="s">
        <v>39</v>
      </c>
      <c r="B1336" s="241"/>
      <c r="C1336" s="241">
        <v>34360</v>
      </c>
      <c r="D1336" s="161" t="s">
        <v>7333</v>
      </c>
      <c r="E1336" s="1194" t="s">
        <v>133</v>
      </c>
      <c r="F1336" s="242">
        <v>4.5</v>
      </c>
      <c r="G1336" s="242">
        <f>IF(B1336="SEPLAG",VLOOKUP(CONCATENATE("MEDIANA - ",C1336),COTAÇÃO,5,FALSE),VLOOKUP($C1336,'NAO DESO'!$A:$D,4,))</f>
        <v>47.31</v>
      </c>
      <c r="H1336" s="242">
        <f t="shared" si="110"/>
        <v>212.89</v>
      </c>
      <c r="I1336" s="54" t="str">
        <f>IF(B1336="SEPLAG",VLOOKUP(CONCATENATE("MEDIANA - ",C1336),COTAÇÃO,5,FALSE),VLOOKUP($C1336,DESON!$A:$D,4,))</f>
        <v>47,31</v>
      </c>
      <c r="J1336" s="209">
        <f t="shared" si="111"/>
        <v>212.89</v>
      </c>
    </row>
    <row r="1337" spans="1:10" ht="15" customHeight="1">
      <c r="A1337" s="208" t="s">
        <v>39</v>
      </c>
      <c r="B1337" s="241" t="s">
        <v>14504</v>
      </c>
      <c r="C1337" s="1181" t="s">
        <v>14307</v>
      </c>
      <c r="D1337" s="161" t="str">
        <f>IF(B1337="SEPLAG",VLOOKUP(COMPOSIÇÕES!C1337,'MAPA COMPARATIVO'!A:B,2,FALSE),VLOOKUP(C1337,'NAO DESO'!A:B,2,0))</f>
        <v xml:space="preserve">Braço de max-ar linha gold de 600mm </v>
      </c>
      <c r="E1337" s="1194" t="s">
        <v>24</v>
      </c>
      <c r="F1337" s="242">
        <v>10</v>
      </c>
      <c r="G1337" s="242">
        <f>IF(B1337="SEPLAG",VLOOKUP(CONCATENATE("MEDIANA - ",C1337),COTAÇÃO,5,FALSE),VLOOKUP($C1337,'NAO DESO'!$A:$D,4,))</f>
        <v>36.575000000000003</v>
      </c>
      <c r="H1337" s="242">
        <f t="shared" si="110"/>
        <v>365.75</v>
      </c>
      <c r="I1337" s="54">
        <f>IF(B1337="SEPLAG",VLOOKUP(CONCATENATE("MEDIANA - ",C1337),COTAÇÃO,5,FALSE),VLOOKUP($C1337,DESON!$A:$D,4,))</f>
        <v>36.575000000000003</v>
      </c>
      <c r="J1337" s="209">
        <f t="shared" si="111"/>
        <v>365.75</v>
      </c>
    </row>
    <row r="1338" spans="1:10" ht="15" customHeight="1">
      <c r="A1338" s="208" t="s">
        <v>39</v>
      </c>
      <c r="B1338" s="241" t="s">
        <v>14504</v>
      </c>
      <c r="C1338" s="1181" t="s">
        <v>14308</v>
      </c>
      <c r="D1338" s="161" t="str">
        <f>IF(B1338="SEPLAG",VLOOKUP(COMPOSIÇÕES!C1338,'MAPA COMPARATIVO'!A:B,2,FALSE),VLOOKUP(C1338,'NAO DESO'!A:B,2,0))</f>
        <v>Fecho max-ar linha gold</v>
      </c>
      <c r="E1338" s="1194" t="s">
        <v>24</v>
      </c>
      <c r="F1338" s="242">
        <v>10</v>
      </c>
      <c r="G1338" s="242">
        <f>IF(B1338="SEPLAG",VLOOKUP(CONCATENATE("MEDIANA - ",C1338),COTAÇÃO,5,FALSE),VLOOKUP($C1338,'NAO DESO'!$A:$D,4,))</f>
        <v>47.36</v>
      </c>
      <c r="H1338" s="242">
        <f t="shared" si="110"/>
        <v>473.6</v>
      </c>
      <c r="I1338" s="54">
        <f>IF(B1338="SEPLAG",VLOOKUP(CONCATENATE("MEDIANA - ",C1338),COTAÇÃO,5,FALSE),VLOOKUP($C1338,DESON!$A:$D,4,))</f>
        <v>47.36</v>
      </c>
      <c r="J1338" s="209">
        <f t="shared" si="111"/>
        <v>473.6</v>
      </c>
    </row>
    <row r="1339" spans="1:10" ht="15" customHeight="1">
      <c r="A1339" s="208" t="s">
        <v>39</v>
      </c>
      <c r="B1339" s="241" t="s">
        <v>14504</v>
      </c>
      <c r="C1339" s="1181" t="s">
        <v>14309</v>
      </c>
      <c r="D1339" s="161" t="str">
        <f>IF(B1339="SEPLAG",VLOOKUP(COMPOSIÇÕES!C1339,'MAPA COMPARATIVO'!A:B,2,FALSE),VLOOKUP(C1339,'NAO DESO'!A:B,2,0))</f>
        <v>Guarnição em EPDM p/ pingadeira</v>
      </c>
      <c r="E1339" s="1194" t="s">
        <v>7388</v>
      </c>
      <c r="F1339" s="242">
        <v>10.272</v>
      </c>
      <c r="G1339" s="242">
        <f>IF(B1339="SEPLAG",VLOOKUP(CONCATENATE("MEDIANA - ",C1339),COTAÇÃO,5,FALSE),VLOOKUP($C1339,'NAO DESO'!$A:$D,4,))</f>
        <v>4.3849999999999998</v>
      </c>
      <c r="H1339" s="242">
        <f t="shared" si="110"/>
        <v>45.04</v>
      </c>
      <c r="I1339" s="54">
        <f>IF(B1339="SEPLAG",VLOOKUP(CONCATENATE("MEDIANA - ",C1339),COTAÇÃO,5,FALSE),VLOOKUP($C1339,DESON!$A:$D,4,))</f>
        <v>4.3849999999999998</v>
      </c>
      <c r="J1339" s="209">
        <f t="shared" si="111"/>
        <v>45.04</v>
      </c>
    </row>
    <row r="1340" spans="1:10" ht="15" customHeight="1">
      <c r="A1340" s="208" t="s">
        <v>39</v>
      </c>
      <c r="B1340" s="241" t="s">
        <v>14504</v>
      </c>
      <c r="C1340" s="1181" t="s">
        <v>14310</v>
      </c>
      <c r="D1340" s="161" t="str">
        <f>IF(B1340="SEPLAG",VLOOKUP(COMPOSIÇÕES!C1340,'MAPA COMPARATIVO'!A:B,2,FALSE),VLOOKUP(C1340,'NAO DESO'!A:B,2,0))</f>
        <v>Guarnição em EPDM para vidro</v>
      </c>
      <c r="E1340" s="1194" t="s">
        <v>250</v>
      </c>
      <c r="F1340" s="242">
        <v>35.064</v>
      </c>
      <c r="G1340" s="242">
        <f>IF(B1340="SEPLAG",VLOOKUP(CONCATENATE("MEDIANA - ",C1340),COTAÇÃO,5,FALSE),VLOOKUP($C1340,'NAO DESO'!$A:$D,4,))</f>
        <v>2.4091999999999998</v>
      </c>
      <c r="H1340" s="242">
        <f t="shared" si="110"/>
        <v>84.47</v>
      </c>
      <c r="I1340" s="54">
        <f>IF(B1340="SEPLAG",VLOOKUP(CONCATENATE("MEDIANA - ",C1340),COTAÇÃO,5,FALSE),VLOOKUP($C1340,DESON!$A:$D,4,))</f>
        <v>2.4091999999999998</v>
      </c>
      <c r="J1340" s="209">
        <f t="shared" si="111"/>
        <v>84.47</v>
      </c>
    </row>
    <row r="1341" spans="1:10" ht="15" customHeight="1">
      <c r="A1341" s="208" t="s">
        <v>39</v>
      </c>
      <c r="B1341" s="241" t="s">
        <v>14504</v>
      </c>
      <c r="C1341" s="1181" t="s">
        <v>14311</v>
      </c>
      <c r="D1341" s="161" t="str">
        <f>IF(B1341="SEPLAG",VLOOKUP(COMPOSIÇÕES!C1341,'MAPA COMPARATIVO'!A:B,2,FALSE),VLOOKUP(C1341,'NAO DESO'!A:B,2,0))</f>
        <v>Espuma adesiva 1 face</v>
      </c>
      <c r="E1341" s="1194" t="s">
        <v>250</v>
      </c>
      <c r="F1341" s="242">
        <v>35.064</v>
      </c>
      <c r="G1341" s="242">
        <f>IF(B1341="SEPLAG",VLOOKUP(CONCATENATE("MEDIANA - ",C1341),COTAÇÃO,5,FALSE),VLOOKUP($C1341,'NAO DESO'!$A:$D,4,))</f>
        <v>2.1800000000000002</v>
      </c>
      <c r="H1341" s="242">
        <f t="shared" si="110"/>
        <v>76.430000000000007</v>
      </c>
      <c r="I1341" s="54">
        <f>IF(B1341="SEPLAG",VLOOKUP(CONCATENATE("MEDIANA - ",C1341),COTAÇÃO,5,FALSE),VLOOKUP($C1341,DESON!$A:$D,4,))</f>
        <v>2.1800000000000002</v>
      </c>
      <c r="J1341" s="209">
        <f t="shared" si="111"/>
        <v>76.430000000000007</v>
      </c>
    </row>
    <row r="1342" spans="1:10" ht="15" customHeight="1">
      <c r="A1342" s="208" t="s">
        <v>39</v>
      </c>
      <c r="B1342" s="241" t="s">
        <v>14504</v>
      </c>
      <c r="C1342" s="1181" t="s">
        <v>14312</v>
      </c>
      <c r="D1342" s="161" t="str">
        <f>IF(B1342="SEPLAG",VLOOKUP(COMPOSIÇÕES!C1342,'MAPA COMPARATIVO'!A:B,2,FALSE),VLOOKUP(C1342,'NAO DESO'!A:B,2,0))</f>
        <v>Guarnição em EPDM p/ marco max-ar</v>
      </c>
      <c r="E1342" s="1194" t="s">
        <v>250</v>
      </c>
      <c r="F1342" s="242">
        <v>70.063999999999993</v>
      </c>
      <c r="G1342" s="242">
        <f>IF(B1342="SEPLAG",VLOOKUP(CONCATENATE("MEDIANA - ",C1342),COTAÇÃO,5,FALSE),VLOOKUP($C1342,'NAO DESO'!$A:$D,4,))</f>
        <v>3.8138999999999998</v>
      </c>
      <c r="H1342" s="242">
        <f t="shared" si="110"/>
        <v>267.20999999999998</v>
      </c>
      <c r="I1342" s="54">
        <f>IF(B1342="SEPLAG",VLOOKUP(CONCATENATE("MEDIANA - ",C1342),COTAÇÃO,5,FALSE),VLOOKUP($C1342,DESON!$A:$D,4,))</f>
        <v>3.8138999999999998</v>
      </c>
      <c r="J1342" s="209">
        <f t="shared" si="111"/>
        <v>267.20999999999998</v>
      </c>
    </row>
    <row r="1343" spans="1:10" ht="15" customHeight="1">
      <c r="A1343" s="208" t="s">
        <v>39</v>
      </c>
      <c r="B1343" s="241" t="s">
        <v>14504</v>
      </c>
      <c r="C1343" s="1181" t="s">
        <v>14313</v>
      </c>
      <c r="D1343" s="161" t="str">
        <f>IF(B1343="SEPLAG",VLOOKUP(COMPOSIÇÕES!C1343,'MAPA COMPARATIVO'!A:B,2,FALSE),VLOOKUP(C1343,'NAO DESO'!A:B,2,0))</f>
        <v>PRESILHA DE FIXAÇÃO DO ARREMATE MP-347</v>
      </c>
      <c r="E1343" s="1194" t="s">
        <v>24</v>
      </c>
      <c r="F1343" s="242">
        <v>56</v>
      </c>
      <c r="G1343" s="242">
        <f>IF(B1343="SEPLAG",VLOOKUP(CONCATENATE("MEDIANA - ",C1343),COTAÇÃO,5,FALSE),VLOOKUP($C1343,'NAO DESO'!$A:$D,4,))</f>
        <v>0.34</v>
      </c>
      <c r="H1343" s="242">
        <f t="shared" si="110"/>
        <v>19.04</v>
      </c>
      <c r="I1343" s="54">
        <f>IF(B1343="SEPLAG",VLOOKUP(CONCATENATE("MEDIANA - ",C1343),COTAÇÃO,5,FALSE),VLOOKUP($C1343,DESON!$A:$D,4,))</f>
        <v>0.34</v>
      </c>
      <c r="J1343" s="209">
        <f t="shared" si="111"/>
        <v>19.04</v>
      </c>
    </row>
    <row r="1344" spans="1:10" ht="15" customHeight="1">
      <c r="A1344" s="208" t="s">
        <v>39</v>
      </c>
      <c r="B1344" s="241" t="s">
        <v>14504</v>
      </c>
      <c r="C1344" s="1181" t="s">
        <v>14314</v>
      </c>
      <c r="D1344" s="161" t="str">
        <f>IF(B1344="SEPLAG",VLOOKUP(COMPOSIÇÕES!C1344,'MAPA COMPARATIVO'!A:B,2,FALSE),VLOOKUP(C1344,'NAO DESO'!A:B,2,0))</f>
        <v>Parafuso zincado phillips flangeado autobrocante 4,2 x 16mm</v>
      </c>
      <c r="E1344" s="1194" t="s">
        <v>24</v>
      </c>
      <c r="F1344" s="242">
        <v>56</v>
      </c>
      <c r="G1344" s="242">
        <f>IF(B1344="SEPLAG",VLOOKUP(CONCATENATE("MEDIANA - ",C1344),COTAÇÃO,5,FALSE),VLOOKUP($C1344,'NAO DESO'!$A:$D,4,))</f>
        <v>0.28000000000000003</v>
      </c>
      <c r="H1344" s="242">
        <f t="shared" si="110"/>
        <v>15.68</v>
      </c>
      <c r="I1344" s="54">
        <f>IF(B1344="SEPLAG",VLOOKUP(CONCATENATE("MEDIANA - ",C1344),COTAÇÃO,5,FALSE),VLOOKUP($C1344,DESON!$A:$D,4,))</f>
        <v>0.28000000000000003</v>
      </c>
      <c r="J1344" s="209">
        <f t="shared" si="111"/>
        <v>15.68</v>
      </c>
    </row>
    <row r="1345" spans="1:10" ht="15" customHeight="1">
      <c r="A1345" s="208" t="s">
        <v>39</v>
      </c>
      <c r="B1345" s="241" t="s">
        <v>14504</v>
      </c>
      <c r="C1345" s="1181" t="s">
        <v>14315</v>
      </c>
      <c r="D1345" s="161" t="str">
        <f>IF(B1345="SEPLAG",VLOOKUP(COMPOSIÇÕES!C1345,'MAPA COMPARATIVO'!A:B,2,FALSE),VLOOKUP(C1345,'NAO DESO'!A:B,2,0))</f>
        <v>PARAF. PANELA PHILIPS INOX 4,8 X32 PONTA PILOTO</v>
      </c>
      <c r="E1345" s="1194" t="s">
        <v>24</v>
      </c>
      <c r="F1345" s="242">
        <v>36</v>
      </c>
      <c r="G1345" s="242">
        <f>IF(B1345="SEPLAG",VLOOKUP(CONCATENATE("MEDIANA - ",C1345),COTAÇÃO,5,FALSE),VLOOKUP($C1345,'NAO DESO'!$A:$D,4,))</f>
        <v>0.95</v>
      </c>
      <c r="H1345" s="242">
        <f t="shared" si="110"/>
        <v>34.200000000000003</v>
      </c>
      <c r="I1345" s="54">
        <f>IF(B1345="SEPLAG",VLOOKUP(CONCATENATE("MEDIANA - ",C1345),COTAÇÃO,5,FALSE),VLOOKUP($C1345,DESON!$A:$D,4,))</f>
        <v>0.95</v>
      </c>
      <c r="J1345" s="209">
        <f t="shared" si="111"/>
        <v>34.200000000000003</v>
      </c>
    </row>
    <row r="1346" spans="1:10" ht="15" customHeight="1">
      <c r="A1346" s="208" t="s">
        <v>39</v>
      </c>
      <c r="B1346" s="241" t="s">
        <v>14504</v>
      </c>
      <c r="C1346" s="1181" t="s">
        <v>14316</v>
      </c>
      <c r="D1346" s="161" t="str">
        <f>IF(B1346="SEPLAG",VLOOKUP(COMPOSIÇÕES!C1346,'MAPA COMPARATIVO'!A:B,2,FALSE),VLOOKUP(C1346,'NAO DESO'!A:B,2,0))</f>
        <v>CHUMBADOR DE CM-063/060</v>
      </c>
      <c r="E1346" s="1194" t="s">
        <v>24</v>
      </c>
      <c r="F1346" s="242">
        <v>56</v>
      </c>
      <c r="G1346" s="242">
        <f>IF(B1346="SEPLAG",VLOOKUP(CONCATENATE("MEDIANA - ",C1346),COTAÇÃO,5,FALSE),VLOOKUP($C1346,'NAO DESO'!$A:$D,4,))</f>
        <v>0.86</v>
      </c>
      <c r="H1346" s="242">
        <f t="shared" si="110"/>
        <v>48.16</v>
      </c>
      <c r="I1346" s="54">
        <f>IF(B1346="SEPLAG",VLOOKUP(CONCATENATE("MEDIANA - ",C1346),COTAÇÃO,5,FALSE),VLOOKUP($C1346,DESON!$A:$D,4,))</f>
        <v>0.86</v>
      </c>
      <c r="J1346" s="209">
        <f t="shared" si="111"/>
        <v>48.16</v>
      </c>
    </row>
    <row r="1347" spans="1:10" ht="15" customHeight="1">
      <c r="A1347" s="208" t="s">
        <v>39</v>
      </c>
      <c r="B1347" s="241" t="s">
        <v>14504</v>
      </c>
      <c r="C1347" s="1181" t="s">
        <v>14317</v>
      </c>
      <c r="D1347" s="161" t="str">
        <f>IF(B1347="SEPLAG",VLOOKUP(COMPOSIÇÕES!C1347,'MAPA COMPARATIVO'!A:B,2,FALSE),VLOOKUP(C1347,'NAO DESO'!A:B,2,0))</f>
        <v>Silicone neutro incolor 280 g</v>
      </c>
      <c r="E1347" s="1194" t="s">
        <v>24</v>
      </c>
      <c r="F1347" s="242">
        <v>5</v>
      </c>
      <c r="G1347" s="242">
        <f>IF(B1347="SEPLAG",VLOOKUP(CONCATENATE("MEDIANA - ",C1347),COTAÇÃO,5,FALSE),VLOOKUP($C1347,'NAO DESO'!$A:$D,4,))</f>
        <v>43.9</v>
      </c>
      <c r="H1347" s="242">
        <f t="shared" si="110"/>
        <v>219.5</v>
      </c>
      <c r="I1347" s="54">
        <f>IF(B1347="SEPLAG",VLOOKUP(CONCATENATE("MEDIANA - ",C1347),COTAÇÃO,5,FALSE),VLOOKUP($C1347,DESON!$A:$D,4,))</f>
        <v>43.9</v>
      </c>
      <c r="J1347" s="209">
        <f t="shared" si="111"/>
        <v>219.5</v>
      </c>
    </row>
    <row r="1348" spans="1:10" ht="15" customHeight="1">
      <c r="A1348" s="208" t="s">
        <v>245</v>
      </c>
      <c r="B1348" s="241"/>
      <c r="C1348" s="1181">
        <v>10505</v>
      </c>
      <c r="D1348" s="161" t="str">
        <f>IF(B1348="SEPLAG",VLOOKUP(COMPOSIÇÕES!C1348,'MAPA COMPARATIVO'!A:B,2,FALSE),VLOOKUP(C1348,'NAO DESO'!A:B,2,0))</f>
        <v>VIDRO TEMPERADO INCOLOR E = 6 MM, SEM COLOCACAO</v>
      </c>
      <c r="E1348" s="241" t="str">
        <f>VLOOKUP($C1348,'NAO DESO'!$A:$D,3,)</f>
        <v xml:space="preserve">M2    </v>
      </c>
      <c r="F1348" s="242">
        <v>8.24</v>
      </c>
      <c r="G1348" s="242">
        <f>IF(B1348="SEPLAG",VLOOKUP(CONCATENATE("MEDIANA - ",C1348),COTAÇÃO,5,FALSE),VLOOKUP($C1348,'NAO DESO'!$A:$D,4,))</f>
        <v>272.77</v>
      </c>
      <c r="H1348" s="242">
        <f t="shared" si="110"/>
        <v>2247.62</v>
      </c>
      <c r="I1348" s="54" t="str">
        <f>IF(B1348="SEPLAG",VLOOKUP(CONCATENATE("MEDIANA - ",C1348),COTAÇÃO,5,FALSE),VLOOKUP($C1348,DESON!$A:$D,4,))</f>
        <v>272,77</v>
      </c>
      <c r="J1348" s="209">
        <f t="shared" si="111"/>
        <v>2247.62</v>
      </c>
    </row>
    <row r="1349" spans="1:10" ht="15" customHeight="1">
      <c r="A1349" s="208" t="s">
        <v>245</v>
      </c>
      <c r="B1349" s="241"/>
      <c r="C1349" s="1181">
        <v>88315</v>
      </c>
      <c r="D1349" s="161" t="str">
        <f>IF(B1349="SEPLAG",VLOOKUP(COMPOSIÇÕES!C1349,'MAPA COMPARATIVO'!A:B,2,FALSE),VLOOKUP(C1349,'NAO DESO'!A:B,2,0))</f>
        <v>SERRALHEIRO COM ENCARGOS COMPLEMENTARES</v>
      </c>
      <c r="E1349" s="241" t="str">
        <f>VLOOKUP($C1349,'NAO DESO'!$A:$D,3,)</f>
        <v>H</v>
      </c>
      <c r="F1349" s="242">
        <v>26.86</v>
      </c>
      <c r="G1349" s="242" t="str">
        <f>IF(B1349="SEPLAG",VLOOKUP(CONCATENATE("MEDIANA - ",C1349),COTAÇÃO,5,FALSE),VLOOKUP($C1349,'NAO DESO'!$A:$D,4,))</f>
        <v>20,97</v>
      </c>
      <c r="H1349" s="242">
        <f t="shared" si="110"/>
        <v>563.25</v>
      </c>
      <c r="I1349" s="54" t="str">
        <f>IF(B1349="SEPLAG",VLOOKUP(CONCATENATE("MEDIANA - ",C1349),COTAÇÃO,5,FALSE),VLOOKUP($C1349,DESON!$A:$D,4,))</f>
        <v>18,75</v>
      </c>
      <c r="J1349" s="209">
        <f t="shared" si="111"/>
        <v>503.62</v>
      </c>
    </row>
    <row r="1350" spans="1:10" ht="15" customHeight="1">
      <c r="A1350" s="208" t="s">
        <v>245</v>
      </c>
      <c r="B1350" s="241"/>
      <c r="C1350" s="1181">
        <v>88316</v>
      </c>
      <c r="D1350" s="161" t="str">
        <f>IF(B1350="SEPLAG",VLOOKUP(COMPOSIÇÕES!C1350,'MAPA COMPARATIVO'!A:B,2,FALSE),VLOOKUP(C1350,'NAO DESO'!A:B,2,0))</f>
        <v>SERVENTE COM ENCARGOS COMPLEMENTARES</v>
      </c>
      <c r="E1350" s="241" t="str">
        <f>VLOOKUP($C1350,'NAO DESO'!$A:$D,3,)</f>
        <v>H</v>
      </c>
      <c r="F1350" s="242">
        <v>26.86</v>
      </c>
      <c r="G1350" s="242" t="str">
        <f>IF(B1350="SEPLAG",VLOOKUP(CONCATENATE("MEDIANA - ",C1350),COTAÇÃO,5,FALSE),VLOOKUP($C1350,'NAO DESO'!$A:$D,4,))</f>
        <v>16,83</v>
      </c>
      <c r="H1350" s="242">
        <f t="shared" si="110"/>
        <v>452.05</v>
      </c>
      <c r="I1350" s="54" t="str">
        <f>IF(B1350="SEPLAG",VLOOKUP(CONCATENATE("MEDIANA - ",C1350),COTAÇÃO,5,FALSE),VLOOKUP($C1350,DESON!$A:$D,4,))</f>
        <v>15,16</v>
      </c>
      <c r="J1350" s="209">
        <f t="shared" si="111"/>
        <v>407.19</v>
      </c>
    </row>
    <row r="1351" spans="1:10" ht="15" customHeight="1">
      <c r="A1351" s="210" t="str">
        <f>CONCATENATE("TOTAL DO ITEM NÃO DESON. - ",C1324)</f>
        <v>TOTAL DO ITEM NÃO DESON. - SEPLAG  ARQ 88</v>
      </c>
      <c r="B1351" s="424"/>
      <c r="C1351" s="424"/>
      <c r="D1351" s="424"/>
      <c r="E1351" s="424"/>
      <c r="F1351" s="425"/>
      <c r="G1351" s="426"/>
      <c r="H1351" s="1182">
        <f>SUM(H1326:H1350)</f>
        <v>7377.23</v>
      </c>
      <c r="I1351" s="214"/>
      <c r="J1351" s="215"/>
    </row>
    <row r="1352" spans="1:10" ht="15.75" customHeight="1" thickBot="1">
      <c r="A1352" s="216" t="str">
        <f>CONCATENATE("TOTAL DO ITEM DESON. - ",C1324)</f>
        <v>TOTAL DO ITEM DESON. - SEPLAG  ARQ 88</v>
      </c>
      <c r="B1352" s="427"/>
      <c r="C1352" s="427"/>
      <c r="D1352" s="427"/>
      <c r="E1352" s="427"/>
      <c r="F1352" s="428"/>
      <c r="G1352" s="429"/>
      <c r="H1352" s="1187"/>
      <c r="I1352" s="229"/>
      <c r="J1352" s="219">
        <f>SUM(J1326:J1350)</f>
        <v>7272.7399999999989</v>
      </c>
    </row>
    <row r="1353" spans="1:10" ht="15" customHeight="1" thickBot="1">
      <c r="A1353" s="235"/>
      <c r="B1353" s="1135"/>
      <c r="C1353" s="1135"/>
      <c r="D1353" s="1135"/>
      <c r="E1353" s="1135"/>
      <c r="F1353" s="1188"/>
      <c r="G1353" s="1188"/>
      <c r="H1353" s="1188"/>
      <c r="I1353" s="236"/>
      <c r="J1353" s="237"/>
    </row>
    <row r="1354" spans="1:10" ht="26.25" customHeight="1">
      <c r="A1354" s="198"/>
      <c r="B1354" s="1175"/>
      <c r="C1354" s="1176" t="s">
        <v>7377</v>
      </c>
      <c r="D1354" s="156" t="s">
        <v>7614</v>
      </c>
      <c r="E1354" s="1176" t="s">
        <v>32</v>
      </c>
      <c r="F1354" s="1177" t="s">
        <v>18</v>
      </c>
      <c r="G1354" s="1178" t="s">
        <v>7017</v>
      </c>
      <c r="H1354" s="1179"/>
      <c r="I1354" s="200" t="s">
        <v>7016</v>
      </c>
      <c r="J1354" s="201"/>
    </row>
    <row r="1355" spans="1:10" ht="15" customHeight="1">
      <c r="A1355" s="233"/>
      <c r="B1355" s="247"/>
      <c r="C1355" s="1155"/>
      <c r="D1355" s="157"/>
      <c r="E1355" s="1155"/>
      <c r="F1355" s="1180"/>
      <c r="G1355" s="1180" t="s">
        <v>19</v>
      </c>
      <c r="H1355" s="1180" t="s">
        <v>20</v>
      </c>
      <c r="I1355" s="205" t="s">
        <v>19</v>
      </c>
      <c r="J1355" s="206" t="s">
        <v>20</v>
      </c>
    </row>
    <row r="1356" spans="1:10" ht="15" customHeight="1">
      <c r="A1356" s="208" t="s">
        <v>39</v>
      </c>
      <c r="B1356" s="241"/>
      <c r="C1356" s="241">
        <v>34360</v>
      </c>
      <c r="D1356" s="161" t="s">
        <v>7323</v>
      </c>
      <c r="E1356" s="1194" t="s">
        <v>133</v>
      </c>
      <c r="F1356" s="242">
        <v>6.5649999999999995</v>
      </c>
      <c r="G1356" s="242">
        <f>IF(B1356="SEPLAG",VLOOKUP(CONCATENATE("MEDIANA - ",C1356),COTAÇÃO,5,FALSE),VLOOKUP($C1356,'NAO DESO'!$A:$D,4,))</f>
        <v>47.31</v>
      </c>
      <c r="H1356" s="242">
        <f t="shared" ref="H1356:H1361" si="112">TRUNC(F1356*G1356,2)</f>
        <v>310.58999999999997</v>
      </c>
      <c r="I1356" s="54" t="str">
        <f>IF(B1356="SEPLAG",VLOOKUP(CONCATENATE("MEDIANA - ",C1356),COTAÇÃO,5,FALSE),VLOOKUP($C1356,DESON!$A:$D,4,))</f>
        <v>47,31</v>
      </c>
      <c r="J1356" s="209">
        <f t="shared" ref="J1356:J1361" si="113">TRUNC(F1356*I1356,2)</f>
        <v>310.58999999999997</v>
      </c>
    </row>
    <row r="1357" spans="1:10" ht="15" customHeight="1">
      <c r="A1357" s="208" t="s">
        <v>39</v>
      </c>
      <c r="B1357" s="241"/>
      <c r="C1357" s="241">
        <v>34360</v>
      </c>
      <c r="D1357" s="161" t="s">
        <v>7324</v>
      </c>
      <c r="E1357" s="1194" t="s">
        <v>133</v>
      </c>
      <c r="F1357" s="242">
        <v>2.5020000000000002</v>
      </c>
      <c r="G1357" s="242">
        <f>IF(B1357="SEPLAG",VLOOKUP(CONCATENATE("MEDIANA - ",C1357),COTAÇÃO,5,FALSE),VLOOKUP($C1357,'NAO DESO'!$A:$D,4,))</f>
        <v>47.31</v>
      </c>
      <c r="H1357" s="242">
        <f t="shared" si="112"/>
        <v>118.36</v>
      </c>
      <c r="I1357" s="54" t="str">
        <f>IF(B1357="SEPLAG",VLOOKUP(CONCATENATE("MEDIANA - ",C1357),COTAÇÃO,5,FALSE),VLOOKUP($C1357,DESON!$A:$D,4,))</f>
        <v>47,31</v>
      </c>
      <c r="J1357" s="209">
        <f t="shared" si="113"/>
        <v>118.36</v>
      </c>
    </row>
    <row r="1358" spans="1:10" ht="15" customHeight="1">
      <c r="A1358" s="208" t="s">
        <v>39</v>
      </c>
      <c r="B1358" s="241"/>
      <c r="C1358" s="241">
        <v>34360</v>
      </c>
      <c r="D1358" s="161" t="s">
        <v>7325</v>
      </c>
      <c r="E1358" s="1194" t="s">
        <v>133</v>
      </c>
      <c r="F1358" s="242">
        <v>0.98799999999999999</v>
      </c>
      <c r="G1358" s="242">
        <f>IF(B1358="SEPLAG",VLOOKUP(CONCATENATE("MEDIANA - ",C1358),COTAÇÃO,5,FALSE),VLOOKUP($C1358,'NAO DESO'!$A:$D,4,))</f>
        <v>47.31</v>
      </c>
      <c r="H1358" s="242">
        <f t="shared" si="112"/>
        <v>46.74</v>
      </c>
      <c r="I1358" s="54" t="str">
        <f>IF(B1358="SEPLAG",VLOOKUP(CONCATENATE("MEDIANA - ",C1358),COTAÇÃO,5,FALSE),VLOOKUP($C1358,DESON!$A:$D,4,))</f>
        <v>47,31</v>
      </c>
      <c r="J1358" s="209">
        <f t="shared" si="113"/>
        <v>46.74</v>
      </c>
    </row>
    <row r="1359" spans="1:10" ht="15" customHeight="1">
      <c r="A1359" s="208" t="s">
        <v>39</v>
      </c>
      <c r="B1359" s="241"/>
      <c r="C1359" s="241">
        <v>34360</v>
      </c>
      <c r="D1359" s="161" t="s">
        <v>7326</v>
      </c>
      <c r="E1359" s="1194" t="s">
        <v>133</v>
      </c>
      <c r="F1359" s="242">
        <v>6.1640000000000006</v>
      </c>
      <c r="G1359" s="242">
        <f>IF(B1359="SEPLAG",VLOOKUP(CONCATENATE("MEDIANA - ",C1359),COTAÇÃO,5,FALSE),VLOOKUP($C1359,'NAO DESO'!$A:$D,4,))</f>
        <v>47.31</v>
      </c>
      <c r="H1359" s="242">
        <f t="shared" si="112"/>
        <v>291.61</v>
      </c>
      <c r="I1359" s="54" t="str">
        <f>IF(B1359="SEPLAG",VLOOKUP(CONCATENATE("MEDIANA - ",C1359),COTAÇÃO,5,FALSE),VLOOKUP($C1359,DESON!$A:$D,4,))</f>
        <v>47,31</v>
      </c>
      <c r="J1359" s="209">
        <f t="shared" si="113"/>
        <v>291.61</v>
      </c>
    </row>
    <row r="1360" spans="1:10" ht="15" customHeight="1">
      <c r="A1360" s="208" t="s">
        <v>39</v>
      </c>
      <c r="B1360" s="241"/>
      <c r="C1360" s="241">
        <v>34360</v>
      </c>
      <c r="D1360" s="161" t="s">
        <v>7327</v>
      </c>
      <c r="E1360" s="1194" t="s">
        <v>133</v>
      </c>
      <c r="F1360" s="242">
        <v>10.808999999999999</v>
      </c>
      <c r="G1360" s="242">
        <f>IF(B1360="SEPLAG",VLOOKUP(CONCATENATE("MEDIANA - ",C1360),COTAÇÃO,5,FALSE),VLOOKUP($C1360,'NAO DESO'!$A:$D,4,))</f>
        <v>47.31</v>
      </c>
      <c r="H1360" s="242">
        <f t="shared" si="112"/>
        <v>511.37</v>
      </c>
      <c r="I1360" s="54" t="str">
        <f>IF(B1360="SEPLAG",VLOOKUP(CONCATENATE("MEDIANA - ",C1360),COTAÇÃO,5,FALSE),VLOOKUP($C1360,DESON!$A:$D,4,))</f>
        <v>47,31</v>
      </c>
      <c r="J1360" s="209">
        <f t="shared" si="113"/>
        <v>511.37</v>
      </c>
    </row>
    <row r="1361" spans="1:10" ht="15" customHeight="1">
      <c r="A1361" s="208" t="s">
        <v>39</v>
      </c>
      <c r="B1361" s="241"/>
      <c r="C1361" s="241">
        <v>34360</v>
      </c>
      <c r="D1361" s="161" t="s">
        <v>7328</v>
      </c>
      <c r="E1361" s="1194" t="s">
        <v>133</v>
      </c>
      <c r="F1361" s="242">
        <v>6.1109999999999998</v>
      </c>
      <c r="G1361" s="242">
        <f>IF(B1361="SEPLAG",VLOOKUP(CONCATENATE("MEDIANA - ",C1361),COTAÇÃO,5,FALSE),VLOOKUP($C1361,'NAO DESO'!$A:$D,4,))</f>
        <v>47.31</v>
      </c>
      <c r="H1361" s="242">
        <f t="shared" si="112"/>
        <v>289.11</v>
      </c>
      <c r="I1361" s="54" t="str">
        <f>IF(B1361="SEPLAG",VLOOKUP(CONCATENATE("MEDIANA - ",C1361),COTAÇÃO,5,FALSE),VLOOKUP($C1361,DESON!$A:$D,4,))</f>
        <v>47,31</v>
      </c>
      <c r="J1361" s="209">
        <f t="shared" si="113"/>
        <v>289.11</v>
      </c>
    </row>
    <row r="1362" spans="1:10" ht="15" customHeight="1">
      <c r="A1362" s="208" t="s">
        <v>39</v>
      </c>
      <c r="B1362" s="241"/>
      <c r="C1362" s="241">
        <v>34360</v>
      </c>
      <c r="D1362" s="161" t="s">
        <v>7329</v>
      </c>
      <c r="E1362" s="1194" t="s">
        <v>133</v>
      </c>
      <c r="F1362" s="242"/>
      <c r="G1362" s="242">
        <f>IF(B1362="SEPLAG",VLOOKUP(CONCATENATE("MEDIANA - ",C1362),COTAÇÃO,5,FALSE),VLOOKUP($C1362,'NAO DESO'!$A:$D,4,))</f>
        <v>47.31</v>
      </c>
      <c r="H1362" s="242">
        <f>F1362*G1362</f>
        <v>0</v>
      </c>
      <c r="I1362" s="54" t="str">
        <f>IF(B1362="SEPLAG",VLOOKUP(CONCATENATE("MEDIANA - ",C1362),COTAÇÃO,5,FALSE),VLOOKUP($C1362,DESON!$A:$D,4,))</f>
        <v>47,31</v>
      </c>
      <c r="J1362" s="209">
        <f>F1362*I1362</f>
        <v>0</v>
      </c>
    </row>
    <row r="1363" spans="1:10" ht="15" customHeight="1">
      <c r="A1363" s="208" t="s">
        <v>39</v>
      </c>
      <c r="B1363" s="241"/>
      <c r="C1363" s="241">
        <v>34360</v>
      </c>
      <c r="D1363" s="161" t="s">
        <v>7330</v>
      </c>
      <c r="E1363" s="1194" t="s">
        <v>133</v>
      </c>
      <c r="F1363" s="242">
        <v>0</v>
      </c>
      <c r="G1363" s="242">
        <f>IF(B1363="SEPLAG",VLOOKUP(CONCATENATE("MEDIANA - ",C1363),COTAÇÃO,5,FALSE),VLOOKUP($C1363,'NAO DESO'!$A:$D,4,))</f>
        <v>47.31</v>
      </c>
      <c r="H1363" s="242">
        <f>F1363*G1363</f>
        <v>0</v>
      </c>
      <c r="I1363" s="54" t="str">
        <f>IF(B1363="SEPLAG",VLOOKUP(CONCATENATE("MEDIANA - ",C1363),COTAÇÃO,5,FALSE),VLOOKUP($C1363,DESON!$A:$D,4,))</f>
        <v>47,31</v>
      </c>
      <c r="J1363" s="209">
        <f>F1363*I1363</f>
        <v>0</v>
      </c>
    </row>
    <row r="1364" spans="1:10" ht="15" customHeight="1">
      <c r="A1364" s="208" t="s">
        <v>39</v>
      </c>
      <c r="B1364" s="241"/>
      <c r="C1364" s="241">
        <v>34360</v>
      </c>
      <c r="D1364" s="161" t="s">
        <v>7331</v>
      </c>
      <c r="E1364" s="1194" t="s">
        <v>133</v>
      </c>
      <c r="F1364" s="242">
        <v>22.509999999999998</v>
      </c>
      <c r="G1364" s="242">
        <f>IF(B1364="SEPLAG",VLOOKUP(CONCATENATE("MEDIANA - ",C1364),COTAÇÃO,5,FALSE),VLOOKUP($C1364,'NAO DESO'!$A:$D,4,))</f>
        <v>47.31</v>
      </c>
      <c r="H1364" s="242">
        <f t="shared" ref="H1364:H1380" si="114">TRUNC(F1364*G1364,2)</f>
        <v>1064.94</v>
      </c>
      <c r="I1364" s="54" t="str">
        <f>IF(B1364="SEPLAG",VLOOKUP(CONCATENATE("MEDIANA - ",C1364),COTAÇÃO,5,FALSE),VLOOKUP($C1364,DESON!$A:$D,4,))</f>
        <v>47,31</v>
      </c>
      <c r="J1364" s="209">
        <f t="shared" ref="J1364:J1380" si="115">TRUNC(F1364*I1364,2)</f>
        <v>1064.94</v>
      </c>
    </row>
    <row r="1365" spans="1:10" ht="15" customHeight="1">
      <c r="A1365" s="208" t="s">
        <v>39</v>
      </c>
      <c r="B1365" s="241"/>
      <c r="C1365" s="241">
        <v>34360</v>
      </c>
      <c r="D1365" s="161" t="s">
        <v>7332</v>
      </c>
      <c r="E1365" s="1194" t="s">
        <v>133</v>
      </c>
      <c r="F1365" s="242">
        <v>1.986</v>
      </c>
      <c r="G1365" s="242">
        <f>IF(B1365="SEPLAG",VLOOKUP(CONCATENATE("MEDIANA - ",C1365),COTAÇÃO,5,FALSE),VLOOKUP($C1365,'NAO DESO'!$A:$D,4,))</f>
        <v>47.31</v>
      </c>
      <c r="H1365" s="242">
        <f t="shared" si="114"/>
        <v>93.95</v>
      </c>
      <c r="I1365" s="54" t="str">
        <f>IF(B1365="SEPLAG",VLOOKUP(CONCATENATE("MEDIANA - ",C1365),COTAÇÃO,5,FALSE),VLOOKUP($C1365,DESON!$A:$D,4,))</f>
        <v>47,31</v>
      </c>
      <c r="J1365" s="209">
        <f t="shared" si="115"/>
        <v>93.95</v>
      </c>
    </row>
    <row r="1366" spans="1:10" ht="15" customHeight="1">
      <c r="A1366" s="208" t="s">
        <v>39</v>
      </c>
      <c r="B1366" s="241"/>
      <c r="C1366" s="241">
        <v>34360</v>
      </c>
      <c r="D1366" s="161" t="s">
        <v>7333</v>
      </c>
      <c r="E1366" s="1194" t="s">
        <v>133</v>
      </c>
      <c r="F1366" s="242">
        <v>5.4290000000000003</v>
      </c>
      <c r="G1366" s="242">
        <f>IF(B1366="SEPLAG",VLOOKUP(CONCATENATE("MEDIANA - ",C1366),COTAÇÃO,5,FALSE),VLOOKUP($C1366,'NAO DESO'!$A:$D,4,))</f>
        <v>47.31</v>
      </c>
      <c r="H1366" s="242">
        <f t="shared" si="114"/>
        <v>256.83999999999997</v>
      </c>
      <c r="I1366" s="54" t="str">
        <f>IF(B1366="SEPLAG",VLOOKUP(CONCATENATE("MEDIANA - ",C1366),COTAÇÃO,5,FALSE),VLOOKUP($C1366,DESON!$A:$D,4,))</f>
        <v>47,31</v>
      </c>
      <c r="J1366" s="209">
        <f t="shared" si="115"/>
        <v>256.83999999999997</v>
      </c>
    </row>
    <row r="1367" spans="1:10" ht="15" customHeight="1">
      <c r="A1367" s="208" t="s">
        <v>39</v>
      </c>
      <c r="B1367" s="241" t="s">
        <v>14504</v>
      </c>
      <c r="C1367" s="1181" t="s">
        <v>14307</v>
      </c>
      <c r="D1367" s="161" t="str">
        <f>IF(B1367="SEPLAG",VLOOKUP(COMPOSIÇÕES!C1367,'MAPA COMPARATIVO'!A:B,2,FALSE),VLOOKUP(C1367,'NAO DESO'!A:B,2,0))</f>
        <v xml:space="preserve">Braço de max-ar linha gold de 600mm </v>
      </c>
      <c r="E1367" s="1194" t="s">
        <v>24</v>
      </c>
      <c r="F1367" s="242">
        <v>12</v>
      </c>
      <c r="G1367" s="242">
        <f>IF(B1367="SEPLAG",VLOOKUP(CONCATENATE("MEDIANA - ",C1367),COTAÇÃO,5,FALSE),VLOOKUP($C1367,'NAO DESO'!$A:$D,4,))</f>
        <v>36.575000000000003</v>
      </c>
      <c r="H1367" s="242">
        <f t="shared" si="114"/>
        <v>438.9</v>
      </c>
      <c r="I1367" s="54">
        <f>IF(B1367="SEPLAG",VLOOKUP(CONCATENATE("MEDIANA - ",C1367),COTAÇÃO,5,FALSE),VLOOKUP($C1367,DESON!$A:$D,4,))</f>
        <v>36.575000000000003</v>
      </c>
      <c r="J1367" s="209">
        <f t="shared" si="115"/>
        <v>438.9</v>
      </c>
    </row>
    <row r="1368" spans="1:10" ht="15" customHeight="1">
      <c r="A1368" s="208" t="s">
        <v>39</v>
      </c>
      <c r="B1368" s="241" t="s">
        <v>14504</v>
      </c>
      <c r="C1368" s="1181" t="s">
        <v>14308</v>
      </c>
      <c r="D1368" s="161" t="str">
        <f>IF(B1368="SEPLAG",VLOOKUP(COMPOSIÇÕES!C1368,'MAPA COMPARATIVO'!A:B,2,FALSE),VLOOKUP(C1368,'NAO DESO'!A:B,2,0))</f>
        <v>Fecho max-ar linha gold</v>
      </c>
      <c r="E1368" s="1194" t="s">
        <v>24</v>
      </c>
      <c r="F1368" s="242">
        <v>12</v>
      </c>
      <c r="G1368" s="242">
        <f>IF(B1368="SEPLAG",VLOOKUP(CONCATENATE("MEDIANA - ",C1368),COTAÇÃO,5,FALSE),VLOOKUP($C1368,'NAO DESO'!$A:$D,4,))</f>
        <v>47.36</v>
      </c>
      <c r="H1368" s="242">
        <f t="shared" si="114"/>
        <v>568.32000000000005</v>
      </c>
      <c r="I1368" s="54">
        <f>IF(B1368="SEPLAG",VLOOKUP(CONCATENATE("MEDIANA - ",C1368),COTAÇÃO,5,FALSE),VLOOKUP($C1368,DESON!$A:$D,4,))</f>
        <v>47.36</v>
      </c>
      <c r="J1368" s="209">
        <f t="shared" si="115"/>
        <v>568.32000000000005</v>
      </c>
    </row>
    <row r="1369" spans="1:10" ht="15" customHeight="1">
      <c r="A1369" s="208" t="s">
        <v>39</v>
      </c>
      <c r="B1369" s="241" t="s">
        <v>14504</v>
      </c>
      <c r="C1369" s="1181" t="s">
        <v>14309</v>
      </c>
      <c r="D1369" s="161" t="str">
        <f>IF(B1369="SEPLAG",VLOOKUP(COMPOSIÇÕES!C1369,'MAPA COMPARATIVO'!A:B,2,FALSE),VLOOKUP(C1369,'NAO DESO'!A:B,2,0))</f>
        <v>Guarnição em EPDM p/ pingadeira</v>
      </c>
      <c r="E1369" s="1194" t="s">
        <v>7388</v>
      </c>
      <c r="F1369" s="242">
        <v>12.571999999999999</v>
      </c>
      <c r="G1369" s="242">
        <f>IF(B1369="SEPLAG",VLOOKUP(CONCATENATE("MEDIANA - ",C1369),COTAÇÃO,5,FALSE),VLOOKUP($C1369,'NAO DESO'!$A:$D,4,))</f>
        <v>4.3849999999999998</v>
      </c>
      <c r="H1369" s="242">
        <f t="shared" si="114"/>
        <v>55.12</v>
      </c>
      <c r="I1369" s="54">
        <f>IF(B1369="SEPLAG",VLOOKUP(CONCATENATE("MEDIANA - ",C1369),COTAÇÃO,5,FALSE),VLOOKUP($C1369,DESON!$A:$D,4,))</f>
        <v>4.3849999999999998</v>
      </c>
      <c r="J1369" s="209">
        <f t="shared" si="115"/>
        <v>55.12</v>
      </c>
    </row>
    <row r="1370" spans="1:10" ht="15" customHeight="1">
      <c r="A1370" s="208" t="s">
        <v>39</v>
      </c>
      <c r="B1370" s="241" t="s">
        <v>14504</v>
      </c>
      <c r="C1370" s="1181" t="s">
        <v>14310</v>
      </c>
      <c r="D1370" s="161" t="str">
        <f>IF(B1370="SEPLAG",VLOOKUP(COMPOSIÇÕES!C1370,'MAPA COMPARATIVO'!A:B,2,FALSE),VLOOKUP(C1370,'NAO DESO'!A:B,2,0))</f>
        <v>Guarnição em EPDM para vidro</v>
      </c>
      <c r="E1370" s="1194" t="s">
        <v>250</v>
      </c>
      <c r="F1370" s="242">
        <v>42.572000000000003</v>
      </c>
      <c r="G1370" s="242">
        <f>IF(B1370="SEPLAG",VLOOKUP(CONCATENATE("MEDIANA - ",C1370),COTAÇÃO,5,FALSE),VLOOKUP($C1370,'NAO DESO'!$A:$D,4,))</f>
        <v>2.4091999999999998</v>
      </c>
      <c r="H1370" s="242">
        <f t="shared" si="114"/>
        <v>102.56</v>
      </c>
      <c r="I1370" s="54">
        <f>IF(B1370="SEPLAG",VLOOKUP(CONCATENATE("MEDIANA - ",C1370),COTAÇÃO,5,FALSE),VLOOKUP($C1370,DESON!$A:$D,4,))</f>
        <v>2.4091999999999998</v>
      </c>
      <c r="J1370" s="209">
        <f t="shared" si="115"/>
        <v>102.56</v>
      </c>
    </row>
    <row r="1371" spans="1:10" ht="15" customHeight="1">
      <c r="A1371" s="208" t="s">
        <v>39</v>
      </c>
      <c r="B1371" s="241" t="s">
        <v>14504</v>
      </c>
      <c r="C1371" s="1181" t="s">
        <v>14311</v>
      </c>
      <c r="D1371" s="161" t="str">
        <f>IF(B1371="SEPLAG",VLOOKUP(COMPOSIÇÕES!C1371,'MAPA COMPARATIVO'!A:B,2,FALSE),VLOOKUP(C1371,'NAO DESO'!A:B,2,0))</f>
        <v>Espuma adesiva 1 face</v>
      </c>
      <c r="E1371" s="1194" t="s">
        <v>250</v>
      </c>
      <c r="F1371" s="242">
        <v>42.572000000000003</v>
      </c>
      <c r="G1371" s="242">
        <f>IF(B1371="SEPLAG",VLOOKUP(CONCATENATE("MEDIANA - ",C1371),COTAÇÃO,5,FALSE),VLOOKUP($C1371,'NAO DESO'!$A:$D,4,))</f>
        <v>2.1800000000000002</v>
      </c>
      <c r="H1371" s="242">
        <f t="shared" si="114"/>
        <v>92.8</v>
      </c>
      <c r="I1371" s="54">
        <f>IF(B1371="SEPLAG",VLOOKUP(CONCATENATE("MEDIANA - ",C1371),COTAÇÃO,5,FALSE),VLOOKUP($C1371,DESON!$A:$D,4,))</f>
        <v>2.1800000000000002</v>
      </c>
      <c r="J1371" s="209">
        <f t="shared" si="115"/>
        <v>92.8</v>
      </c>
    </row>
    <row r="1372" spans="1:10" ht="15" customHeight="1">
      <c r="A1372" s="208" t="s">
        <v>39</v>
      </c>
      <c r="B1372" s="241" t="s">
        <v>14504</v>
      </c>
      <c r="C1372" s="1181" t="s">
        <v>14312</v>
      </c>
      <c r="D1372" s="161" t="str">
        <f>IF(B1372="SEPLAG",VLOOKUP(COMPOSIÇÕES!C1372,'MAPA COMPARATIVO'!A:B,2,FALSE),VLOOKUP(C1372,'NAO DESO'!A:B,2,0))</f>
        <v>Guarnição em EPDM p/ marco max-ar</v>
      </c>
      <c r="E1372" s="1194" t="s">
        <v>250</v>
      </c>
      <c r="F1372" s="242">
        <v>85.372</v>
      </c>
      <c r="G1372" s="242">
        <f>IF(B1372="SEPLAG",VLOOKUP(CONCATENATE("MEDIANA - ",C1372),COTAÇÃO,5,FALSE),VLOOKUP($C1372,'NAO DESO'!$A:$D,4,))</f>
        <v>3.8138999999999998</v>
      </c>
      <c r="H1372" s="242">
        <f t="shared" si="114"/>
        <v>325.60000000000002</v>
      </c>
      <c r="I1372" s="54">
        <f>IF(B1372="SEPLAG",VLOOKUP(CONCATENATE("MEDIANA - ",C1372),COTAÇÃO,5,FALSE),VLOOKUP($C1372,DESON!$A:$D,4,))</f>
        <v>3.8138999999999998</v>
      </c>
      <c r="J1372" s="209">
        <f t="shared" si="115"/>
        <v>325.60000000000002</v>
      </c>
    </row>
    <row r="1373" spans="1:10" ht="15" customHeight="1">
      <c r="A1373" s="208" t="s">
        <v>39</v>
      </c>
      <c r="B1373" s="241" t="s">
        <v>14504</v>
      </c>
      <c r="C1373" s="1181" t="s">
        <v>14313</v>
      </c>
      <c r="D1373" s="161" t="str">
        <f>IF(B1373="SEPLAG",VLOOKUP(COMPOSIÇÕES!C1373,'MAPA COMPARATIVO'!A:B,2,FALSE),VLOOKUP(C1373,'NAO DESO'!A:B,2,0))</f>
        <v>PRESILHA DE FIXAÇÃO DO ARREMATE MP-347</v>
      </c>
      <c r="E1373" s="1194" t="s">
        <v>24</v>
      </c>
      <c r="F1373" s="242">
        <v>68</v>
      </c>
      <c r="G1373" s="242">
        <f>IF(B1373="SEPLAG",VLOOKUP(CONCATENATE("MEDIANA - ",C1373),COTAÇÃO,5,FALSE),VLOOKUP($C1373,'NAO DESO'!$A:$D,4,))</f>
        <v>0.34</v>
      </c>
      <c r="H1373" s="242">
        <f t="shared" si="114"/>
        <v>23.12</v>
      </c>
      <c r="I1373" s="54">
        <f>IF(B1373="SEPLAG",VLOOKUP(CONCATENATE("MEDIANA - ",C1373),COTAÇÃO,5,FALSE),VLOOKUP($C1373,DESON!$A:$D,4,))</f>
        <v>0.34</v>
      </c>
      <c r="J1373" s="209">
        <f t="shared" si="115"/>
        <v>23.12</v>
      </c>
    </row>
    <row r="1374" spans="1:10" ht="15" customHeight="1">
      <c r="A1374" s="208" t="s">
        <v>39</v>
      </c>
      <c r="B1374" s="241" t="s">
        <v>14504</v>
      </c>
      <c r="C1374" s="1181" t="s">
        <v>14314</v>
      </c>
      <c r="D1374" s="161" t="str">
        <f>IF(B1374="SEPLAG",VLOOKUP(COMPOSIÇÕES!C1374,'MAPA COMPARATIVO'!A:B,2,FALSE),VLOOKUP(C1374,'NAO DESO'!A:B,2,0))</f>
        <v>Parafuso zincado phillips flangeado autobrocante 4,2 x 16mm</v>
      </c>
      <c r="E1374" s="1194" t="s">
        <v>24</v>
      </c>
      <c r="F1374" s="242">
        <v>68</v>
      </c>
      <c r="G1374" s="242">
        <f>IF(B1374="SEPLAG",VLOOKUP(CONCATENATE("MEDIANA - ",C1374),COTAÇÃO,5,FALSE),VLOOKUP($C1374,'NAO DESO'!$A:$D,4,))</f>
        <v>0.28000000000000003</v>
      </c>
      <c r="H1374" s="242">
        <f t="shared" si="114"/>
        <v>19.04</v>
      </c>
      <c r="I1374" s="54">
        <f>IF(B1374="SEPLAG",VLOOKUP(CONCATENATE("MEDIANA - ",C1374),COTAÇÃO,5,FALSE),VLOOKUP($C1374,DESON!$A:$D,4,))</f>
        <v>0.28000000000000003</v>
      </c>
      <c r="J1374" s="209">
        <f t="shared" si="115"/>
        <v>19.04</v>
      </c>
    </row>
    <row r="1375" spans="1:10" ht="15" customHeight="1">
      <c r="A1375" s="208" t="s">
        <v>39</v>
      </c>
      <c r="B1375" s="241" t="s">
        <v>14504</v>
      </c>
      <c r="C1375" s="1181" t="s">
        <v>14315</v>
      </c>
      <c r="D1375" s="161" t="str">
        <f>IF(B1375="SEPLAG",VLOOKUP(COMPOSIÇÕES!C1375,'MAPA COMPARATIVO'!A:B,2,FALSE),VLOOKUP(C1375,'NAO DESO'!A:B,2,0))</f>
        <v>PARAF. PANELA PHILIPS INOX 4,8 X32 PONTA PILOTO</v>
      </c>
      <c r="E1375" s="1194" t="s">
        <v>24</v>
      </c>
      <c r="F1375" s="242">
        <v>44</v>
      </c>
      <c r="G1375" s="242">
        <f>IF(B1375="SEPLAG",VLOOKUP(CONCATENATE("MEDIANA - ",C1375),COTAÇÃO,5,FALSE),VLOOKUP($C1375,'NAO DESO'!$A:$D,4,))</f>
        <v>0.95</v>
      </c>
      <c r="H1375" s="242">
        <f t="shared" si="114"/>
        <v>41.8</v>
      </c>
      <c r="I1375" s="54">
        <f>IF(B1375="SEPLAG",VLOOKUP(CONCATENATE("MEDIANA - ",C1375),COTAÇÃO,5,FALSE),VLOOKUP($C1375,DESON!$A:$D,4,))</f>
        <v>0.95</v>
      </c>
      <c r="J1375" s="209">
        <f t="shared" si="115"/>
        <v>41.8</v>
      </c>
    </row>
    <row r="1376" spans="1:10" ht="15" customHeight="1">
      <c r="A1376" s="208" t="s">
        <v>39</v>
      </c>
      <c r="B1376" s="241" t="s">
        <v>14504</v>
      </c>
      <c r="C1376" s="1181" t="s">
        <v>14316</v>
      </c>
      <c r="D1376" s="161" t="str">
        <f>IF(B1376="SEPLAG",VLOOKUP(COMPOSIÇÕES!C1376,'MAPA COMPARATIVO'!A:B,2,FALSE),VLOOKUP(C1376,'NAO DESO'!A:B,2,0))</f>
        <v>CHUMBADOR DE CM-063/060</v>
      </c>
      <c r="E1376" s="1194" t="s">
        <v>24</v>
      </c>
      <c r="F1376" s="242">
        <v>68</v>
      </c>
      <c r="G1376" s="242">
        <f>IF(B1376="SEPLAG",VLOOKUP(CONCATENATE("MEDIANA - ",C1376),COTAÇÃO,5,FALSE),VLOOKUP($C1376,'NAO DESO'!$A:$D,4,))</f>
        <v>0.86</v>
      </c>
      <c r="H1376" s="242">
        <f t="shared" si="114"/>
        <v>58.48</v>
      </c>
      <c r="I1376" s="54">
        <f>IF(B1376="SEPLAG",VLOOKUP(CONCATENATE("MEDIANA - ",C1376),COTAÇÃO,5,FALSE),VLOOKUP($C1376,DESON!$A:$D,4,))</f>
        <v>0.86</v>
      </c>
      <c r="J1376" s="209">
        <f t="shared" si="115"/>
        <v>58.48</v>
      </c>
    </row>
    <row r="1377" spans="1:10" ht="15" customHeight="1">
      <c r="A1377" s="208" t="s">
        <v>39</v>
      </c>
      <c r="B1377" s="241" t="s">
        <v>14504</v>
      </c>
      <c r="C1377" s="1181" t="s">
        <v>14317</v>
      </c>
      <c r="D1377" s="161" t="str">
        <f>IF(B1377="SEPLAG",VLOOKUP(COMPOSIÇÕES!C1377,'MAPA COMPARATIVO'!A:B,2,FALSE),VLOOKUP(C1377,'NAO DESO'!A:B,2,0))</f>
        <v>Silicone neutro incolor 280 g</v>
      </c>
      <c r="E1377" s="1194" t="s">
        <v>24</v>
      </c>
      <c r="F1377" s="242">
        <v>6</v>
      </c>
      <c r="G1377" s="242">
        <f>IF(B1377="SEPLAG",VLOOKUP(CONCATENATE("MEDIANA - ",C1377),COTAÇÃO,5,FALSE),VLOOKUP($C1377,'NAO DESO'!$A:$D,4,))</f>
        <v>43.9</v>
      </c>
      <c r="H1377" s="242">
        <f t="shared" si="114"/>
        <v>263.39999999999998</v>
      </c>
      <c r="I1377" s="54">
        <f>IF(B1377="SEPLAG",VLOOKUP(CONCATENATE("MEDIANA - ",C1377),COTAÇÃO,5,FALSE),VLOOKUP($C1377,DESON!$A:$D,4,))</f>
        <v>43.9</v>
      </c>
      <c r="J1377" s="209">
        <f t="shared" si="115"/>
        <v>263.39999999999998</v>
      </c>
    </row>
    <row r="1378" spans="1:10" ht="15" customHeight="1">
      <c r="A1378" s="208" t="s">
        <v>245</v>
      </c>
      <c r="B1378" s="241"/>
      <c r="C1378" s="1181">
        <v>10505</v>
      </c>
      <c r="D1378" s="161" t="str">
        <f>IF(B1378="SEPLAG",VLOOKUP(COMPOSIÇÕES!C1378,'MAPA COMPARATIVO'!A:B,2,FALSE),VLOOKUP(C1378,'NAO DESO'!A:B,2,0))</f>
        <v>VIDRO TEMPERADO INCOLOR E = 6 MM, SEM COLOCACAO</v>
      </c>
      <c r="E1378" s="241" t="str">
        <f>VLOOKUP($C1378,'NAO DESO'!$A:$D,3,)</f>
        <v xml:space="preserve">M2    </v>
      </c>
      <c r="F1378" s="242">
        <v>10.08</v>
      </c>
      <c r="G1378" s="242">
        <f>IF(B1378="SEPLAG",VLOOKUP(CONCATENATE("MEDIANA - ",C1378),COTAÇÃO,5,FALSE),VLOOKUP($C1378,'NAO DESO'!$A:$D,4,))</f>
        <v>272.77</v>
      </c>
      <c r="H1378" s="242">
        <f t="shared" si="114"/>
        <v>2749.52</v>
      </c>
      <c r="I1378" s="54" t="str">
        <f>IF(B1378="SEPLAG",VLOOKUP(CONCATENATE("MEDIANA - ",C1378),COTAÇÃO,5,FALSE),VLOOKUP($C1378,DESON!$A:$D,4,))</f>
        <v>272,77</v>
      </c>
      <c r="J1378" s="209">
        <f t="shared" si="115"/>
        <v>2749.52</v>
      </c>
    </row>
    <row r="1379" spans="1:10" ht="15" customHeight="1">
      <c r="A1379" s="208" t="s">
        <v>245</v>
      </c>
      <c r="B1379" s="241"/>
      <c r="C1379" s="1181">
        <v>88315</v>
      </c>
      <c r="D1379" s="161" t="str">
        <f>IF(B1379="SEPLAG",VLOOKUP(COMPOSIÇÕES!C1379,'MAPA COMPARATIVO'!A:B,2,FALSE),VLOOKUP(C1379,'NAO DESO'!A:B,2,0))</f>
        <v>SERRALHEIRO COM ENCARGOS COMPLEMENTARES</v>
      </c>
      <c r="E1379" s="241" t="str">
        <f>VLOOKUP($C1379,'NAO DESO'!$A:$D,3,)</f>
        <v>H</v>
      </c>
      <c r="F1379" s="242">
        <v>32.86</v>
      </c>
      <c r="G1379" s="242" t="str">
        <f>IF(B1379="SEPLAG",VLOOKUP(CONCATENATE("MEDIANA - ",C1379),COTAÇÃO,5,FALSE),VLOOKUP($C1379,'NAO DESO'!$A:$D,4,))</f>
        <v>20,97</v>
      </c>
      <c r="H1379" s="242">
        <f t="shared" si="114"/>
        <v>689.07</v>
      </c>
      <c r="I1379" s="54" t="str">
        <f>IF(B1379="SEPLAG",VLOOKUP(CONCATENATE("MEDIANA - ",C1379),COTAÇÃO,5,FALSE),VLOOKUP($C1379,DESON!$A:$D,4,))</f>
        <v>18,75</v>
      </c>
      <c r="J1379" s="209">
        <f t="shared" si="115"/>
        <v>616.12</v>
      </c>
    </row>
    <row r="1380" spans="1:10" ht="15" customHeight="1">
      <c r="A1380" s="208" t="s">
        <v>245</v>
      </c>
      <c r="B1380" s="241"/>
      <c r="C1380" s="1181">
        <v>88316</v>
      </c>
      <c r="D1380" s="161" t="str">
        <f>IF(B1380="SEPLAG",VLOOKUP(COMPOSIÇÕES!C1380,'MAPA COMPARATIVO'!A:B,2,FALSE),VLOOKUP(C1380,'NAO DESO'!A:B,2,0))</f>
        <v>SERVENTE COM ENCARGOS COMPLEMENTARES</v>
      </c>
      <c r="E1380" s="241" t="str">
        <f>VLOOKUP($C1380,'NAO DESO'!$A:$D,3,)</f>
        <v>H</v>
      </c>
      <c r="F1380" s="242">
        <v>32.86</v>
      </c>
      <c r="G1380" s="242" t="str">
        <f>IF(B1380="SEPLAG",VLOOKUP(CONCATENATE("MEDIANA - ",C1380),COTAÇÃO,5,FALSE),VLOOKUP($C1380,'NAO DESO'!$A:$D,4,))</f>
        <v>16,83</v>
      </c>
      <c r="H1380" s="242">
        <f t="shared" si="114"/>
        <v>553.03</v>
      </c>
      <c r="I1380" s="54" t="str">
        <f>IF(B1380="SEPLAG",VLOOKUP(CONCATENATE("MEDIANA - ",C1380),COTAÇÃO,5,FALSE),VLOOKUP($C1380,DESON!$A:$D,4,))</f>
        <v>15,16</v>
      </c>
      <c r="J1380" s="209">
        <f t="shared" si="115"/>
        <v>498.15</v>
      </c>
    </row>
    <row r="1381" spans="1:10" ht="15" customHeight="1">
      <c r="A1381" s="210" t="str">
        <f>CONCATENATE("TOTAL DO ITEM NÃO DESON. - ",C1354)</f>
        <v>TOTAL DO ITEM NÃO DESON. - SEPLAG  ARQ 89</v>
      </c>
      <c r="B1381" s="424"/>
      <c r="C1381" s="424"/>
      <c r="D1381" s="424"/>
      <c r="E1381" s="424"/>
      <c r="F1381" s="425"/>
      <c r="G1381" s="426"/>
      <c r="H1381" s="1182">
        <f>SUM(H1356:H1380)</f>
        <v>8964.27</v>
      </c>
      <c r="I1381" s="214"/>
      <c r="J1381" s="215"/>
    </row>
    <row r="1382" spans="1:10" ht="15.75" customHeight="1" thickBot="1">
      <c r="A1382" s="216" t="str">
        <f>CONCATENATE("TOTAL DO ITEM DESON. - ",C1354)</f>
        <v>TOTAL DO ITEM DESON. - SEPLAG  ARQ 89</v>
      </c>
      <c r="B1382" s="427"/>
      <c r="C1382" s="427"/>
      <c r="D1382" s="427"/>
      <c r="E1382" s="427"/>
      <c r="F1382" s="428"/>
      <c r="G1382" s="429"/>
      <c r="H1382" s="1187"/>
      <c r="I1382" s="229"/>
      <c r="J1382" s="219">
        <f>SUM(J1356:J1380)</f>
        <v>8836.44</v>
      </c>
    </row>
    <row r="1383" spans="1:10" ht="15" customHeight="1" thickBot="1">
      <c r="A1383" s="235"/>
      <c r="B1383" s="1135"/>
      <c r="C1383" s="1135"/>
      <c r="D1383" s="1135"/>
      <c r="E1383" s="1135"/>
      <c r="F1383" s="1188"/>
      <c r="G1383" s="1188"/>
      <c r="H1383" s="1188"/>
      <c r="I1383" s="236"/>
      <c r="J1383" s="237"/>
    </row>
    <row r="1384" spans="1:10" ht="29.25" customHeight="1">
      <c r="A1384" s="198"/>
      <c r="B1384" s="1175"/>
      <c r="C1384" s="1176" t="s">
        <v>7378</v>
      </c>
      <c r="D1384" s="156" t="s">
        <v>7656</v>
      </c>
      <c r="E1384" s="1176" t="s">
        <v>32</v>
      </c>
      <c r="F1384" s="1177" t="s">
        <v>18</v>
      </c>
      <c r="G1384" s="1178" t="s">
        <v>7017</v>
      </c>
      <c r="H1384" s="1179"/>
      <c r="I1384" s="200" t="s">
        <v>7016</v>
      </c>
      <c r="J1384" s="201"/>
    </row>
    <row r="1385" spans="1:10" ht="15" customHeight="1">
      <c r="A1385" s="233"/>
      <c r="B1385" s="247"/>
      <c r="C1385" s="1155"/>
      <c r="D1385" s="157"/>
      <c r="E1385" s="1155"/>
      <c r="F1385" s="1180"/>
      <c r="G1385" s="1180" t="s">
        <v>19</v>
      </c>
      <c r="H1385" s="1180" t="s">
        <v>20</v>
      </c>
      <c r="I1385" s="205" t="s">
        <v>19</v>
      </c>
      <c r="J1385" s="206" t="s">
        <v>20</v>
      </c>
    </row>
    <row r="1386" spans="1:10" ht="15" customHeight="1">
      <c r="A1386" s="208" t="s">
        <v>39</v>
      </c>
      <c r="B1386" s="241"/>
      <c r="C1386" s="241">
        <v>34360</v>
      </c>
      <c r="D1386" s="161" t="s">
        <v>7323</v>
      </c>
      <c r="E1386" s="1194" t="s">
        <v>133</v>
      </c>
      <c r="F1386" s="242">
        <v>5.7249999999999996</v>
      </c>
      <c r="G1386" s="242">
        <f>IF(B1386="SEPLAG",VLOOKUP(CONCATENATE("MEDIANA - ",C1386),COTAÇÃO,5,FALSE),VLOOKUP($C1386,'NAO DESO'!$A:$D,4,))</f>
        <v>47.31</v>
      </c>
      <c r="H1386" s="242">
        <f t="shared" ref="H1386:H1391" si="116">TRUNC(F1386*G1386,2)</f>
        <v>270.83999999999997</v>
      </c>
      <c r="I1386" s="54" t="str">
        <f>IF(B1386="SEPLAG",VLOOKUP(CONCATENATE("MEDIANA - ",C1386),COTAÇÃO,5,FALSE),VLOOKUP($C1386,DESON!$A:$D,4,))</f>
        <v>47,31</v>
      </c>
      <c r="J1386" s="209">
        <f t="shared" ref="J1386:J1391" si="117">TRUNC(F1386*I1386,2)</f>
        <v>270.83999999999997</v>
      </c>
    </row>
    <row r="1387" spans="1:10" ht="15" customHeight="1">
      <c r="A1387" s="208" t="s">
        <v>39</v>
      </c>
      <c r="B1387" s="241"/>
      <c r="C1387" s="241">
        <v>34360</v>
      </c>
      <c r="D1387" s="161" t="s">
        <v>7324</v>
      </c>
      <c r="E1387" s="1194" t="s">
        <v>133</v>
      </c>
      <c r="F1387" s="242">
        <v>2.14</v>
      </c>
      <c r="G1387" s="242">
        <f>IF(B1387="SEPLAG",VLOOKUP(CONCATENATE("MEDIANA - ",C1387),COTAÇÃO,5,FALSE),VLOOKUP($C1387,'NAO DESO'!$A:$D,4,))</f>
        <v>47.31</v>
      </c>
      <c r="H1387" s="242">
        <f t="shared" si="116"/>
        <v>101.24</v>
      </c>
      <c r="I1387" s="54" t="str">
        <f>IF(B1387="SEPLAG",VLOOKUP(CONCATENATE("MEDIANA - ",C1387),COTAÇÃO,5,FALSE),VLOOKUP($C1387,DESON!$A:$D,4,))</f>
        <v>47,31</v>
      </c>
      <c r="J1387" s="209">
        <f t="shared" si="117"/>
        <v>101.24</v>
      </c>
    </row>
    <row r="1388" spans="1:10" ht="15" customHeight="1">
      <c r="A1388" s="208" t="s">
        <v>39</v>
      </c>
      <c r="B1388" s="241"/>
      <c r="C1388" s="241">
        <v>34360</v>
      </c>
      <c r="D1388" s="161" t="s">
        <v>7325</v>
      </c>
      <c r="E1388" s="1194" t="s">
        <v>133</v>
      </c>
      <c r="F1388" s="242">
        <v>0.84499999999999997</v>
      </c>
      <c r="G1388" s="242">
        <f>IF(B1388="SEPLAG",VLOOKUP(CONCATENATE("MEDIANA - ",C1388),COTAÇÃO,5,FALSE),VLOOKUP($C1388,'NAO DESO'!$A:$D,4,))</f>
        <v>47.31</v>
      </c>
      <c r="H1388" s="242">
        <f t="shared" si="116"/>
        <v>39.97</v>
      </c>
      <c r="I1388" s="54" t="str">
        <f>IF(B1388="SEPLAG",VLOOKUP(CONCATENATE("MEDIANA - ",C1388),COTAÇÃO,5,FALSE),VLOOKUP($C1388,DESON!$A:$D,4,))</f>
        <v>47,31</v>
      </c>
      <c r="J1388" s="209">
        <f t="shared" si="117"/>
        <v>39.97</v>
      </c>
    </row>
    <row r="1389" spans="1:10" ht="15" customHeight="1">
      <c r="A1389" s="208" t="s">
        <v>39</v>
      </c>
      <c r="B1389" s="241"/>
      <c r="C1389" s="241">
        <v>34360</v>
      </c>
      <c r="D1389" s="161" t="s">
        <v>7326</v>
      </c>
      <c r="E1389" s="1194" t="s">
        <v>133</v>
      </c>
      <c r="F1389" s="242">
        <v>5.1289999999999996</v>
      </c>
      <c r="G1389" s="242">
        <f>IF(B1389="SEPLAG",VLOOKUP(CONCATENATE("MEDIANA - ",C1389),COTAÇÃO,5,FALSE),VLOOKUP($C1389,'NAO DESO'!$A:$D,4,))</f>
        <v>47.31</v>
      </c>
      <c r="H1389" s="242">
        <f t="shared" si="116"/>
        <v>242.65</v>
      </c>
      <c r="I1389" s="54" t="str">
        <f>IF(B1389="SEPLAG",VLOOKUP(CONCATENATE("MEDIANA - ",C1389),COTAÇÃO,5,FALSE),VLOOKUP($C1389,DESON!$A:$D,4,))</f>
        <v>47,31</v>
      </c>
      <c r="J1389" s="209">
        <f t="shared" si="117"/>
        <v>242.65</v>
      </c>
    </row>
    <row r="1390" spans="1:10" ht="15" customHeight="1">
      <c r="A1390" s="208" t="s">
        <v>39</v>
      </c>
      <c r="B1390" s="241"/>
      <c r="C1390" s="241">
        <v>34360</v>
      </c>
      <c r="D1390" s="161" t="s">
        <v>7327</v>
      </c>
      <c r="E1390" s="1194" t="s">
        <v>133</v>
      </c>
      <c r="F1390" s="242">
        <v>8.9870000000000001</v>
      </c>
      <c r="G1390" s="242">
        <f>IF(B1390="SEPLAG",VLOOKUP(CONCATENATE("MEDIANA - ",C1390),COTAÇÃO,5,FALSE),VLOOKUP($C1390,'NAO DESO'!$A:$D,4,))</f>
        <v>47.31</v>
      </c>
      <c r="H1390" s="242">
        <f t="shared" si="116"/>
        <v>425.17</v>
      </c>
      <c r="I1390" s="54" t="str">
        <f>IF(B1390="SEPLAG",VLOOKUP(CONCATENATE("MEDIANA - ",C1390),COTAÇÃO,5,FALSE),VLOOKUP($C1390,DESON!$A:$D,4,))</f>
        <v>47,31</v>
      </c>
      <c r="J1390" s="209">
        <f t="shared" si="117"/>
        <v>425.17</v>
      </c>
    </row>
    <row r="1391" spans="1:10" ht="15" customHeight="1">
      <c r="A1391" s="208" t="s">
        <v>39</v>
      </c>
      <c r="B1391" s="241"/>
      <c r="C1391" s="241">
        <v>34360</v>
      </c>
      <c r="D1391" s="161" t="s">
        <v>7328</v>
      </c>
      <c r="E1391" s="1194" t="s">
        <v>133</v>
      </c>
      <c r="F1391" s="242">
        <v>5.6840000000000002</v>
      </c>
      <c r="G1391" s="242">
        <f>IF(B1391="SEPLAG",VLOOKUP(CONCATENATE("MEDIANA - ",C1391),COTAÇÃO,5,FALSE),VLOOKUP($C1391,'NAO DESO'!$A:$D,4,))</f>
        <v>47.31</v>
      </c>
      <c r="H1391" s="242">
        <f t="shared" si="116"/>
        <v>268.91000000000003</v>
      </c>
      <c r="I1391" s="54" t="str">
        <f>IF(B1391="SEPLAG",VLOOKUP(CONCATENATE("MEDIANA - ",C1391),COTAÇÃO,5,FALSE),VLOOKUP($C1391,DESON!$A:$D,4,))</f>
        <v>47,31</v>
      </c>
      <c r="J1391" s="209">
        <f t="shared" si="117"/>
        <v>268.91000000000003</v>
      </c>
    </row>
    <row r="1392" spans="1:10" ht="15" customHeight="1">
      <c r="A1392" s="208" t="s">
        <v>39</v>
      </c>
      <c r="B1392" s="241"/>
      <c r="C1392" s="241">
        <v>34360</v>
      </c>
      <c r="D1392" s="161" t="s">
        <v>7329</v>
      </c>
      <c r="E1392" s="1194" t="s">
        <v>133</v>
      </c>
      <c r="F1392" s="242">
        <v>0</v>
      </c>
      <c r="G1392" s="242">
        <f>IF(B1392="SEPLAG",VLOOKUP(CONCATENATE("MEDIANA - ",C1392),COTAÇÃO,5,FALSE),VLOOKUP($C1392,'NAO DESO'!$A:$D,4,))</f>
        <v>47.31</v>
      </c>
      <c r="H1392" s="242">
        <f>F1392*G1392</f>
        <v>0</v>
      </c>
      <c r="I1392" s="54" t="str">
        <f>IF(B1392="SEPLAG",VLOOKUP(CONCATENATE("MEDIANA - ",C1392),COTAÇÃO,5,FALSE),VLOOKUP($C1392,DESON!$A:$D,4,))</f>
        <v>47,31</v>
      </c>
      <c r="J1392" s="209">
        <f>F1392*I1392</f>
        <v>0</v>
      </c>
    </row>
    <row r="1393" spans="1:10" ht="15" customHeight="1">
      <c r="A1393" s="208" t="s">
        <v>39</v>
      </c>
      <c r="B1393" s="241"/>
      <c r="C1393" s="241">
        <v>34360</v>
      </c>
      <c r="D1393" s="161" t="s">
        <v>7330</v>
      </c>
      <c r="E1393" s="1194" t="s">
        <v>133</v>
      </c>
      <c r="F1393" s="242">
        <v>0</v>
      </c>
      <c r="G1393" s="242">
        <f>IF(B1393="SEPLAG",VLOOKUP(CONCATENATE("MEDIANA - ",C1393),COTAÇÃO,5,FALSE),VLOOKUP($C1393,'NAO DESO'!$A:$D,4,))</f>
        <v>47.31</v>
      </c>
      <c r="H1393" s="242">
        <f>F1393*G1393</f>
        <v>0</v>
      </c>
      <c r="I1393" s="54" t="str">
        <f>IF(B1393="SEPLAG",VLOOKUP(CONCATENATE("MEDIANA - ",C1393),COTAÇÃO,5,FALSE),VLOOKUP($C1393,DESON!$A:$D,4,))</f>
        <v>47,31</v>
      </c>
      <c r="J1393" s="209">
        <f>F1393*I1393</f>
        <v>0</v>
      </c>
    </row>
    <row r="1394" spans="1:10" ht="15" customHeight="1">
      <c r="A1394" s="208" t="s">
        <v>39</v>
      </c>
      <c r="B1394" s="241"/>
      <c r="C1394" s="241">
        <v>34360</v>
      </c>
      <c r="D1394" s="161" t="s">
        <v>7331</v>
      </c>
      <c r="E1394" s="1194" t="s">
        <v>133</v>
      </c>
      <c r="F1394" s="242">
        <v>19.552</v>
      </c>
      <c r="G1394" s="242">
        <f>IF(B1394="SEPLAG",VLOOKUP(CONCATENATE("MEDIANA - ",C1394),COTAÇÃO,5,FALSE),VLOOKUP($C1394,'NAO DESO'!$A:$D,4,))</f>
        <v>47.31</v>
      </c>
      <c r="H1394" s="242">
        <f t="shared" ref="H1394:H1410" si="118">TRUNC(F1394*G1394,2)</f>
        <v>925</v>
      </c>
      <c r="I1394" s="54" t="str">
        <f>IF(B1394="SEPLAG",VLOOKUP(CONCATENATE("MEDIANA - ",C1394),COTAÇÃO,5,FALSE),VLOOKUP($C1394,DESON!$A:$D,4,))</f>
        <v>47,31</v>
      </c>
      <c r="J1394" s="209">
        <f t="shared" ref="J1394:J1410" si="119">TRUNC(F1394*I1394,2)</f>
        <v>925</v>
      </c>
    </row>
    <row r="1395" spans="1:10" ht="15" customHeight="1">
      <c r="A1395" s="208" t="s">
        <v>39</v>
      </c>
      <c r="B1395" s="241"/>
      <c r="C1395" s="241">
        <v>34360</v>
      </c>
      <c r="D1395" s="161" t="s">
        <v>7332</v>
      </c>
      <c r="E1395" s="1194" t="s">
        <v>133</v>
      </c>
      <c r="F1395" s="242">
        <v>1.615</v>
      </c>
      <c r="G1395" s="242">
        <f>IF(B1395="SEPLAG",VLOOKUP(CONCATENATE("MEDIANA - ",C1395),COTAÇÃO,5,FALSE),VLOOKUP($C1395,'NAO DESO'!$A:$D,4,))</f>
        <v>47.31</v>
      </c>
      <c r="H1395" s="242">
        <f t="shared" si="118"/>
        <v>76.400000000000006</v>
      </c>
      <c r="I1395" s="54" t="str">
        <f>IF(B1395="SEPLAG",VLOOKUP(CONCATENATE("MEDIANA - ",C1395),COTAÇÃO,5,FALSE),VLOOKUP($C1395,DESON!$A:$D,4,))</f>
        <v>47,31</v>
      </c>
      <c r="J1395" s="209">
        <f t="shared" si="119"/>
        <v>76.400000000000006</v>
      </c>
    </row>
    <row r="1396" spans="1:10" ht="15" customHeight="1">
      <c r="A1396" s="208" t="s">
        <v>39</v>
      </c>
      <c r="B1396" s="241"/>
      <c r="C1396" s="241">
        <v>34360</v>
      </c>
      <c r="D1396" s="161" t="s">
        <v>7333</v>
      </c>
      <c r="E1396" s="1194" t="s">
        <v>133</v>
      </c>
      <c r="F1396" s="242">
        <v>4.5209999999999999</v>
      </c>
      <c r="G1396" s="242">
        <f>IF(B1396="SEPLAG",VLOOKUP(CONCATENATE("MEDIANA - ",C1396),COTAÇÃO,5,FALSE),VLOOKUP($C1396,'NAO DESO'!$A:$D,4,))</f>
        <v>47.31</v>
      </c>
      <c r="H1396" s="242">
        <f t="shared" si="118"/>
        <v>213.88</v>
      </c>
      <c r="I1396" s="54" t="str">
        <f>IF(B1396="SEPLAG",VLOOKUP(CONCATENATE("MEDIANA - ",C1396),COTAÇÃO,5,FALSE),VLOOKUP($C1396,DESON!$A:$D,4,))</f>
        <v>47,31</v>
      </c>
      <c r="J1396" s="209">
        <f t="shared" si="119"/>
        <v>213.88</v>
      </c>
    </row>
    <row r="1397" spans="1:10" ht="15" customHeight="1">
      <c r="A1397" s="208" t="s">
        <v>39</v>
      </c>
      <c r="B1397" s="241" t="s">
        <v>14504</v>
      </c>
      <c r="C1397" s="1181" t="s">
        <v>14307</v>
      </c>
      <c r="D1397" s="161" t="str">
        <f>IF(B1397="SEPLAG",VLOOKUP(COMPOSIÇÕES!C1397,'MAPA COMPARATIVO'!A:B,2,FALSE),VLOOKUP(C1397,'NAO DESO'!A:B,2,0))</f>
        <v xml:space="preserve">Braço de max-ar linha gold de 600mm </v>
      </c>
      <c r="E1397" s="1194" t="s">
        <v>24</v>
      </c>
      <c r="F1397" s="242">
        <v>10</v>
      </c>
      <c r="G1397" s="242">
        <f>IF(B1397="SEPLAG",VLOOKUP(CONCATENATE("MEDIANA - ",C1397),COTAÇÃO,5,FALSE),VLOOKUP($C1397,'NAO DESO'!$A:$D,4,))</f>
        <v>36.575000000000003</v>
      </c>
      <c r="H1397" s="242">
        <f t="shared" si="118"/>
        <v>365.75</v>
      </c>
      <c r="I1397" s="54">
        <f>IF(B1397="SEPLAG",VLOOKUP(CONCATENATE("MEDIANA - ",C1397),COTAÇÃO,5,FALSE),VLOOKUP($C1397,DESON!$A:$D,4,))</f>
        <v>36.575000000000003</v>
      </c>
      <c r="J1397" s="209">
        <f t="shared" si="119"/>
        <v>365.75</v>
      </c>
    </row>
    <row r="1398" spans="1:10" ht="15" customHeight="1">
      <c r="A1398" s="208" t="s">
        <v>39</v>
      </c>
      <c r="B1398" s="241" t="s">
        <v>14504</v>
      </c>
      <c r="C1398" s="1181" t="s">
        <v>14308</v>
      </c>
      <c r="D1398" s="161" t="str">
        <f>IF(B1398="SEPLAG",VLOOKUP(COMPOSIÇÕES!C1398,'MAPA COMPARATIVO'!A:B,2,FALSE),VLOOKUP(C1398,'NAO DESO'!A:B,2,0))</f>
        <v>Fecho max-ar linha gold</v>
      </c>
      <c r="E1398" s="1194" t="s">
        <v>24</v>
      </c>
      <c r="F1398" s="242">
        <v>10</v>
      </c>
      <c r="G1398" s="242">
        <f>IF(B1398="SEPLAG",VLOOKUP(CONCATENATE("MEDIANA - ",C1398),COTAÇÃO,5,FALSE),VLOOKUP($C1398,'NAO DESO'!$A:$D,4,))</f>
        <v>47.36</v>
      </c>
      <c r="H1398" s="242">
        <f t="shared" si="118"/>
        <v>473.6</v>
      </c>
      <c r="I1398" s="54">
        <f>IF(B1398="SEPLAG",VLOOKUP(CONCATENATE("MEDIANA - ",C1398),COTAÇÃO,5,FALSE),VLOOKUP($C1398,DESON!$A:$D,4,))</f>
        <v>47.36</v>
      </c>
      <c r="J1398" s="209">
        <f t="shared" si="119"/>
        <v>473.6</v>
      </c>
    </row>
    <row r="1399" spans="1:10" ht="15" customHeight="1">
      <c r="A1399" s="208" t="s">
        <v>39</v>
      </c>
      <c r="B1399" s="241" t="s">
        <v>14504</v>
      </c>
      <c r="C1399" s="1181" t="s">
        <v>14309</v>
      </c>
      <c r="D1399" s="161" t="str">
        <f>IF(B1399="SEPLAG",VLOOKUP(COMPOSIÇÕES!C1399,'MAPA COMPARATIVO'!A:B,2,FALSE),VLOOKUP(C1399,'NAO DESO'!A:B,2,0))</f>
        <v>Guarnição em EPDM p/ pingadeira</v>
      </c>
      <c r="E1399" s="1194" t="s">
        <v>7388</v>
      </c>
      <c r="F1399" s="242">
        <v>10.220000000000001</v>
      </c>
      <c r="G1399" s="242">
        <f>IF(B1399="SEPLAG",VLOOKUP(CONCATENATE("MEDIANA - ",C1399),COTAÇÃO,5,FALSE),VLOOKUP($C1399,'NAO DESO'!$A:$D,4,))</f>
        <v>4.3849999999999998</v>
      </c>
      <c r="H1399" s="242">
        <f t="shared" si="118"/>
        <v>44.81</v>
      </c>
      <c r="I1399" s="54">
        <f>IF(B1399="SEPLAG",VLOOKUP(CONCATENATE("MEDIANA - ",C1399),COTAÇÃO,5,FALSE),VLOOKUP($C1399,DESON!$A:$D,4,))</f>
        <v>4.3849999999999998</v>
      </c>
      <c r="J1399" s="209">
        <f t="shared" si="119"/>
        <v>44.81</v>
      </c>
    </row>
    <row r="1400" spans="1:10" ht="15" customHeight="1">
      <c r="A1400" s="208" t="s">
        <v>39</v>
      </c>
      <c r="B1400" s="241" t="s">
        <v>14504</v>
      </c>
      <c r="C1400" s="1181" t="s">
        <v>14310</v>
      </c>
      <c r="D1400" s="161" t="str">
        <f>IF(B1400="SEPLAG",VLOOKUP(COMPOSIÇÕES!C1400,'MAPA COMPARATIVO'!A:B,2,FALSE),VLOOKUP(C1400,'NAO DESO'!A:B,2,0))</f>
        <v>Guarnição em EPDM para vidro</v>
      </c>
      <c r="E1400" s="1194" t="s">
        <v>250</v>
      </c>
      <c r="F1400" s="242">
        <v>36.963999999999999</v>
      </c>
      <c r="G1400" s="242">
        <f>IF(B1400="SEPLAG",VLOOKUP(CONCATENATE("MEDIANA - ",C1400),COTAÇÃO,5,FALSE),VLOOKUP($C1400,'NAO DESO'!$A:$D,4,))</f>
        <v>2.4091999999999998</v>
      </c>
      <c r="H1400" s="242">
        <f t="shared" si="118"/>
        <v>89.05</v>
      </c>
      <c r="I1400" s="54">
        <f>IF(B1400="SEPLAG",VLOOKUP(CONCATENATE("MEDIANA - ",C1400),COTAÇÃO,5,FALSE),VLOOKUP($C1400,DESON!$A:$D,4,))</f>
        <v>2.4091999999999998</v>
      </c>
      <c r="J1400" s="209">
        <f t="shared" si="119"/>
        <v>89.05</v>
      </c>
    </row>
    <row r="1401" spans="1:10" ht="15" customHeight="1">
      <c r="A1401" s="208" t="s">
        <v>39</v>
      </c>
      <c r="B1401" s="241" t="s">
        <v>14504</v>
      </c>
      <c r="C1401" s="1181" t="s">
        <v>14311</v>
      </c>
      <c r="D1401" s="161" t="str">
        <f>IF(B1401="SEPLAG",VLOOKUP(COMPOSIÇÕES!C1401,'MAPA COMPARATIVO'!A:B,2,FALSE),VLOOKUP(C1401,'NAO DESO'!A:B,2,0))</f>
        <v>Espuma adesiva 1 face</v>
      </c>
      <c r="E1401" s="1194" t="s">
        <v>250</v>
      </c>
      <c r="F1401" s="242">
        <v>36.963999999999999</v>
      </c>
      <c r="G1401" s="242">
        <f>IF(B1401="SEPLAG",VLOOKUP(CONCATENATE("MEDIANA - ",C1401),COTAÇÃO,5,FALSE),VLOOKUP($C1401,'NAO DESO'!$A:$D,4,))</f>
        <v>2.1800000000000002</v>
      </c>
      <c r="H1401" s="242">
        <f t="shared" si="118"/>
        <v>80.58</v>
      </c>
      <c r="I1401" s="54">
        <f>IF(B1401="SEPLAG",VLOOKUP(CONCATENATE("MEDIANA - ",C1401),COTAÇÃO,5,FALSE),VLOOKUP($C1401,DESON!$A:$D,4,))</f>
        <v>2.1800000000000002</v>
      </c>
      <c r="J1401" s="209">
        <f t="shared" si="119"/>
        <v>80.58</v>
      </c>
    </row>
    <row r="1402" spans="1:10" ht="15" customHeight="1">
      <c r="A1402" s="208" t="s">
        <v>39</v>
      </c>
      <c r="B1402" s="241" t="s">
        <v>14504</v>
      </c>
      <c r="C1402" s="1181" t="s">
        <v>14312</v>
      </c>
      <c r="D1402" s="161" t="str">
        <f>IF(B1402="SEPLAG",VLOOKUP(COMPOSIÇÕES!C1402,'MAPA COMPARATIVO'!A:B,2,FALSE),VLOOKUP(C1402,'NAO DESO'!A:B,2,0))</f>
        <v>Guarnição em EPDM p/ marco max-ar</v>
      </c>
      <c r="E1402" s="1194" t="s">
        <v>250</v>
      </c>
      <c r="F1402" s="242">
        <v>73.664000000000001</v>
      </c>
      <c r="G1402" s="242">
        <f>IF(B1402="SEPLAG",VLOOKUP(CONCATENATE("MEDIANA - ",C1402),COTAÇÃO,5,FALSE),VLOOKUP($C1402,'NAO DESO'!$A:$D,4,))</f>
        <v>3.8138999999999998</v>
      </c>
      <c r="H1402" s="242">
        <f t="shared" si="118"/>
        <v>280.94</v>
      </c>
      <c r="I1402" s="54">
        <f>IF(B1402="SEPLAG",VLOOKUP(CONCATENATE("MEDIANA - ",C1402),COTAÇÃO,5,FALSE),VLOOKUP($C1402,DESON!$A:$D,4,))</f>
        <v>3.8138999999999998</v>
      </c>
      <c r="J1402" s="209">
        <f t="shared" si="119"/>
        <v>280.94</v>
      </c>
    </row>
    <row r="1403" spans="1:10" ht="15" customHeight="1">
      <c r="A1403" s="208" t="s">
        <v>39</v>
      </c>
      <c r="B1403" s="241" t="s">
        <v>14504</v>
      </c>
      <c r="C1403" s="1181" t="s">
        <v>14313</v>
      </c>
      <c r="D1403" s="161" t="str">
        <f>IF(B1403="SEPLAG",VLOOKUP(COMPOSIÇÕES!C1403,'MAPA COMPARATIVO'!A:B,2,FALSE),VLOOKUP(C1403,'NAO DESO'!A:B,2,0))</f>
        <v>PRESILHA DE FIXAÇÃO DO ARREMATE MP-347</v>
      </c>
      <c r="E1403" s="1194" t="s">
        <v>24</v>
      </c>
      <c r="F1403" s="242">
        <v>116</v>
      </c>
      <c r="G1403" s="242">
        <f>IF(B1403="SEPLAG",VLOOKUP(CONCATENATE("MEDIANA - ",C1403),COTAÇÃO,5,FALSE),VLOOKUP($C1403,'NAO DESO'!$A:$D,4,))</f>
        <v>0.34</v>
      </c>
      <c r="H1403" s="242">
        <f t="shared" si="118"/>
        <v>39.44</v>
      </c>
      <c r="I1403" s="54">
        <f>IF(B1403="SEPLAG",VLOOKUP(CONCATENATE("MEDIANA - ",C1403),COTAÇÃO,5,FALSE),VLOOKUP($C1403,DESON!$A:$D,4,))</f>
        <v>0.34</v>
      </c>
      <c r="J1403" s="209">
        <f t="shared" si="119"/>
        <v>39.44</v>
      </c>
    </row>
    <row r="1404" spans="1:10" ht="15" customHeight="1">
      <c r="A1404" s="208" t="s">
        <v>39</v>
      </c>
      <c r="B1404" s="241" t="s">
        <v>14504</v>
      </c>
      <c r="C1404" s="1181" t="s">
        <v>14314</v>
      </c>
      <c r="D1404" s="161" t="str">
        <f>IF(B1404="SEPLAG",VLOOKUP(COMPOSIÇÕES!C1404,'MAPA COMPARATIVO'!A:B,2,FALSE),VLOOKUP(C1404,'NAO DESO'!A:B,2,0))</f>
        <v>Parafuso zincado phillips flangeado autobrocante 4,2 x 16mm</v>
      </c>
      <c r="E1404" s="1194" t="s">
        <v>24</v>
      </c>
      <c r="F1404" s="242">
        <v>58</v>
      </c>
      <c r="G1404" s="242">
        <f>IF(B1404="SEPLAG",VLOOKUP(CONCATENATE("MEDIANA - ",C1404),COTAÇÃO,5,FALSE),VLOOKUP($C1404,'NAO DESO'!$A:$D,4,))</f>
        <v>0.28000000000000003</v>
      </c>
      <c r="H1404" s="242">
        <f t="shared" si="118"/>
        <v>16.239999999999998</v>
      </c>
      <c r="I1404" s="54">
        <f>IF(B1404="SEPLAG",VLOOKUP(CONCATENATE("MEDIANA - ",C1404),COTAÇÃO,5,FALSE),VLOOKUP($C1404,DESON!$A:$D,4,))</f>
        <v>0.28000000000000003</v>
      </c>
      <c r="J1404" s="209">
        <f t="shared" si="119"/>
        <v>16.239999999999998</v>
      </c>
    </row>
    <row r="1405" spans="1:10" ht="15" customHeight="1">
      <c r="A1405" s="208" t="s">
        <v>39</v>
      </c>
      <c r="B1405" s="241" t="s">
        <v>14504</v>
      </c>
      <c r="C1405" s="1181" t="s">
        <v>14315</v>
      </c>
      <c r="D1405" s="161" t="str">
        <f>IF(B1405="SEPLAG",VLOOKUP(COMPOSIÇÕES!C1405,'MAPA COMPARATIVO'!A:B,2,FALSE),VLOOKUP(C1405,'NAO DESO'!A:B,2,0))</f>
        <v>PARAF. PANELA PHILIPS INOX 4,8 X32 PONTA PILOTO</v>
      </c>
      <c r="E1405" s="1194" t="s">
        <v>24</v>
      </c>
      <c r="F1405" s="242">
        <v>36</v>
      </c>
      <c r="G1405" s="242">
        <f>IF(B1405="SEPLAG",VLOOKUP(CONCATENATE("MEDIANA - ",C1405),COTAÇÃO,5,FALSE),VLOOKUP($C1405,'NAO DESO'!$A:$D,4,))</f>
        <v>0.95</v>
      </c>
      <c r="H1405" s="242">
        <f t="shared" si="118"/>
        <v>34.200000000000003</v>
      </c>
      <c r="I1405" s="54">
        <f>IF(B1405="SEPLAG",VLOOKUP(CONCATENATE("MEDIANA - ",C1405),COTAÇÃO,5,FALSE),VLOOKUP($C1405,DESON!$A:$D,4,))</f>
        <v>0.95</v>
      </c>
      <c r="J1405" s="209">
        <f t="shared" si="119"/>
        <v>34.200000000000003</v>
      </c>
    </row>
    <row r="1406" spans="1:10" ht="15" customHeight="1">
      <c r="A1406" s="208" t="s">
        <v>39</v>
      </c>
      <c r="B1406" s="241" t="s">
        <v>14504</v>
      </c>
      <c r="C1406" s="1181" t="s">
        <v>14316</v>
      </c>
      <c r="D1406" s="161" t="str">
        <f>IF(B1406="SEPLAG",VLOOKUP(COMPOSIÇÕES!C1406,'MAPA COMPARATIVO'!A:B,2,FALSE),VLOOKUP(C1406,'NAO DESO'!A:B,2,0))</f>
        <v>CHUMBADOR DE CM-063/060</v>
      </c>
      <c r="E1406" s="1194" t="s">
        <v>24</v>
      </c>
      <c r="F1406" s="242">
        <v>58</v>
      </c>
      <c r="G1406" s="242">
        <f>IF(B1406="SEPLAG",VLOOKUP(CONCATENATE("MEDIANA - ",C1406),COTAÇÃO,5,FALSE),VLOOKUP($C1406,'NAO DESO'!$A:$D,4,))</f>
        <v>0.86</v>
      </c>
      <c r="H1406" s="242">
        <f t="shared" si="118"/>
        <v>49.88</v>
      </c>
      <c r="I1406" s="54">
        <f>IF(B1406="SEPLAG",VLOOKUP(CONCATENATE("MEDIANA - ",C1406),COTAÇÃO,5,FALSE),VLOOKUP($C1406,DESON!$A:$D,4,))</f>
        <v>0.86</v>
      </c>
      <c r="J1406" s="209">
        <f t="shared" si="119"/>
        <v>49.88</v>
      </c>
    </row>
    <row r="1407" spans="1:10" ht="15" customHeight="1">
      <c r="A1407" s="208" t="s">
        <v>39</v>
      </c>
      <c r="B1407" s="241" t="s">
        <v>14504</v>
      </c>
      <c r="C1407" s="1181" t="s">
        <v>14317</v>
      </c>
      <c r="D1407" s="161" t="str">
        <f>IF(B1407="SEPLAG",VLOOKUP(COMPOSIÇÕES!C1407,'MAPA COMPARATIVO'!A:B,2,FALSE),VLOOKUP(C1407,'NAO DESO'!A:B,2,0))</f>
        <v>Silicone neutro incolor 280 g</v>
      </c>
      <c r="E1407" s="1194" t="s">
        <v>24</v>
      </c>
      <c r="F1407" s="242">
        <v>5</v>
      </c>
      <c r="G1407" s="242">
        <f>IF(B1407="SEPLAG",VLOOKUP(CONCATENATE("MEDIANA - ",C1407),COTAÇÃO,5,FALSE),VLOOKUP($C1407,'NAO DESO'!$A:$D,4,))</f>
        <v>43.9</v>
      </c>
      <c r="H1407" s="242">
        <f t="shared" si="118"/>
        <v>219.5</v>
      </c>
      <c r="I1407" s="54">
        <f>IF(B1407="SEPLAG",VLOOKUP(CONCATENATE("MEDIANA - ",C1407),COTAÇÃO,5,FALSE),VLOOKUP($C1407,DESON!$A:$D,4,))</f>
        <v>43.9</v>
      </c>
      <c r="J1407" s="209">
        <f t="shared" si="119"/>
        <v>219.5</v>
      </c>
    </row>
    <row r="1408" spans="1:10" ht="15" customHeight="1">
      <c r="A1408" s="208" t="s">
        <v>245</v>
      </c>
      <c r="B1408" s="241"/>
      <c r="C1408" s="1181">
        <v>10505</v>
      </c>
      <c r="D1408" s="161" t="str">
        <f>IF(B1408="SEPLAG",VLOOKUP(COMPOSIÇÕES!C1408,'MAPA COMPARATIVO'!A:B,2,FALSE),VLOOKUP(C1408,'NAO DESO'!A:B,2,0))</f>
        <v>VIDRO TEMPERADO INCOLOR E = 6 MM, SEM COLOCACAO</v>
      </c>
      <c r="E1408" s="241" t="str">
        <f>VLOOKUP($C1408,'NAO DESO'!$A:$D,3,)</f>
        <v xml:space="preserve">M2    </v>
      </c>
      <c r="F1408" s="242">
        <v>9.18</v>
      </c>
      <c r="G1408" s="242">
        <f>IF(B1408="SEPLAG",VLOOKUP(CONCATENATE("MEDIANA - ",C1408),COTAÇÃO,5,FALSE),VLOOKUP($C1408,'NAO DESO'!$A:$D,4,))</f>
        <v>272.77</v>
      </c>
      <c r="H1408" s="242">
        <f t="shared" si="118"/>
        <v>2504.02</v>
      </c>
      <c r="I1408" s="54" t="str">
        <f>IF(B1408="SEPLAG",VLOOKUP(CONCATENATE("MEDIANA - ",C1408),COTAÇÃO,5,FALSE),VLOOKUP($C1408,DESON!$A:$D,4,))</f>
        <v>272,77</v>
      </c>
      <c r="J1408" s="209">
        <f t="shared" si="119"/>
        <v>2504.02</v>
      </c>
    </row>
    <row r="1409" spans="1:10" ht="15" customHeight="1">
      <c r="A1409" s="208" t="s">
        <v>245</v>
      </c>
      <c r="B1409" s="241"/>
      <c r="C1409" s="1181">
        <v>88315</v>
      </c>
      <c r="D1409" s="161" t="str">
        <f>IF(B1409="SEPLAG",VLOOKUP(COMPOSIÇÕES!C1409,'MAPA COMPARATIVO'!A:B,2,FALSE),VLOOKUP(C1409,'NAO DESO'!A:B,2,0))</f>
        <v>SERRALHEIRO COM ENCARGOS COMPLEMENTARES</v>
      </c>
      <c r="E1409" s="241" t="str">
        <f>VLOOKUP($C1409,'NAO DESO'!$A:$D,3,)</f>
        <v>H</v>
      </c>
      <c r="F1409" s="242">
        <v>30.07</v>
      </c>
      <c r="G1409" s="242" t="str">
        <f>IF(B1409="SEPLAG",VLOOKUP(CONCATENATE("MEDIANA - ",C1409),COTAÇÃO,5,FALSE),VLOOKUP($C1409,'NAO DESO'!$A:$D,4,))</f>
        <v>20,97</v>
      </c>
      <c r="H1409" s="242">
        <f t="shared" si="118"/>
        <v>630.55999999999995</v>
      </c>
      <c r="I1409" s="54" t="str">
        <f>IF(B1409="SEPLAG",VLOOKUP(CONCATENATE("MEDIANA - ",C1409),COTAÇÃO,5,FALSE),VLOOKUP($C1409,DESON!$A:$D,4,))</f>
        <v>18,75</v>
      </c>
      <c r="J1409" s="209">
        <f t="shared" si="119"/>
        <v>563.80999999999995</v>
      </c>
    </row>
    <row r="1410" spans="1:10" ht="15" customHeight="1">
      <c r="A1410" s="208" t="s">
        <v>245</v>
      </c>
      <c r="B1410" s="241"/>
      <c r="C1410" s="1181">
        <v>88316</v>
      </c>
      <c r="D1410" s="161" t="str">
        <f>IF(B1410="SEPLAG",VLOOKUP(COMPOSIÇÕES!C1410,'MAPA COMPARATIVO'!A:B,2,FALSE),VLOOKUP(C1410,'NAO DESO'!A:B,2,0))</f>
        <v>SERVENTE COM ENCARGOS COMPLEMENTARES</v>
      </c>
      <c r="E1410" s="241" t="str">
        <f>VLOOKUP($C1410,'NAO DESO'!$A:$D,3,)</f>
        <v>H</v>
      </c>
      <c r="F1410" s="242">
        <v>30.07</v>
      </c>
      <c r="G1410" s="242" t="str">
        <f>IF(B1410="SEPLAG",VLOOKUP(CONCATENATE("MEDIANA - ",C1410),COTAÇÃO,5,FALSE),VLOOKUP($C1410,'NAO DESO'!$A:$D,4,))</f>
        <v>16,83</v>
      </c>
      <c r="H1410" s="242">
        <f t="shared" si="118"/>
        <v>506.07</v>
      </c>
      <c r="I1410" s="54" t="str">
        <f>IF(B1410="SEPLAG",VLOOKUP(CONCATENATE("MEDIANA - ",C1410),COTAÇÃO,5,FALSE),VLOOKUP($C1410,DESON!$A:$D,4,))</f>
        <v>15,16</v>
      </c>
      <c r="J1410" s="209">
        <f t="shared" si="119"/>
        <v>455.86</v>
      </c>
    </row>
    <row r="1411" spans="1:10" ht="15" customHeight="1">
      <c r="A1411" s="210" t="str">
        <f>CONCATENATE("TOTAL DO ITEM NÃO DESON. - ",C1384)</f>
        <v>TOTAL DO ITEM NÃO DESON. - SEPLAG  ARQ 90</v>
      </c>
      <c r="B1411" s="424"/>
      <c r="C1411" s="424"/>
      <c r="D1411" s="424"/>
      <c r="E1411" s="424"/>
      <c r="F1411" s="425"/>
      <c r="G1411" s="426"/>
      <c r="H1411" s="1182">
        <f>SUM(H1386:H1410)</f>
        <v>7898.6999999999989</v>
      </c>
      <c r="I1411" s="214"/>
      <c r="J1411" s="215"/>
    </row>
    <row r="1412" spans="1:10" ht="15.75" customHeight="1" thickBot="1">
      <c r="A1412" s="216" t="str">
        <f>CONCATENATE("TOTAL DO ITEM DESON. - ",C1384)</f>
        <v>TOTAL DO ITEM DESON. - SEPLAG  ARQ 90</v>
      </c>
      <c r="B1412" s="427"/>
      <c r="C1412" s="427"/>
      <c r="D1412" s="427"/>
      <c r="E1412" s="427"/>
      <c r="F1412" s="428"/>
      <c r="G1412" s="429"/>
      <c r="H1412" s="1187"/>
      <c r="I1412" s="229"/>
      <c r="J1412" s="219">
        <f>SUM(J1386:J1410)</f>
        <v>7781.7399999999989</v>
      </c>
    </row>
    <row r="1413" spans="1:10" ht="15" customHeight="1" thickBot="1">
      <c r="A1413" s="235"/>
      <c r="B1413" s="1135"/>
      <c r="C1413" s="1135"/>
      <c r="D1413" s="1135"/>
      <c r="E1413" s="1135"/>
      <c r="F1413" s="1188"/>
      <c r="G1413" s="1188"/>
      <c r="H1413" s="1188"/>
      <c r="I1413" s="236"/>
      <c r="J1413" s="237"/>
    </row>
    <row r="1414" spans="1:10" ht="24.75" customHeight="1">
      <c r="A1414" s="198"/>
      <c r="B1414" s="1175"/>
      <c r="C1414" s="1176" t="s">
        <v>7379</v>
      </c>
      <c r="D1414" s="156" t="s">
        <v>7617</v>
      </c>
      <c r="E1414" s="1176" t="s">
        <v>32</v>
      </c>
      <c r="F1414" s="1177" t="s">
        <v>18</v>
      </c>
      <c r="G1414" s="1178" t="s">
        <v>7017</v>
      </c>
      <c r="H1414" s="1179"/>
      <c r="I1414" s="200" t="s">
        <v>7016</v>
      </c>
      <c r="J1414" s="201"/>
    </row>
    <row r="1415" spans="1:10" ht="15" customHeight="1">
      <c r="A1415" s="233"/>
      <c r="B1415" s="247"/>
      <c r="C1415" s="1155"/>
      <c r="D1415" s="157"/>
      <c r="E1415" s="1155"/>
      <c r="F1415" s="1180"/>
      <c r="G1415" s="1180" t="s">
        <v>19</v>
      </c>
      <c r="H1415" s="1180" t="s">
        <v>20</v>
      </c>
      <c r="I1415" s="205" t="s">
        <v>19</v>
      </c>
      <c r="J1415" s="206" t="s">
        <v>20</v>
      </c>
    </row>
    <row r="1416" spans="1:10" ht="15" customHeight="1">
      <c r="A1416" s="208" t="s">
        <v>39</v>
      </c>
      <c r="B1416" s="241"/>
      <c r="C1416" s="241">
        <v>34360</v>
      </c>
      <c r="D1416" s="161" t="s">
        <v>7323</v>
      </c>
      <c r="E1416" s="1194" t="s">
        <v>133</v>
      </c>
      <c r="F1416" s="242">
        <v>0.314</v>
      </c>
      <c r="G1416" s="242">
        <f>IF(B1416="SEPLAG",VLOOKUP(CONCATENATE("MEDIANA - ",C1416),COTAÇÃO,5,FALSE),VLOOKUP($C1416,'NAO DESO'!$A:$D,4,))</f>
        <v>47.31</v>
      </c>
      <c r="H1416" s="242">
        <f>TRUNC(F1416*G1416,2)</f>
        <v>14.85</v>
      </c>
      <c r="I1416" s="54" t="str">
        <f>IF(B1416="SEPLAG",VLOOKUP(CONCATENATE("MEDIANA - ",C1416),COTAÇÃO,5,FALSE),VLOOKUP($C1416,DESON!$A:$D,4,))</f>
        <v>47,31</v>
      </c>
      <c r="J1416" s="209">
        <f>TRUNC(F1416*I1416,2)</f>
        <v>14.85</v>
      </c>
    </row>
    <row r="1417" spans="1:10" ht="15" customHeight="1">
      <c r="A1417" s="208" t="s">
        <v>39</v>
      </c>
      <c r="B1417" s="241"/>
      <c r="C1417" s="241">
        <v>34360</v>
      </c>
      <c r="D1417" s="161" t="s">
        <v>7324</v>
      </c>
      <c r="E1417" s="1194" t="s">
        <v>133</v>
      </c>
      <c r="F1417" s="242">
        <v>0.51100000000000001</v>
      </c>
      <c r="G1417" s="242">
        <f>IF(B1417="SEPLAG",VLOOKUP(CONCATENATE("MEDIANA - ",C1417),COTAÇÃO,5,FALSE),VLOOKUP($C1417,'NAO DESO'!$A:$D,4,))</f>
        <v>47.31</v>
      </c>
      <c r="H1417" s="242">
        <f>TRUNC(F1417*G1417,2)</f>
        <v>24.17</v>
      </c>
      <c r="I1417" s="54" t="str">
        <f>IF(B1417="SEPLAG",VLOOKUP(CONCATENATE("MEDIANA - ",C1417),COTAÇÃO,5,FALSE),VLOOKUP($C1417,DESON!$A:$D,4,))</f>
        <v>47,31</v>
      </c>
      <c r="J1417" s="209">
        <f>TRUNC(F1417*I1417,2)</f>
        <v>24.17</v>
      </c>
    </row>
    <row r="1418" spans="1:10" ht="15" customHeight="1">
      <c r="A1418" s="208" t="s">
        <v>39</v>
      </c>
      <c r="B1418" s="241"/>
      <c r="C1418" s="241">
        <v>34360</v>
      </c>
      <c r="D1418" s="161" t="s">
        <v>7325</v>
      </c>
      <c r="E1418" s="1194" t="s">
        <v>133</v>
      </c>
      <c r="F1418" s="242">
        <v>0.20199999999999999</v>
      </c>
      <c r="G1418" s="242">
        <f>IF(B1418="SEPLAG",VLOOKUP(CONCATENATE("MEDIANA - ",C1418),COTAÇÃO,5,FALSE),VLOOKUP($C1418,'NAO DESO'!$A:$D,4,))</f>
        <v>47.31</v>
      </c>
      <c r="H1418" s="242">
        <f>TRUNC(F1418*G1418,2)</f>
        <v>9.5500000000000007</v>
      </c>
      <c r="I1418" s="54" t="str">
        <f>IF(B1418="SEPLAG",VLOOKUP(CONCATENATE("MEDIANA - ",C1418),COTAÇÃO,5,FALSE),VLOOKUP($C1418,DESON!$A:$D,4,))</f>
        <v>47,31</v>
      </c>
      <c r="J1418" s="209">
        <f>TRUNC(F1418*I1418,2)</f>
        <v>9.5500000000000007</v>
      </c>
    </row>
    <row r="1419" spans="1:10" ht="15" customHeight="1">
      <c r="A1419" s="208" t="s">
        <v>39</v>
      </c>
      <c r="B1419" s="241"/>
      <c r="C1419" s="241">
        <v>34360</v>
      </c>
      <c r="D1419" s="161" t="s">
        <v>7326</v>
      </c>
      <c r="E1419" s="1194" t="s">
        <v>133</v>
      </c>
      <c r="F1419" s="242">
        <v>0.55200000000000005</v>
      </c>
      <c r="G1419" s="242">
        <f>IF(B1419="SEPLAG",VLOOKUP(CONCATENATE("MEDIANA - ",C1419),COTAÇÃO,5,FALSE),VLOOKUP($C1419,'NAO DESO'!$A:$D,4,))</f>
        <v>47.31</v>
      </c>
      <c r="H1419" s="242">
        <f>TRUNC(F1419*G1419,2)</f>
        <v>26.11</v>
      </c>
      <c r="I1419" s="54" t="str">
        <f>IF(B1419="SEPLAG",VLOOKUP(CONCATENATE("MEDIANA - ",C1419),COTAÇÃO,5,FALSE),VLOOKUP($C1419,DESON!$A:$D,4,))</f>
        <v>47,31</v>
      </c>
      <c r="J1419" s="209">
        <f>TRUNC(F1419*I1419,2)</f>
        <v>26.11</v>
      </c>
    </row>
    <row r="1420" spans="1:10" ht="15" customHeight="1">
      <c r="A1420" s="208" t="s">
        <v>39</v>
      </c>
      <c r="B1420" s="241"/>
      <c r="C1420" s="241">
        <v>34360</v>
      </c>
      <c r="D1420" s="161" t="s">
        <v>7327</v>
      </c>
      <c r="E1420" s="1194" t="s">
        <v>133</v>
      </c>
      <c r="F1420" s="242">
        <v>0.92700000000000005</v>
      </c>
      <c r="G1420" s="242">
        <f>IF(B1420="SEPLAG",VLOOKUP(CONCATENATE("MEDIANA - ",C1420),COTAÇÃO,5,FALSE),VLOOKUP($C1420,'NAO DESO'!$A:$D,4,))</f>
        <v>47.31</v>
      </c>
      <c r="H1420" s="242">
        <f>TRUNC(F1420*G1420,2)</f>
        <v>43.85</v>
      </c>
      <c r="I1420" s="54" t="str">
        <f>IF(B1420="SEPLAG",VLOOKUP(CONCATENATE("MEDIANA - ",C1420),COTAÇÃO,5,FALSE),VLOOKUP($C1420,DESON!$A:$D,4,))</f>
        <v>47,31</v>
      </c>
      <c r="J1420" s="209">
        <f>TRUNC(F1420*I1420,2)</f>
        <v>43.85</v>
      </c>
    </row>
    <row r="1421" spans="1:10" ht="15" customHeight="1">
      <c r="A1421" s="208" t="s">
        <v>39</v>
      </c>
      <c r="B1421" s="241"/>
      <c r="C1421" s="241">
        <v>34360</v>
      </c>
      <c r="D1421" s="161" t="s">
        <v>7328</v>
      </c>
      <c r="E1421" s="1194" t="s">
        <v>133</v>
      </c>
      <c r="F1421" s="242">
        <v>0</v>
      </c>
      <c r="G1421" s="242">
        <f>IF(B1421="SEPLAG",VLOOKUP(CONCATENATE("MEDIANA - ",C1421),COTAÇÃO,5,FALSE),VLOOKUP($C1421,'NAO DESO'!$A:$D,4,))</f>
        <v>47.31</v>
      </c>
      <c r="H1421" s="242">
        <f>F1421*G1421</f>
        <v>0</v>
      </c>
      <c r="I1421" s="54" t="str">
        <f>IF(B1421="SEPLAG",VLOOKUP(CONCATENATE("MEDIANA - ",C1421),COTAÇÃO,5,FALSE),VLOOKUP($C1421,DESON!$A:$D,4,))</f>
        <v>47,31</v>
      </c>
      <c r="J1421" s="209">
        <f>F1421*I1421</f>
        <v>0</v>
      </c>
    </row>
    <row r="1422" spans="1:10" ht="15" customHeight="1">
      <c r="A1422" s="208" t="s">
        <v>39</v>
      </c>
      <c r="B1422" s="241"/>
      <c r="C1422" s="241">
        <v>34360</v>
      </c>
      <c r="D1422" s="161" t="s">
        <v>7329</v>
      </c>
      <c r="E1422" s="1194" t="s">
        <v>133</v>
      </c>
      <c r="F1422" s="242"/>
      <c r="G1422" s="242">
        <f>IF(B1422="SEPLAG",VLOOKUP(CONCATENATE("MEDIANA - ",C1422),COTAÇÃO,5,FALSE),VLOOKUP($C1422,'NAO DESO'!$A:$D,4,))</f>
        <v>47.31</v>
      </c>
      <c r="H1422" s="242">
        <f>F1422*G1422</f>
        <v>0</v>
      </c>
      <c r="I1422" s="54" t="str">
        <f>IF(B1422="SEPLAG",VLOOKUP(CONCATENATE("MEDIANA - ",C1422),COTAÇÃO,5,FALSE),VLOOKUP($C1422,DESON!$A:$D,4,))</f>
        <v>47,31</v>
      </c>
      <c r="J1422" s="209">
        <f>F1422*I1422</f>
        <v>0</v>
      </c>
    </row>
    <row r="1423" spans="1:10" ht="15" customHeight="1">
      <c r="A1423" s="208" t="s">
        <v>39</v>
      </c>
      <c r="B1423" s="241"/>
      <c r="C1423" s="241">
        <v>34360</v>
      </c>
      <c r="D1423" s="161" t="s">
        <v>7330</v>
      </c>
      <c r="E1423" s="1194" t="s">
        <v>133</v>
      </c>
      <c r="F1423" s="242">
        <v>0</v>
      </c>
      <c r="G1423" s="242">
        <f>IF(B1423="SEPLAG",VLOOKUP(CONCATENATE("MEDIANA - ",C1423),COTAÇÃO,5,FALSE),VLOOKUP($C1423,'NAO DESO'!$A:$D,4,))</f>
        <v>47.31</v>
      </c>
      <c r="H1423" s="242">
        <f>F1423*G1423</f>
        <v>0</v>
      </c>
      <c r="I1423" s="54" t="str">
        <f>IF(B1423="SEPLAG",VLOOKUP(CONCATENATE("MEDIANA - ",C1423),COTAÇÃO,5,FALSE),VLOOKUP($C1423,DESON!$A:$D,4,))</f>
        <v>47,31</v>
      </c>
      <c r="J1423" s="209">
        <f>F1423*I1423</f>
        <v>0</v>
      </c>
    </row>
    <row r="1424" spans="1:10" ht="15" customHeight="1">
      <c r="A1424" s="208" t="s">
        <v>39</v>
      </c>
      <c r="B1424" s="241"/>
      <c r="C1424" s="241">
        <v>34360</v>
      </c>
      <c r="D1424" s="161" t="s">
        <v>7331</v>
      </c>
      <c r="E1424" s="1194" t="s">
        <v>133</v>
      </c>
      <c r="F1424" s="242">
        <v>1.1520000000000001</v>
      </c>
      <c r="G1424" s="242">
        <f>IF(B1424="SEPLAG",VLOOKUP(CONCATENATE("MEDIANA - ",C1424),COTAÇÃO,5,FALSE),VLOOKUP($C1424,'NAO DESO'!$A:$D,4,))</f>
        <v>47.31</v>
      </c>
      <c r="H1424" s="242">
        <f t="shared" ref="H1424:H1434" si="120">TRUNC(F1424*G1424,2)</f>
        <v>54.5</v>
      </c>
      <c r="I1424" s="54" t="str">
        <f>IF(B1424="SEPLAG",VLOOKUP(CONCATENATE("MEDIANA - ",C1424),COTAÇÃO,5,FALSE),VLOOKUP($C1424,DESON!$A:$D,4,))</f>
        <v>47,31</v>
      </c>
      <c r="J1424" s="209">
        <f t="shared" ref="J1424:J1434" si="121">TRUNC(F1424*I1424,2)</f>
        <v>54.5</v>
      </c>
    </row>
    <row r="1425" spans="1:10" ht="15" customHeight="1">
      <c r="A1425" s="208" t="s">
        <v>39</v>
      </c>
      <c r="B1425" s="241"/>
      <c r="C1425" s="241">
        <v>34360</v>
      </c>
      <c r="D1425" s="161" t="s">
        <v>7332</v>
      </c>
      <c r="E1425" s="1194" t="s">
        <v>133</v>
      </c>
      <c r="F1425" s="242">
        <v>0.106</v>
      </c>
      <c r="G1425" s="242">
        <f>IF(B1425="SEPLAG",VLOOKUP(CONCATENATE("MEDIANA - ",C1425),COTAÇÃO,5,FALSE),VLOOKUP($C1425,'NAO DESO'!$A:$D,4,))</f>
        <v>47.31</v>
      </c>
      <c r="H1425" s="242">
        <f t="shared" si="120"/>
        <v>5.01</v>
      </c>
      <c r="I1425" s="54" t="str">
        <f>IF(B1425="SEPLAG",VLOOKUP(CONCATENATE("MEDIANA - ",C1425),COTAÇÃO,5,FALSE),VLOOKUP($C1425,DESON!$A:$D,4,))</f>
        <v>47,31</v>
      </c>
      <c r="J1425" s="209">
        <f t="shared" si="121"/>
        <v>5.01</v>
      </c>
    </row>
    <row r="1426" spans="1:10" ht="15" customHeight="1">
      <c r="A1426" s="208" t="s">
        <v>39</v>
      </c>
      <c r="B1426" s="241"/>
      <c r="C1426" s="241">
        <v>34360</v>
      </c>
      <c r="D1426" s="161" t="s">
        <v>7333</v>
      </c>
      <c r="E1426" s="1194" t="s">
        <v>133</v>
      </c>
      <c r="F1426" s="242">
        <v>0.501</v>
      </c>
      <c r="G1426" s="242">
        <f>IF(B1426="SEPLAG",VLOOKUP(CONCATENATE("MEDIANA - ",C1426),COTAÇÃO,5,FALSE),VLOOKUP($C1426,'NAO DESO'!$A:$D,4,))</f>
        <v>47.31</v>
      </c>
      <c r="H1426" s="242">
        <f t="shared" si="120"/>
        <v>23.7</v>
      </c>
      <c r="I1426" s="54" t="str">
        <f>IF(B1426="SEPLAG",VLOOKUP(CONCATENATE("MEDIANA - ",C1426),COTAÇÃO,5,FALSE),VLOOKUP($C1426,DESON!$A:$D,4,))</f>
        <v>47,31</v>
      </c>
      <c r="J1426" s="209">
        <f t="shared" si="121"/>
        <v>23.7</v>
      </c>
    </row>
    <row r="1427" spans="1:10" ht="15" customHeight="1">
      <c r="A1427" s="208" t="s">
        <v>39</v>
      </c>
      <c r="B1427" s="241" t="s">
        <v>14504</v>
      </c>
      <c r="C1427" s="1181" t="s">
        <v>14307</v>
      </c>
      <c r="D1427" s="161" t="str">
        <f>IF(B1427="SEPLAG",VLOOKUP(COMPOSIÇÕES!C1427,'MAPA COMPARATIVO'!A:B,2,FALSE),VLOOKUP(C1427,'NAO DESO'!A:B,2,0))</f>
        <v xml:space="preserve">Braço de max-ar linha gold de 600mm </v>
      </c>
      <c r="E1427" s="1194" t="s">
        <v>24</v>
      </c>
      <c r="F1427" s="242">
        <v>1</v>
      </c>
      <c r="G1427" s="242">
        <f>IF(B1427="SEPLAG",VLOOKUP(CONCATENATE("MEDIANA - ",C1427),COTAÇÃO,5,FALSE),VLOOKUP($C1427,'NAO DESO'!$A:$D,4,))</f>
        <v>36.575000000000003</v>
      </c>
      <c r="H1427" s="242">
        <f t="shared" si="120"/>
        <v>36.57</v>
      </c>
      <c r="I1427" s="54">
        <f>IF(B1427="SEPLAG",VLOOKUP(CONCATENATE("MEDIANA - ",C1427),COTAÇÃO,5,FALSE),VLOOKUP($C1427,DESON!$A:$D,4,))</f>
        <v>36.575000000000003</v>
      </c>
      <c r="J1427" s="209">
        <f t="shared" si="121"/>
        <v>36.57</v>
      </c>
    </row>
    <row r="1428" spans="1:10" ht="15" customHeight="1">
      <c r="A1428" s="208" t="s">
        <v>39</v>
      </c>
      <c r="B1428" s="241" t="s">
        <v>14504</v>
      </c>
      <c r="C1428" s="1181" t="s">
        <v>14308</v>
      </c>
      <c r="D1428" s="161" t="str">
        <f>IF(B1428="SEPLAG",VLOOKUP(COMPOSIÇÕES!C1428,'MAPA COMPARATIVO'!A:B,2,FALSE),VLOOKUP(C1428,'NAO DESO'!A:B,2,0))</f>
        <v>Fecho max-ar linha gold</v>
      </c>
      <c r="E1428" s="1194" t="s">
        <v>24</v>
      </c>
      <c r="F1428" s="242">
        <v>1</v>
      </c>
      <c r="G1428" s="242">
        <f>IF(B1428="SEPLAG",VLOOKUP(CONCATENATE("MEDIANA - ",C1428),COTAÇÃO,5,FALSE),VLOOKUP($C1428,'NAO DESO'!$A:$D,4,))</f>
        <v>47.36</v>
      </c>
      <c r="H1428" s="242">
        <f t="shared" si="120"/>
        <v>47.36</v>
      </c>
      <c r="I1428" s="54">
        <f>IF(B1428="SEPLAG",VLOOKUP(CONCATENATE("MEDIANA - ",C1428),COTAÇÃO,5,FALSE),VLOOKUP($C1428,DESON!$A:$D,4,))</f>
        <v>47.36</v>
      </c>
      <c r="J1428" s="209">
        <f t="shared" si="121"/>
        <v>47.36</v>
      </c>
    </row>
    <row r="1429" spans="1:10" ht="15" customHeight="1">
      <c r="A1429" s="208" t="s">
        <v>39</v>
      </c>
      <c r="B1429" s="241" t="s">
        <v>14504</v>
      </c>
      <c r="C1429" s="1181" t="s">
        <v>14309</v>
      </c>
      <c r="D1429" s="161" t="str">
        <f>IF(B1429="SEPLAG",VLOOKUP(COMPOSIÇÕES!C1429,'MAPA COMPARATIVO'!A:B,2,FALSE),VLOOKUP(C1429,'NAO DESO'!A:B,2,0))</f>
        <v>Guarnição em EPDM p/ pingadeira</v>
      </c>
      <c r="E1429" s="1194" t="s">
        <v>250</v>
      </c>
      <c r="F1429" s="242">
        <v>0.67200000000000004</v>
      </c>
      <c r="G1429" s="242">
        <f>IF(B1429="SEPLAG",VLOOKUP(CONCATENATE("MEDIANA - ",C1429),COTAÇÃO,5,FALSE),VLOOKUP($C1429,'NAO DESO'!$A:$D,4,))</f>
        <v>4.3849999999999998</v>
      </c>
      <c r="H1429" s="242">
        <f t="shared" si="120"/>
        <v>2.94</v>
      </c>
      <c r="I1429" s="54">
        <f>IF(B1429="SEPLAG",VLOOKUP(CONCATENATE("MEDIANA - ",C1429),COTAÇÃO,5,FALSE),VLOOKUP($C1429,DESON!$A:$D,4,))</f>
        <v>4.3849999999999998</v>
      </c>
      <c r="J1429" s="209">
        <f t="shared" si="121"/>
        <v>2.94</v>
      </c>
    </row>
    <row r="1430" spans="1:10" ht="15" customHeight="1">
      <c r="A1430" s="208" t="s">
        <v>39</v>
      </c>
      <c r="B1430" s="241" t="s">
        <v>14504</v>
      </c>
      <c r="C1430" s="1181" t="s">
        <v>14310</v>
      </c>
      <c r="D1430" s="161" t="str">
        <f>IF(B1430="SEPLAG",VLOOKUP(COMPOSIÇÕES!C1430,'MAPA COMPARATIVO'!A:B,2,FALSE),VLOOKUP(C1430,'NAO DESO'!A:B,2,0))</f>
        <v>Guarnição em EPDM para vidro</v>
      </c>
      <c r="E1430" s="1194" t="s">
        <v>250</v>
      </c>
      <c r="F1430" s="242">
        <v>2.1779999999999999</v>
      </c>
      <c r="G1430" s="242">
        <f>IF(B1430="SEPLAG",VLOOKUP(CONCATENATE("MEDIANA - ",C1430),COTAÇÃO,5,FALSE),VLOOKUP($C1430,'NAO DESO'!$A:$D,4,))</f>
        <v>2.4091999999999998</v>
      </c>
      <c r="H1430" s="242">
        <f t="shared" si="120"/>
        <v>5.24</v>
      </c>
      <c r="I1430" s="54">
        <f>IF(B1430="SEPLAG",VLOOKUP(CONCATENATE("MEDIANA - ",C1430),COTAÇÃO,5,FALSE),VLOOKUP($C1430,DESON!$A:$D,4,))</f>
        <v>2.4091999999999998</v>
      </c>
      <c r="J1430" s="209">
        <f t="shared" si="121"/>
        <v>5.24</v>
      </c>
    </row>
    <row r="1431" spans="1:10" ht="15" customHeight="1">
      <c r="A1431" s="208" t="s">
        <v>39</v>
      </c>
      <c r="B1431" s="241" t="s">
        <v>14504</v>
      </c>
      <c r="C1431" s="1181" t="s">
        <v>14311</v>
      </c>
      <c r="D1431" s="161" t="str">
        <f>IF(B1431="SEPLAG",VLOOKUP(COMPOSIÇÕES!C1431,'MAPA COMPARATIVO'!A:B,2,FALSE),VLOOKUP(C1431,'NAO DESO'!A:B,2,0))</f>
        <v>Espuma adesiva 1 face</v>
      </c>
      <c r="E1431" s="1194" t="s">
        <v>250</v>
      </c>
      <c r="F1431" s="242">
        <v>2.1779999999999999</v>
      </c>
      <c r="G1431" s="242">
        <f>IF(B1431="SEPLAG",VLOOKUP(CONCATENATE("MEDIANA - ",C1431),COTAÇÃO,5,FALSE),VLOOKUP($C1431,'NAO DESO'!$A:$D,4,))</f>
        <v>2.1800000000000002</v>
      </c>
      <c r="H1431" s="242">
        <f t="shared" si="120"/>
        <v>4.74</v>
      </c>
      <c r="I1431" s="54">
        <f>IF(B1431="SEPLAG",VLOOKUP(CONCATENATE("MEDIANA - ",C1431),COTAÇÃO,5,FALSE),VLOOKUP($C1431,DESON!$A:$D,4,))</f>
        <v>2.1800000000000002</v>
      </c>
      <c r="J1431" s="209">
        <f t="shared" si="121"/>
        <v>4.74</v>
      </c>
    </row>
    <row r="1432" spans="1:10" ht="15" customHeight="1">
      <c r="A1432" s="208" t="s">
        <v>39</v>
      </c>
      <c r="B1432" s="241" t="s">
        <v>14504</v>
      </c>
      <c r="C1432" s="1181" t="s">
        <v>14312</v>
      </c>
      <c r="D1432" s="161" t="str">
        <f>IF(B1432="SEPLAG",VLOOKUP(COMPOSIÇÕES!C1432,'MAPA COMPARATIVO'!A:B,2,FALSE),VLOOKUP(C1432,'NAO DESO'!A:B,2,0))</f>
        <v>Guarnição em EPDM p/ marco max-ar</v>
      </c>
      <c r="E1432" s="1194" t="s">
        <v>250</v>
      </c>
      <c r="F1432" s="242">
        <v>3.5779999999999998</v>
      </c>
      <c r="G1432" s="242">
        <f>IF(B1432="SEPLAG",VLOOKUP(CONCATENATE("MEDIANA - ",C1432),COTAÇÃO,5,FALSE),VLOOKUP($C1432,'NAO DESO'!$A:$D,4,))</f>
        <v>3.8138999999999998</v>
      </c>
      <c r="H1432" s="242">
        <f t="shared" si="120"/>
        <v>13.64</v>
      </c>
      <c r="I1432" s="54">
        <f>IF(B1432="SEPLAG",VLOOKUP(CONCATENATE("MEDIANA - ",C1432),COTAÇÃO,5,FALSE),VLOOKUP($C1432,DESON!$A:$D,4,))</f>
        <v>3.8138999999999998</v>
      </c>
      <c r="J1432" s="209">
        <f t="shared" si="121"/>
        <v>13.64</v>
      </c>
    </row>
    <row r="1433" spans="1:10" ht="15" customHeight="1">
      <c r="A1433" s="208" t="s">
        <v>39</v>
      </c>
      <c r="B1433" s="241" t="s">
        <v>14504</v>
      </c>
      <c r="C1433" s="1181" t="s">
        <v>14313</v>
      </c>
      <c r="D1433" s="161" t="str">
        <f>IF(B1433="SEPLAG",VLOOKUP(COMPOSIÇÕES!C1433,'MAPA COMPARATIVO'!A:B,2,FALSE),VLOOKUP(C1433,'NAO DESO'!A:B,2,0))</f>
        <v>PRESILHA DE FIXAÇÃO DO ARREMATE MP-347</v>
      </c>
      <c r="E1433" s="1194" t="s">
        <v>24</v>
      </c>
      <c r="F1433" s="242">
        <v>8</v>
      </c>
      <c r="G1433" s="242">
        <f>IF(B1433="SEPLAG",VLOOKUP(CONCATENATE("MEDIANA - ",C1433),COTAÇÃO,5,FALSE),VLOOKUP($C1433,'NAO DESO'!$A:$D,4,))</f>
        <v>0.34</v>
      </c>
      <c r="H1433" s="242">
        <f t="shared" si="120"/>
        <v>2.72</v>
      </c>
      <c r="I1433" s="54">
        <f>IF(B1433="SEPLAG",VLOOKUP(CONCATENATE("MEDIANA - ",C1433),COTAÇÃO,5,FALSE),VLOOKUP($C1433,DESON!$A:$D,4,))</f>
        <v>0.34</v>
      </c>
      <c r="J1433" s="209">
        <f t="shared" si="121"/>
        <v>2.72</v>
      </c>
    </row>
    <row r="1434" spans="1:10" ht="15" customHeight="1">
      <c r="A1434" s="208" t="s">
        <v>39</v>
      </c>
      <c r="B1434" s="241" t="s">
        <v>14504</v>
      </c>
      <c r="C1434" s="1181" t="s">
        <v>14314</v>
      </c>
      <c r="D1434" s="161" t="str">
        <f>IF(B1434="SEPLAG",VLOOKUP(COMPOSIÇÕES!C1434,'MAPA COMPARATIVO'!A:B,2,FALSE),VLOOKUP(C1434,'NAO DESO'!A:B,2,0))</f>
        <v>Parafuso zincado phillips flangeado autobrocante 4,2 x 16mm</v>
      </c>
      <c r="E1434" s="1194" t="s">
        <v>24</v>
      </c>
      <c r="F1434" s="242">
        <v>8</v>
      </c>
      <c r="G1434" s="242">
        <f>IF(B1434="SEPLAG",VLOOKUP(CONCATENATE("MEDIANA - ",C1434),COTAÇÃO,5,FALSE),VLOOKUP($C1434,'NAO DESO'!$A:$D,4,))</f>
        <v>0.28000000000000003</v>
      </c>
      <c r="H1434" s="242">
        <f t="shared" si="120"/>
        <v>2.2400000000000002</v>
      </c>
      <c r="I1434" s="54">
        <f>IF(B1434="SEPLAG",VLOOKUP(CONCATENATE("MEDIANA - ",C1434),COTAÇÃO,5,FALSE),VLOOKUP($C1434,DESON!$A:$D,4,))</f>
        <v>0.28000000000000003</v>
      </c>
      <c r="J1434" s="209">
        <f t="shared" si="121"/>
        <v>2.2400000000000002</v>
      </c>
    </row>
    <row r="1435" spans="1:10" ht="15" customHeight="1">
      <c r="A1435" s="208" t="s">
        <v>39</v>
      </c>
      <c r="B1435" s="241" t="s">
        <v>14504</v>
      </c>
      <c r="C1435" s="1181" t="s">
        <v>14315</v>
      </c>
      <c r="D1435" s="161" t="str">
        <f>IF(B1435="SEPLAG",VLOOKUP(COMPOSIÇÕES!C1435,'MAPA COMPARATIVO'!A:B,2,FALSE),VLOOKUP(C1435,'NAO DESO'!A:B,2,0))</f>
        <v>PARAF. PANELA PHILIPS INOX 4,8 X32 PONTA PILOTO</v>
      </c>
      <c r="E1435" s="1194" t="s">
        <v>24</v>
      </c>
      <c r="F1435" s="242">
        <v>0</v>
      </c>
      <c r="G1435" s="242">
        <f>IF(B1435="SEPLAG",VLOOKUP(CONCATENATE("MEDIANA - ",C1435),COTAÇÃO,5,FALSE),VLOOKUP($C1435,'NAO DESO'!$A:$D,4,))</f>
        <v>0.95</v>
      </c>
      <c r="H1435" s="242">
        <f>F1435*G1435</f>
        <v>0</v>
      </c>
      <c r="I1435" s="54">
        <f>IF(B1435="SEPLAG",VLOOKUP(CONCATENATE("MEDIANA - ",C1435),COTAÇÃO,5,FALSE),VLOOKUP($C1435,DESON!$A:$D,4,))</f>
        <v>0.95</v>
      </c>
      <c r="J1435" s="209">
        <f>F1435*I1435</f>
        <v>0</v>
      </c>
    </row>
    <row r="1436" spans="1:10" ht="15" customHeight="1">
      <c r="A1436" s="208" t="s">
        <v>39</v>
      </c>
      <c r="B1436" s="241" t="s">
        <v>14504</v>
      </c>
      <c r="C1436" s="1181" t="s">
        <v>14316</v>
      </c>
      <c r="D1436" s="161" t="str">
        <f>IF(B1436="SEPLAG",VLOOKUP(COMPOSIÇÕES!C1436,'MAPA COMPARATIVO'!A:B,2,FALSE),VLOOKUP(C1436,'NAO DESO'!A:B,2,0))</f>
        <v>CHUMBADOR DE CM-063/060</v>
      </c>
      <c r="E1436" s="1194" t="s">
        <v>24</v>
      </c>
      <c r="F1436" s="242">
        <v>8</v>
      </c>
      <c r="G1436" s="242">
        <f>IF(B1436="SEPLAG",VLOOKUP(CONCATENATE("MEDIANA - ",C1436),COTAÇÃO,5,FALSE),VLOOKUP($C1436,'NAO DESO'!$A:$D,4,))</f>
        <v>0.86</v>
      </c>
      <c r="H1436" s="242">
        <f>TRUNC(F1436*G1436,2)</f>
        <v>6.88</v>
      </c>
      <c r="I1436" s="54">
        <f>IF(B1436="SEPLAG",VLOOKUP(CONCATENATE("MEDIANA - ",C1436),COTAÇÃO,5,FALSE),VLOOKUP($C1436,DESON!$A:$D,4,))</f>
        <v>0.86</v>
      </c>
      <c r="J1436" s="209">
        <f>TRUNC(F1436*I1436,2)</f>
        <v>6.88</v>
      </c>
    </row>
    <row r="1437" spans="1:10" ht="15" customHeight="1">
      <c r="A1437" s="208" t="s">
        <v>39</v>
      </c>
      <c r="B1437" s="241" t="s">
        <v>14504</v>
      </c>
      <c r="C1437" s="1181" t="s">
        <v>14317</v>
      </c>
      <c r="D1437" s="161" t="str">
        <f>IF(B1437="SEPLAG",VLOOKUP(COMPOSIÇÕES!C1437,'MAPA COMPARATIVO'!A:B,2,FALSE),VLOOKUP(C1437,'NAO DESO'!A:B,2,0))</f>
        <v>Silicone neutro incolor 280 g</v>
      </c>
      <c r="E1437" s="1194" t="s">
        <v>24</v>
      </c>
      <c r="F1437" s="242">
        <v>1</v>
      </c>
      <c r="G1437" s="242">
        <f>IF(B1437="SEPLAG",VLOOKUP(CONCATENATE("MEDIANA - ",C1437),COTAÇÃO,5,FALSE),VLOOKUP($C1437,'NAO DESO'!$A:$D,4,))</f>
        <v>43.9</v>
      </c>
      <c r="H1437" s="242">
        <f>TRUNC(F1437*G1437,2)</f>
        <v>43.9</v>
      </c>
      <c r="I1437" s="54">
        <f>IF(B1437="SEPLAG",VLOOKUP(CONCATENATE("MEDIANA - ",C1437),COTAÇÃO,5,FALSE),VLOOKUP($C1437,DESON!$A:$D,4,))</f>
        <v>43.9</v>
      </c>
      <c r="J1437" s="209">
        <f>TRUNC(F1437*I1437,2)</f>
        <v>43.9</v>
      </c>
    </row>
    <row r="1438" spans="1:10" ht="15" customHeight="1">
      <c r="A1438" s="208" t="s">
        <v>245</v>
      </c>
      <c r="B1438" s="241"/>
      <c r="C1438" s="1181">
        <v>10505</v>
      </c>
      <c r="D1438" s="161" t="str">
        <f>IF(B1438="SEPLAG",VLOOKUP(COMPOSIÇÕES!C1438,'MAPA COMPARATIVO'!A:B,2,FALSE),VLOOKUP(C1438,'NAO DESO'!A:B,2,0))</f>
        <v>VIDRO TEMPERADO INCOLOR E = 6 MM, SEM COLOCACAO</v>
      </c>
      <c r="E1438" s="241" t="str">
        <f>VLOOKUP($C1438,'NAO DESO'!$A:$D,3,)</f>
        <v xml:space="preserve">M2    </v>
      </c>
      <c r="F1438" s="242">
        <v>0.35</v>
      </c>
      <c r="G1438" s="242">
        <f>IF(B1438="SEPLAG",VLOOKUP(CONCATENATE("MEDIANA - ",C1438),COTAÇÃO,5,FALSE),VLOOKUP($C1438,'NAO DESO'!$A:$D,4,))</f>
        <v>272.77</v>
      </c>
      <c r="H1438" s="242">
        <f>TRUNC(F1438*G1438,2)</f>
        <v>95.46</v>
      </c>
      <c r="I1438" s="54" t="str">
        <f>IF(B1438="SEPLAG",VLOOKUP(CONCATENATE("MEDIANA - ",C1438),COTAÇÃO,5,FALSE),VLOOKUP($C1438,DESON!$A:$D,4,))</f>
        <v>272,77</v>
      </c>
      <c r="J1438" s="209">
        <f>TRUNC(F1438*I1438,2)</f>
        <v>95.46</v>
      </c>
    </row>
    <row r="1439" spans="1:10" ht="15" customHeight="1">
      <c r="A1439" s="208" t="s">
        <v>245</v>
      </c>
      <c r="B1439" s="241"/>
      <c r="C1439" s="1181">
        <v>88315</v>
      </c>
      <c r="D1439" s="161" t="str">
        <f>IF(B1439="SEPLAG",VLOOKUP(COMPOSIÇÕES!C1439,'MAPA COMPARATIVO'!A:B,2,FALSE),VLOOKUP(C1439,'NAO DESO'!A:B,2,0))</f>
        <v>SERRALHEIRO COM ENCARGOS COMPLEMENTARES</v>
      </c>
      <c r="E1439" s="241" t="str">
        <f>VLOOKUP($C1439,'NAO DESO'!$A:$D,3,)</f>
        <v>H</v>
      </c>
      <c r="F1439" s="242">
        <v>1.1399999999999999</v>
      </c>
      <c r="G1439" s="242" t="str">
        <f>IF(B1439="SEPLAG",VLOOKUP(CONCATENATE("MEDIANA - ",C1439),COTAÇÃO,5,FALSE),VLOOKUP($C1439,'NAO DESO'!$A:$D,4,))</f>
        <v>20,97</v>
      </c>
      <c r="H1439" s="242">
        <f>TRUNC(F1439*G1439,2)</f>
        <v>23.9</v>
      </c>
      <c r="I1439" s="54" t="str">
        <f>IF(B1439="SEPLAG",VLOOKUP(CONCATENATE("MEDIANA - ",C1439),COTAÇÃO,5,FALSE),VLOOKUP($C1439,DESON!$A:$D,4,))</f>
        <v>18,75</v>
      </c>
      <c r="J1439" s="209">
        <f>TRUNC(F1439*I1439,2)</f>
        <v>21.37</v>
      </c>
    </row>
    <row r="1440" spans="1:10" ht="15" customHeight="1">
      <c r="A1440" s="208" t="s">
        <v>245</v>
      </c>
      <c r="B1440" s="241"/>
      <c r="C1440" s="1181">
        <v>88316</v>
      </c>
      <c r="D1440" s="161" t="str">
        <f>IF(B1440="SEPLAG",VLOOKUP(COMPOSIÇÕES!C1440,'MAPA COMPARATIVO'!A:B,2,FALSE),VLOOKUP(C1440,'NAO DESO'!A:B,2,0))</f>
        <v>SERVENTE COM ENCARGOS COMPLEMENTARES</v>
      </c>
      <c r="E1440" s="241" t="str">
        <f>VLOOKUP($C1440,'NAO DESO'!$A:$D,3,)</f>
        <v>H</v>
      </c>
      <c r="F1440" s="242">
        <v>1.1399999999999999</v>
      </c>
      <c r="G1440" s="242" t="str">
        <f>IF(B1440="SEPLAG",VLOOKUP(CONCATENATE("MEDIANA - ",C1440),COTAÇÃO,5,FALSE),VLOOKUP($C1440,'NAO DESO'!$A:$D,4,))</f>
        <v>16,83</v>
      </c>
      <c r="H1440" s="242">
        <f>TRUNC(F1440*G1440,2)</f>
        <v>19.18</v>
      </c>
      <c r="I1440" s="54" t="str">
        <f>IF(B1440="SEPLAG",VLOOKUP(CONCATENATE("MEDIANA - ",C1440),COTAÇÃO,5,FALSE),VLOOKUP($C1440,DESON!$A:$D,4,))</f>
        <v>15,16</v>
      </c>
      <c r="J1440" s="209">
        <f>TRUNC(F1440*I1440,2)</f>
        <v>17.28</v>
      </c>
    </row>
    <row r="1441" spans="1:10" ht="15" customHeight="1">
      <c r="A1441" s="210" t="str">
        <f>CONCATENATE("TOTAL DO ITEM NÃO DESON. - ",C1414)</f>
        <v>TOTAL DO ITEM NÃO DESON. - SEPLAG  ARQ 91</v>
      </c>
      <c r="B1441" s="424"/>
      <c r="C1441" s="424"/>
      <c r="D1441" s="424"/>
      <c r="E1441" s="424"/>
      <c r="F1441" s="425"/>
      <c r="G1441" s="426"/>
      <c r="H1441" s="1182">
        <f>SUM(H1416:H1440)</f>
        <v>506.50999999999993</v>
      </c>
      <c r="I1441" s="214"/>
      <c r="J1441" s="215"/>
    </row>
    <row r="1442" spans="1:10" ht="15.75" customHeight="1" thickBot="1">
      <c r="A1442" s="216" t="str">
        <f>CONCATENATE("TOTAL DO ITEM DESON. - ",C1414)</f>
        <v>TOTAL DO ITEM DESON. - SEPLAG  ARQ 91</v>
      </c>
      <c r="B1442" s="427"/>
      <c r="C1442" s="427"/>
      <c r="D1442" s="427"/>
      <c r="E1442" s="427"/>
      <c r="F1442" s="428"/>
      <c r="G1442" s="429"/>
      <c r="H1442" s="1187"/>
      <c r="I1442" s="229"/>
      <c r="J1442" s="219">
        <f>SUM(J1416:J1440)</f>
        <v>502.07999999999993</v>
      </c>
    </row>
    <row r="1443" spans="1:10" ht="15" customHeight="1" thickBot="1">
      <c r="A1443" s="421"/>
      <c r="B1443" s="1138"/>
      <c r="C1443" s="1138"/>
      <c r="D1443" s="1138"/>
      <c r="E1443" s="1154"/>
      <c r="F1443" s="1196"/>
      <c r="G1443" s="1196"/>
      <c r="H1443" s="1196"/>
      <c r="I1443" s="423"/>
      <c r="J1443" s="422"/>
    </row>
    <row r="1444" spans="1:10" ht="33" customHeight="1">
      <c r="A1444" s="198"/>
      <c r="B1444" s="1175"/>
      <c r="C1444" s="1176" t="s">
        <v>7380</v>
      </c>
      <c r="D1444" s="156" t="s">
        <v>7630</v>
      </c>
      <c r="E1444" s="1176" t="s">
        <v>32</v>
      </c>
      <c r="F1444" s="1177" t="s">
        <v>18</v>
      </c>
      <c r="G1444" s="1178" t="s">
        <v>7017</v>
      </c>
      <c r="H1444" s="1179"/>
      <c r="I1444" s="200" t="s">
        <v>7016</v>
      </c>
      <c r="J1444" s="201"/>
    </row>
    <row r="1445" spans="1:10" ht="15" customHeight="1">
      <c r="A1445" s="233"/>
      <c r="B1445" s="247"/>
      <c r="C1445" s="1155"/>
      <c r="D1445" s="157"/>
      <c r="E1445" s="1155"/>
      <c r="F1445" s="1180"/>
      <c r="G1445" s="1180" t="s">
        <v>19</v>
      </c>
      <c r="H1445" s="1180" t="s">
        <v>20</v>
      </c>
      <c r="I1445" s="205" t="s">
        <v>19</v>
      </c>
      <c r="J1445" s="206" t="s">
        <v>20</v>
      </c>
    </row>
    <row r="1446" spans="1:10" ht="15" customHeight="1">
      <c r="A1446" s="208" t="s">
        <v>39</v>
      </c>
      <c r="B1446" s="241"/>
      <c r="C1446" s="241">
        <v>34360</v>
      </c>
      <c r="D1446" s="161" t="s">
        <v>7323</v>
      </c>
      <c r="E1446" s="1194" t="s">
        <v>133</v>
      </c>
      <c r="F1446" s="242">
        <v>2.2229999999999999</v>
      </c>
      <c r="G1446" s="242">
        <f>IF(B1446="SEPLAG",VLOOKUP(CONCATENATE("MEDIANA - ",C1446),COTAÇÃO,5,FALSE),VLOOKUP($C1446,'NAO DESO'!$A:$D,4,))</f>
        <v>47.31</v>
      </c>
      <c r="H1446" s="242">
        <f t="shared" ref="H1446:H1470" si="122">TRUNC(F1446*G1446,2)</f>
        <v>105.17</v>
      </c>
      <c r="I1446" s="54" t="str">
        <f>IF(B1446="SEPLAG",VLOOKUP(CONCATENATE("MEDIANA - ",C1446),COTAÇÃO,5,FALSE),VLOOKUP($C1446,DESON!$A:$D,4,))</f>
        <v>47,31</v>
      </c>
      <c r="J1446" s="209">
        <f t="shared" ref="J1446:J1470" si="123">TRUNC(F1446*I1446,2)</f>
        <v>105.17</v>
      </c>
    </row>
    <row r="1447" spans="1:10" ht="15" customHeight="1">
      <c r="A1447" s="208" t="s">
        <v>39</v>
      </c>
      <c r="B1447" s="241"/>
      <c r="C1447" s="241">
        <v>34360</v>
      </c>
      <c r="D1447" s="161" t="s">
        <v>7324</v>
      </c>
      <c r="E1447" s="1194" t="s">
        <v>133</v>
      </c>
      <c r="F1447" s="242">
        <v>0.69200000000000006</v>
      </c>
      <c r="G1447" s="242">
        <f>IF(B1447="SEPLAG",VLOOKUP(CONCATENATE("MEDIANA - ",C1447),COTAÇÃO,5,FALSE),VLOOKUP($C1447,'NAO DESO'!$A:$D,4,))</f>
        <v>47.31</v>
      </c>
      <c r="H1447" s="242">
        <f t="shared" si="122"/>
        <v>32.729999999999997</v>
      </c>
      <c r="I1447" s="54" t="str">
        <f>IF(B1447="SEPLAG",VLOOKUP(CONCATENATE("MEDIANA - ",C1447),COTAÇÃO,5,FALSE),VLOOKUP($C1447,DESON!$A:$D,4,))</f>
        <v>47,31</v>
      </c>
      <c r="J1447" s="209">
        <f t="shared" si="123"/>
        <v>32.729999999999997</v>
      </c>
    </row>
    <row r="1448" spans="1:10" ht="15" customHeight="1">
      <c r="A1448" s="208" t="s">
        <v>39</v>
      </c>
      <c r="B1448" s="241"/>
      <c r="C1448" s="241">
        <v>34360</v>
      </c>
      <c r="D1448" s="161" t="s">
        <v>7325</v>
      </c>
      <c r="E1448" s="1194" t="s">
        <v>133</v>
      </c>
      <c r="F1448" s="242">
        <v>0.27300000000000002</v>
      </c>
      <c r="G1448" s="242">
        <f>IF(B1448="SEPLAG",VLOOKUP(CONCATENATE("MEDIANA - ",C1448),COTAÇÃO,5,FALSE),VLOOKUP($C1448,'NAO DESO'!$A:$D,4,))</f>
        <v>47.31</v>
      </c>
      <c r="H1448" s="242">
        <f t="shared" si="122"/>
        <v>12.91</v>
      </c>
      <c r="I1448" s="54" t="str">
        <f>IF(B1448="SEPLAG",VLOOKUP(CONCATENATE("MEDIANA - ",C1448),COTAÇÃO,5,FALSE),VLOOKUP($C1448,DESON!$A:$D,4,))</f>
        <v>47,31</v>
      </c>
      <c r="J1448" s="209">
        <f t="shared" si="123"/>
        <v>12.91</v>
      </c>
    </row>
    <row r="1449" spans="1:10" ht="15" customHeight="1">
      <c r="A1449" s="208" t="s">
        <v>39</v>
      </c>
      <c r="B1449" s="241"/>
      <c r="C1449" s="241">
        <v>34360</v>
      </c>
      <c r="D1449" s="161" t="s">
        <v>7326</v>
      </c>
      <c r="E1449" s="1194" t="s">
        <v>133</v>
      </c>
      <c r="F1449" s="242">
        <v>1.702</v>
      </c>
      <c r="G1449" s="242">
        <f>IF(B1449="SEPLAG",VLOOKUP(CONCATENATE("MEDIANA - ",C1449),COTAÇÃO,5,FALSE),VLOOKUP($C1449,'NAO DESO'!$A:$D,4,))</f>
        <v>47.31</v>
      </c>
      <c r="H1449" s="242">
        <f t="shared" si="122"/>
        <v>80.52</v>
      </c>
      <c r="I1449" s="54" t="str">
        <f>IF(B1449="SEPLAG",VLOOKUP(CONCATENATE("MEDIANA - ",C1449),COTAÇÃO,5,FALSE),VLOOKUP($C1449,DESON!$A:$D,4,))</f>
        <v>47,31</v>
      </c>
      <c r="J1449" s="209">
        <f t="shared" si="123"/>
        <v>80.52</v>
      </c>
    </row>
    <row r="1450" spans="1:10" ht="15" customHeight="1">
      <c r="A1450" s="208" t="s">
        <v>39</v>
      </c>
      <c r="B1450" s="241"/>
      <c r="C1450" s="241">
        <v>34360</v>
      </c>
      <c r="D1450" s="161" t="s">
        <v>7327</v>
      </c>
      <c r="E1450" s="1194" t="s">
        <v>133</v>
      </c>
      <c r="F1450" s="242">
        <v>2.952</v>
      </c>
      <c r="G1450" s="242">
        <f>IF(B1450="SEPLAG",VLOOKUP(CONCATENATE("MEDIANA - ",C1450),COTAÇÃO,5,FALSE),VLOOKUP($C1450,'NAO DESO'!$A:$D,4,))</f>
        <v>47.31</v>
      </c>
      <c r="H1450" s="242">
        <f t="shared" si="122"/>
        <v>139.65</v>
      </c>
      <c r="I1450" s="54" t="str">
        <f>IF(B1450="SEPLAG",VLOOKUP(CONCATENATE("MEDIANA - ",C1450),COTAÇÃO,5,FALSE),VLOOKUP($C1450,DESON!$A:$D,4,))</f>
        <v>47,31</v>
      </c>
      <c r="J1450" s="209">
        <f t="shared" si="123"/>
        <v>139.65</v>
      </c>
    </row>
    <row r="1451" spans="1:10" ht="15" customHeight="1">
      <c r="A1451" s="208" t="s">
        <v>39</v>
      </c>
      <c r="B1451" s="241"/>
      <c r="C1451" s="241">
        <v>34360</v>
      </c>
      <c r="D1451" s="161" t="s">
        <v>7328</v>
      </c>
      <c r="E1451" s="1194" t="s">
        <v>133</v>
      </c>
      <c r="F1451" s="242">
        <v>1.24</v>
      </c>
      <c r="G1451" s="242">
        <f>IF(B1451="SEPLAG",VLOOKUP(CONCATENATE("MEDIANA - ",C1451),COTAÇÃO,5,FALSE),VLOOKUP($C1451,'NAO DESO'!$A:$D,4,))</f>
        <v>47.31</v>
      </c>
      <c r="H1451" s="242">
        <f t="shared" si="122"/>
        <v>58.66</v>
      </c>
      <c r="I1451" s="54" t="str">
        <f>IF(B1451="SEPLAG",VLOOKUP(CONCATENATE("MEDIANA - ",C1451),COTAÇÃO,5,FALSE),VLOOKUP($C1451,DESON!$A:$D,4,))</f>
        <v>47,31</v>
      </c>
      <c r="J1451" s="209">
        <f t="shared" si="123"/>
        <v>58.66</v>
      </c>
    </row>
    <row r="1452" spans="1:10" ht="15" customHeight="1">
      <c r="A1452" s="208" t="s">
        <v>39</v>
      </c>
      <c r="B1452" s="241"/>
      <c r="C1452" s="241">
        <v>34360</v>
      </c>
      <c r="D1452" s="161" t="s">
        <v>7329</v>
      </c>
      <c r="E1452" s="1194" t="s">
        <v>133</v>
      </c>
      <c r="F1452" s="242">
        <v>1.452</v>
      </c>
      <c r="G1452" s="242">
        <f>IF(B1452="SEPLAG",VLOOKUP(CONCATENATE("MEDIANA - ",C1452),COTAÇÃO,5,FALSE),VLOOKUP($C1452,'NAO DESO'!$A:$D,4,))</f>
        <v>47.31</v>
      </c>
      <c r="H1452" s="242">
        <f t="shared" si="122"/>
        <v>68.69</v>
      </c>
      <c r="I1452" s="54" t="str">
        <f>IF(B1452="SEPLAG",VLOOKUP(CONCATENATE("MEDIANA - ",C1452),COTAÇÃO,5,FALSE),VLOOKUP($C1452,DESON!$A:$D,4,))</f>
        <v>47,31</v>
      </c>
      <c r="J1452" s="209">
        <f t="shared" si="123"/>
        <v>68.69</v>
      </c>
    </row>
    <row r="1453" spans="1:10" ht="15" customHeight="1">
      <c r="A1453" s="208" t="s">
        <v>39</v>
      </c>
      <c r="B1453" s="241"/>
      <c r="C1453" s="241">
        <v>34360</v>
      </c>
      <c r="D1453" s="161" t="s">
        <v>7330</v>
      </c>
      <c r="E1453" s="1194" t="s">
        <v>133</v>
      </c>
      <c r="F1453" s="242">
        <v>1.0649999999999999</v>
      </c>
      <c r="G1453" s="242">
        <f>IF(B1453="SEPLAG",VLOOKUP(CONCATENATE("MEDIANA - ",C1453),COTAÇÃO,5,FALSE),VLOOKUP($C1453,'NAO DESO'!$A:$D,4,))</f>
        <v>47.31</v>
      </c>
      <c r="H1453" s="242">
        <f t="shared" si="122"/>
        <v>50.38</v>
      </c>
      <c r="I1453" s="54" t="str">
        <f>IF(B1453="SEPLAG",VLOOKUP(CONCATENATE("MEDIANA - ",C1453),COTAÇÃO,5,FALSE),VLOOKUP($C1453,DESON!$A:$D,4,))</f>
        <v>47,31</v>
      </c>
      <c r="J1453" s="209">
        <f t="shared" si="123"/>
        <v>50.38</v>
      </c>
    </row>
    <row r="1454" spans="1:10" ht="15" customHeight="1">
      <c r="A1454" s="208" t="s">
        <v>39</v>
      </c>
      <c r="B1454" s="241"/>
      <c r="C1454" s="241">
        <v>34360</v>
      </c>
      <c r="D1454" s="161" t="s">
        <v>7331</v>
      </c>
      <c r="E1454" s="1194" t="s">
        <v>133</v>
      </c>
      <c r="F1454" s="242">
        <v>4.7059999999999995</v>
      </c>
      <c r="G1454" s="242">
        <f>IF(B1454="SEPLAG",VLOOKUP(CONCATENATE("MEDIANA - ",C1454),COTAÇÃO,5,FALSE),VLOOKUP($C1454,'NAO DESO'!$A:$D,4,))</f>
        <v>47.31</v>
      </c>
      <c r="H1454" s="242">
        <f t="shared" si="122"/>
        <v>222.64</v>
      </c>
      <c r="I1454" s="54" t="str">
        <f>IF(B1454="SEPLAG",VLOOKUP(CONCATENATE("MEDIANA - ",C1454),COTAÇÃO,5,FALSE),VLOOKUP($C1454,DESON!$A:$D,4,))</f>
        <v>47,31</v>
      </c>
      <c r="J1454" s="209">
        <f t="shared" si="123"/>
        <v>222.64</v>
      </c>
    </row>
    <row r="1455" spans="1:10" ht="15" customHeight="1">
      <c r="A1455" s="208" t="s">
        <v>39</v>
      </c>
      <c r="B1455" s="241"/>
      <c r="C1455" s="241">
        <v>34360</v>
      </c>
      <c r="D1455" s="161" t="s">
        <v>7332</v>
      </c>
      <c r="E1455" s="1194" t="s">
        <v>133</v>
      </c>
      <c r="F1455" s="242">
        <v>0.312</v>
      </c>
      <c r="G1455" s="242">
        <f>IF(B1455="SEPLAG",VLOOKUP(CONCATENATE("MEDIANA - ",C1455),COTAÇÃO,5,FALSE),VLOOKUP($C1455,'NAO DESO'!$A:$D,4,))</f>
        <v>47.31</v>
      </c>
      <c r="H1455" s="242">
        <f t="shared" si="122"/>
        <v>14.76</v>
      </c>
      <c r="I1455" s="54" t="str">
        <f>IF(B1455="SEPLAG",VLOOKUP(CONCATENATE("MEDIANA - ",C1455),COTAÇÃO,5,FALSE),VLOOKUP($C1455,DESON!$A:$D,4,))</f>
        <v>47,31</v>
      </c>
      <c r="J1455" s="209">
        <f t="shared" si="123"/>
        <v>14.76</v>
      </c>
    </row>
    <row r="1456" spans="1:10" ht="15" customHeight="1">
      <c r="A1456" s="208" t="s">
        <v>39</v>
      </c>
      <c r="B1456" s="241"/>
      <c r="C1456" s="241">
        <v>34360</v>
      </c>
      <c r="D1456" s="161" t="s">
        <v>7333</v>
      </c>
      <c r="E1456" s="1194" t="s">
        <v>133</v>
      </c>
      <c r="F1456" s="242">
        <v>1.5109999999999999</v>
      </c>
      <c r="G1456" s="242">
        <f>IF(B1456="SEPLAG",VLOOKUP(CONCATENATE("MEDIANA - ",C1456),COTAÇÃO,5,FALSE),VLOOKUP($C1456,'NAO DESO'!$A:$D,4,))</f>
        <v>47.31</v>
      </c>
      <c r="H1456" s="242">
        <f t="shared" si="122"/>
        <v>71.48</v>
      </c>
      <c r="I1456" s="54" t="str">
        <f>IF(B1456="SEPLAG",VLOOKUP(CONCATENATE("MEDIANA - ",C1456),COTAÇÃO,5,FALSE),VLOOKUP($C1456,DESON!$A:$D,4,))</f>
        <v>47,31</v>
      </c>
      <c r="J1456" s="209">
        <f t="shared" si="123"/>
        <v>71.48</v>
      </c>
    </row>
    <row r="1457" spans="1:10" ht="15" customHeight="1">
      <c r="A1457" s="208" t="s">
        <v>39</v>
      </c>
      <c r="B1457" s="241" t="s">
        <v>14504</v>
      </c>
      <c r="C1457" s="1181" t="s">
        <v>14307</v>
      </c>
      <c r="D1457" s="161" t="str">
        <f>IF(B1457="SEPLAG",VLOOKUP(COMPOSIÇÕES!C1457,'MAPA COMPARATIVO'!A:B,2,FALSE),VLOOKUP(C1457,'NAO DESO'!A:B,2,0))</f>
        <v xml:space="preserve">Braço de max-ar linha gold de 600mm </v>
      </c>
      <c r="E1457" s="1194" t="s">
        <v>24</v>
      </c>
      <c r="F1457" s="242">
        <v>2</v>
      </c>
      <c r="G1457" s="242">
        <f>IF(B1457="SEPLAG",VLOOKUP(CONCATENATE("MEDIANA - ",C1457),COTAÇÃO,5,FALSE),VLOOKUP($C1457,'NAO DESO'!$A:$D,4,))</f>
        <v>36.575000000000003</v>
      </c>
      <c r="H1457" s="242">
        <f t="shared" si="122"/>
        <v>73.150000000000006</v>
      </c>
      <c r="I1457" s="54">
        <f>IF(B1457="SEPLAG",VLOOKUP(CONCATENATE("MEDIANA - ",C1457),COTAÇÃO,5,FALSE),VLOOKUP($C1457,DESON!$A:$D,4,))</f>
        <v>36.575000000000003</v>
      </c>
      <c r="J1457" s="209">
        <f t="shared" si="123"/>
        <v>73.150000000000006</v>
      </c>
    </row>
    <row r="1458" spans="1:10" ht="15" customHeight="1">
      <c r="A1458" s="208" t="s">
        <v>39</v>
      </c>
      <c r="B1458" s="241" t="s">
        <v>14504</v>
      </c>
      <c r="C1458" s="1181" t="s">
        <v>14308</v>
      </c>
      <c r="D1458" s="161" t="str">
        <f>IF(B1458="SEPLAG",VLOOKUP(COMPOSIÇÕES!C1458,'MAPA COMPARATIVO'!A:B,2,FALSE),VLOOKUP(C1458,'NAO DESO'!A:B,2,0))</f>
        <v>Fecho max-ar linha gold</v>
      </c>
      <c r="E1458" s="1194" t="s">
        <v>24</v>
      </c>
      <c r="F1458" s="242">
        <v>2</v>
      </c>
      <c r="G1458" s="242">
        <f>IF(B1458="SEPLAG",VLOOKUP(CONCATENATE("MEDIANA - ",C1458),COTAÇÃO,5,FALSE),VLOOKUP($C1458,'NAO DESO'!$A:$D,4,))</f>
        <v>47.36</v>
      </c>
      <c r="H1458" s="242">
        <f t="shared" si="122"/>
        <v>94.72</v>
      </c>
      <c r="I1458" s="54">
        <f>IF(B1458="SEPLAG",VLOOKUP(CONCATENATE("MEDIANA - ",C1458),COTAÇÃO,5,FALSE),VLOOKUP($C1458,DESON!$A:$D,4,))</f>
        <v>47.36</v>
      </c>
      <c r="J1458" s="209">
        <f t="shared" si="123"/>
        <v>94.72</v>
      </c>
    </row>
    <row r="1459" spans="1:10" ht="15" customHeight="1">
      <c r="A1459" s="208" t="s">
        <v>39</v>
      </c>
      <c r="B1459" s="241" t="s">
        <v>14504</v>
      </c>
      <c r="C1459" s="1181" t="s">
        <v>14309</v>
      </c>
      <c r="D1459" s="161" t="str">
        <f>IF(B1459="SEPLAG",VLOOKUP(COMPOSIÇÕES!C1459,'MAPA COMPARATIVO'!A:B,2,FALSE),VLOOKUP(C1459,'NAO DESO'!A:B,2,0))</f>
        <v>Guarnição em EPDM p/ pingadeira</v>
      </c>
      <c r="E1459" s="1194" t="s">
        <v>7388</v>
      </c>
      <c r="F1459" s="242">
        <v>1.972</v>
      </c>
      <c r="G1459" s="242">
        <f>IF(B1459="SEPLAG",VLOOKUP(CONCATENATE("MEDIANA - ",C1459),COTAÇÃO,5,FALSE),VLOOKUP($C1459,'NAO DESO'!$A:$D,4,))</f>
        <v>4.3849999999999998</v>
      </c>
      <c r="H1459" s="242">
        <f t="shared" si="122"/>
        <v>8.64</v>
      </c>
      <c r="I1459" s="54">
        <f>IF(B1459="SEPLAG",VLOOKUP(CONCATENATE("MEDIANA - ",C1459),COTAÇÃO,5,FALSE),VLOOKUP($C1459,DESON!$A:$D,4,))</f>
        <v>4.3849999999999998</v>
      </c>
      <c r="J1459" s="209">
        <f t="shared" si="123"/>
        <v>8.64</v>
      </c>
    </row>
    <row r="1460" spans="1:10" ht="15" customHeight="1">
      <c r="A1460" s="208" t="s">
        <v>39</v>
      </c>
      <c r="B1460" s="241" t="s">
        <v>14504</v>
      </c>
      <c r="C1460" s="1181" t="s">
        <v>14310</v>
      </c>
      <c r="D1460" s="161" t="str">
        <f>IF(B1460="SEPLAG",VLOOKUP(COMPOSIÇÕES!C1460,'MAPA COMPARATIVO'!A:B,2,FALSE),VLOOKUP(C1460,'NAO DESO'!A:B,2,0))</f>
        <v>Guarnição em EPDM para vidro</v>
      </c>
      <c r="E1460" s="1194" t="s">
        <v>250</v>
      </c>
      <c r="F1460" s="242">
        <v>14.496</v>
      </c>
      <c r="G1460" s="242">
        <f>IF(B1460="SEPLAG",VLOOKUP(CONCATENATE("MEDIANA - ",C1460),COTAÇÃO,5,FALSE),VLOOKUP($C1460,'NAO DESO'!$A:$D,4,))</f>
        <v>2.4091999999999998</v>
      </c>
      <c r="H1460" s="242">
        <f t="shared" si="122"/>
        <v>34.92</v>
      </c>
      <c r="I1460" s="54">
        <f>IF(B1460="SEPLAG",VLOOKUP(CONCATENATE("MEDIANA - ",C1460),COTAÇÃO,5,FALSE),VLOOKUP($C1460,DESON!$A:$D,4,))</f>
        <v>2.4091999999999998</v>
      </c>
      <c r="J1460" s="209">
        <f t="shared" si="123"/>
        <v>34.92</v>
      </c>
    </row>
    <row r="1461" spans="1:10" ht="15" customHeight="1">
      <c r="A1461" s="208" t="s">
        <v>39</v>
      </c>
      <c r="B1461" s="241" t="s">
        <v>14504</v>
      </c>
      <c r="C1461" s="1181" t="s">
        <v>14311</v>
      </c>
      <c r="D1461" s="161" t="str">
        <f>IF(B1461="SEPLAG",VLOOKUP(COMPOSIÇÕES!C1461,'MAPA COMPARATIVO'!A:B,2,FALSE),VLOOKUP(C1461,'NAO DESO'!A:B,2,0))</f>
        <v>Espuma adesiva 1 face</v>
      </c>
      <c r="E1461" s="1194" t="s">
        <v>250</v>
      </c>
      <c r="F1461" s="242">
        <v>14.496</v>
      </c>
      <c r="G1461" s="242">
        <f>IF(B1461="SEPLAG",VLOOKUP(CONCATENATE("MEDIANA - ",C1461),COTAÇÃO,5,FALSE),VLOOKUP($C1461,'NAO DESO'!$A:$D,4,))</f>
        <v>2.1800000000000002</v>
      </c>
      <c r="H1461" s="242">
        <f t="shared" si="122"/>
        <v>31.6</v>
      </c>
      <c r="I1461" s="54">
        <f>IF(B1461="SEPLAG",VLOOKUP(CONCATENATE("MEDIANA - ",C1461),COTAÇÃO,5,FALSE),VLOOKUP($C1461,DESON!$A:$D,4,))</f>
        <v>2.1800000000000002</v>
      </c>
      <c r="J1461" s="209">
        <f t="shared" si="123"/>
        <v>31.6</v>
      </c>
    </row>
    <row r="1462" spans="1:10" ht="15" customHeight="1">
      <c r="A1462" s="208" t="s">
        <v>39</v>
      </c>
      <c r="B1462" s="241" t="s">
        <v>14504</v>
      </c>
      <c r="C1462" s="1181" t="s">
        <v>14312</v>
      </c>
      <c r="D1462" s="161" t="str">
        <f>IF(B1462="SEPLAG",VLOOKUP(COMPOSIÇÕES!C1462,'MAPA COMPARATIVO'!A:B,2,FALSE),VLOOKUP(C1462,'NAO DESO'!A:B,2,0))</f>
        <v>Guarnição em EPDM p/ marco max-ar</v>
      </c>
      <c r="E1462" s="1194" t="s">
        <v>250</v>
      </c>
      <c r="F1462" s="242">
        <v>16.896000000000001</v>
      </c>
      <c r="G1462" s="242">
        <f>IF(B1462="SEPLAG",VLOOKUP(CONCATENATE("MEDIANA - ",C1462),COTAÇÃO,5,FALSE),VLOOKUP($C1462,'NAO DESO'!$A:$D,4,))</f>
        <v>3.8138999999999998</v>
      </c>
      <c r="H1462" s="242">
        <f t="shared" si="122"/>
        <v>64.430000000000007</v>
      </c>
      <c r="I1462" s="54">
        <f>IF(B1462="SEPLAG",VLOOKUP(CONCATENATE("MEDIANA - ",C1462),COTAÇÃO,5,FALSE),VLOOKUP($C1462,DESON!$A:$D,4,))</f>
        <v>3.8138999999999998</v>
      </c>
      <c r="J1462" s="209">
        <f t="shared" si="123"/>
        <v>64.430000000000007</v>
      </c>
    </row>
    <row r="1463" spans="1:10" ht="15" customHeight="1">
      <c r="A1463" s="208" t="s">
        <v>39</v>
      </c>
      <c r="B1463" s="241" t="s">
        <v>14504</v>
      </c>
      <c r="C1463" s="1181" t="s">
        <v>14313</v>
      </c>
      <c r="D1463" s="161" t="str">
        <f>IF(B1463="SEPLAG",VLOOKUP(COMPOSIÇÕES!C1463,'MAPA COMPARATIVO'!A:B,2,FALSE),VLOOKUP(C1463,'NAO DESO'!A:B,2,0))</f>
        <v>PRESILHA DE FIXAÇÃO DO ARREMATE MP-347</v>
      </c>
      <c r="E1463" s="1194" t="s">
        <v>24</v>
      </c>
      <c r="F1463" s="242">
        <v>20</v>
      </c>
      <c r="G1463" s="242">
        <f>IF(B1463="SEPLAG",VLOOKUP(CONCATENATE("MEDIANA - ",C1463),COTAÇÃO,5,FALSE),VLOOKUP($C1463,'NAO DESO'!$A:$D,4,))</f>
        <v>0.34</v>
      </c>
      <c r="H1463" s="242">
        <f t="shared" si="122"/>
        <v>6.8</v>
      </c>
      <c r="I1463" s="54">
        <f>IF(B1463="SEPLAG",VLOOKUP(CONCATENATE("MEDIANA - ",C1463),COTAÇÃO,5,FALSE),VLOOKUP($C1463,DESON!$A:$D,4,))</f>
        <v>0.34</v>
      </c>
      <c r="J1463" s="209">
        <f t="shared" si="123"/>
        <v>6.8</v>
      </c>
    </row>
    <row r="1464" spans="1:10" ht="15" customHeight="1">
      <c r="A1464" s="208" t="s">
        <v>39</v>
      </c>
      <c r="B1464" s="241" t="s">
        <v>14504</v>
      </c>
      <c r="C1464" s="1181" t="s">
        <v>14314</v>
      </c>
      <c r="D1464" s="161" t="str">
        <f>IF(B1464="SEPLAG",VLOOKUP(COMPOSIÇÕES!C1464,'MAPA COMPARATIVO'!A:B,2,FALSE),VLOOKUP(C1464,'NAO DESO'!A:B,2,0))</f>
        <v>Parafuso zincado phillips flangeado autobrocante 4,2 x 16mm</v>
      </c>
      <c r="E1464" s="1194" t="s">
        <v>24</v>
      </c>
      <c r="F1464" s="242">
        <v>20</v>
      </c>
      <c r="G1464" s="242">
        <f>IF(B1464="SEPLAG",VLOOKUP(CONCATENATE("MEDIANA - ",C1464),COTAÇÃO,5,FALSE),VLOOKUP($C1464,'NAO DESO'!$A:$D,4,))</f>
        <v>0.28000000000000003</v>
      </c>
      <c r="H1464" s="242">
        <f t="shared" si="122"/>
        <v>5.6</v>
      </c>
      <c r="I1464" s="54">
        <f>IF(B1464="SEPLAG",VLOOKUP(CONCATENATE("MEDIANA - ",C1464),COTAÇÃO,5,FALSE),VLOOKUP($C1464,DESON!$A:$D,4,))</f>
        <v>0.28000000000000003</v>
      </c>
      <c r="J1464" s="209">
        <f t="shared" si="123"/>
        <v>5.6</v>
      </c>
    </row>
    <row r="1465" spans="1:10" ht="15" customHeight="1">
      <c r="A1465" s="208" t="s">
        <v>39</v>
      </c>
      <c r="B1465" s="241" t="s">
        <v>14504</v>
      </c>
      <c r="C1465" s="1181" t="s">
        <v>14315</v>
      </c>
      <c r="D1465" s="161" t="str">
        <f>IF(B1465="SEPLAG",VLOOKUP(COMPOSIÇÕES!C1465,'MAPA COMPARATIVO'!A:B,2,FALSE),VLOOKUP(C1465,'NAO DESO'!A:B,2,0))</f>
        <v>PARAF. PANELA PHILIPS INOX 4,8 X32 PONTA PILOTO</v>
      </c>
      <c r="E1465" s="1194" t="s">
        <v>24</v>
      </c>
      <c r="F1465" s="242">
        <v>12</v>
      </c>
      <c r="G1465" s="242">
        <f>IF(B1465="SEPLAG",VLOOKUP(CONCATENATE("MEDIANA - ",C1465),COTAÇÃO,5,FALSE),VLOOKUP($C1465,'NAO DESO'!$A:$D,4,))</f>
        <v>0.95</v>
      </c>
      <c r="H1465" s="242">
        <f t="shared" si="122"/>
        <v>11.4</v>
      </c>
      <c r="I1465" s="54">
        <f>IF(B1465="SEPLAG",VLOOKUP(CONCATENATE("MEDIANA - ",C1465),COTAÇÃO,5,FALSE),VLOOKUP($C1465,DESON!$A:$D,4,))</f>
        <v>0.95</v>
      </c>
      <c r="J1465" s="209">
        <f t="shared" si="123"/>
        <v>11.4</v>
      </c>
    </row>
    <row r="1466" spans="1:10" ht="15" customHeight="1">
      <c r="A1466" s="208" t="s">
        <v>39</v>
      </c>
      <c r="B1466" s="241" t="s">
        <v>14504</v>
      </c>
      <c r="C1466" s="1181" t="s">
        <v>14316</v>
      </c>
      <c r="D1466" s="161" t="str">
        <f>IF(B1466="SEPLAG",VLOOKUP(COMPOSIÇÕES!C1466,'MAPA COMPARATIVO'!A:B,2,FALSE),VLOOKUP(C1466,'NAO DESO'!A:B,2,0))</f>
        <v>CHUMBADOR DE CM-063/060</v>
      </c>
      <c r="E1466" s="1194" t="s">
        <v>24</v>
      </c>
      <c r="F1466" s="242">
        <v>20</v>
      </c>
      <c r="G1466" s="242">
        <f>IF(B1466="SEPLAG",VLOOKUP(CONCATENATE("MEDIANA - ",C1466),COTAÇÃO,5,FALSE),VLOOKUP($C1466,'NAO DESO'!$A:$D,4,))</f>
        <v>0.86</v>
      </c>
      <c r="H1466" s="242">
        <f t="shared" si="122"/>
        <v>17.2</v>
      </c>
      <c r="I1466" s="54">
        <f>IF(B1466="SEPLAG",VLOOKUP(CONCATENATE("MEDIANA - ",C1466),COTAÇÃO,5,FALSE),VLOOKUP($C1466,DESON!$A:$D,4,))</f>
        <v>0.86</v>
      </c>
      <c r="J1466" s="209">
        <f t="shared" si="123"/>
        <v>17.2</v>
      </c>
    </row>
    <row r="1467" spans="1:10" ht="15" customHeight="1">
      <c r="A1467" s="208" t="s">
        <v>39</v>
      </c>
      <c r="B1467" s="241" t="s">
        <v>14504</v>
      </c>
      <c r="C1467" s="1181" t="s">
        <v>14317</v>
      </c>
      <c r="D1467" s="161" t="str">
        <f>IF(B1467="SEPLAG",VLOOKUP(COMPOSIÇÕES!C1467,'MAPA COMPARATIVO'!A:B,2,FALSE),VLOOKUP(C1467,'NAO DESO'!A:B,2,0))</f>
        <v>Silicone neutro incolor 280 g</v>
      </c>
      <c r="E1467" s="1194" t="s">
        <v>24</v>
      </c>
      <c r="F1467" s="242">
        <v>1</v>
      </c>
      <c r="G1467" s="242">
        <f>IF(B1467="SEPLAG",VLOOKUP(CONCATENATE("MEDIANA - ",C1467),COTAÇÃO,5,FALSE),VLOOKUP($C1467,'NAO DESO'!$A:$D,4,))</f>
        <v>43.9</v>
      </c>
      <c r="H1467" s="242">
        <f t="shared" si="122"/>
        <v>43.9</v>
      </c>
      <c r="I1467" s="54">
        <f>IF(B1467="SEPLAG",VLOOKUP(CONCATENATE("MEDIANA - ",C1467),COTAÇÃO,5,FALSE),VLOOKUP($C1467,DESON!$A:$D,4,))</f>
        <v>43.9</v>
      </c>
      <c r="J1467" s="209">
        <f t="shared" si="123"/>
        <v>43.9</v>
      </c>
    </row>
    <row r="1468" spans="1:10" ht="15" customHeight="1">
      <c r="A1468" s="208" t="s">
        <v>245</v>
      </c>
      <c r="B1468" s="241"/>
      <c r="C1468" s="1181">
        <v>10505</v>
      </c>
      <c r="D1468" s="161" t="str">
        <f>IF(B1468="SEPLAG",VLOOKUP(COMPOSIÇÕES!C1468,'MAPA COMPARATIVO'!A:B,2,FALSE),VLOOKUP(C1468,'NAO DESO'!A:B,2,0))</f>
        <v>VIDRO TEMPERADO INCOLOR E = 6 MM, SEM COLOCACAO</v>
      </c>
      <c r="E1468" s="241" t="str">
        <f>VLOOKUP($C1468,'NAO DESO'!$A:$D,3,)</f>
        <v xml:space="preserve">M2    </v>
      </c>
      <c r="F1468" s="242">
        <v>4.0999999999999996</v>
      </c>
      <c r="G1468" s="242">
        <f>IF(B1468="SEPLAG",VLOOKUP(CONCATENATE("MEDIANA - ",C1468),COTAÇÃO,5,FALSE),VLOOKUP($C1468,'NAO DESO'!$A:$D,4,))</f>
        <v>272.77</v>
      </c>
      <c r="H1468" s="242">
        <f t="shared" si="122"/>
        <v>1118.3499999999999</v>
      </c>
      <c r="I1468" s="54" t="str">
        <f>IF(B1468="SEPLAG",VLOOKUP(CONCATENATE("MEDIANA - ",C1468),COTAÇÃO,5,FALSE),VLOOKUP($C1468,DESON!$A:$D,4,))</f>
        <v>272,77</v>
      </c>
      <c r="J1468" s="209">
        <f t="shared" si="123"/>
        <v>1118.3499999999999</v>
      </c>
    </row>
    <row r="1469" spans="1:10" ht="15" customHeight="1">
      <c r="A1469" s="208" t="s">
        <v>245</v>
      </c>
      <c r="B1469" s="241"/>
      <c r="C1469" s="1181">
        <v>88315</v>
      </c>
      <c r="D1469" s="161" t="str">
        <f>IF(B1469="SEPLAG",VLOOKUP(COMPOSIÇÕES!C1469,'MAPA COMPARATIVO'!A:B,2,FALSE),VLOOKUP(C1469,'NAO DESO'!A:B,2,0))</f>
        <v>SERRALHEIRO COM ENCARGOS COMPLEMENTARES</v>
      </c>
      <c r="E1469" s="241" t="str">
        <f>VLOOKUP($C1469,'NAO DESO'!$A:$D,3,)</f>
        <v>H</v>
      </c>
      <c r="F1469" s="242">
        <v>11.08</v>
      </c>
      <c r="G1469" s="242" t="str">
        <f>IF(B1469="SEPLAG",VLOOKUP(CONCATENATE("MEDIANA - ",C1469),COTAÇÃO,5,FALSE),VLOOKUP($C1469,'NAO DESO'!$A:$D,4,))</f>
        <v>20,97</v>
      </c>
      <c r="H1469" s="242">
        <f t="shared" si="122"/>
        <v>232.34</v>
      </c>
      <c r="I1469" s="54" t="str">
        <f>IF(B1469="SEPLAG",VLOOKUP(CONCATENATE("MEDIANA - ",C1469),COTAÇÃO,5,FALSE),VLOOKUP($C1469,DESON!$A:$D,4,))</f>
        <v>18,75</v>
      </c>
      <c r="J1469" s="209">
        <f t="shared" si="123"/>
        <v>207.75</v>
      </c>
    </row>
    <row r="1470" spans="1:10" ht="15" customHeight="1">
      <c r="A1470" s="208" t="s">
        <v>245</v>
      </c>
      <c r="B1470" s="241"/>
      <c r="C1470" s="1181">
        <v>88316</v>
      </c>
      <c r="D1470" s="161" t="str">
        <f>IF(B1470="SEPLAG",VLOOKUP(COMPOSIÇÕES!C1470,'MAPA COMPARATIVO'!A:B,2,FALSE),VLOOKUP(C1470,'NAO DESO'!A:B,2,0))</f>
        <v>SERVENTE COM ENCARGOS COMPLEMENTARES</v>
      </c>
      <c r="E1470" s="241" t="str">
        <f>VLOOKUP($C1470,'NAO DESO'!$A:$D,3,)</f>
        <v>H</v>
      </c>
      <c r="F1470" s="242">
        <v>11.08</v>
      </c>
      <c r="G1470" s="242" t="str">
        <f>IF(B1470="SEPLAG",VLOOKUP(CONCATENATE("MEDIANA - ",C1470),COTAÇÃO,5,FALSE),VLOOKUP($C1470,'NAO DESO'!$A:$D,4,))</f>
        <v>16,83</v>
      </c>
      <c r="H1470" s="242">
        <f t="shared" si="122"/>
        <v>186.47</v>
      </c>
      <c r="I1470" s="54" t="str">
        <f>IF(B1470="SEPLAG",VLOOKUP(CONCATENATE("MEDIANA - ",C1470),COTAÇÃO,5,FALSE),VLOOKUP($C1470,DESON!$A:$D,4,))</f>
        <v>15,16</v>
      </c>
      <c r="J1470" s="209">
        <f t="shared" si="123"/>
        <v>167.97</v>
      </c>
    </row>
    <row r="1471" spans="1:10" ht="15" customHeight="1">
      <c r="A1471" s="210" t="str">
        <f>CONCATENATE("TOTAL DO ITEM NÃO DESON. - ",C1444)</f>
        <v>TOTAL DO ITEM NÃO DESON. - SEPLAG  ARQ 92</v>
      </c>
      <c r="B1471" s="424"/>
      <c r="C1471" s="424"/>
      <c r="D1471" s="424"/>
      <c r="E1471" s="424"/>
      <c r="F1471" s="425"/>
      <c r="G1471" s="426"/>
      <c r="H1471" s="1182">
        <f>SUM(H1446:H1470)</f>
        <v>2787.11</v>
      </c>
      <c r="I1471" s="214"/>
      <c r="J1471" s="215"/>
    </row>
    <row r="1472" spans="1:10" ht="15.75" customHeight="1" thickBot="1">
      <c r="A1472" s="216" t="str">
        <f>CONCATENATE("TOTAL DO ITEM DESON. - ",C1444)</f>
        <v>TOTAL DO ITEM DESON. - SEPLAG  ARQ 92</v>
      </c>
      <c r="B1472" s="427"/>
      <c r="C1472" s="427"/>
      <c r="D1472" s="427"/>
      <c r="E1472" s="427"/>
      <c r="F1472" s="428"/>
      <c r="G1472" s="429"/>
      <c r="H1472" s="1187"/>
      <c r="I1472" s="229"/>
      <c r="J1472" s="219">
        <f>SUM(J1446:J1470)</f>
        <v>2744.02</v>
      </c>
    </row>
    <row r="1473" spans="1:10" ht="15" customHeight="1" thickBot="1">
      <c r="A1473" s="235"/>
      <c r="B1473" s="1135"/>
      <c r="C1473" s="1135"/>
      <c r="D1473" s="1135"/>
      <c r="E1473" s="1135"/>
      <c r="F1473" s="1188"/>
      <c r="G1473" s="1188"/>
      <c r="H1473" s="1188"/>
      <c r="I1473" s="236"/>
      <c r="J1473" s="237"/>
    </row>
    <row r="1474" spans="1:10" ht="29.25" customHeight="1">
      <c r="A1474" s="198"/>
      <c r="B1474" s="1175"/>
      <c r="C1474" s="1176" t="s">
        <v>7381</v>
      </c>
      <c r="D1474" s="156" t="s">
        <v>7629</v>
      </c>
      <c r="E1474" s="1176" t="s">
        <v>32</v>
      </c>
      <c r="F1474" s="1177" t="s">
        <v>18</v>
      </c>
      <c r="G1474" s="1178" t="s">
        <v>7017</v>
      </c>
      <c r="H1474" s="1179"/>
      <c r="I1474" s="200" t="s">
        <v>7016</v>
      </c>
      <c r="J1474" s="201"/>
    </row>
    <row r="1475" spans="1:10" ht="15" customHeight="1">
      <c r="A1475" s="233"/>
      <c r="B1475" s="247"/>
      <c r="C1475" s="1155"/>
      <c r="D1475" s="157"/>
      <c r="E1475" s="1155"/>
      <c r="F1475" s="1180"/>
      <c r="G1475" s="1180" t="s">
        <v>19</v>
      </c>
      <c r="H1475" s="1180" t="s">
        <v>20</v>
      </c>
      <c r="I1475" s="205" t="s">
        <v>19</v>
      </c>
      <c r="J1475" s="206" t="s">
        <v>20</v>
      </c>
    </row>
    <row r="1476" spans="1:10" ht="15" customHeight="1">
      <c r="A1476" s="208" t="s">
        <v>39</v>
      </c>
      <c r="B1476" s="241"/>
      <c r="C1476" s="241">
        <v>34360</v>
      </c>
      <c r="D1476" s="161" t="s">
        <v>7323</v>
      </c>
      <c r="E1476" s="1194" t="s">
        <v>133</v>
      </c>
      <c r="F1476" s="242">
        <v>3.415</v>
      </c>
      <c r="G1476" s="242">
        <f>IF(B1476="SEPLAG",VLOOKUP(CONCATENATE("MEDIANA - ",C1476),COTAÇÃO,5,FALSE),VLOOKUP($C1476,'NAO DESO'!$A:$D,4,))</f>
        <v>47.31</v>
      </c>
      <c r="H1476" s="242">
        <f t="shared" ref="H1476:H1500" si="124">TRUNC(F1476*G1476,2)</f>
        <v>161.56</v>
      </c>
      <c r="I1476" s="54" t="str">
        <f>IF(B1476="SEPLAG",VLOOKUP(CONCATENATE("MEDIANA - ",C1476),COTAÇÃO,5,FALSE),VLOOKUP($C1476,DESON!$A:$D,4,))</f>
        <v>47,31</v>
      </c>
      <c r="J1476" s="209">
        <f t="shared" ref="J1476:J1500" si="125">TRUNC(F1476*I1476,2)</f>
        <v>161.56</v>
      </c>
    </row>
    <row r="1477" spans="1:10" ht="15" customHeight="1">
      <c r="A1477" s="208" t="s">
        <v>39</v>
      </c>
      <c r="B1477" s="241"/>
      <c r="C1477" s="241">
        <v>34360</v>
      </c>
      <c r="D1477" s="161" t="s">
        <v>7324</v>
      </c>
      <c r="E1477" s="1194" t="s">
        <v>133</v>
      </c>
      <c r="F1477" s="242">
        <v>0.873</v>
      </c>
      <c r="G1477" s="242">
        <f>IF(B1477="SEPLAG",VLOOKUP(CONCATENATE("MEDIANA - ",C1477),COTAÇÃO,5,FALSE),VLOOKUP($C1477,'NAO DESO'!$A:$D,4,))</f>
        <v>47.31</v>
      </c>
      <c r="H1477" s="242">
        <f t="shared" si="124"/>
        <v>41.3</v>
      </c>
      <c r="I1477" s="54" t="str">
        <f>IF(B1477="SEPLAG",VLOOKUP(CONCATENATE("MEDIANA - ",C1477),COTAÇÃO,5,FALSE),VLOOKUP($C1477,DESON!$A:$D,4,))</f>
        <v>47,31</v>
      </c>
      <c r="J1477" s="209">
        <f t="shared" si="125"/>
        <v>41.3</v>
      </c>
    </row>
    <row r="1478" spans="1:10" ht="15" customHeight="1">
      <c r="A1478" s="208" t="s">
        <v>39</v>
      </c>
      <c r="B1478" s="241"/>
      <c r="C1478" s="241">
        <v>34360</v>
      </c>
      <c r="D1478" s="161" t="s">
        <v>7325</v>
      </c>
      <c r="E1478" s="1194" t="s">
        <v>133</v>
      </c>
      <c r="F1478" s="242">
        <v>0.34499999999999997</v>
      </c>
      <c r="G1478" s="242">
        <f>IF(B1478="SEPLAG",VLOOKUP(CONCATENATE("MEDIANA - ",C1478),COTAÇÃO,5,FALSE),VLOOKUP($C1478,'NAO DESO'!$A:$D,4,))</f>
        <v>47.31</v>
      </c>
      <c r="H1478" s="242">
        <f t="shared" si="124"/>
        <v>16.32</v>
      </c>
      <c r="I1478" s="54" t="str">
        <f>IF(B1478="SEPLAG",VLOOKUP(CONCATENATE("MEDIANA - ",C1478),COTAÇÃO,5,FALSE),VLOOKUP($C1478,DESON!$A:$D,4,))</f>
        <v>47,31</v>
      </c>
      <c r="J1478" s="209">
        <f t="shared" si="125"/>
        <v>16.32</v>
      </c>
    </row>
    <row r="1479" spans="1:10" ht="15" customHeight="1">
      <c r="A1479" s="208" t="s">
        <v>39</v>
      </c>
      <c r="B1479" s="241"/>
      <c r="C1479" s="241">
        <v>34360</v>
      </c>
      <c r="D1479" s="161" t="s">
        <v>7326</v>
      </c>
      <c r="E1479" s="1194" t="s">
        <v>133</v>
      </c>
      <c r="F1479" s="242">
        <v>2.2080000000000002</v>
      </c>
      <c r="G1479" s="242">
        <f>IF(B1479="SEPLAG",VLOOKUP(CONCATENATE("MEDIANA - ",C1479),COTAÇÃO,5,FALSE),VLOOKUP($C1479,'NAO DESO'!$A:$D,4,))</f>
        <v>47.31</v>
      </c>
      <c r="H1479" s="242">
        <f t="shared" si="124"/>
        <v>104.46</v>
      </c>
      <c r="I1479" s="54" t="str">
        <f>IF(B1479="SEPLAG",VLOOKUP(CONCATENATE("MEDIANA - ",C1479),COTAÇÃO,5,FALSE),VLOOKUP($C1479,DESON!$A:$D,4,))</f>
        <v>47,31</v>
      </c>
      <c r="J1479" s="209">
        <f t="shared" si="125"/>
        <v>104.46</v>
      </c>
    </row>
    <row r="1480" spans="1:10" ht="15" customHeight="1">
      <c r="A1480" s="208" t="s">
        <v>39</v>
      </c>
      <c r="B1480" s="241"/>
      <c r="C1480" s="241">
        <v>34360</v>
      </c>
      <c r="D1480" s="161" t="s">
        <v>7327</v>
      </c>
      <c r="E1480" s="1194" t="s">
        <v>133</v>
      </c>
      <c r="F1480" s="242">
        <v>3.843</v>
      </c>
      <c r="G1480" s="242">
        <f>IF(B1480="SEPLAG",VLOOKUP(CONCATENATE("MEDIANA - ",C1480),COTAÇÃO,5,FALSE),VLOOKUP($C1480,'NAO DESO'!$A:$D,4,))</f>
        <v>47.31</v>
      </c>
      <c r="H1480" s="242">
        <f t="shared" si="124"/>
        <v>181.81</v>
      </c>
      <c r="I1480" s="54" t="str">
        <f>IF(B1480="SEPLAG",VLOOKUP(CONCATENATE("MEDIANA - ",C1480),COTAÇÃO,5,FALSE),VLOOKUP($C1480,DESON!$A:$D,4,))</f>
        <v>47,31</v>
      </c>
      <c r="J1480" s="209">
        <f t="shared" si="125"/>
        <v>181.81</v>
      </c>
    </row>
    <row r="1481" spans="1:10" ht="15" customHeight="1">
      <c r="A1481" s="208" t="s">
        <v>39</v>
      </c>
      <c r="B1481" s="241"/>
      <c r="C1481" s="241">
        <v>34360</v>
      </c>
      <c r="D1481" s="161" t="s">
        <v>7328</v>
      </c>
      <c r="E1481" s="1194" t="s">
        <v>133</v>
      </c>
      <c r="F1481" s="242">
        <v>2.4790000000000001</v>
      </c>
      <c r="G1481" s="242">
        <f>IF(B1481="SEPLAG",VLOOKUP(CONCATENATE("MEDIANA - ",C1481),COTAÇÃO,5,FALSE),VLOOKUP($C1481,'NAO DESO'!$A:$D,4,))</f>
        <v>47.31</v>
      </c>
      <c r="H1481" s="242">
        <f t="shared" si="124"/>
        <v>117.28</v>
      </c>
      <c r="I1481" s="54" t="str">
        <f>IF(B1481="SEPLAG",VLOOKUP(CONCATENATE("MEDIANA - ",C1481),COTAÇÃO,5,FALSE),VLOOKUP($C1481,DESON!$A:$D,4,))</f>
        <v>47,31</v>
      </c>
      <c r="J1481" s="209">
        <f t="shared" si="125"/>
        <v>117.28</v>
      </c>
    </row>
    <row r="1482" spans="1:10" ht="15" customHeight="1">
      <c r="A1482" s="208" t="s">
        <v>39</v>
      </c>
      <c r="B1482" s="241"/>
      <c r="C1482" s="241">
        <v>34360</v>
      </c>
      <c r="D1482" s="161" t="s">
        <v>7329</v>
      </c>
      <c r="E1482" s="1194" t="s">
        <v>133</v>
      </c>
      <c r="F1482" s="242">
        <v>2.2669999999999999</v>
      </c>
      <c r="G1482" s="242">
        <f>IF(B1482="SEPLAG",VLOOKUP(CONCATENATE("MEDIANA - ",C1482),COTAÇÃO,5,FALSE),VLOOKUP($C1482,'NAO DESO'!$A:$D,4,))</f>
        <v>47.31</v>
      </c>
      <c r="H1482" s="242">
        <f t="shared" si="124"/>
        <v>107.25</v>
      </c>
      <c r="I1482" s="54" t="str">
        <f>IF(B1482="SEPLAG",VLOOKUP(CONCATENATE("MEDIANA - ",C1482),COTAÇÃO,5,FALSE),VLOOKUP($C1482,DESON!$A:$D,4,))</f>
        <v>47,31</v>
      </c>
      <c r="J1482" s="209">
        <f t="shared" si="125"/>
        <v>107.25</v>
      </c>
    </row>
    <row r="1483" spans="1:10" ht="15" customHeight="1">
      <c r="A1483" s="208" t="s">
        <v>39</v>
      </c>
      <c r="B1483" s="241"/>
      <c r="C1483" s="241">
        <v>34360</v>
      </c>
      <c r="D1483" s="161" t="s">
        <v>7330</v>
      </c>
      <c r="E1483" s="1194" t="s">
        <v>133</v>
      </c>
      <c r="F1483" s="242">
        <v>1.6360000000000001</v>
      </c>
      <c r="G1483" s="242">
        <f>IF(B1483="SEPLAG",VLOOKUP(CONCATENATE("MEDIANA - ",C1483),COTAÇÃO,5,FALSE),VLOOKUP($C1483,'NAO DESO'!$A:$D,4,))</f>
        <v>47.31</v>
      </c>
      <c r="H1483" s="242">
        <f t="shared" si="124"/>
        <v>77.39</v>
      </c>
      <c r="I1483" s="54" t="str">
        <f>IF(B1483="SEPLAG",VLOOKUP(CONCATENATE("MEDIANA - ",C1483),COTAÇÃO,5,FALSE),VLOOKUP($C1483,DESON!$A:$D,4,))</f>
        <v>47,31</v>
      </c>
      <c r="J1483" s="209">
        <f t="shared" si="125"/>
        <v>77.39</v>
      </c>
    </row>
    <row r="1484" spans="1:10" ht="15" customHeight="1">
      <c r="A1484" s="208" t="s">
        <v>39</v>
      </c>
      <c r="B1484" s="241"/>
      <c r="C1484" s="241">
        <v>34360</v>
      </c>
      <c r="D1484" s="161" t="s">
        <v>7331</v>
      </c>
      <c r="E1484" s="1194" t="s">
        <v>133</v>
      </c>
      <c r="F1484" s="242">
        <v>7.18</v>
      </c>
      <c r="G1484" s="242">
        <f>IF(B1484="SEPLAG",VLOOKUP(CONCATENATE("MEDIANA - ",C1484),COTAÇÃO,5,FALSE),VLOOKUP($C1484,'NAO DESO'!$A:$D,4,))</f>
        <v>47.31</v>
      </c>
      <c r="H1484" s="242">
        <f t="shared" si="124"/>
        <v>339.68</v>
      </c>
      <c r="I1484" s="54" t="str">
        <f>IF(B1484="SEPLAG",VLOOKUP(CONCATENATE("MEDIANA - ",C1484),COTAÇÃO,5,FALSE),VLOOKUP($C1484,DESON!$A:$D,4,))</f>
        <v>47,31</v>
      </c>
      <c r="J1484" s="209">
        <f t="shared" si="125"/>
        <v>339.68</v>
      </c>
    </row>
    <row r="1485" spans="1:10" ht="15" customHeight="1">
      <c r="A1485" s="208" t="s">
        <v>39</v>
      </c>
      <c r="B1485" s="241"/>
      <c r="C1485" s="241">
        <v>34360</v>
      </c>
      <c r="D1485" s="161" t="s">
        <v>7332</v>
      </c>
      <c r="E1485" s="1194" t="s">
        <v>133</v>
      </c>
      <c r="F1485" s="242">
        <v>0.48499999999999999</v>
      </c>
      <c r="G1485" s="242">
        <f>IF(B1485="SEPLAG",VLOOKUP(CONCATENATE("MEDIANA - ",C1485),COTAÇÃO,5,FALSE),VLOOKUP($C1485,'NAO DESO'!$A:$D,4,))</f>
        <v>47.31</v>
      </c>
      <c r="H1485" s="242">
        <f t="shared" si="124"/>
        <v>22.94</v>
      </c>
      <c r="I1485" s="54" t="str">
        <f>IF(B1485="SEPLAG",VLOOKUP(CONCATENATE("MEDIANA - ",C1485),COTAÇÃO,5,FALSE),VLOOKUP($C1485,DESON!$A:$D,4,))</f>
        <v>47,31</v>
      </c>
      <c r="J1485" s="209">
        <f t="shared" si="125"/>
        <v>22.94</v>
      </c>
    </row>
    <row r="1486" spans="1:10" ht="15" customHeight="1">
      <c r="A1486" s="208" t="s">
        <v>39</v>
      </c>
      <c r="B1486" s="241"/>
      <c r="C1486" s="241">
        <v>34360</v>
      </c>
      <c r="D1486" s="161" t="s">
        <v>7333</v>
      </c>
      <c r="E1486" s="1194" t="s">
        <v>133</v>
      </c>
      <c r="F1486" s="242">
        <v>1.9550000000000001</v>
      </c>
      <c r="G1486" s="242">
        <f>IF(B1486="SEPLAG",VLOOKUP(CONCATENATE("MEDIANA - ",C1486),COTAÇÃO,5,FALSE),VLOOKUP($C1486,'NAO DESO'!$A:$D,4,))</f>
        <v>47.31</v>
      </c>
      <c r="H1486" s="242">
        <f t="shared" si="124"/>
        <v>92.49</v>
      </c>
      <c r="I1486" s="54" t="str">
        <f>IF(B1486="SEPLAG",VLOOKUP(CONCATENATE("MEDIANA - ",C1486),COTAÇÃO,5,FALSE),VLOOKUP($C1486,DESON!$A:$D,4,))</f>
        <v>47,31</v>
      </c>
      <c r="J1486" s="209">
        <f t="shared" si="125"/>
        <v>92.49</v>
      </c>
    </row>
    <row r="1487" spans="1:10" ht="15" customHeight="1">
      <c r="A1487" s="208" t="s">
        <v>39</v>
      </c>
      <c r="B1487" s="241" t="s">
        <v>14504</v>
      </c>
      <c r="C1487" s="1181" t="s">
        <v>14307</v>
      </c>
      <c r="D1487" s="161" t="str">
        <f>IF(B1487="SEPLAG",VLOOKUP(COMPOSIÇÕES!C1487,'MAPA COMPARATIVO'!A:B,2,FALSE),VLOOKUP(C1487,'NAO DESO'!A:B,2,0))</f>
        <v xml:space="preserve">Braço de max-ar linha gold de 600mm </v>
      </c>
      <c r="E1487" s="1194" t="s">
        <v>24</v>
      </c>
      <c r="F1487" s="242">
        <v>3</v>
      </c>
      <c r="G1487" s="242">
        <f>IF(B1487="SEPLAG",VLOOKUP(CONCATENATE("MEDIANA - ",C1487),COTAÇÃO,5,FALSE),VLOOKUP($C1487,'NAO DESO'!$A:$D,4,))</f>
        <v>36.575000000000003</v>
      </c>
      <c r="H1487" s="242">
        <f t="shared" si="124"/>
        <v>109.72</v>
      </c>
      <c r="I1487" s="54">
        <f>IF(B1487="SEPLAG",VLOOKUP(CONCATENATE("MEDIANA - ",C1487),COTAÇÃO,5,FALSE),VLOOKUP($C1487,DESON!$A:$D,4,))</f>
        <v>36.575000000000003</v>
      </c>
      <c r="J1487" s="209">
        <f t="shared" si="125"/>
        <v>109.72</v>
      </c>
    </row>
    <row r="1488" spans="1:10" ht="15" customHeight="1">
      <c r="A1488" s="208" t="s">
        <v>39</v>
      </c>
      <c r="B1488" s="241" t="s">
        <v>14504</v>
      </c>
      <c r="C1488" s="1181" t="s">
        <v>14308</v>
      </c>
      <c r="D1488" s="161" t="str">
        <f>IF(B1488="SEPLAG",VLOOKUP(COMPOSIÇÕES!C1488,'MAPA COMPARATIVO'!A:B,2,FALSE),VLOOKUP(C1488,'NAO DESO'!A:B,2,0))</f>
        <v>Fecho max-ar linha gold</v>
      </c>
      <c r="E1488" s="1194" t="s">
        <v>24</v>
      </c>
      <c r="F1488" s="242">
        <v>3</v>
      </c>
      <c r="G1488" s="242">
        <f>IF(B1488="SEPLAG",VLOOKUP(CONCATENATE("MEDIANA - ",C1488),COTAÇÃO,5,FALSE),VLOOKUP($C1488,'NAO DESO'!$A:$D,4,))</f>
        <v>47.36</v>
      </c>
      <c r="H1488" s="242">
        <f t="shared" si="124"/>
        <v>142.08000000000001</v>
      </c>
      <c r="I1488" s="54">
        <f>IF(B1488="SEPLAG",VLOOKUP(CONCATENATE("MEDIANA - ",C1488),COTAÇÃO,5,FALSE),VLOOKUP($C1488,DESON!$A:$D,4,))</f>
        <v>47.36</v>
      </c>
      <c r="J1488" s="209">
        <f t="shared" si="125"/>
        <v>142.08000000000001</v>
      </c>
    </row>
    <row r="1489" spans="1:10" ht="15" customHeight="1">
      <c r="A1489" s="208" t="s">
        <v>39</v>
      </c>
      <c r="B1489" s="241" t="s">
        <v>14504</v>
      </c>
      <c r="C1489" s="1181" t="s">
        <v>14309</v>
      </c>
      <c r="D1489" s="161" t="str">
        <f>IF(B1489="SEPLAG",VLOOKUP(COMPOSIÇÕES!C1489,'MAPA COMPARATIVO'!A:B,2,FALSE),VLOOKUP(C1489,'NAO DESO'!A:B,2,0))</f>
        <v>Guarnição em EPDM p/ pingadeira</v>
      </c>
      <c r="E1489" s="1194" t="s">
        <v>7388</v>
      </c>
      <c r="F1489" s="242">
        <v>3.07</v>
      </c>
      <c r="G1489" s="242">
        <f>IF(B1489="SEPLAG",VLOOKUP(CONCATENATE("MEDIANA - ",C1489),COTAÇÃO,5,FALSE),VLOOKUP($C1489,'NAO DESO'!$A:$D,4,))</f>
        <v>4.3849999999999998</v>
      </c>
      <c r="H1489" s="242">
        <f t="shared" si="124"/>
        <v>13.46</v>
      </c>
      <c r="I1489" s="54">
        <f>IF(B1489="SEPLAG",VLOOKUP(CONCATENATE("MEDIANA - ",C1489),COTAÇÃO,5,FALSE),VLOOKUP($C1489,DESON!$A:$D,4,))</f>
        <v>4.3849999999999998</v>
      </c>
      <c r="J1489" s="209">
        <f t="shared" si="125"/>
        <v>13.46</v>
      </c>
    </row>
    <row r="1490" spans="1:10" ht="15" customHeight="1">
      <c r="A1490" s="208" t="s">
        <v>39</v>
      </c>
      <c r="B1490" s="241" t="s">
        <v>14504</v>
      </c>
      <c r="C1490" s="1181" t="s">
        <v>14310</v>
      </c>
      <c r="D1490" s="161" t="str">
        <f>IF(B1490="SEPLAG",VLOOKUP(COMPOSIÇÕES!C1490,'MAPA COMPARATIVO'!A:B,2,FALSE),VLOOKUP(C1490,'NAO DESO'!A:B,2,0))</f>
        <v>Guarnição em EPDM para vidro</v>
      </c>
      <c r="E1490" s="1194" t="s">
        <v>250</v>
      </c>
      <c r="F1490" s="242">
        <v>22.182000000000002</v>
      </c>
      <c r="G1490" s="242">
        <f>IF(B1490="SEPLAG",VLOOKUP(CONCATENATE("MEDIANA - ",C1490),COTAÇÃO,5,FALSE),VLOOKUP($C1490,'NAO DESO'!$A:$D,4,))</f>
        <v>2.4091999999999998</v>
      </c>
      <c r="H1490" s="242">
        <f t="shared" si="124"/>
        <v>53.44</v>
      </c>
      <c r="I1490" s="54">
        <f>IF(B1490="SEPLAG",VLOOKUP(CONCATENATE("MEDIANA - ",C1490),COTAÇÃO,5,FALSE),VLOOKUP($C1490,DESON!$A:$D,4,))</f>
        <v>2.4091999999999998</v>
      </c>
      <c r="J1490" s="209">
        <f t="shared" si="125"/>
        <v>53.44</v>
      </c>
    </row>
    <row r="1491" spans="1:10" ht="15" customHeight="1">
      <c r="A1491" s="208" t="s">
        <v>39</v>
      </c>
      <c r="B1491" s="241" t="s">
        <v>14504</v>
      </c>
      <c r="C1491" s="1181" t="s">
        <v>14311</v>
      </c>
      <c r="D1491" s="161" t="str">
        <f>IF(B1491="SEPLAG",VLOOKUP(COMPOSIÇÕES!C1491,'MAPA COMPARATIVO'!A:B,2,FALSE),VLOOKUP(C1491,'NAO DESO'!A:B,2,0))</f>
        <v>Espuma adesiva 1 face</v>
      </c>
      <c r="E1491" s="1194" t="s">
        <v>250</v>
      </c>
      <c r="F1491" s="242">
        <v>22.182000000000002</v>
      </c>
      <c r="G1491" s="242">
        <f>IF(B1491="SEPLAG",VLOOKUP(CONCATENATE("MEDIANA - ",C1491),COTAÇÃO,5,FALSE),VLOOKUP($C1491,'NAO DESO'!$A:$D,4,))</f>
        <v>2.1800000000000002</v>
      </c>
      <c r="H1491" s="242">
        <f t="shared" si="124"/>
        <v>48.35</v>
      </c>
      <c r="I1491" s="54">
        <f>IF(B1491="SEPLAG",VLOOKUP(CONCATENATE("MEDIANA - ",C1491),COTAÇÃO,5,FALSE),VLOOKUP($C1491,DESON!$A:$D,4,))</f>
        <v>2.1800000000000002</v>
      </c>
      <c r="J1491" s="209">
        <f t="shared" si="125"/>
        <v>48.35</v>
      </c>
    </row>
    <row r="1492" spans="1:10" ht="15" customHeight="1">
      <c r="A1492" s="208" t="s">
        <v>39</v>
      </c>
      <c r="B1492" s="241" t="s">
        <v>14504</v>
      </c>
      <c r="C1492" s="1181" t="s">
        <v>14312</v>
      </c>
      <c r="D1492" s="161" t="str">
        <f>IF(B1492="SEPLAG",VLOOKUP(COMPOSIÇÕES!C1492,'MAPA COMPARATIVO'!A:B,2,FALSE),VLOOKUP(C1492,'NAO DESO'!A:B,2,0))</f>
        <v>Guarnição em EPDM p/ marco max-ar</v>
      </c>
      <c r="E1492" s="1194" t="s">
        <v>250</v>
      </c>
      <c r="F1492" s="242">
        <v>24.981999999999999</v>
      </c>
      <c r="G1492" s="242">
        <f>IF(B1492="SEPLAG",VLOOKUP(CONCATENATE("MEDIANA - ",C1492),COTAÇÃO,5,FALSE),VLOOKUP($C1492,'NAO DESO'!$A:$D,4,))</f>
        <v>3.8138999999999998</v>
      </c>
      <c r="H1492" s="242">
        <f t="shared" si="124"/>
        <v>95.27</v>
      </c>
      <c r="I1492" s="54">
        <f>IF(B1492="SEPLAG",VLOOKUP(CONCATENATE("MEDIANA - ",C1492),COTAÇÃO,5,FALSE),VLOOKUP($C1492,DESON!$A:$D,4,))</f>
        <v>3.8138999999999998</v>
      </c>
      <c r="J1492" s="209">
        <f t="shared" si="125"/>
        <v>95.27</v>
      </c>
    </row>
    <row r="1493" spans="1:10" ht="15" customHeight="1">
      <c r="A1493" s="208" t="s">
        <v>39</v>
      </c>
      <c r="B1493" s="241" t="s">
        <v>14504</v>
      </c>
      <c r="C1493" s="1181" t="s">
        <v>14313</v>
      </c>
      <c r="D1493" s="161" t="str">
        <f>IF(B1493="SEPLAG",VLOOKUP(COMPOSIÇÕES!C1493,'MAPA COMPARATIVO'!A:B,2,FALSE),VLOOKUP(C1493,'NAO DESO'!A:B,2,0))</f>
        <v>PRESILHA DE FIXAÇÃO DO ARREMATE MP-347</v>
      </c>
      <c r="E1493" s="1194" t="s">
        <v>24</v>
      </c>
      <c r="F1493" s="242">
        <v>26</v>
      </c>
      <c r="G1493" s="242">
        <f>IF(B1493="SEPLAG",VLOOKUP(CONCATENATE("MEDIANA - ",C1493),COTAÇÃO,5,FALSE),VLOOKUP($C1493,'NAO DESO'!$A:$D,4,))</f>
        <v>0.34</v>
      </c>
      <c r="H1493" s="242">
        <f t="shared" si="124"/>
        <v>8.84</v>
      </c>
      <c r="I1493" s="54">
        <f>IF(B1493="SEPLAG",VLOOKUP(CONCATENATE("MEDIANA - ",C1493),COTAÇÃO,5,FALSE),VLOOKUP($C1493,DESON!$A:$D,4,))</f>
        <v>0.34</v>
      </c>
      <c r="J1493" s="209">
        <f t="shared" si="125"/>
        <v>8.84</v>
      </c>
    </row>
    <row r="1494" spans="1:10" ht="15" customHeight="1">
      <c r="A1494" s="208" t="s">
        <v>39</v>
      </c>
      <c r="B1494" s="241" t="s">
        <v>14504</v>
      </c>
      <c r="C1494" s="1181" t="s">
        <v>14314</v>
      </c>
      <c r="D1494" s="161" t="str">
        <f>IF(B1494="SEPLAG",VLOOKUP(COMPOSIÇÕES!C1494,'MAPA COMPARATIVO'!A:B,2,FALSE),VLOOKUP(C1494,'NAO DESO'!A:B,2,0))</f>
        <v>Parafuso zincado phillips flangeado autobrocante 4,2 x 16mm</v>
      </c>
      <c r="E1494" s="1194" t="s">
        <v>24</v>
      </c>
      <c r="F1494" s="242">
        <v>26</v>
      </c>
      <c r="G1494" s="242">
        <f>IF(B1494="SEPLAG",VLOOKUP(CONCATENATE("MEDIANA - ",C1494),COTAÇÃO,5,FALSE),VLOOKUP($C1494,'NAO DESO'!$A:$D,4,))</f>
        <v>0.28000000000000003</v>
      </c>
      <c r="H1494" s="242">
        <f t="shared" si="124"/>
        <v>7.28</v>
      </c>
      <c r="I1494" s="54">
        <f>IF(B1494="SEPLAG",VLOOKUP(CONCATENATE("MEDIANA - ",C1494),COTAÇÃO,5,FALSE),VLOOKUP($C1494,DESON!$A:$D,4,))</f>
        <v>0.28000000000000003</v>
      </c>
      <c r="J1494" s="209">
        <f t="shared" si="125"/>
        <v>7.28</v>
      </c>
    </row>
    <row r="1495" spans="1:10" ht="15" customHeight="1">
      <c r="A1495" s="208" t="s">
        <v>39</v>
      </c>
      <c r="B1495" s="241" t="s">
        <v>14504</v>
      </c>
      <c r="C1495" s="1181" t="s">
        <v>14315</v>
      </c>
      <c r="D1495" s="161" t="str">
        <f>IF(B1495="SEPLAG",VLOOKUP(COMPOSIÇÕES!C1495,'MAPA COMPARATIVO'!A:B,2,FALSE),VLOOKUP(C1495,'NAO DESO'!A:B,2,0))</f>
        <v>PARAF. PANELA PHILIPS INOX 4,8 X32 PONTA PILOTO</v>
      </c>
      <c r="E1495" s="1194" t="s">
        <v>24</v>
      </c>
      <c r="F1495" s="242">
        <v>20</v>
      </c>
      <c r="G1495" s="242">
        <f>IF(B1495="SEPLAG",VLOOKUP(CONCATENATE("MEDIANA - ",C1495),COTAÇÃO,5,FALSE),VLOOKUP($C1495,'NAO DESO'!$A:$D,4,))</f>
        <v>0.95</v>
      </c>
      <c r="H1495" s="242">
        <f t="shared" si="124"/>
        <v>19</v>
      </c>
      <c r="I1495" s="54">
        <f>IF(B1495="SEPLAG",VLOOKUP(CONCATENATE("MEDIANA - ",C1495),COTAÇÃO,5,FALSE),VLOOKUP($C1495,DESON!$A:$D,4,))</f>
        <v>0.95</v>
      </c>
      <c r="J1495" s="209">
        <f t="shared" si="125"/>
        <v>19</v>
      </c>
    </row>
    <row r="1496" spans="1:10" ht="15" customHeight="1">
      <c r="A1496" s="208" t="s">
        <v>39</v>
      </c>
      <c r="B1496" s="241" t="s">
        <v>14504</v>
      </c>
      <c r="C1496" s="1181" t="s">
        <v>14316</v>
      </c>
      <c r="D1496" s="161" t="str">
        <f>IF(B1496="SEPLAG",VLOOKUP(COMPOSIÇÕES!C1496,'MAPA COMPARATIVO'!A:B,2,FALSE),VLOOKUP(C1496,'NAO DESO'!A:B,2,0))</f>
        <v>CHUMBADOR DE CM-063/060</v>
      </c>
      <c r="E1496" s="1194" t="s">
        <v>24</v>
      </c>
      <c r="F1496" s="242">
        <v>26</v>
      </c>
      <c r="G1496" s="242">
        <f>IF(B1496="SEPLAG",VLOOKUP(CONCATENATE("MEDIANA - ",C1496),COTAÇÃO,5,FALSE),VLOOKUP($C1496,'NAO DESO'!$A:$D,4,))</f>
        <v>0.86</v>
      </c>
      <c r="H1496" s="242">
        <f t="shared" si="124"/>
        <v>22.36</v>
      </c>
      <c r="I1496" s="54">
        <f>IF(B1496="SEPLAG",VLOOKUP(CONCATENATE("MEDIANA - ",C1496),COTAÇÃO,5,FALSE),VLOOKUP($C1496,DESON!$A:$D,4,))</f>
        <v>0.86</v>
      </c>
      <c r="J1496" s="209">
        <f t="shared" si="125"/>
        <v>22.36</v>
      </c>
    </row>
    <row r="1497" spans="1:10" ht="15" customHeight="1">
      <c r="A1497" s="208" t="s">
        <v>39</v>
      </c>
      <c r="B1497" s="241" t="s">
        <v>14504</v>
      </c>
      <c r="C1497" s="1181" t="s">
        <v>14317</v>
      </c>
      <c r="D1497" s="161" t="str">
        <f>IF(B1497="SEPLAG",VLOOKUP(COMPOSIÇÕES!C1497,'MAPA COMPARATIVO'!A:B,2,FALSE),VLOOKUP(C1497,'NAO DESO'!A:B,2,0))</f>
        <v>Silicone neutro incolor 280 g</v>
      </c>
      <c r="E1497" s="1194" t="s">
        <v>24</v>
      </c>
      <c r="F1497" s="242">
        <v>1.5</v>
      </c>
      <c r="G1497" s="242">
        <f>IF(B1497="SEPLAG",VLOOKUP(CONCATENATE("MEDIANA - ",C1497),COTAÇÃO,5,FALSE),VLOOKUP($C1497,'NAO DESO'!$A:$D,4,))</f>
        <v>43.9</v>
      </c>
      <c r="H1497" s="242">
        <f t="shared" si="124"/>
        <v>65.849999999999994</v>
      </c>
      <c r="I1497" s="54">
        <f>IF(B1497="SEPLAG",VLOOKUP(CONCATENATE("MEDIANA - ",C1497),COTAÇÃO,5,FALSE),VLOOKUP($C1497,DESON!$A:$D,4,))</f>
        <v>43.9</v>
      </c>
      <c r="J1497" s="209">
        <f t="shared" si="125"/>
        <v>65.849999999999994</v>
      </c>
    </row>
    <row r="1498" spans="1:10" ht="15" customHeight="1">
      <c r="A1498" s="208" t="s">
        <v>245</v>
      </c>
      <c r="B1498" s="241"/>
      <c r="C1498" s="1181">
        <v>10505</v>
      </c>
      <c r="D1498" s="161" t="str">
        <f>IF(B1498="SEPLAG",VLOOKUP(COMPOSIÇÕES!C1498,'MAPA COMPARATIVO'!A:B,2,FALSE),VLOOKUP(C1498,'NAO DESO'!A:B,2,0))</f>
        <v>VIDRO TEMPERADO INCOLOR E = 6 MM, SEM COLOCACAO</v>
      </c>
      <c r="E1498" s="241" t="str">
        <f>VLOOKUP($C1498,'NAO DESO'!$A:$D,3,)</f>
        <v xml:space="preserve">M2    </v>
      </c>
      <c r="F1498" s="242">
        <v>5.25</v>
      </c>
      <c r="G1498" s="242">
        <f>IF(B1498="SEPLAG",VLOOKUP(CONCATENATE("MEDIANA - ",C1498),COTAÇÃO,5,FALSE),VLOOKUP($C1498,'NAO DESO'!$A:$D,4,))</f>
        <v>272.77</v>
      </c>
      <c r="H1498" s="242">
        <f t="shared" si="124"/>
        <v>1432.04</v>
      </c>
      <c r="I1498" s="54" t="str">
        <f>IF(B1498="SEPLAG",VLOOKUP(CONCATENATE("MEDIANA - ",C1498),COTAÇÃO,5,FALSE),VLOOKUP($C1498,DESON!$A:$D,4,))</f>
        <v>272,77</v>
      </c>
      <c r="J1498" s="209">
        <f t="shared" si="125"/>
        <v>1432.04</v>
      </c>
    </row>
    <row r="1499" spans="1:10" ht="15" customHeight="1">
      <c r="A1499" s="208" t="s">
        <v>245</v>
      </c>
      <c r="B1499" s="241"/>
      <c r="C1499" s="1181">
        <v>88315</v>
      </c>
      <c r="D1499" s="161" t="str">
        <f>IF(B1499="SEPLAG",VLOOKUP(COMPOSIÇÕES!C1499,'MAPA COMPARATIVO'!A:B,2,FALSE),VLOOKUP(C1499,'NAO DESO'!A:B,2,0))</f>
        <v>SERRALHEIRO COM ENCARGOS COMPLEMENTARES</v>
      </c>
      <c r="E1499" s="241" t="str">
        <f>VLOOKUP($C1499,'NAO DESO'!$A:$D,3,)</f>
        <v>H</v>
      </c>
      <c r="F1499" s="242">
        <v>17.18</v>
      </c>
      <c r="G1499" s="242" t="str">
        <f>IF(B1499="SEPLAG",VLOOKUP(CONCATENATE("MEDIANA - ",C1499),COTAÇÃO,5,FALSE),VLOOKUP($C1499,'NAO DESO'!$A:$D,4,))</f>
        <v>20,97</v>
      </c>
      <c r="H1499" s="242">
        <f t="shared" si="124"/>
        <v>360.26</v>
      </c>
      <c r="I1499" s="54" t="str">
        <f>IF(B1499="SEPLAG",VLOOKUP(CONCATENATE("MEDIANA - ",C1499),COTAÇÃO,5,FALSE),VLOOKUP($C1499,DESON!$A:$D,4,))</f>
        <v>18,75</v>
      </c>
      <c r="J1499" s="209">
        <f t="shared" si="125"/>
        <v>322.12</v>
      </c>
    </row>
    <row r="1500" spans="1:10" ht="15" customHeight="1">
      <c r="A1500" s="208" t="s">
        <v>245</v>
      </c>
      <c r="B1500" s="241"/>
      <c r="C1500" s="1181">
        <v>88316</v>
      </c>
      <c r="D1500" s="161" t="str">
        <f>IF(B1500="SEPLAG",VLOOKUP(COMPOSIÇÕES!C1500,'MAPA COMPARATIVO'!A:B,2,FALSE),VLOOKUP(C1500,'NAO DESO'!A:B,2,0))</f>
        <v>SERVENTE COM ENCARGOS COMPLEMENTARES</v>
      </c>
      <c r="E1500" s="241" t="str">
        <f>VLOOKUP($C1500,'NAO DESO'!$A:$D,3,)</f>
        <v>H</v>
      </c>
      <c r="F1500" s="242">
        <v>17.18</v>
      </c>
      <c r="G1500" s="242" t="str">
        <f>IF(B1500="SEPLAG",VLOOKUP(CONCATENATE("MEDIANA - ",C1500),COTAÇÃO,5,FALSE),VLOOKUP($C1500,'NAO DESO'!$A:$D,4,))</f>
        <v>16,83</v>
      </c>
      <c r="H1500" s="242">
        <f t="shared" si="124"/>
        <v>289.13</v>
      </c>
      <c r="I1500" s="54" t="str">
        <f>IF(B1500="SEPLAG",VLOOKUP(CONCATENATE("MEDIANA - ",C1500),COTAÇÃO,5,FALSE),VLOOKUP($C1500,DESON!$A:$D,4,))</f>
        <v>15,16</v>
      </c>
      <c r="J1500" s="209">
        <f t="shared" si="125"/>
        <v>260.44</v>
      </c>
    </row>
    <row r="1501" spans="1:10" ht="15" customHeight="1">
      <c r="A1501" s="210" t="str">
        <f>CONCATENATE("TOTAL DO ITEM NÃO DESON. - ",C1474)</f>
        <v>TOTAL DO ITEM NÃO DESON. - SEPLAG  ARQ 93</v>
      </c>
      <c r="B1501" s="424"/>
      <c r="C1501" s="424"/>
      <c r="D1501" s="424"/>
      <c r="E1501" s="424"/>
      <c r="F1501" s="425"/>
      <c r="G1501" s="426"/>
      <c r="H1501" s="1182">
        <f>SUM(H1476:H1500)</f>
        <v>3929.5599999999995</v>
      </c>
      <c r="I1501" s="214"/>
      <c r="J1501" s="215"/>
    </row>
    <row r="1502" spans="1:10" ht="15.75" customHeight="1" thickBot="1">
      <c r="A1502" s="216" t="str">
        <f>CONCATENATE("TOTAL DO ITEM DESON. - ",C1474)</f>
        <v>TOTAL DO ITEM DESON. - SEPLAG  ARQ 93</v>
      </c>
      <c r="B1502" s="427"/>
      <c r="C1502" s="427"/>
      <c r="D1502" s="427"/>
      <c r="E1502" s="427"/>
      <c r="F1502" s="428"/>
      <c r="G1502" s="429"/>
      <c r="H1502" s="1187"/>
      <c r="I1502" s="229"/>
      <c r="J1502" s="219">
        <f>SUM(J1476:J1500)</f>
        <v>3862.7299999999996</v>
      </c>
    </row>
    <row r="1503" spans="1:10" ht="15" customHeight="1" thickBot="1">
      <c r="A1503" s="235"/>
      <c r="B1503" s="1135"/>
      <c r="C1503" s="1135"/>
      <c r="D1503" s="1135"/>
      <c r="E1503" s="1135"/>
      <c r="F1503" s="1188"/>
      <c r="G1503" s="1188"/>
      <c r="H1503" s="1188"/>
      <c r="I1503" s="236"/>
      <c r="J1503" s="237"/>
    </row>
    <row r="1504" spans="1:10" ht="25.5" customHeight="1">
      <c r="A1504" s="198"/>
      <c r="B1504" s="1175"/>
      <c r="C1504" s="1176" t="s">
        <v>7382</v>
      </c>
      <c r="D1504" s="156" t="s">
        <v>7615</v>
      </c>
      <c r="E1504" s="1176" t="s">
        <v>32</v>
      </c>
      <c r="F1504" s="1177" t="s">
        <v>18</v>
      </c>
      <c r="G1504" s="1178" t="s">
        <v>7017</v>
      </c>
      <c r="H1504" s="1179"/>
      <c r="I1504" s="200" t="s">
        <v>7016</v>
      </c>
      <c r="J1504" s="201"/>
    </row>
    <row r="1505" spans="1:10" ht="15" customHeight="1">
      <c r="A1505" s="233"/>
      <c r="B1505" s="247"/>
      <c r="C1505" s="1155"/>
      <c r="D1505" s="157"/>
      <c r="E1505" s="1155"/>
      <c r="F1505" s="1180"/>
      <c r="G1505" s="1180" t="s">
        <v>19</v>
      </c>
      <c r="H1505" s="1180" t="s">
        <v>20</v>
      </c>
      <c r="I1505" s="205" t="s">
        <v>19</v>
      </c>
      <c r="J1505" s="206" t="s">
        <v>20</v>
      </c>
    </row>
    <row r="1506" spans="1:10" ht="15" customHeight="1">
      <c r="A1506" s="208" t="s">
        <v>39</v>
      </c>
      <c r="B1506" s="241"/>
      <c r="C1506" s="241">
        <v>34360</v>
      </c>
      <c r="D1506" s="161" t="s">
        <v>7323</v>
      </c>
      <c r="E1506" s="1194" t="s">
        <v>133</v>
      </c>
      <c r="F1506" s="242">
        <v>4.6460000000000008</v>
      </c>
      <c r="G1506" s="242">
        <f>IF(B1506="SEPLAG",VLOOKUP(CONCATENATE("MEDIANA - ",C1506),COTAÇÃO,5,FALSE),VLOOKUP($C1506,'NAO DESO'!$A:$D,4,))</f>
        <v>47.31</v>
      </c>
      <c r="H1506" s="242">
        <f t="shared" ref="H1506:H1511" si="126">TRUNC(F1506*G1506,2)</f>
        <v>219.8</v>
      </c>
      <c r="I1506" s="54" t="str">
        <f>IF(B1506="SEPLAG",VLOOKUP(CONCATENATE("MEDIANA - ",C1506),COTAÇÃO,5,FALSE),VLOOKUP($C1506,DESON!$A:$D,4,))</f>
        <v>47,31</v>
      </c>
      <c r="J1506" s="209">
        <f t="shared" ref="J1506:J1511" si="127">TRUNC(F1506*I1506,2)</f>
        <v>219.8</v>
      </c>
    </row>
    <row r="1507" spans="1:10" ht="15" customHeight="1">
      <c r="A1507" s="208" t="s">
        <v>39</v>
      </c>
      <c r="B1507" s="241"/>
      <c r="C1507" s="241">
        <v>34360</v>
      </c>
      <c r="D1507" s="161" t="s">
        <v>7324</v>
      </c>
      <c r="E1507" s="1194" t="s">
        <v>133</v>
      </c>
      <c r="F1507" s="242">
        <v>1.778</v>
      </c>
      <c r="G1507" s="242">
        <f>IF(B1507="SEPLAG",VLOOKUP(CONCATENATE("MEDIANA - ",C1507),COTAÇÃO,5,FALSE),VLOOKUP($C1507,'NAO DESO'!$A:$D,4,))</f>
        <v>47.31</v>
      </c>
      <c r="H1507" s="242">
        <f t="shared" si="126"/>
        <v>84.11</v>
      </c>
      <c r="I1507" s="54" t="str">
        <f>IF(B1507="SEPLAG",VLOOKUP(CONCATENATE("MEDIANA - ",C1507),COTAÇÃO,5,FALSE),VLOOKUP($C1507,DESON!$A:$D,4,))</f>
        <v>47,31</v>
      </c>
      <c r="J1507" s="209">
        <f t="shared" si="127"/>
        <v>84.11</v>
      </c>
    </row>
    <row r="1508" spans="1:10" ht="15" customHeight="1">
      <c r="A1508" s="208" t="s">
        <v>39</v>
      </c>
      <c r="B1508" s="241"/>
      <c r="C1508" s="241">
        <v>34360</v>
      </c>
      <c r="D1508" s="161" t="s">
        <v>7325</v>
      </c>
      <c r="E1508" s="1194" t="s">
        <v>133</v>
      </c>
      <c r="F1508" s="242">
        <v>0.70199999999999996</v>
      </c>
      <c r="G1508" s="242">
        <f>IF(B1508="SEPLAG",VLOOKUP(CONCATENATE("MEDIANA - ",C1508),COTAÇÃO,5,FALSE),VLOOKUP($C1508,'NAO DESO'!$A:$D,4,))</f>
        <v>47.31</v>
      </c>
      <c r="H1508" s="242">
        <f t="shared" si="126"/>
        <v>33.21</v>
      </c>
      <c r="I1508" s="54" t="str">
        <f>IF(B1508="SEPLAG",VLOOKUP(CONCATENATE("MEDIANA - ",C1508),COTAÇÃO,5,FALSE),VLOOKUP($C1508,DESON!$A:$D,4,))</f>
        <v>47,31</v>
      </c>
      <c r="J1508" s="209">
        <f t="shared" si="127"/>
        <v>33.21</v>
      </c>
    </row>
    <row r="1509" spans="1:10" ht="15" customHeight="1">
      <c r="A1509" s="208" t="s">
        <v>39</v>
      </c>
      <c r="B1509" s="241"/>
      <c r="C1509" s="241">
        <v>34360</v>
      </c>
      <c r="D1509" s="161" t="s">
        <v>7326</v>
      </c>
      <c r="E1509" s="1194" t="s">
        <v>133</v>
      </c>
      <c r="F1509" s="242">
        <v>4.2779999999999996</v>
      </c>
      <c r="G1509" s="242">
        <f>IF(B1509="SEPLAG",VLOOKUP(CONCATENATE("MEDIANA - ",C1509),COTAÇÃO,5,FALSE),VLOOKUP($C1509,'NAO DESO'!$A:$D,4,))</f>
        <v>47.31</v>
      </c>
      <c r="H1509" s="242">
        <f t="shared" si="126"/>
        <v>202.39</v>
      </c>
      <c r="I1509" s="54" t="str">
        <f>IF(B1509="SEPLAG",VLOOKUP(CONCATENATE("MEDIANA - ",C1509),COTAÇÃO,5,FALSE),VLOOKUP($C1509,DESON!$A:$D,4,))</f>
        <v>47,31</v>
      </c>
      <c r="J1509" s="209">
        <f t="shared" si="127"/>
        <v>202.39</v>
      </c>
    </row>
    <row r="1510" spans="1:10" ht="15" customHeight="1">
      <c r="A1510" s="208" t="s">
        <v>39</v>
      </c>
      <c r="B1510" s="241"/>
      <c r="C1510" s="241">
        <v>34360</v>
      </c>
      <c r="D1510" s="161" t="s">
        <v>7327</v>
      </c>
      <c r="E1510" s="1194" t="s">
        <v>133</v>
      </c>
      <c r="F1510" s="242">
        <v>7.4879999999999995</v>
      </c>
      <c r="G1510" s="242">
        <f>IF(B1510="SEPLAG",VLOOKUP(CONCATENATE("MEDIANA - ",C1510),COTAÇÃO,5,FALSE),VLOOKUP($C1510,'NAO DESO'!$A:$D,4,))</f>
        <v>47.31</v>
      </c>
      <c r="H1510" s="242">
        <f t="shared" si="126"/>
        <v>354.25</v>
      </c>
      <c r="I1510" s="54" t="str">
        <f>IF(B1510="SEPLAG",VLOOKUP(CONCATENATE("MEDIANA - ",C1510),COTAÇÃO,5,FALSE),VLOOKUP($C1510,DESON!$A:$D,4,))</f>
        <v>47,31</v>
      </c>
      <c r="J1510" s="209">
        <f t="shared" si="127"/>
        <v>354.25</v>
      </c>
    </row>
    <row r="1511" spans="1:10" ht="15" customHeight="1">
      <c r="A1511" s="208" t="s">
        <v>39</v>
      </c>
      <c r="B1511" s="241"/>
      <c r="C1511" s="241">
        <v>34360</v>
      </c>
      <c r="D1511" s="161" t="s">
        <v>7328</v>
      </c>
      <c r="E1511" s="1194" t="s">
        <v>133</v>
      </c>
      <c r="F1511" s="242">
        <v>4.4210000000000003</v>
      </c>
      <c r="G1511" s="242">
        <f>IF(B1511="SEPLAG",VLOOKUP(CONCATENATE("MEDIANA - ",C1511),COTAÇÃO,5,FALSE),VLOOKUP($C1511,'NAO DESO'!$A:$D,4,))</f>
        <v>47.31</v>
      </c>
      <c r="H1511" s="242">
        <f t="shared" si="126"/>
        <v>209.15</v>
      </c>
      <c r="I1511" s="54" t="str">
        <f>IF(B1511="SEPLAG",VLOOKUP(CONCATENATE("MEDIANA - ",C1511),COTAÇÃO,5,FALSE),VLOOKUP($C1511,DESON!$A:$D,4,))</f>
        <v>47,31</v>
      </c>
      <c r="J1511" s="209">
        <f t="shared" si="127"/>
        <v>209.15</v>
      </c>
    </row>
    <row r="1512" spans="1:10" ht="15" customHeight="1">
      <c r="A1512" s="208" t="s">
        <v>39</v>
      </c>
      <c r="B1512" s="241"/>
      <c r="C1512" s="241">
        <v>34360</v>
      </c>
      <c r="D1512" s="161" t="s">
        <v>7329</v>
      </c>
      <c r="E1512" s="1194" t="s">
        <v>133</v>
      </c>
      <c r="F1512" s="242">
        <v>0</v>
      </c>
      <c r="G1512" s="242">
        <f>IF(B1512="SEPLAG",VLOOKUP(CONCATENATE("MEDIANA - ",C1512),COTAÇÃO,5,FALSE),VLOOKUP($C1512,'NAO DESO'!$A:$D,4,))</f>
        <v>47.31</v>
      </c>
      <c r="H1512" s="242">
        <f>F1512*G1512</f>
        <v>0</v>
      </c>
      <c r="I1512" s="54" t="str">
        <f>IF(B1512="SEPLAG",VLOOKUP(CONCATENATE("MEDIANA - ",C1512),COTAÇÃO,5,FALSE),VLOOKUP($C1512,DESON!$A:$D,4,))</f>
        <v>47,31</v>
      </c>
      <c r="J1512" s="209">
        <f>F1512*I1512</f>
        <v>0</v>
      </c>
    </row>
    <row r="1513" spans="1:10" ht="15" customHeight="1">
      <c r="A1513" s="208" t="s">
        <v>39</v>
      </c>
      <c r="B1513" s="241"/>
      <c r="C1513" s="241">
        <v>34360</v>
      </c>
      <c r="D1513" s="161" t="s">
        <v>7330</v>
      </c>
      <c r="E1513" s="1194" t="s">
        <v>133</v>
      </c>
      <c r="F1513" s="242">
        <v>0</v>
      </c>
      <c r="G1513" s="242">
        <f>IF(B1513="SEPLAG",VLOOKUP(CONCATENATE("MEDIANA - ",C1513),COTAÇÃO,5,FALSE),VLOOKUP($C1513,'NAO DESO'!$A:$D,4,))</f>
        <v>47.31</v>
      </c>
      <c r="H1513" s="242">
        <f>F1513*G1513</f>
        <v>0</v>
      </c>
      <c r="I1513" s="54" t="str">
        <f>IF(B1513="SEPLAG",VLOOKUP(CONCATENATE("MEDIANA - ",C1513),COTAÇÃO,5,FALSE),VLOOKUP($C1513,DESON!$A:$D,4,))</f>
        <v>47,31</v>
      </c>
      <c r="J1513" s="209">
        <f>F1513*I1513</f>
        <v>0</v>
      </c>
    </row>
    <row r="1514" spans="1:10" ht="15" customHeight="1">
      <c r="A1514" s="208" t="s">
        <v>39</v>
      </c>
      <c r="B1514" s="241"/>
      <c r="C1514" s="241">
        <v>34360</v>
      </c>
      <c r="D1514" s="161" t="s">
        <v>7331</v>
      </c>
      <c r="E1514" s="1194" t="s">
        <v>133</v>
      </c>
      <c r="F1514" s="242">
        <v>15.844999999999999</v>
      </c>
      <c r="G1514" s="242">
        <f>IF(B1514="SEPLAG",VLOOKUP(CONCATENATE("MEDIANA - ",C1514),COTAÇÃO,5,FALSE),VLOOKUP($C1514,'NAO DESO'!$A:$D,4,))</f>
        <v>47.31</v>
      </c>
      <c r="H1514" s="242">
        <f t="shared" ref="H1514:H1530" si="128">TRUNC(F1514*G1514,2)</f>
        <v>749.62</v>
      </c>
      <c r="I1514" s="54" t="str">
        <f>IF(B1514="SEPLAG",VLOOKUP(CONCATENATE("MEDIANA - ",C1514),COTAÇÃO,5,FALSE),VLOOKUP($C1514,DESON!$A:$D,4,))</f>
        <v>47,31</v>
      </c>
      <c r="J1514" s="209">
        <f t="shared" ref="J1514:J1530" si="129">TRUNC(F1514*I1514,2)</f>
        <v>749.62</v>
      </c>
    </row>
    <row r="1515" spans="1:10" ht="15" customHeight="1">
      <c r="A1515" s="208" t="s">
        <v>39</v>
      </c>
      <c r="B1515" s="241"/>
      <c r="C1515" s="241">
        <v>34360</v>
      </c>
      <c r="D1515" s="161" t="s">
        <v>7332</v>
      </c>
      <c r="E1515" s="1194" t="s">
        <v>133</v>
      </c>
      <c r="F1515" s="242">
        <v>1.323</v>
      </c>
      <c r="G1515" s="242">
        <f>IF(B1515="SEPLAG",VLOOKUP(CONCATENATE("MEDIANA - ",C1515),COTAÇÃO,5,FALSE),VLOOKUP($C1515,'NAO DESO'!$A:$D,4,))</f>
        <v>47.31</v>
      </c>
      <c r="H1515" s="242">
        <f t="shared" si="128"/>
        <v>62.59</v>
      </c>
      <c r="I1515" s="54" t="str">
        <f>IF(B1515="SEPLAG",VLOOKUP(CONCATENATE("MEDIANA - ",C1515),COTAÇÃO,5,FALSE),VLOOKUP($C1515,DESON!$A:$D,4,))</f>
        <v>47,31</v>
      </c>
      <c r="J1515" s="209">
        <f t="shared" si="129"/>
        <v>62.59</v>
      </c>
    </row>
    <row r="1516" spans="1:10" ht="15" customHeight="1">
      <c r="A1516" s="208" t="s">
        <v>39</v>
      </c>
      <c r="B1516" s="241"/>
      <c r="C1516" s="241">
        <v>34360</v>
      </c>
      <c r="D1516" s="161" t="s">
        <v>7333</v>
      </c>
      <c r="E1516" s="1194" t="s">
        <v>133</v>
      </c>
      <c r="F1516" s="242">
        <v>3.774</v>
      </c>
      <c r="G1516" s="242">
        <f>IF(B1516="SEPLAG",VLOOKUP(CONCATENATE("MEDIANA - ",C1516),COTAÇÃO,5,FALSE),VLOOKUP($C1516,'NAO DESO'!$A:$D,4,))</f>
        <v>47.31</v>
      </c>
      <c r="H1516" s="242">
        <f t="shared" si="128"/>
        <v>178.54</v>
      </c>
      <c r="I1516" s="54" t="str">
        <f>IF(B1516="SEPLAG",VLOOKUP(CONCATENATE("MEDIANA - ",C1516),COTAÇÃO,5,FALSE),VLOOKUP($C1516,DESON!$A:$D,4,))</f>
        <v>47,31</v>
      </c>
      <c r="J1516" s="209">
        <f t="shared" si="129"/>
        <v>178.54</v>
      </c>
    </row>
    <row r="1517" spans="1:10" ht="15" customHeight="1">
      <c r="A1517" s="208" t="s">
        <v>39</v>
      </c>
      <c r="B1517" s="241" t="s">
        <v>14504</v>
      </c>
      <c r="C1517" s="1181" t="s">
        <v>14307</v>
      </c>
      <c r="D1517" s="161" t="str">
        <f>IF(B1517="SEPLAG",VLOOKUP(COMPOSIÇÕES!C1517,'MAPA COMPARATIVO'!A:B,2,FALSE),VLOOKUP(C1517,'NAO DESO'!A:B,2,0))</f>
        <v xml:space="preserve">Braço de max-ar linha gold de 600mm </v>
      </c>
      <c r="E1517" s="1194" t="s">
        <v>24</v>
      </c>
      <c r="F1517" s="242">
        <v>8</v>
      </c>
      <c r="G1517" s="242">
        <f>IF(B1517="SEPLAG",VLOOKUP(CONCATENATE("MEDIANA - ",C1517),COTAÇÃO,5,FALSE),VLOOKUP($C1517,'NAO DESO'!$A:$D,4,))</f>
        <v>36.575000000000003</v>
      </c>
      <c r="H1517" s="242">
        <f t="shared" si="128"/>
        <v>292.60000000000002</v>
      </c>
      <c r="I1517" s="54">
        <f>IF(B1517="SEPLAG",VLOOKUP(CONCATENATE("MEDIANA - ",C1517),COTAÇÃO,5,FALSE),VLOOKUP($C1517,DESON!$A:$D,4,))</f>
        <v>36.575000000000003</v>
      </c>
      <c r="J1517" s="209">
        <f t="shared" si="129"/>
        <v>292.60000000000002</v>
      </c>
    </row>
    <row r="1518" spans="1:10" ht="15" customHeight="1">
      <c r="A1518" s="208" t="s">
        <v>39</v>
      </c>
      <c r="B1518" s="241" t="s">
        <v>14504</v>
      </c>
      <c r="C1518" s="1181" t="s">
        <v>14308</v>
      </c>
      <c r="D1518" s="161" t="str">
        <f>IF(B1518="SEPLAG",VLOOKUP(COMPOSIÇÕES!C1518,'MAPA COMPARATIVO'!A:B,2,FALSE),VLOOKUP(C1518,'NAO DESO'!A:B,2,0))</f>
        <v>Fecho max-ar linha gold</v>
      </c>
      <c r="E1518" s="1194" t="s">
        <v>24</v>
      </c>
      <c r="F1518" s="242">
        <v>8</v>
      </c>
      <c r="G1518" s="242">
        <f>IF(B1518="SEPLAG",VLOOKUP(CONCATENATE("MEDIANA - ",C1518),COTAÇÃO,5,FALSE),VLOOKUP($C1518,'NAO DESO'!$A:$D,4,))</f>
        <v>47.36</v>
      </c>
      <c r="H1518" s="242">
        <f t="shared" si="128"/>
        <v>378.88</v>
      </c>
      <c r="I1518" s="54">
        <f>IF(B1518="SEPLAG",VLOOKUP(CONCATENATE("MEDIANA - ",C1518),COTAÇÃO,5,FALSE),VLOOKUP($C1518,DESON!$A:$D,4,))</f>
        <v>47.36</v>
      </c>
      <c r="J1518" s="209">
        <f t="shared" si="129"/>
        <v>378.88</v>
      </c>
    </row>
    <row r="1519" spans="1:10" ht="15" customHeight="1">
      <c r="A1519" s="208" t="s">
        <v>39</v>
      </c>
      <c r="B1519" s="241" t="s">
        <v>14504</v>
      </c>
      <c r="C1519" s="1181" t="s">
        <v>14309</v>
      </c>
      <c r="D1519" s="161" t="str">
        <f>IF(B1519="SEPLAG",VLOOKUP(COMPOSIÇÕES!C1519,'MAPA COMPARATIVO'!A:B,2,FALSE),VLOOKUP(C1519,'NAO DESO'!A:B,2,0))</f>
        <v>Guarnição em EPDM p/ pingadeira</v>
      </c>
      <c r="E1519" s="1194" t="s">
        <v>7388</v>
      </c>
      <c r="F1519" s="242">
        <v>8.3699999999999992</v>
      </c>
      <c r="G1519" s="242">
        <f>IF(B1519="SEPLAG",VLOOKUP(CONCATENATE("MEDIANA - ",C1519),COTAÇÃO,5,FALSE),VLOOKUP($C1519,'NAO DESO'!$A:$D,4,))</f>
        <v>4.3849999999999998</v>
      </c>
      <c r="H1519" s="242">
        <f t="shared" si="128"/>
        <v>36.700000000000003</v>
      </c>
      <c r="I1519" s="54">
        <f>IF(B1519="SEPLAG",VLOOKUP(CONCATENATE("MEDIANA - ",C1519),COTAÇÃO,5,FALSE),VLOOKUP($C1519,DESON!$A:$D,4,))</f>
        <v>4.3849999999999998</v>
      </c>
      <c r="J1519" s="209">
        <f t="shared" si="129"/>
        <v>36.700000000000003</v>
      </c>
    </row>
    <row r="1520" spans="1:10" ht="15" customHeight="1">
      <c r="A1520" s="208" t="s">
        <v>39</v>
      </c>
      <c r="B1520" s="241" t="s">
        <v>14504</v>
      </c>
      <c r="C1520" s="1181" t="s">
        <v>14310</v>
      </c>
      <c r="D1520" s="161" t="str">
        <f>IF(B1520="SEPLAG",VLOOKUP(COMPOSIÇÕES!C1520,'MAPA COMPARATIVO'!A:B,2,FALSE),VLOOKUP(C1520,'NAO DESO'!A:B,2,0))</f>
        <v>Guarnição em EPDM para vidro</v>
      </c>
      <c r="E1520" s="1194" t="s">
        <v>250</v>
      </c>
      <c r="F1520" s="242">
        <v>29.956</v>
      </c>
      <c r="G1520" s="242">
        <f>IF(B1520="SEPLAG",VLOOKUP(CONCATENATE("MEDIANA - ",C1520),COTAÇÃO,5,FALSE),VLOOKUP($C1520,'NAO DESO'!$A:$D,4,))</f>
        <v>2.4091999999999998</v>
      </c>
      <c r="H1520" s="242">
        <f t="shared" si="128"/>
        <v>72.16</v>
      </c>
      <c r="I1520" s="54">
        <f>IF(B1520="SEPLAG",VLOOKUP(CONCATENATE("MEDIANA - ",C1520),COTAÇÃO,5,FALSE),VLOOKUP($C1520,DESON!$A:$D,4,))</f>
        <v>2.4091999999999998</v>
      </c>
      <c r="J1520" s="209">
        <f t="shared" si="129"/>
        <v>72.16</v>
      </c>
    </row>
    <row r="1521" spans="1:10" ht="15" customHeight="1">
      <c r="A1521" s="208" t="s">
        <v>39</v>
      </c>
      <c r="B1521" s="241" t="s">
        <v>14504</v>
      </c>
      <c r="C1521" s="1181" t="s">
        <v>14311</v>
      </c>
      <c r="D1521" s="161" t="str">
        <f>IF(B1521="SEPLAG",VLOOKUP(COMPOSIÇÕES!C1521,'MAPA COMPARATIVO'!A:B,2,FALSE),VLOOKUP(C1521,'NAO DESO'!A:B,2,0))</f>
        <v>Espuma adesiva 1 face</v>
      </c>
      <c r="E1521" s="1194" t="s">
        <v>250</v>
      </c>
      <c r="F1521" s="242">
        <v>29.956</v>
      </c>
      <c r="G1521" s="242">
        <f>IF(B1521="SEPLAG",VLOOKUP(CONCATENATE("MEDIANA - ",C1521),COTAÇÃO,5,FALSE),VLOOKUP($C1521,'NAO DESO'!$A:$D,4,))</f>
        <v>2.1800000000000002</v>
      </c>
      <c r="H1521" s="242">
        <f t="shared" si="128"/>
        <v>65.3</v>
      </c>
      <c r="I1521" s="54">
        <f>IF(B1521="SEPLAG",VLOOKUP(CONCATENATE("MEDIANA - ",C1521),COTAÇÃO,5,FALSE),VLOOKUP($C1521,DESON!$A:$D,4,))</f>
        <v>2.1800000000000002</v>
      </c>
      <c r="J1521" s="209">
        <f t="shared" si="129"/>
        <v>65.3</v>
      </c>
    </row>
    <row r="1522" spans="1:10" ht="15" customHeight="1">
      <c r="A1522" s="208" t="s">
        <v>39</v>
      </c>
      <c r="B1522" s="241" t="s">
        <v>14504</v>
      </c>
      <c r="C1522" s="1181" t="s">
        <v>14312</v>
      </c>
      <c r="D1522" s="161" t="str">
        <f>IF(B1522="SEPLAG",VLOOKUP(COMPOSIÇÕES!C1522,'MAPA COMPARATIVO'!A:B,2,FALSE),VLOOKUP(C1522,'NAO DESO'!A:B,2,0))</f>
        <v>Guarnição em EPDM p/ marco max-ar</v>
      </c>
      <c r="E1522" s="1194" t="s">
        <v>250</v>
      </c>
      <c r="F1522" s="242">
        <v>59.356000000000002</v>
      </c>
      <c r="G1522" s="242">
        <f>IF(B1522="SEPLAG",VLOOKUP(CONCATENATE("MEDIANA - ",C1522),COTAÇÃO,5,FALSE),VLOOKUP($C1522,'NAO DESO'!$A:$D,4,))</f>
        <v>3.8138999999999998</v>
      </c>
      <c r="H1522" s="242">
        <f t="shared" si="128"/>
        <v>226.37</v>
      </c>
      <c r="I1522" s="54">
        <f>IF(B1522="SEPLAG",VLOOKUP(CONCATENATE("MEDIANA - ",C1522),COTAÇÃO,5,FALSE),VLOOKUP($C1522,DESON!$A:$D,4,))</f>
        <v>3.8138999999999998</v>
      </c>
      <c r="J1522" s="209">
        <f t="shared" si="129"/>
        <v>226.37</v>
      </c>
    </row>
    <row r="1523" spans="1:10" ht="15" customHeight="1">
      <c r="A1523" s="208" t="s">
        <v>39</v>
      </c>
      <c r="B1523" s="241" t="s">
        <v>14504</v>
      </c>
      <c r="C1523" s="1181" t="s">
        <v>14313</v>
      </c>
      <c r="D1523" s="161" t="str">
        <f>IF(B1523="SEPLAG",VLOOKUP(COMPOSIÇÕES!C1523,'MAPA COMPARATIVO'!A:B,2,FALSE),VLOOKUP(C1523,'NAO DESO'!A:B,2,0))</f>
        <v>PRESILHA DE FIXAÇÃO DO ARREMATE MP-347</v>
      </c>
      <c r="E1523" s="1194" t="s">
        <v>24</v>
      </c>
      <c r="F1523" s="242">
        <v>48</v>
      </c>
      <c r="G1523" s="242">
        <f>IF(B1523="SEPLAG",VLOOKUP(CONCATENATE("MEDIANA - ",C1523),COTAÇÃO,5,FALSE),VLOOKUP($C1523,'NAO DESO'!$A:$D,4,))</f>
        <v>0.34</v>
      </c>
      <c r="H1523" s="242">
        <f t="shared" si="128"/>
        <v>16.32</v>
      </c>
      <c r="I1523" s="54">
        <f>IF(B1523="SEPLAG",VLOOKUP(CONCATENATE("MEDIANA - ",C1523),COTAÇÃO,5,FALSE),VLOOKUP($C1523,DESON!$A:$D,4,))</f>
        <v>0.34</v>
      </c>
      <c r="J1523" s="209">
        <f t="shared" si="129"/>
        <v>16.32</v>
      </c>
    </row>
    <row r="1524" spans="1:10" ht="15" customHeight="1">
      <c r="A1524" s="208" t="s">
        <v>39</v>
      </c>
      <c r="B1524" s="241" t="s">
        <v>14504</v>
      </c>
      <c r="C1524" s="1181" t="s">
        <v>14314</v>
      </c>
      <c r="D1524" s="161" t="str">
        <f>IF(B1524="SEPLAG",VLOOKUP(COMPOSIÇÕES!C1524,'MAPA COMPARATIVO'!A:B,2,FALSE),VLOOKUP(C1524,'NAO DESO'!A:B,2,0))</f>
        <v>Parafuso zincado phillips flangeado autobrocante 4,2 x 16mm</v>
      </c>
      <c r="E1524" s="1194" t="s">
        <v>24</v>
      </c>
      <c r="F1524" s="242">
        <v>48</v>
      </c>
      <c r="G1524" s="242">
        <f>IF(B1524="SEPLAG",VLOOKUP(CONCATENATE("MEDIANA - ",C1524),COTAÇÃO,5,FALSE),VLOOKUP($C1524,'NAO DESO'!$A:$D,4,))</f>
        <v>0.28000000000000003</v>
      </c>
      <c r="H1524" s="242">
        <f t="shared" si="128"/>
        <v>13.44</v>
      </c>
      <c r="I1524" s="54">
        <f>IF(B1524="SEPLAG",VLOOKUP(CONCATENATE("MEDIANA - ",C1524),COTAÇÃO,5,FALSE),VLOOKUP($C1524,DESON!$A:$D,4,))</f>
        <v>0.28000000000000003</v>
      </c>
      <c r="J1524" s="209">
        <f t="shared" si="129"/>
        <v>13.44</v>
      </c>
    </row>
    <row r="1525" spans="1:10" ht="15" customHeight="1">
      <c r="A1525" s="208" t="s">
        <v>39</v>
      </c>
      <c r="B1525" s="241" t="s">
        <v>14504</v>
      </c>
      <c r="C1525" s="1181" t="s">
        <v>14315</v>
      </c>
      <c r="D1525" s="161" t="str">
        <f>IF(B1525="SEPLAG",VLOOKUP(COMPOSIÇÕES!C1525,'MAPA COMPARATIVO'!A:B,2,FALSE),VLOOKUP(C1525,'NAO DESO'!A:B,2,0))</f>
        <v>PARAF. PANELA PHILIPS INOX 4,8 X32 PONTA PILOTO</v>
      </c>
      <c r="E1525" s="1194" t="s">
        <v>24</v>
      </c>
      <c r="F1525" s="242">
        <v>28</v>
      </c>
      <c r="G1525" s="242">
        <f>IF(B1525="SEPLAG",VLOOKUP(CONCATENATE("MEDIANA - ",C1525),COTAÇÃO,5,FALSE),VLOOKUP($C1525,'NAO DESO'!$A:$D,4,))</f>
        <v>0.95</v>
      </c>
      <c r="H1525" s="242">
        <f t="shared" si="128"/>
        <v>26.6</v>
      </c>
      <c r="I1525" s="54">
        <f>IF(B1525="SEPLAG",VLOOKUP(CONCATENATE("MEDIANA - ",C1525),COTAÇÃO,5,FALSE),VLOOKUP($C1525,DESON!$A:$D,4,))</f>
        <v>0.95</v>
      </c>
      <c r="J1525" s="209">
        <f t="shared" si="129"/>
        <v>26.6</v>
      </c>
    </row>
    <row r="1526" spans="1:10" ht="15" customHeight="1">
      <c r="A1526" s="208" t="s">
        <v>39</v>
      </c>
      <c r="B1526" s="241" t="s">
        <v>14504</v>
      </c>
      <c r="C1526" s="1181" t="s">
        <v>14316</v>
      </c>
      <c r="D1526" s="161" t="str">
        <f>IF(B1526="SEPLAG",VLOOKUP(COMPOSIÇÕES!C1526,'MAPA COMPARATIVO'!A:B,2,FALSE),VLOOKUP(C1526,'NAO DESO'!A:B,2,0))</f>
        <v>CHUMBADOR DE CM-063/060</v>
      </c>
      <c r="E1526" s="1194" t="s">
        <v>24</v>
      </c>
      <c r="F1526" s="242">
        <v>48</v>
      </c>
      <c r="G1526" s="242">
        <f>IF(B1526="SEPLAG",VLOOKUP(CONCATENATE("MEDIANA - ",C1526),COTAÇÃO,5,FALSE),VLOOKUP($C1526,'NAO DESO'!$A:$D,4,))</f>
        <v>0.86</v>
      </c>
      <c r="H1526" s="242">
        <f t="shared" si="128"/>
        <v>41.28</v>
      </c>
      <c r="I1526" s="54">
        <f>IF(B1526="SEPLAG",VLOOKUP(CONCATENATE("MEDIANA - ",C1526),COTAÇÃO,5,FALSE),VLOOKUP($C1526,DESON!$A:$D,4,))</f>
        <v>0.86</v>
      </c>
      <c r="J1526" s="209">
        <f t="shared" si="129"/>
        <v>41.28</v>
      </c>
    </row>
    <row r="1527" spans="1:10" ht="15" customHeight="1">
      <c r="A1527" s="208" t="s">
        <v>39</v>
      </c>
      <c r="B1527" s="241" t="s">
        <v>14504</v>
      </c>
      <c r="C1527" s="1181" t="s">
        <v>14317</v>
      </c>
      <c r="D1527" s="161" t="str">
        <f>IF(B1527="SEPLAG",VLOOKUP(COMPOSIÇÕES!C1527,'MAPA COMPARATIVO'!A:B,2,FALSE),VLOOKUP(C1527,'NAO DESO'!A:B,2,0))</f>
        <v>Silicone neutro incolor 280 g</v>
      </c>
      <c r="E1527" s="1194" t="s">
        <v>24</v>
      </c>
      <c r="F1527" s="242">
        <v>4</v>
      </c>
      <c r="G1527" s="242">
        <f>IF(B1527="SEPLAG",VLOOKUP(CONCATENATE("MEDIANA - ",C1527),COTAÇÃO,5,FALSE),VLOOKUP($C1527,'NAO DESO'!$A:$D,4,))</f>
        <v>43.9</v>
      </c>
      <c r="H1527" s="242">
        <f t="shared" si="128"/>
        <v>175.6</v>
      </c>
      <c r="I1527" s="54">
        <f>IF(B1527="SEPLAG",VLOOKUP(CONCATENATE("MEDIANA - ",C1527),COTAÇÃO,5,FALSE),VLOOKUP($C1527,DESON!$A:$D,4,))</f>
        <v>43.9</v>
      </c>
      <c r="J1527" s="209">
        <f t="shared" si="129"/>
        <v>175.6</v>
      </c>
    </row>
    <row r="1528" spans="1:10" ht="15" customHeight="1">
      <c r="A1528" s="208" t="s">
        <v>245</v>
      </c>
      <c r="B1528" s="241"/>
      <c r="C1528" s="1181">
        <v>10505</v>
      </c>
      <c r="D1528" s="161" t="str">
        <f>IF(B1528="SEPLAG",VLOOKUP(COMPOSIÇÕES!C1528,'MAPA COMPARATIVO'!A:B,2,FALSE),VLOOKUP(C1528,'NAO DESO'!A:B,2,0))</f>
        <v>VIDRO TEMPERADO INCOLOR E = 6 MM, SEM COLOCACAO</v>
      </c>
      <c r="E1528" s="241" t="str">
        <f>VLOOKUP($C1528,'NAO DESO'!$A:$D,3,)</f>
        <v xml:space="preserve">M2    </v>
      </c>
      <c r="F1528" s="242">
        <v>7.56</v>
      </c>
      <c r="G1528" s="242">
        <f>IF(B1528="SEPLAG",VLOOKUP(CONCATENATE("MEDIANA - ",C1528),COTAÇÃO,5,FALSE),VLOOKUP($C1528,'NAO DESO'!$A:$D,4,))</f>
        <v>272.77</v>
      </c>
      <c r="H1528" s="242">
        <f t="shared" si="128"/>
        <v>2062.14</v>
      </c>
      <c r="I1528" s="54" t="str">
        <f>IF(B1528="SEPLAG",VLOOKUP(CONCATENATE("MEDIANA - ",C1528),COTAÇÃO,5,FALSE),VLOOKUP($C1528,DESON!$A:$D,4,))</f>
        <v>272,77</v>
      </c>
      <c r="J1528" s="209">
        <f t="shared" si="129"/>
        <v>2062.14</v>
      </c>
    </row>
    <row r="1529" spans="1:10" ht="15" customHeight="1">
      <c r="A1529" s="208" t="s">
        <v>245</v>
      </c>
      <c r="B1529" s="241"/>
      <c r="C1529" s="1181">
        <v>88315</v>
      </c>
      <c r="D1529" s="161" t="str">
        <f>IF(B1529="SEPLAG",VLOOKUP(COMPOSIÇÕES!C1529,'MAPA COMPARATIVO'!A:B,2,FALSE),VLOOKUP(C1529,'NAO DESO'!A:B,2,0))</f>
        <v>SERRALHEIRO COM ENCARGOS COMPLEMENTARES</v>
      </c>
      <c r="E1529" s="241" t="str">
        <f>VLOOKUP($C1529,'NAO DESO'!$A:$D,3,)</f>
        <v>H</v>
      </c>
      <c r="F1529" s="242">
        <v>24.65</v>
      </c>
      <c r="G1529" s="242" t="str">
        <f>IF(B1529="SEPLAG",VLOOKUP(CONCATENATE("MEDIANA - ",C1529),COTAÇÃO,5,FALSE),VLOOKUP($C1529,'NAO DESO'!$A:$D,4,))</f>
        <v>20,97</v>
      </c>
      <c r="H1529" s="242">
        <f t="shared" si="128"/>
        <v>516.91</v>
      </c>
      <c r="I1529" s="54" t="str">
        <f>IF(B1529="SEPLAG",VLOOKUP(CONCATENATE("MEDIANA - ",C1529),COTAÇÃO,5,FALSE),VLOOKUP($C1529,DESON!$A:$D,4,))</f>
        <v>18,75</v>
      </c>
      <c r="J1529" s="209">
        <f t="shared" si="129"/>
        <v>462.18</v>
      </c>
    </row>
    <row r="1530" spans="1:10" ht="15" customHeight="1">
      <c r="A1530" s="208" t="s">
        <v>245</v>
      </c>
      <c r="B1530" s="241"/>
      <c r="C1530" s="1181">
        <v>88316</v>
      </c>
      <c r="D1530" s="161" t="str">
        <f>IF(B1530="SEPLAG",VLOOKUP(COMPOSIÇÕES!C1530,'MAPA COMPARATIVO'!A:B,2,FALSE),VLOOKUP(C1530,'NAO DESO'!A:B,2,0))</f>
        <v>SERVENTE COM ENCARGOS COMPLEMENTARES</v>
      </c>
      <c r="E1530" s="241" t="str">
        <f>VLOOKUP($C1530,'NAO DESO'!$A:$D,3,)</f>
        <v>H</v>
      </c>
      <c r="F1530" s="242">
        <v>24.65</v>
      </c>
      <c r="G1530" s="242" t="str">
        <f>IF(B1530="SEPLAG",VLOOKUP(CONCATENATE("MEDIANA - ",C1530),COTAÇÃO,5,FALSE),VLOOKUP($C1530,'NAO DESO'!$A:$D,4,))</f>
        <v>16,83</v>
      </c>
      <c r="H1530" s="242">
        <f t="shared" si="128"/>
        <v>414.85</v>
      </c>
      <c r="I1530" s="54" t="str">
        <f>IF(B1530="SEPLAG",VLOOKUP(CONCATENATE("MEDIANA - ",C1530),COTAÇÃO,5,FALSE),VLOOKUP($C1530,DESON!$A:$D,4,))</f>
        <v>15,16</v>
      </c>
      <c r="J1530" s="209">
        <f t="shared" si="129"/>
        <v>373.69</v>
      </c>
    </row>
    <row r="1531" spans="1:10" ht="15" customHeight="1">
      <c r="A1531" s="210" t="str">
        <f>CONCATENATE("TOTAL DO ITEM NÃO DESON. - ",C1504)</f>
        <v>TOTAL DO ITEM NÃO DESON. - SEPLAG  ARQ 94</v>
      </c>
      <c r="B1531" s="424"/>
      <c r="C1531" s="424"/>
      <c r="D1531" s="424"/>
      <c r="E1531" s="424"/>
      <c r="F1531" s="425"/>
      <c r="G1531" s="426"/>
      <c r="H1531" s="1182">
        <f>SUM(H1506:H1530)</f>
        <v>6432.81</v>
      </c>
      <c r="I1531" s="214"/>
      <c r="J1531" s="215"/>
    </row>
    <row r="1532" spans="1:10" ht="15.75" customHeight="1" thickBot="1">
      <c r="A1532" s="216" t="str">
        <f>CONCATENATE("TOTAL DO ITEM DESON. - ",C1504)</f>
        <v>TOTAL DO ITEM DESON. - SEPLAG  ARQ 94</v>
      </c>
      <c r="B1532" s="427"/>
      <c r="C1532" s="427"/>
      <c r="D1532" s="427"/>
      <c r="E1532" s="427"/>
      <c r="F1532" s="428"/>
      <c r="G1532" s="429"/>
      <c r="H1532" s="1187"/>
      <c r="I1532" s="229"/>
      <c r="J1532" s="219">
        <f>SUM(J1506:J1530)</f>
        <v>6336.92</v>
      </c>
    </row>
    <row r="1533" spans="1:10" ht="15" customHeight="1" thickBot="1">
      <c r="A1533" s="421"/>
      <c r="B1533" s="1138"/>
      <c r="C1533" s="1138"/>
      <c r="D1533" s="1138"/>
      <c r="E1533" s="1154"/>
      <c r="F1533" s="1196"/>
      <c r="G1533" s="1196"/>
      <c r="H1533" s="1196"/>
      <c r="I1533" s="423"/>
      <c r="J1533" s="422"/>
    </row>
    <row r="1534" spans="1:10" ht="23.25" customHeight="1">
      <c r="A1534" s="198"/>
      <c r="B1534" s="1175"/>
      <c r="C1534" s="1176" t="s">
        <v>7383</v>
      </c>
      <c r="D1534" s="156" t="s">
        <v>7657</v>
      </c>
      <c r="E1534" s="1176" t="s">
        <v>32</v>
      </c>
      <c r="F1534" s="1177" t="s">
        <v>18</v>
      </c>
      <c r="G1534" s="1178" t="s">
        <v>7017</v>
      </c>
      <c r="H1534" s="1179"/>
      <c r="I1534" s="200" t="s">
        <v>7016</v>
      </c>
      <c r="J1534" s="201"/>
    </row>
    <row r="1535" spans="1:10" ht="15" customHeight="1">
      <c r="A1535" s="233"/>
      <c r="B1535" s="247"/>
      <c r="C1535" s="1155"/>
      <c r="D1535" s="157"/>
      <c r="E1535" s="1155"/>
      <c r="F1535" s="1180"/>
      <c r="G1535" s="1180" t="s">
        <v>19</v>
      </c>
      <c r="H1535" s="1180" t="s">
        <v>20</v>
      </c>
      <c r="I1535" s="205" t="s">
        <v>19</v>
      </c>
      <c r="J1535" s="206" t="s">
        <v>20</v>
      </c>
    </row>
    <row r="1536" spans="1:10" ht="15" customHeight="1">
      <c r="A1536" s="208" t="s">
        <v>39</v>
      </c>
      <c r="B1536" s="241"/>
      <c r="C1536" s="241">
        <v>34360</v>
      </c>
      <c r="D1536" s="161" t="s">
        <v>7323</v>
      </c>
      <c r="E1536" s="1194" t="s">
        <v>133</v>
      </c>
      <c r="F1536" s="242">
        <v>0.246</v>
      </c>
      <c r="G1536" s="242">
        <f>IF(B1536="SEPLAG",VLOOKUP(CONCATENATE("MEDIANA - ",C1536),COTAÇÃO,5,FALSE),VLOOKUP($C1536,'NAO DESO'!$A:$D,4,))</f>
        <v>47.31</v>
      </c>
      <c r="H1536" s="242">
        <f>TRUNC(F1536*G1536,2)</f>
        <v>11.63</v>
      </c>
      <c r="I1536" s="54" t="str">
        <f>IF(B1536="SEPLAG",VLOOKUP(CONCATENATE("MEDIANA - ",C1536),COTAÇÃO,5,FALSE),VLOOKUP($C1536,DESON!$A:$D,4,))</f>
        <v>47,31</v>
      </c>
      <c r="J1536" s="209">
        <f>TRUNC(F1536*I1536,2)</f>
        <v>11.63</v>
      </c>
    </row>
    <row r="1537" spans="1:10" ht="15" customHeight="1">
      <c r="A1537" s="208" t="s">
        <v>39</v>
      </c>
      <c r="B1537" s="241"/>
      <c r="C1537" s="241">
        <v>34360</v>
      </c>
      <c r="D1537" s="161" t="s">
        <v>7324</v>
      </c>
      <c r="E1537" s="1194" t="s">
        <v>133</v>
      </c>
      <c r="F1537" s="242">
        <v>0.51100000000000001</v>
      </c>
      <c r="G1537" s="242">
        <f>IF(B1537="SEPLAG",VLOOKUP(CONCATENATE("MEDIANA - ",C1537),COTAÇÃO,5,FALSE),VLOOKUP($C1537,'NAO DESO'!$A:$D,4,))</f>
        <v>47.31</v>
      </c>
      <c r="H1537" s="242">
        <f>TRUNC(F1537*G1537,2)</f>
        <v>24.17</v>
      </c>
      <c r="I1537" s="54" t="str">
        <f>IF(B1537="SEPLAG",VLOOKUP(CONCATENATE("MEDIANA - ",C1537),COTAÇÃO,5,FALSE),VLOOKUP($C1537,DESON!$A:$D,4,))</f>
        <v>47,31</v>
      </c>
      <c r="J1537" s="209">
        <f>TRUNC(F1537*I1537,2)</f>
        <v>24.17</v>
      </c>
    </row>
    <row r="1538" spans="1:10" ht="15" customHeight="1">
      <c r="A1538" s="208" t="s">
        <v>39</v>
      </c>
      <c r="B1538" s="241"/>
      <c r="C1538" s="241">
        <v>34360</v>
      </c>
      <c r="D1538" s="161" t="s">
        <v>7325</v>
      </c>
      <c r="E1538" s="1194" t="s">
        <v>133</v>
      </c>
      <c r="F1538" s="242">
        <v>0.73</v>
      </c>
      <c r="G1538" s="242">
        <f>IF(B1538="SEPLAG",VLOOKUP(CONCATENATE("MEDIANA - ",C1538),COTAÇÃO,5,FALSE),VLOOKUP($C1538,'NAO DESO'!$A:$D,4,))</f>
        <v>47.31</v>
      </c>
      <c r="H1538" s="242">
        <f>TRUNC(F1538*G1538,2)</f>
        <v>34.53</v>
      </c>
      <c r="I1538" s="54" t="str">
        <f>IF(B1538="SEPLAG",VLOOKUP(CONCATENATE("MEDIANA - ",C1538),COTAÇÃO,5,FALSE),VLOOKUP($C1538,DESON!$A:$D,4,))</f>
        <v>47,31</v>
      </c>
      <c r="J1538" s="209">
        <f>TRUNC(F1538*I1538,2)</f>
        <v>34.53</v>
      </c>
    </row>
    <row r="1539" spans="1:10" ht="15" customHeight="1">
      <c r="A1539" s="208" t="s">
        <v>39</v>
      </c>
      <c r="B1539" s="241"/>
      <c r="C1539" s="241">
        <v>34360</v>
      </c>
      <c r="D1539" s="161" t="s">
        <v>7326</v>
      </c>
      <c r="E1539" s="1194" t="s">
        <v>133</v>
      </c>
      <c r="F1539" s="242">
        <v>0.46</v>
      </c>
      <c r="G1539" s="242">
        <f>IF(B1539="SEPLAG",VLOOKUP(CONCATENATE("MEDIANA - ",C1539),COTAÇÃO,5,FALSE),VLOOKUP($C1539,'NAO DESO'!$A:$D,4,))</f>
        <v>47.31</v>
      </c>
      <c r="H1539" s="242">
        <f>TRUNC(F1539*G1539,2)</f>
        <v>21.76</v>
      </c>
      <c r="I1539" s="54" t="str">
        <f>IF(B1539="SEPLAG",VLOOKUP(CONCATENATE("MEDIANA - ",C1539),COTAÇÃO,5,FALSE),VLOOKUP($C1539,DESON!$A:$D,4,))</f>
        <v>47,31</v>
      </c>
      <c r="J1539" s="209">
        <f>TRUNC(F1539*I1539,2)</f>
        <v>21.76</v>
      </c>
    </row>
    <row r="1540" spans="1:10" ht="15" customHeight="1">
      <c r="A1540" s="208" t="s">
        <v>39</v>
      </c>
      <c r="B1540" s="241"/>
      <c r="C1540" s="241">
        <v>34360</v>
      </c>
      <c r="D1540" s="161" t="s">
        <v>7327</v>
      </c>
      <c r="E1540" s="1194" t="s">
        <v>133</v>
      </c>
      <c r="F1540" s="242">
        <v>0.77</v>
      </c>
      <c r="G1540" s="242">
        <f>IF(B1540="SEPLAG",VLOOKUP(CONCATENATE("MEDIANA - ",C1540),COTAÇÃO,5,FALSE),VLOOKUP($C1540,'NAO DESO'!$A:$D,4,))</f>
        <v>47.31</v>
      </c>
      <c r="H1540" s="242">
        <f>TRUNC(F1540*G1540,2)</f>
        <v>36.42</v>
      </c>
      <c r="I1540" s="54" t="str">
        <f>IF(B1540="SEPLAG",VLOOKUP(CONCATENATE("MEDIANA - ",C1540),COTAÇÃO,5,FALSE),VLOOKUP($C1540,DESON!$A:$D,4,))</f>
        <v>47,31</v>
      </c>
      <c r="J1540" s="209">
        <f>TRUNC(F1540*I1540,2)</f>
        <v>36.42</v>
      </c>
    </row>
    <row r="1541" spans="1:10" ht="15" customHeight="1">
      <c r="A1541" s="208" t="s">
        <v>39</v>
      </c>
      <c r="B1541" s="241"/>
      <c r="C1541" s="241">
        <v>34360</v>
      </c>
      <c r="D1541" s="161" t="s">
        <v>7328</v>
      </c>
      <c r="E1541" s="1194" t="s">
        <v>133</v>
      </c>
      <c r="F1541" s="242">
        <v>0</v>
      </c>
      <c r="G1541" s="242">
        <f>IF(B1541="SEPLAG",VLOOKUP(CONCATENATE("MEDIANA - ",C1541),COTAÇÃO,5,FALSE),VLOOKUP($C1541,'NAO DESO'!$A:$D,4,))</f>
        <v>47.31</v>
      </c>
      <c r="H1541" s="242">
        <f>F1541*G1541</f>
        <v>0</v>
      </c>
      <c r="I1541" s="54" t="str">
        <f>IF(B1541="SEPLAG",VLOOKUP(CONCATENATE("MEDIANA - ",C1541),COTAÇÃO,5,FALSE),VLOOKUP($C1541,DESON!$A:$D,4,))</f>
        <v>47,31</v>
      </c>
      <c r="J1541" s="209">
        <f>F1541*I1541</f>
        <v>0</v>
      </c>
    </row>
    <row r="1542" spans="1:10" ht="15" customHeight="1">
      <c r="A1542" s="208" t="s">
        <v>39</v>
      </c>
      <c r="B1542" s="241"/>
      <c r="C1542" s="241">
        <v>34360</v>
      </c>
      <c r="D1542" s="161" t="s">
        <v>7329</v>
      </c>
      <c r="E1542" s="1194" t="s">
        <v>133</v>
      </c>
      <c r="F1542" s="242"/>
      <c r="G1542" s="242">
        <f>IF(B1542="SEPLAG",VLOOKUP(CONCATENATE("MEDIANA - ",C1542),COTAÇÃO,5,FALSE),VLOOKUP($C1542,'NAO DESO'!$A:$D,4,))</f>
        <v>47.31</v>
      </c>
      <c r="H1542" s="242">
        <f>F1542*G1542</f>
        <v>0</v>
      </c>
      <c r="I1542" s="54" t="str">
        <f>IF(B1542="SEPLAG",VLOOKUP(CONCATENATE("MEDIANA - ",C1542),COTAÇÃO,5,FALSE),VLOOKUP($C1542,DESON!$A:$D,4,))</f>
        <v>47,31</v>
      </c>
      <c r="J1542" s="209">
        <f>F1542*I1542</f>
        <v>0</v>
      </c>
    </row>
    <row r="1543" spans="1:10" ht="15" customHeight="1">
      <c r="A1543" s="208" t="s">
        <v>39</v>
      </c>
      <c r="B1543" s="241"/>
      <c r="C1543" s="241">
        <v>34360</v>
      </c>
      <c r="D1543" s="161" t="s">
        <v>7330</v>
      </c>
      <c r="E1543" s="1194" t="s">
        <v>133</v>
      </c>
      <c r="F1543" s="242">
        <v>0</v>
      </c>
      <c r="G1543" s="242">
        <f>IF(B1543="SEPLAG",VLOOKUP(CONCATENATE("MEDIANA - ",C1543),COTAÇÃO,5,FALSE),VLOOKUP($C1543,'NAO DESO'!$A:$D,4,))</f>
        <v>47.31</v>
      </c>
      <c r="H1543" s="242">
        <f>F1543*G1543</f>
        <v>0</v>
      </c>
      <c r="I1543" s="54" t="str">
        <f>IF(B1543="SEPLAG",VLOOKUP(CONCATENATE("MEDIANA - ",C1543),COTAÇÃO,5,FALSE),VLOOKUP($C1543,DESON!$A:$D,4,))</f>
        <v>47,31</v>
      </c>
      <c r="J1543" s="209">
        <f>F1543*I1543</f>
        <v>0</v>
      </c>
    </row>
    <row r="1544" spans="1:10" ht="15" customHeight="1">
      <c r="A1544" s="208" t="s">
        <v>39</v>
      </c>
      <c r="B1544" s="241"/>
      <c r="C1544" s="241">
        <v>34360</v>
      </c>
      <c r="D1544" s="161" t="s">
        <v>7331</v>
      </c>
      <c r="E1544" s="1194" t="s">
        <v>133</v>
      </c>
      <c r="F1544" s="242">
        <v>0.94099999999999995</v>
      </c>
      <c r="G1544" s="242">
        <f>IF(B1544="SEPLAG",VLOOKUP(CONCATENATE("MEDIANA - ",C1544),COTAÇÃO,5,FALSE),VLOOKUP($C1544,'NAO DESO'!$A:$D,4,))</f>
        <v>47.31</v>
      </c>
      <c r="H1544" s="242">
        <f t="shared" ref="H1544:H1554" si="130">TRUNC(F1544*G1544,2)</f>
        <v>44.51</v>
      </c>
      <c r="I1544" s="54" t="str">
        <f>IF(B1544="SEPLAG",VLOOKUP(CONCATENATE("MEDIANA - ",C1544),COTAÇÃO,5,FALSE),VLOOKUP($C1544,DESON!$A:$D,4,))</f>
        <v>47,31</v>
      </c>
      <c r="J1544" s="209">
        <f t="shared" ref="J1544:J1554" si="131">TRUNC(F1544*I1544,2)</f>
        <v>44.51</v>
      </c>
    </row>
    <row r="1545" spans="1:10" ht="15" customHeight="1">
      <c r="A1545" s="208" t="s">
        <v>39</v>
      </c>
      <c r="B1545" s="241"/>
      <c r="C1545" s="241">
        <v>34360</v>
      </c>
      <c r="D1545" s="161" t="s">
        <v>7332</v>
      </c>
      <c r="E1545" s="1194" t="s">
        <v>133</v>
      </c>
      <c r="F1545" s="242">
        <v>7.4999999999999997E-2</v>
      </c>
      <c r="G1545" s="242">
        <f>IF(B1545="SEPLAG",VLOOKUP(CONCATENATE("MEDIANA - ",C1545),COTAÇÃO,5,FALSE),VLOOKUP($C1545,'NAO DESO'!$A:$D,4,))</f>
        <v>47.31</v>
      </c>
      <c r="H1545" s="242">
        <f t="shared" si="130"/>
        <v>3.54</v>
      </c>
      <c r="I1545" s="54" t="str">
        <f>IF(B1545="SEPLAG",VLOOKUP(CONCATENATE("MEDIANA - ",C1545),COTAÇÃO,5,FALSE),VLOOKUP($C1545,DESON!$A:$D,4,))</f>
        <v>47,31</v>
      </c>
      <c r="J1545" s="209">
        <f t="shared" si="131"/>
        <v>3.54</v>
      </c>
    </row>
    <row r="1546" spans="1:10" ht="15" customHeight="1">
      <c r="A1546" s="208" t="s">
        <v>39</v>
      </c>
      <c r="B1546" s="241"/>
      <c r="C1546" s="241">
        <v>34360</v>
      </c>
      <c r="D1546" s="161" t="s">
        <v>7333</v>
      </c>
      <c r="E1546" s="1194" t="s">
        <v>133</v>
      </c>
      <c r="F1546" s="242">
        <v>0.42</v>
      </c>
      <c r="G1546" s="242">
        <f>IF(B1546="SEPLAG",VLOOKUP(CONCATENATE("MEDIANA - ",C1546),COTAÇÃO,5,FALSE),VLOOKUP($C1546,'NAO DESO'!$A:$D,4,))</f>
        <v>47.31</v>
      </c>
      <c r="H1546" s="242">
        <f t="shared" si="130"/>
        <v>19.87</v>
      </c>
      <c r="I1546" s="54" t="str">
        <f>IF(B1546="SEPLAG",VLOOKUP(CONCATENATE("MEDIANA - ",C1546),COTAÇÃO,5,FALSE),VLOOKUP($C1546,DESON!$A:$D,4,))</f>
        <v>47,31</v>
      </c>
      <c r="J1546" s="209">
        <f t="shared" si="131"/>
        <v>19.87</v>
      </c>
    </row>
    <row r="1547" spans="1:10" ht="15" customHeight="1">
      <c r="A1547" s="208" t="s">
        <v>39</v>
      </c>
      <c r="B1547" s="241" t="s">
        <v>14504</v>
      </c>
      <c r="C1547" s="1181" t="s">
        <v>14307</v>
      </c>
      <c r="D1547" s="161" t="str">
        <f>IF(B1547="SEPLAG",VLOOKUP(COMPOSIÇÕES!C1547,'MAPA COMPARATIVO'!A:B,2,FALSE),VLOOKUP(C1547,'NAO DESO'!A:B,2,0))</f>
        <v xml:space="preserve">Braço de max-ar linha gold de 600mm </v>
      </c>
      <c r="E1547" s="1194" t="s">
        <v>24</v>
      </c>
      <c r="F1547" s="242">
        <v>1</v>
      </c>
      <c r="G1547" s="242">
        <f>IF(B1547="SEPLAG",VLOOKUP(CONCATENATE("MEDIANA - ",C1547),COTAÇÃO,5,FALSE),VLOOKUP($C1547,'NAO DESO'!$A:$D,4,))</f>
        <v>36.575000000000003</v>
      </c>
      <c r="H1547" s="242">
        <f t="shared" si="130"/>
        <v>36.57</v>
      </c>
      <c r="I1547" s="54">
        <f>IF(B1547="SEPLAG",VLOOKUP(CONCATENATE("MEDIANA - ",C1547),COTAÇÃO,5,FALSE),VLOOKUP($C1547,DESON!$A:$D,4,))</f>
        <v>36.575000000000003</v>
      </c>
      <c r="J1547" s="209">
        <f t="shared" si="131"/>
        <v>36.57</v>
      </c>
    </row>
    <row r="1548" spans="1:10" ht="15" customHeight="1">
      <c r="A1548" s="208" t="s">
        <v>39</v>
      </c>
      <c r="B1548" s="241" t="s">
        <v>14504</v>
      </c>
      <c r="C1548" s="1181" t="s">
        <v>14308</v>
      </c>
      <c r="D1548" s="161" t="str">
        <f>IF(B1548="SEPLAG",VLOOKUP(COMPOSIÇÕES!C1548,'MAPA COMPARATIVO'!A:B,2,FALSE),VLOOKUP(C1548,'NAO DESO'!A:B,2,0))</f>
        <v>Fecho max-ar linha gold</v>
      </c>
      <c r="E1548" s="1194" t="s">
        <v>24</v>
      </c>
      <c r="F1548" s="242">
        <v>1</v>
      </c>
      <c r="G1548" s="242">
        <f>IF(B1548="SEPLAG",VLOOKUP(CONCATENATE("MEDIANA - ",C1548),COTAÇÃO,5,FALSE),VLOOKUP($C1548,'NAO DESO'!$A:$D,4,))</f>
        <v>47.36</v>
      </c>
      <c r="H1548" s="242">
        <f t="shared" si="130"/>
        <v>47.36</v>
      </c>
      <c r="I1548" s="54">
        <f>IF(B1548="SEPLAG",VLOOKUP(CONCATENATE("MEDIANA - ",C1548),COTAÇÃO,5,FALSE),VLOOKUP($C1548,DESON!$A:$D,4,))</f>
        <v>47.36</v>
      </c>
      <c r="J1548" s="209">
        <f t="shared" si="131"/>
        <v>47.36</v>
      </c>
    </row>
    <row r="1549" spans="1:10" ht="15" customHeight="1">
      <c r="A1549" s="208" t="s">
        <v>39</v>
      </c>
      <c r="B1549" s="241" t="s">
        <v>14504</v>
      </c>
      <c r="C1549" s="1181" t="s">
        <v>14309</v>
      </c>
      <c r="D1549" s="161" t="str">
        <f>IF(B1549="SEPLAG",VLOOKUP(COMPOSIÇÕES!C1549,'MAPA COMPARATIVO'!A:B,2,FALSE),VLOOKUP(C1549,'NAO DESO'!A:B,2,0))</f>
        <v>Guarnição em EPDM p/ pingadeira</v>
      </c>
      <c r="E1549" s="1194" t="s">
        <v>7388</v>
      </c>
      <c r="F1549" s="242">
        <v>0.47199999999999998</v>
      </c>
      <c r="G1549" s="242">
        <f>IF(B1549="SEPLAG",VLOOKUP(CONCATENATE("MEDIANA - ",C1549),COTAÇÃO,5,FALSE),VLOOKUP($C1549,'NAO DESO'!$A:$D,4,))</f>
        <v>4.3849999999999998</v>
      </c>
      <c r="H1549" s="242">
        <f t="shared" si="130"/>
        <v>2.06</v>
      </c>
      <c r="I1549" s="54">
        <f>IF(B1549="SEPLAG",VLOOKUP(CONCATENATE("MEDIANA - ",C1549),COTAÇÃO,5,FALSE),VLOOKUP($C1549,DESON!$A:$D,4,))</f>
        <v>4.3849999999999998</v>
      </c>
      <c r="J1549" s="209">
        <f t="shared" si="131"/>
        <v>2.06</v>
      </c>
    </row>
    <row r="1550" spans="1:10" ht="15" customHeight="1">
      <c r="A1550" s="208" t="s">
        <v>39</v>
      </c>
      <c r="B1550" s="241" t="s">
        <v>14504</v>
      </c>
      <c r="C1550" s="1181" t="s">
        <v>14310</v>
      </c>
      <c r="D1550" s="161" t="str">
        <f>IF(B1550="SEPLAG",VLOOKUP(COMPOSIÇÕES!C1550,'MAPA COMPARATIVO'!A:B,2,FALSE),VLOOKUP(C1550,'NAO DESO'!A:B,2,0))</f>
        <v>Guarnição em EPDM para vidro</v>
      </c>
      <c r="E1550" s="1194" t="s">
        <v>250</v>
      </c>
      <c r="F1550" s="242">
        <v>1.778</v>
      </c>
      <c r="G1550" s="242">
        <f>IF(B1550="SEPLAG",VLOOKUP(CONCATENATE("MEDIANA - ",C1550),COTAÇÃO,5,FALSE),VLOOKUP($C1550,'NAO DESO'!$A:$D,4,))</f>
        <v>2.4091999999999998</v>
      </c>
      <c r="H1550" s="242">
        <f t="shared" si="130"/>
        <v>4.28</v>
      </c>
      <c r="I1550" s="54">
        <f>IF(B1550="SEPLAG",VLOOKUP(CONCATENATE("MEDIANA - ",C1550),COTAÇÃO,5,FALSE),VLOOKUP($C1550,DESON!$A:$D,4,))</f>
        <v>2.4091999999999998</v>
      </c>
      <c r="J1550" s="209">
        <f t="shared" si="131"/>
        <v>4.28</v>
      </c>
    </row>
    <row r="1551" spans="1:10" ht="15" customHeight="1">
      <c r="A1551" s="208" t="s">
        <v>39</v>
      </c>
      <c r="B1551" s="241" t="s">
        <v>14504</v>
      </c>
      <c r="C1551" s="1181" t="s">
        <v>14311</v>
      </c>
      <c r="D1551" s="161" t="str">
        <f>IF(B1551="SEPLAG",VLOOKUP(COMPOSIÇÕES!C1551,'MAPA COMPARATIVO'!A:B,2,FALSE),VLOOKUP(C1551,'NAO DESO'!A:B,2,0))</f>
        <v>Espuma adesiva 1 face</v>
      </c>
      <c r="E1551" s="1194" t="s">
        <v>250</v>
      </c>
      <c r="F1551" s="242">
        <v>1.778</v>
      </c>
      <c r="G1551" s="242">
        <f>IF(B1551="SEPLAG",VLOOKUP(CONCATENATE("MEDIANA - ",C1551),COTAÇÃO,5,FALSE),VLOOKUP($C1551,'NAO DESO'!$A:$D,4,))</f>
        <v>2.1800000000000002</v>
      </c>
      <c r="H1551" s="242">
        <f t="shared" si="130"/>
        <v>3.87</v>
      </c>
      <c r="I1551" s="54">
        <f>IF(B1551="SEPLAG",VLOOKUP(CONCATENATE("MEDIANA - ",C1551),COTAÇÃO,5,FALSE),VLOOKUP($C1551,DESON!$A:$D,4,))</f>
        <v>2.1800000000000002</v>
      </c>
      <c r="J1551" s="209">
        <f t="shared" si="131"/>
        <v>3.87</v>
      </c>
    </row>
    <row r="1552" spans="1:10" ht="15" customHeight="1">
      <c r="A1552" s="208" t="s">
        <v>39</v>
      </c>
      <c r="B1552" s="241" t="s">
        <v>14504</v>
      </c>
      <c r="C1552" s="1181" t="s">
        <v>14312</v>
      </c>
      <c r="D1552" s="161" t="str">
        <f>IF(B1552="SEPLAG",VLOOKUP(COMPOSIÇÕES!C1552,'MAPA COMPARATIVO'!A:B,2,FALSE),VLOOKUP(C1552,'NAO DESO'!A:B,2,0))</f>
        <v>Guarnição em EPDM p/ marco max-ar</v>
      </c>
      <c r="E1552" s="1194" t="s">
        <v>250</v>
      </c>
      <c r="F1552" s="242">
        <v>2.778</v>
      </c>
      <c r="G1552" s="242">
        <f>IF(B1552="SEPLAG",VLOOKUP(CONCATENATE("MEDIANA - ",C1552),COTAÇÃO,5,FALSE),VLOOKUP($C1552,'NAO DESO'!$A:$D,4,))</f>
        <v>3.8138999999999998</v>
      </c>
      <c r="H1552" s="242">
        <f t="shared" si="130"/>
        <v>10.59</v>
      </c>
      <c r="I1552" s="54">
        <f>IF(B1552="SEPLAG",VLOOKUP(CONCATENATE("MEDIANA - ",C1552),COTAÇÃO,5,FALSE),VLOOKUP($C1552,DESON!$A:$D,4,))</f>
        <v>3.8138999999999998</v>
      </c>
      <c r="J1552" s="209">
        <f t="shared" si="131"/>
        <v>10.59</v>
      </c>
    </row>
    <row r="1553" spans="1:10" ht="15" customHeight="1">
      <c r="A1553" s="208" t="s">
        <v>39</v>
      </c>
      <c r="B1553" s="241" t="s">
        <v>14504</v>
      </c>
      <c r="C1553" s="1181" t="s">
        <v>14313</v>
      </c>
      <c r="D1553" s="161" t="str">
        <f>IF(B1553="SEPLAG",VLOOKUP(COMPOSIÇÕES!C1553,'MAPA COMPARATIVO'!A:B,2,FALSE),VLOOKUP(C1553,'NAO DESO'!A:B,2,0))</f>
        <v>PRESILHA DE FIXAÇÃO DO ARREMATE MP-347</v>
      </c>
      <c r="E1553" s="1194" t="s">
        <v>24</v>
      </c>
      <c r="F1553" s="242">
        <v>8</v>
      </c>
      <c r="G1553" s="242">
        <f>IF(B1553="SEPLAG",VLOOKUP(CONCATENATE("MEDIANA - ",C1553),COTAÇÃO,5,FALSE),VLOOKUP($C1553,'NAO DESO'!$A:$D,4,))</f>
        <v>0.34</v>
      </c>
      <c r="H1553" s="242">
        <f t="shared" si="130"/>
        <v>2.72</v>
      </c>
      <c r="I1553" s="54">
        <f>IF(B1553="SEPLAG",VLOOKUP(CONCATENATE("MEDIANA - ",C1553),COTAÇÃO,5,FALSE),VLOOKUP($C1553,DESON!$A:$D,4,))</f>
        <v>0.34</v>
      </c>
      <c r="J1553" s="209">
        <f t="shared" si="131"/>
        <v>2.72</v>
      </c>
    </row>
    <row r="1554" spans="1:10" ht="15" customHeight="1">
      <c r="A1554" s="208" t="s">
        <v>39</v>
      </c>
      <c r="B1554" s="241" t="s">
        <v>14504</v>
      </c>
      <c r="C1554" s="1181" t="s">
        <v>14314</v>
      </c>
      <c r="D1554" s="161" t="str">
        <f>IF(B1554="SEPLAG",VLOOKUP(COMPOSIÇÕES!C1554,'MAPA COMPARATIVO'!A:B,2,FALSE),VLOOKUP(C1554,'NAO DESO'!A:B,2,0))</f>
        <v>Parafuso zincado phillips flangeado autobrocante 4,2 x 16mm</v>
      </c>
      <c r="E1554" s="1194" t="s">
        <v>24</v>
      </c>
      <c r="F1554" s="242">
        <v>8</v>
      </c>
      <c r="G1554" s="242">
        <f>IF(B1554="SEPLAG",VLOOKUP(CONCATENATE("MEDIANA - ",C1554),COTAÇÃO,5,FALSE),VLOOKUP($C1554,'NAO DESO'!$A:$D,4,))</f>
        <v>0.28000000000000003</v>
      </c>
      <c r="H1554" s="242">
        <f t="shared" si="130"/>
        <v>2.2400000000000002</v>
      </c>
      <c r="I1554" s="54">
        <f>IF(B1554="SEPLAG",VLOOKUP(CONCATENATE("MEDIANA - ",C1554),COTAÇÃO,5,FALSE),VLOOKUP($C1554,DESON!$A:$D,4,))</f>
        <v>0.28000000000000003</v>
      </c>
      <c r="J1554" s="209">
        <f t="shared" si="131"/>
        <v>2.2400000000000002</v>
      </c>
    </row>
    <row r="1555" spans="1:10" ht="15" customHeight="1">
      <c r="A1555" s="208" t="s">
        <v>39</v>
      </c>
      <c r="B1555" s="241" t="s">
        <v>14504</v>
      </c>
      <c r="C1555" s="1181" t="s">
        <v>14315</v>
      </c>
      <c r="D1555" s="161" t="str">
        <f>IF(B1555="SEPLAG",VLOOKUP(COMPOSIÇÕES!C1555,'MAPA COMPARATIVO'!A:B,2,FALSE),VLOOKUP(C1555,'NAO DESO'!A:B,2,0))</f>
        <v>PARAF. PANELA PHILIPS INOX 4,8 X32 PONTA PILOTO</v>
      </c>
      <c r="E1555" s="1194" t="s">
        <v>24</v>
      </c>
      <c r="F1555" s="242">
        <v>0</v>
      </c>
      <c r="G1555" s="242">
        <f>IF(B1555="SEPLAG",VLOOKUP(CONCATENATE("MEDIANA - ",C1555),COTAÇÃO,5,FALSE),VLOOKUP($C1555,'NAO DESO'!$A:$D,4,))</f>
        <v>0.95</v>
      </c>
      <c r="H1555" s="242">
        <f>F1555*G1555</f>
        <v>0</v>
      </c>
      <c r="I1555" s="54">
        <f>IF(B1555="SEPLAG",VLOOKUP(CONCATENATE("MEDIANA - ",C1555),COTAÇÃO,5,FALSE),VLOOKUP($C1555,DESON!$A:$D,4,))</f>
        <v>0.95</v>
      </c>
      <c r="J1555" s="209">
        <f>F1555*I1555</f>
        <v>0</v>
      </c>
    </row>
    <row r="1556" spans="1:10" ht="15" customHeight="1">
      <c r="A1556" s="208" t="s">
        <v>39</v>
      </c>
      <c r="B1556" s="241" t="s">
        <v>14504</v>
      </c>
      <c r="C1556" s="1181" t="s">
        <v>14316</v>
      </c>
      <c r="D1556" s="161" t="str">
        <f>IF(B1556="SEPLAG",VLOOKUP(COMPOSIÇÕES!C1556,'MAPA COMPARATIVO'!A:B,2,FALSE),VLOOKUP(C1556,'NAO DESO'!A:B,2,0))</f>
        <v>CHUMBADOR DE CM-063/060</v>
      </c>
      <c r="E1556" s="1194" t="s">
        <v>24</v>
      </c>
      <c r="F1556" s="242">
        <v>8</v>
      </c>
      <c r="G1556" s="242">
        <f>IF(B1556="SEPLAG",VLOOKUP(CONCATENATE("MEDIANA - ",C1556),COTAÇÃO,5,FALSE),VLOOKUP($C1556,'NAO DESO'!$A:$D,4,))</f>
        <v>0.86</v>
      </c>
      <c r="H1556" s="242">
        <f>TRUNC(F1556*G1556,2)</f>
        <v>6.88</v>
      </c>
      <c r="I1556" s="54">
        <f>IF(B1556="SEPLAG",VLOOKUP(CONCATENATE("MEDIANA - ",C1556),COTAÇÃO,5,FALSE),VLOOKUP($C1556,DESON!$A:$D,4,))</f>
        <v>0.86</v>
      </c>
      <c r="J1556" s="209">
        <f>TRUNC(F1556*I1556,2)</f>
        <v>6.88</v>
      </c>
    </row>
    <row r="1557" spans="1:10" ht="15" customHeight="1">
      <c r="A1557" s="208" t="s">
        <v>39</v>
      </c>
      <c r="B1557" s="241" t="s">
        <v>14504</v>
      </c>
      <c r="C1557" s="1181" t="s">
        <v>14317</v>
      </c>
      <c r="D1557" s="161" t="str">
        <f>IF(B1557="SEPLAG",VLOOKUP(COMPOSIÇÕES!C1557,'MAPA COMPARATIVO'!A:B,2,FALSE),VLOOKUP(C1557,'NAO DESO'!A:B,2,0))</f>
        <v>Silicone neutro incolor 280 g</v>
      </c>
      <c r="E1557" s="1194" t="s">
        <v>24</v>
      </c>
      <c r="F1557" s="242">
        <v>1</v>
      </c>
      <c r="G1557" s="242">
        <f>IF(B1557="SEPLAG",VLOOKUP(CONCATENATE("MEDIANA - ",C1557),COTAÇÃO,5,FALSE),VLOOKUP($C1557,'NAO DESO'!$A:$D,4,))</f>
        <v>43.9</v>
      </c>
      <c r="H1557" s="242">
        <f>TRUNC(F1557*G1557,2)</f>
        <v>43.9</v>
      </c>
      <c r="I1557" s="54">
        <f>IF(B1557="SEPLAG",VLOOKUP(CONCATENATE("MEDIANA - ",C1557),COTAÇÃO,5,FALSE),VLOOKUP($C1557,DESON!$A:$D,4,))</f>
        <v>43.9</v>
      </c>
      <c r="J1557" s="209">
        <f>TRUNC(F1557*I1557,2)</f>
        <v>43.9</v>
      </c>
    </row>
    <row r="1558" spans="1:10" ht="15" customHeight="1">
      <c r="A1558" s="208" t="s">
        <v>245</v>
      </c>
      <c r="B1558" s="241"/>
      <c r="C1558" s="1181">
        <v>10505</v>
      </c>
      <c r="D1558" s="161" t="str">
        <f>IF(B1558="SEPLAG",VLOOKUP(COMPOSIÇÕES!C1558,'MAPA COMPARATIVO'!A:B,2,FALSE),VLOOKUP(C1558,'NAO DESO'!A:B,2,0))</f>
        <v>VIDRO TEMPERADO INCOLOR E = 6 MM, SEM COLOCACAO</v>
      </c>
      <c r="E1558" s="241" t="str">
        <f>VLOOKUP($C1558,'NAO DESO'!$A:$D,3,)</f>
        <v xml:space="preserve">M2    </v>
      </c>
      <c r="F1558" s="242">
        <v>0.25</v>
      </c>
      <c r="G1558" s="242">
        <f>IF(B1558="SEPLAG",VLOOKUP(CONCATENATE("MEDIANA - ",C1558),COTAÇÃO,5,FALSE),VLOOKUP($C1558,'NAO DESO'!$A:$D,4,))</f>
        <v>272.77</v>
      </c>
      <c r="H1558" s="242">
        <f>TRUNC(F1558*G1558,2)</f>
        <v>68.19</v>
      </c>
      <c r="I1558" s="54" t="str">
        <f>IF(B1558="SEPLAG",VLOOKUP(CONCATENATE("MEDIANA - ",C1558),COTAÇÃO,5,FALSE),VLOOKUP($C1558,DESON!$A:$D,4,))</f>
        <v>272,77</v>
      </c>
      <c r="J1558" s="209">
        <f>TRUNC(F1558*I1558,2)</f>
        <v>68.19</v>
      </c>
    </row>
    <row r="1559" spans="1:10" ht="15" customHeight="1">
      <c r="A1559" s="208" t="s">
        <v>245</v>
      </c>
      <c r="B1559" s="241"/>
      <c r="C1559" s="1181">
        <v>88315</v>
      </c>
      <c r="D1559" s="161" t="str">
        <f>IF(B1559="SEPLAG",VLOOKUP(COMPOSIÇÕES!C1559,'MAPA COMPARATIVO'!A:B,2,FALSE),VLOOKUP(C1559,'NAO DESO'!A:B,2,0))</f>
        <v>SERRALHEIRO COM ENCARGOS COMPLEMENTARES</v>
      </c>
      <c r="E1559" s="241" t="str">
        <f>VLOOKUP($C1559,'NAO DESO'!$A:$D,3,)</f>
        <v>H</v>
      </c>
      <c r="F1559" s="242">
        <v>0.82</v>
      </c>
      <c r="G1559" s="242" t="str">
        <f>IF(B1559="SEPLAG",VLOOKUP(CONCATENATE("MEDIANA - ",C1559),COTAÇÃO,5,FALSE),VLOOKUP($C1559,'NAO DESO'!$A:$D,4,))</f>
        <v>20,97</v>
      </c>
      <c r="H1559" s="242">
        <f>TRUNC(F1559*G1559,2)</f>
        <v>17.190000000000001</v>
      </c>
      <c r="I1559" s="54" t="str">
        <f>IF(B1559="SEPLAG",VLOOKUP(CONCATENATE("MEDIANA - ",C1559),COTAÇÃO,5,FALSE),VLOOKUP($C1559,DESON!$A:$D,4,))</f>
        <v>18,75</v>
      </c>
      <c r="J1559" s="209">
        <f>TRUNC(F1559*I1559,2)</f>
        <v>15.37</v>
      </c>
    </row>
    <row r="1560" spans="1:10" ht="15" customHeight="1">
      <c r="A1560" s="208" t="s">
        <v>245</v>
      </c>
      <c r="B1560" s="241"/>
      <c r="C1560" s="1181">
        <v>88316</v>
      </c>
      <c r="D1560" s="161" t="str">
        <f>IF(B1560="SEPLAG",VLOOKUP(COMPOSIÇÕES!C1560,'MAPA COMPARATIVO'!A:B,2,FALSE),VLOOKUP(C1560,'NAO DESO'!A:B,2,0))</f>
        <v>SERVENTE COM ENCARGOS COMPLEMENTARES</v>
      </c>
      <c r="E1560" s="241" t="str">
        <f>VLOOKUP($C1560,'NAO DESO'!$A:$D,3,)</f>
        <v>H</v>
      </c>
      <c r="F1560" s="242">
        <v>0.82</v>
      </c>
      <c r="G1560" s="242" t="str">
        <f>IF(B1560="SEPLAG",VLOOKUP(CONCATENATE("MEDIANA - ",C1560),COTAÇÃO,5,FALSE),VLOOKUP($C1560,'NAO DESO'!$A:$D,4,))</f>
        <v>16,83</v>
      </c>
      <c r="H1560" s="242">
        <f>TRUNC(F1560*G1560,2)</f>
        <v>13.8</v>
      </c>
      <c r="I1560" s="54" t="str">
        <f>IF(B1560="SEPLAG",VLOOKUP(CONCATENATE("MEDIANA - ",C1560),COTAÇÃO,5,FALSE),VLOOKUP($C1560,DESON!$A:$D,4,))</f>
        <v>15,16</v>
      </c>
      <c r="J1560" s="209">
        <f>TRUNC(F1560*I1560,2)</f>
        <v>12.43</v>
      </c>
    </row>
    <row r="1561" spans="1:10" ht="15" customHeight="1">
      <c r="A1561" s="210" t="str">
        <f>CONCATENATE("TOTAL DO ITEM NÃO DESON. - ",C1534)</f>
        <v>TOTAL DO ITEM NÃO DESON. - SEPLAG  ARQ 95</v>
      </c>
      <c r="B1561" s="424"/>
      <c r="C1561" s="424"/>
      <c r="D1561" s="424"/>
      <c r="E1561" s="424"/>
      <c r="F1561" s="425"/>
      <c r="G1561" s="426"/>
      <c r="H1561" s="1182">
        <f>SUM(H1536:H1560)</f>
        <v>456.08</v>
      </c>
      <c r="I1561" s="214"/>
      <c r="J1561" s="215"/>
    </row>
    <row r="1562" spans="1:10" ht="15.75" customHeight="1" thickBot="1">
      <c r="A1562" s="216" t="str">
        <f>CONCATENATE("TOTAL DO ITEM DESON. - ",C1534)</f>
        <v>TOTAL DO ITEM DESON. - SEPLAG  ARQ 95</v>
      </c>
      <c r="B1562" s="427"/>
      <c r="C1562" s="427"/>
      <c r="D1562" s="427"/>
      <c r="E1562" s="427"/>
      <c r="F1562" s="428"/>
      <c r="G1562" s="429"/>
      <c r="H1562" s="1187"/>
      <c r="I1562" s="229"/>
      <c r="J1562" s="219">
        <f>SUM(J1536:J1560)</f>
        <v>452.89</v>
      </c>
    </row>
    <row r="1563" spans="1:10" ht="15" customHeight="1" thickBot="1">
      <c r="A1563" s="235"/>
      <c r="B1563" s="1135"/>
      <c r="C1563" s="1135"/>
      <c r="D1563" s="1135"/>
      <c r="E1563" s="1135"/>
      <c r="F1563" s="1188"/>
      <c r="G1563" s="1188"/>
      <c r="H1563" s="1188"/>
      <c r="I1563" s="236"/>
      <c r="J1563" s="237"/>
    </row>
    <row r="1564" spans="1:10" ht="26.25" customHeight="1">
      <c r="A1564" s="198"/>
      <c r="B1564" s="1175"/>
      <c r="C1564" s="1176" t="s">
        <v>7384</v>
      </c>
      <c r="D1564" s="156" t="s">
        <v>7658</v>
      </c>
      <c r="E1564" s="1176" t="s">
        <v>32</v>
      </c>
      <c r="F1564" s="1177" t="s">
        <v>18</v>
      </c>
      <c r="G1564" s="1178" t="s">
        <v>7017</v>
      </c>
      <c r="H1564" s="1179"/>
      <c r="I1564" s="200" t="s">
        <v>7016</v>
      </c>
      <c r="J1564" s="201"/>
    </row>
    <row r="1565" spans="1:10" ht="15" customHeight="1">
      <c r="A1565" s="233"/>
      <c r="B1565" s="247"/>
      <c r="C1565" s="1155"/>
      <c r="D1565" s="157"/>
      <c r="E1565" s="1155"/>
      <c r="F1565" s="1180"/>
      <c r="G1565" s="1180" t="s">
        <v>19</v>
      </c>
      <c r="H1565" s="1180" t="s">
        <v>20</v>
      </c>
      <c r="I1565" s="205" t="s">
        <v>19</v>
      </c>
      <c r="J1565" s="206" t="s">
        <v>20</v>
      </c>
    </row>
    <row r="1566" spans="1:10" ht="15" customHeight="1">
      <c r="A1566" s="208" t="s">
        <v>39</v>
      </c>
      <c r="B1566" s="241"/>
      <c r="C1566" s="241">
        <v>34360</v>
      </c>
      <c r="D1566" s="161" t="s">
        <v>7323</v>
      </c>
      <c r="E1566" s="1194" t="s">
        <v>133</v>
      </c>
      <c r="F1566" s="242">
        <v>0.51800000000000002</v>
      </c>
      <c r="G1566" s="242">
        <f>IF(B1566="SEPLAG",VLOOKUP(CONCATENATE("MEDIANA - ",C1566),COTAÇÃO,5,FALSE),VLOOKUP($C1566,'NAO DESO'!$A:$D,4,))</f>
        <v>47.31</v>
      </c>
      <c r="H1566" s="242">
        <f>TRUNC(F1566*G1566,2)</f>
        <v>24.5</v>
      </c>
      <c r="I1566" s="54" t="str">
        <f>IF(B1566="SEPLAG",VLOOKUP(CONCATENATE("MEDIANA - ",C1566),COTAÇÃO,5,FALSE),VLOOKUP($C1566,DESON!$A:$D,4,))</f>
        <v>47,31</v>
      </c>
      <c r="J1566" s="209">
        <f>TRUNC(F1566*I1566,2)</f>
        <v>24.5</v>
      </c>
    </row>
    <row r="1567" spans="1:10" ht="15" customHeight="1">
      <c r="A1567" s="208" t="s">
        <v>39</v>
      </c>
      <c r="B1567" s="241"/>
      <c r="C1567" s="241">
        <v>34360</v>
      </c>
      <c r="D1567" s="161" t="s">
        <v>7324</v>
      </c>
      <c r="E1567" s="1194" t="s">
        <v>133</v>
      </c>
      <c r="F1567" s="242">
        <v>0.51100000000000001</v>
      </c>
      <c r="G1567" s="242">
        <f>IF(B1567="SEPLAG",VLOOKUP(CONCATENATE("MEDIANA - ",C1567),COTAÇÃO,5,FALSE),VLOOKUP($C1567,'NAO DESO'!$A:$D,4,))</f>
        <v>47.31</v>
      </c>
      <c r="H1567" s="242">
        <f>TRUNC(F1567*G1567,2)</f>
        <v>24.17</v>
      </c>
      <c r="I1567" s="54" t="str">
        <f>IF(B1567="SEPLAG",VLOOKUP(CONCATENATE("MEDIANA - ",C1567),COTAÇÃO,5,FALSE),VLOOKUP($C1567,DESON!$A:$D,4,))</f>
        <v>47,31</v>
      </c>
      <c r="J1567" s="209">
        <f>TRUNC(F1567*I1567,2)</f>
        <v>24.17</v>
      </c>
    </row>
    <row r="1568" spans="1:10" ht="15" customHeight="1">
      <c r="A1568" s="208" t="s">
        <v>39</v>
      </c>
      <c r="B1568" s="241"/>
      <c r="C1568" s="241">
        <v>34360</v>
      </c>
      <c r="D1568" s="161" t="s">
        <v>7325</v>
      </c>
      <c r="E1568" s="1194" t="s">
        <v>133</v>
      </c>
      <c r="F1568" s="242">
        <v>0.20199999999999999</v>
      </c>
      <c r="G1568" s="242">
        <f>IF(B1568="SEPLAG",VLOOKUP(CONCATENATE("MEDIANA - ",C1568),COTAÇÃO,5,FALSE),VLOOKUP($C1568,'NAO DESO'!$A:$D,4,))</f>
        <v>47.31</v>
      </c>
      <c r="H1568" s="242">
        <f>TRUNC(F1568*G1568,2)</f>
        <v>9.5500000000000007</v>
      </c>
      <c r="I1568" s="54" t="str">
        <f>IF(B1568="SEPLAG",VLOOKUP(CONCATENATE("MEDIANA - ",C1568),COTAÇÃO,5,FALSE),VLOOKUP($C1568,DESON!$A:$D,4,))</f>
        <v>47,31</v>
      </c>
      <c r="J1568" s="209">
        <f>TRUNC(F1568*I1568,2)</f>
        <v>9.5500000000000007</v>
      </c>
    </row>
    <row r="1569" spans="1:10" ht="15" customHeight="1">
      <c r="A1569" s="208" t="s">
        <v>39</v>
      </c>
      <c r="B1569" s="241"/>
      <c r="C1569" s="241">
        <v>34360</v>
      </c>
      <c r="D1569" s="161" t="s">
        <v>7326</v>
      </c>
      <c r="E1569" s="1194" t="s">
        <v>133</v>
      </c>
      <c r="F1569" s="242">
        <v>0.82799999999999996</v>
      </c>
      <c r="G1569" s="242">
        <f>IF(B1569="SEPLAG",VLOOKUP(CONCATENATE("MEDIANA - ",C1569),COTAÇÃO,5,FALSE),VLOOKUP($C1569,'NAO DESO'!$A:$D,4,))</f>
        <v>47.31</v>
      </c>
      <c r="H1569" s="242">
        <f>TRUNC(F1569*G1569,2)</f>
        <v>39.17</v>
      </c>
      <c r="I1569" s="54" t="str">
        <f>IF(B1569="SEPLAG",VLOOKUP(CONCATENATE("MEDIANA - ",C1569),COTAÇÃO,5,FALSE),VLOOKUP($C1569,DESON!$A:$D,4,))</f>
        <v>47,31</v>
      </c>
      <c r="J1569" s="209">
        <f>TRUNC(F1569*I1569,2)</f>
        <v>39.17</v>
      </c>
    </row>
    <row r="1570" spans="1:10" ht="15" customHeight="1">
      <c r="A1570" s="208" t="s">
        <v>39</v>
      </c>
      <c r="B1570" s="241"/>
      <c r="C1570" s="241">
        <v>34360</v>
      </c>
      <c r="D1570" s="161" t="s">
        <v>7327</v>
      </c>
      <c r="E1570" s="1194" t="s">
        <v>133</v>
      </c>
      <c r="F1570" s="242">
        <v>1.4129999999999998</v>
      </c>
      <c r="G1570" s="242">
        <f>IF(B1570="SEPLAG",VLOOKUP(CONCATENATE("MEDIANA - ",C1570),COTAÇÃO,5,FALSE),VLOOKUP($C1570,'NAO DESO'!$A:$D,4,))</f>
        <v>47.31</v>
      </c>
      <c r="H1570" s="242">
        <f>TRUNC(F1570*G1570,2)</f>
        <v>66.84</v>
      </c>
      <c r="I1570" s="54" t="str">
        <f>IF(B1570="SEPLAG",VLOOKUP(CONCATENATE("MEDIANA - ",C1570),COTAÇÃO,5,FALSE),VLOOKUP($C1570,DESON!$A:$D,4,))</f>
        <v>47,31</v>
      </c>
      <c r="J1570" s="209">
        <f>TRUNC(F1570*I1570,2)</f>
        <v>66.84</v>
      </c>
    </row>
    <row r="1571" spans="1:10" ht="15" customHeight="1">
      <c r="A1571" s="208" t="s">
        <v>39</v>
      </c>
      <c r="B1571" s="241"/>
      <c r="C1571" s="241">
        <v>34360</v>
      </c>
      <c r="D1571" s="161" t="s">
        <v>7328</v>
      </c>
      <c r="E1571" s="1194" t="s">
        <v>133</v>
      </c>
      <c r="F1571" s="242">
        <v>0</v>
      </c>
      <c r="G1571" s="242">
        <f>IF(B1571="SEPLAG",VLOOKUP(CONCATENATE("MEDIANA - ",C1571),COTAÇÃO,5,FALSE),VLOOKUP($C1571,'NAO DESO'!$A:$D,4,))</f>
        <v>47.31</v>
      </c>
      <c r="H1571" s="242">
        <f>F1571*G1571</f>
        <v>0</v>
      </c>
      <c r="I1571" s="54" t="str">
        <f>IF(B1571="SEPLAG",VLOOKUP(CONCATENATE("MEDIANA - ",C1571),COTAÇÃO,5,FALSE),VLOOKUP($C1571,DESON!$A:$D,4,))</f>
        <v>47,31</v>
      </c>
      <c r="J1571" s="209">
        <f>F1571*I1571</f>
        <v>0</v>
      </c>
    </row>
    <row r="1572" spans="1:10" ht="15" customHeight="1">
      <c r="A1572" s="208" t="s">
        <v>39</v>
      </c>
      <c r="B1572" s="241"/>
      <c r="C1572" s="241">
        <v>34360</v>
      </c>
      <c r="D1572" s="161" t="s">
        <v>7329</v>
      </c>
      <c r="E1572" s="1194" t="s">
        <v>133</v>
      </c>
      <c r="F1572" s="242">
        <v>0</v>
      </c>
      <c r="G1572" s="242">
        <f>IF(B1572="SEPLAG",VLOOKUP(CONCATENATE("MEDIANA - ",C1572),COTAÇÃO,5,FALSE),VLOOKUP($C1572,'NAO DESO'!$A:$D,4,))</f>
        <v>47.31</v>
      </c>
      <c r="H1572" s="242">
        <f>F1572*G1572</f>
        <v>0</v>
      </c>
      <c r="I1572" s="54" t="str">
        <f>IF(B1572="SEPLAG",VLOOKUP(CONCATENATE("MEDIANA - ",C1572),COTAÇÃO,5,FALSE),VLOOKUP($C1572,DESON!$A:$D,4,))</f>
        <v>47,31</v>
      </c>
      <c r="J1572" s="209">
        <f>F1572*I1572</f>
        <v>0</v>
      </c>
    </row>
    <row r="1573" spans="1:10" ht="15" customHeight="1">
      <c r="A1573" s="208" t="s">
        <v>39</v>
      </c>
      <c r="B1573" s="241"/>
      <c r="C1573" s="241">
        <v>34360</v>
      </c>
      <c r="D1573" s="161" t="s">
        <v>7330</v>
      </c>
      <c r="E1573" s="1194" t="s">
        <v>133</v>
      </c>
      <c r="F1573" s="242">
        <v>0</v>
      </c>
      <c r="G1573" s="242">
        <f>IF(B1573="SEPLAG",VLOOKUP(CONCATENATE("MEDIANA - ",C1573),COTAÇÃO,5,FALSE),VLOOKUP($C1573,'NAO DESO'!$A:$D,4,))</f>
        <v>47.31</v>
      </c>
      <c r="H1573" s="242">
        <f>F1573*G1573</f>
        <v>0</v>
      </c>
      <c r="I1573" s="54" t="str">
        <f>IF(B1573="SEPLAG",VLOOKUP(CONCATENATE("MEDIANA - ",C1573),COTAÇÃO,5,FALSE),VLOOKUP($C1573,DESON!$A:$D,4,))</f>
        <v>47,31</v>
      </c>
      <c r="J1573" s="209">
        <f>F1573*I1573</f>
        <v>0</v>
      </c>
    </row>
    <row r="1574" spans="1:10" ht="15" customHeight="1">
      <c r="A1574" s="208" t="s">
        <v>39</v>
      </c>
      <c r="B1574" s="241"/>
      <c r="C1574" s="241">
        <v>34360</v>
      </c>
      <c r="D1574" s="161" t="s">
        <v>7331</v>
      </c>
      <c r="E1574" s="1194" t="s">
        <v>133</v>
      </c>
      <c r="F1574" s="242">
        <v>1.7869999999999999</v>
      </c>
      <c r="G1574" s="242">
        <f>IF(B1574="SEPLAG",VLOOKUP(CONCATENATE("MEDIANA - ",C1574),COTAÇÃO,5,FALSE),VLOOKUP($C1574,'NAO DESO'!$A:$D,4,))</f>
        <v>47.31</v>
      </c>
      <c r="H1574" s="242">
        <f t="shared" ref="H1574:H1584" si="132">TRUNC(F1574*G1574,2)</f>
        <v>84.54</v>
      </c>
      <c r="I1574" s="54" t="str">
        <f>IF(B1574="SEPLAG",VLOOKUP(CONCATENATE("MEDIANA - ",C1574),COTAÇÃO,5,FALSE),VLOOKUP($C1574,DESON!$A:$D,4,))</f>
        <v>47,31</v>
      </c>
      <c r="J1574" s="209">
        <f t="shared" ref="J1574:J1584" si="133">TRUNC(F1574*I1574,2)</f>
        <v>84.54</v>
      </c>
    </row>
    <row r="1575" spans="1:10" ht="15" customHeight="1">
      <c r="A1575" s="208" t="s">
        <v>39</v>
      </c>
      <c r="B1575" s="241"/>
      <c r="C1575" s="241">
        <v>34360</v>
      </c>
      <c r="D1575" s="161" t="s">
        <v>7332</v>
      </c>
      <c r="E1575" s="1194" t="s">
        <v>133</v>
      </c>
      <c r="F1575" s="242">
        <v>0.13800000000000001</v>
      </c>
      <c r="G1575" s="242">
        <f>IF(B1575="SEPLAG",VLOOKUP(CONCATENATE("MEDIANA - ",C1575),COTAÇÃO,5,FALSE),VLOOKUP($C1575,'NAO DESO'!$A:$D,4,))</f>
        <v>47.31</v>
      </c>
      <c r="H1575" s="242">
        <f t="shared" si="132"/>
        <v>6.52</v>
      </c>
      <c r="I1575" s="54" t="str">
        <f>IF(B1575="SEPLAG",VLOOKUP(CONCATENATE("MEDIANA - ",C1575),COTAÇÃO,5,FALSE),VLOOKUP($C1575,DESON!$A:$D,4,))</f>
        <v>47,31</v>
      </c>
      <c r="J1575" s="209">
        <f t="shared" si="133"/>
        <v>6.52</v>
      </c>
    </row>
    <row r="1576" spans="1:10" ht="15" customHeight="1">
      <c r="A1576" s="208" t="s">
        <v>39</v>
      </c>
      <c r="B1576" s="241"/>
      <c r="C1576" s="241">
        <v>34360</v>
      </c>
      <c r="D1576" s="161" t="s">
        <v>7333</v>
      </c>
      <c r="E1576" s="1194" t="s">
        <v>133</v>
      </c>
      <c r="F1576" s="242">
        <v>0.74399999999999999</v>
      </c>
      <c r="G1576" s="242">
        <f>IF(B1576="SEPLAG",VLOOKUP(CONCATENATE("MEDIANA - ",C1576),COTAÇÃO,5,FALSE),VLOOKUP($C1576,'NAO DESO'!$A:$D,4,))</f>
        <v>47.31</v>
      </c>
      <c r="H1576" s="242">
        <f t="shared" si="132"/>
        <v>35.19</v>
      </c>
      <c r="I1576" s="54" t="str">
        <f>IF(B1576="SEPLAG",VLOOKUP(CONCATENATE("MEDIANA - ",C1576),COTAÇÃO,5,FALSE),VLOOKUP($C1576,DESON!$A:$D,4,))</f>
        <v>47,31</v>
      </c>
      <c r="J1576" s="209">
        <f t="shared" si="133"/>
        <v>35.19</v>
      </c>
    </row>
    <row r="1577" spans="1:10" ht="15" customHeight="1">
      <c r="A1577" s="208" t="s">
        <v>39</v>
      </c>
      <c r="B1577" s="241" t="s">
        <v>14504</v>
      </c>
      <c r="C1577" s="1181" t="s">
        <v>14307</v>
      </c>
      <c r="D1577" s="161" t="str">
        <f>IF(B1577="SEPLAG",VLOOKUP(COMPOSIÇÕES!C1577,'MAPA COMPARATIVO'!A:B,2,FALSE),VLOOKUP(C1577,'NAO DESO'!A:B,2,0))</f>
        <v xml:space="preserve">Braço de max-ar linha gold de 600mm </v>
      </c>
      <c r="E1577" s="1194" t="s">
        <v>24</v>
      </c>
      <c r="F1577" s="242">
        <v>1</v>
      </c>
      <c r="G1577" s="242">
        <f>IF(B1577="SEPLAG",VLOOKUP(CONCATENATE("MEDIANA - ",C1577),COTAÇÃO,5,FALSE),VLOOKUP($C1577,'NAO DESO'!$A:$D,4,))</f>
        <v>36.575000000000003</v>
      </c>
      <c r="H1577" s="242">
        <f t="shared" si="132"/>
        <v>36.57</v>
      </c>
      <c r="I1577" s="54">
        <f>IF(B1577="SEPLAG",VLOOKUP(CONCATENATE("MEDIANA - ",C1577),COTAÇÃO,5,FALSE),VLOOKUP($C1577,DESON!$A:$D,4,))</f>
        <v>36.575000000000003</v>
      </c>
      <c r="J1577" s="209">
        <f t="shared" si="133"/>
        <v>36.57</v>
      </c>
    </row>
    <row r="1578" spans="1:10" ht="15" customHeight="1">
      <c r="A1578" s="208" t="s">
        <v>39</v>
      </c>
      <c r="B1578" s="241" t="s">
        <v>14504</v>
      </c>
      <c r="C1578" s="1181" t="s">
        <v>14308</v>
      </c>
      <c r="D1578" s="161" t="str">
        <f>IF(B1578="SEPLAG",VLOOKUP(COMPOSIÇÕES!C1578,'MAPA COMPARATIVO'!A:B,2,FALSE),VLOOKUP(C1578,'NAO DESO'!A:B,2,0))</f>
        <v>Fecho max-ar linha gold</v>
      </c>
      <c r="E1578" s="1194" t="s">
        <v>24</v>
      </c>
      <c r="F1578" s="242">
        <v>1</v>
      </c>
      <c r="G1578" s="242">
        <f>IF(B1578="SEPLAG",VLOOKUP(CONCATENATE("MEDIANA - ",C1578),COTAÇÃO,5,FALSE),VLOOKUP($C1578,'NAO DESO'!$A:$D,4,))</f>
        <v>47.36</v>
      </c>
      <c r="H1578" s="242">
        <f t="shared" si="132"/>
        <v>47.36</v>
      </c>
      <c r="I1578" s="54">
        <f>IF(B1578="SEPLAG",VLOOKUP(CONCATENATE("MEDIANA - ",C1578),COTAÇÃO,5,FALSE),VLOOKUP($C1578,DESON!$A:$D,4,))</f>
        <v>47.36</v>
      </c>
      <c r="J1578" s="209">
        <f t="shared" si="133"/>
        <v>47.36</v>
      </c>
    </row>
    <row r="1579" spans="1:10" ht="15" customHeight="1">
      <c r="A1579" s="208" t="s">
        <v>39</v>
      </c>
      <c r="B1579" s="241" t="s">
        <v>14504</v>
      </c>
      <c r="C1579" s="1181" t="s">
        <v>14309</v>
      </c>
      <c r="D1579" s="161" t="str">
        <f>IF(B1579="SEPLAG",VLOOKUP(COMPOSIÇÕES!C1579,'MAPA COMPARATIVO'!A:B,2,FALSE),VLOOKUP(C1579,'NAO DESO'!A:B,2,0))</f>
        <v>Guarnição em EPDM p/ pingadeira</v>
      </c>
      <c r="E1579" s="1194" t="s">
        <v>250</v>
      </c>
      <c r="F1579" s="242">
        <v>0.872</v>
      </c>
      <c r="G1579" s="242">
        <f>IF(B1579="SEPLAG",VLOOKUP(CONCATENATE("MEDIANA - ",C1579),COTAÇÃO,5,FALSE),VLOOKUP($C1579,'NAO DESO'!$A:$D,4,))</f>
        <v>4.3849999999999998</v>
      </c>
      <c r="H1579" s="242">
        <f t="shared" si="132"/>
        <v>3.82</v>
      </c>
      <c r="I1579" s="54">
        <f>IF(B1579="SEPLAG",VLOOKUP(CONCATENATE("MEDIANA - ",C1579),COTAÇÃO,5,FALSE),VLOOKUP($C1579,DESON!$A:$D,4,))</f>
        <v>4.3849999999999998</v>
      </c>
      <c r="J1579" s="209">
        <f t="shared" si="133"/>
        <v>3.82</v>
      </c>
    </row>
    <row r="1580" spans="1:10" ht="15" customHeight="1">
      <c r="A1580" s="208" t="s">
        <v>39</v>
      </c>
      <c r="B1580" s="241" t="s">
        <v>14504</v>
      </c>
      <c r="C1580" s="1181" t="s">
        <v>14310</v>
      </c>
      <c r="D1580" s="161" t="str">
        <f>IF(B1580="SEPLAG",VLOOKUP(COMPOSIÇÕES!C1580,'MAPA COMPARATIVO'!A:B,2,FALSE),VLOOKUP(C1580,'NAO DESO'!A:B,2,0))</f>
        <v>Guarnição em EPDM para vidro</v>
      </c>
      <c r="E1580" s="1194" t="s">
        <v>250</v>
      </c>
      <c r="F1580" s="242">
        <v>3.3780000000000001</v>
      </c>
      <c r="G1580" s="242">
        <f>IF(B1580="SEPLAG",VLOOKUP(CONCATENATE("MEDIANA - ",C1580),COTAÇÃO,5,FALSE),VLOOKUP($C1580,'NAO DESO'!$A:$D,4,))</f>
        <v>2.4091999999999998</v>
      </c>
      <c r="H1580" s="242">
        <f t="shared" si="132"/>
        <v>8.1300000000000008</v>
      </c>
      <c r="I1580" s="54">
        <f>IF(B1580="SEPLAG",VLOOKUP(CONCATENATE("MEDIANA - ",C1580),COTAÇÃO,5,FALSE),VLOOKUP($C1580,DESON!$A:$D,4,))</f>
        <v>2.4091999999999998</v>
      </c>
      <c r="J1580" s="209">
        <f t="shared" si="133"/>
        <v>8.1300000000000008</v>
      </c>
    </row>
    <row r="1581" spans="1:10" ht="15" customHeight="1">
      <c r="A1581" s="208" t="s">
        <v>39</v>
      </c>
      <c r="B1581" s="241" t="s">
        <v>14504</v>
      </c>
      <c r="C1581" s="1181" t="s">
        <v>14311</v>
      </c>
      <c r="D1581" s="161" t="str">
        <f>IF(B1581="SEPLAG",VLOOKUP(COMPOSIÇÕES!C1581,'MAPA COMPARATIVO'!A:B,2,FALSE),VLOOKUP(C1581,'NAO DESO'!A:B,2,0))</f>
        <v>Espuma adesiva 1 face</v>
      </c>
      <c r="E1581" s="1194" t="s">
        <v>250</v>
      </c>
      <c r="F1581" s="242">
        <v>3.3780000000000001</v>
      </c>
      <c r="G1581" s="242">
        <f>IF(B1581="SEPLAG",VLOOKUP(CONCATENATE("MEDIANA - ",C1581),COTAÇÃO,5,FALSE),VLOOKUP($C1581,'NAO DESO'!$A:$D,4,))</f>
        <v>2.1800000000000002</v>
      </c>
      <c r="H1581" s="242">
        <f t="shared" si="132"/>
        <v>7.36</v>
      </c>
      <c r="I1581" s="54">
        <f>IF(B1581="SEPLAG",VLOOKUP(CONCATENATE("MEDIANA - ",C1581),COTAÇÃO,5,FALSE),VLOOKUP($C1581,DESON!$A:$D,4,))</f>
        <v>2.1800000000000002</v>
      </c>
      <c r="J1581" s="209">
        <f t="shared" si="133"/>
        <v>7.36</v>
      </c>
    </row>
    <row r="1582" spans="1:10" ht="15" customHeight="1">
      <c r="A1582" s="208" t="s">
        <v>39</v>
      </c>
      <c r="B1582" s="241" t="s">
        <v>14504</v>
      </c>
      <c r="C1582" s="1181" t="s">
        <v>14312</v>
      </c>
      <c r="D1582" s="161" t="str">
        <f>IF(B1582="SEPLAG",VLOOKUP(COMPOSIÇÕES!C1582,'MAPA COMPARATIVO'!A:B,2,FALSE),VLOOKUP(C1582,'NAO DESO'!A:B,2,0))</f>
        <v>Guarnição em EPDM p/ marco max-ar</v>
      </c>
      <c r="E1582" s="1194" t="s">
        <v>250</v>
      </c>
      <c r="F1582" s="242">
        <v>5.1779999999999999</v>
      </c>
      <c r="G1582" s="242">
        <f>IF(B1582="SEPLAG",VLOOKUP(CONCATENATE("MEDIANA - ",C1582),COTAÇÃO,5,FALSE),VLOOKUP($C1582,'NAO DESO'!$A:$D,4,))</f>
        <v>3.8138999999999998</v>
      </c>
      <c r="H1582" s="242">
        <f t="shared" si="132"/>
        <v>19.739999999999998</v>
      </c>
      <c r="I1582" s="54">
        <f>IF(B1582="SEPLAG",VLOOKUP(CONCATENATE("MEDIANA - ",C1582),COTAÇÃO,5,FALSE),VLOOKUP($C1582,DESON!$A:$D,4,))</f>
        <v>3.8138999999999998</v>
      </c>
      <c r="J1582" s="209">
        <f t="shared" si="133"/>
        <v>19.739999999999998</v>
      </c>
    </row>
    <row r="1583" spans="1:10" ht="15" customHeight="1">
      <c r="A1583" s="208" t="s">
        <v>39</v>
      </c>
      <c r="B1583" s="241" t="s">
        <v>14504</v>
      </c>
      <c r="C1583" s="1181" t="s">
        <v>14313</v>
      </c>
      <c r="D1583" s="161" t="str">
        <f>IF(B1583="SEPLAG",VLOOKUP(COMPOSIÇÕES!C1583,'MAPA COMPARATIVO'!A:B,2,FALSE),VLOOKUP(C1583,'NAO DESO'!A:B,2,0))</f>
        <v>PRESILHA DE FIXAÇÃO DO ARREMATE MP-347</v>
      </c>
      <c r="E1583" s="1194" t="s">
        <v>24</v>
      </c>
      <c r="F1583" s="242">
        <v>12</v>
      </c>
      <c r="G1583" s="242">
        <f>IF(B1583="SEPLAG",VLOOKUP(CONCATENATE("MEDIANA - ",C1583),COTAÇÃO,5,FALSE),VLOOKUP($C1583,'NAO DESO'!$A:$D,4,))</f>
        <v>0.34</v>
      </c>
      <c r="H1583" s="242">
        <f t="shared" si="132"/>
        <v>4.08</v>
      </c>
      <c r="I1583" s="54">
        <f>IF(B1583="SEPLAG",VLOOKUP(CONCATENATE("MEDIANA - ",C1583),COTAÇÃO,5,FALSE),VLOOKUP($C1583,DESON!$A:$D,4,))</f>
        <v>0.34</v>
      </c>
      <c r="J1583" s="209">
        <f t="shared" si="133"/>
        <v>4.08</v>
      </c>
    </row>
    <row r="1584" spans="1:10" ht="15" customHeight="1">
      <c r="A1584" s="208" t="s">
        <v>39</v>
      </c>
      <c r="B1584" s="241" t="s">
        <v>14504</v>
      </c>
      <c r="C1584" s="1181" t="s">
        <v>14314</v>
      </c>
      <c r="D1584" s="161" t="str">
        <f>IF(B1584="SEPLAG",VLOOKUP(COMPOSIÇÕES!C1584,'MAPA COMPARATIVO'!A:B,2,FALSE),VLOOKUP(C1584,'NAO DESO'!A:B,2,0))</f>
        <v>Parafuso zincado phillips flangeado autobrocante 4,2 x 16mm</v>
      </c>
      <c r="E1584" s="1194" t="s">
        <v>24</v>
      </c>
      <c r="F1584" s="242">
        <v>12</v>
      </c>
      <c r="G1584" s="242">
        <f>IF(B1584="SEPLAG",VLOOKUP(CONCATENATE("MEDIANA - ",C1584),COTAÇÃO,5,FALSE),VLOOKUP($C1584,'NAO DESO'!$A:$D,4,))</f>
        <v>0.28000000000000003</v>
      </c>
      <c r="H1584" s="242">
        <f t="shared" si="132"/>
        <v>3.36</v>
      </c>
      <c r="I1584" s="54">
        <f>IF(B1584="SEPLAG",VLOOKUP(CONCATENATE("MEDIANA - ",C1584),COTAÇÃO,5,FALSE),VLOOKUP($C1584,DESON!$A:$D,4,))</f>
        <v>0.28000000000000003</v>
      </c>
      <c r="J1584" s="209">
        <f t="shared" si="133"/>
        <v>3.36</v>
      </c>
    </row>
    <row r="1585" spans="1:10" ht="15" customHeight="1">
      <c r="A1585" s="208" t="s">
        <v>39</v>
      </c>
      <c r="B1585" s="241" t="s">
        <v>14504</v>
      </c>
      <c r="C1585" s="1181" t="s">
        <v>14315</v>
      </c>
      <c r="D1585" s="161" t="str">
        <f>IF(B1585="SEPLAG",VLOOKUP(COMPOSIÇÕES!C1585,'MAPA COMPARATIVO'!A:B,2,FALSE),VLOOKUP(C1585,'NAO DESO'!A:B,2,0))</f>
        <v>PARAF. PANELA PHILIPS INOX 4,8 X32 PONTA PILOTO</v>
      </c>
      <c r="E1585" s="1194" t="s">
        <v>24</v>
      </c>
      <c r="F1585" s="242">
        <v>0</v>
      </c>
      <c r="G1585" s="242">
        <f>IF(B1585="SEPLAG",VLOOKUP(CONCATENATE("MEDIANA - ",C1585),COTAÇÃO,5,FALSE),VLOOKUP($C1585,'NAO DESO'!$A:$D,4,))</f>
        <v>0.95</v>
      </c>
      <c r="H1585" s="242">
        <f>F1585*G1585</f>
        <v>0</v>
      </c>
      <c r="I1585" s="54">
        <f>IF(B1585="SEPLAG",VLOOKUP(CONCATENATE("MEDIANA - ",C1585),COTAÇÃO,5,FALSE),VLOOKUP($C1585,DESON!$A:$D,4,))</f>
        <v>0.95</v>
      </c>
      <c r="J1585" s="209">
        <f>F1585*I1585</f>
        <v>0</v>
      </c>
    </row>
    <row r="1586" spans="1:10" ht="15" customHeight="1">
      <c r="A1586" s="208" t="s">
        <v>39</v>
      </c>
      <c r="B1586" s="241" t="s">
        <v>14504</v>
      </c>
      <c r="C1586" s="1181" t="s">
        <v>14316</v>
      </c>
      <c r="D1586" s="161" t="str">
        <f>IF(B1586="SEPLAG",VLOOKUP(COMPOSIÇÕES!C1586,'MAPA COMPARATIVO'!A:B,2,FALSE),VLOOKUP(C1586,'NAO DESO'!A:B,2,0))</f>
        <v>CHUMBADOR DE CM-063/060</v>
      </c>
      <c r="E1586" s="1194" t="s">
        <v>24</v>
      </c>
      <c r="F1586" s="242">
        <v>12</v>
      </c>
      <c r="G1586" s="242">
        <f>IF(B1586="SEPLAG",VLOOKUP(CONCATENATE("MEDIANA - ",C1586),COTAÇÃO,5,FALSE),VLOOKUP($C1586,'NAO DESO'!$A:$D,4,))</f>
        <v>0.86</v>
      </c>
      <c r="H1586" s="242">
        <f>TRUNC(F1586*G1586,2)</f>
        <v>10.32</v>
      </c>
      <c r="I1586" s="54">
        <f>IF(B1586="SEPLAG",VLOOKUP(CONCATENATE("MEDIANA - ",C1586),COTAÇÃO,5,FALSE),VLOOKUP($C1586,DESON!$A:$D,4,))</f>
        <v>0.86</v>
      </c>
      <c r="J1586" s="209">
        <f>TRUNC(F1586*I1586,2)</f>
        <v>10.32</v>
      </c>
    </row>
    <row r="1587" spans="1:10" ht="15" customHeight="1">
      <c r="A1587" s="208" t="s">
        <v>39</v>
      </c>
      <c r="B1587" s="241" t="s">
        <v>14504</v>
      </c>
      <c r="C1587" s="1181" t="s">
        <v>14317</v>
      </c>
      <c r="D1587" s="161" t="str">
        <f>IF(B1587="SEPLAG",VLOOKUP(COMPOSIÇÕES!C1587,'MAPA COMPARATIVO'!A:B,2,FALSE),VLOOKUP(C1587,'NAO DESO'!A:B,2,0))</f>
        <v>Silicone neutro incolor 280 g</v>
      </c>
      <c r="E1587" s="1194" t="s">
        <v>24</v>
      </c>
      <c r="F1587" s="242">
        <v>1</v>
      </c>
      <c r="G1587" s="242">
        <f>IF(B1587="SEPLAG",VLOOKUP(CONCATENATE("MEDIANA - ",C1587),COTAÇÃO,5,FALSE),VLOOKUP($C1587,'NAO DESO'!$A:$D,4,))</f>
        <v>43.9</v>
      </c>
      <c r="H1587" s="242">
        <f>TRUNC(F1587*G1587,2)</f>
        <v>43.9</v>
      </c>
      <c r="I1587" s="54">
        <f>IF(B1587="SEPLAG",VLOOKUP(CONCATENATE("MEDIANA - ",C1587),COTAÇÃO,5,FALSE),VLOOKUP($C1587,DESON!$A:$D,4,))</f>
        <v>43.9</v>
      </c>
      <c r="J1587" s="209">
        <f>TRUNC(F1587*I1587,2)</f>
        <v>43.9</v>
      </c>
    </row>
    <row r="1588" spans="1:10" ht="15" customHeight="1">
      <c r="A1588" s="208" t="s">
        <v>245</v>
      </c>
      <c r="B1588" s="241"/>
      <c r="C1588" s="1181">
        <v>10505</v>
      </c>
      <c r="D1588" s="161" t="str">
        <f>IF(B1588="SEPLAG",VLOOKUP(COMPOSIÇÕES!C1588,'MAPA COMPARATIVO'!A:B,2,FALSE),VLOOKUP(C1588,'NAO DESO'!A:B,2,0))</f>
        <v>VIDRO TEMPERADO INCOLOR E = 6 MM, SEM COLOCACAO</v>
      </c>
      <c r="E1588" s="241" t="str">
        <f>VLOOKUP($C1588,'NAO DESO'!$A:$D,3,)</f>
        <v xml:space="preserve">M2    </v>
      </c>
      <c r="F1588" s="242">
        <v>0.81</v>
      </c>
      <c r="G1588" s="242">
        <f>IF(B1588="SEPLAG",VLOOKUP(CONCATENATE("MEDIANA - ",C1588),COTAÇÃO,5,FALSE),VLOOKUP($C1588,'NAO DESO'!$A:$D,4,))</f>
        <v>272.77</v>
      </c>
      <c r="H1588" s="242">
        <f>TRUNC(F1588*G1588,2)</f>
        <v>220.94</v>
      </c>
      <c r="I1588" s="54" t="str">
        <f>IF(B1588="SEPLAG",VLOOKUP(CONCATENATE("MEDIANA - ",C1588),COTAÇÃO,5,FALSE),VLOOKUP($C1588,DESON!$A:$D,4,))</f>
        <v>272,77</v>
      </c>
      <c r="J1588" s="209">
        <f>TRUNC(F1588*I1588,2)</f>
        <v>220.94</v>
      </c>
    </row>
    <row r="1589" spans="1:10" ht="15" customHeight="1">
      <c r="A1589" s="208" t="s">
        <v>245</v>
      </c>
      <c r="B1589" s="241"/>
      <c r="C1589" s="1181">
        <v>88315</v>
      </c>
      <c r="D1589" s="161" t="str">
        <f>IF(B1589="SEPLAG",VLOOKUP(COMPOSIÇÕES!C1589,'MAPA COMPARATIVO'!A:B,2,FALSE),VLOOKUP(C1589,'NAO DESO'!A:B,2,0))</f>
        <v>SERRALHEIRO COM ENCARGOS COMPLEMENTARES</v>
      </c>
      <c r="E1589" s="241" t="str">
        <f>VLOOKUP($C1589,'NAO DESO'!$A:$D,3,)</f>
        <v>H</v>
      </c>
      <c r="F1589" s="242">
        <v>2.64</v>
      </c>
      <c r="G1589" s="242" t="str">
        <f>IF(B1589="SEPLAG",VLOOKUP(CONCATENATE("MEDIANA - ",C1589),COTAÇÃO,5,FALSE),VLOOKUP($C1589,'NAO DESO'!$A:$D,4,))</f>
        <v>20,97</v>
      </c>
      <c r="H1589" s="242">
        <f>TRUNC(F1589*G1589,2)</f>
        <v>55.36</v>
      </c>
      <c r="I1589" s="54" t="str">
        <f>IF(B1589="SEPLAG",VLOOKUP(CONCATENATE("MEDIANA - ",C1589),COTAÇÃO,5,FALSE),VLOOKUP($C1589,DESON!$A:$D,4,))</f>
        <v>18,75</v>
      </c>
      <c r="J1589" s="209">
        <f>TRUNC(F1589*I1589,2)</f>
        <v>49.5</v>
      </c>
    </row>
    <row r="1590" spans="1:10" ht="15" customHeight="1">
      <c r="A1590" s="208" t="s">
        <v>245</v>
      </c>
      <c r="B1590" s="241"/>
      <c r="C1590" s="1181">
        <v>88316</v>
      </c>
      <c r="D1590" s="161" t="str">
        <f>IF(B1590="SEPLAG",VLOOKUP(COMPOSIÇÕES!C1590,'MAPA COMPARATIVO'!A:B,2,FALSE),VLOOKUP(C1590,'NAO DESO'!A:B,2,0))</f>
        <v>SERVENTE COM ENCARGOS COMPLEMENTARES</v>
      </c>
      <c r="E1590" s="241" t="str">
        <f>VLOOKUP($C1590,'NAO DESO'!$A:$D,3,)</f>
        <v>H</v>
      </c>
      <c r="F1590" s="242">
        <v>2.64</v>
      </c>
      <c r="G1590" s="242" t="str">
        <f>IF(B1590="SEPLAG",VLOOKUP(CONCATENATE("MEDIANA - ",C1590),COTAÇÃO,5,FALSE),VLOOKUP($C1590,'NAO DESO'!$A:$D,4,))</f>
        <v>16,83</v>
      </c>
      <c r="H1590" s="242">
        <f>TRUNC(F1590*G1590,2)</f>
        <v>44.43</v>
      </c>
      <c r="I1590" s="54" t="str">
        <f>IF(B1590="SEPLAG",VLOOKUP(CONCATENATE("MEDIANA - ",C1590),COTAÇÃO,5,FALSE),VLOOKUP($C1590,DESON!$A:$D,4,))</f>
        <v>15,16</v>
      </c>
      <c r="J1590" s="209">
        <f>TRUNC(F1590*I1590,2)</f>
        <v>40.020000000000003</v>
      </c>
    </row>
    <row r="1591" spans="1:10" ht="15" customHeight="1">
      <c r="A1591" s="210" t="str">
        <f>CONCATENATE("TOTAL DO ITEM NÃO DESON. - ",C1564)</f>
        <v>TOTAL DO ITEM NÃO DESON. - SEPLAG  ARQ 96</v>
      </c>
      <c r="B1591" s="424"/>
      <c r="C1591" s="424"/>
      <c r="D1591" s="424"/>
      <c r="E1591" s="424"/>
      <c r="F1591" s="425"/>
      <c r="G1591" s="426"/>
      <c r="H1591" s="1182">
        <f>SUM(H1566:H1590)</f>
        <v>795.84999999999991</v>
      </c>
      <c r="I1591" s="214"/>
      <c r="J1591" s="215"/>
    </row>
    <row r="1592" spans="1:10" ht="15.75" customHeight="1" thickBot="1">
      <c r="A1592" s="216" t="str">
        <f>CONCATENATE("TOTAL DO ITEM DESON. - ",C1564)</f>
        <v>TOTAL DO ITEM DESON. - SEPLAG  ARQ 96</v>
      </c>
      <c r="B1592" s="427"/>
      <c r="C1592" s="427"/>
      <c r="D1592" s="427"/>
      <c r="E1592" s="427"/>
      <c r="F1592" s="428"/>
      <c r="G1592" s="429"/>
      <c r="H1592" s="1187"/>
      <c r="I1592" s="229"/>
      <c r="J1592" s="219">
        <f>SUM(J1566:J1590)</f>
        <v>785.57999999999993</v>
      </c>
    </row>
    <row r="1593" spans="1:10" ht="15" customHeight="1" thickBot="1">
      <c r="A1593" s="235"/>
      <c r="B1593" s="1135"/>
      <c r="C1593" s="1135"/>
      <c r="D1593" s="1135"/>
      <c r="E1593" s="1135"/>
      <c r="F1593" s="1188"/>
      <c r="G1593" s="1188"/>
      <c r="H1593" s="1188"/>
      <c r="I1593" s="236"/>
      <c r="J1593" s="237"/>
    </row>
    <row r="1594" spans="1:10" ht="24.75" customHeight="1">
      <c r="A1594" s="198"/>
      <c r="B1594" s="1175"/>
      <c r="C1594" s="1176" t="s">
        <v>7385</v>
      </c>
      <c r="D1594" s="156" t="s">
        <v>7619</v>
      </c>
      <c r="E1594" s="1176" t="s">
        <v>32</v>
      </c>
      <c r="F1594" s="1177" t="s">
        <v>18</v>
      </c>
      <c r="G1594" s="1178" t="s">
        <v>7017</v>
      </c>
      <c r="H1594" s="1179"/>
      <c r="I1594" s="200" t="s">
        <v>7016</v>
      </c>
      <c r="J1594" s="201"/>
    </row>
    <row r="1595" spans="1:10" ht="15" customHeight="1">
      <c r="A1595" s="233"/>
      <c r="B1595" s="247"/>
      <c r="C1595" s="1155"/>
      <c r="D1595" s="157"/>
      <c r="E1595" s="1155"/>
      <c r="F1595" s="1180"/>
      <c r="G1595" s="1180" t="s">
        <v>19</v>
      </c>
      <c r="H1595" s="1180" t="s">
        <v>20</v>
      </c>
      <c r="I1595" s="205" t="s">
        <v>19</v>
      </c>
      <c r="J1595" s="206" t="s">
        <v>20</v>
      </c>
    </row>
    <row r="1596" spans="1:10" ht="15" customHeight="1">
      <c r="A1596" s="208" t="s">
        <v>39</v>
      </c>
      <c r="B1596" s="241"/>
      <c r="C1596" s="241">
        <v>34360</v>
      </c>
      <c r="D1596" s="161" t="s">
        <v>7323</v>
      </c>
      <c r="E1596" s="1194" t="s">
        <v>133</v>
      </c>
      <c r="F1596" s="242">
        <v>0.64200000000000002</v>
      </c>
      <c r="G1596" s="242">
        <f>IF(B1596="SEPLAG",VLOOKUP(CONCATENATE("MEDIANA - ",C1596),COTAÇÃO,5,FALSE),VLOOKUP($C1596,'NAO DESO'!$A:$D,4,))</f>
        <v>47.31</v>
      </c>
      <c r="H1596" s="242">
        <f t="shared" ref="H1596:H1601" si="134">TRUNC(F1596*G1596,2)</f>
        <v>30.37</v>
      </c>
      <c r="I1596" s="54" t="str">
        <f>IF(B1596="SEPLAG",VLOOKUP(CONCATENATE("MEDIANA - ",C1596),COTAÇÃO,5,FALSE),VLOOKUP($C1596,DESON!$A:$D,4,))</f>
        <v>47,31</v>
      </c>
      <c r="J1596" s="209">
        <f t="shared" ref="J1596:J1601" si="135">TRUNC(F1596*I1596,2)</f>
        <v>30.37</v>
      </c>
    </row>
    <row r="1597" spans="1:10" ht="15" customHeight="1">
      <c r="A1597" s="208" t="s">
        <v>39</v>
      </c>
      <c r="B1597" s="241"/>
      <c r="C1597" s="241">
        <v>34360</v>
      </c>
      <c r="D1597" s="161" t="s">
        <v>7324</v>
      </c>
      <c r="E1597" s="1194" t="s">
        <v>133</v>
      </c>
      <c r="F1597" s="242">
        <v>0.69200000000000006</v>
      </c>
      <c r="G1597" s="242">
        <f>IF(B1597="SEPLAG",VLOOKUP(CONCATENATE("MEDIANA - ",C1597),COTAÇÃO,5,FALSE),VLOOKUP($C1597,'NAO DESO'!$A:$D,4,))</f>
        <v>47.31</v>
      </c>
      <c r="H1597" s="242">
        <f t="shared" si="134"/>
        <v>32.729999999999997</v>
      </c>
      <c r="I1597" s="54" t="str">
        <f>IF(B1597="SEPLAG",VLOOKUP(CONCATENATE("MEDIANA - ",C1597),COTAÇÃO,5,FALSE),VLOOKUP($C1597,DESON!$A:$D,4,))</f>
        <v>47,31</v>
      </c>
      <c r="J1597" s="209">
        <f t="shared" si="135"/>
        <v>32.729999999999997</v>
      </c>
    </row>
    <row r="1598" spans="1:10" ht="15" customHeight="1">
      <c r="A1598" s="208" t="s">
        <v>39</v>
      </c>
      <c r="B1598" s="241"/>
      <c r="C1598" s="241">
        <v>34360</v>
      </c>
      <c r="D1598" s="161" t="s">
        <v>7325</v>
      </c>
      <c r="E1598" s="1194" t="s">
        <v>133</v>
      </c>
      <c r="F1598" s="242">
        <v>0.27300000000000002</v>
      </c>
      <c r="G1598" s="242">
        <f>IF(B1598="SEPLAG",VLOOKUP(CONCATENATE("MEDIANA - ",C1598),COTAÇÃO,5,FALSE),VLOOKUP($C1598,'NAO DESO'!$A:$D,4,))</f>
        <v>47.31</v>
      </c>
      <c r="H1598" s="242">
        <f t="shared" si="134"/>
        <v>12.91</v>
      </c>
      <c r="I1598" s="54" t="str">
        <f>IF(B1598="SEPLAG",VLOOKUP(CONCATENATE("MEDIANA - ",C1598),COTAÇÃO,5,FALSE),VLOOKUP($C1598,DESON!$A:$D,4,))</f>
        <v>47,31</v>
      </c>
      <c r="J1598" s="209">
        <f t="shared" si="135"/>
        <v>12.91</v>
      </c>
    </row>
    <row r="1599" spans="1:10" ht="15" customHeight="1">
      <c r="A1599" s="208" t="s">
        <v>39</v>
      </c>
      <c r="B1599" s="241"/>
      <c r="C1599" s="241">
        <v>34360</v>
      </c>
      <c r="D1599" s="161" t="s">
        <v>7326</v>
      </c>
      <c r="E1599" s="1194" t="s">
        <v>133</v>
      </c>
      <c r="F1599" s="242">
        <v>0.874</v>
      </c>
      <c r="G1599" s="242">
        <f>IF(B1599="SEPLAG",VLOOKUP(CONCATENATE("MEDIANA - ",C1599),COTAÇÃO,5,FALSE),VLOOKUP($C1599,'NAO DESO'!$A:$D,4,))</f>
        <v>47.31</v>
      </c>
      <c r="H1599" s="242">
        <f t="shared" si="134"/>
        <v>41.34</v>
      </c>
      <c r="I1599" s="54" t="str">
        <f>IF(B1599="SEPLAG",VLOOKUP(CONCATENATE("MEDIANA - ",C1599),COTAÇÃO,5,FALSE),VLOOKUP($C1599,DESON!$A:$D,4,))</f>
        <v>47,31</v>
      </c>
      <c r="J1599" s="209">
        <f t="shared" si="135"/>
        <v>41.34</v>
      </c>
    </row>
    <row r="1600" spans="1:10" ht="15" customHeight="1">
      <c r="A1600" s="208" t="s">
        <v>39</v>
      </c>
      <c r="B1600" s="241"/>
      <c r="C1600" s="241">
        <v>34360</v>
      </c>
      <c r="D1600" s="161" t="s">
        <v>7327</v>
      </c>
      <c r="E1600" s="1194" t="s">
        <v>133</v>
      </c>
      <c r="F1600" s="242">
        <v>1.494</v>
      </c>
      <c r="G1600" s="242">
        <f>IF(B1600="SEPLAG",VLOOKUP(CONCATENATE("MEDIANA - ",C1600),COTAÇÃO,5,FALSE),VLOOKUP($C1600,'NAO DESO'!$A:$D,4,))</f>
        <v>47.31</v>
      </c>
      <c r="H1600" s="242">
        <f t="shared" si="134"/>
        <v>70.680000000000007</v>
      </c>
      <c r="I1600" s="54" t="str">
        <f>IF(B1600="SEPLAG",VLOOKUP(CONCATENATE("MEDIANA - ",C1600),COTAÇÃO,5,FALSE),VLOOKUP($C1600,DESON!$A:$D,4,))</f>
        <v>47,31</v>
      </c>
      <c r="J1600" s="209">
        <f t="shared" si="135"/>
        <v>70.680000000000007</v>
      </c>
    </row>
    <row r="1601" spans="1:10" ht="15" customHeight="1">
      <c r="A1601" s="208" t="s">
        <v>39</v>
      </c>
      <c r="B1601" s="241"/>
      <c r="C1601" s="241">
        <v>34360</v>
      </c>
      <c r="D1601" s="161" t="s">
        <v>7328</v>
      </c>
      <c r="E1601" s="1194" t="s">
        <v>133</v>
      </c>
      <c r="F1601" s="242">
        <v>0.32800000000000001</v>
      </c>
      <c r="G1601" s="242">
        <f>IF(B1601="SEPLAG",VLOOKUP(CONCATENATE("MEDIANA - ",C1601),COTAÇÃO,5,FALSE),VLOOKUP($C1601,'NAO DESO'!$A:$D,4,))</f>
        <v>47.31</v>
      </c>
      <c r="H1601" s="242">
        <f t="shared" si="134"/>
        <v>15.51</v>
      </c>
      <c r="I1601" s="54" t="str">
        <f>IF(B1601="SEPLAG",VLOOKUP(CONCATENATE("MEDIANA - ",C1601),COTAÇÃO,5,FALSE),VLOOKUP($C1601,DESON!$A:$D,4,))</f>
        <v>47,31</v>
      </c>
      <c r="J1601" s="209">
        <f t="shared" si="135"/>
        <v>15.51</v>
      </c>
    </row>
    <row r="1602" spans="1:10" ht="15" customHeight="1">
      <c r="A1602" s="208" t="s">
        <v>39</v>
      </c>
      <c r="B1602" s="241"/>
      <c r="C1602" s="241">
        <v>34360</v>
      </c>
      <c r="D1602" s="161" t="s">
        <v>7329</v>
      </c>
      <c r="E1602" s="1194" t="s">
        <v>133</v>
      </c>
      <c r="F1602" s="242"/>
      <c r="G1602" s="242">
        <f>IF(B1602="SEPLAG",VLOOKUP(CONCATENATE("MEDIANA - ",C1602),COTAÇÃO,5,FALSE),VLOOKUP($C1602,'NAO DESO'!$A:$D,4,))</f>
        <v>47.31</v>
      </c>
      <c r="H1602" s="242">
        <f>F1602*G1602</f>
        <v>0</v>
      </c>
      <c r="I1602" s="54" t="str">
        <f>IF(B1602="SEPLAG",VLOOKUP(CONCATENATE("MEDIANA - ",C1602),COTAÇÃO,5,FALSE),VLOOKUP($C1602,DESON!$A:$D,4,))</f>
        <v>47,31</v>
      </c>
      <c r="J1602" s="209">
        <f>F1602*I1602</f>
        <v>0</v>
      </c>
    </row>
    <row r="1603" spans="1:10" ht="15" customHeight="1">
      <c r="A1603" s="208" t="s">
        <v>39</v>
      </c>
      <c r="B1603" s="241"/>
      <c r="C1603" s="241">
        <v>34360</v>
      </c>
      <c r="D1603" s="161" t="s">
        <v>7330</v>
      </c>
      <c r="E1603" s="1194" t="s">
        <v>133</v>
      </c>
      <c r="F1603" s="242">
        <v>0</v>
      </c>
      <c r="G1603" s="242">
        <f>IF(B1603="SEPLAG",VLOOKUP(CONCATENATE("MEDIANA - ",C1603),COTAÇÃO,5,FALSE),VLOOKUP($C1603,'NAO DESO'!$A:$D,4,))</f>
        <v>47.31</v>
      </c>
      <c r="H1603" s="242">
        <f>F1603*G1603</f>
        <v>0</v>
      </c>
      <c r="I1603" s="54" t="str">
        <f>IF(B1603="SEPLAG",VLOOKUP(CONCATENATE("MEDIANA - ",C1603),COTAÇÃO,5,FALSE),VLOOKUP($C1603,DESON!$A:$D,4,))</f>
        <v>47,31</v>
      </c>
      <c r="J1603" s="209">
        <f>F1603*I1603</f>
        <v>0</v>
      </c>
    </row>
    <row r="1604" spans="1:10" ht="15" customHeight="1">
      <c r="A1604" s="208" t="s">
        <v>39</v>
      </c>
      <c r="B1604" s="241"/>
      <c r="C1604" s="241">
        <v>34360</v>
      </c>
      <c r="D1604" s="161" t="s">
        <v>7331</v>
      </c>
      <c r="E1604" s="1194" t="s">
        <v>133</v>
      </c>
      <c r="F1604" s="242">
        <v>2.3449999999999998</v>
      </c>
      <c r="G1604" s="242">
        <f>IF(B1604="SEPLAG",VLOOKUP(CONCATENATE("MEDIANA - ",C1604),COTAÇÃO,5,FALSE),VLOOKUP($C1604,'NAO DESO'!$A:$D,4,))</f>
        <v>47.31</v>
      </c>
      <c r="H1604" s="242">
        <f t="shared" ref="H1604:H1620" si="136">TRUNC(F1604*G1604,2)</f>
        <v>110.94</v>
      </c>
      <c r="I1604" s="54" t="str">
        <f>IF(B1604="SEPLAG",VLOOKUP(CONCATENATE("MEDIANA - ",C1604),COTAÇÃO,5,FALSE),VLOOKUP($C1604,DESON!$A:$D,4,))</f>
        <v>47,31</v>
      </c>
      <c r="J1604" s="209">
        <f t="shared" ref="J1604:J1620" si="137">TRUNC(F1604*I1604,2)</f>
        <v>110.94</v>
      </c>
    </row>
    <row r="1605" spans="1:10" ht="15" customHeight="1">
      <c r="A1605" s="208" t="s">
        <v>39</v>
      </c>
      <c r="B1605" s="241"/>
      <c r="C1605" s="241">
        <v>34360</v>
      </c>
      <c r="D1605" s="161" t="s">
        <v>7332</v>
      </c>
      <c r="E1605" s="1194" t="s">
        <v>133</v>
      </c>
      <c r="F1605" s="242">
        <v>0.217</v>
      </c>
      <c r="G1605" s="242">
        <f>IF(B1605="SEPLAG",VLOOKUP(CONCATENATE("MEDIANA - ",C1605),COTAÇÃO,5,FALSE),VLOOKUP($C1605,'NAO DESO'!$A:$D,4,))</f>
        <v>47.31</v>
      </c>
      <c r="H1605" s="242">
        <f t="shared" si="136"/>
        <v>10.26</v>
      </c>
      <c r="I1605" s="54" t="str">
        <f>IF(B1605="SEPLAG",VLOOKUP(CONCATENATE("MEDIANA - ",C1605),COTAÇÃO,5,FALSE),VLOOKUP($C1605,DESON!$A:$D,4,))</f>
        <v>47,31</v>
      </c>
      <c r="J1605" s="209">
        <f t="shared" si="137"/>
        <v>10.26</v>
      </c>
    </row>
    <row r="1606" spans="1:10" ht="15" customHeight="1">
      <c r="A1606" s="208" t="s">
        <v>39</v>
      </c>
      <c r="B1606" s="241"/>
      <c r="C1606" s="241">
        <v>34360</v>
      </c>
      <c r="D1606" s="161" t="s">
        <v>7333</v>
      </c>
      <c r="E1606" s="1194" t="s">
        <v>133</v>
      </c>
      <c r="F1606" s="242">
        <v>0.78399999999999992</v>
      </c>
      <c r="G1606" s="242">
        <f>IF(B1606="SEPLAG",VLOOKUP(CONCATENATE("MEDIANA - ",C1606),COTAÇÃO,5,FALSE),VLOOKUP($C1606,'NAO DESO'!$A:$D,4,))</f>
        <v>47.31</v>
      </c>
      <c r="H1606" s="242">
        <f t="shared" si="136"/>
        <v>37.090000000000003</v>
      </c>
      <c r="I1606" s="54" t="str">
        <f>IF(B1606="SEPLAG",VLOOKUP(CONCATENATE("MEDIANA - ",C1606),COTAÇÃO,5,FALSE),VLOOKUP($C1606,DESON!$A:$D,4,))</f>
        <v>47,31</v>
      </c>
      <c r="J1606" s="209">
        <f t="shared" si="137"/>
        <v>37.090000000000003</v>
      </c>
    </row>
    <row r="1607" spans="1:10" ht="15" customHeight="1">
      <c r="A1607" s="208" t="s">
        <v>39</v>
      </c>
      <c r="B1607" s="241" t="s">
        <v>14504</v>
      </c>
      <c r="C1607" s="1181" t="s">
        <v>14307</v>
      </c>
      <c r="D1607" s="161" t="str">
        <f>IF(B1607="SEPLAG",VLOOKUP(COMPOSIÇÕES!C1607,'MAPA COMPARATIVO'!A:B,2,FALSE),VLOOKUP(C1607,'NAO DESO'!A:B,2,0))</f>
        <v xml:space="preserve">Braço de max-ar linha gold de 600mm </v>
      </c>
      <c r="E1607" s="1194" t="s">
        <v>24</v>
      </c>
      <c r="F1607" s="242">
        <v>2</v>
      </c>
      <c r="G1607" s="242">
        <f>IF(B1607="SEPLAG",VLOOKUP(CONCATENATE("MEDIANA - ",C1607),COTAÇÃO,5,FALSE),VLOOKUP($C1607,'NAO DESO'!$A:$D,4,))</f>
        <v>36.575000000000003</v>
      </c>
      <c r="H1607" s="242">
        <f t="shared" si="136"/>
        <v>73.150000000000006</v>
      </c>
      <c r="I1607" s="54">
        <f>IF(B1607="SEPLAG",VLOOKUP(CONCATENATE("MEDIANA - ",C1607),COTAÇÃO,5,FALSE),VLOOKUP($C1607,DESON!$A:$D,4,))</f>
        <v>36.575000000000003</v>
      </c>
      <c r="J1607" s="209">
        <f t="shared" si="137"/>
        <v>73.150000000000006</v>
      </c>
    </row>
    <row r="1608" spans="1:10" ht="15" customHeight="1">
      <c r="A1608" s="208" t="s">
        <v>39</v>
      </c>
      <c r="B1608" s="241" t="s">
        <v>14504</v>
      </c>
      <c r="C1608" s="1181" t="s">
        <v>14308</v>
      </c>
      <c r="D1608" s="161" t="str">
        <f>IF(B1608="SEPLAG",VLOOKUP(COMPOSIÇÕES!C1608,'MAPA COMPARATIVO'!A:B,2,FALSE),VLOOKUP(C1608,'NAO DESO'!A:B,2,0))</f>
        <v>Fecho max-ar linha gold</v>
      </c>
      <c r="E1608" s="1194" t="s">
        <v>24</v>
      </c>
      <c r="F1608" s="242">
        <v>2</v>
      </c>
      <c r="G1608" s="242">
        <f>IF(B1608="SEPLAG",VLOOKUP(CONCATENATE("MEDIANA - ",C1608),COTAÇÃO,5,FALSE),VLOOKUP($C1608,'NAO DESO'!$A:$D,4,))</f>
        <v>47.36</v>
      </c>
      <c r="H1608" s="242">
        <f t="shared" si="136"/>
        <v>94.72</v>
      </c>
      <c r="I1608" s="54">
        <f>IF(B1608="SEPLAG",VLOOKUP(CONCATENATE("MEDIANA - ",C1608),COTAÇÃO,5,FALSE),VLOOKUP($C1608,DESON!$A:$D,4,))</f>
        <v>47.36</v>
      </c>
      <c r="J1608" s="209">
        <f t="shared" si="137"/>
        <v>94.72</v>
      </c>
    </row>
    <row r="1609" spans="1:10" ht="15" customHeight="1">
      <c r="A1609" s="208" t="s">
        <v>39</v>
      </c>
      <c r="B1609" s="241" t="s">
        <v>14504</v>
      </c>
      <c r="C1609" s="1181" t="s">
        <v>14309</v>
      </c>
      <c r="D1609" s="161" t="str">
        <f>IF(B1609="SEPLAG",VLOOKUP(COMPOSIÇÕES!C1609,'MAPA COMPARATIVO'!A:B,2,FALSE),VLOOKUP(C1609,'NAO DESO'!A:B,2,0))</f>
        <v>Guarnição em EPDM p/ pingadeira</v>
      </c>
      <c r="E1609" s="1194" t="s">
        <v>7388</v>
      </c>
      <c r="F1609" s="242">
        <v>1.3720000000000001</v>
      </c>
      <c r="G1609" s="242">
        <f>IF(B1609="SEPLAG",VLOOKUP(CONCATENATE("MEDIANA - ",C1609),COTAÇÃO,5,FALSE),VLOOKUP($C1609,'NAO DESO'!$A:$D,4,))</f>
        <v>4.3849999999999998</v>
      </c>
      <c r="H1609" s="242">
        <f t="shared" si="136"/>
        <v>6.01</v>
      </c>
      <c r="I1609" s="54">
        <f>IF(B1609="SEPLAG",VLOOKUP(CONCATENATE("MEDIANA - ",C1609),COTAÇÃO,5,FALSE),VLOOKUP($C1609,DESON!$A:$D,4,))</f>
        <v>4.3849999999999998</v>
      </c>
      <c r="J1609" s="209">
        <f t="shared" si="137"/>
        <v>6.01</v>
      </c>
    </row>
    <row r="1610" spans="1:10" ht="15" customHeight="1">
      <c r="A1610" s="208" t="s">
        <v>39</v>
      </c>
      <c r="B1610" s="241" t="s">
        <v>14504</v>
      </c>
      <c r="C1610" s="1181" t="s">
        <v>14310</v>
      </c>
      <c r="D1610" s="161" t="str">
        <f>IF(B1610="SEPLAG",VLOOKUP(COMPOSIÇÕES!C1610,'MAPA COMPARATIVO'!A:B,2,FALSE),VLOOKUP(C1610,'NAO DESO'!A:B,2,0))</f>
        <v>Guarnição em EPDM para vidro</v>
      </c>
      <c r="E1610" s="1194" t="s">
        <v>250</v>
      </c>
      <c r="F1610" s="242">
        <v>4.4320000000000004</v>
      </c>
      <c r="G1610" s="242">
        <f>IF(B1610="SEPLAG",VLOOKUP(CONCATENATE("MEDIANA - ",C1610),COTAÇÃO,5,FALSE),VLOOKUP($C1610,'NAO DESO'!$A:$D,4,))</f>
        <v>2.4091999999999998</v>
      </c>
      <c r="H1610" s="242">
        <f t="shared" si="136"/>
        <v>10.67</v>
      </c>
      <c r="I1610" s="54">
        <f>IF(B1610="SEPLAG",VLOOKUP(CONCATENATE("MEDIANA - ",C1610),COTAÇÃO,5,FALSE),VLOOKUP($C1610,DESON!$A:$D,4,))</f>
        <v>2.4091999999999998</v>
      </c>
      <c r="J1610" s="209">
        <f t="shared" si="137"/>
        <v>10.67</v>
      </c>
    </row>
    <row r="1611" spans="1:10" ht="15" customHeight="1">
      <c r="A1611" s="208" t="s">
        <v>39</v>
      </c>
      <c r="B1611" s="241" t="s">
        <v>14504</v>
      </c>
      <c r="C1611" s="1181" t="s">
        <v>14311</v>
      </c>
      <c r="D1611" s="161" t="str">
        <f>IF(B1611="SEPLAG",VLOOKUP(COMPOSIÇÕES!C1611,'MAPA COMPARATIVO'!A:B,2,FALSE),VLOOKUP(C1611,'NAO DESO'!A:B,2,0))</f>
        <v>Espuma adesiva 1 face</v>
      </c>
      <c r="E1611" s="1194" t="s">
        <v>250</v>
      </c>
      <c r="F1611" s="242">
        <v>4.4320000000000004</v>
      </c>
      <c r="G1611" s="242">
        <f>IF(B1611="SEPLAG",VLOOKUP(CONCATENATE("MEDIANA - ",C1611),COTAÇÃO,5,FALSE),VLOOKUP($C1611,'NAO DESO'!$A:$D,4,))</f>
        <v>2.1800000000000002</v>
      </c>
      <c r="H1611" s="242">
        <f t="shared" si="136"/>
        <v>9.66</v>
      </c>
      <c r="I1611" s="54">
        <f>IF(B1611="SEPLAG",VLOOKUP(CONCATENATE("MEDIANA - ",C1611),COTAÇÃO,5,FALSE),VLOOKUP($C1611,DESON!$A:$D,4,))</f>
        <v>2.1800000000000002</v>
      </c>
      <c r="J1611" s="209">
        <f t="shared" si="137"/>
        <v>9.66</v>
      </c>
    </row>
    <row r="1612" spans="1:10" ht="15" customHeight="1">
      <c r="A1612" s="208" t="s">
        <v>39</v>
      </c>
      <c r="B1612" s="241" t="s">
        <v>14504</v>
      </c>
      <c r="C1612" s="1181" t="s">
        <v>14312</v>
      </c>
      <c r="D1612" s="161" t="str">
        <f>IF(B1612="SEPLAG",VLOOKUP(COMPOSIÇÕES!C1612,'MAPA COMPARATIVO'!A:B,2,FALSE),VLOOKUP(C1612,'NAO DESO'!A:B,2,0))</f>
        <v>Guarnição em EPDM p/ marco max-ar</v>
      </c>
      <c r="E1612" s="1194" t="s">
        <v>250</v>
      </c>
      <c r="F1612" s="242">
        <v>8.2319999999999993</v>
      </c>
      <c r="G1612" s="242">
        <f>IF(B1612="SEPLAG",VLOOKUP(CONCATENATE("MEDIANA - ",C1612),COTAÇÃO,5,FALSE),VLOOKUP($C1612,'NAO DESO'!$A:$D,4,))</f>
        <v>3.8138999999999998</v>
      </c>
      <c r="H1612" s="242">
        <f t="shared" si="136"/>
        <v>31.39</v>
      </c>
      <c r="I1612" s="54">
        <f>IF(B1612="SEPLAG",VLOOKUP(CONCATENATE("MEDIANA - ",C1612),COTAÇÃO,5,FALSE),VLOOKUP($C1612,DESON!$A:$D,4,))</f>
        <v>3.8138999999999998</v>
      </c>
      <c r="J1612" s="209">
        <f t="shared" si="137"/>
        <v>31.39</v>
      </c>
    </row>
    <row r="1613" spans="1:10" ht="15" customHeight="1">
      <c r="A1613" s="208" t="s">
        <v>39</v>
      </c>
      <c r="B1613" s="241" t="s">
        <v>14504</v>
      </c>
      <c r="C1613" s="1181" t="s">
        <v>14313</v>
      </c>
      <c r="D1613" s="161" t="str">
        <f>IF(B1613="SEPLAG",VLOOKUP(COMPOSIÇÕES!C1613,'MAPA COMPARATIVO'!A:B,2,FALSE),VLOOKUP(C1613,'NAO DESO'!A:B,2,0))</f>
        <v>PRESILHA DE FIXAÇÃO DO ARREMATE MP-347</v>
      </c>
      <c r="E1613" s="1194" t="s">
        <v>24</v>
      </c>
      <c r="F1613" s="242">
        <v>12</v>
      </c>
      <c r="G1613" s="242">
        <f>IF(B1613="SEPLAG",VLOOKUP(CONCATENATE("MEDIANA - ",C1613),COTAÇÃO,5,FALSE),VLOOKUP($C1613,'NAO DESO'!$A:$D,4,))</f>
        <v>0.34</v>
      </c>
      <c r="H1613" s="242">
        <f t="shared" si="136"/>
        <v>4.08</v>
      </c>
      <c r="I1613" s="54">
        <f>IF(B1613="SEPLAG",VLOOKUP(CONCATENATE("MEDIANA - ",C1613),COTAÇÃO,5,FALSE),VLOOKUP($C1613,DESON!$A:$D,4,))</f>
        <v>0.34</v>
      </c>
      <c r="J1613" s="209">
        <f t="shared" si="137"/>
        <v>4.08</v>
      </c>
    </row>
    <row r="1614" spans="1:10" ht="15" customHeight="1">
      <c r="A1614" s="208" t="s">
        <v>39</v>
      </c>
      <c r="B1614" s="241" t="s">
        <v>14504</v>
      </c>
      <c r="C1614" s="1181" t="s">
        <v>14314</v>
      </c>
      <c r="D1614" s="161" t="str">
        <f>IF(B1614="SEPLAG",VLOOKUP(COMPOSIÇÕES!C1614,'MAPA COMPARATIVO'!A:B,2,FALSE),VLOOKUP(C1614,'NAO DESO'!A:B,2,0))</f>
        <v>Parafuso zincado phillips flangeado autobrocante 4,2 x 16mm</v>
      </c>
      <c r="E1614" s="1194" t="s">
        <v>24</v>
      </c>
      <c r="F1614" s="242">
        <v>12</v>
      </c>
      <c r="G1614" s="242">
        <f>IF(B1614="SEPLAG",VLOOKUP(CONCATENATE("MEDIANA - ",C1614),COTAÇÃO,5,FALSE),VLOOKUP($C1614,'NAO DESO'!$A:$D,4,))</f>
        <v>0.28000000000000003</v>
      </c>
      <c r="H1614" s="242">
        <f t="shared" si="136"/>
        <v>3.36</v>
      </c>
      <c r="I1614" s="54">
        <f>IF(B1614="SEPLAG",VLOOKUP(CONCATENATE("MEDIANA - ",C1614),COTAÇÃO,5,FALSE),VLOOKUP($C1614,DESON!$A:$D,4,))</f>
        <v>0.28000000000000003</v>
      </c>
      <c r="J1614" s="209">
        <f t="shared" si="137"/>
        <v>3.36</v>
      </c>
    </row>
    <row r="1615" spans="1:10" ht="15" customHeight="1">
      <c r="A1615" s="208" t="s">
        <v>39</v>
      </c>
      <c r="B1615" s="241" t="s">
        <v>14504</v>
      </c>
      <c r="C1615" s="1181" t="s">
        <v>14315</v>
      </c>
      <c r="D1615" s="161" t="str">
        <f>IF(B1615="SEPLAG",VLOOKUP(COMPOSIÇÕES!C1615,'MAPA COMPARATIVO'!A:B,2,FALSE),VLOOKUP(C1615,'NAO DESO'!A:B,2,0))</f>
        <v>PARAF. PANELA PHILIPS INOX 4,8 X32 PONTA PILOTO</v>
      </c>
      <c r="E1615" s="1194" t="s">
        <v>24</v>
      </c>
      <c r="F1615" s="242">
        <v>4</v>
      </c>
      <c r="G1615" s="242">
        <f>IF(B1615="SEPLAG",VLOOKUP(CONCATENATE("MEDIANA - ",C1615),COTAÇÃO,5,FALSE),VLOOKUP($C1615,'NAO DESO'!$A:$D,4,))</f>
        <v>0.95</v>
      </c>
      <c r="H1615" s="242">
        <f t="shared" si="136"/>
        <v>3.8</v>
      </c>
      <c r="I1615" s="54">
        <f>IF(B1615="SEPLAG",VLOOKUP(CONCATENATE("MEDIANA - ",C1615),COTAÇÃO,5,FALSE),VLOOKUP($C1615,DESON!$A:$D,4,))</f>
        <v>0.95</v>
      </c>
      <c r="J1615" s="209">
        <f t="shared" si="137"/>
        <v>3.8</v>
      </c>
    </row>
    <row r="1616" spans="1:10" ht="15" customHeight="1">
      <c r="A1616" s="208" t="s">
        <v>39</v>
      </c>
      <c r="B1616" s="241" t="s">
        <v>14504</v>
      </c>
      <c r="C1616" s="1181" t="s">
        <v>14316</v>
      </c>
      <c r="D1616" s="161" t="str">
        <f>IF(B1616="SEPLAG",VLOOKUP(COMPOSIÇÕES!C1616,'MAPA COMPARATIVO'!A:B,2,FALSE),VLOOKUP(C1616,'NAO DESO'!A:B,2,0))</f>
        <v>CHUMBADOR DE CM-063/060</v>
      </c>
      <c r="E1616" s="1194" t="s">
        <v>24</v>
      </c>
      <c r="F1616" s="242">
        <v>12</v>
      </c>
      <c r="G1616" s="242">
        <f>IF(B1616="SEPLAG",VLOOKUP(CONCATENATE("MEDIANA - ",C1616),COTAÇÃO,5,FALSE),VLOOKUP($C1616,'NAO DESO'!$A:$D,4,))</f>
        <v>0.86</v>
      </c>
      <c r="H1616" s="242">
        <f t="shared" si="136"/>
        <v>10.32</v>
      </c>
      <c r="I1616" s="54">
        <f>IF(B1616="SEPLAG",VLOOKUP(CONCATENATE("MEDIANA - ",C1616),COTAÇÃO,5,FALSE),VLOOKUP($C1616,DESON!$A:$D,4,))</f>
        <v>0.86</v>
      </c>
      <c r="J1616" s="209">
        <f t="shared" si="137"/>
        <v>10.32</v>
      </c>
    </row>
    <row r="1617" spans="1:10" ht="15" customHeight="1">
      <c r="A1617" s="208" t="s">
        <v>39</v>
      </c>
      <c r="B1617" s="241" t="s">
        <v>14504</v>
      </c>
      <c r="C1617" s="1181" t="s">
        <v>14317</v>
      </c>
      <c r="D1617" s="161" t="str">
        <f>IF(B1617="SEPLAG",VLOOKUP(COMPOSIÇÕES!C1617,'MAPA COMPARATIVO'!A:B,2,FALSE),VLOOKUP(C1617,'NAO DESO'!A:B,2,0))</f>
        <v>Silicone neutro incolor 280 g</v>
      </c>
      <c r="E1617" s="1194" t="s">
        <v>24</v>
      </c>
      <c r="F1617" s="242">
        <v>1</v>
      </c>
      <c r="G1617" s="242">
        <f>IF(B1617="SEPLAG",VLOOKUP(CONCATENATE("MEDIANA - ",C1617),COTAÇÃO,5,FALSE),VLOOKUP($C1617,'NAO DESO'!$A:$D,4,))</f>
        <v>43.9</v>
      </c>
      <c r="H1617" s="242">
        <f t="shared" si="136"/>
        <v>43.9</v>
      </c>
      <c r="I1617" s="54">
        <f>IF(B1617="SEPLAG",VLOOKUP(CONCATENATE("MEDIANA - ",C1617),COTAÇÃO,5,FALSE),VLOOKUP($C1617,DESON!$A:$D,4,))</f>
        <v>43.9</v>
      </c>
      <c r="J1617" s="209">
        <f t="shared" si="137"/>
        <v>43.9</v>
      </c>
    </row>
    <row r="1618" spans="1:10" ht="15" customHeight="1">
      <c r="A1618" s="208" t="s">
        <v>245</v>
      </c>
      <c r="B1618" s="241"/>
      <c r="C1618" s="1181">
        <v>10505</v>
      </c>
      <c r="D1618" s="161" t="str">
        <f>IF(B1618="SEPLAG",VLOOKUP(COMPOSIÇÕES!C1618,'MAPA COMPARATIVO'!A:B,2,FALSE),VLOOKUP(C1618,'NAO DESO'!A:B,2,0))</f>
        <v>VIDRO TEMPERADO INCOLOR E = 6 MM, SEM COLOCACAO</v>
      </c>
      <c r="E1618" s="241" t="str">
        <f>VLOOKUP($C1618,'NAO DESO'!$A:$D,3,)</f>
        <v xml:space="preserve">M2    </v>
      </c>
      <c r="F1618" s="242">
        <v>0.7</v>
      </c>
      <c r="G1618" s="242">
        <f>IF(B1618="SEPLAG",VLOOKUP(CONCATENATE("MEDIANA - ",C1618),COTAÇÃO,5,FALSE),VLOOKUP($C1618,'NAO DESO'!$A:$D,4,))</f>
        <v>272.77</v>
      </c>
      <c r="H1618" s="242">
        <f t="shared" si="136"/>
        <v>190.93</v>
      </c>
      <c r="I1618" s="54" t="str">
        <f>IF(B1618="SEPLAG",VLOOKUP(CONCATENATE("MEDIANA - ",C1618),COTAÇÃO,5,FALSE),VLOOKUP($C1618,DESON!$A:$D,4,))</f>
        <v>272,77</v>
      </c>
      <c r="J1618" s="209">
        <f t="shared" si="137"/>
        <v>190.93</v>
      </c>
    </row>
    <row r="1619" spans="1:10" ht="15" customHeight="1">
      <c r="A1619" s="208" t="s">
        <v>245</v>
      </c>
      <c r="B1619" s="241"/>
      <c r="C1619" s="1181">
        <v>88315</v>
      </c>
      <c r="D1619" s="161" t="str">
        <f>IF(B1619="SEPLAG",VLOOKUP(COMPOSIÇÕES!C1619,'MAPA COMPARATIVO'!A:B,2,FALSE),VLOOKUP(C1619,'NAO DESO'!A:B,2,0))</f>
        <v>SERRALHEIRO COM ENCARGOS COMPLEMENTARES</v>
      </c>
      <c r="E1619" s="241" t="str">
        <f>VLOOKUP($C1619,'NAO DESO'!$A:$D,3,)</f>
        <v>H</v>
      </c>
      <c r="F1619" s="242">
        <v>2.2799999999999998</v>
      </c>
      <c r="G1619" s="242" t="str">
        <f>IF(B1619="SEPLAG",VLOOKUP(CONCATENATE("MEDIANA - ",C1619),COTAÇÃO,5,FALSE),VLOOKUP($C1619,'NAO DESO'!$A:$D,4,))</f>
        <v>20,97</v>
      </c>
      <c r="H1619" s="242">
        <f t="shared" si="136"/>
        <v>47.81</v>
      </c>
      <c r="I1619" s="54" t="str">
        <f>IF(B1619="SEPLAG",VLOOKUP(CONCATENATE("MEDIANA - ",C1619),COTAÇÃO,5,FALSE),VLOOKUP($C1619,DESON!$A:$D,4,))</f>
        <v>18,75</v>
      </c>
      <c r="J1619" s="209">
        <f t="shared" si="137"/>
        <v>42.75</v>
      </c>
    </row>
    <row r="1620" spans="1:10" ht="15" customHeight="1">
      <c r="A1620" s="208" t="s">
        <v>245</v>
      </c>
      <c r="B1620" s="241"/>
      <c r="C1620" s="1181">
        <v>88316</v>
      </c>
      <c r="D1620" s="161" t="str">
        <f>IF(B1620="SEPLAG",VLOOKUP(COMPOSIÇÕES!C1620,'MAPA COMPARATIVO'!A:B,2,FALSE),VLOOKUP(C1620,'NAO DESO'!A:B,2,0))</f>
        <v>SERVENTE COM ENCARGOS COMPLEMENTARES</v>
      </c>
      <c r="E1620" s="241" t="str">
        <f>VLOOKUP($C1620,'NAO DESO'!$A:$D,3,)</f>
        <v>H</v>
      </c>
      <c r="F1620" s="242">
        <v>2.2799999999999998</v>
      </c>
      <c r="G1620" s="242" t="str">
        <f>IF(B1620="SEPLAG",VLOOKUP(CONCATENATE("MEDIANA - ",C1620),COTAÇÃO,5,FALSE),VLOOKUP($C1620,'NAO DESO'!$A:$D,4,))</f>
        <v>16,83</v>
      </c>
      <c r="H1620" s="242">
        <f t="shared" si="136"/>
        <v>38.369999999999997</v>
      </c>
      <c r="I1620" s="54" t="str">
        <f>IF(B1620="SEPLAG",VLOOKUP(CONCATENATE("MEDIANA - ",C1620),COTAÇÃO,5,FALSE),VLOOKUP($C1620,DESON!$A:$D,4,))</f>
        <v>15,16</v>
      </c>
      <c r="J1620" s="209">
        <f t="shared" si="137"/>
        <v>34.56</v>
      </c>
    </row>
    <row r="1621" spans="1:10" ht="15" customHeight="1">
      <c r="A1621" s="210" t="str">
        <f>CONCATENATE("TOTAL DO ITEM NÃO DESON. - ",C1594)</f>
        <v>TOTAL DO ITEM NÃO DESON. - SEPLAG  ARQ 97</v>
      </c>
      <c r="B1621" s="424"/>
      <c r="C1621" s="424"/>
      <c r="D1621" s="424"/>
      <c r="E1621" s="424"/>
      <c r="F1621" s="425"/>
      <c r="G1621" s="426"/>
      <c r="H1621" s="1182">
        <f>SUM(H1596:H1620)</f>
        <v>929.99999999999989</v>
      </c>
      <c r="I1621" s="214"/>
      <c r="J1621" s="215"/>
    </row>
    <row r="1622" spans="1:10" ht="15.75" customHeight="1" thickBot="1">
      <c r="A1622" s="216" t="str">
        <f>CONCATENATE("TOTAL DO ITEM DESON. - ",C1594)</f>
        <v>TOTAL DO ITEM DESON. - SEPLAG  ARQ 97</v>
      </c>
      <c r="B1622" s="427"/>
      <c r="C1622" s="427"/>
      <c r="D1622" s="427"/>
      <c r="E1622" s="427"/>
      <c r="F1622" s="428"/>
      <c r="G1622" s="429"/>
      <c r="H1622" s="1187"/>
      <c r="I1622" s="229"/>
      <c r="J1622" s="219">
        <f>SUM(J1596:J1620)</f>
        <v>921.12999999999988</v>
      </c>
    </row>
    <row r="1623" spans="1:10" ht="15" customHeight="1" thickBot="1">
      <c r="A1623" s="235"/>
      <c r="B1623" s="1135"/>
      <c r="C1623" s="1135"/>
      <c r="D1623" s="1135"/>
      <c r="E1623" s="1135"/>
      <c r="F1623" s="1188"/>
      <c r="G1623" s="1188"/>
      <c r="H1623" s="1188"/>
      <c r="I1623" s="236"/>
      <c r="J1623" s="237"/>
    </row>
    <row r="1624" spans="1:10" ht="25.5" customHeight="1">
      <c r="A1624" s="198"/>
      <c r="B1624" s="1175"/>
      <c r="C1624" s="1176" t="s">
        <v>7386</v>
      </c>
      <c r="D1624" s="156" t="s">
        <v>7659</v>
      </c>
      <c r="E1624" s="1176" t="s">
        <v>32</v>
      </c>
      <c r="F1624" s="1177" t="s">
        <v>18</v>
      </c>
      <c r="G1624" s="1178" t="s">
        <v>7017</v>
      </c>
      <c r="H1624" s="1179"/>
      <c r="I1624" s="200" t="s">
        <v>7016</v>
      </c>
      <c r="J1624" s="201"/>
    </row>
    <row r="1625" spans="1:10" ht="15" customHeight="1">
      <c r="A1625" s="233"/>
      <c r="B1625" s="247"/>
      <c r="C1625" s="1155"/>
      <c r="D1625" s="157"/>
      <c r="E1625" s="1155"/>
      <c r="F1625" s="1180"/>
      <c r="G1625" s="1180" t="s">
        <v>19</v>
      </c>
      <c r="H1625" s="1180" t="s">
        <v>20</v>
      </c>
      <c r="I1625" s="205" t="s">
        <v>19</v>
      </c>
      <c r="J1625" s="206" t="s">
        <v>20</v>
      </c>
    </row>
    <row r="1626" spans="1:10" ht="15" customHeight="1">
      <c r="A1626" s="208" t="s">
        <v>39</v>
      </c>
      <c r="B1626" s="241"/>
      <c r="C1626" s="241">
        <v>34360</v>
      </c>
      <c r="D1626" s="161" t="s">
        <v>7323</v>
      </c>
      <c r="E1626" s="1194" t="s">
        <v>133</v>
      </c>
      <c r="F1626" s="242">
        <v>0.99</v>
      </c>
      <c r="G1626" s="242">
        <f>IF(B1626="SEPLAG",VLOOKUP(CONCATENATE("MEDIANA - ",C1626),COTAÇÃO,5,FALSE),VLOOKUP($C1626,'NAO DESO'!$A:$D,4,))</f>
        <v>47.31</v>
      </c>
      <c r="H1626" s="242">
        <f t="shared" ref="H1626:H1631" si="138">TRUNC(F1626*G1626,2)</f>
        <v>46.83</v>
      </c>
      <c r="I1626" s="54" t="str">
        <f>IF(B1626="SEPLAG",VLOOKUP(CONCATENATE("MEDIANA - ",C1626),COTAÇÃO,5,FALSE),VLOOKUP($C1626,DESON!$A:$D,4,))</f>
        <v>47,31</v>
      </c>
      <c r="J1626" s="209">
        <f t="shared" ref="J1626:J1631" si="139">TRUNC(F1626*I1626,2)</f>
        <v>46.83</v>
      </c>
    </row>
    <row r="1627" spans="1:10" ht="15" customHeight="1">
      <c r="A1627" s="208" t="s">
        <v>39</v>
      </c>
      <c r="B1627" s="241"/>
      <c r="C1627" s="241">
        <v>34360</v>
      </c>
      <c r="D1627" s="161" t="s">
        <v>7324</v>
      </c>
      <c r="E1627" s="1194" t="s">
        <v>133</v>
      </c>
      <c r="F1627" s="242">
        <v>1.054</v>
      </c>
      <c r="G1627" s="242">
        <f>IF(B1627="SEPLAG",VLOOKUP(CONCATENATE("MEDIANA - ",C1627),COTAÇÃO,5,FALSE),VLOOKUP($C1627,'NAO DESO'!$A:$D,4,))</f>
        <v>47.31</v>
      </c>
      <c r="H1627" s="242">
        <f t="shared" si="138"/>
        <v>49.86</v>
      </c>
      <c r="I1627" s="54" t="str">
        <f>IF(B1627="SEPLAG",VLOOKUP(CONCATENATE("MEDIANA - ",C1627),COTAÇÃO,5,FALSE),VLOOKUP($C1627,DESON!$A:$D,4,))</f>
        <v>47,31</v>
      </c>
      <c r="J1627" s="209">
        <f t="shared" si="139"/>
        <v>49.86</v>
      </c>
    </row>
    <row r="1628" spans="1:10" ht="15" customHeight="1">
      <c r="A1628" s="208" t="s">
        <v>39</v>
      </c>
      <c r="B1628" s="241"/>
      <c r="C1628" s="241">
        <v>34360</v>
      </c>
      <c r="D1628" s="161" t="s">
        <v>7325</v>
      </c>
      <c r="E1628" s="1194" t="s">
        <v>133</v>
      </c>
      <c r="F1628" s="242">
        <v>0.41599999999999998</v>
      </c>
      <c r="G1628" s="242">
        <f>IF(B1628="SEPLAG",VLOOKUP(CONCATENATE("MEDIANA - ",C1628),COTAÇÃO,5,FALSE),VLOOKUP($C1628,'NAO DESO'!$A:$D,4,))</f>
        <v>47.31</v>
      </c>
      <c r="H1628" s="242">
        <f t="shared" si="138"/>
        <v>19.68</v>
      </c>
      <c r="I1628" s="54" t="str">
        <f>IF(B1628="SEPLAG",VLOOKUP(CONCATENATE("MEDIANA - ",C1628),COTAÇÃO,5,FALSE),VLOOKUP($C1628,DESON!$A:$D,4,))</f>
        <v>47,31</v>
      </c>
      <c r="J1628" s="209">
        <f t="shared" si="139"/>
        <v>19.68</v>
      </c>
    </row>
    <row r="1629" spans="1:10" ht="15" customHeight="1">
      <c r="A1629" s="208" t="s">
        <v>39</v>
      </c>
      <c r="B1629" s="241"/>
      <c r="C1629" s="241">
        <v>34360</v>
      </c>
      <c r="D1629" s="161" t="s">
        <v>7326</v>
      </c>
      <c r="E1629" s="1194" t="s">
        <v>133</v>
      </c>
      <c r="F1629" s="242">
        <v>1.1040000000000001</v>
      </c>
      <c r="G1629" s="242">
        <f>IF(B1629="SEPLAG",VLOOKUP(CONCATENATE("MEDIANA - ",C1629),COTAÇÃO,5,FALSE),VLOOKUP($C1629,'NAO DESO'!$A:$D,4,))</f>
        <v>47.31</v>
      </c>
      <c r="H1629" s="242">
        <f t="shared" si="138"/>
        <v>52.23</v>
      </c>
      <c r="I1629" s="54" t="str">
        <f>IF(B1629="SEPLAG",VLOOKUP(CONCATENATE("MEDIANA - ",C1629),COTAÇÃO,5,FALSE),VLOOKUP($C1629,DESON!$A:$D,4,))</f>
        <v>47,31</v>
      </c>
      <c r="J1629" s="209">
        <f t="shared" si="139"/>
        <v>52.23</v>
      </c>
    </row>
    <row r="1630" spans="1:10" ht="15" customHeight="1">
      <c r="A1630" s="208" t="s">
        <v>39</v>
      </c>
      <c r="B1630" s="241"/>
      <c r="C1630" s="241">
        <v>34360</v>
      </c>
      <c r="D1630" s="161" t="s">
        <v>7327</v>
      </c>
      <c r="E1630" s="1194" t="s">
        <v>133</v>
      </c>
      <c r="F1630" s="242">
        <v>1.899</v>
      </c>
      <c r="G1630" s="242">
        <f>IF(B1630="SEPLAG",VLOOKUP(CONCATENATE("MEDIANA - ",C1630),COTAÇÃO,5,FALSE),VLOOKUP($C1630,'NAO DESO'!$A:$D,4,))</f>
        <v>47.31</v>
      </c>
      <c r="H1630" s="242">
        <f t="shared" si="138"/>
        <v>89.84</v>
      </c>
      <c r="I1630" s="54" t="str">
        <f>IF(B1630="SEPLAG",VLOOKUP(CONCATENATE("MEDIANA - ",C1630),COTAÇÃO,5,FALSE),VLOOKUP($C1630,DESON!$A:$D,4,))</f>
        <v>47,31</v>
      </c>
      <c r="J1630" s="209">
        <f t="shared" si="139"/>
        <v>89.84</v>
      </c>
    </row>
    <row r="1631" spans="1:10" ht="15" customHeight="1">
      <c r="A1631" s="208" t="s">
        <v>39</v>
      </c>
      <c r="B1631" s="241"/>
      <c r="C1631" s="241">
        <v>34360</v>
      </c>
      <c r="D1631" s="161" t="s">
        <v>7328</v>
      </c>
      <c r="E1631" s="1194" t="s">
        <v>133</v>
      </c>
      <c r="F1631" s="242">
        <v>0.98299999999999998</v>
      </c>
      <c r="G1631" s="242">
        <f>IF(B1631="SEPLAG",VLOOKUP(CONCATENATE("MEDIANA - ",C1631),COTAÇÃO,5,FALSE),VLOOKUP($C1631,'NAO DESO'!$A:$D,4,))</f>
        <v>47.31</v>
      </c>
      <c r="H1631" s="242">
        <f t="shared" si="138"/>
        <v>46.5</v>
      </c>
      <c r="I1631" s="54" t="str">
        <f>IF(B1631="SEPLAG",VLOOKUP(CONCATENATE("MEDIANA - ",C1631),COTAÇÃO,5,FALSE),VLOOKUP($C1631,DESON!$A:$D,4,))</f>
        <v>47,31</v>
      </c>
      <c r="J1631" s="209">
        <f t="shared" si="139"/>
        <v>46.5</v>
      </c>
    </row>
    <row r="1632" spans="1:10" ht="15" customHeight="1">
      <c r="A1632" s="208" t="s">
        <v>39</v>
      </c>
      <c r="B1632" s="241"/>
      <c r="C1632" s="241">
        <v>34360</v>
      </c>
      <c r="D1632" s="161" t="s">
        <v>7329</v>
      </c>
      <c r="E1632" s="1194" t="s">
        <v>133</v>
      </c>
      <c r="F1632" s="242"/>
      <c r="G1632" s="242">
        <f>IF(B1632="SEPLAG",VLOOKUP(CONCATENATE("MEDIANA - ",C1632),COTAÇÃO,5,FALSE),VLOOKUP($C1632,'NAO DESO'!$A:$D,4,))</f>
        <v>47.31</v>
      </c>
      <c r="H1632" s="242">
        <f>F1632*G1632</f>
        <v>0</v>
      </c>
      <c r="I1632" s="54" t="str">
        <f>IF(B1632="SEPLAG",VLOOKUP(CONCATENATE("MEDIANA - ",C1632),COTAÇÃO,5,FALSE),VLOOKUP($C1632,DESON!$A:$D,4,))</f>
        <v>47,31</v>
      </c>
      <c r="J1632" s="209">
        <f>F1632*I1632</f>
        <v>0</v>
      </c>
    </row>
    <row r="1633" spans="1:10" ht="15" customHeight="1">
      <c r="A1633" s="208" t="s">
        <v>39</v>
      </c>
      <c r="B1633" s="241"/>
      <c r="C1633" s="241">
        <v>34360</v>
      </c>
      <c r="D1633" s="161" t="s">
        <v>7330</v>
      </c>
      <c r="E1633" s="1194" t="s">
        <v>133</v>
      </c>
      <c r="F1633" s="242">
        <v>0</v>
      </c>
      <c r="G1633" s="242">
        <f>IF(B1633="SEPLAG",VLOOKUP(CONCATENATE("MEDIANA - ",C1633),COTAÇÃO,5,FALSE),VLOOKUP($C1633,'NAO DESO'!$A:$D,4,))</f>
        <v>47.31</v>
      </c>
      <c r="H1633" s="242">
        <f>F1633*G1633</f>
        <v>0</v>
      </c>
      <c r="I1633" s="54" t="str">
        <f>IF(B1633="SEPLAG",VLOOKUP(CONCATENATE("MEDIANA - ",C1633),COTAÇÃO,5,FALSE),VLOOKUP($C1633,DESON!$A:$D,4,))</f>
        <v>47,31</v>
      </c>
      <c r="J1633" s="209">
        <f>F1633*I1633</f>
        <v>0</v>
      </c>
    </row>
    <row r="1634" spans="1:10" ht="15" customHeight="1">
      <c r="A1634" s="208" t="s">
        <v>39</v>
      </c>
      <c r="B1634" s="241"/>
      <c r="C1634" s="241">
        <v>34360</v>
      </c>
      <c r="D1634" s="161" t="s">
        <v>7331</v>
      </c>
      <c r="E1634" s="1194" t="s">
        <v>133</v>
      </c>
      <c r="F1634" s="242">
        <v>3.7749999999999999</v>
      </c>
      <c r="G1634" s="242">
        <f>IF(B1634="SEPLAG",VLOOKUP(CONCATENATE("MEDIANA - ",C1634),COTAÇÃO,5,FALSE),VLOOKUP($C1634,'NAO DESO'!$A:$D,4,))</f>
        <v>47.31</v>
      </c>
      <c r="H1634" s="242">
        <f t="shared" ref="H1634:H1650" si="140">TRUNC(F1634*G1634,2)</f>
        <v>178.59</v>
      </c>
      <c r="I1634" s="54" t="str">
        <f>IF(B1634="SEPLAG",VLOOKUP(CONCATENATE("MEDIANA - ",C1634),COTAÇÃO,5,FALSE),VLOOKUP($C1634,DESON!$A:$D,4,))</f>
        <v>47,31</v>
      </c>
      <c r="J1634" s="209">
        <f t="shared" ref="J1634:J1650" si="141">TRUNC(F1634*I1634,2)</f>
        <v>178.59</v>
      </c>
    </row>
    <row r="1635" spans="1:10" ht="15" customHeight="1">
      <c r="A1635" s="208" t="s">
        <v>39</v>
      </c>
      <c r="B1635" s="241"/>
      <c r="C1635" s="241">
        <v>34360</v>
      </c>
      <c r="D1635" s="161" t="s">
        <v>7332</v>
      </c>
      <c r="E1635" s="1194" t="s">
        <v>133</v>
      </c>
      <c r="F1635" s="242">
        <v>0.29599999999999999</v>
      </c>
      <c r="G1635" s="242">
        <f>IF(B1635="SEPLAG",VLOOKUP(CONCATENATE("MEDIANA - ",C1635),COTAÇÃO,5,FALSE),VLOOKUP($C1635,'NAO DESO'!$A:$D,4,))</f>
        <v>47.31</v>
      </c>
      <c r="H1635" s="242">
        <f t="shared" si="140"/>
        <v>14</v>
      </c>
      <c r="I1635" s="54" t="str">
        <f>IF(B1635="SEPLAG",VLOOKUP(CONCATENATE("MEDIANA - ",C1635),COTAÇÃO,5,FALSE),VLOOKUP($C1635,DESON!$A:$D,4,))</f>
        <v>47,31</v>
      </c>
      <c r="J1635" s="209">
        <f t="shared" si="141"/>
        <v>14</v>
      </c>
    </row>
    <row r="1636" spans="1:10" ht="15" customHeight="1">
      <c r="A1636" s="208" t="s">
        <v>39</v>
      </c>
      <c r="B1636" s="241"/>
      <c r="C1636" s="241">
        <v>34360</v>
      </c>
      <c r="D1636" s="161" t="s">
        <v>7333</v>
      </c>
      <c r="E1636" s="1194" t="s">
        <v>133</v>
      </c>
      <c r="F1636" s="242">
        <v>0.98599999999999999</v>
      </c>
      <c r="G1636" s="242">
        <f>IF(B1636="SEPLAG",VLOOKUP(CONCATENATE("MEDIANA - ",C1636),COTAÇÃO,5,FALSE),VLOOKUP($C1636,'NAO DESO'!$A:$D,4,))</f>
        <v>47.31</v>
      </c>
      <c r="H1636" s="242">
        <f t="shared" si="140"/>
        <v>46.64</v>
      </c>
      <c r="I1636" s="54" t="str">
        <f>IF(B1636="SEPLAG",VLOOKUP(CONCATENATE("MEDIANA - ",C1636),COTAÇÃO,5,FALSE),VLOOKUP($C1636,DESON!$A:$D,4,))</f>
        <v>47,31</v>
      </c>
      <c r="J1636" s="209">
        <f t="shared" si="141"/>
        <v>46.64</v>
      </c>
    </row>
    <row r="1637" spans="1:10" ht="15" customHeight="1">
      <c r="A1637" s="208" t="s">
        <v>39</v>
      </c>
      <c r="B1637" s="241" t="s">
        <v>14504</v>
      </c>
      <c r="C1637" s="1181" t="s">
        <v>14307</v>
      </c>
      <c r="D1637" s="161" t="str">
        <f>IF(B1637="SEPLAG",VLOOKUP(COMPOSIÇÕES!C1637,'MAPA COMPARATIVO'!A:B,2,FALSE),VLOOKUP(C1637,'NAO DESO'!A:B,2,0))</f>
        <v xml:space="preserve">Braço de max-ar linha gold de 600mm </v>
      </c>
      <c r="E1637" s="1194" t="s">
        <v>24</v>
      </c>
      <c r="F1637" s="242">
        <v>4</v>
      </c>
      <c r="G1637" s="242">
        <f>IF(B1637="SEPLAG",VLOOKUP(CONCATENATE("MEDIANA - ",C1637),COTAÇÃO,5,FALSE),VLOOKUP($C1637,'NAO DESO'!$A:$D,4,))</f>
        <v>36.575000000000003</v>
      </c>
      <c r="H1637" s="242">
        <f t="shared" si="140"/>
        <v>146.30000000000001</v>
      </c>
      <c r="I1637" s="54">
        <f>IF(B1637="SEPLAG",VLOOKUP(CONCATENATE("MEDIANA - ",C1637),COTAÇÃO,5,FALSE),VLOOKUP($C1637,DESON!$A:$D,4,))</f>
        <v>36.575000000000003</v>
      </c>
      <c r="J1637" s="209">
        <f t="shared" si="141"/>
        <v>146.30000000000001</v>
      </c>
    </row>
    <row r="1638" spans="1:10" ht="15" customHeight="1">
      <c r="A1638" s="208" t="s">
        <v>39</v>
      </c>
      <c r="B1638" s="241" t="s">
        <v>14504</v>
      </c>
      <c r="C1638" s="1181" t="s">
        <v>14308</v>
      </c>
      <c r="D1638" s="161" t="str">
        <f>IF(B1638="SEPLAG",VLOOKUP(COMPOSIÇÕES!C1638,'MAPA COMPARATIVO'!A:B,2,FALSE),VLOOKUP(C1638,'NAO DESO'!A:B,2,0))</f>
        <v>Fecho max-ar linha gold</v>
      </c>
      <c r="E1638" s="1194" t="s">
        <v>24</v>
      </c>
      <c r="F1638" s="242">
        <v>4</v>
      </c>
      <c r="G1638" s="242">
        <f>IF(B1638="SEPLAG",VLOOKUP(CONCATENATE("MEDIANA - ",C1638),COTAÇÃO,5,FALSE),VLOOKUP($C1638,'NAO DESO'!$A:$D,4,))</f>
        <v>47.36</v>
      </c>
      <c r="H1638" s="242">
        <f t="shared" si="140"/>
        <v>189.44</v>
      </c>
      <c r="I1638" s="54">
        <f>IF(B1638="SEPLAG",VLOOKUP(CONCATENATE("MEDIANA - ",C1638),COTAÇÃO,5,FALSE),VLOOKUP($C1638,DESON!$A:$D,4,))</f>
        <v>47.36</v>
      </c>
      <c r="J1638" s="209">
        <f t="shared" si="141"/>
        <v>189.44</v>
      </c>
    </row>
    <row r="1639" spans="1:10" ht="15" customHeight="1">
      <c r="A1639" s="208" t="s">
        <v>39</v>
      </c>
      <c r="B1639" s="241" t="s">
        <v>14504</v>
      </c>
      <c r="C1639" s="1181" t="s">
        <v>14309</v>
      </c>
      <c r="D1639" s="161" t="str">
        <f>IF(B1639="SEPLAG",VLOOKUP(COMPOSIÇÕES!C1639,'MAPA COMPARATIVO'!A:B,2,FALSE),VLOOKUP(C1639,'NAO DESO'!A:B,2,0))</f>
        <v>Guarnição em EPDM p/ pingadeira</v>
      </c>
      <c r="E1639" s="1194" t="s">
        <v>7388</v>
      </c>
      <c r="F1639" s="242">
        <v>1.8720000000000001</v>
      </c>
      <c r="G1639" s="242">
        <f>IF(B1639="SEPLAG",VLOOKUP(CONCATENATE("MEDIANA - ",C1639),COTAÇÃO,5,FALSE),VLOOKUP($C1639,'NAO DESO'!$A:$D,4,))</f>
        <v>4.3849999999999998</v>
      </c>
      <c r="H1639" s="242">
        <f t="shared" si="140"/>
        <v>8.1999999999999993</v>
      </c>
      <c r="I1639" s="54">
        <f>IF(B1639="SEPLAG",VLOOKUP(CONCATENATE("MEDIANA - ",C1639),COTAÇÃO,5,FALSE),VLOOKUP($C1639,DESON!$A:$D,4,))</f>
        <v>4.3849999999999998</v>
      </c>
      <c r="J1639" s="209">
        <f t="shared" si="141"/>
        <v>8.1999999999999993</v>
      </c>
    </row>
    <row r="1640" spans="1:10" ht="15" customHeight="1">
      <c r="A1640" s="208" t="s">
        <v>39</v>
      </c>
      <c r="B1640" s="241" t="s">
        <v>14504</v>
      </c>
      <c r="C1640" s="1181" t="s">
        <v>14310</v>
      </c>
      <c r="D1640" s="161" t="str">
        <f>IF(B1640="SEPLAG",VLOOKUP(COMPOSIÇÕES!C1640,'MAPA COMPARATIVO'!A:B,2,FALSE),VLOOKUP(C1640,'NAO DESO'!A:B,2,0))</f>
        <v>Guarnição em EPDM para vidro</v>
      </c>
      <c r="E1640" s="1194" t="s">
        <v>250</v>
      </c>
      <c r="F1640" s="242">
        <v>7.14</v>
      </c>
      <c r="G1640" s="242">
        <f>IF(B1640="SEPLAG",VLOOKUP(CONCATENATE("MEDIANA - ",C1640),COTAÇÃO,5,FALSE),VLOOKUP($C1640,'NAO DESO'!$A:$D,4,))</f>
        <v>2.4091999999999998</v>
      </c>
      <c r="H1640" s="242">
        <f t="shared" si="140"/>
        <v>17.2</v>
      </c>
      <c r="I1640" s="54">
        <f>IF(B1640="SEPLAG",VLOOKUP(CONCATENATE("MEDIANA - ",C1640),COTAÇÃO,5,FALSE),VLOOKUP($C1640,DESON!$A:$D,4,))</f>
        <v>2.4091999999999998</v>
      </c>
      <c r="J1640" s="209">
        <f t="shared" si="141"/>
        <v>17.2</v>
      </c>
    </row>
    <row r="1641" spans="1:10" ht="15" customHeight="1">
      <c r="A1641" s="208" t="s">
        <v>39</v>
      </c>
      <c r="B1641" s="241" t="s">
        <v>14504</v>
      </c>
      <c r="C1641" s="1181" t="s">
        <v>14311</v>
      </c>
      <c r="D1641" s="161" t="str">
        <f>IF(B1641="SEPLAG",VLOOKUP(COMPOSIÇÕES!C1641,'MAPA COMPARATIVO'!A:B,2,FALSE),VLOOKUP(C1641,'NAO DESO'!A:B,2,0))</f>
        <v>Espuma adesiva 1 face</v>
      </c>
      <c r="E1641" s="1194" t="s">
        <v>250</v>
      </c>
      <c r="F1641" s="242">
        <v>7.14</v>
      </c>
      <c r="G1641" s="242">
        <f>IF(B1641="SEPLAG",VLOOKUP(CONCATENATE("MEDIANA - ",C1641),COTAÇÃO,5,FALSE),VLOOKUP($C1641,'NAO DESO'!$A:$D,4,))</f>
        <v>2.1800000000000002</v>
      </c>
      <c r="H1641" s="242">
        <f t="shared" si="140"/>
        <v>15.56</v>
      </c>
      <c r="I1641" s="54">
        <f>IF(B1641="SEPLAG",VLOOKUP(CONCATENATE("MEDIANA - ",C1641),COTAÇÃO,5,FALSE),VLOOKUP($C1641,DESON!$A:$D,4,))</f>
        <v>2.1800000000000002</v>
      </c>
      <c r="J1641" s="209">
        <f t="shared" si="141"/>
        <v>15.56</v>
      </c>
    </row>
    <row r="1642" spans="1:10" ht="15" customHeight="1">
      <c r="A1642" s="208" t="s">
        <v>39</v>
      </c>
      <c r="B1642" s="241" t="s">
        <v>14504</v>
      </c>
      <c r="C1642" s="1181" t="s">
        <v>14312</v>
      </c>
      <c r="D1642" s="161" t="str">
        <f>IF(B1642="SEPLAG",VLOOKUP(COMPOSIÇÕES!C1642,'MAPA COMPARATIVO'!A:B,2,FALSE),VLOOKUP(C1642,'NAO DESO'!A:B,2,0))</f>
        <v>Guarnição em EPDM p/ marco max-ar</v>
      </c>
      <c r="E1642" s="1194" t="s">
        <v>250</v>
      </c>
      <c r="F1642" s="242">
        <v>13.94</v>
      </c>
      <c r="G1642" s="242">
        <f>IF(B1642="SEPLAG",VLOOKUP(CONCATENATE("MEDIANA - ",C1642),COTAÇÃO,5,FALSE),VLOOKUP($C1642,'NAO DESO'!$A:$D,4,))</f>
        <v>3.8138999999999998</v>
      </c>
      <c r="H1642" s="242">
        <f t="shared" si="140"/>
        <v>53.16</v>
      </c>
      <c r="I1642" s="54">
        <f>IF(B1642="SEPLAG",VLOOKUP(CONCATENATE("MEDIANA - ",C1642),COTAÇÃO,5,FALSE),VLOOKUP($C1642,DESON!$A:$D,4,))</f>
        <v>3.8138999999999998</v>
      </c>
      <c r="J1642" s="209">
        <f t="shared" si="141"/>
        <v>53.16</v>
      </c>
    </row>
    <row r="1643" spans="1:10" ht="15" customHeight="1">
      <c r="A1643" s="208" t="s">
        <v>39</v>
      </c>
      <c r="B1643" s="241" t="s">
        <v>14504</v>
      </c>
      <c r="C1643" s="1181" t="s">
        <v>14313</v>
      </c>
      <c r="D1643" s="161" t="str">
        <f>IF(B1643="SEPLAG",VLOOKUP(COMPOSIÇÕES!C1643,'MAPA COMPARATIVO'!A:B,2,FALSE),VLOOKUP(C1643,'NAO DESO'!A:B,2,0))</f>
        <v>PRESILHA DE FIXAÇÃO DO ARREMATE MP-347</v>
      </c>
      <c r="E1643" s="1194" t="s">
        <v>24</v>
      </c>
      <c r="F1643" s="242">
        <v>14</v>
      </c>
      <c r="G1643" s="242">
        <f>IF(B1643="SEPLAG",VLOOKUP(CONCATENATE("MEDIANA - ",C1643),COTAÇÃO,5,FALSE),VLOOKUP($C1643,'NAO DESO'!$A:$D,4,))</f>
        <v>0.34</v>
      </c>
      <c r="H1643" s="242">
        <f t="shared" si="140"/>
        <v>4.76</v>
      </c>
      <c r="I1643" s="54">
        <f>IF(B1643="SEPLAG",VLOOKUP(CONCATENATE("MEDIANA - ",C1643),COTAÇÃO,5,FALSE),VLOOKUP($C1643,DESON!$A:$D,4,))</f>
        <v>0.34</v>
      </c>
      <c r="J1643" s="209">
        <f t="shared" si="141"/>
        <v>4.76</v>
      </c>
    </row>
    <row r="1644" spans="1:10" ht="15" customHeight="1">
      <c r="A1644" s="208" t="s">
        <v>39</v>
      </c>
      <c r="B1644" s="241" t="s">
        <v>14504</v>
      </c>
      <c r="C1644" s="1181" t="s">
        <v>14314</v>
      </c>
      <c r="D1644" s="161" t="str">
        <f>IF(B1644="SEPLAG",VLOOKUP(COMPOSIÇÕES!C1644,'MAPA COMPARATIVO'!A:B,2,FALSE),VLOOKUP(C1644,'NAO DESO'!A:B,2,0))</f>
        <v>Parafuso zincado phillips flangeado autobrocante 4,2 x 16mm</v>
      </c>
      <c r="E1644" s="1194" t="s">
        <v>24</v>
      </c>
      <c r="F1644" s="242">
        <v>14</v>
      </c>
      <c r="G1644" s="242">
        <f>IF(B1644="SEPLAG",VLOOKUP(CONCATENATE("MEDIANA - ",C1644),COTAÇÃO,5,FALSE),VLOOKUP($C1644,'NAO DESO'!$A:$D,4,))</f>
        <v>0.28000000000000003</v>
      </c>
      <c r="H1644" s="242">
        <f t="shared" si="140"/>
        <v>3.92</v>
      </c>
      <c r="I1644" s="54">
        <f>IF(B1644="SEPLAG",VLOOKUP(CONCATENATE("MEDIANA - ",C1644),COTAÇÃO,5,FALSE),VLOOKUP($C1644,DESON!$A:$D,4,))</f>
        <v>0.28000000000000003</v>
      </c>
      <c r="J1644" s="209">
        <f t="shared" si="141"/>
        <v>3.92</v>
      </c>
    </row>
    <row r="1645" spans="1:10" ht="15" customHeight="1">
      <c r="A1645" s="208" t="s">
        <v>39</v>
      </c>
      <c r="B1645" s="241" t="s">
        <v>14504</v>
      </c>
      <c r="C1645" s="1181" t="s">
        <v>14315</v>
      </c>
      <c r="D1645" s="161" t="str">
        <f>IF(B1645="SEPLAG",VLOOKUP(COMPOSIÇÕES!C1645,'MAPA COMPARATIVO'!A:B,2,FALSE),VLOOKUP(C1645,'NAO DESO'!A:B,2,0))</f>
        <v>PARAF. PANELA PHILIPS INOX 4,8 X32 PONTA PILOTO</v>
      </c>
      <c r="E1645" s="1194" t="s">
        <v>24</v>
      </c>
      <c r="F1645" s="242">
        <v>12</v>
      </c>
      <c r="G1645" s="242">
        <f>IF(B1645="SEPLAG",VLOOKUP(CONCATENATE("MEDIANA - ",C1645),COTAÇÃO,5,FALSE),VLOOKUP($C1645,'NAO DESO'!$A:$D,4,))</f>
        <v>0.95</v>
      </c>
      <c r="H1645" s="242">
        <f t="shared" si="140"/>
        <v>11.4</v>
      </c>
      <c r="I1645" s="54">
        <f>IF(B1645="SEPLAG",VLOOKUP(CONCATENATE("MEDIANA - ",C1645),COTAÇÃO,5,FALSE),VLOOKUP($C1645,DESON!$A:$D,4,))</f>
        <v>0.95</v>
      </c>
      <c r="J1645" s="209">
        <f t="shared" si="141"/>
        <v>11.4</v>
      </c>
    </row>
    <row r="1646" spans="1:10" ht="15" customHeight="1">
      <c r="A1646" s="208" t="s">
        <v>39</v>
      </c>
      <c r="B1646" s="241" t="s">
        <v>14504</v>
      </c>
      <c r="C1646" s="1181" t="s">
        <v>14316</v>
      </c>
      <c r="D1646" s="161" t="str">
        <f>IF(B1646="SEPLAG",VLOOKUP(COMPOSIÇÕES!C1646,'MAPA COMPARATIVO'!A:B,2,FALSE),VLOOKUP(C1646,'NAO DESO'!A:B,2,0))</f>
        <v>CHUMBADOR DE CM-063/060</v>
      </c>
      <c r="E1646" s="1194" t="s">
        <v>24</v>
      </c>
      <c r="F1646" s="242">
        <v>14</v>
      </c>
      <c r="G1646" s="242">
        <f>IF(B1646="SEPLAG",VLOOKUP(CONCATENATE("MEDIANA - ",C1646),COTAÇÃO,5,FALSE),VLOOKUP($C1646,'NAO DESO'!$A:$D,4,))</f>
        <v>0.86</v>
      </c>
      <c r="H1646" s="242">
        <f t="shared" si="140"/>
        <v>12.04</v>
      </c>
      <c r="I1646" s="54">
        <f>IF(B1646="SEPLAG",VLOOKUP(CONCATENATE("MEDIANA - ",C1646),COTAÇÃO,5,FALSE),VLOOKUP($C1646,DESON!$A:$D,4,))</f>
        <v>0.86</v>
      </c>
      <c r="J1646" s="209">
        <f t="shared" si="141"/>
        <v>12.04</v>
      </c>
    </row>
    <row r="1647" spans="1:10" ht="15" customHeight="1">
      <c r="A1647" s="208" t="s">
        <v>39</v>
      </c>
      <c r="B1647" s="241" t="s">
        <v>14504</v>
      </c>
      <c r="C1647" s="1181" t="s">
        <v>14317</v>
      </c>
      <c r="D1647" s="161" t="str">
        <f>IF(B1647="SEPLAG",VLOOKUP(COMPOSIÇÕES!C1647,'MAPA COMPARATIVO'!A:B,2,FALSE),VLOOKUP(C1647,'NAO DESO'!A:B,2,0))</f>
        <v>Silicone neutro incolor 280 g</v>
      </c>
      <c r="E1647" s="1194" t="s">
        <v>24</v>
      </c>
      <c r="F1647" s="242">
        <v>2</v>
      </c>
      <c r="G1647" s="242">
        <f>IF(B1647="SEPLAG",VLOOKUP(CONCATENATE("MEDIANA - ",C1647),COTAÇÃO,5,FALSE),VLOOKUP($C1647,'NAO DESO'!$A:$D,4,))</f>
        <v>43.9</v>
      </c>
      <c r="H1647" s="242">
        <f t="shared" si="140"/>
        <v>87.8</v>
      </c>
      <c r="I1647" s="54">
        <f>IF(B1647="SEPLAG",VLOOKUP(CONCATENATE("MEDIANA - ",C1647),COTAÇÃO,5,FALSE),VLOOKUP($C1647,DESON!$A:$D,4,))</f>
        <v>43.9</v>
      </c>
      <c r="J1647" s="209">
        <f t="shared" si="141"/>
        <v>87.8</v>
      </c>
    </row>
    <row r="1648" spans="1:10" ht="15" customHeight="1">
      <c r="A1648" s="208" t="s">
        <v>245</v>
      </c>
      <c r="B1648" s="241"/>
      <c r="C1648" s="1181">
        <v>10505</v>
      </c>
      <c r="D1648" s="161" t="str">
        <f>IF(B1648="SEPLAG",VLOOKUP(COMPOSIÇÕES!C1648,'MAPA COMPARATIVO'!A:B,2,FALSE),VLOOKUP(C1648,'NAO DESO'!A:B,2,0))</f>
        <v>VIDRO TEMPERADO INCOLOR E = 6 MM, SEM COLOCACAO</v>
      </c>
      <c r="E1648" s="241" t="str">
        <f>VLOOKUP($C1648,'NAO DESO'!$A:$D,3,)</f>
        <v xml:space="preserve">M2    </v>
      </c>
      <c r="F1648" s="242">
        <v>0.95</v>
      </c>
      <c r="G1648" s="242">
        <f>IF(B1648="SEPLAG",VLOOKUP(CONCATENATE("MEDIANA - ",C1648),COTAÇÃO,5,FALSE),VLOOKUP($C1648,'NAO DESO'!$A:$D,4,))</f>
        <v>272.77</v>
      </c>
      <c r="H1648" s="242">
        <f t="shared" si="140"/>
        <v>259.13</v>
      </c>
      <c r="I1648" s="54" t="str">
        <f>IF(B1648="SEPLAG",VLOOKUP(CONCATENATE("MEDIANA - ",C1648),COTAÇÃO,5,FALSE),VLOOKUP($C1648,DESON!$A:$D,4,))</f>
        <v>272,77</v>
      </c>
      <c r="J1648" s="209">
        <f t="shared" si="141"/>
        <v>259.13</v>
      </c>
    </row>
    <row r="1649" spans="1:10" ht="15" customHeight="1">
      <c r="A1649" s="208" t="s">
        <v>245</v>
      </c>
      <c r="B1649" s="241"/>
      <c r="C1649" s="1181">
        <v>88315</v>
      </c>
      <c r="D1649" s="161" t="str">
        <f>IF(B1649="SEPLAG",VLOOKUP(COMPOSIÇÕES!C1649,'MAPA COMPARATIVO'!A:B,2,FALSE),VLOOKUP(C1649,'NAO DESO'!A:B,2,0))</f>
        <v>SERRALHEIRO COM ENCARGOS COMPLEMENTARES</v>
      </c>
      <c r="E1649" s="241" t="str">
        <f>VLOOKUP($C1649,'NAO DESO'!$A:$D,3,)</f>
        <v>H</v>
      </c>
      <c r="F1649" s="242">
        <v>3.1</v>
      </c>
      <c r="G1649" s="242" t="str">
        <f>IF(B1649="SEPLAG",VLOOKUP(CONCATENATE("MEDIANA - ",C1649),COTAÇÃO,5,FALSE),VLOOKUP($C1649,'NAO DESO'!$A:$D,4,))</f>
        <v>20,97</v>
      </c>
      <c r="H1649" s="242">
        <f t="shared" si="140"/>
        <v>65</v>
      </c>
      <c r="I1649" s="54" t="str">
        <f>IF(B1649="SEPLAG",VLOOKUP(CONCATENATE("MEDIANA - ",C1649),COTAÇÃO,5,FALSE),VLOOKUP($C1649,DESON!$A:$D,4,))</f>
        <v>18,75</v>
      </c>
      <c r="J1649" s="209">
        <f t="shared" si="141"/>
        <v>58.12</v>
      </c>
    </row>
    <row r="1650" spans="1:10" ht="15" customHeight="1">
      <c r="A1650" s="208" t="s">
        <v>245</v>
      </c>
      <c r="B1650" s="241"/>
      <c r="C1650" s="1181">
        <v>88316</v>
      </c>
      <c r="D1650" s="161" t="str">
        <f>IF(B1650="SEPLAG",VLOOKUP(COMPOSIÇÕES!C1650,'MAPA COMPARATIVO'!A:B,2,FALSE),VLOOKUP(C1650,'NAO DESO'!A:B,2,0))</f>
        <v>SERVENTE COM ENCARGOS COMPLEMENTARES</v>
      </c>
      <c r="E1650" s="241" t="str">
        <f>VLOOKUP($C1650,'NAO DESO'!$A:$D,3,)</f>
        <v>H</v>
      </c>
      <c r="F1650" s="242">
        <v>3.1</v>
      </c>
      <c r="G1650" s="242" t="str">
        <f>IF(B1650="SEPLAG",VLOOKUP(CONCATENATE("MEDIANA - ",C1650),COTAÇÃO,5,FALSE),VLOOKUP($C1650,'NAO DESO'!$A:$D,4,))</f>
        <v>16,83</v>
      </c>
      <c r="H1650" s="242">
        <f t="shared" si="140"/>
        <v>52.17</v>
      </c>
      <c r="I1650" s="54" t="str">
        <f>IF(B1650="SEPLAG",VLOOKUP(CONCATENATE("MEDIANA - ",C1650),COTAÇÃO,5,FALSE),VLOOKUP($C1650,DESON!$A:$D,4,))</f>
        <v>15,16</v>
      </c>
      <c r="J1650" s="209">
        <f t="shared" si="141"/>
        <v>46.99</v>
      </c>
    </row>
    <row r="1651" spans="1:10" ht="15" customHeight="1">
      <c r="A1651" s="210" t="str">
        <f>CONCATENATE("TOTAL DO ITEM NÃO DESON. - ",C1624)</f>
        <v>TOTAL DO ITEM NÃO DESON. - SEPLAG  ARQ 98</v>
      </c>
      <c r="B1651" s="424"/>
      <c r="C1651" s="424"/>
      <c r="D1651" s="424"/>
      <c r="E1651" s="424"/>
      <c r="F1651" s="425"/>
      <c r="G1651" s="426"/>
      <c r="H1651" s="1182">
        <f>SUM(H1626:H1650)</f>
        <v>1470.25</v>
      </c>
      <c r="I1651" s="214"/>
      <c r="J1651" s="215"/>
    </row>
    <row r="1652" spans="1:10" ht="15.75" customHeight="1" thickBot="1">
      <c r="A1652" s="216" t="str">
        <f>CONCATENATE("TOTAL DO ITEM DESON. - ",C1624)</f>
        <v>TOTAL DO ITEM DESON. - SEPLAG  ARQ 98</v>
      </c>
      <c r="B1652" s="427"/>
      <c r="C1652" s="427"/>
      <c r="D1652" s="427"/>
      <c r="E1652" s="427"/>
      <c r="F1652" s="428"/>
      <c r="G1652" s="429"/>
      <c r="H1652" s="1187"/>
      <c r="I1652" s="229"/>
      <c r="J1652" s="219">
        <f>SUM(J1626:J1650)</f>
        <v>1458.1899999999998</v>
      </c>
    </row>
    <row r="1653" spans="1:10" ht="15" customHeight="1" thickBot="1">
      <c r="A1653" s="235"/>
      <c r="B1653" s="1135"/>
      <c r="C1653" s="1135"/>
      <c r="D1653" s="1135"/>
      <c r="E1653" s="1135"/>
      <c r="F1653" s="1188"/>
      <c r="G1653" s="1188"/>
      <c r="H1653" s="1188"/>
      <c r="I1653" s="236"/>
      <c r="J1653" s="237"/>
    </row>
    <row r="1654" spans="1:10" ht="33" customHeight="1">
      <c r="A1654" s="198"/>
      <c r="B1654" s="1175"/>
      <c r="C1654" s="1176" t="s">
        <v>7387</v>
      </c>
      <c r="D1654" s="156" t="s">
        <v>7660</v>
      </c>
      <c r="E1654" s="1176" t="s">
        <v>32</v>
      </c>
      <c r="F1654" s="1177" t="s">
        <v>18</v>
      </c>
      <c r="G1654" s="1178" t="s">
        <v>7017</v>
      </c>
      <c r="H1654" s="1179"/>
      <c r="I1654" s="200" t="s">
        <v>7016</v>
      </c>
      <c r="J1654" s="201"/>
    </row>
    <row r="1655" spans="1:10" ht="15" customHeight="1">
      <c r="A1655" s="233"/>
      <c r="B1655" s="247"/>
      <c r="C1655" s="1155"/>
      <c r="D1655" s="157"/>
      <c r="E1655" s="1155"/>
      <c r="F1655" s="1180"/>
      <c r="G1655" s="1180" t="s">
        <v>19</v>
      </c>
      <c r="H1655" s="1180" t="s">
        <v>20</v>
      </c>
      <c r="I1655" s="205" t="s">
        <v>19</v>
      </c>
      <c r="J1655" s="206" t="s">
        <v>20</v>
      </c>
    </row>
    <row r="1656" spans="1:10" ht="15" customHeight="1">
      <c r="A1656" s="208" t="s">
        <v>39</v>
      </c>
      <c r="B1656" s="241"/>
      <c r="C1656" s="241">
        <v>34360</v>
      </c>
      <c r="D1656" s="161" t="s">
        <v>7323</v>
      </c>
      <c r="E1656" s="1194" t="s">
        <v>133</v>
      </c>
      <c r="F1656" s="242">
        <v>2.4139999999999997</v>
      </c>
      <c r="G1656" s="242">
        <f>IF(B1656="SEPLAG",VLOOKUP(CONCATENATE("MEDIANA - ",C1656),COTAÇÃO,5,FALSE),VLOOKUP($C1656,'NAO DESO'!$A:$D,4,))</f>
        <v>47.31</v>
      </c>
      <c r="H1656" s="242">
        <f t="shared" ref="H1656:H1680" si="142">TRUNC(F1656*G1656,2)</f>
        <v>114.2</v>
      </c>
      <c r="I1656" s="54" t="str">
        <f>IF(B1656="SEPLAG",VLOOKUP(CONCATENATE("MEDIANA - ",C1656),COTAÇÃO,5,FALSE),VLOOKUP($C1656,DESON!$A:$D,4,))</f>
        <v>47,31</v>
      </c>
      <c r="J1656" s="209">
        <f t="shared" ref="J1656:J1680" si="143">TRUNC(F1656*I1656,2)</f>
        <v>114.2</v>
      </c>
    </row>
    <row r="1657" spans="1:10" ht="15" customHeight="1">
      <c r="A1657" s="208" t="s">
        <v>39</v>
      </c>
      <c r="B1657" s="241"/>
      <c r="C1657" s="241">
        <v>34360</v>
      </c>
      <c r="D1657" s="161" t="s">
        <v>7324</v>
      </c>
      <c r="E1657" s="1194" t="s">
        <v>133</v>
      </c>
      <c r="F1657" s="242">
        <v>0.69200000000000006</v>
      </c>
      <c r="G1657" s="242">
        <f>IF(B1657="SEPLAG",VLOOKUP(CONCATENATE("MEDIANA - ",C1657),COTAÇÃO,5,FALSE),VLOOKUP($C1657,'NAO DESO'!$A:$D,4,))</f>
        <v>47.31</v>
      </c>
      <c r="H1657" s="242">
        <f t="shared" si="142"/>
        <v>32.729999999999997</v>
      </c>
      <c r="I1657" s="54" t="str">
        <f>IF(B1657="SEPLAG",VLOOKUP(CONCATENATE("MEDIANA - ",C1657),COTAÇÃO,5,FALSE),VLOOKUP($C1657,DESON!$A:$D,4,))</f>
        <v>47,31</v>
      </c>
      <c r="J1657" s="209">
        <f t="shared" si="143"/>
        <v>32.729999999999997</v>
      </c>
    </row>
    <row r="1658" spans="1:10" ht="15" customHeight="1">
      <c r="A1658" s="208" t="s">
        <v>39</v>
      </c>
      <c r="B1658" s="241"/>
      <c r="C1658" s="241">
        <v>34360</v>
      </c>
      <c r="D1658" s="161" t="s">
        <v>7325</v>
      </c>
      <c r="E1658" s="1194" t="s">
        <v>133</v>
      </c>
      <c r="F1658" s="242">
        <v>0.27300000000000002</v>
      </c>
      <c r="G1658" s="242">
        <f>IF(B1658="SEPLAG",VLOOKUP(CONCATENATE("MEDIANA - ",C1658),COTAÇÃO,5,FALSE),VLOOKUP($C1658,'NAO DESO'!$A:$D,4,))</f>
        <v>47.31</v>
      </c>
      <c r="H1658" s="242">
        <f t="shared" si="142"/>
        <v>12.91</v>
      </c>
      <c r="I1658" s="54" t="str">
        <f>IF(B1658="SEPLAG",VLOOKUP(CONCATENATE("MEDIANA - ",C1658),COTAÇÃO,5,FALSE),VLOOKUP($C1658,DESON!$A:$D,4,))</f>
        <v>47,31</v>
      </c>
      <c r="J1658" s="209">
        <f t="shared" si="143"/>
        <v>12.91</v>
      </c>
    </row>
    <row r="1659" spans="1:10" ht="15" customHeight="1">
      <c r="A1659" s="208" t="s">
        <v>39</v>
      </c>
      <c r="B1659" s="241"/>
      <c r="C1659" s="241">
        <v>34360</v>
      </c>
      <c r="D1659" s="161" t="s">
        <v>7326</v>
      </c>
      <c r="E1659" s="1194" t="s">
        <v>133</v>
      </c>
      <c r="F1659" s="242">
        <v>1.831</v>
      </c>
      <c r="G1659" s="242">
        <f>IF(B1659="SEPLAG",VLOOKUP(CONCATENATE("MEDIANA - ",C1659),COTAÇÃO,5,FALSE),VLOOKUP($C1659,'NAO DESO'!$A:$D,4,))</f>
        <v>47.31</v>
      </c>
      <c r="H1659" s="242">
        <f t="shared" si="142"/>
        <v>86.62</v>
      </c>
      <c r="I1659" s="54" t="str">
        <f>IF(B1659="SEPLAG",VLOOKUP(CONCATENATE("MEDIANA - ",C1659),COTAÇÃO,5,FALSE),VLOOKUP($C1659,DESON!$A:$D,4,))</f>
        <v>47,31</v>
      </c>
      <c r="J1659" s="209">
        <f t="shared" si="143"/>
        <v>86.62</v>
      </c>
    </row>
    <row r="1660" spans="1:10" ht="15" customHeight="1">
      <c r="A1660" s="208" t="s">
        <v>39</v>
      </c>
      <c r="B1660" s="241"/>
      <c r="C1660" s="241">
        <v>34360</v>
      </c>
      <c r="D1660" s="161" t="s">
        <v>7327</v>
      </c>
      <c r="E1660" s="1194" t="s">
        <v>133</v>
      </c>
      <c r="F1660" s="242">
        <v>3.1790000000000003</v>
      </c>
      <c r="G1660" s="242">
        <f>IF(B1660="SEPLAG",VLOOKUP(CONCATENATE("MEDIANA - ",C1660),COTAÇÃO,5,FALSE),VLOOKUP($C1660,'NAO DESO'!$A:$D,4,))</f>
        <v>47.31</v>
      </c>
      <c r="H1660" s="242">
        <f t="shared" si="142"/>
        <v>150.38999999999999</v>
      </c>
      <c r="I1660" s="54" t="str">
        <f>IF(B1660="SEPLAG",VLOOKUP(CONCATENATE("MEDIANA - ",C1660),COTAÇÃO,5,FALSE),VLOOKUP($C1660,DESON!$A:$D,4,))</f>
        <v>47,31</v>
      </c>
      <c r="J1660" s="209">
        <f t="shared" si="143"/>
        <v>150.38999999999999</v>
      </c>
    </row>
    <row r="1661" spans="1:10" ht="15" customHeight="1">
      <c r="A1661" s="208" t="s">
        <v>39</v>
      </c>
      <c r="B1661" s="241"/>
      <c r="C1661" s="241">
        <v>34360</v>
      </c>
      <c r="D1661" s="161" t="s">
        <v>7328</v>
      </c>
      <c r="E1661" s="1194" t="s">
        <v>133</v>
      </c>
      <c r="F1661" s="242">
        <v>1.24</v>
      </c>
      <c r="G1661" s="242">
        <f>IF(B1661="SEPLAG",VLOOKUP(CONCATENATE("MEDIANA - ",C1661),COTAÇÃO,5,FALSE),VLOOKUP($C1661,'NAO DESO'!$A:$D,4,))</f>
        <v>47.31</v>
      </c>
      <c r="H1661" s="242">
        <f t="shared" si="142"/>
        <v>58.66</v>
      </c>
      <c r="I1661" s="54" t="str">
        <f>IF(B1661="SEPLAG",VLOOKUP(CONCATENATE("MEDIANA - ",C1661),COTAÇÃO,5,FALSE),VLOOKUP($C1661,DESON!$A:$D,4,))</f>
        <v>47,31</v>
      </c>
      <c r="J1661" s="209">
        <f t="shared" si="143"/>
        <v>58.66</v>
      </c>
    </row>
    <row r="1662" spans="1:10" ht="15" customHeight="1">
      <c r="A1662" s="208" t="s">
        <v>39</v>
      </c>
      <c r="B1662" s="241"/>
      <c r="C1662" s="241">
        <v>34360</v>
      </c>
      <c r="D1662" s="161" t="s">
        <v>7329</v>
      </c>
      <c r="E1662" s="1194" t="s">
        <v>133</v>
      </c>
      <c r="F1662" s="242">
        <v>1.6659999999999999</v>
      </c>
      <c r="G1662" s="242">
        <f>IF(B1662="SEPLAG",VLOOKUP(CONCATENATE("MEDIANA - ",C1662),COTAÇÃO,5,FALSE),VLOOKUP($C1662,'NAO DESO'!$A:$D,4,))</f>
        <v>47.31</v>
      </c>
      <c r="H1662" s="242">
        <f t="shared" si="142"/>
        <v>78.81</v>
      </c>
      <c r="I1662" s="54" t="str">
        <f>IF(B1662="SEPLAG",VLOOKUP(CONCATENATE("MEDIANA - ",C1662),COTAÇÃO,5,FALSE),VLOOKUP($C1662,DESON!$A:$D,4,))</f>
        <v>47,31</v>
      </c>
      <c r="J1662" s="209">
        <f t="shared" si="143"/>
        <v>78.81</v>
      </c>
    </row>
    <row r="1663" spans="1:10" ht="15" customHeight="1">
      <c r="A1663" s="208" t="s">
        <v>39</v>
      </c>
      <c r="B1663" s="241"/>
      <c r="C1663" s="241">
        <v>34360</v>
      </c>
      <c r="D1663" s="161" t="s">
        <v>7330</v>
      </c>
      <c r="E1663" s="1194" t="s">
        <v>133</v>
      </c>
      <c r="F1663" s="242">
        <v>1.1559999999999999</v>
      </c>
      <c r="G1663" s="242">
        <f>IF(B1663="SEPLAG",VLOOKUP(CONCATENATE("MEDIANA - ",C1663),COTAÇÃO,5,FALSE),VLOOKUP($C1663,'NAO DESO'!$A:$D,4,))</f>
        <v>47.31</v>
      </c>
      <c r="H1663" s="242">
        <f t="shared" si="142"/>
        <v>54.69</v>
      </c>
      <c r="I1663" s="54" t="str">
        <f>IF(B1663="SEPLAG",VLOOKUP(CONCATENATE("MEDIANA - ",C1663),COTAÇÃO,5,FALSE),VLOOKUP($C1663,DESON!$A:$D,4,))</f>
        <v>47,31</v>
      </c>
      <c r="J1663" s="209">
        <f t="shared" si="143"/>
        <v>54.69</v>
      </c>
    </row>
    <row r="1664" spans="1:10" ht="15" customHeight="1">
      <c r="A1664" s="208" t="s">
        <v>39</v>
      </c>
      <c r="B1664" s="241"/>
      <c r="C1664" s="241">
        <v>34360</v>
      </c>
      <c r="D1664" s="161" t="s">
        <v>7331</v>
      </c>
      <c r="E1664" s="1194" t="s">
        <v>133</v>
      </c>
      <c r="F1664" s="242">
        <v>5.0020000000000007</v>
      </c>
      <c r="G1664" s="242">
        <f>IF(B1664="SEPLAG",VLOOKUP(CONCATENATE("MEDIANA - ",C1664),COTAÇÃO,5,FALSE),VLOOKUP($C1664,'NAO DESO'!$A:$D,4,))</f>
        <v>47.31</v>
      </c>
      <c r="H1664" s="242">
        <f t="shared" si="142"/>
        <v>236.64</v>
      </c>
      <c r="I1664" s="54" t="str">
        <f>IF(B1664="SEPLAG",VLOOKUP(CONCATENATE("MEDIANA - ",C1664),COTAÇÃO,5,FALSE),VLOOKUP($C1664,DESON!$A:$D,4,))</f>
        <v>47,31</v>
      </c>
      <c r="J1664" s="209">
        <f t="shared" si="143"/>
        <v>236.64</v>
      </c>
    </row>
    <row r="1665" spans="1:10" ht="15" customHeight="1">
      <c r="A1665" s="208" t="s">
        <v>39</v>
      </c>
      <c r="B1665" s="241"/>
      <c r="C1665" s="241">
        <v>34360</v>
      </c>
      <c r="D1665" s="161" t="s">
        <v>7332</v>
      </c>
      <c r="E1665" s="1194" t="s">
        <v>133</v>
      </c>
      <c r="F1665" s="242">
        <v>0.35599999999999998</v>
      </c>
      <c r="G1665" s="242">
        <f>IF(B1665="SEPLAG",VLOOKUP(CONCATENATE("MEDIANA - ",C1665),COTAÇÃO,5,FALSE),VLOOKUP($C1665,'NAO DESO'!$A:$D,4,))</f>
        <v>47.31</v>
      </c>
      <c r="H1665" s="242">
        <f t="shared" si="142"/>
        <v>16.84</v>
      </c>
      <c r="I1665" s="54" t="str">
        <f>IF(B1665="SEPLAG",VLOOKUP(CONCATENATE("MEDIANA - ",C1665),COTAÇÃO,5,FALSE),VLOOKUP($C1665,DESON!$A:$D,4,))</f>
        <v>47,31</v>
      </c>
      <c r="J1665" s="209">
        <f t="shared" si="143"/>
        <v>16.84</v>
      </c>
    </row>
    <row r="1666" spans="1:10" ht="15" customHeight="1">
      <c r="A1666" s="208" t="s">
        <v>39</v>
      </c>
      <c r="B1666" s="241"/>
      <c r="C1666" s="241">
        <v>34360</v>
      </c>
      <c r="D1666" s="161" t="s">
        <v>7333</v>
      </c>
      <c r="E1666" s="1194" t="s">
        <v>133</v>
      </c>
      <c r="F1666" s="242">
        <v>1.6240000000000001</v>
      </c>
      <c r="G1666" s="242">
        <f>IF(B1666="SEPLAG",VLOOKUP(CONCATENATE("MEDIANA - ",C1666),COTAÇÃO,5,FALSE),VLOOKUP($C1666,'NAO DESO'!$A:$D,4,))</f>
        <v>47.31</v>
      </c>
      <c r="H1666" s="242">
        <f t="shared" si="142"/>
        <v>76.83</v>
      </c>
      <c r="I1666" s="54" t="str">
        <f>IF(B1666="SEPLAG",VLOOKUP(CONCATENATE("MEDIANA - ",C1666),COTAÇÃO,5,FALSE),VLOOKUP($C1666,DESON!$A:$D,4,))</f>
        <v>47,31</v>
      </c>
      <c r="J1666" s="209">
        <f t="shared" si="143"/>
        <v>76.83</v>
      </c>
    </row>
    <row r="1667" spans="1:10" ht="15" customHeight="1">
      <c r="A1667" s="208" t="s">
        <v>39</v>
      </c>
      <c r="B1667" s="241" t="s">
        <v>14504</v>
      </c>
      <c r="C1667" s="1181" t="s">
        <v>14307</v>
      </c>
      <c r="D1667" s="161" t="str">
        <f>IF(B1667="SEPLAG",VLOOKUP(COMPOSIÇÕES!C1667,'MAPA COMPARATIVO'!A:B,2,FALSE),VLOOKUP(C1667,'NAO DESO'!A:B,2,0))</f>
        <v xml:space="preserve">Braço de max-ar linha gold de 600mm </v>
      </c>
      <c r="E1667" s="1194" t="s">
        <v>24</v>
      </c>
      <c r="F1667" s="242">
        <v>2</v>
      </c>
      <c r="G1667" s="242">
        <f>IF(B1667="SEPLAG",VLOOKUP(CONCATENATE("MEDIANA - ",C1667),COTAÇÃO,5,FALSE),VLOOKUP($C1667,'NAO DESO'!$A:$D,4,))</f>
        <v>36.575000000000003</v>
      </c>
      <c r="H1667" s="242">
        <f t="shared" si="142"/>
        <v>73.150000000000006</v>
      </c>
      <c r="I1667" s="54">
        <f>IF(B1667="SEPLAG",VLOOKUP(CONCATENATE("MEDIANA - ",C1667),COTAÇÃO,5,FALSE),VLOOKUP($C1667,DESON!$A:$D,4,))</f>
        <v>36.575000000000003</v>
      </c>
      <c r="J1667" s="209">
        <f t="shared" si="143"/>
        <v>73.150000000000006</v>
      </c>
    </row>
    <row r="1668" spans="1:10" ht="15" customHeight="1">
      <c r="A1668" s="208" t="s">
        <v>39</v>
      </c>
      <c r="B1668" s="241" t="s">
        <v>14504</v>
      </c>
      <c r="C1668" s="1181" t="s">
        <v>14308</v>
      </c>
      <c r="D1668" s="161" t="str">
        <f>IF(B1668="SEPLAG",VLOOKUP(COMPOSIÇÕES!C1668,'MAPA COMPARATIVO'!A:B,2,FALSE),VLOOKUP(C1668,'NAO DESO'!A:B,2,0))</f>
        <v>Fecho max-ar linha gold</v>
      </c>
      <c r="E1668" s="1194" t="s">
        <v>24</v>
      </c>
      <c r="F1668" s="242">
        <v>2</v>
      </c>
      <c r="G1668" s="242">
        <f>IF(B1668="SEPLAG",VLOOKUP(CONCATENATE("MEDIANA - ",C1668),COTAÇÃO,5,FALSE),VLOOKUP($C1668,'NAO DESO'!$A:$D,4,))</f>
        <v>47.36</v>
      </c>
      <c r="H1668" s="242">
        <f t="shared" si="142"/>
        <v>94.72</v>
      </c>
      <c r="I1668" s="54">
        <f>IF(B1668="SEPLAG",VLOOKUP(CONCATENATE("MEDIANA - ",C1668),COTAÇÃO,5,FALSE),VLOOKUP($C1668,DESON!$A:$D,4,))</f>
        <v>47.36</v>
      </c>
      <c r="J1668" s="209">
        <f t="shared" si="143"/>
        <v>94.72</v>
      </c>
    </row>
    <row r="1669" spans="1:10" ht="15" customHeight="1">
      <c r="A1669" s="208" t="s">
        <v>39</v>
      </c>
      <c r="B1669" s="241" t="s">
        <v>14504</v>
      </c>
      <c r="C1669" s="1181" t="s">
        <v>14309</v>
      </c>
      <c r="D1669" s="161" t="str">
        <f>IF(B1669="SEPLAG",VLOOKUP(COMPOSIÇÕES!C1669,'MAPA COMPARATIVO'!A:B,2,FALSE),VLOOKUP(C1669,'NAO DESO'!A:B,2,0))</f>
        <v>Guarnição em EPDM p/ pingadeira</v>
      </c>
      <c r="E1669" s="1194" t="s">
        <v>7388</v>
      </c>
      <c r="F1669" s="242">
        <v>2.2519999999999998</v>
      </c>
      <c r="G1669" s="242">
        <f>IF(B1669="SEPLAG",VLOOKUP(CONCATENATE("MEDIANA - ",C1669),COTAÇÃO,5,FALSE),VLOOKUP($C1669,'NAO DESO'!$A:$D,4,))</f>
        <v>4.3849999999999998</v>
      </c>
      <c r="H1669" s="242">
        <f t="shared" si="142"/>
        <v>9.8699999999999992</v>
      </c>
      <c r="I1669" s="54">
        <f>IF(B1669="SEPLAG",VLOOKUP(CONCATENATE("MEDIANA - ",C1669),COTAÇÃO,5,FALSE),VLOOKUP($C1669,DESON!$A:$D,4,))</f>
        <v>4.3849999999999998</v>
      </c>
      <c r="J1669" s="209">
        <f t="shared" si="143"/>
        <v>9.8699999999999992</v>
      </c>
    </row>
    <row r="1670" spans="1:10" ht="15" customHeight="1">
      <c r="A1670" s="208" t="s">
        <v>39</v>
      </c>
      <c r="B1670" s="241" t="s">
        <v>14504</v>
      </c>
      <c r="C1670" s="1181" t="s">
        <v>14310</v>
      </c>
      <c r="D1670" s="161" t="str">
        <f>IF(B1670="SEPLAG",VLOOKUP(COMPOSIÇÕES!C1670,'MAPA COMPARATIVO'!A:B,2,FALSE),VLOOKUP(C1670,'NAO DESO'!A:B,2,0))</f>
        <v>Guarnição em EPDM para vidro</v>
      </c>
      <c r="E1670" s="1194" t="s">
        <v>250</v>
      </c>
      <c r="F1670" s="242">
        <v>15.616</v>
      </c>
      <c r="G1670" s="242">
        <f>IF(B1670="SEPLAG",VLOOKUP(CONCATENATE("MEDIANA - ",C1670),COTAÇÃO,5,FALSE),VLOOKUP($C1670,'NAO DESO'!$A:$D,4,))</f>
        <v>2.4091999999999998</v>
      </c>
      <c r="H1670" s="242">
        <f t="shared" si="142"/>
        <v>37.619999999999997</v>
      </c>
      <c r="I1670" s="54">
        <f>IF(B1670="SEPLAG",VLOOKUP(CONCATENATE("MEDIANA - ",C1670),COTAÇÃO,5,FALSE),VLOOKUP($C1670,DESON!$A:$D,4,))</f>
        <v>2.4091999999999998</v>
      </c>
      <c r="J1670" s="209">
        <f t="shared" si="143"/>
        <v>37.619999999999997</v>
      </c>
    </row>
    <row r="1671" spans="1:10" ht="15" customHeight="1">
      <c r="A1671" s="208" t="s">
        <v>39</v>
      </c>
      <c r="B1671" s="241" t="s">
        <v>14504</v>
      </c>
      <c r="C1671" s="1181" t="s">
        <v>14311</v>
      </c>
      <c r="D1671" s="161" t="str">
        <f>IF(B1671="SEPLAG",VLOOKUP(COMPOSIÇÕES!C1671,'MAPA COMPARATIVO'!A:B,2,FALSE),VLOOKUP(C1671,'NAO DESO'!A:B,2,0))</f>
        <v>Espuma adesiva 1 face</v>
      </c>
      <c r="E1671" s="1194" t="s">
        <v>250</v>
      </c>
      <c r="F1671" s="242">
        <v>15.616</v>
      </c>
      <c r="G1671" s="242">
        <f>IF(B1671="SEPLAG",VLOOKUP(CONCATENATE("MEDIANA - ",C1671),COTAÇÃO,5,FALSE),VLOOKUP($C1671,'NAO DESO'!$A:$D,4,))</f>
        <v>2.1800000000000002</v>
      </c>
      <c r="H1671" s="242">
        <f t="shared" si="142"/>
        <v>34.04</v>
      </c>
      <c r="I1671" s="54">
        <f>IF(B1671="SEPLAG",VLOOKUP(CONCATENATE("MEDIANA - ",C1671),COTAÇÃO,5,FALSE),VLOOKUP($C1671,DESON!$A:$D,4,))</f>
        <v>2.1800000000000002</v>
      </c>
      <c r="J1671" s="209">
        <f t="shared" si="143"/>
        <v>34.04</v>
      </c>
    </row>
    <row r="1672" spans="1:10" ht="15" customHeight="1">
      <c r="A1672" s="208" t="s">
        <v>39</v>
      </c>
      <c r="B1672" s="241" t="s">
        <v>14504</v>
      </c>
      <c r="C1672" s="1181" t="s">
        <v>14312</v>
      </c>
      <c r="D1672" s="161" t="str">
        <f>IF(B1672="SEPLAG",VLOOKUP(COMPOSIÇÕES!C1672,'MAPA COMPARATIVO'!A:B,2,FALSE),VLOOKUP(C1672,'NAO DESO'!A:B,2,0))</f>
        <v>Guarnição em EPDM p/ marco max-ar</v>
      </c>
      <c r="E1672" s="1194" t="s">
        <v>250</v>
      </c>
      <c r="F1672" s="242">
        <v>17.916</v>
      </c>
      <c r="G1672" s="242">
        <f>IF(B1672="SEPLAG",VLOOKUP(CONCATENATE("MEDIANA - ",C1672),COTAÇÃO,5,FALSE),VLOOKUP($C1672,'NAO DESO'!$A:$D,4,))</f>
        <v>3.8138999999999998</v>
      </c>
      <c r="H1672" s="242">
        <f t="shared" si="142"/>
        <v>68.319999999999993</v>
      </c>
      <c r="I1672" s="54">
        <f>IF(B1672="SEPLAG",VLOOKUP(CONCATENATE("MEDIANA - ",C1672),COTAÇÃO,5,FALSE),VLOOKUP($C1672,DESON!$A:$D,4,))</f>
        <v>3.8138999999999998</v>
      </c>
      <c r="J1672" s="209">
        <f t="shared" si="143"/>
        <v>68.319999999999993</v>
      </c>
    </row>
    <row r="1673" spans="1:10" ht="15" customHeight="1">
      <c r="A1673" s="208" t="s">
        <v>39</v>
      </c>
      <c r="B1673" s="241" t="s">
        <v>14504</v>
      </c>
      <c r="C1673" s="1181" t="s">
        <v>14313</v>
      </c>
      <c r="D1673" s="161" t="str">
        <f>IF(B1673="SEPLAG",VLOOKUP(COMPOSIÇÕES!C1673,'MAPA COMPARATIVO'!A:B,2,FALSE),VLOOKUP(C1673,'NAO DESO'!A:B,2,0))</f>
        <v>PRESILHA DE FIXAÇÃO DO ARREMATE MP-347</v>
      </c>
      <c r="E1673" s="1194" t="s">
        <v>24</v>
      </c>
      <c r="F1673" s="242">
        <v>22</v>
      </c>
      <c r="G1673" s="242">
        <f>IF(B1673="SEPLAG",VLOOKUP(CONCATENATE("MEDIANA - ",C1673),COTAÇÃO,5,FALSE),VLOOKUP($C1673,'NAO DESO'!$A:$D,4,))</f>
        <v>0.34</v>
      </c>
      <c r="H1673" s="242">
        <f t="shared" si="142"/>
        <v>7.48</v>
      </c>
      <c r="I1673" s="54">
        <f>IF(B1673="SEPLAG",VLOOKUP(CONCATENATE("MEDIANA - ",C1673),COTAÇÃO,5,FALSE),VLOOKUP($C1673,DESON!$A:$D,4,))</f>
        <v>0.34</v>
      </c>
      <c r="J1673" s="209">
        <f t="shared" si="143"/>
        <v>7.48</v>
      </c>
    </row>
    <row r="1674" spans="1:10" ht="15" customHeight="1">
      <c r="A1674" s="208" t="s">
        <v>39</v>
      </c>
      <c r="B1674" s="241" t="s">
        <v>14504</v>
      </c>
      <c r="C1674" s="1181" t="s">
        <v>14314</v>
      </c>
      <c r="D1674" s="161" t="str">
        <f>IF(B1674="SEPLAG",VLOOKUP(COMPOSIÇÕES!C1674,'MAPA COMPARATIVO'!A:B,2,FALSE),VLOOKUP(C1674,'NAO DESO'!A:B,2,0))</f>
        <v>Parafuso zincado phillips flangeado autobrocante 4,2 x 16mm</v>
      </c>
      <c r="E1674" s="1194" t="s">
        <v>24</v>
      </c>
      <c r="F1674" s="242">
        <v>22</v>
      </c>
      <c r="G1674" s="242">
        <f>IF(B1674="SEPLAG",VLOOKUP(CONCATENATE("MEDIANA - ",C1674),COTAÇÃO,5,FALSE),VLOOKUP($C1674,'NAO DESO'!$A:$D,4,))</f>
        <v>0.28000000000000003</v>
      </c>
      <c r="H1674" s="242">
        <f t="shared" si="142"/>
        <v>6.16</v>
      </c>
      <c r="I1674" s="54">
        <f>IF(B1674="SEPLAG",VLOOKUP(CONCATENATE("MEDIANA - ",C1674),COTAÇÃO,5,FALSE),VLOOKUP($C1674,DESON!$A:$D,4,))</f>
        <v>0.28000000000000003</v>
      </c>
      <c r="J1674" s="209">
        <f t="shared" si="143"/>
        <v>6.16</v>
      </c>
    </row>
    <row r="1675" spans="1:10" ht="15" customHeight="1">
      <c r="A1675" s="208" t="s">
        <v>39</v>
      </c>
      <c r="B1675" s="241" t="s">
        <v>14504</v>
      </c>
      <c r="C1675" s="1181" t="s">
        <v>14315</v>
      </c>
      <c r="D1675" s="161" t="str">
        <f>IF(B1675="SEPLAG",VLOOKUP(COMPOSIÇÕES!C1675,'MAPA COMPARATIVO'!A:B,2,FALSE),VLOOKUP(C1675,'NAO DESO'!A:B,2,0))</f>
        <v>PARAF. PANELA PHILIPS INOX 4,8 X32 PONTA PILOTO</v>
      </c>
      <c r="E1675" s="1194" t="s">
        <v>24</v>
      </c>
      <c r="F1675" s="242">
        <v>12</v>
      </c>
      <c r="G1675" s="242">
        <f>IF(B1675="SEPLAG",VLOOKUP(CONCATENATE("MEDIANA - ",C1675),COTAÇÃO,5,FALSE),VLOOKUP($C1675,'NAO DESO'!$A:$D,4,))</f>
        <v>0.95</v>
      </c>
      <c r="H1675" s="242">
        <f t="shared" si="142"/>
        <v>11.4</v>
      </c>
      <c r="I1675" s="54">
        <f>IF(B1675="SEPLAG",VLOOKUP(CONCATENATE("MEDIANA - ",C1675),COTAÇÃO,5,FALSE),VLOOKUP($C1675,DESON!$A:$D,4,))</f>
        <v>0.95</v>
      </c>
      <c r="J1675" s="209">
        <f t="shared" si="143"/>
        <v>11.4</v>
      </c>
    </row>
    <row r="1676" spans="1:10" ht="15" customHeight="1">
      <c r="A1676" s="208" t="s">
        <v>39</v>
      </c>
      <c r="B1676" s="241" t="s">
        <v>14504</v>
      </c>
      <c r="C1676" s="1181" t="s">
        <v>14316</v>
      </c>
      <c r="D1676" s="161" t="str">
        <f>IF(B1676="SEPLAG",VLOOKUP(COMPOSIÇÕES!C1676,'MAPA COMPARATIVO'!A:B,2,FALSE),VLOOKUP(C1676,'NAO DESO'!A:B,2,0))</f>
        <v>CHUMBADOR DE CM-063/060</v>
      </c>
      <c r="E1676" s="1194" t="s">
        <v>24</v>
      </c>
      <c r="F1676" s="242">
        <v>22</v>
      </c>
      <c r="G1676" s="242">
        <f>IF(B1676="SEPLAG",VLOOKUP(CONCATENATE("MEDIANA - ",C1676),COTAÇÃO,5,FALSE),VLOOKUP($C1676,'NAO DESO'!$A:$D,4,))</f>
        <v>0.86</v>
      </c>
      <c r="H1676" s="242">
        <f t="shared" si="142"/>
        <v>18.920000000000002</v>
      </c>
      <c r="I1676" s="54">
        <f>IF(B1676="SEPLAG",VLOOKUP(CONCATENATE("MEDIANA - ",C1676),COTAÇÃO,5,FALSE),VLOOKUP($C1676,DESON!$A:$D,4,))</f>
        <v>0.86</v>
      </c>
      <c r="J1676" s="209">
        <f t="shared" si="143"/>
        <v>18.920000000000002</v>
      </c>
    </row>
    <row r="1677" spans="1:10" ht="15" customHeight="1">
      <c r="A1677" s="208" t="s">
        <v>39</v>
      </c>
      <c r="B1677" s="241" t="s">
        <v>14504</v>
      </c>
      <c r="C1677" s="1181" t="s">
        <v>14317</v>
      </c>
      <c r="D1677" s="161" t="str">
        <f>IF(B1677="SEPLAG",VLOOKUP(COMPOSIÇÕES!C1677,'MAPA COMPARATIVO'!A:B,2,FALSE),VLOOKUP(C1677,'NAO DESO'!A:B,2,0))</f>
        <v>Silicone neutro incolor 280 g</v>
      </c>
      <c r="E1677" s="1194" t="s">
        <v>24</v>
      </c>
      <c r="F1677" s="242">
        <v>1</v>
      </c>
      <c r="G1677" s="242">
        <f>IF(B1677="SEPLAG",VLOOKUP(CONCATENATE("MEDIANA - ",C1677),COTAÇÃO,5,FALSE),VLOOKUP($C1677,'NAO DESO'!$A:$D,4,))</f>
        <v>43.9</v>
      </c>
      <c r="H1677" s="242">
        <f t="shared" si="142"/>
        <v>43.9</v>
      </c>
      <c r="I1677" s="54">
        <f>IF(B1677="SEPLAG",VLOOKUP(CONCATENATE("MEDIANA - ",C1677),COTAÇÃO,5,FALSE),VLOOKUP($C1677,DESON!$A:$D,4,))</f>
        <v>43.9</v>
      </c>
      <c r="J1677" s="209">
        <f t="shared" si="143"/>
        <v>43.9</v>
      </c>
    </row>
    <row r="1678" spans="1:10" ht="15" customHeight="1">
      <c r="A1678" s="208" t="s">
        <v>245</v>
      </c>
      <c r="B1678" s="241"/>
      <c r="C1678" s="1181">
        <v>10505</v>
      </c>
      <c r="D1678" s="161" t="str">
        <f>IF(B1678="SEPLAG",VLOOKUP(COMPOSIÇÕES!C1678,'MAPA COMPARATIVO'!A:B,2,FALSE),VLOOKUP(C1678,'NAO DESO'!A:B,2,0))</f>
        <v>VIDRO TEMPERADO INCOLOR E = 6 MM, SEM COLOCACAO</v>
      </c>
      <c r="E1678" s="241" t="str">
        <f>VLOOKUP($C1678,'NAO DESO'!$A:$D,3,)</f>
        <v xml:space="preserve">M2    </v>
      </c>
      <c r="F1678" s="242">
        <v>3.88</v>
      </c>
      <c r="G1678" s="242">
        <f>IF(B1678="SEPLAG",VLOOKUP(CONCATENATE("MEDIANA - ",C1678),COTAÇÃO,5,FALSE),VLOOKUP($C1678,'NAO DESO'!$A:$D,4,))</f>
        <v>272.77</v>
      </c>
      <c r="H1678" s="242">
        <f t="shared" si="142"/>
        <v>1058.3399999999999</v>
      </c>
      <c r="I1678" s="54" t="str">
        <f>IF(B1678="SEPLAG",VLOOKUP(CONCATENATE("MEDIANA - ",C1678),COTAÇÃO,5,FALSE),VLOOKUP($C1678,DESON!$A:$D,4,))</f>
        <v>272,77</v>
      </c>
      <c r="J1678" s="209">
        <f t="shared" si="143"/>
        <v>1058.3399999999999</v>
      </c>
    </row>
    <row r="1679" spans="1:10" ht="15" customHeight="1">
      <c r="A1679" s="208" t="s">
        <v>245</v>
      </c>
      <c r="B1679" s="241"/>
      <c r="C1679" s="1181">
        <v>88315</v>
      </c>
      <c r="D1679" s="161" t="str">
        <f>IF(B1679="SEPLAG",VLOOKUP(COMPOSIÇÕES!C1679,'MAPA COMPARATIVO'!A:B,2,FALSE),VLOOKUP(C1679,'NAO DESO'!A:B,2,0))</f>
        <v>SERRALHEIRO COM ENCARGOS COMPLEMENTARES</v>
      </c>
      <c r="E1679" s="241" t="str">
        <f>VLOOKUP($C1679,'NAO DESO'!$A:$D,3,)</f>
        <v>H</v>
      </c>
      <c r="F1679" s="242">
        <v>15.52</v>
      </c>
      <c r="G1679" s="242" t="str">
        <f>IF(B1679="SEPLAG",VLOOKUP(CONCATENATE("MEDIANA - ",C1679),COTAÇÃO,5,FALSE),VLOOKUP($C1679,'NAO DESO'!$A:$D,4,))</f>
        <v>20,97</v>
      </c>
      <c r="H1679" s="242">
        <f t="shared" si="142"/>
        <v>325.45</v>
      </c>
      <c r="I1679" s="54" t="str">
        <f>IF(B1679="SEPLAG",VLOOKUP(CONCATENATE("MEDIANA - ",C1679),COTAÇÃO,5,FALSE),VLOOKUP($C1679,DESON!$A:$D,4,))</f>
        <v>18,75</v>
      </c>
      <c r="J1679" s="209">
        <f t="shared" si="143"/>
        <v>291</v>
      </c>
    </row>
    <row r="1680" spans="1:10" ht="15" customHeight="1">
      <c r="A1680" s="208" t="s">
        <v>245</v>
      </c>
      <c r="B1680" s="241"/>
      <c r="C1680" s="1181">
        <v>88316</v>
      </c>
      <c r="D1680" s="161" t="str">
        <f>IF(B1680="SEPLAG",VLOOKUP(COMPOSIÇÕES!C1680,'MAPA COMPARATIVO'!A:B,2,FALSE),VLOOKUP(C1680,'NAO DESO'!A:B,2,0))</f>
        <v>SERVENTE COM ENCARGOS COMPLEMENTARES</v>
      </c>
      <c r="E1680" s="241" t="str">
        <f>VLOOKUP($C1680,'NAO DESO'!$A:$D,3,)</f>
        <v>H</v>
      </c>
      <c r="F1680" s="242">
        <v>15.52</v>
      </c>
      <c r="G1680" s="242" t="str">
        <f>IF(B1680="SEPLAG",VLOOKUP(CONCATENATE("MEDIANA - ",C1680),COTAÇÃO,5,FALSE),VLOOKUP($C1680,'NAO DESO'!$A:$D,4,))</f>
        <v>16,83</v>
      </c>
      <c r="H1680" s="242">
        <f t="shared" si="142"/>
        <v>261.2</v>
      </c>
      <c r="I1680" s="54" t="str">
        <f>IF(B1680="SEPLAG",VLOOKUP(CONCATENATE("MEDIANA - ",C1680),COTAÇÃO,5,FALSE),VLOOKUP($C1680,DESON!$A:$D,4,))</f>
        <v>15,16</v>
      </c>
      <c r="J1680" s="209">
        <f t="shared" si="143"/>
        <v>235.28</v>
      </c>
    </row>
    <row r="1681" spans="1:10" ht="15" customHeight="1">
      <c r="A1681" s="210" t="str">
        <f>CONCATENATE("TOTAL DO ITEM NÃO DESON. - ",C1654)</f>
        <v>TOTAL DO ITEM NÃO DESON. - SEPLAG  ARQ 99</v>
      </c>
      <c r="B1681" s="424"/>
      <c r="C1681" s="424"/>
      <c r="D1681" s="424"/>
      <c r="E1681" s="424"/>
      <c r="F1681" s="425"/>
      <c r="G1681" s="426"/>
      <c r="H1681" s="1182">
        <f>SUM(H1656:H1680)</f>
        <v>2969.8899999999994</v>
      </c>
      <c r="I1681" s="214"/>
      <c r="J1681" s="215"/>
    </row>
    <row r="1682" spans="1:10" ht="15.75" customHeight="1" thickBot="1">
      <c r="A1682" s="216" t="str">
        <f>CONCATENATE("TOTAL DO ITEM DESON. - ",C1654)</f>
        <v>TOTAL DO ITEM DESON. - SEPLAG  ARQ 99</v>
      </c>
      <c r="B1682" s="427"/>
      <c r="C1682" s="427"/>
      <c r="D1682" s="427"/>
      <c r="E1682" s="427"/>
      <c r="F1682" s="428"/>
      <c r="G1682" s="429"/>
      <c r="H1682" s="1187"/>
      <c r="I1682" s="229"/>
      <c r="J1682" s="219">
        <f>SUM(J1656:J1680)</f>
        <v>2909.52</v>
      </c>
    </row>
    <row r="1683" spans="1:10" ht="15" customHeight="1" thickBot="1">
      <c r="A1683" s="235"/>
      <c r="B1683" s="1135"/>
      <c r="C1683" s="1135"/>
      <c r="D1683" s="1135"/>
      <c r="E1683" s="1135"/>
      <c r="F1683" s="1188"/>
      <c r="G1683" s="1188"/>
      <c r="H1683" s="1188"/>
      <c r="I1683" s="236"/>
      <c r="J1683" s="237"/>
    </row>
    <row r="1684" spans="1:10" ht="29.25" customHeight="1">
      <c r="A1684" s="198"/>
      <c r="B1684" s="1175"/>
      <c r="C1684" s="1176" t="s">
        <v>7393</v>
      </c>
      <c r="D1684" s="156" t="s">
        <v>7394</v>
      </c>
      <c r="E1684" s="1176" t="s">
        <v>32</v>
      </c>
      <c r="F1684" s="1177" t="s">
        <v>18</v>
      </c>
      <c r="G1684" s="1178" t="s">
        <v>7017</v>
      </c>
      <c r="H1684" s="1179"/>
      <c r="I1684" s="200" t="s">
        <v>7016</v>
      </c>
      <c r="J1684" s="201"/>
    </row>
    <row r="1685" spans="1:10" ht="15" customHeight="1">
      <c r="A1685" s="233"/>
      <c r="B1685" s="247"/>
      <c r="C1685" s="1155"/>
      <c r="D1685" s="157"/>
      <c r="E1685" s="1155"/>
      <c r="F1685" s="1180"/>
      <c r="G1685" s="1180" t="s">
        <v>19</v>
      </c>
      <c r="H1685" s="1180" t="s">
        <v>20</v>
      </c>
      <c r="I1685" s="205" t="s">
        <v>19</v>
      </c>
      <c r="J1685" s="206" t="s">
        <v>20</v>
      </c>
    </row>
    <row r="1686" spans="1:10" ht="25.5" customHeight="1">
      <c r="A1686" s="208" t="s">
        <v>39</v>
      </c>
      <c r="B1686" s="241"/>
      <c r="C1686" s="1181">
        <v>4006</v>
      </c>
      <c r="D1686" s="161" t="str">
        <f>IF(B1686="SEPLAG",VLOOKUP(COMPOSIÇÕES!C1686,'MAPA COMPARATIVO'!A:B,2,FALSE),VLOOKUP(C1686,'NAO DESO'!A:B,2,0))</f>
        <v>MADEIRA SERRADA EM PINUS, MISTA OU EQUIVALENTE DA REGIAO - BRUTA</v>
      </c>
      <c r="E1686" s="241" t="str">
        <f>VLOOKUP($C1686,'NAO DESO'!$A:$D,3,)</f>
        <v xml:space="preserve">M3    </v>
      </c>
      <c r="F1686" s="242">
        <v>2.5099999999999998</v>
      </c>
      <c r="G1686" s="242">
        <f>IF(B1686="SEPLAG",VLOOKUP(CONCATENATE("MEDIANA - ",C1686),COTAÇÃO,5,FALSE),VLOOKUP($C1686,'NAO DESO'!$A:$D,4,))</f>
        <v>2021.19</v>
      </c>
      <c r="H1686" s="242">
        <f t="shared" ref="H1686:H1699" si="144">TRUNC(F1686*G1686,2)</f>
        <v>5073.18</v>
      </c>
      <c r="I1686" s="54" t="str">
        <f>IF(B1686="SEPLAG",VLOOKUP(CONCATENATE("MEDIANA - ",C1686),COTAÇÃO,5,FALSE),VLOOKUP($C1686,DESON!$A:$D,4,))</f>
        <v>2.021,19</v>
      </c>
      <c r="J1686" s="209">
        <f t="shared" ref="J1686:J1699" si="145">TRUNC(F1686*I1686,2)</f>
        <v>5073.18</v>
      </c>
    </row>
    <row r="1687" spans="1:10" ht="26.25" customHeight="1">
      <c r="A1687" s="208" t="s">
        <v>39</v>
      </c>
      <c r="B1687" s="241"/>
      <c r="C1687" s="1181">
        <v>93358</v>
      </c>
      <c r="D1687" s="161" t="str">
        <f>IF(B1687="SEPLAG",VLOOKUP(COMPOSIÇÕES!C1687,'MAPA COMPARATIVO'!A:B,2,FALSE),VLOOKUP(C1687,'NAO DESO'!A:B,2,0))</f>
        <v>ESCAVAÇÃO MANUAL DE VALA COM PROFUNDIDADE MENOR OU IGUAL A 1,30 M. AF_02/2021</v>
      </c>
      <c r="E1687" s="241" t="str">
        <f>VLOOKUP($C1687,'NAO DESO'!$A:$D,3,)</f>
        <v>M3</v>
      </c>
      <c r="F1687" s="242">
        <v>1.51</v>
      </c>
      <c r="G1687" s="242" t="str">
        <f>IF(B1687="SEPLAG",VLOOKUP(CONCATENATE("MEDIANA - ",C1687),COTAÇÃO,5,FALSE),VLOOKUP($C1687,'NAO DESO'!$A:$D,4,))</f>
        <v>66,57</v>
      </c>
      <c r="H1687" s="242">
        <f t="shared" si="144"/>
        <v>100.52</v>
      </c>
      <c r="I1687" s="54" t="str">
        <f>IF(B1687="SEPLAG",VLOOKUP(CONCATENATE("MEDIANA - ",C1687),COTAÇÃO,5,FALSE),VLOOKUP($C1687,DESON!$A:$D,4,))</f>
        <v>59,97</v>
      </c>
      <c r="J1687" s="209">
        <f t="shared" si="145"/>
        <v>90.55</v>
      </c>
    </row>
    <row r="1688" spans="1:10" ht="39" customHeight="1">
      <c r="A1688" s="208" t="s">
        <v>39</v>
      </c>
      <c r="B1688" s="241"/>
      <c r="C1688" s="1181">
        <v>94964</v>
      </c>
      <c r="D1688" s="161" t="str">
        <f>IF(B1688="SEPLAG",VLOOKUP(COMPOSIÇÕES!C1688,'MAPA COMPARATIVO'!A:B,2,FALSE),VLOOKUP(C1688,'NAO DESO'!A:B,2,0))</f>
        <v>CONCRETO FCK = 20MPA, TRAÇO 1:2,7:3 (EM MASSA SECA DE CIMENTO/ AREIA MÉDIA/ BRITA 1) - PREPARO MECÂNICO COM BETONEIRA 400 L. AF_05/2021</v>
      </c>
      <c r="E1688" s="241" t="str">
        <f>VLOOKUP($C1688,'NAO DESO'!$A:$D,3,)</f>
        <v>M3</v>
      </c>
      <c r="F1688" s="242">
        <f>F1687</f>
        <v>1.51</v>
      </c>
      <c r="G1688" s="242" t="str">
        <f>IF(B1688="SEPLAG",VLOOKUP(CONCATENATE("MEDIANA - ",C1688),COTAÇÃO,5,FALSE),VLOOKUP($C1688,'NAO DESO'!$A:$D,4,))</f>
        <v>414,17</v>
      </c>
      <c r="H1688" s="242">
        <f t="shared" si="144"/>
        <v>625.39</v>
      </c>
      <c r="I1688" s="54" t="str">
        <f>IF(B1688="SEPLAG",VLOOKUP(CONCATENATE("MEDIANA - ",C1688),COTAÇÃO,5,FALSE),VLOOKUP($C1688,DESON!$A:$D,4,))</f>
        <v>407,40</v>
      </c>
      <c r="J1688" s="209">
        <f t="shared" si="145"/>
        <v>615.16999999999996</v>
      </c>
    </row>
    <row r="1689" spans="1:10" ht="26.25" customHeight="1">
      <c r="A1689" s="208" t="s">
        <v>39</v>
      </c>
      <c r="B1689" s="241"/>
      <c r="C1689" s="1181">
        <v>102203</v>
      </c>
      <c r="D1689" s="161" t="str">
        <f>IF(B1689="SEPLAG",VLOOKUP(COMPOSIÇÕES!C1689,'MAPA COMPARATIVO'!A:B,2,FALSE),VLOOKUP(C1689,'NAO DESO'!A:B,2,0))</f>
        <v>PINTURA VERNIZ (INCOLOR) ALQUÍDICO EM MADEIRA, USO INTERNO E EXTERNO, 1 DEMÃO. AF_01/2021</v>
      </c>
      <c r="E1689" s="241" t="str">
        <f>VLOOKUP($C1689,'NAO DESO'!$A:$D,3,)</f>
        <v>M2</v>
      </c>
      <c r="F1689" s="242">
        <v>43.4</v>
      </c>
      <c r="G1689" s="242" t="str">
        <f>IF(B1689="SEPLAG",VLOOKUP(CONCATENATE("MEDIANA - ",C1689),COTAÇÃO,5,FALSE),VLOOKUP($C1689,'NAO DESO'!$A:$D,4,))</f>
        <v>7,64</v>
      </c>
      <c r="H1689" s="242">
        <f t="shared" si="144"/>
        <v>331.57</v>
      </c>
      <c r="I1689" s="54" t="str">
        <f>IF(B1689="SEPLAG",VLOOKUP(CONCATENATE("MEDIANA - ",C1689),COTAÇÃO,5,FALSE),VLOOKUP($C1689,DESON!$A:$D,4,))</f>
        <v>7,12</v>
      </c>
      <c r="J1689" s="209">
        <f t="shared" si="145"/>
        <v>309</v>
      </c>
    </row>
    <row r="1690" spans="1:10" ht="15" customHeight="1">
      <c r="A1690" s="208" t="s">
        <v>39</v>
      </c>
      <c r="B1690" s="241"/>
      <c r="C1690" s="1181">
        <v>102234</v>
      </c>
      <c r="D1690" s="161" t="str">
        <f>IF(B1690="SEPLAG",VLOOKUP(COMPOSIÇÕES!C1690,'MAPA COMPARATIVO'!A:B,2,FALSE),VLOOKUP(C1690,'NAO DESO'!A:B,2,0))</f>
        <v>PINTURA IMUNIZANTE PARA MADEIRA, 2 DEMÃOS. AF_01/2021</v>
      </c>
      <c r="E1690" s="241" t="str">
        <f>VLOOKUP($C1690,'NAO DESO'!$A:$D,3,)</f>
        <v>M2</v>
      </c>
      <c r="F1690" s="242">
        <v>47.6</v>
      </c>
      <c r="G1690" s="242" t="str">
        <f>IF(B1690="SEPLAG",VLOOKUP(CONCATENATE("MEDIANA - ",C1690),COTAÇÃO,5,FALSE),VLOOKUP($C1690,'NAO DESO'!$A:$D,4,))</f>
        <v>26,21</v>
      </c>
      <c r="H1690" s="242">
        <f t="shared" si="144"/>
        <v>1247.5899999999999</v>
      </c>
      <c r="I1690" s="54" t="str">
        <f>IF(B1690="SEPLAG",VLOOKUP(CONCATENATE("MEDIANA - ",C1690),COTAÇÃO,5,FALSE),VLOOKUP($C1690,DESON!$A:$D,4,))</f>
        <v>25,20</v>
      </c>
      <c r="J1690" s="209">
        <f t="shared" si="145"/>
        <v>1199.52</v>
      </c>
    </row>
    <row r="1691" spans="1:10" ht="25.5" customHeight="1">
      <c r="A1691" s="208" t="s">
        <v>39</v>
      </c>
      <c r="B1691" s="241"/>
      <c r="C1691" s="1181">
        <v>102193</v>
      </c>
      <c r="D1691" s="161" t="str">
        <f>IF(B1691="SEPLAG",VLOOKUP(COMPOSIÇÕES!C1691,'MAPA COMPARATIVO'!A:B,2,FALSE),VLOOKUP(C1691,'NAO DESO'!A:B,2,0))</f>
        <v>LIXAMENTO DE MADEIRA PARA APLICAÇÃO DE FUNDO OU PINTURA. AF_01/2021</v>
      </c>
      <c r="E1691" s="241" t="str">
        <f>VLOOKUP($C1691,'NAO DESO'!$A:$D,3,)</f>
        <v>M2</v>
      </c>
      <c r="F1691" s="242">
        <f>F1689</f>
        <v>43.4</v>
      </c>
      <c r="G1691" s="242" t="str">
        <f>IF(B1691="SEPLAG",VLOOKUP(CONCATENATE("MEDIANA - ",C1691),COTAÇÃO,5,FALSE),VLOOKUP($C1691,'NAO DESO'!$A:$D,4,))</f>
        <v>1,63</v>
      </c>
      <c r="H1691" s="242">
        <f t="shared" si="144"/>
        <v>70.739999999999995</v>
      </c>
      <c r="I1691" s="54" t="str">
        <f>IF(B1691="SEPLAG",VLOOKUP(CONCATENATE("MEDIANA - ",C1691),COTAÇÃO,5,FALSE),VLOOKUP($C1691,DESON!$A:$D,4,))</f>
        <v>1,51</v>
      </c>
      <c r="J1691" s="209">
        <f t="shared" si="145"/>
        <v>65.53</v>
      </c>
    </row>
    <row r="1692" spans="1:10" ht="26.25" customHeight="1">
      <c r="A1692" s="208" t="s">
        <v>39</v>
      </c>
      <c r="B1692" s="241"/>
      <c r="C1692" s="1181">
        <v>429</v>
      </c>
      <c r="D1692" s="161" t="str">
        <f>IF(B1692="SEPLAG",VLOOKUP(COMPOSIÇÕES!C1692,'MAPA COMPARATIVO'!A:B,2,FALSE),VLOOKUP(C1692,'NAO DESO'!A:B,2,0))</f>
        <v>PARAFUSO M16 EM ACO GALVANIZADO, COMPRIMENTO = 300 MM, DIAMETRO = 16 MM, ROSCA DUPLA</v>
      </c>
      <c r="E1692" s="241" t="str">
        <f>VLOOKUP($C1692,'NAO DESO'!$A:$D,3,)</f>
        <v xml:space="preserve">UN    </v>
      </c>
      <c r="F1692" s="242">
        <v>6</v>
      </c>
      <c r="G1692" s="242">
        <f>IF(B1692="SEPLAG",VLOOKUP(CONCATENATE("MEDIANA - ",C1692),COTAÇÃO,5,FALSE),VLOOKUP($C1692,'NAO DESO'!$A:$D,4,))</f>
        <v>12.11</v>
      </c>
      <c r="H1692" s="242">
        <f t="shared" si="144"/>
        <v>72.66</v>
      </c>
      <c r="I1692" s="54" t="str">
        <f>IF(B1692="SEPLAG",VLOOKUP(CONCATENATE("MEDIANA - ",C1692),COTAÇÃO,5,FALSE),VLOOKUP($C1692,DESON!$A:$D,4,))</f>
        <v>12,11</v>
      </c>
      <c r="J1692" s="209">
        <f t="shared" si="145"/>
        <v>72.66</v>
      </c>
    </row>
    <row r="1693" spans="1:10" ht="15" customHeight="1">
      <c r="A1693" s="208" t="s">
        <v>39</v>
      </c>
      <c r="B1693" s="241"/>
      <c r="C1693" s="1181">
        <v>40568</v>
      </c>
      <c r="D1693" s="161" t="str">
        <f>IF(B1693="SEPLAG",VLOOKUP(COMPOSIÇÕES!C1693,'MAPA COMPARATIVO'!A:B,2,FALSE),VLOOKUP(C1693,'NAO DESO'!A:B,2,0))</f>
        <v>PREGO DE ACO POLIDO COM CABECA 22 X 48 (4 1/4 X 5)</v>
      </c>
      <c r="E1693" s="241" t="str">
        <f>VLOOKUP($C1693,'NAO DESO'!$A:$D,3,)</f>
        <v xml:space="preserve">KG    </v>
      </c>
      <c r="F1693" s="242">
        <v>0.5</v>
      </c>
      <c r="G1693" s="242">
        <f>IF(B1693="SEPLAG",VLOOKUP(CONCATENATE("MEDIANA - ",C1693),COTAÇÃO,5,FALSE),VLOOKUP($C1693,'NAO DESO'!$A:$D,4,))</f>
        <v>23.94</v>
      </c>
      <c r="H1693" s="242">
        <f t="shared" si="144"/>
        <v>11.97</v>
      </c>
      <c r="I1693" s="54" t="str">
        <f>IF(B1693="SEPLAG",VLOOKUP(CONCATENATE("MEDIANA - ",C1693),COTAÇÃO,5,FALSE),VLOOKUP($C1693,DESON!$A:$D,4,))</f>
        <v>23,94</v>
      </c>
      <c r="J1693" s="209">
        <f t="shared" si="145"/>
        <v>11.97</v>
      </c>
    </row>
    <row r="1694" spans="1:10" ht="15" customHeight="1">
      <c r="A1694" s="208" t="s">
        <v>39</v>
      </c>
      <c r="B1694" s="241"/>
      <c r="C1694" s="1181">
        <v>88309</v>
      </c>
      <c r="D1694" s="161" t="str">
        <f>IF(B1694="SEPLAG",VLOOKUP(COMPOSIÇÕES!C1694,'MAPA COMPARATIVO'!A:B,2,FALSE),VLOOKUP(C1694,'NAO DESO'!A:B,2,0))</f>
        <v>PEDREIRO COM ENCARGOS COMPLEMENTARES</v>
      </c>
      <c r="E1694" s="241" t="str">
        <f>VLOOKUP($C1694,'NAO DESO'!$A:$D,3,)</f>
        <v>H</v>
      </c>
      <c r="F1694" s="242">
        <v>8</v>
      </c>
      <c r="G1694" s="242" t="str">
        <f>IF(B1694="SEPLAG",VLOOKUP(CONCATENATE("MEDIANA - ",C1694),COTAÇÃO,5,FALSE),VLOOKUP($C1694,'NAO DESO'!$A:$D,4,))</f>
        <v>21,10</v>
      </c>
      <c r="H1694" s="242">
        <f t="shared" si="144"/>
        <v>168.8</v>
      </c>
      <c r="I1694" s="54" t="str">
        <f>IF(B1694="SEPLAG",VLOOKUP(CONCATENATE("MEDIANA - ",C1694),COTAÇÃO,5,FALSE),VLOOKUP($C1694,DESON!$A:$D,4,))</f>
        <v>18,86</v>
      </c>
      <c r="J1694" s="209">
        <f t="shared" si="145"/>
        <v>150.88</v>
      </c>
    </row>
    <row r="1695" spans="1:10" ht="15" customHeight="1">
      <c r="A1695" s="208" t="s">
        <v>39</v>
      </c>
      <c r="B1695" s="241"/>
      <c r="C1695" s="1181">
        <v>88242</v>
      </c>
      <c r="D1695" s="161" t="str">
        <f>IF(B1695="SEPLAG",VLOOKUP(COMPOSIÇÕES!C1695,'MAPA COMPARATIVO'!A:B,2,FALSE),VLOOKUP(C1695,'NAO DESO'!A:B,2,0))</f>
        <v>AJUDANTE DE PEDREIRO COM ENCARGOS COMPLEMENTARES</v>
      </c>
      <c r="E1695" s="241" t="str">
        <f>VLOOKUP($C1695,'NAO DESO'!$A:$D,3,)</f>
        <v>H</v>
      </c>
      <c r="F1695" s="242">
        <v>8</v>
      </c>
      <c r="G1695" s="242" t="str">
        <f>IF(B1695="SEPLAG",VLOOKUP(CONCATENATE("MEDIANA - ",C1695),COTAÇÃO,5,FALSE),VLOOKUP($C1695,'NAO DESO'!$A:$D,4,))</f>
        <v>16,87</v>
      </c>
      <c r="H1695" s="242">
        <f t="shared" si="144"/>
        <v>134.96</v>
      </c>
      <c r="I1695" s="54" t="str">
        <f>IF(B1695="SEPLAG",VLOOKUP(CONCATENATE("MEDIANA - ",C1695),COTAÇÃO,5,FALSE),VLOOKUP($C1695,DESON!$A:$D,4,))</f>
        <v>15,22</v>
      </c>
      <c r="J1695" s="209">
        <f t="shared" si="145"/>
        <v>121.76</v>
      </c>
    </row>
    <row r="1696" spans="1:10" ht="25.5" customHeight="1">
      <c r="A1696" s="208" t="s">
        <v>39</v>
      </c>
      <c r="B1696" s="241"/>
      <c r="C1696" s="1181">
        <v>88239</v>
      </c>
      <c r="D1696" s="161" t="str">
        <f>IF(B1696="SEPLAG",VLOOKUP(COMPOSIÇÕES!C1696,'MAPA COMPARATIVO'!A:B,2,FALSE),VLOOKUP(C1696,'NAO DESO'!A:B,2,0))</f>
        <v>AJUDANTE DE CARPINTEIRO COM ENCARGOS COMPLEMENTARES</v>
      </c>
      <c r="E1696" s="241" t="str">
        <f>VLOOKUP($C1696,'NAO DESO'!$A:$D,3,)</f>
        <v>H</v>
      </c>
      <c r="F1696" s="242">
        <v>8</v>
      </c>
      <c r="G1696" s="242" t="str">
        <f>IF(B1696="SEPLAG",VLOOKUP(CONCATENATE("MEDIANA - ",C1696),COTAÇÃO,5,FALSE),VLOOKUP($C1696,'NAO DESO'!$A:$D,4,))</f>
        <v>17,75</v>
      </c>
      <c r="H1696" s="242">
        <f t="shared" si="144"/>
        <v>142</v>
      </c>
      <c r="I1696" s="54" t="str">
        <f>IF(B1696="SEPLAG",VLOOKUP(CONCATENATE("MEDIANA - ",C1696),COTAÇÃO,5,FALSE),VLOOKUP($C1696,DESON!$A:$D,4,))</f>
        <v>15,96</v>
      </c>
      <c r="J1696" s="209">
        <f t="shared" si="145"/>
        <v>127.68</v>
      </c>
    </row>
    <row r="1697" spans="1:10" ht="15" customHeight="1">
      <c r="A1697" s="208" t="s">
        <v>245</v>
      </c>
      <c r="B1697" s="241"/>
      <c r="C1697" s="1181">
        <v>88262</v>
      </c>
      <c r="D1697" s="161" t="str">
        <f>IF(B1697="SEPLAG",VLOOKUP(COMPOSIÇÕES!C1697,'MAPA COMPARATIVO'!A:B,2,FALSE),VLOOKUP(C1697,'NAO DESO'!A:B,2,0))</f>
        <v>CARPINTEIRO DE FORMAS COM ENCARGOS COMPLEMENTARES</v>
      </c>
      <c r="E1697" s="241" t="str">
        <f>VLOOKUP($C1697,'NAO DESO'!$A:$D,3,)</f>
        <v>H</v>
      </c>
      <c r="F1697" s="242">
        <v>8</v>
      </c>
      <c r="G1697" s="242" t="str">
        <f>IF(B1697="SEPLAG",VLOOKUP(CONCATENATE("MEDIANA - ",C1697),COTAÇÃO,5,FALSE),VLOOKUP($C1697,'NAO DESO'!$A:$D,4,))</f>
        <v>20,85</v>
      </c>
      <c r="H1697" s="242">
        <f t="shared" si="144"/>
        <v>166.8</v>
      </c>
      <c r="I1697" s="54" t="str">
        <f>IF(B1697="SEPLAG",VLOOKUP(CONCATENATE("MEDIANA - ",C1697),COTAÇÃO,5,FALSE),VLOOKUP($C1697,DESON!$A:$D,4,))</f>
        <v>18,63</v>
      </c>
      <c r="J1697" s="209">
        <f t="shared" si="145"/>
        <v>149.04</v>
      </c>
    </row>
    <row r="1698" spans="1:10" ht="15" customHeight="1">
      <c r="A1698" s="208" t="s">
        <v>245</v>
      </c>
      <c r="B1698" s="241"/>
      <c r="C1698" s="1181">
        <v>88310</v>
      </c>
      <c r="D1698" s="161" t="str">
        <f>IF(B1698="SEPLAG",VLOOKUP(COMPOSIÇÕES!C1698,'MAPA COMPARATIVO'!A:B,2,FALSE),VLOOKUP(C1698,'NAO DESO'!A:B,2,0))</f>
        <v>PINTOR COM ENCARGOS COMPLEMENTARES</v>
      </c>
      <c r="E1698" s="241" t="str">
        <f>VLOOKUP($C1698,'NAO DESO'!$A:$D,3,)</f>
        <v>H</v>
      </c>
      <c r="F1698" s="242">
        <v>8</v>
      </c>
      <c r="G1698" s="242" t="str">
        <f>IF(B1698="SEPLAG",VLOOKUP(CONCATENATE("MEDIANA - ",C1698),COTAÇÃO,5,FALSE),VLOOKUP($C1698,'NAO DESO'!$A:$D,4,))</f>
        <v>22,17</v>
      </c>
      <c r="H1698" s="242">
        <f t="shared" si="144"/>
        <v>177.36</v>
      </c>
      <c r="I1698" s="54" t="str">
        <f>IF(B1698="SEPLAG",VLOOKUP(CONCATENATE("MEDIANA - ",C1698),COTAÇÃO,5,FALSE),VLOOKUP($C1698,DESON!$A:$D,4,))</f>
        <v>19,94</v>
      </c>
      <c r="J1698" s="209">
        <f t="shared" si="145"/>
        <v>159.52000000000001</v>
      </c>
    </row>
    <row r="1699" spans="1:10" ht="15" customHeight="1">
      <c r="A1699" s="208" t="s">
        <v>245</v>
      </c>
      <c r="B1699" s="241"/>
      <c r="C1699" s="1181">
        <v>88316</v>
      </c>
      <c r="D1699" s="161" t="str">
        <f>IF(B1699="SEPLAG",VLOOKUP(COMPOSIÇÕES!C1699,'MAPA COMPARATIVO'!A:B,2,FALSE),VLOOKUP(C1699,'NAO DESO'!A:B,2,0))</f>
        <v>SERVENTE COM ENCARGOS COMPLEMENTARES</v>
      </c>
      <c r="E1699" s="241" t="str">
        <f>VLOOKUP($C1699,'NAO DESO'!$A:$D,3,)</f>
        <v>H</v>
      </c>
      <c r="F1699" s="242">
        <v>8</v>
      </c>
      <c r="G1699" s="242" t="str">
        <f>IF(B1699="SEPLAG",VLOOKUP(CONCATENATE("MEDIANA - ",C1699),COTAÇÃO,5,FALSE),VLOOKUP($C1699,'NAO DESO'!$A:$D,4,))</f>
        <v>16,83</v>
      </c>
      <c r="H1699" s="242">
        <f t="shared" si="144"/>
        <v>134.63999999999999</v>
      </c>
      <c r="I1699" s="54" t="str">
        <f>IF(B1699="SEPLAG",VLOOKUP(CONCATENATE("MEDIANA - ",C1699),COTAÇÃO,5,FALSE),VLOOKUP($C1699,DESON!$A:$D,4,))</f>
        <v>15,16</v>
      </c>
      <c r="J1699" s="209">
        <f t="shared" si="145"/>
        <v>121.28</v>
      </c>
    </row>
    <row r="1700" spans="1:10" ht="15" customHeight="1">
      <c r="A1700" s="210" t="str">
        <f>CONCATENATE("TOTAL DO ITEM NÃO DESON. - ",C1684)</f>
        <v>TOTAL DO ITEM NÃO DESON. - SEPLAG  ARQ 100</v>
      </c>
      <c r="B1700" s="424"/>
      <c r="C1700" s="424"/>
      <c r="D1700" s="424"/>
      <c r="E1700" s="424"/>
      <c r="F1700" s="425"/>
      <c r="G1700" s="426"/>
      <c r="H1700" s="1182">
        <f>SUM(H1686:H1699)</f>
        <v>8458.18</v>
      </c>
      <c r="I1700" s="214"/>
      <c r="J1700" s="215"/>
    </row>
    <row r="1701" spans="1:10" ht="15.75" customHeight="1" thickBot="1">
      <c r="A1701" s="216" t="str">
        <f>CONCATENATE("TOTAL DO ITEM DESON. - ",C1684)</f>
        <v>TOTAL DO ITEM DESON. - SEPLAG  ARQ 100</v>
      </c>
      <c r="B1701" s="427"/>
      <c r="C1701" s="427"/>
      <c r="D1701" s="427"/>
      <c r="E1701" s="427"/>
      <c r="F1701" s="428"/>
      <c r="G1701" s="429"/>
      <c r="H1701" s="1187"/>
      <c r="I1701" s="229"/>
      <c r="J1701" s="219">
        <f>SUM(J1686:J1699)</f>
        <v>8267.7400000000016</v>
      </c>
    </row>
    <row r="1702" spans="1:10" ht="15" customHeight="1" thickBot="1">
      <c r="A1702" s="235"/>
      <c r="B1702" s="1135"/>
      <c r="C1702" s="1135"/>
      <c r="D1702" s="1135"/>
      <c r="E1702" s="1135"/>
      <c r="F1702" s="1188"/>
      <c r="G1702" s="1188"/>
      <c r="H1702" s="1188"/>
      <c r="I1702" s="236"/>
      <c r="J1702" s="237"/>
    </row>
    <row r="1703" spans="1:10" ht="24" customHeight="1">
      <c r="A1703" s="198"/>
      <c r="B1703" s="1175"/>
      <c r="C1703" s="1176" t="s">
        <v>7395</v>
      </c>
      <c r="D1703" s="156" t="s">
        <v>7396</v>
      </c>
      <c r="E1703" s="1176" t="s">
        <v>32</v>
      </c>
      <c r="F1703" s="1177" t="s">
        <v>18</v>
      </c>
      <c r="G1703" s="1178" t="s">
        <v>7017</v>
      </c>
      <c r="H1703" s="1179"/>
      <c r="I1703" s="200" t="s">
        <v>7016</v>
      </c>
      <c r="J1703" s="201"/>
    </row>
    <row r="1704" spans="1:10" ht="15" customHeight="1">
      <c r="A1704" s="233"/>
      <c r="B1704" s="247"/>
      <c r="C1704" s="1155"/>
      <c r="D1704" s="157"/>
      <c r="E1704" s="1155"/>
      <c r="F1704" s="1180"/>
      <c r="G1704" s="1180" t="s">
        <v>19</v>
      </c>
      <c r="H1704" s="1180" t="s">
        <v>20</v>
      </c>
      <c r="I1704" s="205" t="s">
        <v>19</v>
      </c>
      <c r="J1704" s="206" t="s">
        <v>20</v>
      </c>
    </row>
    <row r="1705" spans="1:10" ht="15" customHeight="1">
      <c r="A1705" s="208" t="s">
        <v>39</v>
      </c>
      <c r="B1705" s="241"/>
      <c r="C1705" s="1181">
        <v>4006</v>
      </c>
      <c r="D1705" s="161" t="str">
        <f>IF(B1705="SEPLAG",VLOOKUP(COMPOSIÇÕES!C1705,'MAPA COMPARATIVO'!A:B,2,FALSE),VLOOKUP(C1705,'NAO DESO'!A:B,2,0))</f>
        <v>MADEIRA SERRADA EM PINUS, MISTA OU EQUIVALENTE DA REGIAO - BRUTA</v>
      </c>
      <c r="E1705" s="241" t="str">
        <f>VLOOKUP($C1705,'NAO DESO'!$A:$D,3,)</f>
        <v xml:space="preserve">M3    </v>
      </c>
      <c r="F1705" s="242">
        <v>16.5</v>
      </c>
      <c r="G1705" s="242">
        <f>IF(B1705="SEPLAG",VLOOKUP(CONCATENATE("MEDIANA - ",C1705),COTAÇÃO,5,FALSE),VLOOKUP($C1705,'NAO DESO'!$A:$D,4,))</f>
        <v>2021.19</v>
      </c>
      <c r="H1705" s="242">
        <f t="shared" ref="H1705:H1720" si="146">TRUNC(F1705*G1705,2)</f>
        <v>33349.629999999997</v>
      </c>
      <c r="I1705" s="54" t="str">
        <f>IF(B1705="SEPLAG",VLOOKUP(CONCATENATE("MEDIANA - ",C1705),COTAÇÃO,5,FALSE),VLOOKUP($C1705,DESON!$A:$D,4,))</f>
        <v>2.021,19</v>
      </c>
      <c r="J1705" s="209">
        <f t="shared" ref="J1705:J1720" si="147">TRUNC(F1705*I1705,2)</f>
        <v>33349.629999999997</v>
      </c>
    </row>
    <row r="1706" spans="1:10" ht="26.25" customHeight="1">
      <c r="A1706" s="208" t="s">
        <v>39</v>
      </c>
      <c r="B1706" s="241"/>
      <c r="C1706" s="1181">
        <v>93358</v>
      </c>
      <c r="D1706" s="161" t="str">
        <f>IF(B1706="SEPLAG",VLOOKUP(COMPOSIÇÕES!C1706,'MAPA COMPARATIVO'!A:B,2,FALSE),VLOOKUP(C1706,'NAO DESO'!A:B,2,0))</f>
        <v>ESCAVAÇÃO MANUAL DE VALA COM PROFUNDIDADE MENOR OU IGUAL A 1,30 M. AF_02/2021</v>
      </c>
      <c r="E1706" s="241" t="str">
        <f>VLOOKUP($C1706,'NAO DESO'!$A:$D,3,)</f>
        <v>M3</v>
      </c>
      <c r="F1706" s="242">
        <v>9.82</v>
      </c>
      <c r="G1706" s="242" t="str">
        <f>IF(B1706="SEPLAG",VLOOKUP(CONCATENATE("MEDIANA - ",C1706),COTAÇÃO,5,FALSE),VLOOKUP($C1706,'NAO DESO'!$A:$D,4,))</f>
        <v>66,57</v>
      </c>
      <c r="H1706" s="242">
        <f t="shared" si="146"/>
        <v>653.71</v>
      </c>
      <c r="I1706" s="54" t="str">
        <f>IF(B1706="SEPLAG",VLOOKUP(CONCATENATE("MEDIANA - ",C1706),COTAÇÃO,5,FALSE),VLOOKUP($C1706,DESON!$A:$D,4,))</f>
        <v>59,97</v>
      </c>
      <c r="J1706" s="209">
        <f t="shared" si="147"/>
        <v>588.9</v>
      </c>
    </row>
    <row r="1707" spans="1:10" ht="39" customHeight="1">
      <c r="A1707" s="208" t="s">
        <v>39</v>
      </c>
      <c r="B1707" s="241"/>
      <c r="C1707" s="1181">
        <v>94964</v>
      </c>
      <c r="D1707" s="161" t="str">
        <f>IF(B1707="SEPLAG",VLOOKUP(COMPOSIÇÕES!C1707,'MAPA COMPARATIVO'!A:B,2,FALSE),VLOOKUP(C1707,'NAO DESO'!A:B,2,0))</f>
        <v>CONCRETO FCK = 20MPA, TRAÇO 1:2,7:3 (EM MASSA SECA DE CIMENTO/ AREIA MÉDIA/ BRITA 1) - PREPARO MECÂNICO COM BETONEIRA 400 L. AF_05/2021</v>
      </c>
      <c r="E1707" s="241" t="str">
        <f>VLOOKUP($C1707,'NAO DESO'!$A:$D,3,)</f>
        <v>M3</v>
      </c>
      <c r="F1707" s="242">
        <f>F1706</f>
        <v>9.82</v>
      </c>
      <c r="G1707" s="242" t="str">
        <f>IF(B1707="SEPLAG",VLOOKUP(CONCATENATE("MEDIANA - ",C1707),COTAÇÃO,5,FALSE),VLOOKUP($C1707,'NAO DESO'!$A:$D,4,))</f>
        <v>414,17</v>
      </c>
      <c r="H1707" s="242">
        <f t="shared" si="146"/>
        <v>4067.14</v>
      </c>
      <c r="I1707" s="54" t="str">
        <f>IF(B1707="SEPLAG",VLOOKUP(CONCATENATE("MEDIANA - ",C1707),COTAÇÃO,5,FALSE),VLOOKUP($C1707,DESON!$A:$D,4,))</f>
        <v>407,40</v>
      </c>
      <c r="J1707" s="209">
        <f t="shared" si="147"/>
        <v>4000.66</v>
      </c>
    </row>
    <row r="1708" spans="1:10" ht="26.25" customHeight="1">
      <c r="A1708" s="208" t="s">
        <v>39</v>
      </c>
      <c r="B1708" s="241"/>
      <c r="C1708" s="1181">
        <v>102203</v>
      </c>
      <c r="D1708" s="161" t="str">
        <f>IF(B1708="SEPLAG",VLOOKUP(COMPOSIÇÕES!C1708,'MAPA COMPARATIVO'!A:B,2,FALSE),VLOOKUP(C1708,'NAO DESO'!A:B,2,0))</f>
        <v>PINTURA VERNIZ (INCOLOR) ALQUÍDICO EM MADEIRA, USO INTERNO E EXTERNO, 1 DEMÃO. AF_01/2021</v>
      </c>
      <c r="E1708" s="241" t="str">
        <f>VLOOKUP($C1708,'NAO DESO'!$A:$D,3,)</f>
        <v>M2</v>
      </c>
      <c r="F1708" s="242">
        <v>286.49</v>
      </c>
      <c r="G1708" s="242" t="str">
        <f>IF(B1708="SEPLAG",VLOOKUP(CONCATENATE("MEDIANA - ",C1708),COTAÇÃO,5,FALSE),VLOOKUP($C1708,'NAO DESO'!$A:$D,4,))</f>
        <v>7,64</v>
      </c>
      <c r="H1708" s="242">
        <f t="shared" si="146"/>
        <v>2188.7800000000002</v>
      </c>
      <c r="I1708" s="54" t="str">
        <f>IF(B1708="SEPLAG",VLOOKUP(CONCATENATE("MEDIANA - ",C1708),COTAÇÃO,5,FALSE),VLOOKUP($C1708,DESON!$A:$D,4,))</f>
        <v>7,12</v>
      </c>
      <c r="J1708" s="209">
        <f t="shared" si="147"/>
        <v>2039.8</v>
      </c>
    </row>
    <row r="1709" spans="1:10" ht="15" customHeight="1">
      <c r="A1709" s="208" t="s">
        <v>39</v>
      </c>
      <c r="B1709" s="241"/>
      <c r="C1709" s="1181">
        <v>102234</v>
      </c>
      <c r="D1709" s="161" t="str">
        <f>IF(B1709="SEPLAG",VLOOKUP(COMPOSIÇÕES!C1709,'MAPA COMPARATIVO'!A:B,2,FALSE),VLOOKUP(C1709,'NAO DESO'!A:B,2,0))</f>
        <v>PINTURA IMUNIZANTE PARA MADEIRA, 2 DEMÃOS. AF_01/2021</v>
      </c>
      <c r="E1709" s="241" t="str">
        <f>VLOOKUP($C1709,'NAO DESO'!$A:$D,3,)</f>
        <v>M2</v>
      </c>
      <c r="F1709" s="242">
        <v>313.79000000000002</v>
      </c>
      <c r="G1709" s="242" t="str">
        <f>IF(B1709="SEPLAG",VLOOKUP(CONCATENATE("MEDIANA - ",C1709),COTAÇÃO,5,FALSE),VLOOKUP($C1709,'NAO DESO'!$A:$D,4,))</f>
        <v>26,21</v>
      </c>
      <c r="H1709" s="242">
        <f t="shared" si="146"/>
        <v>8224.43</v>
      </c>
      <c r="I1709" s="54" t="str">
        <f>IF(B1709="SEPLAG",VLOOKUP(CONCATENATE("MEDIANA - ",C1709),COTAÇÃO,5,FALSE),VLOOKUP($C1709,DESON!$A:$D,4,))</f>
        <v>25,20</v>
      </c>
      <c r="J1709" s="209">
        <f t="shared" si="147"/>
        <v>7907.5</v>
      </c>
    </row>
    <row r="1710" spans="1:10" ht="26.25" customHeight="1">
      <c r="A1710" s="208" t="s">
        <v>39</v>
      </c>
      <c r="B1710" s="241"/>
      <c r="C1710" s="1181">
        <v>102193</v>
      </c>
      <c r="D1710" s="161" t="str">
        <f>IF(B1710="SEPLAG",VLOOKUP(COMPOSIÇÕES!C1710,'MAPA COMPARATIVO'!A:B,2,FALSE),VLOOKUP(C1710,'NAO DESO'!A:B,2,0))</f>
        <v>LIXAMENTO DE MADEIRA PARA APLICAÇÃO DE FUNDO OU PINTURA. AF_01/2021</v>
      </c>
      <c r="E1710" s="241" t="str">
        <f>VLOOKUP($C1710,'NAO DESO'!$A:$D,3,)</f>
        <v>M2</v>
      </c>
      <c r="F1710" s="242">
        <f>F1708</f>
        <v>286.49</v>
      </c>
      <c r="G1710" s="242" t="str">
        <f>IF(B1710="SEPLAG",VLOOKUP(CONCATENATE("MEDIANA - ",C1710),COTAÇÃO,5,FALSE),VLOOKUP($C1710,'NAO DESO'!$A:$D,4,))</f>
        <v>1,63</v>
      </c>
      <c r="H1710" s="242">
        <f t="shared" si="146"/>
        <v>466.97</v>
      </c>
      <c r="I1710" s="54" t="str">
        <f>IF(B1710="SEPLAG",VLOOKUP(CONCATENATE("MEDIANA - ",C1710),COTAÇÃO,5,FALSE),VLOOKUP($C1710,DESON!$A:$D,4,))</f>
        <v>1,51</v>
      </c>
      <c r="J1710" s="209">
        <f t="shared" si="147"/>
        <v>432.59</v>
      </c>
    </row>
    <row r="1711" spans="1:10" ht="26.25" customHeight="1">
      <c r="A1711" s="208" t="s">
        <v>39</v>
      </c>
      <c r="B1711" s="241"/>
      <c r="C1711" s="1181">
        <v>429</v>
      </c>
      <c r="D1711" s="161" t="str">
        <f>IF(B1711="SEPLAG",VLOOKUP(COMPOSIÇÕES!C1711,'MAPA COMPARATIVO'!A:B,2,FALSE),VLOOKUP(C1711,'NAO DESO'!A:B,2,0))</f>
        <v>PARAFUSO M16 EM ACO GALVANIZADO, COMPRIMENTO = 300 MM, DIAMETRO = 16 MM, ROSCA DUPLA</v>
      </c>
      <c r="E1711" s="241" t="str">
        <f>VLOOKUP($C1711,'NAO DESO'!$A:$D,3,)</f>
        <v xml:space="preserve">UN    </v>
      </c>
      <c r="F1711" s="242">
        <v>39</v>
      </c>
      <c r="G1711" s="242">
        <f>IF(B1711="SEPLAG",VLOOKUP(CONCATENATE("MEDIANA - ",C1711),COTAÇÃO,5,FALSE),VLOOKUP($C1711,'NAO DESO'!$A:$D,4,))</f>
        <v>12.11</v>
      </c>
      <c r="H1711" s="242">
        <f t="shared" si="146"/>
        <v>472.29</v>
      </c>
      <c r="I1711" s="54" t="str">
        <f>IF(B1711="SEPLAG",VLOOKUP(CONCATENATE("MEDIANA - ",C1711),COTAÇÃO,5,FALSE),VLOOKUP($C1711,DESON!$A:$D,4,))</f>
        <v>12,11</v>
      </c>
      <c r="J1711" s="209">
        <f t="shared" si="147"/>
        <v>472.29</v>
      </c>
    </row>
    <row r="1712" spans="1:10" ht="26.25" customHeight="1">
      <c r="A1712" s="208" t="s">
        <v>39</v>
      </c>
      <c r="B1712" s="241"/>
      <c r="C1712" s="1181">
        <v>431</v>
      </c>
      <c r="D1712" s="161" t="str">
        <f>IF(B1712="SEPLAG",VLOOKUP(COMPOSIÇÕES!C1712,'MAPA COMPARATIVO'!A:B,2,FALSE),VLOOKUP(C1712,'NAO DESO'!A:B,2,0))</f>
        <v>PARAFUSO M16 EM ACO GALVANIZADO, COMPRIMENTO = 200 MM, DIAMETRO = 16 MM, ROSCA MAQUINA, CABECA QUADRADA</v>
      </c>
      <c r="E1712" s="241" t="str">
        <f>VLOOKUP($C1712,'NAO DESO'!$A:$D,3,)</f>
        <v xml:space="preserve">UN    </v>
      </c>
      <c r="F1712" s="242">
        <f>11*2</f>
        <v>22</v>
      </c>
      <c r="G1712" s="242">
        <f>IF(B1712="SEPLAG",VLOOKUP(CONCATENATE("MEDIANA - ",C1712),COTAÇÃO,5,FALSE),VLOOKUP($C1712,'NAO DESO'!$A:$D,4,))</f>
        <v>8.14</v>
      </c>
      <c r="H1712" s="242">
        <f t="shared" si="146"/>
        <v>179.08</v>
      </c>
      <c r="I1712" s="54" t="str">
        <f>IF(B1712="SEPLAG",VLOOKUP(CONCATENATE("MEDIANA - ",C1712),COTAÇÃO,5,FALSE),VLOOKUP($C1712,DESON!$A:$D,4,))</f>
        <v>8,14</v>
      </c>
      <c r="J1712" s="209">
        <f t="shared" si="147"/>
        <v>179.08</v>
      </c>
    </row>
    <row r="1713" spans="1:10" ht="26.25" customHeight="1">
      <c r="A1713" s="208" t="s">
        <v>39</v>
      </c>
      <c r="B1713" s="241"/>
      <c r="C1713" s="1181">
        <v>40623</v>
      </c>
      <c r="D1713" s="161" t="str">
        <f>IF(B1713="SEPLAG",VLOOKUP(COMPOSIÇÕES!C1713,'MAPA COMPARATIVO'!A:B,2,FALSE),VLOOKUP(C1713,'NAO DESO'!A:B,2,0))</f>
        <v>CHAPA PARA EMENDA DE VIGA, EM ACO GROSSO, QUALIDADE ESTRUTURAL, BITOLA 3/16 ", E= 4,75 MM, 4 FUROS, LARGURA 45 MM, COMPRIMENTO 500 MM</v>
      </c>
      <c r="E1713" s="241" t="str">
        <f>VLOOKUP($C1713,'NAO DESO'!$A:$D,3,)</f>
        <v xml:space="preserve">PAR   </v>
      </c>
      <c r="F1713" s="242">
        <v>11</v>
      </c>
      <c r="G1713" s="242">
        <f>IF(B1713="SEPLAG",VLOOKUP(CONCATENATE("MEDIANA - ",C1713),COTAÇÃO,5,FALSE),VLOOKUP($C1713,'NAO DESO'!$A:$D,4,))</f>
        <v>127.23</v>
      </c>
      <c r="H1713" s="242">
        <f t="shared" si="146"/>
        <v>1399.53</v>
      </c>
      <c r="I1713" s="54" t="str">
        <f>IF(B1713="SEPLAG",VLOOKUP(CONCATENATE("MEDIANA - ",C1713),COTAÇÃO,5,FALSE),VLOOKUP($C1713,DESON!$A:$D,4,))</f>
        <v>127,23</v>
      </c>
      <c r="J1713" s="209">
        <f t="shared" si="147"/>
        <v>1399.53</v>
      </c>
    </row>
    <row r="1714" spans="1:10" ht="15" customHeight="1">
      <c r="A1714" s="208" t="s">
        <v>39</v>
      </c>
      <c r="B1714" s="241"/>
      <c r="C1714" s="1181">
        <v>40568</v>
      </c>
      <c r="D1714" s="161" t="str">
        <f>IF(B1714="SEPLAG",VLOOKUP(COMPOSIÇÕES!C1714,'MAPA COMPARATIVO'!A:B,2,FALSE),VLOOKUP(C1714,'NAO DESO'!A:B,2,0))</f>
        <v>PREGO DE ACO POLIDO COM CABECA 22 X 48 (4 1/4 X 5)</v>
      </c>
      <c r="E1714" s="241" t="str">
        <f>VLOOKUP($C1714,'NAO DESO'!$A:$D,3,)</f>
        <v xml:space="preserve">KG    </v>
      </c>
      <c r="F1714" s="242">
        <v>3</v>
      </c>
      <c r="G1714" s="242">
        <f>IF(B1714="SEPLAG",VLOOKUP(CONCATENATE("MEDIANA - ",C1714),COTAÇÃO,5,FALSE),VLOOKUP($C1714,'NAO DESO'!$A:$D,4,))</f>
        <v>23.94</v>
      </c>
      <c r="H1714" s="242">
        <f t="shared" si="146"/>
        <v>71.819999999999993</v>
      </c>
      <c r="I1714" s="54" t="str">
        <f>IF(B1714="SEPLAG",VLOOKUP(CONCATENATE("MEDIANA - ",C1714),COTAÇÃO,5,FALSE),VLOOKUP($C1714,DESON!$A:$D,4,))</f>
        <v>23,94</v>
      </c>
      <c r="J1714" s="209">
        <f t="shared" si="147"/>
        <v>71.819999999999993</v>
      </c>
    </row>
    <row r="1715" spans="1:10" ht="15" customHeight="1">
      <c r="A1715" s="208" t="s">
        <v>39</v>
      </c>
      <c r="B1715" s="241"/>
      <c r="C1715" s="1181">
        <v>88309</v>
      </c>
      <c r="D1715" s="161" t="str">
        <f>IF(B1715="SEPLAG",VLOOKUP(COMPOSIÇÕES!C1715,'MAPA COMPARATIVO'!A:B,2,FALSE),VLOOKUP(C1715,'NAO DESO'!A:B,2,0))</f>
        <v>PEDREIRO COM ENCARGOS COMPLEMENTARES</v>
      </c>
      <c r="E1715" s="241" t="str">
        <f>VLOOKUP($C1715,'NAO DESO'!$A:$D,3,)</f>
        <v>H</v>
      </c>
      <c r="F1715" s="242">
        <v>24</v>
      </c>
      <c r="G1715" s="242" t="str">
        <f>IF(B1715="SEPLAG",VLOOKUP(CONCATENATE("MEDIANA - ",C1715),COTAÇÃO,5,FALSE),VLOOKUP($C1715,'NAO DESO'!$A:$D,4,))</f>
        <v>21,10</v>
      </c>
      <c r="H1715" s="242">
        <f t="shared" si="146"/>
        <v>506.4</v>
      </c>
      <c r="I1715" s="54" t="str">
        <f>IF(B1715="SEPLAG",VLOOKUP(CONCATENATE("MEDIANA - ",C1715),COTAÇÃO,5,FALSE),VLOOKUP($C1715,DESON!$A:$D,4,))</f>
        <v>18,86</v>
      </c>
      <c r="J1715" s="209">
        <f t="shared" si="147"/>
        <v>452.64</v>
      </c>
    </row>
    <row r="1716" spans="1:10" ht="15" customHeight="1">
      <c r="A1716" s="208" t="s">
        <v>39</v>
      </c>
      <c r="B1716" s="241"/>
      <c r="C1716" s="1181">
        <v>88242</v>
      </c>
      <c r="D1716" s="161" t="str">
        <f>IF(B1716="SEPLAG",VLOOKUP(COMPOSIÇÕES!C1716,'MAPA COMPARATIVO'!A:B,2,FALSE),VLOOKUP(C1716,'NAO DESO'!A:B,2,0))</f>
        <v>AJUDANTE DE PEDREIRO COM ENCARGOS COMPLEMENTARES</v>
      </c>
      <c r="E1716" s="241" t="str">
        <f>VLOOKUP($C1716,'NAO DESO'!$A:$D,3,)</f>
        <v>H</v>
      </c>
      <c r="F1716" s="242">
        <v>24</v>
      </c>
      <c r="G1716" s="242" t="str">
        <f>IF(B1716="SEPLAG",VLOOKUP(CONCATENATE("MEDIANA - ",C1716),COTAÇÃO,5,FALSE),VLOOKUP($C1716,'NAO DESO'!$A:$D,4,))</f>
        <v>16,87</v>
      </c>
      <c r="H1716" s="242">
        <f t="shared" si="146"/>
        <v>404.88</v>
      </c>
      <c r="I1716" s="54" t="str">
        <f>IF(B1716="SEPLAG",VLOOKUP(CONCATENATE("MEDIANA - ",C1716),COTAÇÃO,5,FALSE),VLOOKUP($C1716,DESON!$A:$D,4,))</f>
        <v>15,22</v>
      </c>
      <c r="J1716" s="209">
        <f t="shared" si="147"/>
        <v>365.28</v>
      </c>
    </row>
    <row r="1717" spans="1:10" ht="15" customHeight="1">
      <c r="A1717" s="208" t="s">
        <v>39</v>
      </c>
      <c r="B1717" s="241"/>
      <c r="C1717" s="1181">
        <v>88239</v>
      </c>
      <c r="D1717" s="161" t="str">
        <f>IF(B1717="SEPLAG",VLOOKUP(COMPOSIÇÕES!C1717,'MAPA COMPARATIVO'!A:B,2,FALSE),VLOOKUP(C1717,'NAO DESO'!A:B,2,0))</f>
        <v>AJUDANTE DE CARPINTEIRO COM ENCARGOS COMPLEMENTARES</v>
      </c>
      <c r="E1717" s="241" t="str">
        <f>VLOOKUP($C1717,'NAO DESO'!$A:$D,3,)</f>
        <v>H</v>
      </c>
      <c r="F1717" s="242">
        <v>24</v>
      </c>
      <c r="G1717" s="242" t="str">
        <f>IF(B1717="SEPLAG",VLOOKUP(CONCATENATE("MEDIANA - ",C1717),COTAÇÃO,5,FALSE),VLOOKUP($C1717,'NAO DESO'!$A:$D,4,))</f>
        <v>17,75</v>
      </c>
      <c r="H1717" s="242">
        <f t="shared" si="146"/>
        <v>426</v>
      </c>
      <c r="I1717" s="54" t="str">
        <f>IF(B1717="SEPLAG",VLOOKUP(CONCATENATE("MEDIANA - ",C1717),COTAÇÃO,5,FALSE),VLOOKUP($C1717,DESON!$A:$D,4,))</f>
        <v>15,96</v>
      </c>
      <c r="J1717" s="209">
        <f t="shared" si="147"/>
        <v>383.04</v>
      </c>
    </row>
    <row r="1718" spans="1:10" ht="15" customHeight="1">
      <c r="A1718" s="208" t="s">
        <v>245</v>
      </c>
      <c r="B1718" s="241"/>
      <c r="C1718" s="1181">
        <v>88262</v>
      </c>
      <c r="D1718" s="161" t="str">
        <f>IF(B1718="SEPLAG",VLOOKUP(COMPOSIÇÕES!C1718,'MAPA COMPARATIVO'!A:B,2,FALSE),VLOOKUP(C1718,'NAO DESO'!A:B,2,0))</f>
        <v>CARPINTEIRO DE FORMAS COM ENCARGOS COMPLEMENTARES</v>
      </c>
      <c r="E1718" s="241" t="str">
        <f>VLOOKUP($C1718,'NAO DESO'!$A:$D,3,)</f>
        <v>H</v>
      </c>
      <c r="F1718" s="242">
        <v>24</v>
      </c>
      <c r="G1718" s="242" t="str">
        <f>IF(B1718="SEPLAG",VLOOKUP(CONCATENATE("MEDIANA - ",C1718),COTAÇÃO,5,FALSE),VLOOKUP($C1718,'NAO DESO'!$A:$D,4,))</f>
        <v>20,85</v>
      </c>
      <c r="H1718" s="242">
        <f t="shared" si="146"/>
        <v>500.4</v>
      </c>
      <c r="I1718" s="54" t="str">
        <f>IF(B1718="SEPLAG",VLOOKUP(CONCATENATE("MEDIANA - ",C1718),COTAÇÃO,5,FALSE),VLOOKUP($C1718,DESON!$A:$D,4,))</f>
        <v>18,63</v>
      </c>
      <c r="J1718" s="209">
        <f t="shared" si="147"/>
        <v>447.12</v>
      </c>
    </row>
    <row r="1719" spans="1:10" ht="15" customHeight="1">
      <c r="A1719" s="208" t="s">
        <v>245</v>
      </c>
      <c r="B1719" s="241"/>
      <c r="C1719" s="1181">
        <v>88310</v>
      </c>
      <c r="D1719" s="161" t="str">
        <f>IF(B1719="SEPLAG",VLOOKUP(COMPOSIÇÕES!C1719,'MAPA COMPARATIVO'!A:B,2,FALSE),VLOOKUP(C1719,'NAO DESO'!A:B,2,0))</f>
        <v>PINTOR COM ENCARGOS COMPLEMENTARES</v>
      </c>
      <c r="E1719" s="241" t="str">
        <f>VLOOKUP($C1719,'NAO DESO'!$A:$D,3,)</f>
        <v>H</v>
      </c>
      <c r="F1719" s="242">
        <v>12</v>
      </c>
      <c r="G1719" s="242" t="str">
        <f>IF(B1719="SEPLAG",VLOOKUP(CONCATENATE("MEDIANA - ",C1719),COTAÇÃO,5,FALSE),VLOOKUP($C1719,'NAO DESO'!$A:$D,4,))</f>
        <v>22,17</v>
      </c>
      <c r="H1719" s="242">
        <f t="shared" si="146"/>
        <v>266.04000000000002</v>
      </c>
      <c r="I1719" s="54" t="str">
        <f>IF(B1719="SEPLAG",VLOOKUP(CONCATENATE("MEDIANA - ",C1719),COTAÇÃO,5,FALSE),VLOOKUP($C1719,DESON!$A:$D,4,))</f>
        <v>19,94</v>
      </c>
      <c r="J1719" s="209">
        <f t="shared" si="147"/>
        <v>239.28</v>
      </c>
    </row>
    <row r="1720" spans="1:10" ht="15" customHeight="1">
      <c r="A1720" s="208" t="s">
        <v>245</v>
      </c>
      <c r="B1720" s="241"/>
      <c r="C1720" s="1181">
        <v>88316</v>
      </c>
      <c r="D1720" s="161" t="str">
        <f>IF(B1720="SEPLAG",VLOOKUP(COMPOSIÇÕES!C1720,'MAPA COMPARATIVO'!A:B,2,FALSE),VLOOKUP(C1720,'NAO DESO'!A:B,2,0))</f>
        <v>SERVENTE COM ENCARGOS COMPLEMENTARES</v>
      </c>
      <c r="E1720" s="241" t="str">
        <f>VLOOKUP($C1720,'NAO DESO'!$A:$D,3,)</f>
        <v>H</v>
      </c>
      <c r="F1720" s="242">
        <v>12</v>
      </c>
      <c r="G1720" s="242" t="str">
        <f>IF(B1720="SEPLAG",VLOOKUP(CONCATENATE("MEDIANA - ",C1720),COTAÇÃO,5,FALSE),VLOOKUP($C1720,'NAO DESO'!$A:$D,4,))</f>
        <v>16,83</v>
      </c>
      <c r="H1720" s="242">
        <f t="shared" si="146"/>
        <v>201.96</v>
      </c>
      <c r="I1720" s="54" t="str">
        <f>IF(B1720="SEPLAG",VLOOKUP(CONCATENATE("MEDIANA - ",C1720),COTAÇÃO,5,FALSE),VLOOKUP($C1720,DESON!$A:$D,4,))</f>
        <v>15,16</v>
      </c>
      <c r="J1720" s="209">
        <f t="shared" si="147"/>
        <v>181.92</v>
      </c>
    </row>
    <row r="1721" spans="1:10" ht="15" customHeight="1">
      <c r="A1721" s="210" t="str">
        <f>CONCATENATE("TOTAL DO ITEM NÃO DESON. - ",C1703)</f>
        <v>TOTAL DO ITEM NÃO DESON. - SEPLAG  ARQ 101</v>
      </c>
      <c r="B1721" s="424"/>
      <c r="C1721" s="424"/>
      <c r="D1721" s="424"/>
      <c r="E1721" s="424"/>
      <c r="F1721" s="425"/>
      <c r="G1721" s="426"/>
      <c r="H1721" s="1182">
        <f>SUM(H1705:H1720)</f>
        <v>53379.06</v>
      </c>
      <c r="I1721" s="214"/>
      <c r="J1721" s="215"/>
    </row>
    <row r="1722" spans="1:10" ht="15.75" customHeight="1" thickBot="1">
      <c r="A1722" s="216" t="str">
        <f>CONCATENATE("TOTAL DO ITEM DESON. - ",C1703)</f>
        <v>TOTAL DO ITEM DESON. - SEPLAG  ARQ 101</v>
      </c>
      <c r="B1722" s="427"/>
      <c r="C1722" s="427"/>
      <c r="D1722" s="427"/>
      <c r="E1722" s="427"/>
      <c r="F1722" s="428"/>
      <c r="G1722" s="429"/>
      <c r="H1722" s="1187"/>
      <c r="I1722" s="229"/>
      <c r="J1722" s="219">
        <f>SUM(J1705:J1720)</f>
        <v>52511.08</v>
      </c>
    </row>
    <row r="1723" spans="1:10" ht="15" customHeight="1" thickBot="1">
      <c r="A1723" s="235"/>
      <c r="B1723" s="1135"/>
      <c r="C1723" s="1135"/>
      <c r="D1723" s="1135"/>
      <c r="E1723" s="1135"/>
      <c r="F1723" s="1188"/>
      <c r="G1723" s="1188"/>
      <c r="H1723" s="1188"/>
      <c r="I1723" s="236"/>
      <c r="J1723" s="237"/>
    </row>
    <row r="1724" spans="1:10" ht="24.75" customHeight="1">
      <c r="A1724" s="198"/>
      <c r="B1724" s="1175"/>
      <c r="C1724" s="1176" t="s">
        <v>7523</v>
      </c>
      <c r="D1724" s="156" t="s">
        <v>7525</v>
      </c>
      <c r="E1724" s="1176" t="s">
        <v>430</v>
      </c>
      <c r="F1724" s="1177" t="s">
        <v>18</v>
      </c>
      <c r="G1724" s="1178" t="s">
        <v>7017</v>
      </c>
      <c r="H1724" s="1179"/>
      <c r="I1724" s="200" t="s">
        <v>7016</v>
      </c>
      <c r="J1724" s="201"/>
    </row>
    <row r="1725" spans="1:10" ht="15" customHeight="1">
      <c r="A1725" s="233"/>
      <c r="B1725" s="247"/>
      <c r="C1725" s="1155"/>
      <c r="D1725" s="157"/>
      <c r="E1725" s="1155"/>
      <c r="F1725" s="1180"/>
      <c r="G1725" s="1180" t="s">
        <v>19</v>
      </c>
      <c r="H1725" s="1180" t="s">
        <v>20</v>
      </c>
      <c r="I1725" s="205" t="s">
        <v>19</v>
      </c>
      <c r="J1725" s="206" t="s">
        <v>20</v>
      </c>
    </row>
    <row r="1726" spans="1:10" ht="15" customHeight="1">
      <c r="A1726" s="233"/>
      <c r="B1726" s="247"/>
      <c r="C1726" s="1155"/>
      <c r="D1726" s="157" t="s">
        <v>13106</v>
      </c>
      <c r="E1726" s="1155"/>
      <c r="F1726" s="1180"/>
      <c r="G1726" s="1180"/>
      <c r="H1726" s="1180"/>
      <c r="I1726" s="205"/>
      <c r="J1726" s="206"/>
    </row>
    <row r="1727" spans="1:10" ht="15" customHeight="1">
      <c r="A1727" s="208" t="s">
        <v>39</v>
      </c>
      <c r="B1727" s="241"/>
      <c r="C1727" s="1197">
        <v>43082</v>
      </c>
      <c r="D1727" s="161" t="str">
        <f>IF(B1727="SEPLAG",VLOOKUP(COMPOSIÇÕES!C1727,'MAPA COMPARATIVO'!A:B,2,FALSE),VLOOKUP(C1727,'NAO DESO'!A:B,2,0))</f>
        <v>PERFIL "I" DE ACO LAMINADO, ABAS PARALELAS, "W", QUALQUER BITOLA</v>
      </c>
      <c r="E1727" s="241" t="str">
        <f>VLOOKUP($C1727,'NAO DESO'!$A:$D,3,)</f>
        <v xml:space="preserve">KG    </v>
      </c>
      <c r="F1727" s="242">
        <v>1.05</v>
      </c>
      <c r="G1727" s="242">
        <f>IF(B1727="SEPLAG",VLOOKUP(CONCATENATE("MEDIANA - ",C1727),COTAÇÃO,5,FALSE),VLOOKUP($C1727,'NAO DESO'!$A:$D,4,))</f>
        <v>12.8</v>
      </c>
      <c r="H1727" s="242">
        <f>TRUNC(F1727*G1727,2)</f>
        <v>13.44</v>
      </c>
      <c r="I1727" s="54" t="str">
        <f>IF(B1727="SEPLAG",VLOOKUP(CONCATENATE("MEDIANA - ",C1727),COTAÇÃO,5,FALSE),VLOOKUP($C1727,DESON!$A:$D,4,))</f>
        <v>12,80</v>
      </c>
      <c r="J1727" s="209">
        <f>TRUNC(F1727*I1727,2)</f>
        <v>13.44</v>
      </c>
    </row>
    <row r="1728" spans="1:10" ht="15" customHeight="1">
      <c r="A1728" s="208" t="s">
        <v>39</v>
      </c>
      <c r="B1728" s="241"/>
      <c r="C1728" s="1197">
        <v>88315</v>
      </c>
      <c r="D1728" s="161" t="str">
        <f>IF(B1728="SEPLAG",VLOOKUP(COMPOSIÇÕES!C1728,'MAPA COMPARATIVO'!A:B,2,FALSE),VLOOKUP(C1728,'NAO DESO'!A:B,2,0))</f>
        <v>SERRALHEIRO COM ENCARGOS COMPLEMENTARES</v>
      </c>
      <c r="E1728" s="241" t="str">
        <f>VLOOKUP($C1728,'NAO DESO'!$A:$D,3,)</f>
        <v>H</v>
      </c>
      <c r="F1728" s="242">
        <v>0.15</v>
      </c>
      <c r="G1728" s="242" t="str">
        <f>IF(B1728="SEPLAG",VLOOKUP(CONCATENATE("MEDIANA - ",C1728),COTAÇÃO,5,FALSE),VLOOKUP($C1728,'NAO DESO'!$A:$D,4,))</f>
        <v>20,97</v>
      </c>
      <c r="H1728" s="242">
        <f>TRUNC(F1728*G1728,2)</f>
        <v>3.14</v>
      </c>
      <c r="I1728" s="54" t="str">
        <f>IF(B1728="SEPLAG",VLOOKUP(CONCATENATE("MEDIANA - ",C1728),COTAÇÃO,5,FALSE),VLOOKUP($C1728,DESON!$A:$D,4,))</f>
        <v>18,75</v>
      </c>
      <c r="J1728" s="209">
        <f>TRUNC(F1728*I1728,2)</f>
        <v>2.81</v>
      </c>
    </row>
    <row r="1729" spans="1:10" ht="15" customHeight="1">
      <c r="A1729" s="208" t="s">
        <v>39</v>
      </c>
      <c r="B1729" s="241"/>
      <c r="C1729" s="1197">
        <v>88316</v>
      </c>
      <c r="D1729" s="161" t="str">
        <f>IF(B1729="SEPLAG",VLOOKUP(COMPOSIÇÕES!C1729,'MAPA COMPARATIVO'!A:B,2,FALSE),VLOOKUP(C1729,'NAO DESO'!A:B,2,0))</f>
        <v>SERVENTE COM ENCARGOS COMPLEMENTARES</v>
      </c>
      <c r="E1729" s="241" t="str">
        <f>VLOOKUP($C1729,'NAO DESO'!$A:$D,3,)</f>
        <v>H</v>
      </c>
      <c r="F1729" s="242">
        <v>0.15</v>
      </c>
      <c r="G1729" s="242" t="str">
        <f>IF(B1729="SEPLAG",VLOOKUP(CONCATENATE("MEDIANA - ",C1729),COTAÇÃO,5,FALSE),VLOOKUP($C1729,'NAO DESO'!$A:$D,4,))</f>
        <v>16,83</v>
      </c>
      <c r="H1729" s="242">
        <f>TRUNC(F1729*G1729,2)</f>
        <v>2.52</v>
      </c>
      <c r="I1729" s="54" t="str">
        <f>IF(B1729="SEPLAG",VLOOKUP(CONCATENATE("MEDIANA - ",C1729),COTAÇÃO,5,FALSE),VLOOKUP($C1729,DESON!$A:$D,4,))</f>
        <v>15,16</v>
      </c>
      <c r="J1729" s="209">
        <f>TRUNC(F1729*I1729,2)</f>
        <v>2.27</v>
      </c>
    </row>
    <row r="1730" spans="1:10" ht="26.25" customHeight="1">
      <c r="A1730" s="208" t="s">
        <v>39</v>
      </c>
      <c r="B1730" s="241"/>
      <c r="C1730" s="1197">
        <v>98746</v>
      </c>
      <c r="D1730" s="161" t="str">
        <f>IF(B1730="SEPLAG",VLOOKUP(COMPOSIÇÕES!C1730,'MAPA COMPARATIVO'!A:B,2,FALSE),VLOOKUP(C1730,'NAO DESO'!A:B,2,0))</f>
        <v>SOLDA DE TOPO EM CHAPA/PERFIL/TUBO DE AÇO CHANFRADO, ESPESSURA=1/4''. AF_06/2018</v>
      </c>
      <c r="E1730" s="241" t="str">
        <f>VLOOKUP($C1730,'NAO DESO'!$A:$D,3,)</f>
        <v>M</v>
      </c>
      <c r="F1730" s="242">
        <v>6.0000000000000001E-3</v>
      </c>
      <c r="G1730" s="242" t="str">
        <f>IF(B1730="SEPLAG",VLOOKUP(CONCATENATE("MEDIANA - ",C1730),COTAÇÃO,5,FALSE),VLOOKUP($C1730,'NAO DESO'!$A:$D,4,))</f>
        <v>51,70</v>
      </c>
      <c r="H1730" s="242">
        <f>TRUNC(F1730*G1730,2)</f>
        <v>0.31</v>
      </c>
      <c r="I1730" s="54" t="str">
        <f>IF(B1730="SEPLAG",VLOOKUP(CONCATENATE("MEDIANA - ",C1730),COTAÇÃO,5,FALSE),VLOOKUP($C1730,DESON!$A:$D,4,))</f>
        <v>48,23</v>
      </c>
      <c r="J1730" s="209">
        <f>TRUNC(F1730*I1730,2)</f>
        <v>0.28000000000000003</v>
      </c>
    </row>
    <row r="1731" spans="1:10" ht="15" customHeight="1">
      <c r="A1731" s="210" t="str">
        <f>CONCATENATE("TOTAL DO ITEM NÃO DESON. - ",C1724)</f>
        <v>TOTAL DO ITEM NÃO DESON. - SEPLAG  ARQ 102</v>
      </c>
      <c r="B1731" s="424"/>
      <c r="C1731" s="424"/>
      <c r="D1731" s="424"/>
      <c r="E1731" s="424"/>
      <c r="F1731" s="425"/>
      <c r="G1731" s="426"/>
      <c r="H1731" s="1182">
        <f>SUM(H1727:H1730)</f>
        <v>19.409999999999997</v>
      </c>
      <c r="I1731" s="214"/>
      <c r="J1731" s="215"/>
    </row>
    <row r="1732" spans="1:10" ht="15.75" customHeight="1" thickBot="1">
      <c r="A1732" s="216" t="str">
        <f>CONCATENATE("TOTAL DO ITEM DESON. - ",C1724)</f>
        <v>TOTAL DO ITEM DESON. - SEPLAG  ARQ 102</v>
      </c>
      <c r="B1732" s="427"/>
      <c r="C1732" s="427"/>
      <c r="D1732" s="427"/>
      <c r="E1732" s="427"/>
      <c r="F1732" s="428"/>
      <c r="G1732" s="429"/>
      <c r="H1732" s="1187"/>
      <c r="I1732" s="229"/>
      <c r="J1732" s="219">
        <f>SUM(J1727:J1730)</f>
        <v>18.8</v>
      </c>
    </row>
    <row r="1733" spans="1:10" ht="15" customHeight="1" thickBot="1">
      <c r="A1733" s="235"/>
      <c r="B1733" s="1135"/>
      <c r="C1733" s="1135"/>
      <c r="D1733" s="1135"/>
      <c r="E1733" s="1135"/>
      <c r="F1733" s="1188"/>
      <c r="G1733" s="1188"/>
      <c r="H1733" s="1188"/>
      <c r="I1733" s="236"/>
      <c r="J1733" s="237"/>
    </row>
    <row r="1734" spans="1:10" ht="29.25" customHeight="1">
      <c r="A1734" s="198"/>
      <c r="B1734" s="1175"/>
      <c r="C1734" s="1152" t="s">
        <v>7528</v>
      </c>
      <c r="D1734" s="152" t="s">
        <v>13241</v>
      </c>
      <c r="E1734" s="1176" t="s">
        <v>207</v>
      </c>
      <c r="F1734" s="1177" t="s">
        <v>18</v>
      </c>
      <c r="G1734" s="1178" t="s">
        <v>7017</v>
      </c>
      <c r="H1734" s="1179"/>
      <c r="I1734" s="200" t="s">
        <v>7016</v>
      </c>
      <c r="J1734" s="201"/>
    </row>
    <row r="1735" spans="1:10" ht="17.25" customHeight="1">
      <c r="A1735" s="233"/>
      <c r="B1735" s="247"/>
      <c r="C1735" s="430"/>
      <c r="D1735" s="158"/>
      <c r="E1735" s="1155"/>
      <c r="F1735" s="1180"/>
      <c r="G1735" s="1180" t="s">
        <v>19</v>
      </c>
      <c r="H1735" s="1180" t="s">
        <v>20</v>
      </c>
      <c r="I1735" s="205" t="s">
        <v>19</v>
      </c>
      <c r="J1735" s="206" t="s">
        <v>20</v>
      </c>
    </row>
    <row r="1736" spans="1:10" ht="15.75" customHeight="1">
      <c r="A1736" s="240"/>
      <c r="B1736" s="241"/>
      <c r="C1736" s="241" t="s">
        <v>228</v>
      </c>
      <c r="D1736" s="161" t="s">
        <v>401</v>
      </c>
      <c r="E1736" s="241"/>
      <c r="F1736" s="242"/>
      <c r="G1736" s="242"/>
      <c r="H1736" s="242"/>
      <c r="I1736" s="242"/>
      <c r="J1736" s="243"/>
    </row>
    <row r="1737" spans="1:10" ht="15.75" customHeight="1">
      <c r="A1737" s="208" t="s">
        <v>245</v>
      </c>
      <c r="B1737" s="241"/>
      <c r="C1737" s="249">
        <v>88316</v>
      </c>
      <c r="D1737" s="161" t="str">
        <f>IF(B1737="SEPLAG",VLOOKUP(COMPOSIÇÕES!C1737,'MAPA COMPARATIVO'!A:B,2,FALSE),VLOOKUP(C1737,'NAO DESO'!A:B,2,0))</f>
        <v>SERVENTE COM ENCARGOS COMPLEMENTARES</v>
      </c>
      <c r="E1737" s="241" t="str">
        <f>VLOOKUP($C1737,'NAO DESO'!$A:$D,3,)</f>
        <v>H</v>
      </c>
      <c r="F1737" s="242">
        <v>4.9000000000000004</v>
      </c>
      <c r="G1737" s="242" t="str">
        <f>IF(B1737="SEPLAG",VLOOKUP(CONCATENATE("MEDIANA - ",C1737),COTAÇÃO,5,FALSE),VLOOKUP($C1737,'NAO DESO'!$A:$D,4,))</f>
        <v>16,83</v>
      </c>
      <c r="H1737" s="242">
        <f>TRUNC(F1737*G1737,2)</f>
        <v>82.46</v>
      </c>
      <c r="I1737" s="54" t="str">
        <f>IF(B1737="SEPLAG",VLOOKUP(CONCATENATE("MEDIANA - ",C1737),COTAÇÃO,5,FALSE),VLOOKUP($C1737,DESON!$A:$D,4,))</f>
        <v>15,16</v>
      </c>
      <c r="J1737" s="209">
        <f>TRUNC(F1737*I1737,2)</f>
        <v>74.28</v>
      </c>
    </row>
    <row r="1738" spans="1:10" ht="15.75" customHeight="1">
      <c r="A1738" s="208" t="s">
        <v>245</v>
      </c>
      <c r="B1738" s="241"/>
      <c r="C1738" s="249">
        <v>88278</v>
      </c>
      <c r="D1738" s="161" t="str">
        <f>IF(B1738="SEPLAG",VLOOKUP(COMPOSIÇÕES!C1738,'MAPA COMPARATIVO'!A:B,2,FALSE),VLOOKUP(C1738,'NAO DESO'!A:B,2,0))</f>
        <v>MONTADOR DE ESTRUTURA METÁLICA COM ENCARGOS COMPLEMENTARES</v>
      </c>
      <c r="E1738" s="241" t="str">
        <f>VLOOKUP($C1738,'NAO DESO'!$A:$D,3,)</f>
        <v>H</v>
      </c>
      <c r="F1738" s="242">
        <v>2.6</v>
      </c>
      <c r="G1738" s="242" t="str">
        <f>IF(B1738="SEPLAG",VLOOKUP(CONCATENATE("MEDIANA - ",C1738),COTAÇÃO,5,FALSE),VLOOKUP($C1738,'NAO DESO'!$A:$D,4,))</f>
        <v>15,22</v>
      </c>
      <c r="H1738" s="242">
        <f>TRUNC(F1738*G1738,2)</f>
        <v>39.57</v>
      </c>
      <c r="I1738" s="54" t="str">
        <f>IF(B1738="SEPLAG",VLOOKUP(CONCATENATE("MEDIANA - ",C1738),COTAÇÃO,5,FALSE),VLOOKUP($C1738,DESON!$A:$D,4,))</f>
        <v>13,65</v>
      </c>
      <c r="J1738" s="209">
        <f>TRUNC(F1738*I1738,2)</f>
        <v>35.49</v>
      </c>
    </row>
    <row r="1739" spans="1:10" ht="15.75" customHeight="1">
      <c r="A1739" s="208" t="s">
        <v>245</v>
      </c>
      <c r="B1739" s="241"/>
      <c r="C1739" s="249">
        <v>88315</v>
      </c>
      <c r="D1739" s="161" t="str">
        <f>IF(B1739="SEPLAG",VLOOKUP(COMPOSIÇÕES!C1739,'MAPA COMPARATIVO'!A:B,2,FALSE),VLOOKUP(C1739,'NAO DESO'!A:B,2,0))</f>
        <v>SERRALHEIRO COM ENCARGOS COMPLEMENTARES</v>
      </c>
      <c r="E1739" s="241" t="str">
        <f>VLOOKUP($C1739,'NAO DESO'!$A:$D,3,)</f>
        <v>H</v>
      </c>
      <c r="F1739" s="242">
        <v>2.2999999999999998</v>
      </c>
      <c r="G1739" s="242" t="str">
        <f>IF(B1739="SEPLAG",VLOOKUP(CONCATENATE("MEDIANA - ",C1739),COTAÇÃO,5,FALSE),VLOOKUP($C1739,'NAO DESO'!$A:$D,4,))</f>
        <v>20,97</v>
      </c>
      <c r="H1739" s="242">
        <f>TRUNC(F1739*G1739,2)</f>
        <v>48.23</v>
      </c>
      <c r="I1739" s="54" t="str">
        <f>IF(B1739="SEPLAG",VLOOKUP(CONCATENATE("MEDIANA - ",C1739),COTAÇÃO,5,FALSE),VLOOKUP($C1739,DESON!$A:$D,4,))</f>
        <v>18,75</v>
      </c>
      <c r="J1739" s="209">
        <f>TRUNC(F1739*I1739,2)</f>
        <v>43.12</v>
      </c>
    </row>
    <row r="1740" spans="1:10" ht="15.75" customHeight="1">
      <c r="A1740" s="208"/>
      <c r="B1740" s="241"/>
      <c r="C1740" s="247"/>
      <c r="D1740" s="161"/>
      <c r="E1740" s="247"/>
      <c r="F1740" s="242"/>
      <c r="G1740" s="242"/>
      <c r="H1740" s="242"/>
      <c r="I1740" s="54"/>
      <c r="J1740" s="209"/>
    </row>
    <row r="1741" spans="1:10" ht="15.75" customHeight="1">
      <c r="A1741" s="210" t="str">
        <f>CONCATENATE("TOTAL DO ITEM NÃO DESON. - ",C1734)</f>
        <v>TOTAL DO ITEM NÃO DESON. - SEPLAG ARQ 103</v>
      </c>
      <c r="B1741" s="424"/>
      <c r="C1741" s="424"/>
      <c r="D1741" s="424"/>
      <c r="E1741" s="424"/>
      <c r="F1741" s="425"/>
      <c r="G1741" s="426"/>
      <c r="H1741" s="1189"/>
      <c r="I1741" s="214"/>
      <c r="J1741" s="215"/>
    </row>
    <row r="1742" spans="1:10" ht="15.75" customHeight="1" thickBot="1">
      <c r="A1742" s="216" t="str">
        <f>CONCATENATE("TOTAL DO ITEM DESON. - ",C1734)</f>
        <v>TOTAL DO ITEM DESON. - SEPLAG ARQ 103</v>
      </c>
      <c r="B1742" s="427"/>
      <c r="C1742" s="427"/>
      <c r="D1742" s="427"/>
      <c r="E1742" s="427"/>
      <c r="F1742" s="428"/>
      <c r="G1742" s="429"/>
      <c r="H1742" s="1190"/>
      <c r="I1742" s="229"/>
      <c r="J1742" s="219"/>
    </row>
    <row r="1743" spans="1:10" ht="15.75" customHeight="1" thickBot="1">
      <c r="A1743" s="235"/>
      <c r="B1743" s="1135"/>
      <c r="C1743" s="1135"/>
      <c r="D1743" s="1135"/>
      <c r="E1743" s="1135"/>
      <c r="F1743" s="1188"/>
      <c r="G1743" s="1188"/>
      <c r="H1743" s="1188"/>
      <c r="I1743" s="236"/>
      <c r="J1743" s="237"/>
    </row>
    <row r="1744" spans="1:10" ht="28.5" customHeight="1">
      <c r="A1744" s="198"/>
      <c r="B1744" s="1175"/>
      <c r="C1744" s="1152" t="s">
        <v>7533</v>
      </c>
      <c r="D1744" s="152" t="s">
        <v>7530</v>
      </c>
      <c r="E1744" s="1176" t="s">
        <v>24</v>
      </c>
      <c r="F1744" s="1177" t="s">
        <v>18</v>
      </c>
      <c r="G1744" s="1178" t="s">
        <v>7017</v>
      </c>
      <c r="H1744" s="1179"/>
      <c r="I1744" s="200" t="s">
        <v>7016</v>
      </c>
      <c r="J1744" s="201"/>
    </row>
    <row r="1745" spans="1:10" ht="14.25" customHeight="1">
      <c r="A1745" s="233"/>
      <c r="B1745" s="247"/>
      <c r="C1745" s="430"/>
      <c r="D1745" s="158"/>
      <c r="E1745" s="1155"/>
      <c r="F1745" s="1180"/>
      <c r="G1745" s="1180" t="s">
        <v>19</v>
      </c>
      <c r="H1745" s="1180" t="s">
        <v>20</v>
      </c>
      <c r="I1745" s="205" t="s">
        <v>19</v>
      </c>
      <c r="J1745" s="206" t="s">
        <v>20</v>
      </c>
    </row>
    <row r="1746" spans="1:10" ht="15" customHeight="1">
      <c r="A1746" s="240"/>
      <c r="B1746" s="241"/>
      <c r="C1746" s="241" t="s">
        <v>228</v>
      </c>
      <c r="D1746" s="161" t="s">
        <v>7529</v>
      </c>
      <c r="E1746" s="241"/>
      <c r="F1746" s="242"/>
      <c r="G1746" s="242"/>
      <c r="H1746" s="242"/>
      <c r="I1746" s="242"/>
      <c r="J1746" s="243"/>
    </row>
    <row r="1747" spans="1:10" ht="15" customHeight="1">
      <c r="A1747" s="208" t="s">
        <v>245</v>
      </c>
      <c r="B1747" s="241"/>
      <c r="C1747" s="1197">
        <v>34360</v>
      </c>
      <c r="D1747" s="161" t="str">
        <f>IF(B1747="SEPLAG",VLOOKUP(COMPOSIÇÕES!C1747,'MAPA COMPARATIVO'!A:B,2,FALSE),VLOOKUP(C1747,'NAO DESO'!A:B,2,0))</f>
        <v>PERFIL DE ALUMINIO ANODIZADO</v>
      </c>
      <c r="E1747" s="241" t="str">
        <f>VLOOKUP($C1747,'NAO DESO'!$A:$D,3,)</f>
        <v xml:space="preserve">KG    </v>
      </c>
      <c r="F1747" s="242">
        <f>(3+3+3+2.5+2.5+2.5)*1.46</f>
        <v>24.09</v>
      </c>
      <c r="G1747" s="242">
        <f>IF(B1747="SEPLAG",VLOOKUP(CONCATENATE("MEDIANA - ",C1747),COTAÇÃO,5,FALSE),VLOOKUP($C1747,'NAO DESO'!$A:$D,4,))</f>
        <v>47.31</v>
      </c>
      <c r="H1747" s="242">
        <f>TRUNC(F1747*G1747,2)</f>
        <v>1139.69</v>
      </c>
      <c r="I1747" s="54" t="str">
        <f>IF(B1747="SEPLAG",VLOOKUP(CONCATENATE("MEDIANA - ",C1747),COTAÇÃO,5,FALSE),VLOOKUP($C1747,DESON!$A:$D,4,))</f>
        <v>47,31</v>
      </c>
      <c r="J1747" s="209">
        <f>TRUNC(F1747*I1747,2)</f>
        <v>1139.69</v>
      </c>
    </row>
    <row r="1748" spans="1:10" ht="26.25" customHeight="1">
      <c r="A1748" s="208" t="s">
        <v>245</v>
      </c>
      <c r="B1748" s="241"/>
      <c r="C1748" s="1197">
        <v>43701</v>
      </c>
      <c r="D1748" s="161" t="str">
        <f>IF(B1748="SEPLAG",VLOOKUP(COMPOSIÇÕES!C1748,'MAPA COMPARATIVO'!A:B,2,FALSE),VLOOKUP(C1748,'NAO DESO'!A:B,2,0))</f>
        <v>CHAPA/BOBINA LISA EM ALUMINIO, LIGA 1.200 - H14, QUALQUER ESPESSURA, QUALQUER LARGURA</v>
      </c>
      <c r="E1748" s="241" t="str">
        <f>VLOOKUP($C1748,'NAO DESO'!$A:$D,3,)</f>
        <v xml:space="preserve">KG    </v>
      </c>
      <c r="F1748" s="242">
        <f>(3*2.5)*8.1</f>
        <v>60.75</v>
      </c>
      <c r="G1748" s="242">
        <f>IF(B1748="SEPLAG",VLOOKUP(CONCATENATE("MEDIANA - ",C1748),COTAÇÃO,5,FALSE),VLOOKUP($C1748,'NAO DESO'!$A:$D,4,))</f>
        <v>47.83</v>
      </c>
      <c r="H1748" s="242">
        <f>TRUNC(F1748*G1748,2)</f>
        <v>2905.67</v>
      </c>
      <c r="I1748" s="54" t="str">
        <f>IF(B1748="SEPLAG",VLOOKUP(CONCATENATE("MEDIANA - ",C1748),COTAÇÃO,5,FALSE),VLOOKUP($C1748,DESON!$A:$D,4,))</f>
        <v>47,83</v>
      </c>
      <c r="J1748" s="209">
        <f>TRUNC(F1748*I1748,2)</f>
        <v>2905.67</v>
      </c>
    </row>
    <row r="1749" spans="1:10" ht="15" customHeight="1">
      <c r="A1749" s="208" t="s">
        <v>245</v>
      </c>
      <c r="B1749" s="241"/>
      <c r="C1749" s="1197">
        <v>88315</v>
      </c>
      <c r="D1749" s="161" t="str">
        <f>IF(B1749="SEPLAG",VLOOKUP(COMPOSIÇÕES!C1749,'MAPA COMPARATIVO'!A:B,2,FALSE),VLOOKUP(C1749,'NAO DESO'!A:B,2,0))</f>
        <v>SERRALHEIRO COM ENCARGOS COMPLEMENTARES</v>
      </c>
      <c r="E1749" s="241" t="str">
        <f>VLOOKUP($C1749,'NAO DESO'!$A:$D,3,)</f>
        <v>H</v>
      </c>
      <c r="F1749" s="242">
        <v>24</v>
      </c>
      <c r="G1749" s="242" t="str">
        <f>IF(B1749="SEPLAG",VLOOKUP(CONCATENATE("MEDIANA - ",C1749),COTAÇÃO,5,FALSE),VLOOKUP($C1749,'NAO DESO'!$A:$D,4,))</f>
        <v>20,97</v>
      </c>
      <c r="H1749" s="242">
        <f>TRUNC(F1749*G1749,2)</f>
        <v>503.28</v>
      </c>
      <c r="I1749" s="54" t="str">
        <f>IF(B1749="SEPLAG",VLOOKUP(CONCATENATE("MEDIANA - ",C1749),COTAÇÃO,5,FALSE),VLOOKUP($C1749,DESON!$A:$D,4,))</f>
        <v>18,75</v>
      </c>
      <c r="J1749" s="209">
        <f>TRUNC(F1749*I1749,2)</f>
        <v>450</v>
      </c>
    </row>
    <row r="1750" spans="1:10" ht="25.5" customHeight="1">
      <c r="A1750" s="208" t="s">
        <v>245</v>
      </c>
      <c r="B1750" s="241"/>
      <c r="C1750" s="1197">
        <v>88251</v>
      </c>
      <c r="D1750" s="161" t="str">
        <f>IF(B1750="SEPLAG",VLOOKUP(COMPOSIÇÕES!C1750,'MAPA COMPARATIVO'!A:B,2,FALSE),VLOOKUP(C1750,'NAO DESO'!A:B,2,0))</f>
        <v>AUXILIAR DE SERRALHEIRO COM ENCARGOS COMPLEMENTARES</v>
      </c>
      <c r="E1750" s="241" t="str">
        <f>VLOOKUP($C1750,'NAO DESO'!$A:$D,3,)</f>
        <v>H</v>
      </c>
      <c r="F1750" s="242">
        <v>24</v>
      </c>
      <c r="G1750" s="242" t="str">
        <f>IF(B1750="SEPLAG",VLOOKUP(CONCATENATE("MEDIANA - ",C1750),COTAÇÃO,5,FALSE),VLOOKUP($C1750,'NAO DESO'!$A:$D,4,))</f>
        <v>17,84</v>
      </c>
      <c r="H1750" s="242">
        <f>TRUNC(F1750*G1750,2)</f>
        <v>428.16</v>
      </c>
      <c r="I1750" s="54" t="str">
        <f>IF(B1750="SEPLAG",VLOOKUP(CONCATENATE("MEDIANA - ",C1750),COTAÇÃO,5,FALSE),VLOOKUP($C1750,DESON!$A:$D,4,))</f>
        <v>16,05</v>
      </c>
      <c r="J1750" s="209">
        <f>TRUNC(F1750*I1750,2)</f>
        <v>385.2</v>
      </c>
    </row>
    <row r="1751" spans="1:10" ht="15" customHeight="1">
      <c r="A1751" s="210" t="str">
        <f>CONCATENATE("TOTAL DO ITEM NÃO DESON. - ",C1744)</f>
        <v>TOTAL DO ITEM NÃO DESON. - SEPLAG ARQ 104</v>
      </c>
      <c r="B1751" s="424"/>
      <c r="C1751" s="424"/>
      <c r="D1751" s="424"/>
      <c r="E1751" s="424"/>
      <c r="F1751" s="425"/>
      <c r="G1751" s="426"/>
      <c r="H1751" s="1189">
        <f>SUM(H1747:H1750)</f>
        <v>4976.8</v>
      </c>
      <c r="I1751" s="214"/>
      <c r="J1751" s="215"/>
    </row>
    <row r="1752" spans="1:10" ht="15.75" customHeight="1" thickBot="1">
      <c r="A1752" s="216" t="str">
        <f>CONCATENATE("TOTAL DO ITEM DESON. - ",C1744)</f>
        <v>TOTAL DO ITEM DESON. - SEPLAG ARQ 104</v>
      </c>
      <c r="B1752" s="427"/>
      <c r="C1752" s="427"/>
      <c r="D1752" s="427"/>
      <c r="E1752" s="427"/>
      <c r="F1752" s="428"/>
      <c r="G1752" s="429"/>
      <c r="H1752" s="1190"/>
      <c r="I1752" s="229"/>
      <c r="J1752" s="219">
        <f>SUM(J1747:J1750)</f>
        <v>4880.5600000000004</v>
      </c>
    </row>
    <row r="1753" spans="1:10" ht="53.25" customHeight="1" thickBot="1">
      <c r="A1753" s="235"/>
      <c r="B1753" s="1135"/>
      <c r="C1753" s="1135"/>
      <c r="D1753" s="1135"/>
      <c r="E1753" s="1135"/>
      <c r="F1753" s="1188"/>
      <c r="G1753" s="1188"/>
      <c r="H1753" s="1188"/>
      <c r="I1753" s="236"/>
      <c r="J1753" s="237"/>
    </row>
    <row r="1754" spans="1:10" ht="51" customHeight="1">
      <c r="A1754" s="230"/>
      <c r="B1754" s="1152"/>
      <c r="C1754" s="1176" t="s">
        <v>7573</v>
      </c>
      <c r="D1754" s="156" t="s">
        <v>13827</v>
      </c>
      <c r="E1754" s="1176" t="s">
        <v>8</v>
      </c>
      <c r="F1754" s="1177" t="s">
        <v>18</v>
      </c>
      <c r="G1754" s="1178" t="s">
        <v>7017</v>
      </c>
      <c r="H1754" s="1179"/>
      <c r="I1754" s="200" t="s">
        <v>7016</v>
      </c>
      <c r="J1754" s="201"/>
    </row>
    <row r="1755" spans="1:10" ht="64.5" customHeight="1">
      <c r="A1755" s="203"/>
      <c r="B1755" s="430"/>
      <c r="C1755" s="1155"/>
      <c r="D1755" s="157"/>
      <c r="E1755" s="1155"/>
      <c r="F1755" s="1180"/>
      <c r="G1755" s="1180" t="s">
        <v>19</v>
      </c>
      <c r="H1755" s="1180" t="s">
        <v>20</v>
      </c>
      <c r="I1755" s="205" t="s">
        <v>19</v>
      </c>
      <c r="J1755" s="206" t="s">
        <v>20</v>
      </c>
    </row>
    <row r="1756" spans="1:10" ht="15" customHeight="1">
      <c r="A1756" s="208" t="s">
        <v>188</v>
      </c>
      <c r="B1756" s="241" t="s">
        <v>14504</v>
      </c>
      <c r="C1756" s="241" t="s">
        <v>14320</v>
      </c>
      <c r="D1756" s="161" t="str">
        <f>IF(B1756="SEPLAG",VLOOKUP(COMPOSIÇÕES!C1756,'MAPA COMPARATIVO'!A:B,2,FALSE),VLOOKUP(C1756,'NAO DESO'!A:B,2,0))</f>
        <v>PORCELANATO 0,90X0,90m ARTSY CEMENT NATURAL, COR CINZA PORTOBELLO OU SIMILAR</v>
      </c>
      <c r="E1756" s="247" t="s">
        <v>12</v>
      </c>
      <c r="F1756" s="242">
        <v>1.05</v>
      </c>
      <c r="G1756" s="242">
        <f>IF(B1756="SEPLAG",VLOOKUP(CONCATENATE("MEDIANA - ",C1756),COTAÇÃO,5,FALSE),VLOOKUP($C1756,'NAO DESO'!$A:$D,4,))</f>
        <v>144.50800000000001</v>
      </c>
      <c r="H1756" s="242">
        <f>TRUNC(F1756*G1756,2)</f>
        <v>151.72999999999999</v>
      </c>
      <c r="I1756" s="54">
        <f>IF(B1756="SEPLAG",VLOOKUP(CONCATENATE("MEDIANA - ",C1756),COTAÇÃO,5,FALSE),VLOOKUP($C1756,DESON!$A:$D,4,))</f>
        <v>144.50800000000001</v>
      </c>
      <c r="J1756" s="209">
        <f>TRUNC(F1756*I1756,2)</f>
        <v>151.72999999999999</v>
      </c>
    </row>
    <row r="1757" spans="1:10" ht="15" customHeight="1">
      <c r="A1757" s="208" t="s">
        <v>39</v>
      </c>
      <c r="B1757" s="241"/>
      <c r="C1757" s="241">
        <v>34357</v>
      </c>
      <c r="D1757" s="161" t="str">
        <f>IF(B1757="SEPLAG",VLOOKUP(COMPOSIÇÕES!C1757,'MAPA COMPARATIVO'!A:B,2,FALSE),VLOOKUP(C1757,'NAO DESO'!A:B,2,0))</f>
        <v>REJUNTE CIMENTICIO, QUALQUER COR</v>
      </c>
      <c r="E1757" s="241" t="str">
        <f>VLOOKUP($C1757,'NAO DESO'!$A:$D,3,)</f>
        <v xml:space="preserve">KG    </v>
      </c>
      <c r="F1757" s="242">
        <v>0.42</v>
      </c>
      <c r="G1757" s="242">
        <f>IF(B1757="SEPLAG",VLOOKUP(CONCATENATE("MEDIANA - ",C1757),COTAÇÃO,5,FALSE),VLOOKUP($C1757,'NAO DESO'!$A:$D,4,))</f>
        <v>4.8099999999999996</v>
      </c>
      <c r="H1757" s="242">
        <f>TRUNC(F1757*G1757,2)</f>
        <v>2.02</v>
      </c>
      <c r="I1757" s="54" t="str">
        <f>IF(B1757="SEPLAG",VLOOKUP(CONCATENATE("MEDIANA - ",C1757),COTAÇÃO,5,FALSE),VLOOKUP($C1757,DESON!$A:$D,4,))</f>
        <v>4,81</v>
      </c>
      <c r="J1757" s="209">
        <f>TRUNC(F1757*I1757,2)</f>
        <v>2.02</v>
      </c>
    </row>
    <row r="1758" spans="1:10" ht="15" customHeight="1">
      <c r="A1758" s="208" t="s">
        <v>39</v>
      </c>
      <c r="B1758" s="241"/>
      <c r="C1758" s="1181">
        <v>37595</v>
      </c>
      <c r="D1758" s="161" t="str">
        <f>IF(B1758="SEPLAG",VLOOKUP(COMPOSIÇÕES!C1758,'MAPA COMPARATIVO'!A:B,2,FALSE),VLOOKUP(C1758,'NAO DESO'!A:B,2,0))</f>
        <v>ARGAMASSA COLANTE TIPO AC III</v>
      </c>
      <c r="E1758" s="241" t="str">
        <f>VLOOKUP($C1758,'NAO DESO'!$A:$D,3,)</f>
        <v xml:space="preserve">KG    </v>
      </c>
      <c r="F1758" s="242">
        <v>4.8600000000000003</v>
      </c>
      <c r="G1758" s="242">
        <f>IF(B1758="SEPLAG",VLOOKUP(CONCATENATE("MEDIANA - ",C1758),COTAÇÃO,5,FALSE),VLOOKUP($C1758,'NAO DESO'!$A:$D,4,))</f>
        <v>2.52</v>
      </c>
      <c r="H1758" s="242">
        <f>TRUNC(F1758*G1758,2)</f>
        <v>12.24</v>
      </c>
      <c r="I1758" s="54" t="str">
        <f>IF(B1758="SEPLAG",VLOOKUP(CONCATENATE("MEDIANA - ",C1758),COTAÇÃO,5,FALSE),VLOOKUP($C1758,DESON!$A:$D,4,))</f>
        <v>2,52</v>
      </c>
      <c r="J1758" s="209">
        <f>TRUNC(F1758*I1758,2)</f>
        <v>12.24</v>
      </c>
    </row>
    <row r="1759" spans="1:10" ht="15" customHeight="1">
      <c r="A1759" s="208" t="s">
        <v>348</v>
      </c>
      <c r="B1759" s="241"/>
      <c r="C1759" s="241">
        <v>88256</v>
      </c>
      <c r="D1759" s="161" t="str">
        <f>IF(B1759="SEPLAG",VLOOKUP(COMPOSIÇÕES!C1759,'MAPA COMPARATIVO'!A:B,2,FALSE),VLOOKUP(C1759,'NAO DESO'!A:B,2,0))</f>
        <v>AZULEJISTA OU LADRILHISTA COM ENCARGOS COMPLEMENTARES</v>
      </c>
      <c r="E1759" s="241" t="str">
        <f>VLOOKUP($C1759,'NAO DESO'!$A:$D,3,)</f>
        <v>H</v>
      </c>
      <c r="F1759" s="242">
        <v>0.49</v>
      </c>
      <c r="G1759" s="242" t="str">
        <f>IF(B1759="SEPLAG",VLOOKUP(CONCATENATE("MEDIANA - ",C1759),COTAÇÃO,5,FALSE),VLOOKUP($C1759,'NAO DESO'!$A:$D,4,))</f>
        <v>21,02</v>
      </c>
      <c r="H1759" s="242">
        <f>TRUNC(F1759*G1759,2)</f>
        <v>10.29</v>
      </c>
      <c r="I1759" s="54" t="str">
        <f>IF(B1759="SEPLAG",VLOOKUP(CONCATENATE("MEDIANA - ",C1759),COTAÇÃO,5,FALSE),VLOOKUP($C1759,DESON!$A:$D,4,))</f>
        <v>18,79</v>
      </c>
      <c r="J1759" s="209">
        <f>TRUNC(F1759*I1759,2)</f>
        <v>9.1999999999999993</v>
      </c>
    </row>
    <row r="1760" spans="1:10" ht="15" customHeight="1">
      <c r="A1760" s="208" t="s">
        <v>348</v>
      </c>
      <c r="B1760" s="241"/>
      <c r="C1760" s="1181">
        <v>88316</v>
      </c>
      <c r="D1760" s="161" t="str">
        <f>IF(B1760="SEPLAG",VLOOKUP(COMPOSIÇÕES!C1760,'MAPA COMPARATIVO'!A:B,2,FALSE),VLOOKUP(C1760,'NAO DESO'!A:B,2,0))</f>
        <v>SERVENTE COM ENCARGOS COMPLEMENTARES</v>
      </c>
      <c r="E1760" s="241" t="str">
        <f>VLOOKUP($C1760,'NAO DESO'!$A:$D,3,)</f>
        <v>H</v>
      </c>
      <c r="F1760" s="242">
        <v>0.28999999999999998</v>
      </c>
      <c r="G1760" s="242" t="str">
        <f>IF(B1760="SEPLAG",VLOOKUP(CONCATENATE("MEDIANA - ",C1760),COTAÇÃO,5,FALSE),VLOOKUP($C1760,'NAO DESO'!$A:$D,4,))</f>
        <v>16,83</v>
      </c>
      <c r="H1760" s="242">
        <f>TRUNC(F1760*G1760,2)</f>
        <v>4.88</v>
      </c>
      <c r="I1760" s="54" t="str">
        <f>IF(B1760="SEPLAG",VLOOKUP(CONCATENATE("MEDIANA - ",C1760),COTAÇÃO,5,FALSE),VLOOKUP($C1760,DESON!$A:$D,4,))</f>
        <v>15,16</v>
      </c>
      <c r="J1760" s="209">
        <f>TRUNC(F1760*I1760,2)</f>
        <v>4.3899999999999997</v>
      </c>
    </row>
    <row r="1761" spans="1:10" ht="15" customHeight="1">
      <c r="A1761" s="210" t="str">
        <f>CONCATENATE("TOTAL DO ITEM NÃO DESON. - ",C1754)</f>
        <v>TOTAL DO ITEM NÃO DESON. - SEPLAG ARQ 105</v>
      </c>
      <c r="B1761" s="424"/>
      <c r="C1761" s="424"/>
      <c r="D1761" s="424"/>
      <c r="E1761" s="424"/>
      <c r="F1761" s="425"/>
      <c r="G1761" s="426"/>
      <c r="H1761" s="1182">
        <f>SUM(H1756:H1760)</f>
        <v>181.16</v>
      </c>
      <c r="I1761" s="214"/>
      <c r="J1761" s="215"/>
    </row>
    <row r="1762" spans="1:10" ht="15.75" customHeight="1" thickBot="1">
      <c r="A1762" s="216" t="str">
        <f>CONCATENATE("TOTAL DO ITEM DESON. - ",C1754)</f>
        <v>TOTAL DO ITEM DESON. - SEPLAG ARQ 105</v>
      </c>
      <c r="B1762" s="427"/>
      <c r="C1762" s="427"/>
      <c r="D1762" s="427"/>
      <c r="E1762" s="427"/>
      <c r="F1762" s="428"/>
      <c r="G1762" s="429"/>
      <c r="H1762" s="1187"/>
      <c r="I1762" s="229"/>
      <c r="J1762" s="232">
        <f>SUM(J1756:J1760)</f>
        <v>179.57999999999998</v>
      </c>
    </row>
    <row r="1763" spans="1:10" ht="15" customHeight="1" thickBot="1">
      <c r="A1763" s="235"/>
      <c r="B1763" s="1135"/>
      <c r="C1763" s="1135"/>
      <c r="D1763" s="1135"/>
      <c r="E1763" s="1135"/>
      <c r="F1763" s="1188"/>
      <c r="G1763" s="1188"/>
      <c r="H1763" s="1188"/>
      <c r="I1763" s="236"/>
      <c r="J1763" s="237"/>
    </row>
    <row r="1764" spans="1:10" ht="63" customHeight="1">
      <c r="A1764" s="230"/>
      <c r="B1764" s="1152"/>
      <c r="C1764" s="1176" t="s">
        <v>7574</v>
      </c>
      <c r="D1764" s="156" t="s">
        <v>7652</v>
      </c>
      <c r="E1764" s="1176" t="s">
        <v>40</v>
      </c>
      <c r="F1764" s="1177" t="s">
        <v>18</v>
      </c>
      <c r="G1764" s="1178" t="s">
        <v>7017</v>
      </c>
      <c r="H1764" s="1179"/>
      <c r="I1764" s="200" t="s">
        <v>7016</v>
      </c>
      <c r="J1764" s="201"/>
    </row>
    <row r="1765" spans="1:10" ht="44.25" customHeight="1">
      <c r="A1765" s="203"/>
      <c r="B1765" s="430"/>
      <c r="C1765" s="1155"/>
      <c r="D1765" s="157"/>
      <c r="E1765" s="1155"/>
      <c r="F1765" s="1180"/>
      <c r="G1765" s="1180" t="s">
        <v>19</v>
      </c>
      <c r="H1765" s="1180" t="s">
        <v>20</v>
      </c>
      <c r="I1765" s="205" t="s">
        <v>19</v>
      </c>
      <c r="J1765" s="206" t="s">
        <v>20</v>
      </c>
    </row>
    <row r="1766" spans="1:10" ht="15" customHeight="1">
      <c r="A1766" s="208" t="s">
        <v>188</v>
      </c>
      <c r="B1766" s="241" t="s">
        <v>27929</v>
      </c>
      <c r="C1766" s="1198">
        <v>38195</v>
      </c>
      <c r="D1766" s="161" t="str">
        <f>IF(B1766="SEPLAG",VLOOKUP(COMPOSIÇÕES!C1766,'MAPA COMPARATIVO'!A:B,2,FALSE),VLOOKUP(C1766,'NAO DESO'!A:B,2,0))</f>
        <v>PISO PORCELANATO, BORDA RETA, EXTRA, FORMATO MAIOR QUE 2025 CM2</v>
      </c>
      <c r="E1766" s="247" t="s">
        <v>12</v>
      </c>
      <c r="F1766" s="242">
        <v>1.05</v>
      </c>
      <c r="G1766" s="242">
        <f>IF(B1766="SEPLAG",VLOOKUP(CONCATENATE("MEDIANA - ",C1766),COTAÇÃO,5,FALSE),VLOOKUP($C1766,'NAO DESO'!$A:$D,4,))</f>
        <v>97.55</v>
      </c>
      <c r="H1766" s="242">
        <f>TRUNC(F1766*G1766,2)</f>
        <v>102.42</v>
      </c>
      <c r="I1766" s="54" t="str">
        <f>IF(B1766="SEPLAG",VLOOKUP(CONCATENATE("MEDIANA - ",C1766),COTAÇÃO,5,FALSE),VLOOKUP($C1766,DESON!$A:$D,4,))</f>
        <v>97,55</v>
      </c>
      <c r="J1766" s="209">
        <f>TRUNC(F1766*I1766,2)</f>
        <v>102.42</v>
      </c>
    </row>
    <row r="1767" spans="1:10" ht="15" customHeight="1">
      <c r="A1767" s="208" t="s">
        <v>39</v>
      </c>
      <c r="B1767" s="241"/>
      <c r="C1767" s="241">
        <v>34357</v>
      </c>
      <c r="D1767" s="161" t="str">
        <f>IF(B1767="SEPLAG",VLOOKUP(COMPOSIÇÕES!C1767,'MAPA COMPARATIVO'!A:B,2,FALSE),VLOOKUP(C1767,'NAO DESO'!A:B,2,0))</f>
        <v>REJUNTE CIMENTICIO, QUALQUER COR</v>
      </c>
      <c r="E1767" s="241" t="str">
        <f>VLOOKUP($C1767,'NAO DESO'!$A:$D,3,)</f>
        <v xml:space="preserve">KG    </v>
      </c>
      <c r="F1767" s="242">
        <v>0.42</v>
      </c>
      <c r="G1767" s="242">
        <f>IF(B1767="SEPLAG",VLOOKUP(CONCATENATE("MEDIANA - ",C1767),COTAÇÃO,5,FALSE),VLOOKUP($C1767,'NAO DESO'!$A:$D,4,))</f>
        <v>4.8099999999999996</v>
      </c>
      <c r="H1767" s="242">
        <f>TRUNC(F1767*G1767,2)</f>
        <v>2.02</v>
      </c>
      <c r="I1767" s="54" t="str">
        <f>IF(B1767="SEPLAG",VLOOKUP(CONCATENATE("MEDIANA - ",C1767),COTAÇÃO,5,FALSE),VLOOKUP($C1767,DESON!$A:$D,4,))</f>
        <v>4,81</v>
      </c>
      <c r="J1767" s="209">
        <f>TRUNC(F1767*I1767,2)</f>
        <v>2.02</v>
      </c>
    </row>
    <row r="1768" spans="1:10" ht="15" customHeight="1">
      <c r="A1768" s="208" t="s">
        <v>39</v>
      </c>
      <c r="B1768" s="241"/>
      <c r="C1768" s="1181">
        <v>37595</v>
      </c>
      <c r="D1768" s="161" t="str">
        <f>IF(B1768="SEPLAG",VLOOKUP(COMPOSIÇÕES!C1768,'MAPA COMPARATIVO'!A:B,2,FALSE),VLOOKUP(C1768,'NAO DESO'!A:B,2,0))</f>
        <v>ARGAMASSA COLANTE TIPO AC III</v>
      </c>
      <c r="E1768" s="241" t="str">
        <f>VLOOKUP($C1768,'NAO DESO'!$A:$D,3,)</f>
        <v xml:space="preserve">KG    </v>
      </c>
      <c r="F1768" s="242">
        <v>4.8600000000000003</v>
      </c>
      <c r="G1768" s="242">
        <f>IF(B1768="SEPLAG",VLOOKUP(CONCATENATE("MEDIANA - ",C1768),COTAÇÃO,5,FALSE),VLOOKUP($C1768,'NAO DESO'!$A:$D,4,))</f>
        <v>2.52</v>
      </c>
      <c r="H1768" s="242">
        <f>TRUNC(F1768*G1768,2)</f>
        <v>12.24</v>
      </c>
      <c r="I1768" s="54" t="str">
        <f>IF(B1768="SEPLAG",VLOOKUP(CONCATENATE("MEDIANA - ",C1768),COTAÇÃO,5,FALSE),VLOOKUP($C1768,DESON!$A:$D,4,))</f>
        <v>2,52</v>
      </c>
      <c r="J1768" s="209">
        <f>TRUNC(F1768*I1768,2)</f>
        <v>12.24</v>
      </c>
    </row>
    <row r="1769" spans="1:10" ht="15" customHeight="1">
      <c r="A1769" s="208" t="s">
        <v>348</v>
      </c>
      <c r="B1769" s="241"/>
      <c r="C1769" s="241">
        <v>88256</v>
      </c>
      <c r="D1769" s="161" t="str">
        <f>IF(B1769="SEPLAG",VLOOKUP(COMPOSIÇÕES!C1769,'MAPA COMPARATIVO'!A:B,2,FALSE),VLOOKUP(C1769,'NAO DESO'!A:B,2,0))</f>
        <v>AZULEJISTA OU LADRILHISTA COM ENCARGOS COMPLEMENTARES</v>
      </c>
      <c r="E1769" s="241" t="str">
        <f>VLOOKUP($C1769,'NAO DESO'!$A:$D,3,)</f>
        <v>H</v>
      </c>
      <c r="F1769" s="242">
        <v>0.49</v>
      </c>
      <c r="G1769" s="242" t="str">
        <f>IF(B1769="SEPLAG",VLOOKUP(CONCATENATE("MEDIANA - ",C1769),COTAÇÃO,5,FALSE),VLOOKUP($C1769,'NAO DESO'!$A:$D,4,))</f>
        <v>21,02</v>
      </c>
      <c r="H1769" s="242">
        <f>TRUNC(F1769*G1769,2)</f>
        <v>10.29</v>
      </c>
      <c r="I1769" s="54" t="str">
        <f>IF(B1769="SEPLAG",VLOOKUP(CONCATENATE("MEDIANA - ",C1769),COTAÇÃO,5,FALSE),VLOOKUP($C1769,DESON!$A:$D,4,))</f>
        <v>18,79</v>
      </c>
      <c r="J1769" s="209">
        <f>TRUNC(F1769*I1769,2)</f>
        <v>9.1999999999999993</v>
      </c>
    </row>
    <row r="1770" spans="1:10" ht="15" customHeight="1">
      <c r="A1770" s="208" t="s">
        <v>348</v>
      </c>
      <c r="B1770" s="241"/>
      <c r="C1770" s="1181">
        <v>88316</v>
      </c>
      <c r="D1770" s="161" t="str">
        <f>IF(B1770="SEPLAG",VLOOKUP(COMPOSIÇÕES!C1770,'MAPA COMPARATIVO'!A:B,2,FALSE),VLOOKUP(C1770,'NAO DESO'!A:B,2,0))</f>
        <v>SERVENTE COM ENCARGOS COMPLEMENTARES</v>
      </c>
      <c r="E1770" s="241" t="str">
        <f>VLOOKUP($C1770,'NAO DESO'!$A:$D,3,)</f>
        <v>H</v>
      </c>
      <c r="F1770" s="242">
        <v>0.28999999999999998</v>
      </c>
      <c r="G1770" s="242" t="str">
        <f>IF(B1770="SEPLAG",VLOOKUP(CONCATENATE("MEDIANA - ",C1770),COTAÇÃO,5,FALSE),VLOOKUP($C1770,'NAO DESO'!$A:$D,4,))</f>
        <v>16,83</v>
      </c>
      <c r="H1770" s="242">
        <f>TRUNC(F1770*G1770,2)</f>
        <v>4.88</v>
      </c>
      <c r="I1770" s="54" t="str">
        <f>IF(B1770="SEPLAG",VLOOKUP(CONCATENATE("MEDIANA - ",C1770),COTAÇÃO,5,FALSE),VLOOKUP($C1770,DESON!$A:$D,4,))</f>
        <v>15,16</v>
      </c>
      <c r="J1770" s="209">
        <f>TRUNC(F1770*I1770,2)</f>
        <v>4.3899999999999997</v>
      </c>
    </row>
    <row r="1771" spans="1:10" ht="15" customHeight="1">
      <c r="A1771" s="210" t="str">
        <f>CONCATENATE("TOTAL DO ITEM NÃO DESON. - ",C1764)</f>
        <v>TOTAL DO ITEM NÃO DESON. - SEPLAG ARQ 106</v>
      </c>
      <c r="B1771" s="424"/>
      <c r="C1771" s="424"/>
      <c r="D1771" s="424"/>
      <c r="E1771" s="424"/>
      <c r="F1771" s="425"/>
      <c r="G1771" s="426"/>
      <c r="H1771" s="1182">
        <f>SUM(H1766:H1770)</f>
        <v>131.85</v>
      </c>
      <c r="I1771" s="214"/>
      <c r="J1771" s="215"/>
    </row>
    <row r="1772" spans="1:10" ht="15.75" customHeight="1" thickBot="1">
      <c r="A1772" s="216" t="str">
        <f>CONCATENATE("TOTAL DO ITEM DESON. - ",C1764)</f>
        <v>TOTAL DO ITEM DESON. - SEPLAG ARQ 106</v>
      </c>
      <c r="B1772" s="427"/>
      <c r="C1772" s="427"/>
      <c r="D1772" s="427"/>
      <c r="E1772" s="427"/>
      <c r="F1772" s="428"/>
      <c r="G1772" s="429"/>
      <c r="H1772" s="1187"/>
      <c r="I1772" s="229"/>
      <c r="J1772" s="219">
        <f>SUM(J1766:J1770)</f>
        <v>130.26999999999998</v>
      </c>
    </row>
    <row r="1773" spans="1:10" ht="15" customHeight="1" thickBot="1">
      <c r="A1773" s="235"/>
      <c r="B1773" s="1135"/>
      <c r="C1773" s="1135"/>
      <c r="D1773" s="1135"/>
      <c r="E1773" s="1135"/>
      <c r="F1773" s="1188"/>
      <c r="G1773" s="1188"/>
      <c r="H1773" s="1188"/>
      <c r="I1773" s="236"/>
      <c r="J1773" s="237"/>
    </row>
    <row r="1774" spans="1:10" ht="25.5" customHeight="1">
      <c r="A1774" s="230"/>
      <c r="B1774" s="1152"/>
      <c r="C1774" s="1176" t="s">
        <v>7575</v>
      </c>
      <c r="D1774" s="156" t="s">
        <v>7653</v>
      </c>
      <c r="E1774" s="1176" t="s">
        <v>40</v>
      </c>
      <c r="F1774" s="1177" t="s">
        <v>18</v>
      </c>
      <c r="G1774" s="1178" t="s">
        <v>7017</v>
      </c>
      <c r="H1774" s="1179"/>
      <c r="I1774" s="200" t="s">
        <v>7016</v>
      </c>
      <c r="J1774" s="201"/>
    </row>
    <row r="1775" spans="1:10" ht="15" customHeight="1">
      <c r="A1775" s="203"/>
      <c r="B1775" s="430"/>
      <c r="C1775" s="1155"/>
      <c r="D1775" s="157"/>
      <c r="E1775" s="1155"/>
      <c r="F1775" s="1180"/>
      <c r="G1775" s="1180" t="s">
        <v>19</v>
      </c>
      <c r="H1775" s="1180" t="s">
        <v>20</v>
      </c>
      <c r="I1775" s="205" t="s">
        <v>19</v>
      </c>
      <c r="J1775" s="206" t="s">
        <v>20</v>
      </c>
    </row>
    <row r="1776" spans="1:10" ht="15" customHeight="1">
      <c r="A1776" s="203"/>
      <c r="B1776" s="430"/>
      <c r="C1776" s="1155"/>
      <c r="D1776" s="157" t="s">
        <v>7576</v>
      </c>
      <c r="E1776" s="1155"/>
      <c r="F1776" s="1180"/>
      <c r="G1776" s="1180"/>
      <c r="H1776" s="1180"/>
      <c r="I1776" s="205"/>
      <c r="J1776" s="206"/>
    </row>
    <row r="1777" spans="1:10" ht="15" customHeight="1">
      <c r="A1777" s="208" t="s">
        <v>188</v>
      </c>
      <c r="B1777" s="241" t="s">
        <v>14504</v>
      </c>
      <c r="C1777" s="241" t="s">
        <v>14322</v>
      </c>
      <c r="D1777" s="161" t="str">
        <f>IF(B1777="SEPLAG",VLOOKUP(COMPOSIÇÕES!C1777,'MAPA COMPARATIVO'!A:B,2,FALSE),VLOOKUP(C1777,'NAO DESO'!A:B,2,0))</f>
        <v xml:space="preserve">BACIA SANITÁRIA PIANO DECA </v>
      </c>
      <c r="E1777" s="247" t="s">
        <v>24</v>
      </c>
      <c r="F1777" s="242">
        <v>1</v>
      </c>
      <c r="G1777" s="242">
        <f>IF(B1777="SEPLAG",VLOOKUP(CONCATENATE("MEDIANA - ",C1777),COTAÇÃO,5,FALSE),VLOOKUP($C1777,'NAO DESO'!$A:$D,4,))</f>
        <v>1656.82</v>
      </c>
      <c r="H1777" s="242">
        <f t="shared" ref="H1777:H1782" si="148">TRUNC(F1777*G1777,2)</f>
        <v>1656.82</v>
      </c>
      <c r="I1777" s="54">
        <f>IF(B1777="SEPLAG",VLOOKUP(CONCATENATE("MEDIANA - ",C1777),COTAÇÃO,5,FALSE),VLOOKUP($C1777,DESON!$A:$D,4,))</f>
        <v>1656.82</v>
      </c>
      <c r="J1777" s="209">
        <f t="shared" ref="J1777:J1782" si="149">TRUNC(F1777*I1777,2)</f>
        <v>1656.82</v>
      </c>
    </row>
    <row r="1778" spans="1:10" ht="52.5" customHeight="1">
      <c r="A1778" s="208" t="s">
        <v>39</v>
      </c>
      <c r="B1778" s="241"/>
      <c r="C1778" s="241">
        <v>4384</v>
      </c>
      <c r="D1778" s="161" t="str">
        <f>IF(B1778="SEPLAG",VLOOKUP(COMPOSIÇÕES!C1778,'MAPA COMPARATIVO'!A:B,2,FALSE),VLOOKUP(C1778,'NAO DESO'!A:B,2,0))</f>
        <v>PARAFUSO NIQUELADO COM ACABAMENTO CROMADO PARA FIXAR PECA SANITARIA, INCLUI PORCA CEGA, ARRUELA E BUCHA DE NYLON TAMANHO S-10</v>
      </c>
      <c r="E1778" s="241" t="str">
        <f>VLOOKUP($C1778,'NAO DESO'!$A:$D,3,)</f>
        <v xml:space="preserve">UN    </v>
      </c>
      <c r="F1778" s="242">
        <v>2</v>
      </c>
      <c r="G1778" s="242">
        <f>IF(B1778="SEPLAG",VLOOKUP(CONCATENATE("MEDIANA - ",C1778),COTAÇÃO,5,FALSE),VLOOKUP($C1778,'NAO DESO'!$A:$D,4,))</f>
        <v>25.66</v>
      </c>
      <c r="H1778" s="242">
        <f t="shared" si="148"/>
        <v>51.32</v>
      </c>
      <c r="I1778" s="54" t="str">
        <f>IF(B1778="SEPLAG",VLOOKUP(CONCATENATE("MEDIANA - ",C1778),COTAÇÃO,5,FALSE),VLOOKUP($C1778,DESON!$A:$D,4,))</f>
        <v>25,66</v>
      </c>
      <c r="J1778" s="209">
        <f t="shared" si="149"/>
        <v>51.32</v>
      </c>
    </row>
    <row r="1779" spans="1:10" ht="36" customHeight="1">
      <c r="A1779" s="208" t="s">
        <v>39</v>
      </c>
      <c r="B1779" s="241"/>
      <c r="C1779" s="1181">
        <v>6138</v>
      </c>
      <c r="D1779" s="161" t="str">
        <f>IF(B1779="SEPLAG",VLOOKUP(COMPOSIÇÕES!C1779,'MAPA COMPARATIVO'!A:B,2,FALSE),VLOOKUP(C1779,'NAO DESO'!A:B,2,0))</f>
        <v>ANEL DE VEDACAO, PVC FLEXIVEL, 100 MM, PARA SAIDA DE BACIA / VASO SANITARIO</v>
      </c>
      <c r="E1779" s="241" t="str">
        <f>VLOOKUP($C1779,'NAO DESO'!$A:$D,3,)</f>
        <v xml:space="preserve">UN    </v>
      </c>
      <c r="F1779" s="242">
        <v>1</v>
      </c>
      <c r="G1779" s="242">
        <f>IF(B1779="SEPLAG",VLOOKUP(CONCATENATE("MEDIANA - ",C1779),COTAÇÃO,5,FALSE),VLOOKUP($C1779,'NAO DESO'!$A:$D,4,))</f>
        <v>11.55</v>
      </c>
      <c r="H1779" s="242">
        <f t="shared" si="148"/>
        <v>11.55</v>
      </c>
      <c r="I1779" s="54" t="str">
        <f>IF(B1779="SEPLAG",VLOOKUP(CONCATENATE("MEDIANA - ",C1779),COTAÇÃO,5,FALSE),VLOOKUP($C1779,DESON!$A:$D,4,))</f>
        <v>11,55</v>
      </c>
      <c r="J1779" s="209">
        <f t="shared" si="149"/>
        <v>11.55</v>
      </c>
    </row>
    <row r="1780" spans="1:10" ht="15" customHeight="1">
      <c r="A1780" s="208" t="s">
        <v>348</v>
      </c>
      <c r="B1780" s="241"/>
      <c r="C1780" s="241">
        <v>37329</v>
      </c>
      <c r="D1780" s="161" t="str">
        <f>IF(B1780="SEPLAG",VLOOKUP(COMPOSIÇÕES!C1780,'MAPA COMPARATIVO'!A:B,2,FALSE),VLOOKUP(C1780,'NAO DESO'!A:B,2,0))</f>
        <v>REJUNTE EPOXI, QUALQUER COR</v>
      </c>
      <c r="E1780" s="241" t="str">
        <f>VLOOKUP($C1780,'NAO DESO'!$A:$D,3,)</f>
        <v xml:space="preserve">KG    </v>
      </c>
      <c r="F1780" s="242">
        <v>8.0999999999999996E-3</v>
      </c>
      <c r="G1780" s="242">
        <f>IF(B1780="SEPLAG",VLOOKUP(CONCATENATE("MEDIANA - ",C1780),COTAÇÃO,5,FALSE),VLOOKUP($C1780,'NAO DESO'!$A:$D,4,))</f>
        <v>101.41</v>
      </c>
      <c r="H1780" s="242">
        <f t="shared" si="148"/>
        <v>0.82</v>
      </c>
      <c r="I1780" s="54" t="str">
        <f>IF(B1780="SEPLAG",VLOOKUP(CONCATENATE("MEDIANA - ",C1780),COTAÇÃO,5,FALSE),VLOOKUP($C1780,DESON!$A:$D,4,))</f>
        <v>101,41</v>
      </c>
      <c r="J1780" s="209">
        <f t="shared" si="149"/>
        <v>0.82</v>
      </c>
    </row>
    <row r="1781" spans="1:10" ht="32.25" customHeight="1">
      <c r="A1781" s="208" t="s">
        <v>348</v>
      </c>
      <c r="B1781" s="241"/>
      <c r="C1781" s="1181">
        <v>88267</v>
      </c>
      <c r="D1781" s="161" t="str">
        <f>IF(B1781="SEPLAG",VLOOKUP(COMPOSIÇÕES!C1781,'MAPA COMPARATIVO'!A:B,2,FALSE),VLOOKUP(C1781,'NAO DESO'!A:B,2,0))</f>
        <v>ENCANADOR OU BOMBEIRO HIDRÁULICO COM ENCARGOS COMPLEMENTARES</v>
      </c>
      <c r="E1781" s="241" t="str">
        <f>VLOOKUP($C1781,'NAO DESO'!$A:$D,3,)</f>
        <v>H</v>
      </c>
      <c r="F1781" s="242">
        <v>0.49680000000000002</v>
      </c>
      <c r="G1781" s="242" t="str">
        <f>IF(B1781="SEPLAG",VLOOKUP(CONCATENATE("MEDIANA - ",C1781),COTAÇÃO,5,FALSE),VLOOKUP($C1781,'NAO DESO'!$A:$D,4,))</f>
        <v>21,03</v>
      </c>
      <c r="H1781" s="242">
        <f t="shared" si="148"/>
        <v>10.44</v>
      </c>
      <c r="I1781" s="54" t="str">
        <f>IF(B1781="SEPLAG",VLOOKUP(CONCATENATE("MEDIANA - ",C1781),COTAÇÃO,5,FALSE),VLOOKUP($C1781,DESON!$A:$D,4,))</f>
        <v>18,72</v>
      </c>
      <c r="J1781" s="209">
        <f t="shared" si="149"/>
        <v>9.3000000000000007</v>
      </c>
    </row>
    <row r="1782" spans="1:10" ht="15" customHeight="1">
      <c r="A1782" s="208" t="s">
        <v>348</v>
      </c>
      <c r="B1782" s="241"/>
      <c r="C1782" s="1181">
        <v>88316</v>
      </c>
      <c r="D1782" s="161" t="str">
        <f>IF(B1782="SEPLAG",VLOOKUP(COMPOSIÇÕES!C1782,'MAPA COMPARATIVO'!A:B,2,FALSE),VLOOKUP(C1782,'NAO DESO'!A:B,2,0))</f>
        <v>SERVENTE COM ENCARGOS COMPLEMENTARES</v>
      </c>
      <c r="E1782" s="241" t="str">
        <f>VLOOKUP($C1782,'NAO DESO'!$A:$D,3,)</f>
        <v>H</v>
      </c>
      <c r="F1782" s="242">
        <v>0.34949999999999998</v>
      </c>
      <c r="G1782" s="242" t="str">
        <f>IF(B1782="SEPLAG",VLOOKUP(CONCATENATE("MEDIANA - ",C1782),COTAÇÃO,5,FALSE),VLOOKUP($C1782,'NAO DESO'!$A:$D,4,))</f>
        <v>16,83</v>
      </c>
      <c r="H1782" s="242">
        <f t="shared" si="148"/>
        <v>5.88</v>
      </c>
      <c r="I1782" s="54" t="str">
        <f>IF(B1782="SEPLAG",VLOOKUP(CONCATENATE("MEDIANA - ",C1782),COTAÇÃO,5,FALSE),VLOOKUP($C1782,DESON!$A:$D,4,))</f>
        <v>15,16</v>
      </c>
      <c r="J1782" s="209">
        <f t="shared" si="149"/>
        <v>5.29</v>
      </c>
    </row>
    <row r="1783" spans="1:10" ht="15" customHeight="1">
      <c r="A1783" s="210" t="str">
        <f>CONCATENATE("TOTAL DO ITEM NÃO DESON. - ",C1774)</f>
        <v>TOTAL DO ITEM NÃO DESON. - SEPLAG ARQ 107</v>
      </c>
      <c r="B1783" s="424"/>
      <c r="C1783" s="424"/>
      <c r="D1783" s="424"/>
      <c r="E1783" s="424"/>
      <c r="F1783" s="425"/>
      <c r="G1783" s="426"/>
      <c r="H1783" s="1182">
        <f>SUM(H1777:H1782)</f>
        <v>1736.83</v>
      </c>
      <c r="I1783" s="214"/>
      <c r="J1783" s="215"/>
    </row>
    <row r="1784" spans="1:10" ht="15.75" customHeight="1" thickBot="1">
      <c r="A1784" s="216" t="str">
        <f>CONCATENATE("TOTAL DO ITEM DESON. - ",C1774)</f>
        <v>TOTAL DO ITEM DESON. - SEPLAG ARQ 107</v>
      </c>
      <c r="B1784" s="427"/>
      <c r="C1784" s="427"/>
      <c r="D1784" s="427"/>
      <c r="E1784" s="427"/>
      <c r="F1784" s="428"/>
      <c r="G1784" s="429"/>
      <c r="H1784" s="1187"/>
      <c r="I1784" s="229"/>
      <c r="J1784" s="219">
        <f>SUM(J1777:J1782)</f>
        <v>1735.0999999999997</v>
      </c>
    </row>
    <row r="1785" spans="1:10" ht="15" customHeight="1" thickBot="1">
      <c r="A1785" s="235"/>
      <c r="B1785" s="1135"/>
      <c r="C1785" s="1135"/>
      <c r="D1785" s="1135"/>
      <c r="E1785" s="1135"/>
      <c r="F1785" s="1188"/>
      <c r="G1785" s="1188"/>
      <c r="H1785" s="1188"/>
      <c r="I1785" s="236"/>
      <c r="J1785" s="237"/>
    </row>
    <row r="1786" spans="1:10" ht="31.5" customHeight="1">
      <c r="A1786" s="230"/>
      <c r="B1786" s="1152"/>
      <c r="C1786" s="1152" t="s">
        <v>7577</v>
      </c>
      <c r="D1786" s="152" t="s">
        <v>7578</v>
      </c>
      <c r="E1786" s="1176" t="s">
        <v>24</v>
      </c>
      <c r="F1786" s="1177" t="s">
        <v>18</v>
      </c>
      <c r="G1786" s="1178" t="s">
        <v>7017</v>
      </c>
      <c r="H1786" s="1179"/>
      <c r="I1786" s="200" t="s">
        <v>7016</v>
      </c>
      <c r="J1786" s="201"/>
    </row>
    <row r="1787" spans="1:10" ht="15" customHeight="1">
      <c r="A1787" s="203"/>
      <c r="B1787" s="430"/>
      <c r="C1787" s="430"/>
      <c r="D1787" s="158"/>
      <c r="E1787" s="1155"/>
      <c r="F1787" s="1180"/>
      <c r="G1787" s="1180" t="s">
        <v>19</v>
      </c>
      <c r="H1787" s="1180" t="s">
        <v>20</v>
      </c>
      <c r="I1787" s="205" t="s">
        <v>19</v>
      </c>
      <c r="J1787" s="206" t="s">
        <v>20</v>
      </c>
    </row>
    <row r="1788" spans="1:10" ht="15" customHeight="1">
      <c r="A1788" s="208"/>
      <c r="B1788" s="241"/>
      <c r="C1788" s="241" t="s">
        <v>180</v>
      </c>
      <c r="D1788" s="161" t="s">
        <v>184</v>
      </c>
      <c r="E1788" s="241"/>
      <c r="F1788" s="242"/>
      <c r="G1788" s="242"/>
      <c r="H1788" s="242"/>
      <c r="I1788" s="214"/>
      <c r="J1788" s="227"/>
    </row>
    <row r="1789" spans="1:10" ht="15" customHeight="1">
      <c r="A1789" s="208" t="s">
        <v>39</v>
      </c>
      <c r="B1789" s="241" t="s">
        <v>14504</v>
      </c>
      <c r="C1789" s="241" t="s">
        <v>14323</v>
      </c>
      <c r="D1789" s="161" t="str">
        <f>IF(B1789="SEPLAG",VLOOKUP(COMPOSIÇÕES!C1789,'MAPA COMPARATIVO'!A:B,2,FALSE),VLOOKUP(C1789,'NAO DESO'!A:B,2,0))</f>
        <v xml:space="preserve">ASSENTO TERMOFIXO </v>
      </c>
      <c r="E1789" s="241" t="s">
        <v>183</v>
      </c>
      <c r="F1789" s="242">
        <v>1</v>
      </c>
      <c r="G1789" s="242">
        <f>IF(B1789="SEPLAG",VLOOKUP(CONCATENATE("MEDIANA - ",C1789),COTAÇÃO,5,FALSE),VLOOKUP($C1789,'NAO DESO'!$A:$D,4,))</f>
        <v>814.99</v>
      </c>
      <c r="H1789" s="242">
        <f>TRUNC(F1789*G1789,2)</f>
        <v>814.99</v>
      </c>
      <c r="I1789" s="54">
        <f>IF(B1789="SEPLAG",VLOOKUP(CONCATENATE("MEDIANA - ",C1789),COTAÇÃO,5,FALSE),VLOOKUP($C1789,DESON!$A:$D,4,))</f>
        <v>814.99</v>
      </c>
      <c r="J1789" s="209">
        <f>TRUNC(F1789*I1789,2)</f>
        <v>814.99</v>
      </c>
    </row>
    <row r="1790" spans="1:10" ht="26.25" customHeight="1">
      <c r="A1790" s="208" t="s">
        <v>245</v>
      </c>
      <c r="B1790" s="241"/>
      <c r="C1790" s="1181">
        <v>88267</v>
      </c>
      <c r="D1790" s="161" t="str">
        <f>IF(B1790="SEPLAG",VLOOKUP(COMPOSIÇÕES!C1790,'MAPA COMPARATIVO'!A:B,2,FALSE),VLOOKUP(C1790,'NAO DESO'!A:B,2,0))</f>
        <v>ENCANADOR OU BOMBEIRO HIDRÁULICO COM ENCARGOS COMPLEMENTARES</v>
      </c>
      <c r="E1790" s="241" t="str">
        <f>VLOOKUP($C1790,'NAO DESO'!$A:$D,3,)</f>
        <v>H</v>
      </c>
      <c r="F1790" s="242">
        <v>0.15</v>
      </c>
      <c r="G1790" s="242" t="str">
        <f>IF(B1790="SEPLAG",VLOOKUP(CONCATENATE("MEDIANA - ",C1790),COTAÇÃO,5,FALSE),VLOOKUP($C1790,'NAO DESO'!$A:$D,4,))</f>
        <v>21,03</v>
      </c>
      <c r="H1790" s="242">
        <f>TRUNC(F1790*G1790,2)</f>
        <v>3.15</v>
      </c>
      <c r="I1790" s="54" t="str">
        <f>IF(B1790="SEPLAG",VLOOKUP(CONCATENATE("MEDIANA - ",C1790),COTAÇÃO,5,FALSE),VLOOKUP($C1790,DESON!$A:$D,4,))</f>
        <v>18,72</v>
      </c>
      <c r="J1790" s="209">
        <f>TRUNC(F1790*I1790,2)</f>
        <v>2.8</v>
      </c>
    </row>
    <row r="1791" spans="1:10" ht="15" customHeight="1">
      <c r="A1791" s="208" t="s">
        <v>245</v>
      </c>
      <c r="B1791" s="241"/>
      <c r="C1791" s="1181">
        <v>88316</v>
      </c>
      <c r="D1791" s="161" t="str">
        <f>IF(B1791="SEPLAG",VLOOKUP(COMPOSIÇÕES!C1791,'MAPA COMPARATIVO'!A:B,2,FALSE),VLOOKUP(C1791,'NAO DESO'!A:B,2,0))</f>
        <v>SERVENTE COM ENCARGOS COMPLEMENTARES</v>
      </c>
      <c r="E1791" s="241" t="str">
        <f>VLOOKUP($C1791,'NAO DESO'!$A:$D,3,)</f>
        <v>H</v>
      </c>
      <c r="F1791" s="242">
        <v>0.04</v>
      </c>
      <c r="G1791" s="242" t="str">
        <f>IF(B1791="SEPLAG",VLOOKUP(CONCATENATE("MEDIANA - ",C1791),COTAÇÃO,5,FALSE),VLOOKUP($C1791,'NAO DESO'!$A:$D,4,))</f>
        <v>16,83</v>
      </c>
      <c r="H1791" s="242">
        <f>TRUNC(F1791*G1791,2)</f>
        <v>0.67</v>
      </c>
      <c r="I1791" s="54" t="str">
        <f>IF(B1791="SEPLAG",VLOOKUP(CONCATENATE("MEDIANA - ",C1791),COTAÇÃO,5,FALSE),VLOOKUP($C1791,DESON!$A:$D,4,))</f>
        <v>15,16</v>
      </c>
      <c r="J1791" s="209">
        <f>TRUNC(F1791*I1791,2)</f>
        <v>0.6</v>
      </c>
    </row>
    <row r="1792" spans="1:10" ht="15" customHeight="1">
      <c r="A1792" s="210" t="str">
        <f>CONCATENATE("TOTAL DO ITEM NÃO DESON. - ",C1786)</f>
        <v>TOTAL DO ITEM NÃO DESON. - SEPLAG  ARQ 108</v>
      </c>
      <c r="B1792" s="424"/>
      <c r="C1792" s="424"/>
      <c r="D1792" s="424"/>
      <c r="E1792" s="424"/>
      <c r="F1792" s="425"/>
      <c r="G1792" s="426"/>
      <c r="H1792" s="1182">
        <f>SUM(H1789:H1791)</f>
        <v>818.81</v>
      </c>
      <c r="I1792" s="214"/>
      <c r="J1792" s="215"/>
    </row>
    <row r="1793" spans="1:10" ht="15.75" customHeight="1" thickBot="1">
      <c r="A1793" s="216" t="str">
        <f>CONCATENATE("TOTAL DO ITEM DESON. - ",C1786)</f>
        <v>TOTAL DO ITEM DESON. - SEPLAG  ARQ 108</v>
      </c>
      <c r="B1793" s="427"/>
      <c r="C1793" s="427"/>
      <c r="D1793" s="427"/>
      <c r="E1793" s="427"/>
      <c r="F1793" s="428"/>
      <c r="G1793" s="429"/>
      <c r="H1793" s="1187"/>
      <c r="I1793" s="229"/>
      <c r="J1793" s="219">
        <f>SUM(J1789:J1791)</f>
        <v>818.39</v>
      </c>
    </row>
    <row r="1794" spans="1:10" ht="15" customHeight="1" thickBot="1">
      <c r="A1794" s="235"/>
      <c r="B1794" s="1135"/>
      <c r="C1794" s="1135"/>
      <c r="D1794" s="1135"/>
      <c r="E1794" s="1135"/>
      <c r="F1794" s="1188"/>
      <c r="G1794" s="1188"/>
      <c r="H1794" s="1188"/>
      <c r="I1794" s="236"/>
      <c r="J1794" s="237"/>
    </row>
    <row r="1795" spans="1:10" ht="24.75" customHeight="1">
      <c r="A1795" s="198"/>
      <c r="B1795" s="1175"/>
      <c r="C1795" s="1152" t="s">
        <v>7580</v>
      </c>
      <c r="D1795" s="152" t="s">
        <v>7579</v>
      </c>
      <c r="E1795" s="1176" t="s">
        <v>24</v>
      </c>
      <c r="F1795" s="1177" t="s">
        <v>18</v>
      </c>
      <c r="G1795" s="1178" t="s">
        <v>7017</v>
      </c>
      <c r="H1795" s="1179"/>
      <c r="I1795" s="200" t="s">
        <v>7016</v>
      </c>
      <c r="J1795" s="201"/>
    </row>
    <row r="1796" spans="1:10" ht="15" customHeight="1">
      <c r="A1796" s="233"/>
      <c r="B1796" s="247"/>
      <c r="C1796" s="430"/>
      <c r="D1796" s="158"/>
      <c r="E1796" s="1155"/>
      <c r="F1796" s="1180"/>
      <c r="G1796" s="1180" t="s">
        <v>19</v>
      </c>
      <c r="H1796" s="1180" t="s">
        <v>20</v>
      </c>
      <c r="I1796" s="205" t="s">
        <v>19</v>
      </c>
      <c r="J1796" s="206" t="s">
        <v>20</v>
      </c>
    </row>
    <row r="1797" spans="1:10" ht="25.5" customHeight="1">
      <c r="A1797" s="240"/>
      <c r="B1797" s="241"/>
      <c r="C1797" s="161" t="s">
        <v>180</v>
      </c>
      <c r="D1797" s="161" t="s">
        <v>209</v>
      </c>
      <c r="E1797" s="241"/>
      <c r="F1797" s="242"/>
      <c r="G1797" s="242"/>
      <c r="H1797" s="242"/>
      <c r="I1797" s="242"/>
      <c r="J1797" s="243"/>
    </row>
    <row r="1798" spans="1:10" ht="15" customHeight="1">
      <c r="A1798" s="208" t="s">
        <v>39</v>
      </c>
      <c r="B1798" s="241"/>
      <c r="C1798" s="1193">
        <v>4823</v>
      </c>
      <c r="D1798" s="161" t="str">
        <f>IF(B1798="SEPLAG",VLOOKUP(COMPOSIÇÕES!C1798,'MAPA COMPARATIVO'!A:B,2,FALSE),VLOOKUP(C1798,'NAO DESO'!A:B,2,0))</f>
        <v>MASSA PLASTICA PARA MARMORE/GRANITO</v>
      </c>
      <c r="E1798" s="241" t="str">
        <f>VLOOKUP($C1798,'NAO DESO'!$A:$D,3,)</f>
        <v xml:space="preserve">KG    </v>
      </c>
      <c r="F1798" s="242">
        <v>0.52</v>
      </c>
      <c r="G1798" s="242">
        <f>IF(B1798="SEPLAG",VLOOKUP(CONCATENATE("MEDIANA - ",C1798),COTAÇÃO,5,FALSE),VLOOKUP($C1798,'NAO DESO'!$A:$D,4,))</f>
        <v>40.53</v>
      </c>
      <c r="H1798" s="242">
        <f>TRUNC(F1798*G1798,2)</f>
        <v>21.07</v>
      </c>
      <c r="I1798" s="54" t="str">
        <f>IF(B1798="SEPLAG",VLOOKUP(CONCATENATE("MEDIANA - ",C1798),COTAÇÃO,5,FALSE),VLOOKUP($C1798,DESON!$A:$D,4,))</f>
        <v>40,53</v>
      </c>
      <c r="J1798" s="209">
        <f>TRUNC(F1798*I1798,2)</f>
        <v>21.07</v>
      </c>
    </row>
    <row r="1799" spans="1:10" ht="15" customHeight="1">
      <c r="A1799" s="208" t="s">
        <v>39</v>
      </c>
      <c r="B1799" s="241" t="s">
        <v>14504</v>
      </c>
      <c r="C1799" s="247" t="s">
        <v>14324</v>
      </c>
      <c r="D1799" s="161" t="str">
        <f>IF(B1799="SEPLAG",VLOOKUP(COMPOSIÇÕES!C1799,'MAPA COMPARATIVO'!A:B,2,FALSE),VLOOKUP(C1799,'NAO DESO'!A:B,2,0))</f>
        <v>CUBA DE LOUÇA QUADRADA DE APOIO - CÓD.L.73.17 - BRANCO GELO - DECA</v>
      </c>
      <c r="E1799" s="247" t="s">
        <v>183</v>
      </c>
      <c r="F1799" s="242">
        <v>1</v>
      </c>
      <c r="G1799" s="242">
        <f>IF(B1799="SEPLAG",VLOOKUP(CONCATENATE("MEDIANA - ",C1799),COTAÇÃO,5,FALSE),VLOOKUP($C1799,'NAO DESO'!$A:$D,4,))</f>
        <v>864.07</v>
      </c>
      <c r="H1799" s="242">
        <f>TRUNC(F1799*G1799,2)</f>
        <v>864.07</v>
      </c>
      <c r="I1799" s="54">
        <f>IF(B1799="SEPLAG",VLOOKUP(CONCATENATE("MEDIANA - ",C1799),COTAÇÃO,5,FALSE),VLOOKUP($C1799,DESON!$A:$D,4,))</f>
        <v>864.07</v>
      </c>
      <c r="J1799" s="209">
        <f>TRUNC(F1799*I1799,2)</f>
        <v>864.07</v>
      </c>
    </row>
    <row r="1800" spans="1:10" ht="15" customHeight="1">
      <c r="A1800" s="208" t="s">
        <v>245</v>
      </c>
      <c r="B1800" s="241"/>
      <c r="C1800" s="1193">
        <v>88274</v>
      </c>
      <c r="D1800" s="161" t="str">
        <f>IF(B1800="SEPLAG",VLOOKUP(COMPOSIÇÕES!C1800,'MAPA COMPARATIVO'!A:B,2,FALSE),VLOOKUP(C1800,'NAO DESO'!A:B,2,0))</f>
        <v>MARMORISTA/GRANITEIRO COM ENCARGOS COMPLEMENTARES</v>
      </c>
      <c r="E1800" s="241" t="str">
        <f>VLOOKUP($C1800,'NAO DESO'!$A:$D,3,)</f>
        <v>H</v>
      </c>
      <c r="F1800" s="242">
        <v>0.84</v>
      </c>
      <c r="G1800" s="242" t="str">
        <f>IF(B1800="SEPLAG",VLOOKUP(CONCATENATE("MEDIANA - ",C1800),COTAÇÃO,5,FALSE),VLOOKUP($C1800,'NAO DESO'!$A:$D,4,))</f>
        <v>21,02</v>
      </c>
      <c r="H1800" s="242">
        <f>TRUNC(F1800*G1800,2)</f>
        <v>17.649999999999999</v>
      </c>
      <c r="I1800" s="54" t="str">
        <f>IF(B1800="SEPLAG",VLOOKUP(CONCATENATE("MEDIANA - ",C1800),COTAÇÃO,5,FALSE),VLOOKUP($C1800,DESON!$A:$D,4,))</f>
        <v>18,79</v>
      </c>
      <c r="J1800" s="209">
        <f>TRUNC(F1800*I1800,2)</f>
        <v>15.78</v>
      </c>
    </row>
    <row r="1801" spans="1:10" ht="15" customHeight="1">
      <c r="A1801" s="208" t="s">
        <v>245</v>
      </c>
      <c r="B1801" s="241"/>
      <c r="C1801" s="1193">
        <v>88316</v>
      </c>
      <c r="D1801" s="161" t="str">
        <f>IF(B1801="SEPLAG",VLOOKUP(COMPOSIÇÕES!C1801,'MAPA COMPARATIVO'!A:B,2,FALSE),VLOOKUP(C1801,'NAO DESO'!A:B,2,0))</f>
        <v>SERVENTE COM ENCARGOS COMPLEMENTARES</v>
      </c>
      <c r="E1801" s="241" t="str">
        <f>VLOOKUP($C1801,'NAO DESO'!$A:$D,3,)</f>
        <v>H</v>
      </c>
      <c r="F1801" s="242">
        <v>0.26</v>
      </c>
      <c r="G1801" s="242" t="str">
        <f>IF(B1801="SEPLAG",VLOOKUP(CONCATENATE("MEDIANA - ",C1801),COTAÇÃO,5,FALSE),VLOOKUP($C1801,'NAO DESO'!$A:$D,4,))</f>
        <v>16,83</v>
      </c>
      <c r="H1801" s="242">
        <f>TRUNC(F1801*G1801,2)</f>
        <v>4.37</v>
      </c>
      <c r="I1801" s="54" t="str">
        <f>IF(B1801="SEPLAG",VLOOKUP(CONCATENATE("MEDIANA - ",C1801),COTAÇÃO,5,FALSE),VLOOKUP($C1801,DESON!$A:$D,4,))</f>
        <v>15,16</v>
      </c>
      <c r="J1801" s="209">
        <f>TRUNC(F1801*I1801,2)</f>
        <v>3.94</v>
      </c>
    </row>
    <row r="1802" spans="1:10" ht="15" customHeight="1">
      <c r="A1802" s="210" t="str">
        <f>CONCATENATE("TOTAL DO ITEM NÃO DESON. - ",C1795)</f>
        <v>TOTAL DO ITEM NÃO DESON. - SEPLAG ARQ 109</v>
      </c>
      <c r="B1802" s="424"/>
      <c r="C1802" s="424"/>
      <c r="D1802" s="424"/>
      <c r="E1802" s="424"/>
      <c r="F1802" s="425"/>
      <c r="G1802" s="426"/>
      <c r="H1802" s="1189">
        <f>SUM(H1798:H1801)</f>
        <v>907.16000000000008</v>
      </c>
      <c r="I1802" s="214"/>
      <c r="J1802" s="215"/>
    </row>
    <row r="1803" spans="1:10" ht="15.75" customHeight="1" thickBot="1">
      <c r="A1803" s="216" t="str">
        <f>CONCATENATE("TOTAL DO ITEM DESON. - ",C1795)</f>
        <v>TOTAL DO ITEM DESON. - SEPLAG ARQ 109</v>
      </c>
      <c r="B1803" s="427"/>
      <c r="C1803" s="427"/>
      <c r="D1803" s="427"/>
      <c r="E1803" s="427"/>
      <c r="F1803" s="428"/>
      <c r="G1803" s="429"/>
      <c r="H1803" s="1190"/>
      <c r="I1803" s="229"/>
      <c r="J1803" s="219">
        <f>SUM(J1798:J1801)</f>
        <v>904.86000000000013</v>
      </c>
    </row>
    <row r="1804" spans="1:10" ht="15" customHeight="1" thickBot="1">
      <c r="A1804" s="235"/>
      <c r="B1804" s="1135"/>
      <c r="C1804" s="1135"/>
      <c r="D1804" s="1135"/>
      <c r="E1804" s="1135"/>
      <c r="F1804" s="1188"/>
      <c r="G1804" s="1188"/>
      <c r="H1804" s="1188"/>
      <c r="I1804" s="236"/>
      <c r="J1804" s="237"/>
    </row>
    <row r="1805" spans="1:10" ht="36.75" customHeight="1">
      <c r="A1805" s="250"/>
      <c r="B1805" s="1175"/>
      <c r="C1805" s="1152" t="s">
        <v>7581</v>
      </c>
      <c r="D1805" s="152" t="s">
        <v>7582</v>
      </c>
      <c r="E1805" s="1176" t="s">
        <v>24</v>
      </c>
      <c r="F1805" s="1177" t="s">
        <v>18</v>
      </c>
      <c r="G1805" s="1178" t="s">
        <v>7017</v>
      </c>
      <c r="H1805" s="1179"/>
      <c r="I1805" s="200" t="s">
        <v>7016</v>
      </c>
      <c r="J1805" s="201"/>
    </row>
    <row r="1806" spans="1:10" ht="15" customHeight="1">
      <c r="A1806" s="233"/>
      <c r="B1806" s="247"/>
      <c r="C1806" s="430"/>
      <c r="D1806" s="158"/>
      <c r="E1806" s="1155"/>
      <c r="F1806" s="1180"/>
      <c r="G1806" s="1180" t="s">
        <v>19</v>
      </c>
      <c r="H1806" s="1180" t="s">
        <v>20</v>
      </c>
      <c r="I1806" s="205" t="s">
        <v>19</v>
      </c>
      <c r="J1806" s="206" t="s">
        <v>20</v>
      </c>
    </row>
    <row r="1807" spans="1:10" ht="26.25" customHeight="1">
      <c r="A1807" s="208"/>
      <c r="B1807" s="241"/>
      <c r="C1807" s="241" t="s">
        <v>180</v>
      </c>
      <c r="D1807" s="161" t="s">
        <v>187</v>
      </c>
      <c r="E1807" s="241"/>
      <c r="F1807" s="242"/>
      <c r="G1807" s="242"/>
      <c r="H1807" s="242"/>
      <c r="I1807" s="214"/>
      <c r="J1807" s="227"/>
    </row>
    <row r="1808" spans="1:10" ht="15" customHeight="1">
      <c r="A1808" s="208" t="s">
        <v>39</v>
      </c>
      <c r="B1808" s="241"/>
      <c r="C1808" s="241">
        <v>3148</v>
      </c>
      <c r="D1808" s="161" t="str">
        <f>IF(B1808="SEPLAG",VLOOKUP(COMPOSIÇÕES!C1808,'MAPA COMPARATIVO'!A:B,2,FALSE),VLOOKUP(C1808,'NAO DESO'!A:B,2,0))</f>
        <v>FITA VEDA ROSCA EM ROLOS DE 18 MM X 50 M (L X C)</v>
      </c>
      <c r="E1808" s="241" t="s">
        <v>183</v>
      </c>
      <c r="F1808" s="242">
        <v>0.19</v>
      </c>
      <c r="G1808" s="242">
        <f>IF(B1808="SEPLAG",VLOOKUP(CONCATENATE("MEDIANA - ",C1808),COTAÇÃO,5,FALSE),VLOOKUP($C1808,'NAO DESO'!$A:$D,4,))</f>
        <v>18.440000000000001</v>
      </c>
      <c r="H1808" s="242">
        <f>TRUNC(F1808*G1808,2)</f>
        <v>3.5</v>
      </c>
      <c r="I1808" s="54" t="str">
        <f>IF(B1808="SEPLAG",VLOOKUP(CONCATENATE("MEDIANA - ",C1808),COTAÇÃO,5,FALSE),VLOOKUP($C1808,DESON!$A:$D,4,))</f>
        <v>18,44</v>
      </c>
      <c r="J1808" s="209">
        <f>TRUNC(F1808*I1808,2)</f>
        <v>3.5</v>
      </c>
    </row>
    <row r="1809" spans="1:10" ht="15" customHeight="1">
      <c r="A1809" s="208" t="s">
        <v>39</v>
      </c>
      <c r="B1809" s="241" t="s">
        <v>14504</v>
      </c>
      <c r="C1809" s="241" t="s">
        <v>14325</v>
      </c>
      <c r="D1809" s="161" t="str">
        <f>IF(B1809="SEPLAG",VLOOKUP(COMPOSIÇÕES!C1809,'MAPA COMPARATIVO'!A:B,2,FALSE),VLOOKUP(C1809,'NAO DESO'!A:B,2,0))</f>
        <v>VÁLVULA DE DESCARGA HYDRA PLUS 1.1/2 HYDRA PLUS 255.C.112</v>
      </c>
      <c r="E1809" s="241" t="s">
        <v>183</v>
      </c>
      <c r="F1809" s="242">
        <v>1</v>
      </c>
      <c r="G1809" s="242">
        <f>IF(B1809="SEPLAG",VLOOKUP(CONCATENATE("MEDIANA - ",C1809),COTAÇÃO,5,FALSE),VLOOKUP($C1809,'NAO DESO'!$A:$D,4,))</f>
        <v>353.83</v>
      </c>
      <c r="H1809" s="242">
        <f>TRUNC(F1809*G1809,2)</f>
        <v>353.83</v>
      </c>
      <c r="I1809" s="54">
        <f>IF(B1809="SEPLAG",VLOOKUP(CONCATENATE("MEDIANA - ",C1809),COTAÇÃO,5,FALSE),VLOOKUP($C1809,DESON!$A:$D,4,))</f>
        <v>353.83</v>
      </c>
      <c r="J1809" s="209">
        <f>TRUNC(F1809*I1809,2)</f>
        <v>353.83</v>
      </c>
    </row>
    <row r="1810" spans="1:10" ht="15" customHeight="1">
      <c r="A1810" s="208" t="s">
        <v>245</v>
      </c>
      <c r="B1810" s="241"/>
      <c r="C1810" s="1181">
        <v>88248</v>
      </c>
      <c r="D1810" s="161" t="str">
        <f>IF(B1810="SEPLAG",VLOOKUP(COMPOSIÇÕES!C1810,'MAPA COMPARATIVO'!A:B,2,FALSE),VLOOKUP(C1810,'NAO DESO'!A:B,2,0))</f>
        <v>AUXILIAR DE ENCANADOR OU BOMBEIRO HIDRÁULICO COM ENCARGOS COMPLEMENTARES</v>
      </c>
      <c r="E1810" s="241" t="str">
        <f>VLOOKUP($C1810,'NAO DESO'!$A:$D,3,)</f>
        <v>H</v>
      </c>
      <c r="F1810" s="242">
        <v>0.8</v>
      </c>
      <c r="G1810" s="242" t="str">
        <f>IF(B1810="SEPLAG",VLOOKUP(CONCATENATE("MEDIANA - ",C1810),COTAÇÃO,5,FALSE),VLOOKUP($C1810,'NAO DESO'!$A:$D,4,))</f>
        <v>17,33</v>
      </c>
      <c r="H1810" s="242">
        <f>TRUNC(F1810*G1810,2)</f>
        <v>13.86</v>
      </c>
      <c r="I1810" s="54" t="str">
        <f>IF(B1810="SEPLAG",VLOOKUP(CONCATENATE("MEDIANA - ",C1810),COTAÇÃO,5,FALSE),VLOOKUP($C1810,DESON!$A:$D,4,))</f>
        <v>15,54</v>
      </c>
      <c r="J1810" s="209">
        <f>TRUNC(F1810*I1810,2)</f>
        <v>12.43</v>
      </c>
    </row>
    <row r="1811" spans="1:10" ht="26.25" customHeight="1">
      <c r="A1811" s="208" t="s">
        <v>245</v>
      </c>
      <c r="B1811" s="241"/>
      <c r="C1811" s="1181">
        <v>88267</v>
      </c>
      <c r="D1811" s="161" t="str">
        <f>IF(B1811="SEPLAG",VLOOKUP(COMPOSIÇÕES!C1811,'MAPA COMPARATIVO'!A:B,2,FALSE),VLOOKUP(C1811,'NAO DESO'!A:B,2,0))</f>
        <v>ENCANADOR OU BOMBEIRO HIDRÁULICO COM ENCARGOS COMPLEMENTARES</v>
      </c>
      <c r="E1811" s="241" t="str">
        <f>VLOOKUP($C1811,'NAO DESO'!$A:$D,3,)</f>
        <v>H</v>
      </c>
      <c r="F1811" s="242">
        <v>0.8</v>
      </c>
      <c r="G1811" s="242" t="str">
        <f>IF(B1811="SEPLAG",VLOOKUP(CONCATENATE("MEDIANA - ",C1811),COTAÇÃO,5,FALSE),VLOOKUP($C1811,'NAO DESO'!$A:$D,4,))</f>
        <v>21,03</v>
      </c>
      <c r="H1811" s="242">
        <f>TRUNC(F1811*G1811,2)</f>
        <v>16.82</v>
      </c>
      <c r="I1811" s="54" t="str">
        <f>IF(B1811="SEPLAG",VLOOKUP(CONCATENATE("MEDIANA - ",C1811),COTAÇÃO,5,FALSE),VLOOKUP($C1811,DESON!$A:$D,4,))</f>
        <v>18,72</v>
      </c>
      <c r="J1811" s="209">
        <f>TRUNC(F1811*I1811,2)</f>
        <v>14.97</v>
      </c>
    </row>
    <row r="1812" spans="1:10" ht="15" customHeight="1">
      <c r="A1812" s="210" t="str">
        <f>CONCATENATE("TOTAL DO ITEM NÃO DESON. - ",C1805)</f>
        <v>TOTAL DO ITEM NÃO DESON. - SEPLAG ARQ 110</v>
      </c>
      <c r="B1812" s="424"/>
      <c r="C1812" s="424"/>
      <c r="D1812" s="424"/>
      <c r="E1812" s="424"/>
      <c r="F1812" s="425"/>
      <c r="G1812" s="426"/>
      <c r="H1812" s="1182">
        <f>SUM(H1808:H1811)</f>
        <v>388.01</v>
      </c>
      <c r="I1812" s="214"/>
      <c r="J1812" s="215"/>
    </row>
    <row r="1813" spans="1:10" ht="15.75" customHeight="1" thickBot="1">
      <c r="A1813" s="216" t="str">
        <f>CONCATENATE("TOTAL DO ITEM DESON. - ",C1805)</f>
        <v>TOTAL DO ITEM DESON. - SEPLAG ARQ 110</v>
      </c>
      <c r="B1813" s="427"/>
      <c r="C1813" s="427"/>
      <c r="D1813" s="427"/>
      <c r="E1813" s="427"/>
      <c r="F1813" s="428"/>
      <c r="G1813" s="429"/>
      <c r="H1813" s="1187"/>
      <c r="I1813" s="229"/>
      <c r="J1813" s="219">
        <f>SUM(J1808:J1811)</f>
        <v>384.73</v>
      </c>
    </row>
    <row r="1814" spans="1:10" ht="15" customHeight="1" thickBot="1">
      <c r="A1814" s="235"/>
      <c r="B1814" s="1135"/>
      <c r="C1814" s="1135"/>
      <c r="D1814" s="1135"/>
      <c r="E1814" s="1135"/>
      <c r="F1814" s="1188"/>
      <c r="G1814" s="1188"/>
      <c r="H1814" s="1188"/>
      <c r="I1814" s="236"/>
      <c r="J1814" s="237"/>
    </row>
    <row r="1815" spans="1:10" ht="36" customHeight="1">
      <c r="A1815" s="230"/>
      <c r="B1815" s="1152"/>
      <c r="C1815" s="1176" t="s">
        <v>7595</v>
      </c>
      <c r="D1815" s="152" t="s">
        <v>7598</v>
      </c>
      <c r="E1815" s="1176" t="s">
        <v>24</v>
      </c>
      <c r="F1815" s="1177" t="s">
        <v>18</v>
      </c>
      <c r="G1815" s="1178" t="s">
        <v>7017</v>
      </c>
      <c r="H1815" s="1179"/>
      <c r="I1815" s="200" t="s">
        <v>7016</v>
      </c>
      <c r="J1815" s="201"/>
    </row>
    <row r="1816" spans="1:10" ht="12.75" customHeight="1">
      <c r="A1816" s="203"/>
      <c r="B1816" s="430"/>
      <c r="C1816" s="1155"/>
      <c r="D1816" s="158"/>
      <c r="E1816" s="1155"/>
      <c r="F1816" s="1180"/>
      <c r="G1816" s="1180" t="s">
        <v>19</v>
      </c>
      <c r="H1816" s="1180" t="s">
        <v>20</v>
      </c>
      <c r="I1816" s="205" t="s">
        <v>19</v>
      </c>
      <c r="J1816" s="206" t="s">
        <v>20</v>
      </c>
    </row>
    <row r="1817" spans="1:10" ht="15" customHeight="1">
      <c r="A1817" s="208" t="s">
        <v>39</v>
      </c>
      <c r="B1817" s="241" t="s">
        <v>14504</v>
      </c>
      <c r="C1817" s="241" t="s">
        <v>14286</v>
      </c>
      <c r="D1817" s="161" t="str">
        <f>IF(B1817="SEPLAG",VLOOKUP(COMPOSIÇÕES!C1817,'MAPA COMPARATIVO'!A:B,2,FALSE),VLOOKUP(C1817,'NAO DESO'!A:B,2,0))</f>
        <v>KIT PORTA PRONTA PRETA LISA SÓLIDA PORMADE.</v>
      </c>
      <c r="E1817" s="241" t="s">
        <v>256</v>
      </c>
      <c r="F1817" s="242">
        <v>1</v>
      </c>
      <c r="G1817" s="242">
        <f>IF(B1817="SEPLAG",VLOOKUP(CONCATENATE("MEDIANA - ",C1817),COTAÇÃO,5,FALSE),VLOOKUP($C1817,'NAO DESO'!$A:$D,4,))</f>
        <v>2534.3249999999998</v>
      </c>
      <c r="H1817" s="242">
        <f>TRUNC(F1817*G1817,2)</f>
        <v>2534.3200000000002</v>
      </c>
      <c r="I1817" s="54">
        <f>IF(B1817="SEPLAG",VLOOKUP(CONCATENATE("MEDIANA - ",C1817),COTAÇÃO,5,FALSE),VLOOKUP($C1817,DESON!$A:$D,4,))</f>
        <v>2534.3249999999998</v>
      </c>
      <c r="J1817" s="209">
        <f>TRUNC(F1817*I1817,2)</f>
        <v>2534.3200000000002</v>
      </c>
    </row>
    <row r="1818" spans="1:10" ht="15" customHeight="1">
      <c r="A1818" s="208" t="s">
        <v>245</v>
      </c>
      <c r="B1818" s="241"/>
      <c r="C1818" s="1181">
        <v>1214</v>
      </c>
      <c r="D1818" s="161" t="str">
        <f>IF(B1818="SEPLAG",VLOOKUP(COMPOSIÇÕES!C1818,'MAPA COMPARATIVO'!A:B,2,FALSE),VLOOKUP(C1818,'NAO DESO'!A:B,2,0))</f>
        <v>CARPINTEIRO DE ESQUADRIAS (HORISTA)</v>
      </c>
      <c r="E1818" s="241" t="str">
        <f>VLOOKUP($C1818,'NAO DESO'!$A:$D,3,)</f>
        <v xml:space="preserve">H     </v>
      </c>
      <c r="F1818" s="242">
        <v>1</v>
      </c>
      <c r="G1818" s="242">
        <f>IF(B1818="SEPLAG",VLOOKUP(CONCATENATE("MEDIANA - ",C1818),COTAÇÃO,5,FALSE),VLOOKUP($C1818,'NAO DESO'!$A:$D,4,))</f>
        <v>14.99</v>
      </c>
      <c r="H1818" s="242">
        <f>TRUNC(F1818*G1818,2)</f>
        <v>14.99</v>
      </c>
      <c r="I1818" s="54" t="str">
        <f>IF(B1818="SEPLAG",VLOOKUP(CONCATENATE("MEDIANA - ",C1818),COTAÇÃO,5,FALSE),VLOOKUP($C1818,DESON!$A:$D,4,))</f>
        <v>12,91</v>
      </c>
      <c r="J1818" s="209">
        <f>TRUNC(F1818*I1818,2)</f>
        <v>12.91</v>
      </c>
    </row>
    <row r="1819" spans="1:10" ht="15" customHeight="1">
      <c r="A1819" s="208" t="s">
        <v>245</v>
      </c>
      <c r="B1819" s="241"/>
      <c r="C1819" s="1181">
        <v>88316</v>
      </c>
      <c r="D1819" s="161" t="str">
        <f>IF(B1819="SEPLAG",VLOOKUP(COMPOSIÇÕES!C1819,'MAPA COMPARATIVO'!A:B,2,FALSE),VLOOKUP(C1819,'NAO DESO'!A:B,2,0))</f>
        <v>SERVENTE COM ENCARGOS COMPLEMENTARES</v>
      </c>
      <c r="E1819" s="241" t="str">
        <f>VLOOKUP($C1819,'NAO DESO'!$A:$D,3,)</f>
        <v>H</v>
      </c>
      <c r="F1819" s="242">
        <v>0.19</v>
      </c>
      <c r="G1819" s="242" t="str">
        <f>IF(B1819="SEPLAG",VLOOKUP(CONCATENATE("MEDIANA - ",C1819),COTAÇÃO,5,FALSE),VLOOKUP($C1819,'NAO DESO'!$A:$D,4,))</f>
        <v>16,83</v>
      </c>
      <c r="H1819" s="242">
        <f>TRUNC(F1819*G1819,2)</f>
        <v>3.19</v>
      </c>
      <c r="I1819" s="54" t="str">
        <f>IF(B1819="SEPLAG",VLOOKUP(CONCATENATE("MEDIANA - ",C1819),COTAÇÃO,5,FALSE),VLOOKUP($C1819,DESON!$A:$D,4,))</f>
        <v>15,16</v>
      </c>
      <c r="J1819" s="209">
        <f>TRUNC(F1819*I1819,2)</f>
        <v>2.88</v>
      </c>
    </row>
    <row r="1820" spans="1:10" ht="38.25" customHeight="1">
      <c r="A1820" s="208" t="s">
        <v>39</v>
      </c>
      <c r="B1820" s="241"/>
      <c r="C1820" s="1181">
        <v>11581</v>
      </c>
      <c r="D1820" s="161" t="str">
        <f>IF(B1820="SEPLAG",VLOOKUP(COMPOSIÇÕES!C1820,'MAPA COMPARATIVO'!A:B,2,FALSE),VLOOKUP(C1820,'NAO DESO'!A:B,2,0))</f>
        <v>TRILHO PANTOGRAFICO CONCAVO, TIPO U, EM ALUMINIO, COM DIMENSOES DE APROX *35 X 35* MM, PARA ROLDANA DE PORTA DE CORRER</v>
      </c>
      <c r="E1820" s="241" t="str">
        <f>VLOOKUP($C1820,'NAO DESO'!$A:$D,3,)</f>
        <v xml:space="preserve">M     </v>
      </c>
      <c r="F1820" s="1186">
        <v>1.19</v>
      </c>
      <c r="G1820" s="242">
        <f>IF(B1820="SEPLAG",VLOOKUP(CONCATENATE("MEDIANA - ",C1820),COTAÇÃO,5,FALSE),VLOOKUP($C1820,'NAO DESO'!$A:$D,4,))</f>
        <v>22.08</v>
      </c>
      <c r="H1820" s="242">
        <f>TRUNC(F1820*G1820,2)</f>
        <v>26.27</v>
      </c>
      <c r="I1820" s="54" t="str">
        <f>IF(B1820="SEPLAG",VLOOKUP(CONCATENATE("MEDIANA - ",C1820),COTAÇÃO,5,FALSE),VLOOKUP($C1820,DESON!$A:$D,4,))</f>
        <v>22,08</v>
      </c>
      <c r="J1820" s="209">
        <f>TRUNC(F1820*I1820,2)</f>
        <v>26.27</v>
      </c>
    </row>
    <row r="1821" spans="1:10" ht="38.25" customHeight="1">
      <c r="A1821" s="208" t="s">
        <v>39</v>
      </c>
      <c r="B1821" s="241"/>
      <c r="C1821" s="1181">
        <v>11575</v>
      </c>
      <c r="D1821" s="161" t="str">
        <f>IF(B1821="SEPLAG",VLOOKUP(COMPOSIÇÕES!C1821,'MAPA COMPARATIVO'!A:B,2,FALSE),VLOOKUP(C1821,'NAO DESO'!A:B,2,0))</f>
        <v>ROLDANA CONCAVA DUPLA, 4 RODAS, EM ZAMAC COM CHAPA DE LATAO, ROLAMENTOS EM ACO, PARA PORTAS E JANELAS DE CORRER</v>
      </c>
      <c r="E1821" s="241" t="str">
        <f>VLOOKUP($C1821,'NAO DESO'!$A:$D,3,)</f>
        <v xml:space="preserve">UN    </v>
      </c>
      <c r="F1821" s="1186">
        <v>1</v>
      </c>
      <c r="G1821" s="242">
        <f>IF(B1821="SEPLAG",VLOOKUP(CONCATENATE("MEDIANA - ",C1821),COTAÇÃO,5,FALSE),VLOOKUP($C1821,'NAO DESO'!$A:$D,4,))</f>
        <v>60.19</v>
      </c>
      <c r="H1821" s="242">
        <f>TRUNC(F1821*G1821,2)</f>
        <v>60.19</v>
      </c>
      <c r="I1821" s="54" t="str">
        <f>IF(B1821="SEPLAG",VLOOKUP(CONCATENATE("MEDIANA - ",C1821),COTAÇÃO,5,FALSE),VLOOKUP($C1821,DESON!$A:$D,4,))</f>
        <v>60,19</v>
      </c>
      <c r="J1821" s="209">
        <f>TRUNC(F1821*I1821,2)</f>
        <v>60.19</v>
      </c>
    </row>
    <row r="1822" spans="1:10" ht="15" customHeight="1">
      <c r="A1822" s="210" t="str">
        <f>CONCATENATE("TOTAL DO ITEM NÃO DESON. - ",C1815)</f>
        <v>TOTAL DO ITEM NÃO DESON. - SEPLAG ARQ 111</v>
      </c>
      <c r="B1822" s="424"/>
      <c r="C1822" s="424"/>
      <c r="D1822" s="424"/>
      <c r="E1822" s="424"/>
      <c r="F1822" s="425"/>
      <c r="G1822" s="426"/>
      <c r="H1822" s="1182">
        <f>SUM(H1817:H1821)</f>
        <v>2638.96</v>
      </c>
      <c r="I1822" s="214"/>
      <c r="J1822" s="215"/>
    </row>
    <row r="1823" spans="1:10" ht="15.75" customHeight="1" thickBot="1">
      <c r="A1823" s="216" t="str">
        <f>CONCATENATE("TOTAL DO ITEM DESON. - ",C1815)</f>
        <v>TOTAL DO ITEM DESON. - SEPLAG ARQ 111</v>
      </c>
      <c r="B1823" s="427"/>
      <c r="C1823" s="427"/>
      <c r="D1823" s="427"/>
      <c r="E1823" s="427"/>
      <c r="F1823" s="428"/>
      <c r="G1823" s="429"/>
      <c r="H1823" s="1187"/>
      <c r="I1823" s="229"/>
      <c r="J1823" s="219">
        <f>SUM(J1817:J1821)</f>
        <v>2636.57</v>
      </c>
    </row>
    <row r="1824" spans="1:10" ht="15" customHeight="1" thickBot="1">
      <c r="A1824" s="235"/>
      <c r="B1824" s="1135"/>
      <c r="C1824" s="1135"/>
      <c r="D1824" s="1135"/>
      <c r="E1824" s="1135"/>
      <c r="F1824" s="1188"/>
      <c r="G1824" s="1188"/>
      <c r="H1824" s="1188"/>
      <c r="I1824" s="236"/>
      <c r="J1824" s="237"/>
    </row>
    <row r="1825" spans="1:10" ht="30" customHeight="1">
      <c r="A1825" s="198"/>
      <c r="B1825" s="1175"/>
      <c r="C1825" s="1152" t="s">
        <v>7596</v>
      </c>
      <c r="D1825" s="152" t="s">
        <v>7597</v>
      </c>
      <c r="E1825" s="1176" t="s">
        <v>24</v>
      </c>
      <c r="F1825" s="1177" t="s">
        <v>18</v>
      </c>
      <c r="G1825" s="1178" t="s">
        <v>7017</v>
      </c>
      <c r="H1825" s="1179"/>
      <c r="I1825" s="200" t="s">
        <v>7016</v>
      </c>
      <c r="J1825" s="201"/>
    </row>
    <row r="1826" spans="1:10" ht="14.25" customHeight="1">
      <c r="A1826" s="233"/>
      <c r="B1826" s="247"/>
      <c r="C1826" s="430"/>
      <c r="D1826" s="158"/>
      <c r="E1826" s="1155"/>
      <c r="F1826" s="1180"/>
      <c r="G1826" s="1180" t="s">
        <v>19</v>
      </c>
      <c r="H1826" s="1180" t="s">
        <v>20</v>
      </c>
      <c r="I1826" s="205" t="s">
        <v>19</v>
      </c>
      <c r="J1826" s="206" t="s">
        <v>20</v>
      </c>
    </row>
    <row r="1827" spans="1:10" ht="15" customHeight="1">
      <c r="A1827" s="208" t="s">
        <v>39</v>
      </c>
      <c r="B1827" s="241"/>
      <c r="C1827" s="1181">
        <v>4823</v>
      </c>
      <c r="D1827" s="161" t="str">
        <f>IF(B1827="SEPLAG",VLOOKUP(COMPOSIÇÕES!C1827,'MAPA COMPARATIVO'!A:B,2,FALSE),VLOOKUP(C1827,'NAO DESO'!A:B,2,0))</f>
        <v>MASSA PLASTICA PARA MARMORE/GRANITO</v>
      </c>
      <c r="E1827" s="241" t="str">
        <f>VLOOKUP($C1827,'NAO DESO'!$A:$D,3,)</f>
        <v xml:space="preserve">KG    </v>
      </c>
      <c r="F1827" s="242">
        <v>0.38</v>
      </c>
      <c r="G1827" s="242">
        <f>IF(B1827="SEPLAG",VLOOKUP(CONCATENATE("MEDIANA - ",C1827),COTAÇÃO,5,FALSE),VLOOKUP($C1827,'NAO DESO'!$A:$D,4,))</f>
        <v>40.53</v>
      </c>
      <c r="H1827" s="242">
        <f>TRUNC(F1827*G1827,2)</f>
        <v>15.4</v>
      </c>
      <c r="I1827" s="54" t="str">
        <f>IF(B1827="SEPLAG",VLOOKUP(CONCATENATE("MEDIANA - ",C1827),COTAÇÃO,5,FALSE),VLOOKUP($C1827,DESON!$A:$D,4,))</f>
        <v>40,53</v>
      </c>
      <c r="J1827" s="209">
        <f>TRUNC(F1827*I1827,2)</f>
        <v>15.4</v>
      </c>
    </row>
    <row r="1828" spans="1:10" ht="15" customHeight="1">
      <c r="A1828" s="208" t="s">
        <v>39</v>
      </c>
      <c r="B1828" s="241"/>
      <c r="C1828" s="1181">
        <v>11692</v>
      </c>
      <c r="D1828" s="161" t="str">
        <f>IF(B1828="SEPLAG",VLOOKUP(COMPOSIÇÕES!C1828,'MAPA COMPARATIVO'!A:B,2,FALSE),VLOOKUP(C1828,'NAO DESO'!A:B,2,0))</f>
        <v>BANCADA/ BANCA EM MARMORE, POLIDO, BRANCO COMUM, E=  *3* CM</v>
      </c>
      <c r="E1828" s="241" t="str">
        <f>VLOOKUP($C1828,'NAO DESO'!$A:$D,3,)</f>
        <v xml:space="preserve">M2    </v>
      </c>
      <c r="F1828" s="242">
        <f>2*1</f>
        <v>2</v>
      </c>
      <c r="G1828" s="242">
        <f>IF(B1828="SEPLAG",VLOOKUP(CONCATENATE("MEDIANA - ",C1828),COTAÇÃO,5,FALSE),VLOOKUP($C1828,'NAO DESO'!$A:$D,4,))</f>
        <v>463.09</v>
      </c>
      <c r="H1828" s="242">
        <f>TRUNC(F1828*G1828,2)</f>
        <v>926.18</v>
      </c>
      <c r="I1828" s="54" t="str">
        <f>IF(B1828="SEPLAG",VLOOKUP(CONCATENATE("MEDIANA - ",C1828),COTAÇÃO,5,FALSE),VLOOKUP($C1828,DESON!$A:$D,4,))</f>
        <v>463,09</v>
      </c>
      <c r="J1828" s="209">
        <f>TRUNC(F1828*I1828,2)</f>
        <v>926.18</v>
      </c>
    </row>
    <row r="1829" spans="1:10" ht="15" customHeight="1">
      <c r="A1829" s="208" t="s">
        <v>39</v>
      </c>
      <c r="B1829" s="241"/>
      <c r="C1829" s="1181">
        <v>37329</v>
      </c>
      <c r="D1829" s="161" t="str">
        <f>IF(B1829="SEPLAG",VLOOKUP(COMPOSIÇÕES!C1829,'MAPA COMPARATIVO'!A:B,2,FALSE),VLOOKUP(C1829,'NAO DESO'!A:B,2,0))</f>
        <v>REJUNTE EPOXI, QUALQUER COR</v>
      </c>
      <c r="E1829" s="241" t="str">
        <f>VLOOKUP($C1829,'NAO DESO'!$A:$D,3,)</f>
        <v xml:space="preserve">KG    </v>
      </c>
      <c r="F1829" s="242">
        <f>F1828*0.04</f>
        <v>0.08</v>
      </c>
      <c r="G1829" s="242">
        <f>IF(B1829="SEPLAG",VLOOKUP(CONCATENATE("MEDIANA - ",C1829),COTAÇÃO,5,FALSE),VLOOKUP($C1829,'NAO DESO'!$A:$D,4,))</f>
        <v>101.41</v>
      </c>
      <c r="H1829" s="242">
        <f>TRUNC(F1829*G1829,2)</f>
        <v>8.11</v>
      </c>
      <c r="I1829" s="54" t="str">
        <f>IF(B1829="SEPLAG",VLOOKUP(CONCATENATE("MEDIANA - ",C1829),COTAÇÃO,5,FALSE),VLOOKUP($C1829,DESON!$A:$D,4,))</f>
        <v>101,41</v>
      </c>
      <c r="J1829" s="209">
        <f>TRUNC(F1829*I1829,2)</f>
        <v>8.11</v>
      </c>
    </row>
    <row r="1830" spans="1:10" ht="15" customHeight="1">
      <c r="A1830" s="208" t="s">
        <v>245</v>
      </c>
      <c r="B1830" s="241"/>
      <c r="C1830" s="1181">
        <v>88274</v>
      </c>
      <c r="D1830" s="161" t="str">
        <f>IF(B1830="SEPLAG",VLOOKUP(COMPOSIÇÕES!C1830,'MAPA COMPARATIVO'!A:B,2,FALSE),VLOOKUP(C1830,'NAO DESO'!A:B,2,0))</f>
        <v>MARMORISTA/GRANITEIRO COM ENCARGOS COMPLEMENTARES</v>
      </c>
      <c r="E1830" s="241" t="str">
        <f>VLOOKUP($C1830,'NAO DESO'!$A:$D,3,)</f>
        <v>H</v>
      </c>
      <c r="F1830" s="242">
        <v>1.92</v>
      </c>
      <c r="G1830" s="242" t="str">
        <f>IF(B1830="SEPLAG",VLOOKUP(CONCATENATE("MEDIANA - ",C1830),COTAÇÃO,5,FALSE),VLOOKUP($C1830,'NAO DESO'!$A:$D,4,))</f>
        <v>21,02</v>
      </c>
      <c r="H1830" s="242">
        <f>TRUNC(F1830*G1830,2)</f>
        <v>40.35</v>
      </c>
      <c r="I1830" s="54" t="str">
        <f>IF(B1830="SEPLAG",VLOOKUP(CONCATENATE("MEDIANA - ",C1830),COTAÇÃO,5,FALSE),VLOOKUP($C1830,DESON!$A:$D,4,))</f>
        <v>18,79</v>
      </c>
      <c r="J1830" s="209">
        <f>TRUNC(F1830*I1830,2)</f>
        <v>36.07</v>
      </c>
    </row>
    <row r="1831" spans="1:10" ht="15" customHeight="1">
      <c r="A1831" s="208" t="s">
        <v>245</v>
      </c>
      <c r="B1831" s="241"/>
      <c r="C1831" s="1181">
        <v>88316</v>
      </c>
      <c r="D1831" s="161" t="str">
        <f>IF(B1831="SEPLAG",VLOOKUP(COMPOSIÇÕES!C1831,'MAPA COMPARATIVO'!A:B,2,FALSE),VLOOKUP(C1831,'NAO DESO'!A:B,2,0))</f>
        <v>SERVENTE COM ENCARGOS COMPLEMENTARES</v>
      </c>
      <c r="E1831" s="241" t="str">
        <f>VLOOKUP($C1831,'NAO DESO'!$A:$D,3,)</f>
        <v>H</v>
      </c>
      <c r="F1831" s="242">
        <v>0.98</v>
      </c>
      <c r="G1831" s="242" t="str">
        <f>IF(B1831="SEPLAG",VLOOKUP(CONCATENATE("MEDIANA - ",C1831),COTAÇÃO,5,FALSE),VLOOKUP($C1831,'NAO DESO'!$A:$D,4,))</f>
        <v>16,83</v>
      </c>
      <c r="H1831" s="242">
        <f>TRUNC(F1831*G1831,2)</f>
        <v>16.489999999999998</v>
      </c>
      <c r="I1831" s="54" t="str">
        <f>IF(B1831="SEPLAG",VLOOKUP(CONCATENATE("MEDIANA - ",C1831),COTAÇÃO,5,FALSE),VLOOKUP($C1831,DESON!$A:$D,4,))</f>
        <v>15,16</v>
      </c>
      <c r="J1831" s="209">
        <f>TRUNC(F1831*I1831,2)</f>
        <v>14.85</v>
      </c>
    </row>
    <row r="1832" spans="1:10" ht="15" customHeight="1">
      <c r="A1832" s="210" t="str">
        <f>CONCATENATE("TOTAL DO ITEM NÃO DESON. - ",C1825)</f>
        <v>TOTAL DO ITEM NÃO DESON. - SEPLAG ARQ 112</v>
      </c>
      <c r="B1832" s="424"/>
      <c r="C1832" s="424"/>
      <c r="D1832" s="424"/>
      <c r="E1832" s="424"/>
      <c r="F1832" s="425"/>
      <c r="G1832" s="426"/>
      <c r="H1832" s="1189">
        <f>SUM(H1827:H1831)</f>
        <v>1006.53</v>
      </c>
      <c r="I1832" s="214"/>
      <c r="J1832" s="215"/>
    </row>
    <row r="1833" spans="1:10" ht="15.75" customHeight="1" thickBot="1">
      <c r="A1833" s="216" t="str">
        <f>CONCATENATE("TOTAL DO ITEM DESON. - ",C1825)</f>
        <v>TOTAL DO ITEM DESON. - SEPLAG ARQ 112</v>
      </c>
      <c r="B1833" s="427"/>
      <c r="C1833" s="427"/>
      <c r="D1833" s="427"/>
      <c r="E1833" s="427"/>
      <c r="F1833" s="428"/>
      <c r="G1833" s="429"/>
      <c r="H1833" s="1190"/>
      <c r="I1833" s="229"/>
      <c r="J1833" s="219">
        <f>SUM(J1827:J1831)</f>
        <v>1000.61</v>
      </c>
    </row>
    <row r="1834" spans="1:10" ht="15" customHeight="1" thickBot="1">
      <c r="A1834" s="235"/>
      <c r="B1834" s="1135"/>
      <c r="C1834" s="1135"/>
      <c r="D1834" s="1135"/>
      <c r="E1834" s="1135"/>
      <c r="F1834" s="1188"/>
      <c r="G1834" s="1188"/>
      <c r="H1834" s="1188"/>
      <c r="I1834" s="236"/>
      <c r="J1834" s="236"/>
    </row>
    <row r="1835" spans="1:10" ht="29.25" customHeight="1">
      <c r="A1835" s="198"/>
      <c r="B1835" s="1175"/>
      <c r="C1835" s="1152" t="s">
        <v>7599</v>
      </c>
      <c r="D1835" s="152" t="s">
        <v>7600</v>
      </c>
      <c r="E1835" s="1176" t="s">
        <v>24</v>
      </c>
      <c r="F1835" s="1177" t="s">
        <v>18</v>
      </c>
      <c r="G1835" s="1178" t="s">
        <v>7017</v>
      </c>
      <c r="H1835" s="1179"/>
      <c r="I1835" s="200" t="s">
        <v>7016</v>
      </c>
      <c r="J1835" s="201"/>
    </row>
    <row r="1836" spans="1:10" ht="12.75" customHeight="1">
      <c r="A1836" s="233"/>
      <c r="B1836" s="247"/>
      <c r="C1836" s="430"/>
      <c r="D1836" s="158"/>
      <c r="E1836" s="1155"/>
      <c r="F1836" s="1180"/>
      <c r="G1836" s="1180" t="s">
        <v>19</v>
      </c>
      <c r="H1836" s="1180" t="s">
        <v>20</v>
      </c>
      <c r="I1836" s="205" t="s">
        <v>19</v>
      </c>
      <c r="J1836" s="206" t="s">
        <v>20</v>
      </c>
    </row>
    <row r="1837" spans="1:10" ht="26.25" customHeight="1">
      <c r="A1837" s="208"/>
      <c r="B1837" s="241"/>
      <c r="C1837" s="241" t="s">
        <v>180</v>
      </c>
      <c r="D1837" s="161" t="s">
        <v>195</v>
      </c>
      <c r="E1837" s="241"/>
      <c r="F1837" s="242"/>
      <c r="G1837" s="242"/>
      <c r="H1837" s="242"/>
      <c r="I1837" s="214"/>
      <c r="J1837" s="227"/>
    </row>
    <row r="1838" spans="1:10" ht="15" customHeight="1">
      <c r="A1838" s="208" t="s">
        <v>39</v>
      </c>
      <c r="B1838" s="241"/>
      <c r="C1838" s="1181">
        <v>4823</v>
      </c>
      <c r="D1838" s="161" t="str">
        <f>IF(B1838="SEPLAG",VLOOKUP(COMPOSIÇÕES!C1838,'MAPA COMPARATIVO'!A:B,2,FALSE),VLOOKUP(C1838,'NAO DESO'!A:B,2,0))</f>
        <v>MASSA PLASTICA PARA MARMORE/GRANITO</v>
      </c>
      <c r="E1838" s="241" t="str">
        <f>VLOOKUP($C1838,'NAO DESO'!$A:$D,3,)</f>
        <v xml:space="preserve">KG    </v>
      </c>
      <c r="F1838" s="242">
        <v>0.38</v>
      </c>
      <c r="G1838" s="242">
        <f>IF(B1838="SEPLAG",VLOOKUP(CONCATENATE("MEDIANA - ",C1838),COTAÇÃO,5,FALSE),VLOOKUP($C1838,'NAO DESO'!$A:$D,4,))</f>
        <v>40.53</v>
      </c>
      <c r="H1838" s="242">
        <f t="shared" ref="H1838:H1844" si="150">TRUNC(F1838*G1838,2)</f>
        <v>15.4</v>
      </c>
      <c r="I1838" s="54" t="str">
        <f>IF(B1838="SEPLAG",VLOOKUP(CONCATENATE("MEDIANA - ",C1838),COTAÇÃO,5,FALSE),VLOOKUP($C1838,DESON!$A:$D,4,))</f>
        <v>40,53</v>
      </c>
      <c r="J1838" s="209">
        <f t="shared" ref="J1838:J1844" si="151">TRUNC(F1838*I1838,2)</f>
        <v>15.4</v>
      </c>
    </row>
    <row r="1839" spans="1:10" ht="26.25" customHeight="1">
      <c r="A1839" s="208" t="s">
        <v>39</v>
      </c>
      <c r="B1839" s="241"/>
      <c r="C1839" s="1181">
        <v>7568</v>
      </c>
      <c r="D1839" s="161" t="str">
        <f>IF(B1839="SEPLAG",VLOOKUP(COMPOSIÇÕES!C1839,'MAPA COMPARATIVO'!A:B,2,FALSE),VLOOKUP(C1839,'NAO DESO'!A:B,2,0))</f>
        <v>BUCHA DE NYLON SEM ABA S10, COM PARAFUSO DE 6,10 X 65 MM EM ACO ZINCADO COM ROSCA SOBERBA, CABECA CHATA E FENDA PHILLIPS</v>
      </c>
      <c r="E1839" s="241" t="str">
        <f>VLOOKUP($C1839,'NAO DESO'!$A:$D,3,)</f>
        <v xml:space="preserve">UN    </v>
      </c>
      <c r="F1839" s="242">
        <f>F1842*3</f>
        <v>6</v>
      </c>
      <c r="G1839" s="242">
        <f>IF(B1839="SEPLAG",VLOOKUP(CONCATENATE("MEDIANA - ",C1839),COTAÇÃO,5,FALSE),VLOOKUP($C1839,'NAO DESO'!$A:$D,4,))</f>
        <v>0.61</v>
      </c>
      <c r="H1839" s="242">
        <f t="shared" si="150"/>
        <v>3.66</v>
      </c>
      <c r="I1839" s="54" t="str">
        <f>IF(B1839="SEPLAG",VLOOKUP(CONCATENATE("MEDIANA - ",C1839),COTAÇÃO,5,FALSE),VLOOKUP($C1839,DESON!$A:$D,4,))</f>
        <v>0,61</v>
      </c>
      <c r="J1839" s="209">
        <f t="shared" si="151"/>
        <v>3.66</v>
      </c>
    </row>
    <row r="1840" spans="1:10" ht="15" customHeight="1">
      <c r="A1840" s="208" t="s">
        <v>39</v>
      </c>
      <c r="B1840" s="241"/>
      <c r="C1840" s="1181">
        <v>11692</v>
      </c>
      <c r="D1840" s="161" t="str">
        <f>IF(B1840="SEPLAG",VLOOKUP(COMPOSIÇÕES!C1840,'MAPA COMPARATIVO'!A:B,2,FALSE),VLOOKUP(C1840,'NAO DESO'!A:B,2,0))</f>
        <v>BANCADA/ BANCA EM MARMORE, POLIDO, BRANCO COMUM, E=  *3* CM</v>
      </c>
      <c r="E1840" s="241" t="str">
        <f>VLOOKUP($C1840,'NAO DESO'!$A:$D,3,)</f>
        <v xml:space="preserve">M2    </v>
      </c>
      <c r="F1840" s="242">
        <f>1.55*0.5</f>
        <v>0.77500000000000002</v>
      </c>
      <c r="G1840" s="242">
        <f>IF(B1840="SEPLAG",VLOOKUP(CONCATENATE("MEDIANA - ",C1840),COTAÇÃO,5,FALSE),VLOOKUP($C1840,'NAO DESO'!$A:$D,4,))</f>
        <v>463.09</v>
      </c>
      <c r="H1840" s="242">
        <f t="shared" si="150"/>
        <v>358.89</v>
      </c>
      <c r="I1840" s="54" t="str">
        <f>IF(B1840="SEPLAG",VLOOKUP(CONCATENATE("MEDIANA - ",C1840),COTAÇÃO,5,FALSE),VLOOKUP($C1840,DESON!$A:$D,4,))</f>
        <v>463,09</v>
      </c>
      <c r="J1840" s="209">
        <f t="shared" si="151"/>
        <v>358.89</v>
      </c>
    </row>
    <row r="1841" spans="1:10" ht="15" customHeight="1">
      <c r="A1841" s="208" t="s">
        <v>39</v>
      </c>
      <c r="B1841" s="241"/>
      <c r="C1841" s="1181">
        <v>37329</v>
      </c>
      <c r="D1841" s="161" t="str">
        <f>IF(B1841="SEPLAG",VLOOKUP(COMPOSIÇÕES!C1841,'MAPA COMPARATIVO'!A:B,2,FALSE),VLOOKUP(C1841,'NAO DESO'!A:B,2,0))</f>
        <v>REJUNTE EPOXI, QUALQUER COR</v>
      </c>
      <c r="E1841" s="241" t="str">
        <f>VLOOKUP($C1841,'NAO DESO'!$A:$D,3,)</f>
        <v xml:space="preserve">KG    </v>
      </c>
      <c r="F1841" s="242">
        <f>F1840*0.04</f>
        <v>3.1000000000000003E-2</v>
      </c>
      <c r="G1841" s="242">
        <f>IF(B1841="SEPLAG",VLOOKUP(CONCATENATE("MEDIANA - ",C1841),COTAÇÃO,5,FALSE),VLOOKUP($C1841,'NAO DESO'!$A:$D,4,))</f>
        <v>101.41</v>
      </c>
      <c r="H1841" s="242">
        <f t="shared" si="150"/>
        <v>3.14</v>
      </c>
      <c r="I1841" s="54" t="str">
        <f>IF(B1841="SEPLAG",VLOOKUP(CONCATENATE("MEDIANA - ",C1841),COTAÇÃO,5,FALSE),VLOOKUP($C1841,DESON!$A:$D,4,))</f>
        <v>101,41</v>
      </c>
      <c r="J1841" s="209">
        <f t="shared" si="151"/>
        <v>3.14</v>
      </c>
    </row>
    <row r="1842" spans="1:10" ht="26.25" customHeight="1">
      <c r="A1842" s="208" t="s">
        <v>39</v>
      </c>
      <c r="B1842" s="241"/>
      <c r="C1842" s="1181">
        <v>37590</v>
      </c>
      <c r="D1842" s="161" t="str">
        <f>IF(B1842="SEPLAG",VLOOKUP(COMPOSIÇÕES!C1842,'MAPA COMPARATIVO'!A:B,2,FALSE),VLOOKUP(C1842,'NAO DESO'!A:B,2,0))</f>
        <v>SUPORTE MAO-FRANCESA EM ACO, ABAS IGUAIS 30 CM, CAPACIDADE MINIMA 60 KG, BRANCO</v>
      </c>
      <c r="E1842" s="241" t="str">
        <f>VLOOKUP($C1842,'NAO DESO'!$A:$D,3,)</f>
        <v xml:space="preserve">UN    </v>
      </c>
      <c r="F1842" s="242">
        <v>2</v>
      </c>
      <c r="G1842" s="242">
        <f>IF(B1842="SEPLAG",VLOOKUP(CONCATENATE("MEDIANA - ",C1842),COTAÇÃO,5,FALSE),VLOOKUP($C1842,'NAO DESO'!$A:$D,4,))</f>
        <v>21.58</v>
      </c>
      <c r="H1842" s="242">
        <f t="shared" si="150"/>
        <v>43.16</v>
      </c>
      <c r="I1842" s="54" t="str">
        <f>IF(B1842="SEPLAG",VLOOKUP(CONCATENATE("MEDIANA - ",C1842),COTAÇÃO,5,FALSE),VLOOKUP($C1842,DESON!$A:$D,4,))</f>
        <v>21,58</v>
      </c>
      <c r="J1842" s="209">
        <f t="shared" si="151"/>
        <v>43.16</v>
      </c>
    </row>
    <row r="1843" spans="1:10" ht="15" customHeight="1">
      <c r="A1843" s="208" t="s">
        <v>245</v>
      </c>
      <c r="B1843" s="241"/>
      <c r="C1843" s="1181">
        <v>88274</v>
      </c>
      <c r="D1843" s="161" t="str">
        <f>IF(B1843="SEPLAG",VLOOKUP(COMPOSIÇÕES!C1843,'MAPA COMPARATIVO'!A:B,2,FALSE),VLOOKUP(C1843,'NAO DESO'!A:B,2,0))</f>
        <v>MARMORISTA/GRANITEIRO COM ENCARGOS COMPLEMENTARES</v>
      </c>
      <c r="E1843" s="241" t="str">
        <f>VLOOKUP($C1843,'NAO DESO'!$A:$D,3,)</f>
        <v>H</v>
      </c>
      <c r="F1843" s="242">
        <v>1.92</v>
      </c>
      <c r="G1843" s="242" t="str">
        <f>IF(B1843="SEPLAG",VLOOKUP(CONCATENATE("MEDIANA - ",C1843),COTAÇÃO,5,FALSE),VLOOKUP($C1843,'NAO DESO'!$A:$D,4,))</f>
        <v>21,02</v>
      </c>
      <c r="H1843" s="242">
        <f t="shared" si="150"/>
        <v>40.35</v>
      </c>
      <c r="I1843" s="54" t="str">
        <f>IF(B1843="SEPLAG",VLOOKUP(CONCATENATE("MEDIANA - ",C1843),COTAÇÃO,5,FALSE),VLOOKUP($C1843,DESON!$A:$D,4,))</f>
        <v>18,79</v>
      </c>
      <c r="J1843" s="209">
        <f t="shared" si="151"/>
        <v>36.07</v>
      </c>
    </row>
    <row r="1844" spans="1:10" ht="15" customHeight="1">
      <c r="A1844" s="208" t="s">
        <v>245</v>
      </c>
      <c r="B1844" s="241"/>
      <c r="C1844" s="1181">
        <v>88316</v>
      </c>
      <c r="D1844" s="161" t="str">
        <f>IF(B1844="SEPLAG",VLOOKUP(COMPOSIÇÕES!C1844,'MAPA COMPARATIVO'!A:B,2,FALSE),VLOOKUP(C1844,'NAO DESO'!A:B,2,0))</f>
        <v>SERVENTE COM ENCARGOS COMPLEMENTARES</v>
      </c>
      <c r="E1844" s="241" t="str">
        <f>VLOOKUP($C1844,'NAO DESO'!$A:$D,3,)</f>
        <v>H</v>
      </c>
      <c r="F1844" s="242">
        <v>0.98</v>
      </c>
      <c r="G1844" s="242" t="str">
        <f>IF(B1844="SEPLAG",VLOOKUP(CONCATENATE("MEDIANA - ",C1844),COTAÇÃO,5,FALSE),VLOOKUP($C1844,'NAO DESO'!$A:$D,4,))</f>
        <v>16,83</v>
      </c>
      <c r="H1844" s="242">
        <f t="shared" si="150"/>
        <v>16.489999999999998</v>
      </c>
      <c r="I1844" s="54" t="str">
        <f>IF(B1844="SEPLAG",VLOOKUP(CONCATENATE("MEDIANA - ",C1844),COTAÇÃO,5,FALSE),VLOOKUP($C1844,DESON!$A:$D,4,))</f>
        <v>15,16</v>
      </c>
      <c r="J1844" s="209">
        <f t="shared" si="151"/>
        <v>14.85</v>
      </c>
    </row>
    <row r="1845" spans="1:10" ht="15" customHeight="1">
      <c r="A1845" s="210" t="str">
        <f>CONCATENATE("TOTAL DO ITEM NÃO DESON. - ",C1835)</f>
        <v>TOTAL DO ITEM NÃO DESON. - SEPLAG ARQ 113</v>
      </c>
      <c r="B1845" s="424"/>
      <c r="C1845" s="424"/>
      <c r="D1845" s="424"/>
      <c r="E1845" s="424"/>
      <c r="F1845" s="425"/>
      <c r="G1845" s="426"/>
      <c r="H1845" s="1189">
        <f>SUM(H1838:H1844)</f>
        <v>481.09000000000003</v>
      </c>
      <c r="I1845" s="214"/>
      <c r="J1845" s="215"/>
    </row>
    <row r="1846" spans="1:10" ht="15.75" customHeight="1" thickBot="1">
      <c r="A1846" s="216" t="str">
        <f>CONCATENATE("TOTAL DO ITEM DESON. - ",C1835)</f>
        <v>TOTAL DO ITEM DESON. - SEPLAG ARQ 113</v>
      </c>
      <c r="B1846" s="427"/>
      <c r="C1846" s="427"/>
      <c r="D1846" s="427"/>
      <c r="E1846" s="427"/>
      <c r="F1846" s="428"/>
      <c r="G1846" s="429"/>
      <c r="H1846" s="1190"/>
      <c r="I1846" s="229"/>
      <c r="J1846" s="219">
        <f>SUM(J1838:J1844)</f>
        <v>475.17</v>
      </c>
    </row>
    <row r="1847" spans="1:10" ht="15" customHeight="1" thickBot="1">
      <c r="A1847" s="235"/>
      <c r="B1847" s="1135"/>
      <c r="C1847" s="1135"/>
      <c r="D1847" s="1135"/>
      <c r="E1847" s="1135"/>
      <c r="F1847" s="1188"/>
      <c r="G1847" s="1188"/>
      <c r="H1847" s="1188"/>
      <c r="I1847" s="236"/>
      <c r="J1847" s="237"/>
    </row>
    <row r="1848" spans="1:10" ht="24.75" customHeight="1">
      <c r="A1848" s="198"/>
      <c r="B1848" s="1175"/>
      <c r="C1848" s="1152" t="s">
        <v>7601</v>
      </c>
      <c r="D1848" s="152" t="s">
        <v>7602</v>
      </c>
      <c r="E1848" s="1176" t="s">
        <v>24</v>
      </c>
      <c r="F1848" s="1177" t="s">
        <v>18</v>
      </c>
      <c r="G1848" s="1178" t="s">
        <v>7017</v>
      </c>
      <c r="H1848" s="1179"/>
      <c r="I1848" s="200" t="s">
        <v>7016</v>
      </c>
      <c r="J1848" s="201"/>
    </row>
    <row r="1849" spans="1:10" ht="18" customHeight="1">
      <c r="A1849" s="233"/>
      <c r="B1849" s="247"/>
      <c r="C1849" s="430"/>
      <c r="D1849" s="158"/>
      <c r="E1849" s="1155"/>
      <c r="F1849" s="1180"/>
      <c r="G1849" s="1180" t="s">
        <v>19</v>
      </c>
      <c r="H1849" s="1180" t="s">
        <v>20</v>
      </c>
      <c r="I1849" s="205" t="s">
        <v>19</v>
      </c>
      <c r="J1849" s="206" t="s">
        <v>20</v>
      </c>
    </row>
    <row r="1850" spans="1:10" ht="26.25" customHeight="1">
      <c r="A1850" s="208"/>
      <c r="B1850" s="241"/>
      <c r="C1850" s="241" t="s">
        <v>180</v>
      </c>
      <c r="D1850" s="161" t="s">
        <v>195</v>
      </c>
      <c r="E1850" s="241"/>
      <c r="F1850" s="242"/>
      <c r="G1850" s="242"/>
      <c r="H1850" s="242"/>
      <c r="I1850" s="214"/>
      <c r="J1850" s="227"/>
    </row>
    <row r="1851" spans="1:10" ht="15" customHeight="1">
      <c r="A1851" s="208" t="s">
        <v>39</v>
      </c>
      <c r="B1851" s="241"/>
      <c r="C1851" s="1181">
        <v>4823</v>
      </c>
      <c r="D1851" s="161" t="str">
        <f>IF(B1851="SEPLAG",VLOOKUP(COMPOSIÇÕES!C1851,'MAPA COMPARATIVO'!A:B,2,FALSE),VLOOKUP(C1851,'NAO DESO'!A:B,2,0))</f>
        <v>MASSA PLASTICA PARA MARMORE/GRANITO</v>
      </c>
      <c r="E1851" s="241" t="str">
        <f>VLOOKUP($C1851,'NAO DESO'!$A:$D,3,)</f>
        <v xml:space="preserve">KG    </v>
      </c>
      <c r="F1851" s="242">
        <v>0.38</v>
      </c>
      <c r="G1851" s="242">
        <f>IF(B1851="SEPLAG",VLOOKUP(CONCATENATE("MEDIANA - ",C1851),COTAÇÃO,5,FALSE),VLOOKUP($C1851,'NAO DESO'!$A:$D,4,))</f>
        <v>40.53</v>
      </c>
      <c r="H1851" s="242">
        <f t="shared" ref="H1851:H1857" si="152">TRUNC(F1851*G1851,2)</f>
        <v>15.4</v>
      </c>
      <c r="I1851" s="54" t="str">
        <f>IF(B1851="SEPLAG",VLOOKUP(CONCATENATE("MEDIANA - ",C1851),COTAÇÃO,5,FALSE),VLOOKUP($C1851,DESON!$A:$D,4,))</f>
        <v>40,53</v>
      </c>
      <c r="J1851" s="209">
        <f t="shared" ref="J1851:J1857" si="153">TRUNC(F1851*I1851,2)</f>
        <v>15.4</v>
      </c>
    </row>
    <row r="1852" spans="1:10" ht="26.25" customHeight="1">
      <c r="A1852" s="208" t="s">
        <v>39</v>
      </c>
      <c r="B1852" s="241"/>
      <c r="C1852" s="1181">
        <v>7568</v>
      </c>
      <c r="D1852" s="161" t="str">
        <f>IF(B1852="SEPLAG",VLOOKUP(COMPOSIÇÕES!C1852,'MAPA COMPARATIVO'!A:B,2,FALSE),VLOOKUP(C1852,'NAO DESO'!A:B,2,0))</f>
        <v>BUCHA DE NYLON SEM ABA S10, COM PARAFUSO DE 6,10 X 65 MM EM ACO ZINCADO COM ROSCA SOBERBA, CABECA CHATA E FENDA PHILLIPS</v>
      </c>
      <c r="E1852" s="241" t="str">
        <f>VLOOKUP($C1852,'NAO DESO'!$A:$D,3,)</f>
        <v xml:space="preserve">UN    </v>
      </c>
      <c r="F1852" s="242">
        <f>F1855*3</f>
        <v>6</v>
      </c>
      <c r="G1852" s="242">
        <f>IF(B1852="SEPLAG",VLOOKUP(CONCATENATE("MEDIANA - ",C1852),COTAÇÃO,5,FALSE),VLOOKUP($C1852,'NAO DESO'!$A:$D,4,))</f>
        <v>0.61</v>
      </c>
      <c r="H1852" s="242">
        <f t="shared" si="152"/>
        <v>3.66</v>
      </c>
      <c r="I1852" s="54" t="str">
        <f>IF(B1852="SEPLAG",VLOOKUP(CONCATENATE("MEDIANA - ",C1852),COTAÇÃO,5,FALSE),VLOOKUP($C1852,DESON!$A:$D,4,))</f>
        <v>0,61</v>
      </c>
      <c r="J1852" s="209">
        <f t="shared" si="153"/>
        <v>3.66</v>
      </c>
    </row>
    <row r="1853" spans="1:10" ht="15" customHeight="1">
      <c r="A1853" s="208" t="s">
        <v>39</v>
      </c>
      <c r="B1853" s="241"/>
      <c r="C1853" s="1181">
        <v>11692</v>
      </c>
      <c r="D1853" s="161" t="str">
        <f>IF(B1853="SEPLAG",VLOOKUP(COMPOSIÇÕES!C1853,'MAPA COMPARATIVO'!A:B,2,FALSE),VLOOKUP(C1853,'NAO DESO'!A:B,2,0))</f>
        <v>BANCADA/ BANCA EM MARMORE, POLIDO, BRANCO COMUM, E=  *3* CM</v>
      </c>
      <c r="E1853" s="241" t="str">
        <f>VLOOKUP($C1853,'NAO DESO'!$A:$D,3,)</f>
        <v xml:space="preserve">M2    </v>
      </c>
      <c r="F1853" s="242">
        <f>2*0.58</f>
        <v>1.1599999999999999</v>
      </c>
      <c r="G1853" s="242">
        <f>IF(B1853="SEPLAG",VLOOKUP(CONCATENATE("MEDIANA - ",C1853),COTAÇÃO,5,FALSE),VLOOKUP($C1853,'NAO DESO'!$A:$D,4,))</f>
        <v>463.09</v>
      </c>
      <c r="H1853" s="242">
        <f t="shared" si="152"/>
        <v>537.17999999999995</v>
      </c>
      <c r="I1853" s="54" t="str">
        <f>IF(B1853="SEPLAG",VLOOKUP(CONCATENATE("MEDIANA - ",C1853),COTAÇÃO,5,FALSE),VLOOKUP($C1853,DESON!$A:$D,4,))</f>
        <v>463,09</v>
      </c>
      <c r="J1853" s="209">
        <f t="shared" si="153"/>
        <v>537.17999999999995</v>
      </c>
    </row>
    <row r="1854" spans="1:10" ht="15" customHeight="1">
      <c r="A1854" s="208" t="s">
        <v>39</v>
      </c>
      <c r="B1854" s="241"/>
      <c r="C1854" s="1181">
        <v>37329</v>
      </c>
      <c r="D1854" s="161" t="str">
        <f>IF(B1854="SEPLAG",VLOOKUP(COMPOSIÇÕES!C1854,'MAPA COMPARATIVO'!A:B,2,FALSE),VLOOKUP(C1854,'NAO DESO'!A:B,2,0))</f>
        <v>REJUNTE EPOXI, QUALQUER COR</v>
      </c>
      <c r="E1854" s="241" t="str">
        <f>VLOOKUP($C1854,'NAO DESO'!$A:$D,3,)</f>
        <v xml:space="preserve">KG    </v>
      </c>
      <c r="F1854" s="242">
        <f>F1853*0.04</f>
        <v>4.6399999999999997E-2</v>
      </c>
      <c r="G1854" s="242">
        <f>IF(B1854="SEPLAG",VLOOKUP(CONCATENATE("MEDIANA - ",C1854),COTAÇÃO,5,FALSE),VLOOKUP($C1854,'NAO DESO'!$A:$D,4,))</f>
        <v>101.41</v>
      </c>
      <c r="H1854" s="242">
        <f t="shared" si="152"/>
        <v>4.7</v>
      </c>
      <c r="I1854" s="54" t="str">
        <f>IF(B1854="SEPLAG",VLOOKUP(CONCATENATE("MEDIANA - ",C1854),COTAÇÃO,5,FALSE),VLOOKUP($C1854,DESON!$A:$D,4,))</f>
        <v>101,41</v>
      </c>
      <c r="J1854" s="209">
        <f t="shared" si="153"/>
        <v>4.7</v>
      </c>
    </row>
    <row r="1855" spans="1:10" ht="26.25" customHeight="1">
      <c r="A1855" s="208" t="s">
        <v>39</v>
      </c>
      <c r="B1855" s="241"/>
      <c r="C1855" s="1181">
        <v>37590</v>
      </c>
      <c r="D1855" s="161" t="str">
        <f>IF(B1855="SEPLAG",VLOOKUP(COMPOSIÇÕES!C1855,'MAPA COMPARATIVO'!A:B,2,FALSE),VLOOKUP(C1855,'NAO DESO'!A:B,2,0))</f>
        <v>SUPORTE MAO-FRANCESA EM ACO, ABAS IGUAIS 30 CM, CAPACIDADE MINIMA 60 KG, BRANCO</v>
      </c>
      <c r="E1855" s="241" t="str">
        <f>VLOOKUP($C1855,'NAO DESO'!$A:$D,3,)</f>
        <v xml:space="preserve">UN    </v>
      </c>
      <c r="F1855" s="242">
        <v>2</v>
      </c>
      <c r="G1855" s="242">
        <f>IF(B1855="SEPLAG",VLOOKUP(CONCATENATE("MEDIANA - ",C1855),COTAÇÃO,5,FALSE),VLOOKUP($C1855,'NAO DESO'!$A:$D,4,))</f>
        <v>21.58</v>
      </c>
      <c r="H1855" s="242">
        <f t="shared" si="152"/>
        <v>43.16</v>
      </c>
      <c r="I1855" s="54" t="str">
        <f>IF(B1855="SEPLAG",VLOOKUP(CONCATENATE("MEDIANA - ",C1855),COTAÇÃO,5,FALSE),VLOOKUP($C1855,DESON!$A:$D,4,))</f>
        <v>21,58</v>
      </c>
      <c r="J1855" s="209">
        <f t="shared" si="153"/>
        <v>43.16</v>
      </c>
    </row>
    <row r="1856" spans="1:10" ht="15" customHeight="1">
      <c r="A1856" s="208" t="s">
        <v>245</v>
      </c>
      <c r="B1856" s="241"/>
      <c r="C1856" s="1181">
        <v>88274</v>
      </c>
      <c r="D1856" s="161" t="str">
        <f>IF(B1856="SEPLAG",VLOOKUP(COMPOSIÇÕES!C1856,'MAPA COMPARATIVO'!A:B,2,FALSE),VLOOKUP(C1856,'NAO DESO'!A:B,2,0))</f>
        <v>MARMORISTA/GRANITEIRO COM ENCARGOS COMPLEMENTARES</v>
      </c>
      <c r="E1856" s="241" t="str">
        <f>VLOOKUP($C1856,'NAO DESO'!$A:$D,3,)</f>
        <v>H</v>
      </c>
      <c r="F1856" s="242">
        <f>1.9209*1.5</f>
        <v>2.8813500000000003</v>
      </c>
      <c r="G1856" s="242" t="str">
        <f>IF(B1856="SEPLAG",VLOOKUP(CONCATENATE("MEDIANA - ",C1856),COTAÇÃO,5,FALSE),VLOOKUP($C1856,'NAO DESO'!$A:$D,4,))</f>
        <v>21,02</v>
      </c>
      <c r="H1856" s="242">
        <f t="shared" si="152"/>
        <v>60.56</v>
      </c>
      <c r="I1856" s="54" t="str">
        <f>IF(B1856="SEPLAG",VLOOKUP(CONCATENATE("MEDIANA - ",C1856),COTAÇÃO,5,FALSE),VLOOKUP($C1856,DESON!$A:$D,4,))</f>
        <v>18,79</v>
      </c>
      <c r="J1856" s="209">
        <f t="shared" si="153"/>
        <v>54.14</v>
      </c>
    </row>
    <row r="1857" spans="1:10" ht="15" customHeight="1">
      <c r="A1857" s="208" t="s">
        <v>245</v>
      </c>
      <c r="B1857" s="241"/>
      <c r="C1857" s="1181">
        <v>88316</v>
      </c>
      <c r="D1857" s="161" t="str">
        <f>IF(B1857="SEPLAG",VLOOKUP(COMPOSIÇÕES!C1857,'MAPA COMPARATIVO'!A:B,2,FALSE),VLOOKUP(C1857,'NAO DESO'!A:B,2,0))</f>
        <v>SERVENTE COM ENCARGOS COMPLEMENTARES</v>
      </c>
      <c r="E1857" s="241" t="str">
        <f>VLOOKUP($C1857,'NAO DESO'!$A:$D,3,)</f>
        <v>H</v>
      </c>
      <c r="F1857" s="242">
        <f>0.9811*1.5</f>
        <v>1.4716499999999999</v>
      </c>
      <c r="G1857" s="242" t="str">
        <f>IF(B1857="SEPLAG",VLOOKUP(CONCATENATE("MEDIANA - ",C1857),COTAÇÃO,5,FALSE),VLOOKUP($C1857,'NAO DESO'!$A:$D,4,))</f>
        <v>16,83</v>
      </c>
      <c r="H1857" s="242">
        <f t="shared" si="152"/>
        <v>24.76</v>
      </c>
      <c r="I1857" s="54" t="str">
        <f>IF(B1857="SEPLAG",VLOOKUP(CONCATENATE("MEDIANA - ",C1857),COTAÇÃO,5,FALSE),VLOOKUP($C1857,DESON!$A:$D,4,))</f>
        <v>15,16</v>
      </c>
      <c r="J1857" s="209">
        <f t="shared" si="153"/>
        <v>22.31</v>
      </c>
    </row>
    <row r="1858" spans="1:10" ht="15" customHeight="1">
      <c r="A1858" s="210" t="str">
        <f>CONCATENATE("TOTAL DO ITEM NÃO DESON. - ",C1848)</f>
        <v>TOTAL DO ITEM NÃO DESON. - SEPLAG ARQ 114</v>
      </c>
      <c r="B1858" s="424"/>
      <c r="C1858" s="424"/>
      <c r="D1858" s="424"/>
      <c r="E1858" s="424"/>
      <c r="F1858" s="425"/>
      <c r="G1858" s="426"/>
      <c r="H1858" s="1189">
        <f>SUM(H1851:H1857)</f>
        <v>689.42000000000007</v>
      </c>
      <c r="I1858" s="214"/>
      <c r="J1858" s="215"/>
    </row>
    <row r="1859" spans="1:10" ht="15.75" customHeight="1" thickBot="1">
      <c r="A1859" s="216" t="str">
        <f>CONCATENATE("TOTAL DO ITEM DESON. - ",C1848)</f>
        <v>TOTAL DO ITEM DESON. - SEPLAG ARQ 114</v>
      </c>
      <c r="B1859" s="427"/>
      <c r="C1859" s="427"/>
      <c r="D1859" s="427"/>
      <c r="E1859" s="427"/>
      <c r="F1859" s="428"/>
      <c r="G1859" s="429"/>
      <c r="H1859" s="1190"/>
      <c r="I1859" s="229"/>
      <c r="J1859" s="219">
        <f>SUM(J1851:J1857)</f>
        <v>680.55</v>
      </c>
    </row>
    <row r="1860" spans="1:10" ht="15" customHeight="1" thickBot="1">
      <c r="A1860" s="235"/>
      <c r="B1860" s="1135"/>
      <c r="C1860" s="1135"/>
      <c r="D1860" s="1135"/>
      <c r="E1860" s="1135"/>
      <c r="F1860" s="1188"/>
      <c r="G1860" s="1188"/>
      <c r="H1860" s="1188"/>
      <c r="I1860" s="236"/>
      <c r="J1860" s="237"/>
    </row>
    <row r="1861" spans="1:10" ht="24.75" customHeight="1">
      <c r="A1861" s="198"/>
      <c r="B1861" s="1175"/>
      <c r="C1861" s="1152" t="s">
        <v>7750</v>
      </c>
      <c r="D1861" s="152" t="s">
        <v>7759</v>
      </c>
      <c r="E1861" s="1176" t="s">
        <v>250</v>
      </c>
      <c r="F1861" s="1177" t="s">
        <v>18</v>
      </c>
      <c r="G1861" s="1178" t="s">
        <v>7017</v>
      </c>
      <c r="H1861" s="1179"/>
      <c r="I1861" s="200" t="s">
        <v>7016</v>
      </c>
      <c r="J1861" s="201"/>
    </row>
    <row r="1862" spans="1:10" ht="15.75" customHeight="1">
      <c r="A1862" s="233"/>
      <c r="B1862" s="247"/>
      <c r="C1862" s="430"/>
      <c r="D1862" s="158"/>
      <c r="E1862" s="1155"/>
      <c r="F1862" s="1180"/>
      <c r="G1862" s="1180" t="s">
        <v>19</v>
      </c>
      <c r="H1862" s="1180" t="s">
        <v>20</v>
      </c>
      <c r="I1862" s="205" t="s">
        <v>19</v>
      </c>
      <c r="J1862" s="206" t="s">
        <v>20</v>
      </c>
    </row>
    <row r="1863" spans="1:10" ht="24" customHeight="1">
      <c r="A1863" s="233"/>
      <c r="B1863" s="247"/>
      <c r="C1863" s="430"/>
      <c r="D1863" s="158" t="s">
        <v>13099</v>
      </c>
      <c r="E1863" s="1155"/>
      <c r="F1863" s="1180"/>
      <c r="G1863" s="1180"/>
      <c r="H1863" s="1180"/>
      <c r="I1863" s="205"/>
      <c r="J1863" s="206"/>
    </row>
    <row r="1864" spans="1:10" ht="15" customHeight="1">
      <c r="A1864" s="258"/>
      <c r="B1864" s="1155"/>
      <c r="C1864" s="430"/>
      <c r="D1864" s="432" t="s">
        <v>247</v>
      </c>
      <c r="E1864" s="430"/>
      <c r="F1864" s="1182"/>
      <c r="G1864" s="1189"/>
      <c r="H1864" s="1182"/>
      <c r="I1864" s="205"/>
      <c r="J1864" s="431"/>
    </row>
    <row r="1865" spans="1:10" ht="15" customHeight="1">
      <c r="A1865" s="208" t="s">
        <v>245</v>
      </c>
      <c r="B1865" s="241"/>
      <c r="C1865" s="247">
        <v>88309</v>
      </c>
      <c r="D1865" s="161" t="str">
        <f>IF(B1865="SEPLAG",VLOOKUP(COMPOSIÇÕES!C1865,'MAPA COMPARATIVO'!A:B,2,FALSE),VLOOKUP(C1865,'NAO DESO'!A:B,2,0))</f>
        <v>PEDREIRO COM ENCARGOS COMPLEMENTARES</v>
      </c>
      <c r="E1865" s="241" t="str">
        <f>VLOOKUP($C1865,'NAO DESO'!$A:$D,3,)</f>
        <v>H</v>
      </c>
      <c r="F1865" s="242">
        <v>0.6</v>
      </c>
      <c r="G1865" s="242" t="str">
        <f>IF(B1865="SEPLAG",VLOOKUP(CONCATENATE("MEDIANA - ",C1865),COTAÇÃO,5,FALSE),VLOOKUP($C1865,'NAO DESO'!$A:$D,4,))</f>
        <v>21,10</v>
      </c>
      <c r="H1865" s="242">
        <f>TRUNC(F1865*G1865,2)</f>
        <v>12.66</v>
      </c>
      <c r="I1865" s="54" t="str">
        <f>IF(B1865="SEPLAG",VLOOKUP(CONCATENATE("MEDIANA - ",C1865),COTAÇÃO,5,FALSE),VLOOKUP($C1865,DESON!$A:$D,4,))</f>
        <v>18,86</v>
      </c>
      <c r="J1865" s="209">
        <f>TRUNC(F1865*I1865,2)</f>
        <v>11.31</v>
      </c>
    </row>
    <row r="1866" spans="1:10" ht="15" customHeight="1">
      <c r="A1866" s="208" t="s">
        <v>245</v>
      </c>
      <c r="B1866" s="241"/>
      <c r="C1866" s="247">
        <v>88315</v>
      </c>
      <c r="D1866" s="161" t="str">
        <f>IF(B1866="SEPLAG",VLOOKUP(COMPOSIÇÕES!C1866,'MAPA COMPARATIVO'!A:B,2,FALSE),VLOOKUP(C1866,'NAO DESO'!A:B,2,0))</f>
        <v>SERRALHEIRO COM ENCARGOS COMPLEMENTARES</v>
      </c>
      <c r="E1866" s="241" t="str">
        <f>VLOOKUP($C1866,'NAO DESO'!$A:$D,3,)</f>
        <v>H</v>
      </c>
      <c r="F1866" s="242">
        <v>1.3</v>
      </c>
      <c r="G1866" s="242" t="str">
        <f>IF(B1866="SEPLAG",VLOOKUP(CONCATENATE("MEDIANA - ",C1866),COTAÇÃO,5,FALSE),VLOOKUP($C1866,'NAO DESO'!$A:$D,4,))</f>
        <v>20,97</v>
      </c>
      <c r="H1866" s="242">
        <f>TRUNC(F1866*G1866,2)</f>
        <v>27.26</v>
      </c>
      <c r="I1866" s="54" t="str">
        <f>IF(B1866="SEPLAG",VLOOKUP(CONCATENATE("MEDIANA - ",C1866),COTAÇÃO,5,FALSE),VLOOKUP($C1866,DESON!$A:$D,4,))</f>
        <v>18,75</v>
      </c>
      <c r="J1866" s="209">
        <f>TRUNC(F1866*I1866,2)</f>
        <v>24.37</v>
      </c>
    </row>
    <row r="1867" spans="1:10" ht="15" customHeight="1">
      <c r="A1867" s="208" t="s">
        <v>245</v>
      </c>
      <c r="B1867" s="241"/>
      <c r="C1867" s="247">
        <v>88316</v>
      </c>
      <c r="D1867" s="161" t="str">
        <f>IF(B1867="SEPLAG",VLOOKUP(COMPOSIÇÕES!C1867,'MAPA COMPARATIVO'!A:B,2,FALSE),VLOOKUP(C1867,'NAO DESO'!A:B,2,0))</f>
        <v>SERVENTE COM ENCARGOS COMPLEMENTARES</v>
      </c>
      <c r="E1867" s="241" t="str">
        <f>VLOOKUP($C1867,'NAO DESO'!$A:$D,3,)</f>
        <v>H</v>
      </c>
      <c r="F1867" s="242">
        <v>1.3</v>
      </c>
      <c r="G1867" s="242" t="str">
        <f>IF(B1867="SEPLAG",VLOOKUP(CONCATENATE("MEDIANA - ",C1867),COTAÇÃO,5,FALSE),VLOOKUP($C1867,'NAO DESO'!$A:$D,4,))</f>
        <v>16,83</v>
      </c>
      <c r="H1867" s="242">
        <f>TRUNC(F1867*G1867,2)</f>
        <v>21.87</v>
      </c>
      <c r="I1867" s="54" t="str">
        <f>IF(B1867="SEPLAG",VLOOKUP(CONCATENATE("MEDIANA - ",C1867),COTAÇÃO,5,FALSE),VLOOKUP($C1867,DESON!$A:$D,4,))</f>
        <v>15,16</v>
      </c>
      <c r="J1867" s="209">
        <f>TRUNC(F1867*I1867,2)</f>
        <v>19.7</v>
      </c>
    </row>
    <row r="1868" spans="1:10" s="207" customFormat="1" ht="15" customHeight="1">
      <c r="A1868" s="208" t="s">
        <v>245</v>
      </c>
      <c r="B1868" s="241"/>
      <c r="C1868" s="247">
        <v>88317</v>
      </c>
      <c r="D1868" s="161" t="str">
        <f>IF(B1868="SEPLAG",VLOOKUP(COMPOSIÇÕES!C1868,'MAPA COMPARATIVO'!A:B,2,FALSE),VLOOKUP(C1868,'NAO DESO'!A:B,2,0))</f>
        <v>SOLDADOR COM ENCARGOS COMPLEMENTARES</v>
      </c>
      <c r="E1868" s="241" t="str">
        <f>VLOOKUP($C1868,'NAO DESO'!$A:$D,3,)</f>
        <v>H</v>
      </c>
      <c r="F1868" s="242">
        <v>0.6</v>
      </c>
      <c r="G1868" s="242" t="str">
        <f>IF(B1868="SEPLAG",VLOOKUP(CONCATENATE("MEDIANA - ",C1868),COTAÇÃO,5,FALSE),VLOOKUP($C1868,'NAO DESO'!$A:$D,4,))</f>
        <v>21,79</v>
      </c>
      <c r="H1868" s="242">
        <f>TRUNC(F1868*G1868,2)</f>
        <v>13.07</v>
      </c>
      <c r="I1868" s="54" t="str">
        <f>IF(B1868="SEPLAG",VLOOKUP(CONCATENATE("MEDIANA - ",C1868),COTAÇÃO,5,FALSE),VLOOKUP($C1868,DESON!$A:$D,4,))</f>
        <v>19,57</v>
      </c>
      <c r="J1868" s="209">
        <f>TRUNC(F1868*I1868,2)</f>
        <v>11.74</v>
      </c>
    </row>
    <row r="1869" spans="1:10" s="207" customFormat="1" ht="15" customHeight="1">
      <c r="A1869" s="208"/>
      <c r="B1869" s="241"/>
      <c r="C1869" s="247"/>
      <c r="D1869" s="161"/>
      <c r="E1869" s="247"/>
      <c r="F1869" s="242"/>
      <c r="G1869" s="242"/>
      <c r="H1869" s="242"/>
      <c r="I1869" s="54"/>
      <c r="J1869" s="209"/>
    </row>
    <row r="1870" spans="1:10" ht="15" customHeight="1">
      <c r="A1870" s="258"/>
      <c r="B1870" s="1155"/>
      <c r="C1870" s="430"/>
      <c r="D1870" s="432" t="s">
        <v>248</v>
      </c>
      <c r="E1870" s="430"/>
      <c r="F1870" s="1182"/>
      <c r="G1870" s="242"/>
      <c r="H1870" s="242"/>
      <c r="I1870" s="54"/>
      <c r="J1870" s="209"/>
    </row>
    <row r="1871" spans="1:10" ht="15" customHeight="1">
      <c r="A1871" s="208" t="s">
        <v>39</v>
      </c>
      <c r="B1871" s="241"/>
      <c r="C1871" s="247">
        <v>10998</v>
      </c>
      <c r="D1871" s="161" t="str">
        <f>IF(B1871="SEPLAG",VLOOKUP(COMPOSIÇÕES!C1871,'MAPA COMPARATIVO'!A:B,2,FALSE),VLOOKUP(C1871,'NAO DESO'!A:B,2,0))</f>
        <v>ELETRODO REVESTIDO AWS - E-6010, DIAMETRO IGUAL A 4,00 MM</v>
      </c>
      <c r="E1871" s="241" t="str">
        <f>VLOOKUP($C1871,'NAO DESO'!$A:$D,3,)</f>
        <v xml:space="preserve">KG    </v>
      </c>
      <c r="F1871" s="242">
        <v>0.8</v>
      </c>
      <c r="G1871" s="242">
        <f>IF(B1871="SEPLAG",VLOOKUP(CONCATENATE("MEDIANA - ",C1871),COTAÇÃO,5,FALSE),VLOOKUP($C1871,'NAO DESO'!$A:$D,4,))</f>
        <v>30.03</v>
      </c>
      <c r="H1871" s="242">
        <f>TRUNC(F1871*G1871,2)</f>
        <v>24.02</v>
      </c>
      <c r="I1871" s="54" t="str">
        <f>IF(B1871="SEPLAG",VLOOKUP(CONCATENATE("MEDIANA - ",C1871),COTAÇÃO,5,FALSE),VLOOKUP($C1871,DESON!$A:$D,4,))</f>
        <v>30,03</v>
      </c>
      <c r="J1871" s="209">
        <f>TRUNC(F1871*I1871,2)</f>
        <v>24.02</v>
      </c>
    </row>
    <row r="1872" spans="1:10" ht="15" customHeight="1">
      <c r="A1872" s="208" t="s">
        <v>39</v>
      </c>
      <c r="B1872" s="241" t="s">
        <v>14504</v>
      </c>
      <c r="C1872" s="247" t="s">
        <v>14340</v>
      </c>
      <c r="D1872" s="161" t="str">
        <f>IF(B1872="SEPLAG",VLOOKUP(COMPOSIÇÕES!C1872,'MAPA COMPARATIVO'!A:B,2,FALSE),VLOOKUP(C1872,'NAO DESO'!A:B,2,0))</f>
        <v xml:space="preserve">TUBO ACO INOXIDAVEL, DN 40 MM ( 1 1/2")                                                                                                                                                                                                                                                                                                                                                                                               </v>
      </c>
      <c r="E1872" s="241" t="s">
        <v>40</v>
      </c>
      <c r="F1872" s="242">
        <v>5.63</v>
      </c>
      <c r="G1872" s="242">
        <f>IF(B1872="SEPLAG",VLOOKUP(CONCATENATE("MEDIANA - ",C1872),COTAÇÃO,5,FALSE),VLOOKUP($C1872,'NAO DESO'!$A:$D,4,))</f>
        <v>47.5</v>
      </c>
      <c r="H1872" s="242">
        <f>TRUNC(F1872*G1872,2)</f>
        <v>267.42</v>
      </c>
      <c r="I1872" s="54">
        <f>IF(B1872="SEPLAG",VLOOKUP(CONCATENATE("MEDIANA - ",C1872),COTAÇÃO,5,FALSE),VLOOKUP($C1872,DESON!$A:$D,4,))</f>
        <v>47.5</v>
      </c>
      <c r="J1872" s="209">
        <f>TRUNC(F1872*I1872,2)</f>
        <v>267.42</v>
      </c>
    </row>
    <row r="1873" spans="1:10" ht="26.25" customHeight="1">
      <c r="A1873" s="208" t="s">
        <v>39</v>
      </c>
      <c r="B1873" s="241"/>
      <c r="C1873" s="247">
        <v>87299</v>
      </c>
      <c r="D1873" s="161" t="str">
        <f>IF(B1873="SEPLAG",VLOOKUP(COMPOSIÇÕES!C1873,'MAPA COMPARATIVO'!A:B,2,FALSE),VLOOKUP(C1873,'NAO DESO'!A:B,2,0))</f>
        <v>ARGAMASSA TRAÇO 1:3 (EM VOLUME DE CIMENTO E AREIA MÉDIA ÚMIDA) PARA CONTRAPISO, PREPARO MECÂNICO COM BETONEIRA 600 L. AF_08/2019</v>
      </c>
      <c r="E1873" s="241" t="str">
        <f>VLOOKUP($C1873,'NAO DESO'!$A:$D,3,)</f>
        <v>M3</v>
      </c>
      <c r="F1873" s="242">
        <v>3.0000000000000001E-3</v>
      </c>
      <c r="G1873" s="242" t="str">
        <f>IF(B1873="SEPLAG",VLOOKUP(CONCATENATE("MEDIANA - ",C1873),COTAÇÃO,5,FALSE),VLOOKUP($C1873,'NAO DESO'!$A:$D,4,))</f>
        <v>374,60</v>
      </c>
      <c r="H1873" s="242">
        <f>TRUNC(F1873*G1873,2)</f>
        <v>1.1200000000000001</v>
      </c>
      <c r="I1873" s="54" t="str">
        <f>IF(B1873="SEPLAG",VLOOKUP(CONCATENATE("MEDIANA - ",C1873),COTAÇÃO,5,FALSE),VLOOKUP($C1873,DESON!$A:$D,4,))</f>
        <v>368,07</v>
      </c>
      <c r="J1873" s="209">
        <f>TRUNC(F1873*I1873,2)</f>
        <v>1.1000000000000001</v>
      </c>
    </row>
    <row r="1874" spans="1:10" ht="15" customHeight="1">
      <c r="A1874" s="208" t="s">
        <v>39</v>
      </c>
      <c r="B1874" s="241" t="s">
        <v>14504</v>
      </c>
      <c r="C1874" s="247" t="s">
        <v>14341</v>
      </c>
      <c r="D1874" s="161" t="str">
        <f>IF(B1874="SEPLAG",VLOOKUP(COMPOSIÇÕES!C1874,'MAPA COMPARATIVO'!A:B,2,FALSE),VLOOKUP(C1874,'NAO DESO'!A:B,2,0))</f>
        <v xml:space="preserve">TUBO ACO INOXIDAVEL, DN 32 MM ( 1")                                                                                                                                                                                                                                                                                                                                                                                               </v>
      </c>
      <c r="E1874" s="241" t="s">
        <v>40</v>
      </c>
      <c r="F1874" s="242">
        <v>1.05</v>
      </c>
      <c r="G1874" s="242">
        <f>IF(B1874="SEPLAG",VLOOKUP(CONCATENATE("MEDIANA - ",C1874),COTAÇÃO,5,FALSE),VLOOKUP($C1874,'NAO DESO'!$A:$D,4,))</f>
        <v>25.83</v>
      </c>
      <c r="H1874" s="242">
        <f>TRUNC(F1874*G1874,2)</f>
        <v>27.12</v>
      </c>
      <c r="I1874" s="54">
        <f>IF(B1874="SEPLAG",VLOOKUP(CONCATENATE("MEDIANA - ",C1874),COTAÇÃO,5,FALSE),VLOOKUP($C1874,DESON!$A:$D,4,))</f>
        <v>25.83</v>
      </c>
      <c r="J1874" s="209">
        <f>TRUNC(F1874*I1874,2)</f>
        <v>27.12</v>
      </c>
    </row>
    <row r="1875" spans="1:10" ht="15" customHeight="1">
      <c r="A1875" s="208" t="s">
        <v>39</v>
      </c>
      <c r="B1875" s="241" t="s">
        <v>14504</v>
      </c>
      <c r="C1875" s="247" t="s">
        <v>14342</v>
      </c>
      <c r="D1875" s="161" t="str">
        <f>IF(B1875="SEPLAG",VLOOKUP(COMPOSIÇÕES!C1875,'MAPA COMPARATIVO'!A:B,2,FALSE),VLOOKUP(C1875,'NAO DESO'!A:B,2,0))</f>
        <v xml:space="preserve">BARRA ACO INOXIDAVEL, DN 10 MM 3/8''                                                                                                                                                                                                                                                                                                                                                                                   </v>
      </c>
      <c r="E1875" s="241" t="s">
        <v>40</v>
      </c>
      <c r="F1875" s="242">
        <v>0.3</v>
      </c>
      <c r="G1875" s="242">
        <f>IF(B1875="SEPLAG",VLOOKUP(CONCATENATE("MEDIANA - ",C1875),COTAÇÃO,5,FALSE),VLOOKUP($C1875,'NAO DESO'!$A:$D,4,))</f>
        <v>36.659999999999997</v>
      </c>
      <c r="H1875" s="242">
        <f>TRUNC(F1875*G1875,2)</f>
        <v>10.99</v>
      </c>
      <c r="I1875" s="54">
        <f>IF(B1875="SEPLAG",VLOOKUP(CONCATENATE("MEDIANA - ",C1875),COTAÇÃO,5,FALSE),VLOOKUP($C1875,DESON!$A:$D,4,))</f>
        <v>36.659999999999997</v>
      </c>
      <c r="J1875" s="209">
        <f>TRUNC(F1875*I1875,2)</f>
        <v>10.99</v>
      </c>
    </row>
    <row r="1876" spans="1:10" ht="15" customHeight="1">
      <c r="A1876" s="210" t="str">
        <f>CONCATENATE("TOTAL DO ITEM NÃO DESON. - ",C1861)</f>
        <v>TOTAL DO ITEM NÃO DESON. - SEPLAG ARQ 115</v>
      </c>
      <c r="B1876" s="424"/>
      <c r="C1876" s="424"/>
      <c r="D1876" s="424"/>
      <c r="E1876" s="424"/>
      <c r="F1876" s="425"/>
      <c r="G1876" s="426"/>
      <c r="H1876" s="1189">
        <f>SUM(H1864:H1875)</f>
        <v>405.53000000000003</v>
      </c>
      <c r="I1876" s="214"/>
      <c r="J1876" s="215"/>
    </row>
    <row r="1877" spans="1:10" ht="15.75" customHeight="1" thickBot="1">
      <c r="A1877" s="216" t="str">
        <f>CONCATENATE("TOTAL DO ITEM DESON. - ",C1861)</f>
        <v>TOTAL DO ITEM DESON. - SEPLAG ARQ 115</v>
      </c>
      <c r="B1877" s="427"/>
      <c r="C1877" s="427"/>
      <c r="D1877" s="427"/>
      <c r="E1877" s="427"/>
      <c r="F1877" s="428"/>
      <c r="G1877" s="429"/>
      <c r="H1877" s="1190"/>
      <c r="I1877" s="229"/>
      <c r="J1877" s="219">
        <f>SUM(J1864:J1875)</f>
        <v>397.77000000000004</v>
      </c>
    </row>
    <row r="1878" spans="1:10" ht="15" customHeight="1" thickBot="1">
      <c r="A1878" s="235"/>
      <c r="B1878" s="1135"/>
      <c r="C1878" s="1135"/>
      <c r="D1878" s="1135"/>
      <c r="E1878" s="1135"/>
      <c r="F1878" s="1188"/>
      <c r="G1878" s="1188"/>
      <c r="H1878" s="1188"/>
      <c r="I1878" s="236"/>
      <c r="J1878" s="237"/>
    </row>
    <row r="1879" spans="1:10" ht="28.5" customHeight="1">
      <c r="A1879" s="198"/>
      <c r="B1879" s="1175"/>
      <c r="C1879" s="1152" t="s">
        <v>7757</v>
      </c>
      <c r="D1879" s="152" t="s">
        <v>7758</v>
      </c>
      <c r="E1879" s="1176" t="s">
        <v>250</v>
      </c>
      <c r="F1879" s="1177" t="s">
        <v>18</v>
      </c>
      <c r="G1879" s="1178" t="s">
        <v>7017</v>
      </c>
      <c r="H1879" s="1179"/>
      <c r="I1879" s="200" t="s">
        <v>7016</v>
      </c>
      <c r="J1879" s="201"/>
    </row>
    <row r="1880" spans="1:10" ht="15" customHeight="1">
      <c r="A1880" s="233"/>
      <c r="B1880" s="247"/>
      <c r="C1880" s="430"/>
      <c r="D1880" s="158"/>
      <c r="E1880" s="1155"/>
      <c r="F1880" s="1180"/>
      <c r="G1880" s="1180" t="s">
        <v>19</v>
      </c>
      <c r="H1880" s="1180" t="s">
        <v>20</v>
      </c>
      <c r="I1880" s="205" t="s">
        <v>19</v>
      </c>
      <c r="J1880" s="206" t="s">
        <v>20</v>
      </c>
    </row>
    <row r="1881" spans="1:10" ht="15" customHeight="1">
      <c r="A1881" s="233"/>
      <c r="B1881" s="247"/>
      <c r="C1881" s="430"/>
      <c r="D1881" s="158" t="s">
        <v>13098</v>
      </c>
      <c r="E1881" s="1155"/>
      <c r="F1881" s="1180"/>
      <c r="G1881" s="1180"/>
      <c r="H1881" s="1180"/>
      <c r="I1881" s="205"/>
      <c r="J1881" s="206"/>
    </row>
    <row r="1882" spans="1:10" ht="15" customHeight="1">
      <c r="A1882" s="258"/>
      <c r="B1882" s="1155"/>
      <c r="C1882" s="430"/>
      <c r="D1882" s="432" t="s">
        <v>247</v>
      </c>
      <c r="E1882" s="430"/>
      <c r="F1882" s="1182"/>
      <c r="G1882" s="1189"/>
      <c r="H1882" s="1182"/>
      <c r="I1882" s="205"/>
      <c r="J1882" s="431"/>
    </row>
    <row r="1883" spans="1:10" ht="15" customHeight="1">
      <c r="A1883" s="208" t="s">
        <v>245</v>
      </c>
      <c r="B1883" s="241"/>
      <c r="C1883" s="247">
        <v>88309</v>
      </c>
      <c r="D1883" s="161" t="str">
        <f>IF(B1883="SEPLAG",VLOOKUP(COMPOSIÇÕES!C1883,'MAPA COMPARATIVO'!A:B,2,FALSE),VLOOKUP(C1883,'NAO DESO'!A:B,2,0))</f>
        <v>PEDREIRO COM ENCARGOS COMPLEMENTARES</v>
      </c>
      <c r="E1883" s="241" t="str">
        <f>VLOOKUP($C1883,'NAO DESO'!$A:$D,3,)</f>
        <v>H</v>
      </c>
      <c r="F1883" s="242">
        <v>0.4</v>
      </c>
      <c r="G1883" s="242" t="str">
        <f>IF(B1883="SEPLAG",VLOOKUP(CONCATENATE("MEDIANA - ",C1883),COTAÇÃO,5,FALSE),VLOOKUP($C1883,'NAO DESO'!$A:$D,4,))</f>
        <v>21,10</v>
      </c>
      <c r="H1883" s="242">
        <f>TRUNC(F1883*G1883,2)</f>
        <v>8.44</v>
      </c>
      <c r="I1883" s="54" t="str">
        <f>IF(B1883="SEPLAG",VLOOKUP(CONCATENATE("MEDIANA - ",C1883),COTAÇÃO,5,FALSE),VLOOKUP($C1883,DESON!$A:$D,4,))</f>
        <v>18,86</v>
      </c>
      <c r="J1883" s="209">
        <f>TRUNC(F1883*I1883,2)</f>
        <v>7.54</v>
      </c>
    </row>
    <row r="1884" spans="1:10" ht="15" customHeight="1">
      <c r="A1884" s="208" t="s">
        <v>245</v>
      </c>
      <c r="B1884" s="241"/>
      <c r="C1884" s="247">
        <v>88315</v>
      </c>
      <c r="D1884" s="161" t="str">
        <f>IF(B1884="SEPLAG",VLOOKUP(COMPOSIÇÕES!C1884,'MAPA COMPARATIVO'!A:B,2,FALSE),VLOOKUP(C1884,'NAO DESO'!A:B,2,0))</f>
        <v>SERRALHEIRO COM ENCARGOS COMPLEMENTARES</v>
      </c>
      <c r="E1884" s="241" t="str">
        <f>VLOOKUP($C1884,'NAO DESO'!$A:$D,3,)</f>
        <v>H</v>
      </c>
      <c r="F1884" s="242">
        <v>0.8</v>
      </c>
      <c r="G1884" s="242" t="str">
        <f>IF(B1884="SEPLAG",VLOOKUP(CONCATENATE("MEDIANA - ",C1884),COTAÇÃO,5,FALSE),VLOOKUP($C1884,'NAO DESO'!$A:$D,4,))</f>
        <v>20,97</v>
      </c>
      <c r="H1884" s="242">
        <f>TRUNC(F1884*G1884,2)</f>
        <v>16.77</v>
      </c>
      <c r="I1884" s="54" t="str">
        <f>IF(B1884="SEPLAG",VLOOKUP(CONCATENATE("MEDIANA - ",C1884),COTAÇÃO,5,FALSE),VLOOKUP($C1884,DESON!$A:$D,4,))</f>
        <v>18,75</v>
      </c>
      <c r="J1884" s="209">
        <f>TRUNC(F1884*I1884,2)</f>
        <v>15</v>
      </c>
    </row>
    <row r="1885" spans="1:10" ht="15" customHeight="1">
      <c r="A1885" s="208" t="s">
        <v>245</v>
      </c>
      <c r="B1885" s="241"/>
      <c r="C1885" s="247">
        <v>88316</v>
      </c>
      <c r="D1885" s="161" t="str">
        <f>IF(B1885="SEPLAG",VLOOKUP(COMPOSIÇÕES!C1885,'MAPA COMPARATIVO'!A:B,2,FALSE),VLOOKUP(C1885,'NAO DESO'!A:B,2,0))</f>
        <v>SERVENTE COM ENCARGOS COMPLEMENTARES</v>
      </c>
      <c r="E1885" s="241" t="str">
        <f>VLOOKUP($C1885,'NAO DESO'!$A:$D,3,)</f>
        <v>H</v>
      </c>
      <c r="F1885" s="242">
        <v>1</v>
      </c>
      <c r="G1885" s="242" t="str">
        <f>IF(B1885="SEPLAG",VLOOKUP(CONCATENATE("MEDIANA - ",C1885),COTAÇÃO,5,FALSE),VLOOKUP($C1885,'NAO DESO'!$A:$D,4,))</f>
        <v>16,83</v>
      </c>
      <c r="H1885" s="242">
        <f>TRUNC(F1885*G1885,2)</f>
        <v>16.829999999999998</v>
      </c>
      <c r="I1885" s="54" t="str">
        <f>IF(B1885="SEPLAG",VLOOKUP(CONCATENATE("MEDIANA - ",C1885),COTAÇÃO,5,FALSE),VLOOKUP($C1885,DESON!$A:$D,4,))</f>
        <v>15,16</v>
      </c>
      <c r="J1885" s="209">
        <f>TRUNC(F1885*I1885,2)</f>
        <v>15.16</v>
      </c>
    </row>
    <row r="1886" spans="1:10" ht="15" customHeight="1">
      <c r="A1886" s="208"/>
      <c r="B1886" s="241"/>
      <c r="C1886" s="247">
        <v>88317</v>
      </c>
      <c r="D1886" s="161" t="str">
        <f>IF(B1886="SEPLAG",VLOOKUP(COMPOSIÇÕES!C1886,'MAPA COMPARATIVO'!A:B,2,FALSE),VLOOKUP(C1886,'NAO DESO'!A:B,2,0))</f>
        <v>SOLDADOR COM ENCARGOS COMPLEMENTARES</v>
      </c>
      <c r="E1886" s="241" t="str">
        <f>VLOOKUP($C1886,'NAO DESO'!$A:$D,3,)</f>
        <v>H</v>
      </c>
      <c r="F1886" s="242">
        <v>0.6</v>
      </c>
      <c r="G1886" s="242" t="str">
        <f>IF(B1886="SEPLAG",VLOOKUP(CONCATENATE("MEDIANA - ",C1886),COTAÇÃO,5,FALSE),VLOOKUP($C1886,'NAO DESO'!$A:$D,4,))</f>
        <v>21,79</v>
      </c>
      <c r="H1886" s="242">
        <f>TRUNC(F1886*G1886,2)</f>
        <v>13.07</v>
      </c>
      <c r="I1886" s="54" t="str">
        <f>IF(B1886="SEPLAG",VLOOKUP(CONCATENATE("MEDIANA - ",C1886),COTAÇÃO,5,FALSE),VLOOKUP($C1886,DESON!$A:$D,4,))</f>
        <v>19,57</v>
      </c>
      <c r="J1886" s="209">
        <f>TRUNC(F1886*I1886,2)</f>
        <v>11.74</v>
      </c>
    </row>
    <row r="1887" spans="1:10" ht="15" customHeight="1">
      <c r="A1887" s="208"/>
      <c r="B1887" s="241"/>
      <c r="C1887" s="247"/>
      <c r="D1887" s="161"/>
      <c r="E1887" s="247"/>
      <c r="F1887" s="242"/>
      <c r="G1887" s="248"/>
      <c r="H1887" s="242"/>
      <c r="I1887" s="54"/>
      <c r="J1887" s="234"/>
    </row>
    <row r="1888" spans="1:10" ht="15" customHeight="1">
      <c r="A1888" s="258"/>
      <c r="B1888" s="1155"/>
      <c r="C1888" s="430"/>
      <c r="D1888" s="432" t="s">
        <v>248</v>
      </c>
      <c r="E1888" s="430"/>
      <c r="F1888" s="1182"/>
      <c r="G1888" s="1189"/>
      <c r="H1888" s="1182"/>
      <c r="I1888" s="205"/>
      <c r="J1888" s="431"/>
    </row>
    <row r="1889" spans="1:10" ht="15" customHeight="1">
      <c r="A1889" s="208" t="s">
        <v>39</v>
      </c>
      <c r="B1889" s="241"/>
      <c r="C1889" s="247">
        <v>10998</v>
      </c>
      <c r="D1889" s="161" t="str">
        <f>IF(B1889="SEPLAG",VLOOKUP(COMPOSIÇÕES!C1889,'MAPA COMPARATIVO'!A:B,2,FALSE),VLOOKUP(C1889,'NAO DESO'!A:B,2,0))</f>
        <v>ELETRODO REVESTIDO AWS - E-6010, DIAMETRO IGUAL A 4,00 MM</v>
      </c>
      <c r="E1889" s="241" t="str">
        <f>VLOOKUP($C1889,'NAO DESO'!$A:$D,3,)</f>
        <v xml:space="preserve">KG    </v>
      </c>
      <c r="F1889" s="242">
        <v>0.6</v>
      </c>
      <c r="G1889" s="242">
        <f>IF(B1889="SEPLAG",VLOOKUP(CONCATENATE("MEDIANA - ",C1889),COTAÇÃO,5,FALSE),VLOOKUP($C1889,'NAO DESO'!$A:$D,4,))</f>
        <v>30.03</v>
      </c>
      <c r="H1889" s="242">
        <f>TRUNC(F1889*G1889,2)</f>
        <v>18.010000000000002</v>
      </c>
      <c r="I1889" s="54" t="str">
        <f>IF(B1889="SEPLAG",VLOOKUP(CONCATENATE("MEDIANA - ",C1889),COTAÇÃO,5,FALSE),VLOOKUP($C1889,DESON!$A:$D,4,))</f>
        <v>30,03</v>
      </c>
      <c r="J1889" s="209">
        <f>TRUNC(F1889*I1889,2)</f>
        <v>18.010000000000002</v>
      </c>
    </row>
    <row r="1890" spans="1:10" ht="15" customHeight="1">
      <c r="A1890" s="208" t="s">
        <v>39</v>
      </c>
      <c r="B1890" s="241" t="s">
        <v>14504</v>
      </c>
      <c r="C1890" s="247" t="s">
        <v>14340</v>
      </c>
      <c r="D1890" s="161" t="str">
        <f>IF(B1890="SEPLAG",VLOOKUP(COMPOSIÇÕES!C1890,'MAPA COMPARATIVO'!A:B,2,FALSE),VLOOKUP(C1890,'NAO DESO'!A:B,2,0))</f>
        <v xml:space="preserve">TUBO ACO INOXIDAVEL, DN 40 MM ( 1 1/2")                                                                                                                                                                                                                                                                                                                                                                                               </v>
      </c>
      <c r="E1890" s="241" t="s">
        <v>40</v>
      </c>
      <c r="F1890" s="242">
        <v>2.2999999999999998</v>
      </c>
      <c r="G1890" s="242">
        <f>IF(B1890="SEPLAG",VLOOKUP(CONCATENATE("MEDIANA - ",C1890),COTAÇÃO,5,FALSE),VLOOKUP($C1890,'NAO DESO'!$A:$D,4,))</f>
        <v>47.5</v>
      </c>
      <c r="H1890" s="242">
        <f>TRUNC(F1890*G1890,2)</f>
        <v>109.25</v>
      </c>
      <c r="I1890" s="54">
        <f>IF(B1890="SEPLAG",VLOOKUP(CONCATENATE("MEDIANA - ",C1890),COTAÇÃO,5,FALSE),VLOOKUP($C1890,DESON!$A:$D,4,))</f>
        <v>47.5</v>
      </c>
      <c r="J1890" s="209">
        <f>TRUNC(F1890*I1890,2)</f>
        <v>109.25</v>
      </c>
    </row>
    <row r="1891" spans="1:10" ht="26.25" customHeight="1">
      <c r="A1891" s="208" t="s">
        <v>39</v>
      </c>
      <c r="B1891" s="241"/>
      <c r="C1891" s="247">
        <v>87299</v>
      </c>
      <c r="D1891" s="161" t="str">
        <f>IF(B1891="SEPLAG",VLOOKUP(COMPOSIÇÕES!C1891,'MAPA COMPARATIVO'!A:B,2,FALSE),VLOOKUP(C1891,'NAO DESO'!A:B,2,0))</f>
        <v>ARGAMASSA TRAÇO 1:3 (EM VOLUME DE CIMENTO E AREIA MÉDIA ÚMIDA) PARA CONTRAPISO, PREPARO MECÂNICO COM BETONEIRA 600 L. AF_08/2019</v>
      </c>
      <c r="E1891" s="241" t="str">
        <f>VLOOKUP($C1891,'NAO DESO'!$A:$D,3,)</f>
        <v>M3</v>
      </c>
      <c r="F1891" s="242">
        <v>3.0000000000000001E-3</v>
      </c>
      <c r="G1891" s="242" t="str">
        <f>IF(B1891="SEPLAG",VLOOKUP(CONCATENATE("MEDIANA - ",C1891),COTAÇÃO,5,FALSE),VLOOKUP($C1891,'NAO DESO'!$A:$D,4,))</f>
        <v>374,60</v>
      </c>
      <c r="H1891" s="242">
        <f>TRUNC(F1891*G1891,2)</f>
        <v>1.1200000000000001</v>
      </c>
      <c r="I1891" s="54" t="str">
        <f>IF(B1891="SEPLAG",VLOOKUP(CONCATENATE("MEDIANA - ",C1891),COTAÇÃO,5,FALSE),VLOOKUP($C1891,DESON!$A:$D,4,))</f>
        <v>368,07</v>
      </c>
      <c r="J1891" s="209">
        <f>TRUNC(F1891*I1891,2)</f>
        <v>1.1000000000000001</v>
      </c>
    </row>
    <row r="1892" spans="1:10" ht="15" customHeight="1">
      <c r="A1892" s="208" t="s">
        <v>39</v>
      </c>
      <c r="B1892" s="241" t="s">
        <v>14504</v>
      </c>
      <c r="C1892" s="247" t="s">
        <v>14342</v>
      </c>
      <c r="D1892" s="161" t="str">
        <f>IF(B1892="SEPLAG",VLOOKUP(COMPOSIÇÕES!C1892,'MAPA COMPARATIVO'!A:B,2,FALSE),VLOOKUP(C1892,'NAO DESO'!A:B,2,0))</f>
        <v xml:space="preserve">BARRA ACO INOXIDAVEL, DN 10 MM 3/8''                                                                                                                                                                                                                                                                                                                                                                                   </v>
      </c>
      <c r="E1892" s="241" t="s">
        <v>40</v>
      </c>
      <c r="F1892" s="242">
        <v>1</v>
      </c>
      <c r="G1892" s="242">
        <f>IF(B1892="SEPLAG",VLOOKUP(CONCATENATE("MEDIANA - ",C1892),COTAÇÃO,5,FALSE),VLOOKUP($C1892,'NAO DESO'!$A:$D,4,))</f>
        <v>36.659999999999997</v>
      </c>
      <c r="H1892" s="242">
        <f>TRUNC(F1892*G1892,2)</f>
        <v>36.659999999999997</v>
      </c>
      <c r="I1892" s="54">
        <f>IF(B1892="SEPLAG",VLOOKUP(CONCATENATE("MEDIANA - ",C1892),COTAÇÃO,5,FALSE),VLOOKUP($C1892,DESON!$A:$D,4,))</f>
        <v>36.659999999999997</v>
      </c>
      <c r="J1892" s="209">
        <f>TRUNC(F1892*I1892,2)</f>
        <v>36.659999999999997</v>
      </c>
    </row>
    <row r="1893" spans="1:10" ht="15" customHeight="1">
      <c r="A1893" s="210" t="str">
        <f>CONCATENATE("TOTAL DO ITEM NÃO DESON. - ",C1879)</f>
        <v>TOTAL DO ITEM NÃO DESON. - SEPLAG ARQ 116</v>
      </c>
      <c r="B1893" s="424"/>
      <c r="C1893" s="424"/>
      <c r="D1893" s="424"/>
      <c r="E1893" s="424"/>
      <c r="F1893" s="425"/>
      <c r="G1893" s="426"/>
      <c r="H1893" s="1189">
        <f>SUM(H1882:H1892)</f>
        <v>220.15</v>
      </c>
      <c r="I1893" s="214"/>
      <c r="J1893" s="215"/>
    </row>
    <row r="1894" spans="1:10" ht="15.75" customHeight="1" thickBot="1">
      <c r="A1894" s="216" t="str">
        <f>CONCATENATE("TOTAL DO ITEM DESON. - ",C1879)</f>
        <v>TOTAL DO ITEM DESON. - SEPLAG ARQ 116</v>
      </c>
      <c r="B1894" s="427"/>
      <c r="C1894" s="427"/>
      <c r="D1894" s="427"/>
      <c r="E1894" s="427"/>
      <c r="F1894" s="428"/>
      <c r="G1894" s="429"/>
      <c r="H1894" s="1190"/>
      <c r="I1894" s="229"/>
      <c r="J1894" s="219">
        <f>SUM(J1882:J1892)</f>
        <v>214.45999999999998</v>
      </c>
    </row>
    <row r="1895" spans="1:10" ht="15" customHeight="1" thickBot="1">
      <c r="A1895" s="235"/>
      <c r="B1895" s="1135"/>
      <c r="C1895" s="1135"/>
      <c r="D1895" s="1135"/>
      <c r="E1895" s="1135"/>
      <c r="F1895" s="1188"/>
      <c r="G1895" s="1188"/>
      <c r="H1895" s="1188"/>
      <c r="I1895" s="236"/>
      <c r="J1895" s="237"/>
    </row>
    <row r="1896" spans="1:10" ht="28.5" customHeight="1">
      <c r="A1896" s="198"/>
      <c r="B1896" s="1175"/>
      <c r="C1896" s="1152" t="s">
        <v>13005</v>
      </c>
      <c r="D1896" s="152" t="s">
        <v>13006</v>
      </c>
      <c r="E1896" s="1176" t="s">
        <v>24</v>
      </c>
      <c r="F1896" s="1177" t="s">
        <v>18</v>
      </c>
      <c r="G1896" s="1178" t="s">
        <v>7017</v>
      </c>
      <c r="H1896" s="1179"/>
      <c r="I1896" s="200" t="s">
        <v>7016</v>
      </c>
      <c r="J1896" s="201"/>
    </row>
    <row r="1897" spans="1:10" ht="15" customHeight="1">
      <c r="A1897" s="233"/>
      <c r="B1897" s="247"/>
      <c r="C1897" s="430"/>
      <c r="D1897" s="158"/>
      <c r="E1897" s="1155"/>
      <c r="F1897" s="1180"/>
      <c r="G1897" s="1180" t="s">
        <v>19</v>
      </c>
      <c r="H1897" s="1180" t="s">
        <v>20</v>
      </c>
      <c r="I1897" s="205" t="s">
        <v>19</v>
      </c>
      <c r="J1897" s="206" t="s">
        <v>20</v>
      </c>
    </row>
    <row r="1898" spans="1:10" ht="15" customHeight="1">
      <c r="A1898" s="258"/>
      <c r="B1898" s="1155"/>
      <c r="C1898" s="430"/>
      <c r="D1898" s="432" t="s">
        <v>247</v>
      </c>
      <c r="E1898" s="430"/>
      <c r="F1898" s="1182"/>
      <c r="G1898" s="1189"/>
      <c r="H1898" s="1182"/>
      <c r="I1898" s="205"/>
      <c r="J1898" s="431"/>
    </row>
    <row r="1899" spans="1:10" ht="15" customHeight="1">
      <c r="A1899" s="208" t="s">
        <v>245</v>
      </c>
      <c r="B1899" s="241"/>
      <c r="C1899" s="249">
        <v>88278</v>
      </c>
      <c r="D1899" s="161" t="str">
        <f>IF(B1899="SEPLAG",VLOOKUP(COMPOSIÇÕES!C1899,'MAPA COMPARATIVO'!A:B,2,FALSE),VLOOKUP(C1899,'NAO DESO'!A:B,2,0))</f>
        <v>MONTADOR DE ESTRUTURA METÁLICA COM ENCARGOS COMPLEMENTARES</v>
      </c>
      <c r="E1899" s="241" t="str">
        <f>VLOOKUP($C1899,'NAO DESO'!$A:$D,3,)</f>
        <v>H</v>
      </c>
      <c r="F1899" s="242">
        <f>0.02*(F1904)</f>
        <v>33.453400000000002</v>
      </c>
      <c r="G1899" s="242" t="str">
        <f>IF(B1899="SEPLAG",VLOOKUP(CONCATENATE("MEDIANA - ",C1899),COTAÇÃO,5,FALSE),VLOOKUP($C1899,'NAO DESO'!$A:$D,4,))</f>
        <v>15,22</v>
      </c>
      <c r="H1899" s="242">
        <f>TRUNC(F1899*G1899,2)</f>
        <v>509.16</v>
      </c>
      <c r="I1899" s="54" t="str">
        <f>IF(B1899="SEPLAG",VLOOKUP(CONCATENATE("MEDIANA - ",C1899),COTAÇÃO,5,FALSE),VLOOKUP($C1899,DESON!$A:$D,4,))</f>
        <v>13,65</v>
      </c>
      <c r="J1899" s="209">
        <f>TRUNC(F1899*I1899,2)</f>
        <v>456.63</v>
      </c>
    </row>
    <row r="1900" spans="1:10" ht="15" customHeight="1">
      <c r="A1900" s="208" t="s">
        <v>245</v>
      </c>
      <c r="B1900" s="241"/>
      <c r="C1900" s="249">
        <v>88316</v>
      </c>
      <c r="D1900" s="161" t="str">
        <f>IF(B1900="SEPLAG",VLOOKUP(COMPOSIÇÕES!C1900,'MAPA COMPARATIVO'!A:B,2,FALSE),VLOOKUP(C1900,'NAO DESO'!A:B,2,0))</f>
        <v>SERVENTE COM ENCARGOS COMPLEMENTARES</v>
      </c>
      <c r="E1900" s="241" t="str">
        <f>VLOOKUP($C1900,'NAO DESO'!$A:$D,3,)</f>
        <v>H</v>
      </c>
      <c r="F1900" s="242">
        <f>0.004*(F1904)</f>
        <v>6.6906800000000004</v>
      </c>
      <c r="G1900" s="242" t="str">
        <f>IF(B1900="SEPLAG",VLOOKUP(CONCATENATE("MEDIANA - ",C1900),COTAÇÃO,5,FALSE),VLOOKUP($C1900,'NAO DESO'!$A:$D,4,))</f>
        <v>16,83</v>
      </c>
      <c r="H1900" s="242">
        <f>TRUNC(F1900*G1900,2)</f>
        <v>112.6</v>
      </c>
      <c r="I1900" s="54" t="str">
        <f>IF(B1900="SEPLAG",VLOOKUP(CONCATENATE("MEDIANA - ",C1900),COTAÇÃO,5,FALSE),VLOOKUP($C1900,DESON!$A:$D,4,))</f>
        <v>15,16</v>
      </c>
      <c r="J1900" s="209">
        <f>TRUNC(F1900*I1900,2)</f>
        <v>101.43</v>
      </c>
    </row>
    <row r="1901" spans="1:10" ht="15" customHeight="1">
      <c r="A1901" s="208"/>
      <c r="B1901" s="241"/>
      <c r="C1901" s="247"/>
      <c r="D1901" s="161"/>
      <c r="E1901" s="247"/>
      <c r="F1901" s="242"/>
      <c r="G1901" s="248"/>
      <c r="H1901" s="242"/>
      <c r="I1901" s="214"/>
      <c r="J1901" s="234"/>
    </row>
    <row r="1902" spans="1:10" ht="15" customHeight="1">
      <c r="A1902" s="258"/>
      <c r="B1902" s="1155"/>
      <c r="C1902" s="430"/>
      <c r="D1902" s="432" t="s">
        <v>248</v>
      </c>
      <c r="E1902" s="430"/>
      <c r="F1902" s="1182"/>
      <c r="G1902" s="1189"/>
      <c r="H1902" s="1182"/>
      <c r="I1902" s="213"/>
      <c r="J1902" s="431"/>
    </row>
    <row r="1903" spans="1:10" ht="15" customHeight="1">
      <c r="A1903" s="208" t="s">
        <v>39</v>
      </c>
      <c r="B1903" s="241"/>
      <c r="C1903" s="1197">
        <v>10997</v>
      </c>
      <c r="D1903" s="161" t="str">
        <f>IF(B1903="SEPLAG",VLOOKUP(COMPOSIÇÕES!C1903,'MAPA COMPARATIVO'!A:B,2,FALSE),VLOOKUP(C1903,'NAO DESO'!A:B,2,0))</f>
        <v>ELETRODO REVESTIDO AWS - E7018, DIAMETRO IGUAL A 4,00 MM</v>
      </c>
      <c r="E1903" s="241" t="str">
        <f>VLOOKUP($C1903,'NAO DESO'!$A:$D,3,)</f>
        <v xml:space="preserve">KG    </v>
      </c>
      <c r="F1903" s="242">
        <f>0.003*(F1904)</f>
        <v>5.0180100000000003</v>
      </c>
      <c r="G1903" s="242">
        <f>IF(B1903="SEPLAG",VLOOKUP(CONCATENATE("MEDIANA - ",C1903),COTAÇÃO,5,FALSE),VLOOKUP($C1903,'NAO DESO'!$A:$D,4,))</f>
        <v>28.65</v>
      </c>
      <c r="H1903" s="242">
        <f>TRUNC(F1903*G1903,2)</f>
        <v>143.76</v>
      </c>
      <c r="I1903" s="54" t="str">
        <f>IF(B1903="SEPLAG",VLOOKUP(CONCATENATE("MEDIANA - ",C1903),COTAÇÃO,5,FALSE),VLOOKUP($C1903,DESON!$A:$D,4,))</f>
        <v>28,65</v>
      </c>
      <c r="J1903" s="209">
        <f>TRUNC(F1903*I1903,2)</f>
        <v>143.76</v>
      </c>
    </row>
    <row r="1904" spans="1:10" ht="26.25" customHeight="1">
      <c r="A1904" s="208" t="s">
        <v>39</v>
      </c>
      <c r="B1904" s="241"/>
      <c r="C1904" s="1197">
        <v>40598</v>
      </c>
      <c r="D1904" s="161" t="str">
        <f>IF(B1904="SEPLAG",VLOOKUP(COMPOSIÇÕES!C1904,'MAPA COMPARATIVO'!A:B,2,FALSE),VLOOKUP(C1904,'NAO DESO'!A:B,2,0))</f>
        <v>PERFIL UDC ("U" DOBRADO DE CHAPA) SIMPLES DE ACO LAMINADO, GALVANIZADO, ASTM A36, 127 X 50 MM, E= 3 MM</v>
      </c>
      <c r="E1904" s="241" t="str">
        <f>VLOOKUP($C1904,'NAO DESO'!$A:$D,3,)</f>
        <v xml:space="preserve">KG    </v>
      </c>
      <c r="F1904" s="242">
        <v>1672.67</v>
      </c>
      <c r="G1904" s="242">
        <f>IF(B1904="SEPLAG",VLOOKUP(CONCATENATE("MEDIANA - ",C1904),COTAÇÃO,5,FALSE),VLOOKUP($C1904,'NAO DESO'!$A:$D,4,))</f>
        <v>10.81</v>
      </c>
      <c r="H1904" s="242">
        <f>TRUNC(F1904*G1904,2)</f>
        <v>18081.560000000001</v>
      </c>
      <c r="I1904" s="54" t="str">
        <f>IF(B1904="SEPLAG",VLOOKUP(CONCATENATE("MEDIANA - ",C1904),COTAÇÃO,5,FALSE),VLOOKUP($C1904,DESON!$A:$D,4,))</f>
        <v>10,81</v>
      </c>
      <c r="J1904" s="209">
        <f>TRUNC(F1904*I1904,2)</f>
        <v>18081.560000000001</v>
      </c>
    </row>
    <row r="1905" spans="1:10" ht="15" customHeight="1">
      <c r="A1905" s="210" t="str">
        <f>CONCATENATE("TOTAL DO ITEM NÃO DESON. - ",C1896)</f>
        <v>TOTAL DO ITEM NÃO DESON. - SEPLAG ARQ 117</v>
      </c>
      <c r="B1905" s="424"/>
      <c r="C1905" s="424"/>
      <c r="D1905" s="424"/>
      <c r="E1905" s="424"/>
      <c r="F1905" s="425"/>
      <c r="G1905" s="426"/>
      <c r="H1905" s="1189">
        <f>SUM(H1899:H1904)</f>
        <v>18847.080000000002</v>
      </c>
      <c r="I1905" s="214"/>
      <c r="J1905" s="215"/>
    </row>
    <row r="1906" spans="1:10" ht="15.75" customHeight="1" thickBot="1">
      <c r="A1906" s="216" t="str">
        <f>CONCATENATE("TOTAL DO ITEM DESON. - ",C1896)</f>
        <v>TOTAL DO ITEM DESON. - SEPLAG ARQ 117</v>
      </c>
      <c r="B1906" s="427"/>
      <c r="C1906" s="427"/>
      <c r="D1906" s="427"/>
      <c r="E1906" s="427"/>
      <c r="F1906" s="428"/>
      <c r="G1906" s="429"/>
      <c r="H1906" s="1190"/>
      <c r="I1906" s="229"/>
      <c r="J1906" s="219">
        <f>SUM(J1899:J1904)</f>
        <v>18783.38</v>
      </c>
    </row>
    <row r="1907" spans="1:10" ht="15" customHeight="1" thickBot="1">
      <c r="A1907" s="235"/>
      <c r="B1907" s="1135"/>
      <c r="C1907" s="1135"/>
      <c r="D1907" s="1135"/>
      <c r="E1907" s="1135"/>
      <c r="F1907" s="1188"/>
      <c r="G1907" s="1188"/>
      <c r="H1907" s="1188"/>
      <c r="I1907" s="236"/>
      <c r="J1907" s="237"/>
    </row>
    <row r="1908" spans="1:10" ht="30.75" customHeight="1">
      <c r="A1908" s="198"/>
      <c r="B1908" s="1175"/>
      <c r="C1908" s="1152" t="s">
        <v>13007</v>
      </c>
      <c r="D1908" s="152" t="s">
        <v>13008</v>
      </c>
      <c r="E1908" s="1176" t="s">
        <v>24</v>
      </c>
      <c r="F1908" s="1177" t="s">
        <v>18</v>
      </c>
      <c r="G1908" s="1178" t="s">
        <v>7017</v>
      </c>
      <c r="H1908" s="1179"/>
      <c r="I1908" s="200" t="s">
        <v>7016</v>
      </c>
      <c r="J1908" s="201"/>
    </row>
    <row r="1909" spans="1:10" ht="15" customHeight="1">
      <c r="A1909" s="233"/>
      <c r="B1909" s="247"/>
      <c r="C1909" s="430"/>
      <c r="D1909" s="158"/>
      <c r="E1909" s="1155"/>
      <c r="F1909" s="1180"/>
      <c r="G1909" s="1180" t="s">
        <v>19</v>
      </c>
      <c r="H1909" s="1180" t="s">
        <v>20</v>
      </c>
      <c r="I1909" s="205" t="s">
        <v>19</v>
      </c>
      <c r="J1909" s="206" t="s">
        <v>20</v>
      </c>
    </row>
    <row r="1910" spans="1:10" ht="15" customHeight="1">
      <c r="A1910" s="258"/>
      <c r="B1910" s="1155"/>
      <c r="C1910" s="430"/>
      <c r="D1910" s="432" t="s">
        <v>247</v>
      </c>
      <c r="E1910" s="430"/>
      <c r="F1910" s="1182"/>
      <c r="G1910" s="1189"/>
      <c r="H1910" s="1182"/>
      <c r="I1910" s="205"/>
      <c r="J1910" s="431"/>
    </row>
    <row r="1911" spans="1:10" ht="15" customHeight="1">
      <c r="A1911" s="208" t="s">
        <v>245</v>
      </c>
      <c r="B1911" s="241"/>
      <c r="C1911" s="249">
        <v>88278</v>
      </c>
      <c r="D1911" s="161" t="str">
        <f>IF(B1911="SEPLAG",VLOOKUP(COMPOSIÇÕES!C1911,'MAPA COMPARATIVO'!A:B,2,FALSE),VLOOKUP(C1911,'NAO DESO'!A:B,2,0))</f>
        <v>MONTADOR DE ESTRUTURA METÁLICA COM ENCARGOS COMPLEMENTARES</v>
      </c>
      <c r="E1911" s="241" t="str">
        <f>VLOOKUP($C1911,'NAO DESO'!$A:$D,3,)</f>
        <v>H</v>
      </c>
      <c r="F1911" s="242">
        <f>0.02*(F1916)</f>
        <v>10.671600000000002</v>
      </c>
      <c r="G1911" s="242" t="str">
        <f>IF(B1911="SEPLAG",VLOOKUP(CONCATENATE("MEDIANA - ",C1911),COTAÇÃO,5,FALSE),VLOOKUP($C1911,'NAO DESO'!$A:$D,4,))</f>
        <v>15,22</v>
      </c>
      <c r="H1911" s="242">
        <f>TRUNC(F1911*G1911,2)</f>
        <v>162.41999999999999</v>
      </c>
      <c r="I1911" s="54" t="str">
        <f>IF(B1911="SEPLAG",VLOOKUP(CONCATENATE("MEDIANA - ",C1911),COTAÇÃO,5,FALSE),VLOOKUP($C1911,DESON!$A:$D,4,))</f>
        <v>13,65</v>
      </c>
      <c r="J1911" s="209">
        <f>TRUNC(F1911*I1911,2)</f>
        <v>145.66</v>
      </c>
    </row>
    <row r="1912" spans="1:10" ht="15" customHeight="1">
      <c r="A1912" s="208" t="s">
        <v>245</v>
      </c>
      <c r="B1912" s="241"/>
      <c r="C1912" s="249">
        <v>88316</v>
      </c>
      <c r="D1912" s="161" t="str">
        <f>IF(B1912="SEPLAG",VLOOKUP(COMPOSIÇÕES!C1912,'MAPA COMPARATIVO'!A:B,2,FALSE),VLOOKUP(C1912,'NAO DESO'!A:B,2,0))</f>
        <v>SERVENTE COM ENCARGOS COMPLEMENTARES</v>
      </c>
      <c r="E1912" s="241" t="str">
        <f>VLOOKUP($C1912,'NAO DESO'!$A:$D,3,)</f>
        <v>H</v>
      </c>
      <c r="F1912" s="242">
        <f>0.004*(F1916)</f>
        <v>2.1343200000000002</v>
      </c>
      <c r="G1912" s="242" t="str">
        <f>IF(B1912="SEPLAG",VLOOKUP(CONCATENATE("MEDIANA - ",C1912),COTAÇÃO,5,FALSE),VLOOKUP($C1912,'NAO DESO'!$A:$D,4,))</f>
        <v>16,83</v>
      </c>
      <c r="H1912" s="242">
        <f>TRUNC(F1912*G1912,2)</f>
        <v>35.92</v>
      </c>
      <c r="I1912" s="54" t="str">
        <f>IF(B1912="SEPLAG",VLOOKUP(CONCATENATE("MEDIANA - ",C1912),COTAÇÃO,5,FALSE),VLOOKUP($C1912,DESON!$A:$D,4,))</f>
        <v>15,16</v>
      </c>
      <c r="J1912" s="209">
        <f>TRUNC(F1912*I1912,2)</f>
        <v>32.35</v>
      </c>
    </row>
    <row r="1913" spans="1:10" ht="15" customHeight="1">
      <c r="A1913" s="208"/>
      <c r="B1913" s="241"/>
      <c r="C1913" s="247"/>
      <c r="D1913" s="161"/>
      <c r="E1913" s="247"/>
      <c r="F1913" s="242"/>
      <c r="G1913" s="248"/>
      <c r="H1913" s="242"/>
      <c r="I1913" s="54"/>
      <c r="J1913" s="234"/>
    </row>
    <row r="1914" spans="1:10" ht="15" customHeight="1">
      <c r="A1914" s="258"/>
      <c r="B1914" s="1155"/>
      <c r="C1914" s="430"/>
      <c r="D1914" s="432" t="s">
        <v>248</v>
      </c>
      <c r="E1914" s="430"/>
      <c r="F1914" s="1182"/>
      <c r="G1914" s="1189"/>
      <c r="H1914" s="1182"/>
      <c r="I1914" s="205"/>
      <c r="J1914" s="431"/>
    </row>
    <row r="1915" spans="1:10" ht="15" customHeight="1">
      <c r="A1915" s="208" t="s">
        <v>39</v>
      </c>
      <c r="B1915" s="241"/>
      <c r="C1915" s="1197">
        <v>10997</v>
      </c>
      <c r="D1915" s="161" t="str">
        <f>IF(B1915="SEPLAG",VLOOKUP(COMPOSIÇÕES!C1915,'MAPA COMPARATIVO'!A:B,2,FALSE),VLOOKUP(C1915,'NAO DESO'!A:B,2,0))</f>
        <v>ELETRODO REVESTIDO AWS - E7018, DIAMETRO IGUAL A 4,00 MM</v>
      </c>
      <c r="E1915" s="241" t="str">
        <f>VLOOKUP($C1915,'NAO DESO'!$A:$D,3,)</f>
        <v xml:space="preserve">KG    </v>
      </c>
      <c r="F1915" s="242">
        <f>0.003*(F1916)</f>
        <v>1.6007400000000001</v>
      </c>
      <c r="G1915" s="242">
        <f>IF(B1915="SEPLAG",VLOOKUP(CONCATENATE("MEDIANA - ",C1915),COTAÇÃO,5,FALSE),VLOOKUP($C1915,'NAO DESO'!$A:$D,4,))</f>
        <v>28.65</v>
      </c>
      <c r="H1915" s="242">
        <f>TRUNC(F1915*G1915,2)</f>
        <v>45.86</v>
      </c>
      <c r="I1915" s="54" t="str">
        <f>IF(B1915="SEPLAG",VLOOKUP(CONCATENATE("MEDIANA - ",C1915),COTAÇÃO,5,FALSE),VLOOKUP($C1915,DESON!$A:$D,4,))</f>
        <v>28,65</v>
      </c>
      <c r="J1915" s="209">
        <f>TRUNC(F1915*I1915,2)</f>
        <v>45.86</v>
      </c>
    </row>
    <row r="1916" spans="1:10" ht="26.25" customHeight="1">
      <c r="A1916" s="208" t="s">
        <v>39</v>
      </c>
      <c r="B1916" s="241"/>
      <c r="C1916" s="1197">
        <v>40598</v>
      </c>
      <c r="D1916" s="161" t="str">
        <f>IF(B1916="SEPLAG",VLOOKUP(COMPOSIÇÕES!C1916,'MAPA COMPARATIVO'!A:B,2,FALSE),VLOOKUP(C1916,'NAO DESO'!A:B,2,0))</f>
        <v>PERFIL UDC ("U" DOBRADO DE CHAPA) SIMPLES DE ACO LAMINADO, GALVANIZADO, ASTM A36, 127 X 50 MM, E= 3 MM</v>
      </c>
      <c r="E1916" s="241" t="str">
        <f>VLOOKUP($C1916,'NAO DESO'!$A:$D,3,)</f>
        <v xml:space="preserve">KG    </v>
      </c>
      <c r="F1916" s="242">
        <v>533.58000000000004</v>
      </c>
      <c r="G1916" s="242">
        <f>IF(B1916="SEPLAG",VLOOKUP(CONCATENATE("MEDIANA - ",C1916),COTAÇÃO,5,FALSE),VLOOKUP($C1916,'NAO DESO'!$A:$D,4,))</f>
        <v>10.81</v>
      </c>
      <c r="H1916" s="242">
        <f>TRUNC(F1916*G1916,2)</f>
        <v>5767.99</v>
      </c>
      <c r="I1916" s="54" t="str">
        <f>IF(B1916="SEPLAG",VLOOKUP(CONCATENATE("MEDIANA - ",C1916),COTAÇÃO,5,FALSE),VLOOKUP($C1916,DESON!$A:$D,4,))</f>
        <v>10,81</v>
      </c>
      <c r="J1916" s="209">
        <f>TRUNC(F1916*I1916,2)</f>
        <v>5767.99</v>
      </c>
    </row>
    <row r="1917" spans="1:10" ht="15" customHeight="1">
      <c r="A1917" s="210" t="str">
        <f>CONCATENATE("TOTAL DO ITEM NÃO DESON. - ",C1908)</f>
        <v>TOTAL DO ITEM NÃO DESON. - SEPLAG ARQ 118</v>
      </c>
      <c r="B1917" s="424"/>
      <c r="C1917" s="424"/>
      <c r="D1917" s="424"/>
      <c r="E1917" s="424"/>
      <c r="F1917" s="425"/>
      <c r="G1917" s="426"/>
      <c r="H1917" s="1189">
        <f>SUM(H1911:H1916)</f>
        <v>6012.19</v>
      </c>
      <c r="I1917" s="214"/>
      <c r="J1917" s="215"/>
    </row>
    <row r="1918" spans="1:10" ht="15.75" customHeight="1" thickBot="1">
      <c r="A1918" s="216" t="str">
        <f>CONCATENATE("TOTAL DO ITEM DESON. - ",C1908)</f>
        <v>TOTAL DO ITEM DESON. - SEPLAG ARQ 118</v>
      </c>
      <c r="B1918" s="427"/>
      <c r="C1918" s="427"/>
      <c r="D1918" s="427"/>
      <c r="E1918" s="427"/>
      <c r="F1918" s="428"/>
      <c r="G1918" s="429"/>
      <c r="H1918" s="1190"/>
      <c r="I1918" s="229"/>
      <c r="J1918" s="219">
        <f>SUM(J1911:J1916)</f>
        <v>5991.86</v>
      </c>
    </row>
    <row r="1919" spans="1:10" ht="15" customHeight="1" thickBot="1">
      <c r="A1919" s="235"/>
      <c r="B1919" s="1135"/>
      <c r="C1919" s="1135"/>
      <c r="D1919" s="1135"/>
      <c r="E1919" s="1135"/>
      <c r="F1919" s="1188"/>
      <c r="G1919" s="1188"/>
      <c r="H1919" s="1188"/>
      <c r="I1919" s="236"/>
      <c r="J1919" s="237"/>
    </row>
    <row r="1920" spans="1:10" ht="25.5" customHeight="1">
      <c r="A1920" s="198"/>
      <c r="B1920" s="1175"/>
      <c r="C1920" s="1152" t="s">
        <v>13010</v>
      </c>
      <c r="D1920" s="152" t="s">
        <v>13009</v>
      </c>
      <c r="E1920" s="1176" t="s">
        <v>207</v>
      </c>
      <c r="F1920" s="1177" t="s">
        <v>18</v>
      </c>
      <c r="G1920" s="1178" t="s">
        <v>7017</v>
      </c>
      <c r="H1920" s="1179"/>
      <c r="I1920" s="200" t="s">
        <v>7016</v>
      </c>
      <c r="J1920" s="201"/>
    </row>
    <row r="1921" spans="1:10" ht="13.5" customHeight="1">
      <c r="A1921" s="233"/>
      <c r="B1921" s="247"/>
      <c r="C1921" s="430"/>
      <c r="D1921" s="158"/>
      <c r="E1921" s="1155"/>
      <c r="F1921" s="1180"/>
      <c r="G1921" s="1180" t="s">
        <v>19</v>
      </c>
      <c r="H1921" s="1180" t="s">
        <v>20</v>
      </c>
      <c r="I1921" s="205" t="s">
        <v>19</v>
      </c>
      <c r="J1921" s="206" t="s">
        <v>20</v>
      </c>
    </row>
    <row r="1922" spans="1:10" ht="15" customHeight="1">
      <c r="A1922" s="240"/>
      <c r="B1922" s="241"/>
      <c r="C1922" s="241" t="s">
        <v>228</v>
      </c>
      <c r="D1922" s="161" t="s">
        <v>401</v>
      </c>
      <c r="E1922" s="241"/>
      <c r="F1922" s="242"/>
      <c r="G1922" s="242"/>
      <c r="H1922" s="242"/>
      <c r="I1922" s="242"/>
      <c r="J1922" s="243"/>
    </row>
    <row r="1923" spans="1:10" ht="15" customHeight="1">
      <c r="A1923" s="208" t="s">
        <v>245</v>
      </c>
      <c r="B1923" s="241"/>
      <c r="C1923" s="249">
        <v>88316</v>
      </c>
      <c r="D1923" s="161" t="str">
        <f>IF(B1923="SEPLAG",VLOOKUP(COMPOSIÇÕES!C1923,'MAPA COMPARATIVO'!A:B,2,FALSE),VLOOKUP(C1923,'NAO DESO'!A:B,2,0))</f>
        <v>SERVENTE COM ENCARGOS COMPLEMENTARES</v>
      </c>
      <c r="E1923" s="241" t="str">
        <f>VLOOKUP($C1923,'NAO DESO'!$A:$D,3,)</f>
        <v>H</v>
      </c>
      <c r="F1923" s="242">
        <v>0.2</v>
      </c>
      <c r="G1923" s="242" t="str">
        <f>IF(B1923="SEPLAG",VLOOKUP(CONCATENATE("MEDIANA - ",C1923),COTAÇÃO,5,FALSE),VLOOKUP($C1923,'NAO DESO'!$A:$D,4,))</f>
        <v>16,83</v>
      </c>
      <c r="H1923" s="242">
        <f>TRUNC(F1923*G1923,2)</f>
        <v>3.36</v>
      </c>
      <c r="I1923" s="54" t="str">
        <f>IF(B1923="SEPLAG",VLOOKUP(CONCATENATE("MEDIANA - ",C1923),COTAÇÃO,5,FALSE),VLOOKUP($C1923,DESON!$A:$D,4,))</f>
        <v>15,16</v>
      </c>
      <c r="J1923" s="209">
        <f>TRUNC(F1923*I1923,2)</f>
        <v>3.03</v>
      </c>
    </row>
    <row r="1924" spans="1:10" ht="15" customHeight="1">
      <c r="A1924" s="208" t="s">
        <v>245</v>
      </c>
      <c r="B1924" s="241"/>
      <c r="C1924" s="249">
        <v>88278</v>
      </c>
      <c r="D1924" s="161" t="str">
        <f>IF(B1924="SEPLAG",VLOOKUP(COMPOSIÇÕES!C1924,'MAPA COMPARATIVO'!A:B,2,FALSE),VLOOKUP(C1924,'NAO DESO'!A:B,2,0))</f>
        <v>MONTADOR DE ESTRUTURA METÁLICA COM ENCARGOS COMPLEMENTARES</v>
      </c>
      <c r="E1924" s="241" t="str">
        <f>VLOOKUP($C1924,'NAO DESO'!$A:$D,3,)</f>
        <v>H</v>
      </c>
      <c r="F1924" s="242">
        <v>0.2</v>
      </c>
      <c r="G1924" s="242" t="str">
        <f>IF(B1924="SEPLAG",VLOOKUP(CONCATENATE("MEDIANA - ",C1924),COTAÇÃO,5,FALSE),VLOOKUP($C1924,'NAO DESO'!$A:$D,4,))</f>
        <v>15,22</v>
      </c>
      <c r="H1924" s="242">
        <f>TRUNC(F1924*G1924,2)</f>
        <v>3.04</v>
      </c>
      <c r="I1924" s="54" t="str">
        <f>IF(B1924="SEPLAG",VLOOKUP(CONCATENATE("MEDIANA - ",C1924),COTAÇÃO,5,FALSE),VLOOKUP($C1924,DESON!$A:$D,4,))</f>
        <v>13,65</v>
      </c>
      <c r="J1924" s="209">
        <f>TRUNC(F1924*I1924,2)</f>
        <v>2.73</v>
      </c>
    </row>
    <row r="1925" spans="1:10" ht="15" customHeight="1">
      <c r="A1925" s="208" t="s">
        <v>39</v>
      </c>
      <c r="B1925" s="241" t="s">
        <v>14504</v>
      </c>
      <c r="C1925" s="247" t="s">
        <v>14321</v>
      </c>
      <c r="D1925" s="161" t="str">
        <f>IF(B1925="SEPLAG",VLOOKUP(COMPOSIÇÕES!C1925,'MAPA COMPARATIVO'!A:B,2,FALSE),VLOOKUP(C1925,'NAO DESO'!A:B,2,0))</f>
        <v>PLACA DE ACM - AZUL/CINZA/BEGE 1,22X5,0M</v>
      </c>
      <c r="E1925" s="247" t="s">
        <v>32</v>
      </c>
      <c r="F1925" s="242">
        <v>1</v>
      </c>
      <c r="G1925" s="242">
        <f>IF(B1925="SEPLAG",VLOOKUP(CONCATENATE("MEDIANA - ",C1925),COTAÇÃO,5,FALSE),VLOOKUP($C1925,'NAO DESO'!$A:$D,4,))</f>
        <v>106.55737704918033</v>
      </c>
      <c r="H1925" s="242">
        <f>TRUNC(F1925*G1925,2)</f>
        <v>106.55</v>
      </c>
      <c r="I1925" s="54">
        <f>IF(B1925="SEPLAG",VLOOKUP(CONCATENATE("MEDIANA - ",C1925),COTAÇÃO,5,FALSE),VLOOKUP($C1925,DESON!$A:$D,4,))</f>
        <v>106.55737704918033</v>
      </c>
      <c r="J1925" s="209">
        <f>TRUNC(F1925*I1925,2)</f>
        <v>106.55</v>
      </c>
    </row>
    <row r="1926" spans="1:10" ht="15" customHeight="1">
      <c r="A1926" s="210" t="str">
        <f>CONCATENATE("TOTAL DO ITEM NÃO DESON. - ",C1920)</f>
        <v>TOTAL DO ITEM NÃO DESON. - SEPLAG ARQ 119</v>
      </c>
      <c r="B1926" s="424"/>
      <c r="C1926" s="424"/>
      <c r="D1926" s="424"/>
      <c r="E1926" s="424"/>
      <c r="F1926" s="425"/>
      <c r="G1926" s="426"/>
      <c r="H1926" s="1189">
        <f>SUM(H1923:H1925)</f>
        <v>112.95</v>
      </c>
      <c r="I1926" s="214"/>
      <c r="J1926" s="215"/>
    </row>
    <row r="1927" spans="1:10" ht="15.75" customHeight="1" thickBot="1">
      <c r="A1927" s="216" t="str">
        <f>CONCATENATE("TOTAL DO ITEM DESON. - ",C1920)</f>
        <v>TOTAL DO ITEM DESON. - SEPLAG ARQ 119</v>
      </c>
      <c r="B1927" s="427"/>
      <c r="C1927" s="427"/>
      <c r="D1927" s="427"/>
      <c r="E1927" s="427"/>
      <c r="F1927" s="428"/>
      <c r="G1927" s="429"/>
      <c r="H1927" s="1190"/>
      <c r="I1927" s="229"/>
      <c r="J1927" s="219">
        <f>SUM(J1923:J1925)</f>
        <v>112.31</v>
      </c>
    </row>
    <row r="1928" spans="1:10" ht="15" customHeight="1" thickBot="1">
      <c r="A1928" s="235"/>
      <c r="B1928" s="1135"/>
      <c r="C1928" s="1135"/>
      <c r="D1928" s="1135"/>
      <c r="E1928" s="1135"/>
      <c r="F1928" s="1188"/>
      <c r="G1928" s="1188"/>
      <c r="H1928" s="1188"/>
      <c r="I1928" s="236"/>
      <c r="J1928" s="237"/>
    </row>
    <row r="1929" spans="1:10" ht="26.25" customHeight="1">
      <c r="A1929" s="198"/>
      <c r="B1929" s="1175"/>
      <c r="C1929" s="1152" t="s">
        <v>13080</v>
      </c>
      <c r="D1929" s="152" t="s">
        <v>13240</v>
      </c>
      <c r="E1929" s="1176" t="s">
        <v>24</v>
      </c>
      <c r="F1929" s="1177" t="s">
        <v>18</v>
      </c>
      <c r="G1929" s="1178" t="s">
        <v>7017</v>
      </c>
      <c r="H1929" s="1179"/>
      <c r="I1929" s="200" t="s">
        <v>7016</v>
      </c>
      <c r="J1929" s="201"/>
    </row>
    <row r="1930" spans="1:10" ht="13.5" customHeight="1">
      <c r="A1930" s="233"/>
      <c r="B1930" s="247"/>
      <c r="C1930" s="430"/>
      <c r="D1930" s="158"/>
      <c r="E1930" s="1155"/>
      <c r="F1930" s="1180"/>
      <c r="G1930" s="1180" t="s">
        <v>19</v>
      </c>
      <c r="H1930" s="1180" t="s">
        <v>20</v>
      </c>
      <c r="I1930" s="205" t="s">
        <v>19</v>
      </c>
      <c r="J1930" s="206" t="s">
        <v>20</v>
      </c>
    </row>
    <row r="1931" spans="1:10" ht="15" customHeight="1">
      <c r="A1931" s="240"/>
      <c r="B1931" s="241"/>
      <c r="C1931" s="241"/>
      <c r="D1931" s="161" t="s">
        <v>13089</v>
      </c>
      <c r="E1931" s="241"/>
      <c r="F1931" s="242"/>
      <c r="G1931" s="242"/>
      <c r="H1931" s="242"/>
      <c r="I1931" s="242"/>
      <c r="J1931" s="243"/>
    </row>
    <row r="1932" spans="1:10" ht="15" customHeight="1">
      <c r="A1932" s="240"/>
      <c r="B1932" s="241"/>
      <c r="C1932" s="241"/>
      <c r="D1932" s="432" t="s">
        <v>13090</v>
      </c>
      <c r="E1932" s="241"/>
      <c r="F1932" s="242"/>
      <c r="G1932" s="242"/>
      <c r="H1932" s="242"/>
      <c r="I1932" s="242"/>
      <c r="J1932" s="243"/>
    </row>
    <row r="1933" spans="1:10" ht="26.25" customHeight="1">
      <c r="A1933" s="208" t="s">
        <v>245</v>
      </c>
      <c r="B1933" s="241"/>
      <c r="C1933" s="249">
        <v>44533</v>
      </c>
      <c r="D1933" s="161" t="str">
        <f>IF(B1933="SEPLAG",VLOOKUP(COMPOSIÇÕES!C1933,'MAPA COMPARATIVO'!A:B,2,FALSE),VLOOKUP(C1933,'NAO DESO'!A:B,2,0))</f>
        <v>DISCO DE DESBASTE PARA METAL FERROSO EM GERAL, COM TRES TELAS,  9 X 1/4 X 7/8 " ( 228,6 X 6,4 X 22,2 MM)</v>
      </c>
      <c r="E1933" s="241" t="str">
        <f>VLOOKUP($C1933,'NAO DESO'!$A:$D,3,)</f>
        <v xml:space="preserve">UN    </v>
      </c>
      <c r="F1933" s="242">
        <v>5</v>
      </c>
      <c r="G1933" s="242">
        <f>IF(B1933="SEPLAG",VLOOKUP(CONCATENATE("MEDIANA - ",C1933),COTAÇÃO,5,FALSE),VLOOKUP($C1933,'NAO DESO'!$A:$D,4,))</f>
        <v>28.21</v>
      </c>
      <c r="H1933" s="242">
        <f>TRUNC(F1933*G1933,2)</f>
        <v>141.05000000000001</v>
      </c>
      <c r="I1933" s="54" t="str">
        <f>IF(B1933="SEPLAG",VLOOKUP(CONCATENATE("MEDIANA - ",C1933),COTAÇÃO,5,FALSE),VLOOKUP($C1933,DESON!$A:$D,4,))</f>
        <v>28,21</v>
      </c>
      <c r="J1933" s="209">
        <f>TRUNC(F1933*I1933,2)</f>
        <v>141.05000000000001</v>
      </c>
    </row>
    <row r="1934" spans="1:10" ht="15" customHeight="1">
      <c r="A1934" s="208" t="s">
        <v>245</v>
      </c>
      <c r="B1934" s="241"/>
      <c r="C1934" s="249">
        <v>88317</v>
      </c>
      <c r="D1934" s="161" t="str">
        <f>IF(B1934="SEPLAG",VLOOKUP(COMPOSIÇÕES!C1934,'MAPA COMPARATIVO'!A:B,2,FALSE),VLOOKUP(C1934,'NAO DESO'!A:B,2,0))</f>
        <v>SOLDADOR COM ENCARGOS COMPLEMENTARES</v>
      </c>
      <c r="E1934" s="241" t="str">
        <f>VLOOKUP($C1934,'NAO DESO'!$A:$D,3,)</f>
        <v>H</v>
      </c>
      <c r="F1934" s="242">
        <v>5.4</v>
      </c>
      <c r="G1934" s="242" t="str">
        <f>IF(B1934="SEPLAG",VLOOKUP(CONCATENATE("MEDIANA - ",C1934),COTAÇÃO,5,FALSE),VLOOKUP($C1934,'NAO DESO'!$A:$D,4,))</f>
        <v>21,79</v>
      </c>
      <c r="H1934" s="242">
        <f>TRUNC(F1934*G1934,2)</f>
        <v>117.66</v>
      </c>
      <c r="I1934" s="54" t="str">
        <f>IF(B1934="SEPLAG",VLOOKUP(CONCATENATE("MEDIANA - ",C1934),COTAÇÃO,5,FALSE),VLOOKUP($C1934,DESON!$A:$D,4,))</f>
        <v>19,57</v>
      </c>
      <c r="J1934" s="209">
        <f>TRUNC(F1934*I1934,2)</f>
        <v>105.67</v>
      </c>
    </row>
    <row r="1935" spans="1:10" ht="15" customHeight="1">
      <c r="A1935" s="208" t="s">
        <v>245</v>
      </c>
      <c r="B1935" s="241"/>
      <c r="C1935" s="249">
        <v>88316</v>
      </c>
      <c r="D1935" s="161" t="str">
        <f>IF(B1935="SEPLAG",VLOOKUP(COMPOSIÇÕES!C1935,'MAPA COMPARATIVO'!A:B,2,FALSE),VLOOKUP(C1935,'NAO DESO'!A:B,2,0))</f>
        <v>SERVENTE COM ENCARGOS COMPLEMENTARES</v>
      </c>
      <c r="E1935" s="241" t="str">
        <f>VLOOKUP($C1935,'NAO DESO'!$A:$D,3,)</f>
        <v>H</v>
      </c>
      <c r="F1935" s="242">
        <v>5.4</v>
      </c>
      <c r="G1935" s="242" t="str">
        <f>IF(B1935="SEPLAG",VLOOKUP(CONCATENATE("MEDIANA - ",C1935),COTAÇÃO,5,FALSE),VLOOKUP($C1935,'NAO DESO'!$A:$D,4,))</f>
        <v>16,83</v>
      </c>
      <c r="H1935" s="242">
        <f>TRUNC(F1935*G1935,2)</f>
        <v>90.88</v>
      </c>
      <c r="I1935" s="54" t="str">
        <f>IF(B1935="SEPLAG",VLOOKUP(CONCATENATE("MEDIANA - ",C1935),COTAÇÃO,5,FALSE),VLOOKUP($C1935,DESON!$A:$D,4,))</f>
        <v>15,16</v>
      </c>
      <c r="J1935" s="209">
        <f>TRUNC(F1935*I1935,2)</f>
        <v>81.86</v>
      </c>
    </row>
    <row r="1936" spans="1:10" s="434" customFormat="1" ht="15" customHeight="1">
      <c r="A1936" s="433"/>
      <c r="B1936" s="1139"/>
      <c r="C1936" s="1139"/>
      <c r="D1936" s="1139"/>
      <c r="E1936" s="1139"/>
      <c r="F1936" s="1195"/>
      <c r="G1936" s="1195"/>
      <c r="H1936" s="1195"/>
      <c r="I1936" s="435"/>
      <c r="J1936" s="436"/>
    </row>
    <row r="1937" spans="1:10" ht="15" customHeight="1">
      <c r="A1937" s="208"/>
      <c r="B1937" s="241"/>
      <c r="C1937" s="249"/>
      <c r="D1937" s="157" t="s">
        <v>13091</v>
      </c>
      <c r="E1937" s="241"/>
      <c r="F1937" s="242"/>
      <c r="G1937" s="242"/>
      <c r="H1937" s="242"/>
      <c r="I1937" s="54"/>
      <c r="J1937" s="209"/>
    </row>
    <row r="1938" spans="1:10" ht="26.25" customHeight="1">
      <c r="A1938" s="208" t="s">
        <v>245</v>
      </c>
      <c r="B1938" s="241"/>
      <c r="C1938" s="249">
        <v>92716</v>
      </c>
      <c r="D1938" s="161" t="str">
        <f>IF(B1938="SEPLAG",VLOOKUP(COMPOSIÇÕES!C1938,'MAPA COMPARATIVO'!A:B,2,FALSE),VLOOKUP(C1938,'NAO DESO'!A:B,2,0))</f>
        <v>APARELHO PARA CORTE E SOLDA OXI-ACETILENO SOBRE RODAS, INCLUSIVE CILINDROS E MAÇARICOS - CHP DIURNO. AF_12/2015</v>
      </c>
      <c r="E1938" s="241" t="str">
        <f>VLOOKUP($C1938,'NAO DESO'!$A:$D,3,)</f>
        <v>CHP</v>
      </c>
      <c r="F1938" s="242">
        <v>8</v>
      </c>
      <c r="G1938" s="242" t="str">
        <f>IF(B1938="SEPLAG",VLOOKUP(CONCATENATE("MEDIANA - ",C1938),COTAÇÃO,5,FALSE),VLOOKUP($C1938,'NAO DESO'!$A:$D,4,))</f>
        <v>31,08</v>
      </c>
      <c r="H1938" s="242">
        <f>TRUNC(F1938*G1938,2)</f>
        <v>248.64</v>
      </c>
      <c r="I1938" s="54" t="str">
        <f>IF(B1938="SEPLAG",VLOOKUP(CONCATENATE("MEDIANA - ",C1938),COTAÇÃO,5,FALSE),VLOOKUP($C1938,DESON!$A:$D,4,))</f>
        <v>31,08</v>
      </c>
      <c r="J1938" s="209">
        <f>TRUNC(F1938*I1938,2)</f>
        <v>248.64</v>
      </c>
    </row>
    <row r="1939" spans="1:10" ht="51.75" customHeight="1">
      <c r="A1939" s="208" t="s">
        <v>245</v>
      </c>
      <c r="B1939" s="241"/>
      <c r="C1939" s="249">
        <v>5928</v>
      </c>
      <c r="D1939" s="161" t="str">
        <f>IF(B1939="SEPLAG",VLOOKUP(COMPOSIÇÕES!C1939,'MAPA COMPARATIVO'!A:B,2,FALSE),VLOOKUP(C1939,'NAO DESO'!A:B,2,0))</f>
        <v>GUINDAUTO HIDRÁULICO, CAPACIDADE MÁXIMA DE CARGA 6200 KG, MOMENTO MÁXIMO DE CARGA 11,7 TM, ALCANCE MÁXIMO HORIZONTAL 9,70 M, INCLUSIVE CAMINHÃO TOCO PBT 16.000 KG, POTÊNCIA DE 189 CV - CHP DIURNO. AF_06/2014</v>
      </c>
      <c r="E1939" s="241" t="str">
        <f>VLOOKUP($C1939,'NAO DESO'!$A:$D,3,)</f>
        <v>CHP</v>
      </c>
      <c r="F1939" s="242">
        <v>8</v>
      </c>
      <c r="G1939" s="242" t="str">
        <f>IF(B1939="SEPLAG",VLOOKUP(CONCATENATE("MEDIANA - ",C1939),COTAÇÃO,5,FALSE),VLOOKUP($C1939,'NAO DESO'!$A:$D,4,))</f>
        <v>231,97</v>
      </c>
      <c r="H1939" s="242">
        <f>TRUNC(F1939*G1939,2)</f>
        <v>1855.76</v>
      </c>
      <c r="I1939" s="54" t="str">
        <f>IF(B1939="SEPLAG",VLOOKUP(CONCATENATE("MEDIANA - ",C1939),COTAÇÃO,5,FALSE),VLOOKUP($C1939,DESON!$A:$D,4,))</f>
        <v>229,82</v>
      </c>
      <c r="J1939" s="209">
        <f>TRUNC(F1939*I1939,2)</f>
        <v>1838.56</v>
      </c>
    </row>
    <row r="1940" spans="1:10" ht="15" customHeight="1">
      <c r="A1940" s="208" t="s">
        <v>245</v>
      </c>
      <c r="B1940" s="241"/>
      <c r="C1940" s="249">
        <v>88317</v>
      </c>
      <c r="D1940" s="161" t="str">
        <f>IF(B1940="SEPLAG",VLOOKUP(COMPOSIÇÕES!C1940,'MAPA COMPARATIVO'!A:B,2,FALSE),VLOOKUP(C1940,'NAO DESO'!A:B,2,0))</f>
        <v>SOLDADOR COM ENCARGOS COMPLEMENTARES</v>
      </c>
      <c r="E1940" s="241" t="str">
        <f>VLOOKUP($C1940,'NAO DESO'!$A:$D,3,)</f>
        <v>H</v>
      </c>
      <c r="F1940" s="242">
        <v>16</v>
      </c>
      <c r="G1940" s="242" t="str">
        <f>IF(B1940="SEPLAG",VLOOKUP(CONCATENATE("MEDIANA - ",C1940),COTAÇÃO,5,FALSE),VLOOKUP($C1940,'NAO DESO'!$A:$D,4,))</f>
        <v>21,79</v>
      </c>
      <c r="H1940" s="242">
        <f>TRUNC(F1940*G1940,2)</f>
        <v>348.64</v>
      </c>
      <c r="I1940" s="54" t="str">
        <f>IF(B1940="SEPLAG",VLOOKUP(CONCATENATE("MEDIANA - ",C1940),COTAÇÃO,5,FALSE),VLOOKUP($C1940,DESON!$A:$D,4,))</f>
        <v>19,57</v>
      </c>
      <c r="J1940" s="209">
        <f>TRUNC(F1940*I1940,2)</f>
        <v>313.12</v>
      </c>
    </row>
    <row r="1941" spans="1:10" ht="15" customHeight="1">
      <c r="A1941" s="208" t="s">
        <v>245</v>
      </c>
      <c r="B1941" s="241"/>
      <c r="C1941" s="249">
        <v>88316</v>
      </c>
      <c r="D1941" s="161" t="str">
        <f>IF(B1941="SEPLAG",VLOOKUP(COMPOSIÇÕES!C1941,'MAPA COMPARATIVO'!A:B,2,FALSE),VLOOKUP(C1941,'NAO DESO'!A:B,2,0))</f>
        <v>SERVENTE COM ENCARGOS COMPLEMENTARES</v>
      </c>
      <c r="E1941" s="241" t="str">
        <f>VLOOKUP($C1941,'NAO DESO'!$A:$D,3,)</f>
        <v>H</v>
      </c>
      <c r="F1941" s="242">
        <v>16</v>
      </c>
      <c r="G1941" s="242" t="str">
        <f>IF(B1941="SEPLAG",VLOOKUP(CONCATENATE("MEDIANA - ",C1941),COTAÇÃO,5,FALSE),VLOOKUP($C1941,'NAO DESO'!$A:$D,4,))</f>
        <v>16,83</v>
      </c>
      <c r="H1941" s="242">
        <f>TRUNC(F1941*G1941,2)</f>
        <v>269.27999999999997</v>
      </c>
      <c r="I1941" s="54" t="str">
        <f>IF(B1941="SEPLAG",VLOOKUP(CONCATENATE("MEDIANA - ",C1941),COTAÇÃO,5,FALSE),VLOOKUP($C1941,DESON!$A:$D,4,))</f>
        <v>15,16</v>
      </c>
      <c r="J1941" s="209">
        <f>TRUNC(F1941*I1941,2)</f>
        <v>242.56</v>
      </c>
    </row>
    <row r="1942" spans="1:10" s="434" customFormat="1" ht="15" customHeight="1">
      <c r="A1942" s="433"/>
      <c r="B1942" s="1139"/>
      <c r="C1942" s="1139"/>
      <c r="D1942" s="1139"/>
      <c r="E1942" s="1139"/>
      <c r="F1942" s="1195"/>
      <c r="G1942" s="1195"/>
      <c r="H1942" s="1195"/>
      <c r="I1942" s="435"/>
      <c r="J1942" s="436"/>
    </row>
    <row r="1943" spans="1:10" ht="15" customHeight="1">
      <c r="A1943" s="208"/>
      <c r="B1943" s="241"/>
      <c r="C1943" s="249"/>
      <c r="D1943" s="157" t="s">
        <v>13092</v>
      </c>
      <c r="E1943" s="241"/>
      <c r="F1943" s="242"/>
      <c r="G1943" s="242"/>
      <c r="H1943" s="242"/>
      <c r="I1943" s="54"/>
      <c r="J1943" s="209"/>
    </row>
    <row r="1944" spans="1:10" ht="39" customHeight="1">
      <c r="A1944" s="208" t="s">
        <v>245</v>
      </c>
      <c r="B1944" s="241"/>
      <c r="C1944" s="249">
        <v>100950</v>
      </c>
      <c r="D1944" s="161" t="str">
        <f>IF(B1944="SEPLAG",VLOOKUP(COMPOSIÇÕES!C1944,'MAPA COMPARATIVO'!A:B,2,FALSE),VLOOKUP(C1944,'NAO DESO'!A:B,2,0))</f>
        <v>TRANSPORTE COM CAMINHÃO CARROCERIA COM GUINDAUTO (MUNCK),  MOMENTO MÁXIMO DE CARGA 11,7 TM, EM VIA URBANA EM LEITO NATURAL (UNIDADE: TXKM). AF_07/2020</v>
      </c>
      <c r="E1944" s="241" t="str">
        <f>VLOOKUP($C1944,'NAO DESO'!$A:$D,3,)</f>
        <v>TXKM</v>
      </c>
      <c r="F1944" s="242">
        <v>688.17</v>
      </c>
      <c r="G1944" s="242" t="str">
        <f>IF(B1944="SEPLAG",VLOOKUP(CONCATENATE("MEDIANA - ",C1944),COTAÇÃO,5,FALSE),VLOOKUP($C1944,'NAO DESO'!$A:$D,4,))</f>
        <v>2,93</v>
      </c>
      <c r="H1944" s="242">
        <f>TRUNC(F1944*G1944,2)</f>
        <v>2016.33</v>
      </c>
      <c r="I1944" s="54" t="str">
        <f>IF(B1944="SEPLAG",VLOOKUP(CONCATENATE("MEDIANA - ",C1944),COTAÇÃO,5,FALSE),VLOOKUP($C1944,DESON!$A:$D,4,))</f>
        <v>2,89</v>
      </c>
      <c r="J1944" s="209">
        <f>TRUNC(F1944*I1944,2)</f>
        <v>1988.81</v>
      </c>
    </row>
    <row r="1945" spans="1:10" ht="15" customHeight="1">
      <c r="A1945" s="210" t="str">
        <f>CONCATENATE("TOTAL DO ITEM NÃO DESON. - ",C1929)</f>
        <v>TOTAL DO ITEM NÃO DESON. - SEPLAG ARQ 120</v>
      </c>
      <c r="B1945" s="424"/>
      <c r="C1945" s="424"/>
      <c r="D1945" s="424"/>
      <c r="E1945" s="424"/>
      <c r="F1945" s="425"/>
      <c r="G1945" s="426"/>
      <c r="H1945" s="1189">
        <f>SUM(H1933:H1944)</f>
        <v>5088.24</v>
      </c>
      <c r="I1945" s="214"/>
      <c r="J1945" s="215"/>
    </row>
    <row r="1946" spans="1:10" ht="15.75" customHeight="1" thickBot="1">
      <c r="A1946" s="216" t="str">
        <f>CONCATENATE("TOTAL DO ITEM DESON. - ",C1929)</f>
        <v>TOTAL DO ITEM DESON. - SEPLAG ARQ 120</v>
      </c>
      <c r="B1946" s="427"/>
      <c r="C1946" s="427"/>
      <c r="D1946" s="427"/>
      <c r="E1946" s="427"/>
      <c r="F1946" s="428"/>
      <c r="G1946" s="429"/>
      <c r="H1946" s="1190"/>
      <c r="I1946" s="229"/>
      <c r="J1946" s="219">
        <f>SUM(J1933:J1944)</f>
        <v>4960.2699999999995</v>
      </c>
    </row>
    <row r="1947" spans="1:10" ht="15" customHeight="1" thickBot="1">
      <c r="A1947" s="235"/>
      <c r="B1947" s="1135"/>
      <c r="C1947" s="1135"/>
      <c r="D1947" s="1135"/>
      <c r="E1947" s="1135"/>
      <c r="F1947" s="1188"/>
      <c r="G1947" s="1188"/>
      <c r="H1947" s="1188"/>
      <c r="I1947" s="236"/>
      <c r="J1947" s="237"/>
    </row>
    <row r="1948" spans="1:10" ht="25.5" customHeight="1">
      <c r="A1948" s="198"/>
      <c r="B1948" s="1175"/>
      <c r="C1948" s="1152" t="s">
        <v>13083</v>
      </c>
      <c r="D1948" s="152" t="s">
        <v>13084</v>
      </c>
      <c r="E1948" s="1176" t="s">
        <v>24</v>
      </c>
      <c r="F1948" s="1177" t="s">
        <v>18</v>
      </c>
      <c r="G1948" s="1178" t="s">
        <v>7017</v>
      </c>
      <c r="H1948" s="1179"/>
      <c r="I1948" s="200" t="s">
        <v>7016</v>
      </c>
      <c r="J1948" s="201"/>
    </row>
    <row r="1949" spans="1:10" ht="15" customHeight="1">
      <c r="A1949" s="233"/>
      <c r="B1949" s="247"/>
      <c r="C1949" s="430"/>
      <c r="D1949" s="158"/>
      <c r="E1949" s="1155"/>
      <c r="F1949" s="1180"/>
      <c r="G1949" s="1180" t="s">
        <v>19</v>
      </c>
      <c r="H1949" s="1180" t="s">
        <v>20</v>
      </c>
      <c r="I1949" s="205" t="s">
        <v>19</v>
      </c>
      <c r="J1949" s="206" t="s">
        <v>20</v>
      </c>
    </row>
    <row r="1950" spans="1:10" ht="15" customHeight="1">
      <c r="A1950" s="240"/>
      <c r="B1950" s="241"/>
      <c r="C1950" s="241" t="s">
        <v>228</v>
      </c>
      <c r="D1950" s="161"/>
      <c r="E1950" s="241"/>
      <c r="F1950" s="242"/>
      <c r="G1950" s="242"/>
      <c r="H1950" s="242"/>
      <c r="I1950" s="242"/>
      <c r="J1950" s="243"/>
    </row>
    <row r="1951" spans="1:10" ht="15" customHeight="1">
      <c r="A1951" s="208" t="s">
        <v>245</v>
      </c>
      <c r="B1951" s="241" t="s">
        <v>14504</v>
      </c>
      <c r="C1951" s="249" t="s">
        <v>14343</v>
      </c>
      <c r="D1951" s="161" t="str">
        <f>IF(B1951="SEPLAG",VLOOKUP(COMPOSIÇÕES!C1951,'MAPA COMPARATIVO'!A:B,2,FALSE),VLOOKUP(C1951,'NAO DESO'!A:B,2,0))</f>
        <v>BANHEIRO QUÍMICO</v>
      </c>
      <c r="E1951" s="241" t="str">
        <f>'MAPA COMPARATIVO'!D412</f>
        <v>und/mensal</v>
      </c>
      <c r="F1951" s="242">
        <v>1</v>
      </c>
      <c r="G1951" s="242">
        <f>IF(B1951="SEPLAG",VLOOKUP(CONCATENATE("MEDIANA - ",C1951),COTAÇÃO,5,FALSE),VLOOKUP($C1951,'NAO DESO'!$A:$D,4,))</f>
        <v>550</v>
      </c>
      <c r="H1951" s="242">
        <f>TRUNC(F1951*G1951,2)</f>
        <v>550</v>
      </c>
      <c r="I1951" s="54">
        <f>IF(B1951="SEPLAG",VLOOKUP(CONCATENATE("MEDIANA - ",C1951),COTAÇÃO,5,FALSE),VLOOKUP($C1951,DESON!$A:$D,4,))</f>
        <v>550</v>
      </c>
      <c r="J1951" s="209">
        <f>TRUNC(F1951*I1951,2)</f>
        <v>550</v>
      </c>
    </row>
    <row r="1952" spans="1:10" ht="15" customHeight="1">
      <c r="A1952" s="210" t="str">
        <f>CONCATENATE("TOTAL DO ITEM NÃO DESON. - ",C1948)</f>
        <v>TOTAL DO ITEM NÃO DESON. - SEPLAG ARQ 121</v>
      </c>
      <c r="B1952" s="424"/>
      <c r="C1952" s="424"/>
      <c r="D1952" s="424"/>
      <c r="E1952" s="424"/>
      <c r="F1952" s="425"/>
      <c r="G1952" s="426"/>
      <c r="H1952" s="1189">
        <f>SUM(H1951:H1951)</f>
        <v>550</v>
      </c>
      <c r="I1952" s="214"/>
      <c r="J1952" s="215"/>
    </row>
    <row r="1953" spans="1:10" ht="15.75" customHeight="1" thickBot="1">
      <c r="A1953" s="216" t="str">
        <f>CONCATENATE("TOTAL DO ITEM DESON. - ",C1948)</f>
        <v>TOTAL DO ITEM DESON. - SEPLAG ARQ 121</v>
      </c>
      <c r="B1953" s="427"/>
      <c r="C1953" s="427"/>
      <c r="D1953" s="427"/>
      <c r="E1953" s="427"/>
      <c r="F1953" s="428"/>
      <c r="G1953" s="429"/>
      <c r="H1953" s="1190"/>
      <c r="I1953" s="229"/>
      <c r="J1953" s="219">
        <f>SUM(J1951:J1951)</f>
        <v>550</v>
      </c>
    </row>
    <row r="1954" spans="1:10" ht="15" customHeight="1" thickBot="1">
      <c r="A1954" s="235"/>
      <c r="B1954" s="1135"/>
      <c r="C1954" s="1135"/>
      <c r="D1954" s="1135"/>
      <c r="E1954" s="1135"/>
      <c r="F1954" s="1188"/>
      <c r="G1954" s="1188"/>
      <c r="H1954" s="1188"/>
      <c r="I1954" s="236"/>
      <c r="J1954" s="237"/>
    </row>
    <row r="1955" spans="1:10" ht="28.5" customHeight="1">
      <c r="A1955" s="198"/>
      <c r="B1955" s="1175"/>
      <c r="C1955" s="1152" t="s">
        <v>13093</v>
      </c>
      <c r="D1955" s="152" t="s">
        <v>13094</v>
      </c>
      <c r="E1955" s="1176" t="s">
        <v>24</v>
      </c>
      <c r="F1955" s="1177" t="s">
        <v>18</v>
      </c>
      <c r="G1955" s="1178" t="s">
        <v>7017</v>
      </c>
      <c r="H1955" s="1179"/>
      <c r="I1955" s="200" t="s">
        <v>7016</v>
      </c>
      <c r="J1955" s="201"/>
    </row>
    <row r="1956" spans="1:10" ht="15" customHeight="1">
      <c r="A1956" s="233"/>
      <c r="B1956" s="247"/>
      <c r="C1956" s="430"/>
      <c r="D1956" s="158"/>
      <c r="E1956" s="1155"/>
      <c r="F1956" s="1180"/>
      <c r="G1956" s="1180" t="s">
        <v>19</v>
      </c>
      <c r="H1956" s="1180" t="s">
        <v>20</v>
      </c>
      <c r="I1956" s="205" t="s">
        <v>19</v>
      </c>
      <c r="J1956" s="206" t="s">
        <v>20</v>
      </c>
    </row>
    <row r="1957" spans="1:10" ht="15" customHeight="1">
      <c r="A1957" s="240"/>
      <c r="B1957" s="241"/>
      <c r="C1957" s="241"/>
      <c r="D1957" s="432" t="s">
        <v>13095</v>
      </c>
      <c r="E1957" s="241"/>
      <c r="F1957" s="242"/>
      <c r="G1957" s="242"/>
      <c r="H1957" s="242"/>
      <c r="I1957" s="242"/>
      <c r="J1957" s="243"/>
    </row>
    <row r="1958" spans="1:10" ht="26.25" customHeight="1">
      <c r="A1958" s="208" t="s">
        <v>245</v>
      </c>
      <c r="B1958" s="241"/>
      <c r="C1958" s="249">
        <v>92716</v>
      </c>
      <c r="D1958" s="161" t="str">
        <f>IF(B1958="SEPLAG",VLOOKUP(COMPOSIÇÕES!C1958,'MAPA COMPARATIVO'!A:B,2,FALSE),VLOOKUP(C1958,'NAO DESO'!A:B,2,0))</f>
        <v>APARELHO PARA CORTE E SOLDA OXI-ACETILENO SOBRE RODAS, INCLUSIVE CILINDROS E MAÇARICOS - CHP DIURNO. AF_12/2015</v>
      </c>
      <c r="E1958" s="241" t="str">
        <f>VLOOKUP($C1958,'NAO DESO'!$A:$D,3,)</f>
        <v>CHP</v>
      </c>
      <c r="F1958" s="242">
        <f>F1961</f>
        <v>32</v>
      </c>
      <c r="G1958" s="242" t="str">
        <f>IF(B1958="SEPLAG",VLOOKUP(CONCATENATE("MEDIANA - ",C1958),COTAÇÃO,5,FALSE),VLOOKUP($C1958,'NAO DESO'!$A:$D,4,))</f>
        <v>31,08</v>
      </c>
      <c r="H1958" s="242">
        <f>TRUNC(F1958*G1958,2)</f>
        <v>994.56</v>
      </c>
      <c r="I1958" s="54" t="str">
        <f>IF(B1958="SEPLAG",VLOOKUP(CONCATENATE("MEDIANA - ",C1958),COTAÇÃO,5,FALSE),VLOOKUP($C1958,DESON!$A:$D,4,))</f>
        <v>31,08</v>
      </c>
      <c r="J1958" s="209">
        <f>TRUNC(F1958*I1958,2)</f>
        <v>994.56</v>
      </c>
    </row>
    <row r="1959" spans="1:10" ht="15" customHeight="1">
      <c r="A1959" s="208"/>
      <c r="B1959" s="241"/>
      <c r="C1959" s="249"/>
      <c r="D1959" s="1132"/>
      <c r="E1959" s="241"/>
      <c r="F1959" s="242"/>
      <c r="G1959" s="242"/>
      <c r="H1959" s="242"/>
      <c r="I1959" s="54"/>
      <c r="J1959" s="209"/>
    </row>
    <row r="1960" spans="1:10" ht="15" customHeight="1">
      <c r="A1960" s="208"/>
      <c r="B1960" s="241"/>
      <c r="C1960" s="249"/>
      <c r="D1960" s="157" t="s">
        <v>13096</v>
      </c>
      <c r="E1960" s="241"/>
      <c r="F1960" s="242"/>
      <c r="G1960" s="242"/>
      <c r="H1960" s="242"/>
      <c r="I1960" s="54"/>
      <c r="J1960" s="209"/>
    </row>
    <row r="1961" spans="1:10" ht="15" customHeight="1">
      <c r="A1961" s="208" t="s">
        <v>245</v>
      </c>
      <c r="B1961" s="241"/>
      <c r="C1961" s="249">
        <v>88309</v>
      </c>
      <c r="D1961" s="161" t="str">
        <f>IF(B1961="SEPLAG",VLOOKUP(COMPOSIÇÕES!C1961,'MAPA COMPARATIVO'!A:B,2,FALSE),VLOOKUP(C1961,'NAO DESO'!A:B,2,0))</f>
        <v>PEDREIRO COM ENCARGOS COMPLEMENTARES</v>
      </c>
      <c r="E1961" s="241" t="str">
        <f>VLOOKUP($C1961,'NAO DESO'!$A:$D,3,)</f>
        <v>H</v>
      </c>
      <c r="F1961" s="242">
        <f>4*8</f>
        <v>32</v>
      </c>
      <c r="G1961" s="242" t="str">
        <f>IF(B1961="SEPLAG",VLOOKUP(CONCATENATE("MEDIANA - ",C1961),COTAÇÃO,5,FALSE),VLOOKUP($C1961,'NAO DESO'!$A:$D,4,))</f>
        <v>21,10</v>
      </c>
      <c r="H1961" s="242">
        <f>TRUNC(F1961*G1961,2)</f>
        <v>675.2</v>
      </c>
      <c r="I1961" s="54" t="str">
        <f>IF(B1961="SEPLAG",VLOOKUP(CONCATENATE("MEDIANA - ",C1961),COTAÇÃO,5,FALSE),VLOOKUP($C1961,DESON!$A:$D,4,))</f>
        <v>18,86</v>
      </c>
      <c r="J1961" s="209">
        <f>TRUNC(F1961*I1961,2)</f>
        <v>603.52</v>
      </c>
    </row>
    <row r="1962" spans="1:10" ht="15" customHeight="1">
      <c r="A1962" s="208" t="s">
        <v>245</v>
      </c>
      <c r="B1962" s="241"/>
      <c r="C1962" s="249">
        <v>88315</v>
      </c>
      <c r="D1962" s="161" t="str">
        <f>IF(B1962="SEPLAG",VLOOKUP(COMPOSIÇÕES!C1962,'MAPA COMPARATIVO'!A:B,2,FALSE),VLOOKUP(C1962,'NAO DESO'!A:B,2,0))</f>
        <v>SERRALHEIRO COM ENCARGOS COMPLEMENTARES</v>
      </c>
      <c r="E1962" s="241" t="str">
        <f>VLOOKUP($C1962,'NAO DESO'!$A:$D,3,)</f>
        <v>H</v>
      </c>
      <c r="F1962" s="242">
        <f>F1961</f>
        <v>32</v>
      </c>
      <c r="G1962" s="242" t="str">
        <f>IF(B1962="SEPLAG",VLOOKUP(CONCATENATE("MEDIANA - ",C1962),COTAÇÃO,5,FALSE),VLOOKUP($C1962,'NAO DESO'!$A:$D,4,))</f>
        <v>20,97</v>
      </c>
      <c r="H1962" s="242">
        <f>TRUNC(F1962*G1962,2)</f>
        <v>671.04</v>
      </c>
      <c r="I1962" s="54" t="str">
        <f>IF(B1962="SEPLAG",VLOOKUP(CONCATENATE("MEDIANA - ",C1962),COTAÇÃO,5,FALSE),VLOOKUP($C1962,DESON!$A:$D,4,))</f>
        <v>18,75</v>
      </c>
      <c r="J1962" s="209">
        <f>TRUNC(F1962*I1962,2)</f>
        <v>600</v>
      </c>
    </row>
    <row r="1963" spans="1:10" ht="15" customHeight="1">
      <c r="A1963" s="208" t="s">
        <v>245</v>
      </c>
      <c r="B1963" s="241"/>
      <c r="C1963" s="249">
        <v>88316</v>
      </c>
      <c r="D1963" s="161" t="str">
        <f>IF(B1963="SEPLAG",VLOOKUP(COMPOSIÇÕES!C1963,'MAPA COMPARATIVO'!A:B,2,FALSE),VLOOKUP(C1963,'NAO DESO'!A:B,2,0))</f>
        <v>SERVENTE COM ENCARGOS COMPLEMENTARES</v>
      </c>
      <c r="E1963" s="241" t="str">
        <f>VLOOKUP($C1963,'NAO DESO'!$A:$D,3,)</f>
        <v>H</v>
      </c>
      <c r="F1963" s="242">
        <f>F1961</f>
        <v>32</v>
      </c>
      <c r="G1963" s="242" t="str">
        <f>IF(B1963="SEPLAG",VLOOKUP(CONCATENATE("MEDIANA - ",C1963),COTAÇÃO,5,FALSE),VLOOKUP($C1963,'NAO DESO'!$A:$D,4,))</f>
        <v>16,83</v>
      </c>
      <c r="H1963" s="242">
        <f>TRUNC(F1963*G1963,2)</f>
        <v>538.55999999999995</v>
      </c>
      <c r="I1963" s="54" t="str">
        <f>IF(B1963="SEPLAG",VLOOKUP(CONCATENATE("MEDIANA - ",C1963),COTAÇÃO,5,FALSE),VLOOKUP($C1963,DESON!$A:$D,4,))</f>
        <v>15,16</v>
      </c>
      <c r="J1963" s="209">
        <f>TRUNC(F1963*I1963,2)</f>
        <v>485.12</v>
      </c>
    </row>
    <row r="1964" spans="1:10" ht="15" customHeight="1">
      <c r="A1964" s="208"/>
      <c r="B1964" s="241"/>
      <c r="C1964" s="249"/>
      <c r="D1964" s="1132"/>
      <c r="E1964" s="241"/>
      <c r="F1964" s="242"/>
      <c r="G1964" s="242"/>
      <c r="H1964" s="242"/>
      <c r="I1964" s="54"/>
      <c r="J1964" s="209"/>
    </row>
    <row r="1965" spans="1:10" ht="15" customHeight="1">
      <c r="A1965" s="208"/>
      <c r="B1965" s="241"/>
      <c r="C1965" s="249"/>
      <c r="D1965" s="157" t="s">
        <v>13097</v>
      </c>
      <c r="E1965" s="241"/>
      <c r="F1965" s="242"/>
      <c r="G1965" s="242"/>
      <c r="H1965" s="242"/>
      <c r="I1965" s="54"/>
      <c r="J1965" s="209"/>
    </row>
    <row r="1966" spans="1:10" ht="15" customHeight="1">
      <c r="A1966" s="208" t="s">
        <v>245</v>
      </c>
      <c r="B1966" s="241"/>
      <c r="C1966" s="249">
        <v>10998</v>
      </c>
      <c r="D1966" s="161" t="str">
        <f>IF(B1966="SEPLAG",VLOOKUP(COMPOSIÇÕES!C1966,'MAPA COMPARATIVO'!A:B,2,FALSE),VLOOKUP(C1966,'NAO DESO'!A:B,2,0))</f>
        <v>ELETRODO REVESTIDO AWS - E-6010, DIAMETRO IGUAL A 4,00 MM</v>
      </c>
      <c r="E1966" s="241" t="str">
        <f>VLOOKUP($C1966,'NAO DESO'!$A:$D,3,)</f>
        <v xml:space="preserve">KG    </v>
      </c>
      <c r="F1966" s="242">
        <v>15</v>
      </c>
      <c r="G1966" s="242">
        <f>IF(B1966="SEPLAG",VLOOKUP(CONCATENATE("MEDIANA - ",C1966),COTAÇÃO,5,FALSE),VLOOKUP($C1966,'NAO DESO'!$A:$D,4,))</f>
        <v>30.03</v>
      </c>
      <c r="H1966" s="242">
        <f>TRUNC(F1966*G1966,2)</f>
        <v>450.45</v>
      </c>
      <c r="I1966" s="54" t="str">
        <f>IF(B1966="SEPLAG",VLOOKUP(CONCATENATE("MEDIANA - ",C1966),COTAÇÃO,5,FALSE),VLOOKUP($C1966,DESON!$A:$D,4,))</f>
        <v>30,03</v>
      </c>
      <c r="J1966" s="209">
        <f>TRUNC(F1966*I1966,2)</f>
        <v>450.45</v>
      </c>
    </row>
    <row r="1967" spans="1:10" ht="39" customHeight="1">
      <c r="A1967" s="208" t="s">
        <v>245</v>
      </c>
      <c r="B1967" s="241"/>
      <c r="C1967" s="249">
        <v>100766</v>
      </c>
      <c r="D1967" s="161" t="str">
        <f>IF(B1967="SEPLAG",VLOOKUP(COMPOSIÇÕES!C1967,'MAPA COMPARATIVO'!A:B,2,FALSE),VLOOKUP(C1967,'NAO DESO'!A:B,2,0))</f>
        <v>PILAR METÁLICO PERFIL LAMINADO OU SOLDADO EM AÇO ESTRUTURAL, COM CONEXÕES SOLDADAS, INCLUSOS MÃO DE OBRA, TRANSPORTE E IÇAMENTO UTILIZANDO GUINDASTE - FORNECIMENTO E INSTALAÇÃO. AF_01/2020_P</v>
      </c>
      <c r="E1967" s="241" t="str">
        <f>VLOOKUP($C1967,'NAO DESO'!$A:$D,3,)</f>
        <v>KG</v>
      </c>
      <c r="F1967" s="242">
        <f>137.25+114.02</f>
        <v>251.26999999999998</v>
      </c>
      <c r="G1967" s="242" t="str">
        <f>IF(B1967="SEPLAG",VLOOKUP(CONCATENATE("MEDIANA - ",C1967),COTAÇÃO,5,FALSE),VLOOKUP($C1967,'NAO DESO'!$A:$D,4,))</f>
        <v>16,65</v>
      </c>
      <c r="H1967" s="242">
        <f>TRUNC(F1967*G1967,2)</f>
        <v>4183.6400000000003</v>
      </c>
      <c r="I1967" s="54" t="str">
        <f>IF(B1967="SEPLAG",VLOOKUP(CONCATENATE("MEDIANA - ",C1967),COTAÇÃO,5,FALSE),VLOOKUP($C1967,DESON!$A:$D,4,))</f>
        <v>16,58</v>
      </c>
      <c r="J1967" s="209">
        <f>TRUNC(F1967*I1967,2)</f>
        <v>4166.05</v>
      </c>
    </row>
    <row r="1968" spans="1:10" ht="51.75" customHeight="1">
      <c r="A1968" s="208" t="s">
        <v>245</v>
      </c>
      <c r="B1968" s="241"/>
      <c r="C1968" s="249">
        <v>100763</v>
      </c>
      <c r="D1968" s="161" t="str">
        <f>IF(B1968="SEPLAG",VLOOKUP(COMPOSIÇÕES!C1968,'MAPA COMPARATIVO'!A:B,2,FALSE),VLOOKUP(C1968,'NAO DESO'!A:B,2,0))</f>
        <v>VIGA METÁLICA EM PERFIL LAMINADO OU SOLDADO EM AÇO ESTRUTURAL, COM CONEXÕES PARAFUSADAS, INCLUSOS MÃO DE OBRA, TRANSPORTE E IÇAMENTO UTILIZANDO GUINDASTE - FORNECIMENTO E INSTALAÇÃO. AF_01/2020_P</v>
      </c>
      <c r="E1968" s="241" t="str">
        <f>VLOOKUP($C1968,'NAO DESO'!$A:$D,3,)</f>
        <v>KG</v>
      </c>
      <c r="F1968" s="242">
        <f>3134.13-251.27</f>
        <v>2882.86</v>
      </c>
      <c r="G1968" s="242" t="str">
        <f>IF(B1968="SEPLAG",VLOOKUP(CONCATENATE("MEDIANA - ",C1968),COTAÇÃO,5,FALSE),VLOOKUP($C1968,'NAO DESO'!$A:$D,4,))</f>
        <v>16,60</v>
      </c>
      <c r="H1968" s="242">
        <f>TRUNC(F1968*G1968,2)</f>
        <v>47855.47</v>
      </c>
      <c r="I1968" s="54" t="str">
        <f>IF(B1968="SEPLAG",VLOOKUP(CONCATENATE("MEDIANA - ",C1968),COTAÇÃO,5,FALSE),VLOOKUP($C1968,DESON!$A:$D,4,))</f>
        <v>16,52</v>
      </c>
      <c r="J1968" s="209">
        <f>TRUNC(F1968*I1968,2)</f>
        <v>47624.84</v>
      </c>
    </row>
    <row r="1969" spans="1:10" ht="15" customHeight="1">
      <c r="A1969" s="208" t="s">
        <v>245</v>
      </c>
      <c r="B1969" s="241"/>
      <c r="C1969" s="249">
        <v>11975</v>
      </c>
      <c r="D1969" s="161" t="str">
        <f>IF(B1969="SEPLAG",VLOOKUP(COMPOSIÇÕES!C1969,'MAPA COMPARATIVO'!A:B,2,FALSE),VLOOKUP(C1969,'NAO DESO'!A:B,2,0))</f>
        <v>CHUMBADOR DE ACO, DIAMETRO 5/8", COMPRIMENTO 6", COM PORCA</v>
      </c>
      <c r="E1969" s="241" t="str">
        <f>VLOOKUP($C1969,'NAO DESO'!$A:$D,3,)</f>
        <v xml:space="preserve">UN    </v>
      </c>
      <c r="F1969" s="242">
        <f>16</f>
        <v>16</v>
      </c>
      <c r="G1969" s="242">
        <f>IF(B1969="SEPLAG",VLOOKUP(CONCATENATE("MEDIANA - ",C1969),COTAÇÃO,5,FALSE),VLOOKUP($C1969,'NAO DESO'!$A:$D,4,))</f>
        <v>26.82</v>
      </c>
      <c r="H1969" s="242">
        <f>TRUNC(F1969*G1969,2)</f>
        <v>429.12</v>
      </c>
      <c r="I1969" s="54" t="str">
        <f>IF(B1969="SEPLAG",VLOOKUP(CONCATENATE("MEDIANA - ",C1969),COTAÇÃO,5,FALSE),VLOOKUP($C1969,DESON!$A:$D,4,))</f>
        <v>26,82</v>
      </c>
      <c r="J1969" s="209">
        <f>TRUNC(F1969*I1969,2)</f>
        <v>429.12</v>
      </c>
    </row>
    <row r="1970" spans="1:10" ht="15" customHeight="1">
      <c r="A1970" s="208" t="s">
        <v>245</v>
      </c>
      <c r="B1970" s="241"/>
      <c r="C1970" s="249">
        <v>1332</v>
      </c>
      <c r="D1970" s="161" t="str">
        <f>IF(B1970="SEPLAG",VLOOKUP(COMPOSIÇÕES!C1970,'MAPA COMPARATIVO'!A:B,2,FALSE),VLOOKUP(C1970,'NAO DESO'!A:B,2,0))</f>
        <v>CHAPA DE ACO GROSSA, ASTM A36, E = 3/8 " (9,53 MM) 74,69 KG/M2</v>
      </c>
      <c r="E1970" s="241" t="str">
        <f>VLOOKUP($C1970,'NAO DESO'!$A:$D,3,)</f>
        <v xml:space="preserve">KG    </v>
      </c>
      <c r="F1970" s="242">
        <f>0.3*0.3*4*74.69</f>
        <v>26.888399999999997</v>
      </c>
      <c r="G1970" s="242">
        <f>IF(B1970="SEPLAG",VLOOKUP(CONCATENATE("MEDIANA - ",C1970),COTAÇÃO,5,FALSE),VLOOKUP($C1970,'NAO DESO'!$A:$D,4,))</f>
        <v>11.62</v>
      </c>
      <c r="H1970" s="242">
        <f>TRUNC(F1970*G1970,2)</f>
        <v>312.44</v>
      </c>
      <c r="I1970" s="54" t="str">
        <f>IF(B1970="SEPLAG",VLOOKUP(CONCATENATE("MEDIANA - ",C1970),COTAÇÃO,5,FALSE),VLOOKUP($C1970,DESON!$A:$D,4,))</f>
        <v>11,62</v>
      </c>
      <c r="J1970" s="209">
        <f>TRUNC(F1970*I1970,2)</f>
        <v>312.44</v>
      </c>
    </row>
    <row r="1971" spans="1:10" ht="15" customHeight="1">
      <c r="A1971" s="208"/>
      <c r="B1971" s="241"/>
      <c r="C1971" s="249"/>
      <c r="D1971" s="1132"/>
      <c r="E1971" s="241"/>
      <c r="F1971" s="242"/>
      <c r="G1971" s="242"/>
      <c r="H1971" s="242"/>
      <c r="I1971" s="54"/>
      <c r="J1971" s="209"/>
    </row>
    <row r="1972" spans="1:10" ht="15" customHeight="1">
      <c r="A1972" s="208"/>
      <c r="B1972" s="241"/>
      <c r="C1972" s="249"/>
      <c r="D1972" s="157" t="s">
        <v>21</v>
      </c>
      <c r="E1972" s="241"/>
      <c r="F1972" s="242"/>
      <c r="G1972" s="242"/>
      <c r="H1972" s="242"/>
      <c r="I1972" s="54"/>
      <c r="J1972" s="209"/>
    </row>
    <row r="1973" spans="1:10" ht="39" customHeight="1">
      <c r="A1973" s="208" t="s">
        <v>245</v>
      </c>
      <c r="B1973" s="241"/>
      <c r="C1973" s="249">
        <v>100759</v>
      </c>
      <c r="D1973" s="161" t="str">
        <f>IF(B1973="SEPLAG",VLOOKUP(COMPOSIÇÕES!C1973,'MAPA COMPARATIVO'!A:B,2,FALSE),VLOOKUP(C1973,'NAO DESO'!A:B,2,0))</f>
        <v>PINTURA COM TINTA ALQUÍDICA DE ACABAMENTO (ESMALTE SINTÉTICO BRILHANTE) PULVERIZADA SOBRE SUPERFÍCIES METÁLICAS (EXCETO PERFIL) EXECUTADO EM OBRA (02 DEMÃOS). AF_01/2020_P</v>
      </c>
      <c r="E1973" s="241" t="str">
        <f>VLOOKUP($C1973,'NAO DESO'!$A:$D,3,)</f>
        <v>M2</v>
      </c>
      <c r="F1973" s="242">
        <v>227.31</v>
      </c>
      <c r="G1973" s="242" t="str">
        <f>IF(B1973="SEPLAG",VLOOKUP(CONCATENATE("MEDIANA - ",C1973),COTAÇÃO,5,FALSE),VLOOKUP($C1973,'NAO DESO'!$A:$D,4,))</f>
        <v>37,11</v>
      </c>
      <c r="H1973" s="242">
        <f>TRUNC(F1973*G1973,2)</f>
        <v>8435.4699999999993</v>
      </c>
      <c r="I1973" s="54" t="str">
        <f>IF(B1973="SEPLAG",VLOOKUP(CONCATENATE("MEDIANA - ",C1973),COTAÇÃO,5,FALSE),VLOOKUP($C1973,DESON!$A:$D,4,))</f>
        <v>34,76</v>
      </c>
      <c r="J1973" s="209">
        <f>TRUNC(F1973*I1973,2)</f>
        <v>7901.29</v>
      </c>
    </row>
    <row r="1974" spans="1:10" ht="15" customHeight="1">
      <c r="A1974" s="210" t="str">
        <f>CONCATENATE("TOTAL DO ITEM NÃO DESON. - ",C1955)</f>
        <v>TOTAL DO ITEM NÃO DESON. - SEPLAG ARQ 122</v>
      </c>
      <c r="B1974" s="424"/>
      <c r="C1974" s="424"/>
      <c r="D1974" s="424"/>
      <c r="E1974" s="424"/>
      <c r="F1974" s="425"/>
      <c r="G1974" s="426"/>
      <c r="H1974" s="1189">
        <f>SUM(H1958:H1973)</f>
        <v>64545.950000000004</v>
      </c>
      <c r="I1974" s="214"/>
      <c r="J1974" s="215"/>
    </row>
    <row r="1975" spans="1:10" ht="15.75" customHeight="1" thickBot="1">
      <c r="A1975" s="216" t="str">
        <f>CONCATENATE("TOTAL DO ITEM DESON. - ",C1955)</f>
        <v>TOTAL DO ITEM DESON. - SEPLAG ARQ 122</v>
      </c>
      <c r="B1975" s="427"/>
      <c r="C1975" s="427"/>
      <c r="D1975" s="427"/>
      <c r="E1975" s="427"/>
      <c r="F1975" s="428"/>
      <c r="G1975" s="429"/>
      <c r="H1975" s="1190"/>
      <c r="I1975" s="229"/>
      <c r="J1975" s="219">
        <f>SUM(J1958:J1973)</f>
        <v>63567.39</v>
      </c>
    </row>
    <row r="1976" spans="1:10" ht="15" customHeight="1" thickBot="1">
      <c r="A1976" s="235"/>
      <c r="B1976" s="1135"/>
      <c r="C1976" s="1135"/>
      <c r="D1976" s="1135"/>
      <c r="E1976" s="1135"/>
      <c r="F1976" s="1188"/>
      <c r="G1976" s="1188"/>
      <c r="H1976" s="1188"/>
      <c r="I1976" s="236"/>
      <c r="J1976" s="237"/>
    </row>
    <row r="1977" spans="1:10" ht="25.5" customHeight="1">
      <c r="A1977" s="198"/>
      <c r="B1977" s="1175"/>
      <c r="C1977" s="1152" t="s">
        <v>13117</v>
      </c>
      <c r="D1977" s="152" t="s">
        <v>13118</v>
      </c>
      <c r="E1977" s="1176" t="s">
        <v>250</v>
      </c>
      <c r="F1977" s="1177" t="s">
        <v>18</v>
      </c>
      <c r="G1977" s="1178" t="s">
        <v>7017</v>
      </c>
      <c r="H1977" s="1179"/>
      <c r="I1977" s="200" t="s">
        <v>7016</v>
      </c>
      <c r="J1977" s="201"/>
    </row>
    <row r="1978" spans="1:10" ht="13.5" customHeight="1">
      <c r="A1978" s="233"/>
      <c r="B1978" s="247"/>
      <c r="C1978" s="430"/>
      <c r="D1978" s="158"/>
      <c r="E1978" s="1155"/>
      <c r="F1978" s="1180"/>
      <c r="G1978" s="1180" t="s">
        <v>19</v>
      </c>
      <c r="H1978" s="1180" t="s">
        <v>20</v>
      </c>
      <c r="I1978" s="205" t="s">
        <v>19</v>
      </c>
      <c r="J1978" s="206" t="s">
        <v>20</v>
      </c>
    </row>
    <row r="1979" spans="1:10" ht="15" customHeight="1">
      <c r="A1979" s="240"/>
      <c r="B1979" s="241"/>
      <c r="C1979" s="241" t="s">
        <v>228</v>
      </c>
      <c r="D1979" s="161" t="s">
        <v>13119</v>
      </c>
      <c r="E1979" s="241"/>
      <c r="F1979" s="242"/>
      <c r="G1979" s="242"/>
      <c r="H1979" s="242"/>
      <c r="I1979" s="242"/>
      <c r="J1979" s="243"/>
    </row>
    <row r="1980" spans="1:10" ht="15" customHeight="1">
      <c r="A1980" s="208" t="s">
        <v>245</v>
      </c>
      <c r="B1980" s="241"/>
      <c r="C1980" s="249">
        <v>88273</v>
      </c>
      <c r="D1980" s="161" t="str">
        <f>IF(B1980="SEPLAG",VLOOKUP(COMPOSIÇÕES!C1980,'MAPA COMPARATIVO'!A:B,2,FALSE),VLOOKUP(C1980,'NAO DESO'!A:B,2,0))</f>
        <v>MARCENEIRO COM ENCARGOS COMPLEMENTARES</v>
      </c>
      <c r="E1980" s="241" t="str">
        <f>VLOOKUP($C1980,'NAO DESO'!$A:$D,3,)</f>
        <v>H</v>
      </c>
      <c r="F1980" s="242">
        <v>0.3</v>
      </c>
      <c r="G1980" s="242" t="str">
        <f>IF(B1980="SEPLAG",VLOOKUP(CONCATENATE("MEDIANA - ",C1980),COTAÇÃO,5,FALSE),VLOOKUP($C1980,'NAO DESO'!$A:$D,4,))</f>
        <v>19,70</v>
      </c>
      <c r="H1980" s="242">
        <f>TRUNC(F1980*G1980,2)</f>
        <v>5.91</v>
      </c>
      <c r="I1980" s="54" t="str">
        <f>IF(B1980="SEPLAG",VLOOKUP(CONCATENATE("MEDIANA - ",C1980),COTAÇÃO,5,FALSE),VLOOKUP($C1980,DESON!$A:$D,4,))</f>
        <v>17,64</v>
      </c>
      <c r="J1980" s="209">
        <f>TRUNC(F1980*I1980,2)</f>
        <v>5.29</v>
      </c>
    </row>
    <row r="1981" spans="1:10" ht="15" customHeight="1">
      <c r="A1981" s="208" t="s">
        <v>245</v>
      </c>
      <c r="B1981" s="241"/>
      <c r="C1981" s="249">
        <v>88316</v>
      </c>
      <c r="D1981" s="161" t="str">
        <f>IF(B1981="SEPLAG",VLOOKUP(COMPOSIÇÕES!C1981,'MAPA COMPARATIVO'!A:B,2,FALSE),VLOOKUP(C1981,'NAO DESO'!A:B,2,0))</f>
        <v>SERVENTE COM ENCARGOS COMPLEMENTARES</v>
      </c>
      <c r="E1981" s="241" t="str">
        <f>VLOOKUP($C1981,'NAO DESO'!$A:$D,3,)</f>
        <v>H</v>
      </c>
      <c r="F1981" s="242">
        <v>0.3</v>
      </c>
      <c r="G1981" s="242" t="str">
        <f>IF(B1981="SEPLAG",VLOOKUP(CONCATENATE("MEDIANA - ",C1981),COTAÇÃO,5,FALSE),VLOOKUP($C1981,'NAO DESO'!$A:$D,4,))</f>
        <v>16,83</v>
      </c>
      <c r="H1981" s="242">
        <f>TRUNC(F1981*G1981,2)</f>
        <v>5.04</v>
      </c>
      <c r="I1981" s="54" t="str">
        <f>IF(B1981="SEPLAG",VLOOKUP(CONCATENATE("MEDIANA - ",C1981),COTAÇÃO,5,FALSE),VLOOKUP($C1981,DESON!$A:$D,4,))</f>
        <v>15,16</v>
      </c>
      <c r="J1981" s="209">
        <f>TRUNC(F1981*I1981,2)</f>
        <v>4.54</v>
      </c>
    </row>
    <row r="1982" spans="1:10" ht="26.25" customHeight="1">
      <c r="A1982" s="208" t="s">
        <v>39</v>
      </c>
      <c r="B1982" s="241"/>
      <c r="C1982" s="249">
        <v>11057</v>
      </c>
      <c r="D1982" s="161" t="str">
        <f>IF(B1982="SEPLAG",VLOOKUP(COMPOSIÇÕES!C1982,'MAPA COMPARATIVO'!A:B,2,FALSE),VLOOKUP(C1982,'NAO DESO'!A:B,2,0))</f>
        <v>PARAFUSO ROSCA SOBERBA ZINCADO CABECA CHATA FENDA SIMPLES 4,8 X 40 MM (1.1/2 ")</v>
      </c>
      <c r="E1982" s="241" t="str">
        <f>VLOOKUP($C1982,'NAO DESO'!$A:$D,3,)</f>
        <v xml:space="preserve">UN    </v>
      </c>
      <c r="F1982" s="242">
        <v>4</v>
      </c>
      <c r="G1982" s="242">
        <f>IF(B1982="SEPLAG",VLOOKUP(CONCATENATE("MEDIANA - ",C1982),COTAÇÃO,5,FALSE),VLOOKUP($C1982,'NAO DESO'!$A:$D,4,))</f>
        <v>0.17</v>
      </c>
      <c r="H1982" s="242">
        <f>TRUNC(F1982*G1982,2)</f>
        <v>0.68</v>
      </c>
      <c r="I1982" s="54" t="str">
        <f>IF(B1982="SEPLAG",VLOOKUP(CONCATENATE("MEDIANA - ",C1982),COTAÇÃO,5,FALSE),VLOOKUP($C1982,DESON!$A:$D,4,))</f>
        <v>0,17</v>
      </c>
      <c r="J1982" s="209">
        <f>TRUNC(F1982*I1982,2)</f>
        <v>0.68</v>
      </c>
    </row>
    <row r="1983" spans="1:10" ht="15" customHeight="1">
      <c r="A1983" s="208" t="s">
        <v>39</v>
      </c>
      <c r="B1983" s="241" t="s">
        <v>14504</v>
      </c>
      <c r="C1983" s="249" t="s">
        <v>14344</v>
      </c>
      <c r="D1983" s="161" t="str">
        <f>IF(B1983="SEPLAG",VLOOKUP(COMPOSIÇÕES!C1983,'MAPA COMPARATIVO'!A:B,2,FALSE),VLOOKUP(C1983,'NAO DESO'!A:B,2,0))</f>
        <v>CHAPA DE INOX PARA PORTAS, 0,40 cm de largura</v>
      </c>
      <c r="E1983" s="241" t="s">
        <v>207</v>
      </c>
      <c r="F1983" s="242">
        <f>0.4*0.9*2</f>
        <v>0.72000000000000008</v>
      </c>
      <c r="G1983" s="242">
        <f>IF(B1983="SEPLAG",VLOOKUP(CONCATENATE("MEDIANA - ",C1983),COTAÇÃO,5,FALSE),VLOOKUP($C1983,'NAO DESO'!$A:$D,4,))</f>
        <v>177.19</v>
      </c>
      <c r="H1983" s="242">
        <f>TRUNC(F1983*G1983,2)</f>
        <v>127.57</v>
      </c>
      <c r="I1983" s="54">
        <f>IF(B1983="SEPLAG",VLOOKUP(CONCATENATE("MEDIANA - ",C1983),COTAÇÃO,5,FALSE),VLOOKUP($C1983,DESON!$A:$D,4,))</f>
        <v>177.19</v>
      </c>
      <c r="J1983" s="209">
        <f>TRUNC(F1983*I1983,2)</f>
        <v>127.57</v>
      </c>
    </row>
    <row r="1984" spans="1:10" ht="15" customHeight="1">
      <c r="A1984" s="210" t="str">
        <f>CONCATENATE("TOTAL DO ITEM NÃO DESON. - ",C1977)</f>
        <v>TOTAL DO ITEM NÃO DESON. - SEPLAG ARQ 123</v>
      </c>
      <c r="B1984" s="424"/>
      <c r="C1984" s="424"/>
      <c r="D1984" s="424"/>
      <c r="E1984" s="424"/>
      <c r="F1984" s="425"/>
      <c r="G1984" s="426"/>
      <c r="H1984" s="1189">
        <f>SUM(H1980:H1983)</f>
        <v>139.19999999999999</v>
      </c>
      <c r="I1984" s="214"/>
      <c r="J1984" s="215"/>
    </row>
    <row r="1985" spans="1:10" ht="15.75" customHeight="1" thickBot="1">
      <c r="A1985" s="216" t="str">
        <f>CONCATENATE("TOTAL DO ITEM DESON. - ",C1977)</f>
        <v>TOTAL DO ITEM DESON. - SEPLAG ARQ 123</v>
      </c>
      <c r="B1985" s="427"/>
      <c r="C1985" s="427"/>
      <c r="D1985" s="427"/>
      <c r="E1985" s="427"/>
      <c r="F1985" s="428"/>
      <c r="G1985" s="429"/>
      <c r="H1985" s="1190"/>
      <c r="I1985" s="229"/>
      <c r="J1985" s="219">
        <f>SUM(J1980:J1983)</f>
        <v>138.07999999999998</v>
      </c>
    </row>
    <row r="1986" spans="1:10" ht="15" customHeight="1" thickBot="1">
      <c r="A1986" s="235"/>
      <c r="B1986" s="1135"/>
      <c r="C1986" s="1135"/>
      <c r="D1986" s="1135"/>
      <c r="E1986" s="1135"/>
      <c r="F1986" s="1188"/>
      <c r="G1986" s="1188"/>
      <c r="H1986" s="1188"/>
      <c r="I1986" s="236"/>
      <c r="J1986" s="237"/>
    </row>
    <row r="1987" spans="1:10" ht="24" customHeight="1">
      <c r="A1987" s="198"/>
      <c r="B1987" s="1175"/>
      <c r="C1987" s="1152" t="s">
        <v>13120</v>
      </c>
      <c r="D1987" s="152" t="s">
        <v>13121</v>
      </c>
      <c r="E1987" s="1176" t="s">
        <v>250</v>
      </c>
      <c r="F1987" s="1177" t="s">
        <v>18</v>
      </c>
      <c r="G1987" s="1178" t="s">
        <v>7017</v>
      </c>
      <c r="H1987" s="1179"/>
      <c r="I1987" s="200" t="s">
        <v>7016</v>
      </c>
      <c r="J1987" s="201"/>
    </row>
    <row r="1988" spans="1:10" ht="15" customHeight="1">
      <c r="A1988" s="233"/>
      <c r="B1988" s="247"/>
      <c r="C1988" s="430"/>
      <c r="D1988" s="158"/>
      <c r="E1988" s="1155"/>
      <c r="F1988" s="1180"/>
      <c r="G1988" s="1180" t="s">
        <v>19</v>
      </c>
      <c r="H1988" s="1180" t="s">
        <v>20</v>
      </c>
      <c r="I1988" s="205" t="s">
        <v>19</v>
      </c>
      <c r="J1988" s="206" t="s">
        <v>20</v>
      </c>
    </row>
    <row r="1989" spans="1:10" ht="15" customHeight="1">
      <c r="A1989" s="240"/>
      <c r="B1989" s="241"/>
      <c r="C1989" s="241"/>
      <c r="D1989" s="161" t="s">
        <v>13122</v>
      </c>
      <c r="E1989" s="241"/>
      <c r="F1989" s="242"/>
      <c r="G1989" s="242"/>
      <c r="H1989" s="242"/>
      <c r="I1989" s="242"/>
      <c r="J1989" s="243"/>
    </row>
    <row r="1990" spans="1:10" ht="15" customHeight="1">
      <c r="A1990" s="208" t="s">
        <v>245</v>
      </c>
      <c r="B1990" s="241"/>
      <c r="C1990" s="249">
        <v>88309</v>
      </c>
      <c r="D1990" s="161" t="str">
        <f>IF(B1990="SEPLAG",VLOOKUP(COMPOSIÇÕES!C1990,'MAPA COMPARATIVO'!A:B,2,FALSE),VLOOKUP(C1990,'NAO DESO'!A:B,2,0))</f>
        <v>PEDREIRO COM ENCARGOS COMPLEMENTARES</v>
      </c>
      <c r="E1990" s="241" t="str">
        <f>VLOOKUP($C1990,'NAO DESO'!$A:$D,3,)</f>
        <v>H</v>
      </c>
      <c r="F1990" s="242">
        <v>0.7</v>
      </c>
      <c r="G1990" s="242" t="str">
        <f>IF(B1990="SEPLAG",VLOOKUP(CONCATENATE("MEDIANA - ",C1990),COTAÇÃO,5,FALSE),VLOOKUP($C1990,'NAO DESO'!$A:$D,4,))</f>
        <v>21,10</v>
      </c>
      <c r="H1990" s="242">
        <f>TRUNC(F1990*G1990,2)</f>
        <v>14.77</v>
      </c>
      <c r="I1990" s="54" t="str">
        <f>IF(B1990="SEPLAG",VLOOKUP(CONCATENATE("MEDIANA - ",C1990),COTAÇÃO,5,FALSE),VLOOKUP($C1990,DESON!$A:$D,4,))</f>
        <v>18,86</v>
      </c>
      <c r="J1990" s="209">
        <f>TRUNC(F1990*I1990,2)</f>
        <v>13.2</v>
      </c>
    </row>
    <row r="1991" spans="1:10" ht="15" customHeight="1">
      <c r="A1991" s="208" t="s">
        <v>245</v>
      </c>
      <c r="B1991" s="241"/>
      <c r="C1991" s="249">
        <v>88316</v>
      </c>
      <c r="D1991" s="161" t="str">
        <f>IF(B1991="SEPLAG",VLOOKUP(COMPOSIÇÕES!C1991,'MAPA COMPARATIVO'!A:B,2,FALSE),VLOOKUP(C1991,'NAO DESO'!A:B,2,0))</f>
        <v>SERVENTE COM ENCARGOS COMPLEMENTARES</v>
      </c>
      <c r="E1991" s="241" t="str">
        <f>VLOOKUP($C1991,'NAO DESO'!$A:$D,3,)</f>
        <v>H</v>
      </c>
      <c r="F1991" s="242">
        <v>0.7</v>
      </c>
      <c r="G1991" s="242" t="str">
        <f>IF(B1991="SEPLAG",VLOOKUP(CONCATENATE("MEDIANA - ",C1991),COTAÇÃO,5,FALSE),VLOOKUP($C1991,'NAO DESO'!$A:$D,4,))</f>
        <v>16,83</v>
      </c>
      <c r="H1991" s="242">
        <f>TRUNC(F1991*G1991,2)</f>
        <v>11.78</v>
      </c>
      <c r="I1991" s="54" t="str">
        <f>IF(B1991="SEPLAG",VLOOKUP(CONCATENATE("MEDIANA - ",C1991),COTAÇÃO,5,FALSE),VLOOKUP($C1991,DESON!$A:$D,4,))</f>
        <v>15,16</v>
      </c>
      <c r="J1991" s="209">
        <f>TRUNC(F1991*I1991,2)</f>
        <v>10.61</v>
      </c>
    </row>
    <row r="1992" spans="1:10" ht="15" customHeight="1">
      <c r="A1992" s="210" t="str">
        <f>CONCATENATE("TOTAL DO ITEM NÃO DESON. - ",C1987)</f>
        <v>TOTAL DO ITEM NÃO DESON. - SEPLAG ARQ 124</v>
      </c>
      <c r="B1992" s="424"/>
      <c r="C1992" s="424"/>
      <c r="D1992" s="424"/>
      <c r="E1992" s="424"/>
      <c r="F1992" s="425"/>
      <c r="G1992" s="426"/>
      <c r="H1992" s="1189">
        <f>SUM(H1990:H1991)</f>
        <v>26.549999999999997</v>
      </c>
      <c r="I1992" s="214"/>
      <c r="J1992" s="215"/>
    </row>
    <row r="1993" spans="1:10" ht="15.75" customHeight="1" thickBot="1">
      <c r="A1993" s="216" t="str">
        <f>CONCATENATE("TOTAL DO ITEM DESON. - ",C1987)</f>
        <v>TOTAL DO ITEM DESON. - SEPLAG ARQ 124</v>
      </c>
      <c r="B1993" s="427"/>
      <c r="C1993" s="427"/>
      <c r="D1993" s="427"/>
      <c r="E1993" s="427"/>
      <c r="F1993" s="428"/>
      <c r="G1993" s="429"/>
      <c r="H1993" s="1190"/>
      <c r="I1993" s="229"/>
      <c r="J1993" s="219">
        <f>SUM(J1990:J1991)</f>
        <v>23.81</v>
      </c>
    </row>
    <row r="1994" spans="1:10" ht="15" customHeight="1" thickBot="1">
      <c r="A1994" s="235"/>
      <c r="B1994" s="1135"/>
      <c r="C1994" s="1135"/>
      <c r="D1994" s="1135"/>
      <c r="E1994" s="1135"/>
      <c r="F1994" s="1188"/>
      <c r="G1994" s="1188"/>
      <c r="H1994" s="1188"/>
      <c r="I1994" s="236"/>
      <c r="J1994" s="237"/>
    </row>
    <row r="1995" spans="1:10" ht="26.25" customHeight="1">
      <c r="A1995" s="198"/>
      <c r="B1995" s="1175"/>
      <c r="C1995" s="1152" t="s">
        <v>13123</v>
      </c>
      <c r="D1995" s="152" t="s">
        <v>13124</v>
      </c>
      <c r="E1995" s="1176" t="s">
        <v>250</v>
      </c>
      <c r="F1995" s="1177" t="s">
        <v>18</v>
      </c>
      <c r="G1995" s="1178" t="s">
        <v>7017</v>
      </c>
      <c r="H1995" s="1179"/>
      <c r="I1995" s="200" t="s">
        <v>7016</v>
      </c>
      <c r="J1995" s="201"/>
    </row>
    <row r="1996" spans="1:10" ht="10.5" customHeight="1">
      <c r="A1996" s="233"/>
      <c r="B1996" s="247"/>
      <c r="C1996" s="430"/>
      <c r="D1996" s="158"/>
      <c r="E1996" s="1155"/>
      <c r="F1996" s="1180"/>
      <c r="G1996" s="1180" t="s">
        <v>19</v>
      </c>
      <c r="H1996" s="1180" t="s">
        <v>20</v>
      </c>
      <c r="I1996" s="205" t="s">
        <v>19</v>
      </c>
      <c r="J1996" s="206" t="s">
        <v>20</v>
      </c>
    </row>
    <row r="1997" spans="1:10" ht="15" customHeight="1">
      <c r="A1997" s="240"/>
      <c r="B1997" s="241"/>
      <c r="C1997" s="241" t="s">
        <v>141</v>
      </c>
      <c r="D1997" s="432" t="s">
        <v>13096</v>
      </c>
      <c r="E1997" s="241"/>
      <c r="F1997" s="242"/>
      <c r="G1997" s="242"/>
      <c r="H1997" s="242"/>
      <c r="I1997" s="242"/>
      <c r="J1997" s="243"/>
    </row>
    <row r="1998" spans="1:10" ht="15" customHeight="1">
      <c r="A1998" s="208" t="s">
        <v>245</v>
      </c>
      <c r="B1998" s="241"/>
      <c r="C1998" s="249">
        <v>88316</v>
      </c>
      <c r="D1998" s="161" t="str">
        <f>IF(B1998="SEPLAG",VLOOKUP(COMPOSIÇÕES!C1998,'MAPA COMPARATIVO'!A:B,2,FALSE),VLOOKUP(C1998,'NAO DESO'!A:B,2,0))</f>
        <v>SERVENTE COM ENCARGOS COMPLEMENTARES</v>
      </c>
      <c r="E1998" s="241" t="str">
        <f>VLOOKUP($C1998,'NAO DESO'!$A:$D,3,)</f>
        <v>H</v>
      </c>
      <c r="F1998" s="242">
        <v>0.33</v>
      </c>
      <c r="G1998" s="242" t="str">
        <f>IF(B1998="SEPLAG",VLOOKUP(CONCATENATE("MEDIANA - ",C1998),COTAÇÃO,5,FALSE),VLOOKUP($C1998,'NAO DESO'!$A:$D,4,))</f>
        <v>16,83</v>
      </c>
      <c r="H1998" s="242">
        <f>TRUNC(F1998*G1998,2)</f>
        <v>5.55</v>
      </c>
      <c r="I1998" s="54" t="str">
        <f>IF(B1998="SEPLAG",VLOOKUP(CONCATENATE("MEDIANA - ",C1998),COTAÇÃO,5,FALSE),VLOOKUP($C1998,DESON!$A:$D,4,))</f>
        <v>15,16</v>
      </c>
      <c r="J1998" s="209">
        <f>TRUNC(F1998*I1998,2)</f>
        <v>5</v>
      </c>
    </row>
    <row r="1999" spans="1:10" ht="15" customHeight="1">
      <c r="A1999" s="208" t="s">
        <v>245</v>
      </c>
      <c r="B1999" s="241"/>
      <c r="C1999" s="249">
        <v>88317</v>
      </c>
      <c r="D1999" s="161" t="str">
        <f>IF(B1999="SEPLAG",VLOOKUP(COMPOSIÇÕES!C1999,'MAPA COMPARATIVO'!A:B,2,FALSE),VLOOKUP(C1999,'NAO DESO'!A:B,2,0))</f>
        <v>SOLDADOR COM ENCARGOS COMPLEMENTARES</v>
      </c>
      <c r="E1999" s="241" t="str">
        <f>VLOOKUP($C1999,'NAO DESO'!$A:$D,3,)</f>
        <v>H</v>
      </c>
      <c r="F1999" s="242">
        <v>0.33</v>
      </c>
      <c r="G1999" s="242" t="str">
        <f>IF(B1999="SEPLAG",VLOOKUP(CONCATENATE("MEDIANA - ",C1999),COTAÇÃO,5,FALSE),VLOOKUP($C1999,'NAO DESO'!$A:$D,4,))</f>
        <v>21,79</v>
      </c>
      <c r="H1999" s="242">
        <f>TRUNC(F1999*G1999,2)</f>
        <v>7.19</v>
      </c>
      <c r="I1999" s="54" t="str">
        <f>IF(B1999="SEPLAG",VLOOKUP(CONCATENATE("MEDIANA - ",C1999),COTAÇÃO,5,FALSE),VLOOKUP($C1999,DESON!$A:$D,4,))</f>
        <v>19,57</v>
      </c>
      <c r="J1999" s="209">
        <f>TRUNC(F1999*I1999,2)</f>
        <v>6.45</v>
      </c>
    </row>
    <row r="2000" spans="1:10" ht="15" customHeight="1">
      <c r="A2000" s="208"/>
      <c r="B2000" s="241"/>
      <c r="C2000" s="249"/>
      <c r="D2000" s="1132"/>
      <c r="E2000" s="241"/>
      <c r="F2000" s="242"/>
      <c r="G2000" s="242"/>
      <c r="H2000" s="242"/>
      <c r="I2000" s="214"/>
      <c r="J2000" s="209"/>
    </row>
    <row r="2001" spans="1:10" ht="15" customHeight="1">
      <c r="A2001" s="208"/>
      <c r="B2001" s="241"/>
      <c r="C2001" s="249"/>
      <c r="D2001" s="432" t="s">
        <v>13097</v>
      </c>
      <c r="E2001" s="241"/>
      <c r="F2001" s="242"/>
      <c r="G2001" s="242"/>
      <c r="H2001" s="242"/>
      <c r="I2001" s="214"/>
      <c r="J2001" s="209"/>
    </row>
    <row r="2002" spans="1:10" ht="15" customHeight="1">
      <c r="A2002" s="208" t="s">
        <v>39</v>
      </c>
      <c r="B2002" s="241"/>
      <c r="C2002" s="249">
        <v>10998</v>
      </c>
      <c r="D2002" s="161" t="str">
        <f>IF(B2002="SEPLAG",VLOOKUP(COMPOSIÇÕES!C2002,'MAPA COMPARATIVO'!A:B,2,FALSE),VLOOKUP(C2002,'NAO DESO'!A:B,2,0))</f>
        <v>ELETRODO REVESTIDO AWS - E-6010, DIAMETRO IGUAL A 4,00 MM</v>
      </c>
      <c r="E2002" s="241" t="str">
        <f>VLOOKUP($C2002,'NAO DESO'!$A:$D,3,)</f>
        <v xml:space="preserve">KG    </v>
      </c>
      <c r="F2002" s="242">
        <v>7.0000000000000007E-2</v>
      </c>
      <c r="G2002" s="242">
        <f>IF(B2002="SEPLAG",VLOOKUP(CONCATENATE("MEDIANA - ",C2002),COTAÇÃO,5,FALSE),VLOOKUP($C2002,'NAO DESO'!$A:$D,4,))</f>
        <v>30.03</v>
      </c>
      <c r="H2002" s="242">
        <f>TRUNC(F2002*G2002,2)</f>
        <v>2.1</v>
      </c>
      <c r="I2002" s="54" t="str">
        <f>IF(B2002="SEPLAG",VLOOKUP(CONCATENATE("MEDIANA - ",C2002),COTAÇÃO,5,FALSE),VLOOKUP($C2002,DESON!$A:$D,4,))</f>
        <v>30,03</v>
      </c>
      <c r="J2002" s="209">
        <f>TRUNC(F2002*I2002,2)</f>
        <v>2.1</v>
      </c>
    </row>
    <row r="2003" spans="1:10" ht="15" customHeight="1">
      <c r="A2003" s="208" t="s">
        <v>39</v>
      </c>
      <c r="B2003" s="241" t="s">
        <v>14504</v>
      </c>
      <c r="C2003" s="249" t="s">
        <v>14341</v>
      </c>
      <c r="D2003" s="161" t="str">
        <f>IF(B2003="SEPLAG",VLOOKUP(COMPOSIÇÕES!C2003,'MAPA COMPARATIVO'!A:B,2,FALSE),VLOOKUP(C2003,'NAO DESO'!A:B,2,0))</f>
        <v xml:space="preserve">TUBO ACO INOXIDAVEL, DN 32 MM ( 1")                                                                                                                                                                                                                                                                                                                                                                                               </v>
      </c>
      <c r="E2003" s="241" t="s">
        <v>40</v>
      </c>
      <c r="F2003" s="242">
        <v>2.1</v>
      </c>
      <c r="G2003" s="242">
        <f>IF(B2003="SEPLAG",VLOOKUP(CONCATENATE("MEDIANA - ",C2003),COTAÇÃO,5,FALSE),VLOOKUP($C2003,'NAO DESO'!$A:$D,4,))</f>
        <v>25.83</v>
      </c>
      <c r="H2003" s="242">
        <f>TRUNC(F2003*G2003,2)</f>
        <v>54.24</v>
      </c>
      <c r="I2003" s="54">
        <f>IF(B2003="SEPLAG",VLOOKUP(CONCATENATE("MEDIANA - ",C2003),COTAÇÃO,5,FALSE),VLOOKUP($C2003,DESON!$A:$D,4,))</f>
        <v>25.83</v>
      </c>
      <c r="J2003" s="209">
        <f>TRUNC(F2003*I2003,2)</f>
        <v>54.24</v>
      </c>
    </row>
    <row r="2004" spans="1:10" ht="15" customHeight="1">
      <c r="A2004" s="210" t="str">
        <f>CONCATENATE("TOTAL DO ITEM NÃO DESON. - ",C1995)</f>
        <v>TOTAL DO ITEM NÃO DESON. - SEPLAG ARQ 125</v>
      </c>
      <c r="B2004" s="424"/>
      <c r="C2004" s="424"/>
      <c r="D2004" s="424"/>
      <c r="E2004" s="424"/>
      <c r="F2004" s="425"/>
      <c r="G2004" s="426"/>
      <c r="H2004" s="1189">
        <f>SUM(H1998:H2003)</f>
        <v>69.08</v>
      </c>
      <c r="I2004" s="214"/>
      <c r="J2004" s="215"/>
    </row>
    <row r="2005" spans="1:10" ht="15.75" customHeight="1" thickBot="1">
      <c r="A2005" s="216" t="str">
        <f>CONCATENATE("TOTAL DO ITEM DESON. - ",C1995)</f>
        <v>TOTAL DO ITEM DESON. - SEPLAG ARQ 125</v>
      </c>
      <c r="B2005" s="427"/>
      <c r="C2005" s="427"/>
      <c r="D2005" s="427"/>
      <c r="E2005" s="427"/>
      <c r="F2005" s="428"/>
      <c r="G2005" s="429"/>
      <c r="H2005" s="1190"/>
      <c r="I2005" s="229"/>
      <c r="J2005" s="219">
        <f>SUM(J1998:J2003)</f>
        <v>67.790000000000006</v>
      </c>
    </row>
    <row r="2006" spans="1:10" ht="15" customHeight="1" thickBot="1">
      <c r="A2006" s="235"/>
      <c r="B2006" s="1135"/>
      <c r="C2006" s="1135"/>
      <c r="D2006" s="1135"/>
      <c r="E2006" s="1135"/>
      <c r="F2006" s="1188"/>
      <c r="G2006" s="1188"/>
      <c r="H2006" s="1188"/>
      <c r="I2006" s="236"/>
      <c r="J2006" s="237"/>
    </row>
    <row r="2007" spans="1:10" ht="29.25" customHeight="1">
      <c r="A2007" s="198"/>
      <c r="B2007" s="1175"/>
      <c r="C2007" s="1152" t="s">
        <v>13130</v>
      </c>
      <c r="D2007" s="152" t="s">
        <v>13131</v>
      </c>
      <c r="E2007" s="1176" t="s">
        <v>207</v>
      </c>
      <c r="F2007" s="1177" t="s">
        <v>18</v>
      </c>
      <c r="G2007" s="1178" t="s">
        <v>7017</v>
      </c>
      <c r="H2007" s="1179"/>
      <c r="I2007" s="200" t="s">
        <v>7016</v>
      </c>
      <c r="J2007" s="201"/>
    </row>
    <row r="2008" spans="1:10" ht="15" customHeight="1">
      <c r="A2008" s="233"/>
      <c r="B2008" s="247"/>
      <c r="C2008" s="430"/>
      <c r="D2008" s="158"/>
      <c r="E2008" s="1155"/>
      <c r="F2008" s="1180"/>
      <c r="G2008" s="1180" t="s">
        <v>19</v>
      </c>
      <c r="H2008" s="1180" t="s">
        <v>20</v>
      </c>
      <c r="I2008" s="205" t="s">
        <v>19</v>
      </c>
      <c r="J2008" s="206" t="s">
        <v>20</v>
      </c>
    </row>
    <row r="2009" spans="1:10" ht="15" customHeight="1">
      <c r="A2009" s="233"/>
      <c r="B2009" s="247"/>
      <c r="C2009" s="430"/>
      <c r="D2009" s="163" t="s">
        <v>13132</v>
      </c>
      <c r="E2009" s="1155"/>
      <c r="F2009" s="1180"/>
      <c r="G2009" s="1180"/>
      <c r="H2009" s="1180"/>
      <c r="I2009" s="205"/>
      <c r="J2009" s="206"/>
    </row>
    <row r="2010" spans="1:10" ht="15" customHeight="1">
      <c r="A2010" s="240"/>
      <c r="B2010" s="241"/>
      <c r="C2010" s="241"/>
      <c r="D2010" s="432" t="s">
        <v>13096</v>
      </c>
      <c r="E2010" s="241"/>
      <c r="F2010" s="242"/>
      <c r="G2010" s="242"/>
      <c r="H2010" s="242"/>
      <c r="I2010" s="242"/>
      <c r="J2010" s="243"/>
    </row>
    <row r="2011" spans="1:10" ht="15" customHeight="1">
      <c r="A2011" s="208" t="s">
        <v>245</v>
      </c>
      <c r="B2011" s="241"/>
      <c r="C2011" s="249">
        <v>88274</v>
      </c>
      <c r="D2011" s="161" t="str">
        <f>IF(B2011="SEPLAG",VLOOKUP(COMPOSIÇÕES!C2011,'MAPA COMPARATIVO'!A:B,2,FALSE),VLOOKUP(C2011,'NAO DESO'!A:B,2,0))</f>
        <v>MARMORISTA/GRANITEIRO COM ENCARGOS COMPLEMENTARES</v>
      </c>
      <c r="E2011" s="241" t="str">
        <f>VLOOKUP($C2011,'NAO DESO'!$A:$D,3,)</f>
        <v>H</v>
      </c>
      <c r="F2011" s="242">
        <v>1.18</v>
      </c>
      <c r="G2011" s="242" t="str">
        <f>IF(B2011="SEPLAG",VLOOKUP(CONCATENATE("MEDIANA - ",C2011),COTAÇÃO,5,FALSE),VLOOKUP($C2011,'NAO DESO'!$A:$D,4,))</f>
        <v>21,02</v>
      </c>
      <c r="H2011" s="242">
        <f>TRUNC(F2011*G2011,2)</f>
        <v>24.8</v>
      </c>
      <c r="I2011" s="54" t="str">
        <f>IF(B2011="SEPLAG",VLOOKUP(CONCATENATE("MEDIANA - ",C2011),COTAÇÃO,5,FALSE),VLOOKUP($C2011,DESON!$A:$D,4,))</f>
        <v>18,79</v>
      </c>
      <c r="J2011" s="209">
        <f>TRUNC(F2011*I2011,2)</f>
        <v>22.17</v>
      </c>
    </row>
    <row r="2012" spans="1:10" ht="15" customHeight="1">
      <c r="A2012" s="208" t="s">
        <v>245</v>
      </c>
      <c r="B2012" s="241"/>
      <c r="C2012" s="249">
        <v>88316</v>
      </c>
      <c r="D2012" s="161" t="str">
        <f>IF(B2012="SEPLAG",VLOOKUP(COMPOSIÇÕES!C2012,'MAPA COMPARATIVO'!A:B,2,FALSE),VLOOKUP(C2012,'NAO DESO'!A:B,2,0))</f>
        <v>SERVENTE COM ENCARGOS COMPLEMENTARES</v>
      </c>
      <c r="E2012" s="241" t="str">
        <f>VLOOKUP($C2012,'NAO DESO'!$A:$D,3,)</f>
        <v>H</v>
      </c>
      <c r="F2012" s="242">
        <v>0.59</v>
      </c>
      <c r="G2012" s="242" t="str">
        <f>IF(B2012="SEPLAG",VLOOKUP(CONCATENATE("MEDIANA - ",C2012),COTAÇÃO,5,FALSE),VLOOKUP($C2012,'NAO DESO'!$A:$D,4,))</f>
        <v>16,83</v>
      </c>
      <c r="H2012" s="242">
        <f>TRUNC(F2012*G2012,2)</f>
        <v>9.92</v>
      </c>
      <c r="I2012" s="54" t="str">
        <f>IF(B2012="SEPLAG",VLOOKUP(CONCATENATE("MEDIANA - ",C2012),COTAÇÃO,5,FALSE),VLOOKUP($C2012,DESON!$A:$D,4,))</f>
        <v>15,16</v>
      </c>
      <c r="J2012" s="209">
        <f>TRUNC(F2012*I2012,2)</f>
        <v>8.94</v>
      </c>
    </row>
    <row r="2013" spans="1:10" ht="15" customHeight="1">
      <c r="A2013" s="208"/>
      <c r="B2013" s="241"/>
      <c r="C2013" s="249"/>
      <c r="D2013" s="1132"/>
      <c r="E2013" s="241"/>
      <c r="F2013" s="242"/>
      <c r="G2013" s="242"/>
      <c r="H2013" s="242"/>
      <c r="I2013" s="214"/>
      <c r="J2013" s="209"/>
    </row>
    <row r="2014" spans="1:10" ht="15" customHeight="1">
      <c r="A2014" s="208"/>
      <c r="B2014" s="241"/>
      <c r="C2014" s="249"/>
      <c r="D2014" s="432" t="s">
        <v>13097</v>
      </c>
      <c r="E2014" s="241"/>
      <c r="F2014" s="242"/>
      <c r="G2014" s="242"/>
      <c r="H2014" s="242"/>
      <c r="I2014" s="214"/>
      <c r="J2014" s="209"/>
    </row>
    <row r="2015" spans="1:10" ht="15" customHeight="1">
      <c r="A2015" s="208" t="s">
        <v>39</v>
      </c>
      <c r="B2015" s="241"/>
      <c r="C2015" s="249">
        <v>37595</v>
      </c>
      <c r="D2015" s="161" t="str">
        <f>IF(B2015="SEPLAG",VLOOKUP(COMPOSIÇÕES!C2015,'MAPA COMPARATIVO'!A:B,2,FALSE),VLOOKUP(C2015,'NAO DESO'!A:B,2,0))</f>
        <v>ARGAMASSA COLANTE TIPO AC III</v>
      </c>
      <c r="E2015" s="241" t="str">
        <f>VLOOKUP($C2015,'NAO DESO'!$A:$D,3,)</f>
        <v xml:space="preserve">KG    </v>
      </c>
      <c r="F2015" s="242">
        <v>8.6199999999999992</v>
      </c>
      <c r="G2015" s="242">
        <f>IF(B2015="SEPLAG",VLOOKUP(CONCATENATE("MEDIANA - ",C2015),COTAÇÃO,5,FALSE),VLOOKUP($C2015,'NAO DESO'!$A:$D,4,))</f>
        <v>2.52</v>
      </c>
      <c r="H2015" s="242">
        <f>TRUNC(F2015*G2015,2)</f>
        <v>21.72</v>
      </c>
      <c r="I2015" s="54" t="str">
        <f>IF(B2015="SEPLAG",VLOOKUP(CONCATENATE("MEDIANA - ",C2015),COTAÇÃO,5,FALSE),VLOOKUP($C2015,DESON!$A:$D,4,))</f>
        <v>2,52</v>
      </c>
      <c r="J2015" s="209">
        <f>TRUNC(F2015*I2015,2)</f>
        <v>21.72</v>
      </c>
    </row>
    <row r="2016" spans="1:10" ht="39" customHeight="1">
      <c r="A2016" s="208" t="s">
        <v>39</v>
      </c>
      <c r="B2016" s="241"/>
      <c r="C2016" s="249">
        <v>10842</v>
      </c>
      <c r="D2016" s="161" t="str">
        <f>IF(B2016="SEPLAG",VLOOKUP(COMPOSIÇÕES!C2016,'MAPA COMPARATIVO'!A:B,2,FALSE),VLOOKUP(C2016,'NAO DESO'!A:B,2,0))</f>
        <v>PISO EM GRANITO, POLIDO, TIPO PRETO SAO GABRIEL/ TIJUCA OU OUTROS EQUIVALENTES DA REGIAO, FORMATO MENOR OU IGUAL A 3025 CM2, E=  *2* CM</v>
      </c>
      <c r="E2016" s="241" t="str">
        <f>VLOOKUP($C2016,'NAO DESO'!$A:$D,3,)</f>
        <v xml:space="preserve">M2    </v>
      </c>
      <c r="F2016" s="242">
        <v>1.1599999999999999</v>
      </c>
      <c r="G2016" s="242">
        <f>IF(B2016="SEPLAG",VLOOKUP(CONCATENATE("MEDIANA - ",C2016),COTAÇÃO,5,FALSE),VLOOKUP($C2016,'NAO DESO'!$A:$D,4,))</f>
        <v>406.07</v>
      </c>
      <c r="H2016" s="242">
        <f>TRUNC(F2016*G2016,2)</f>
        <v>471.04</v>
      </c>
      <c r="I2016" s="54" t="str">
        <f>IF(B2016="SEPLAG",VLOOKUP(CONCATENATE("MEDIANA - ",C2016),COTAÇÃO,5,FALSE),VLOOKUP($C2016,DESON!$A:$D,4,))</f>
        <v>406,07</v>
      </c>
      <c r="J2016" s="209">
        <f>TRUNC(F2016*I2016,2)</f>
        <v>471.04</v>
      </c>
    </row>
    <row r="2017" spans="1:10" ht="15" customHeight="1">
      <c r="A2017" s="208" t="s">
        <v>39</v>
      </c>
      <c r="B2017" s="241"/>
      <c r="C2017" s="249">
        <v>34357</v>
      </c>
      <c r="D2017" s="161" t="str">
        <f>IF(B2017="SEPLAG",VLOOKUP(COMPOSIÇÕES!C2017,'MAPA COMPARATIVO'!A:B,2,FALSE),VLOOKUP(C2017,'NAO DESO'!A:B,2,0))</f>
        <v>REJUNTE CIMENTICIO, QUALQUER COR</v>
      </c>
      <c r="E2017" s="241" t="str">
        <f>VLOOKUP($C2017,'NAO DESO'!$A:$D,3,)</f>
        <v xml:space="preserve">KG    </v>
      </c>
      <c r="F2017" s="242">
        <v>0.14000000000000001</v>
      </c>
      <c r="G2017" s="242">
        <f>IF(B2017="SEPLAG",VLOOKUP(CONCATENATE("MEDIANA - ",C2017),COTAÇÃO,5,FALSE),VLOOKUP($C2017,'NAO DESO'!$A:$D,4,))</f>
        <v>4.8099999999999996</v>
      </c>
      <c r="H2017" s="242">
        <f>TRUNC(F2017*G2017,2)</f>
        <v>0.67</v>
      </c>
      <c r="I2017" s="54" t="str">
        <f>IF(B2017="SEPLAG",VLOOKUP(CONCATENATE("MEDIANA - ",C2017),COTAÇÃO,5,FALSE),VLOOKUP($C2017,DESON!$A:$D,4,))</f>
        <v>4,81</v>
      </c>
      <c r="J2017" s="209">
        <f>TRUNC(F2017*I2017,2)</f>
        <v>0.67</v>
      </c>
    </row>
    <row r="2018" spans="1:10" ht="15" customHeight="1">
      <c r="A2018" s="210" t="str">
        <f>CONCATENATE("TOTAL DO ITEM NÃO DESON. - ",C2007)</f>
        <v>TOTAL DO ITEM NÃO DESON. - SEPLAG ARQ 126</v>
      </c>
      <c r="B2018" s="424"/>
      <c r="C2018" s="424"/>
      <c r="D2018" s="424"/>
      <c r="E2018" s="424"/>
      <c r="F2018" s="425"/>
      <c r="G2018" s="426"/>
      <c r="H2018" s="1189">
        <f>SUM(H2011:H2017)</f>
        <v>528.15</v>
      </c>
      <c r="I2018" s="214"/>
      <c r="J2018" s="215"/>
    </row>
    <row r="2019" spans="1:10" ht="15.75" customHeight="1" thickBot="1">
      <c r="A2019" s="216" t="str">
        <f>CONCATENATE("TOTAL DO ITEM DESON. - ",C2007)</f>
        <v>TOTAL DO ITEM DESON. - SEPLAG ARQ 126</v>
      </c>
      <c r="B2019" s="427"/>
      <c r="C2019" s="427"/>
      <c r="D2019" s="427"/>
      <c r="E2019" s="427"/>
      <c r="F2019" s="428"/>
      <c r="G2019" s="429"/>
      <c r="H2019" s="1190"/>
      <c r="I2019" s="229"/>
      <c r="J2019" s="219">
        <f>SUM(J2011:J2017)</f>
        <v>524.54</v>
      </c>
    </row>
    <row r="2020" spans="1:10" ht="15" customHeight="1" thickBot="1">
      <c r="A2020" s="235"/>
      <c r="B2020" s="1135"/>
      <c r="C2020" s="1135"/>
      <c r="D2020" s="1135"/>
      <c r="E2020" s="1135"/>
      <c r="F2020" s="1188"/>
      <c r="G2020" s="1188"/>
      <c r="H2020" s="1188"/>
      <c r="I2020" s="236"/>
      <c r="J2020" s="237"/>
    </row>
    <row r="2021" spans="1:10" ht="25.5" customHeight="1">
      <c r="A2021" s="198"/>
      <c r="B2021" s="1175"/>
      <c r="C2021" s="1152" t="s">
        <v>13133</v>
      </c>
      <c r="D2021" s="152" t="s">
        <v>13134</v>
      </c>
      <c r="E2021" s="1176" t="s">
        <v>250</v>
      </c>
      <c r="F2021" s="1177" t="s">
        <v>18</v>
      </c>
      <c r="G2021" s="1178" t="s">
        <v>7017</v>
      </c>
      <c r="H2021" s="1179"/>
      <c r="I2021" s="200" t="s">
        <v>7016</v>
      </c>
      <c r="J2021" s="201"/>
    </row>
    <row r="2022" spans="1:10" ht="15" customHeight="1">
      <c r="A2022" s="233"/>
      <c r="B2022" s="247"/>
      <c r="C2022" s="430"/>
      <c r="D2022" s="158"/>
      <c r="E2022" s="1155"/>
      <c r="F2022" s="1180"/>
      <c r="G2022" s="1180" t="s">
        <v>19</v>
      </c>
      <c r="H2022" s="1180" t="s">
        <v>20</v>
      </c>
      <c r="I2022" s="205" t="s">
        <v>19</v>
      </c>
      <c r="J2022" s="206" t="s">
        <v>20</v>
      </c>
    </row>
    <row r="2023" spans="1:10" ht="15" customHeight="1">
      <c r="A2023" s="240"/>
      <c r="B2023" s="241"/>
      <c r="C2023" s="241"/>
      <c r="D2023" s="432" t="s">
        <v>13096</v>
      </c>
      <c r="E2023" s="241"/>
      <c r="F2023" s="242"/>
      <c r="G2023" s="242"/>
      <c r="H2023" s="242"/>
      <c r="I2023" s="242"/>
      <c r="J2023" s="243"/>
    </row>
    <row r="2024" spans="1:10" ht="15" customHeight="1">
      <c r="A2024" s="208" t="s">
        <v>245</v>
      </c>
      <c r="B2024" s="241"/>
      <c r="C2024" s="249">
        <v>88316</v>
      </c>
      <c r="D2024" s="161" t="str">
        <f>IF(B2024="SEPLAG",VLOOKUP(COMPOSIÇÕES!C2024,'MAPA COMPARATIVO'!A:B,2,FALSE),VLOOKUP(C2024,'NAO DESO'!A:B,2,0))</f>
        <v>SERVENTE COM ENCARGOS COMPLEMENTARES</v>
      </c>
      <c r="E2024" s="241" t="str">
        <f>VLOOKUP($C2024,'NAO DESO'!$A:$D,3,)</f>
        <v>H</v>
      </c>
      <c r="F2024" s="242">
        <v>0.33</v>
      </c>
      <c r="G2024" s="242" t="str">
        <f>IF(B2024="SEPLAG",VLOOKUP(CONCATENATE("MEDIANA - ",C2024),COTAÇÃO,5,FALSE),VLOOKUP($C2024,'NAO DESO'!$A:$D,4,))</f>
        <v>16,83</v>
      </c>
      <c r="H2024" s="242">
        <f>TRUNC(F2024*G2024,2)</f>
        <v>5.55</v>
      </c>
      <c r="I2024" s="54" t="str">
        <f>IF(B2024="SEPLAG",VLOOKUP(CONCATENATE("MEDIANA - ",C2024),COTAÇÃO,5,FALSE),VLOOKUP($C2024,DESON!$A:$D,4,))</f>
        <v>15,16</v>
      </c>
      <c r="J2024" s="209">
        <f>TRUNC(F2024*I2024,2)</f>
        <v>5</v>
      </c>
    </row>
    <row r="2025" spans="1:10" ht="15" customHeight="1">
      <c r="A2025" s="208" t="s">
        <v>245</v>
      </c>
      <c r="B2025" s="241"/>
      <c r="C2025" s="249">
        <v>88317</v>
      </c>
      <c r="D2025" s="161" t="str">
        <f>IF(B2025="SEPLAG",VLOOKUP(COMPOSIÇÕES!C2025,'MAPA COMPARATIVO'!A:B,2,FALSE),VLOOKUP(C2025,'NAO DESO'!A:B,2,0))</f>
        <v>SOLDADOR COM ENCARGOS COMPLEMENTARES</v>
      </c>
      <c r="E2025" s="241" t="str">
        <f>VLOOKUP($C2025,'NAO DESO'!$A:$D,3,)</f>
        <v>H</v>
      </c>
      <c r="F2025" s="242">
        <v>0.33</v>
      </c>
      <c r="G2025" s="242" t="str">
        <f>IF(B2025="SEPLAG",VLOOKUP(CONCATENATE("MEDIANA - ",C2025),COTAÇÃO,5,FALSE),VLOOKUP($C2025,'NAO DESO'!$A:$D,4,))</f>
        <v>21,79</v>
      </c>
      <c r="H2025" s="242">
        <f>TRUNC(F2025*G2025,2)</f>
        <v>7.19</v>
      </c>
      <c r="I2025" s="54" t="str">
        <f>IF(B2025="SEPLAG",VLOOKUP(CONCATENATE("MEDIANA - ",C2025),COTAÇÃO,5,FALSE),VLOOKUP($C2025,DESON!$A:$D,4,))</f>
        <v>19,57</v>
      </c>
      <c r="J2025" s="209">
        <f>TRUNC(F2025*I2025,2)</f>
        <v>6.45</v>
      </c>
    </row>
    <row r="2026" spans="1:10" ht="15" customHeight="1">
      <c r="A2026" s="208"/>
      <c r="B2026" s="241"/>
      <c r="C2026" s="249"/>
      <c r="D2026" s="1132"/>
      <c r="E2026" s="241"/>
      <c r="F2026" s="242"/>
      <c r="G2026" s="242"/>
      <c r="H2026" s="242"/>
      <c r="I2026" s="214"/>
      <c r="J2026" s="209"/>
    </row>
    <row r="2027" spans="1:10" ht="15" customHeight="1">
      <c r="A2027" s="208"/>
      <c r="B2027" s="241"/>
      <c r="C2027" s="249"/>
      <c r="D2027" s="432" t="s">
        <v>13097</v>
      </c>
      <c r="E2027" s="241"/>
      <c r="F2027" s="242"/>
      <c r="G2027" s="242"/>
      <c r="H2027" s="242"/>
      <c r="I2027" s="214"/>
      <c r="J2027" s="209"/>
    </row>
    <row r="2028" spans="1:10" ht="15" customHeight="1">
      <c r="A2028" s="208" t="s">
        <v>39</v>
      </c>
      <c r="B2028" s="241"/>
      <c r="C2028" s="249">
        <v>10998</v>
      </c>
      <c r="D2028" s="161" t="str">
        <f>IF(B2028="SEPLAG",VLOOKUP(COMPOSIÇÕES!C2028,'MAPA COMPARATIVO'!A:B,2,FALSE),VLOOKUP(C2028,'NAO DESO'!A:B,2,0))</f>
        <v>ELETRODO REVESTIDO AWS - E-6010, DIAMETRO IGUAL A 4,00 MM</v>
      </c>
      <c r="E2028" s="241" t="str">
        <f>VLOOKUP($C2028,'NAO DESO'!$A:$D,3,)</f>
        <v xml:space="preserve">KG    </v>
      </c>
      <c r="F2028" s="242">
        <v>7.0000000000000007E-2</v>
      </c>
      <c r="G2028" s="242">
        <f>IF(B2028="SEPLAG",VLOOKUP(CONCATENATE("MEDIANA - ",C2028),COTAÇÃO,5,FALSE),VLOOKUP($C2028,'NAO DESO'!$A:$D,4,))</f>
        <v>30.03</v>
      </c>
      <c r="H2028" s="242">
        <f>TRUNC(F2028*G2028,2)</f>
        <v>2.1</v>
      </c>
      <c r="I2028" s="54" t="str">
        <f>IF(B2028="SEPLAG",VLOOKUP(CONCATENATE("MEDIANA - ",C2028),COTAÇÃO,5,FALSE),VLOOKUP($C2028,DESON!$A:$D,4,))</f>
        <v>30,03</v>
      </c>
      <c r="J2028" s="209">
        <f>TRUNC(F2028*I2028,2)</f>
        <v>2.1</v>
      </c>
    </row>
    <row r="2029" spans="1:10" ht="15" customHeight="1">
      <c r="A2029" s="208" t="s">
        <v>39</v>
      </c>
      <c r="B2029" s="241" t="s">
        <v>14504</v>
      </c>
      <c r="C2029" s="249" t="s">
        <v>14340</v>
      </c>
      <c r="D2029" s="161" t="str">
        <f>IF(B2029="SEPLAG",VLOOKUP(COMPOSIÇÕES!C2029,'MAPA COMPARATIVO'!A:B,2,FALSE),VLOOKUP(C2029,'NAO DESO'!A:B,2,0))</f>
        <v xml:space="preserve">TUBO ACO INOXIDAVEL, DN 40 MM ( 1 1/2")                                                                                                                                                                                                                                                                                                                                                                                               </v>
      </c>
      <c r="E2029" s="241" t="str">
        <f>'MAPA COMPARATIVO'!D433</f>
        <v>M</v>
      </c>
      <c r="F2029" s="242">
        <v>1.1000000000000001</v>
      </c>
      <c r="G2029" s="242">
        <f>IF(B2029="SEPLAG",VLOOKUP(CONCATENATE("MEDIANA - ",C2029),COTAÇÃO,5,FALSE),VLOOKUP($C2029,'NAO DESO'!$A:$D,4,))</f>
        <v>47.5</v>
      </c>
      <c r="H2029" s="242">
        <f>TRUNC(F2029*G2029,2)</f>
        <v>52.25</v>
      </c>
      <c r="I2029" s="54">
        <f>IF(B2029="SEPLAG",VLOOKUP(CONCATENATE("MEDIANA - ",C2029),COTAÇÃO,5,FALSE),VLOOKUP($C2029,DESON!$A:$D,4,))</f>
        <v>47.5</v>
      </c>
      <c r="J2029" s="209">
        <f>TRUNC(F2029*I2029,2)</f>
        <v>52.25</v>
      </c>
    </row>
    <row r="2030" spans="1:10" ht="15" customHeight="1">
      <c r="A2030" s="208" t="s">
        <v>39</v>
      </c>
      <c r="B2030" s="241" t="s">
        <v>14504</v>
      </c>
      <c r="C2030" s="249" t="s">
        <v>14342</v>
      </c>
      <c r="D2030" s="161" t="str">
        <f>IF(B2030="SEPLAG",VLOOKUP(COMPOSIÇÕES!C2030,'MAPA COMPARATIVO'!A:B,2,FALSE),VLOOKUP(C2030,'NAO DESO'!A:B,2,0))</f>
        <v xml:space="preserve">BARRA ACO INOXIDAVEL, DN 10 MM 3/8''                                                                                                                                                                                                                                                                                                                                                                                   </v>
      </c>
      <c r="E2030" s="241" t="str">
        <f>'MAPA COMPARATIVO'!D440</f>
        <v>UND</v>
      </c>
      <c r="F2030" s="242">
        <v>0.12</v>
      </c>
      <c r="G2030" s="242">
        <f>IF(B2030="SEPLAG",VLOOKUP(CONCATENATE("MEDIANA - ",C2030),COTAÇÃO,5,FALSE),VLOOKUP($C2030,'NAO DESO'!$A:$D,4,))</f>
        <v>36.659999999999997</v>
      </c>
      <c r="H2030" s="242">
        <f>TRUNC(F2030*G2030,2)</f>
        <v>4.3899999999999997</v>
      </c>
      <c r="I2030" s="54">
        <f>IF(B2030="SEPLAG",VLOOKUP(CONCATENATE("MEDIANA - ",C2030),COTAÇÃO,5,FALSE),VLOOKUP($C2030,DESON!$A:$D,4,))</f>
        <v>36.659999999999997</v>
      </c>
      <c r="J2030" s="209">
        <f>TRUNC(F2030*I2030,2)</f>
        <v>4.3899999999999997</v>
      </c>
    </row>
    <row r="2031" spans="1:10" ht="15" customHeight="1">
      <c r="A2031" s="210" t="str">
        <f>CONCATENATE("TOTAL DO ITEM NÃO DESON. - ",C2021)</f>
        <v>TOTAL DO ITEM NÃO DESON. - SEPLAG ARQ 127</v>
      </c>
      <c r="B2031" s="424"/>
      <c r="C2031" s="424"/>
      <c r="D2031" s="424"/>
      <c r="E2031" s="424"/>
      <c r="F2031" s="425"/>
      <c r="G2031" s="426"/>
      <c r="H2031" s="1189">
        <f>SUM(H2024:H2030)</f>
        <v>71.48</v>
      </c>
      <c r="I2031" s="214"/>
      <c r="J2031" s="215"/>
    </row>
    <row r="2032" spans="1:10" ht="15.75" customHeight="1" thickBot="1">
      <c r="A2032" s="216" t="str">
        <f>CONCATENATE("TOTAL DO ITEM DESON. - ",C2021)</f>
        <v>TOTAL DO ITEM DESON. - SEPLAG ARQ 127</v>
      </c>
      <c r="B2032" s="427"/>
      <c r="C2032" s="427"/>
      <c r="D2032" s="427"/>
      <c r="E2032" s="427"/>
      <c r="F2032" s="428"/>
      <c r="G2032" s="429"/>
      <c r="H2032" s="1190"/>
      <c r="I2032" s="229"/>
      <c r="J2032" s="219">
        <f>SUM(J2024:J2030)</f>
        <v>70.19</v>
      </c>
    </row>
    <row r="2033" spans="1:10" ht="15" customHeight="1" thickBot="1">
      <c r="A2033" s="235"/>
      <c r="B2033" s="1135"/>
      <c r="C2033" s="1135"/>
      <c r="D2033" s="1135"/>
      <c r="E2033" s="1135"/>
      <c r="F2033" s="1188"/>
      <c r="G2033" s="1188"/>
      <c r="H2033" s="1188"/>
      <c r="I2033" s="236"/>
      <c r="J2033" s="237"/>
    </row>
    <row r="2034" spans="1:10" ht="24.75" customHeight="1">
      <c r="A2034" s="198"/>
      <c r="B2034" s="1175"/>
      <c r="C2034" s="1152" t="s">
        <v>13137</v>
      </c>
      <c r="D2034" s="152" t="s">
        <v>13138</v>
      </c>
      <c r="E2034" s="1176" t="s">
        <v>250</v>
      </c>
      <c r="F2034" s="1177" t="s">
        <v>18</v>
      </c>
      <c r="G2034" s="1178" t="s">
        <v>7017</v>
      </c>
      <c r="H2034" s="1179"/>
      <c r="I2034" s="200" t="s">
        <v>7016</v>
      </c>
      <c r="J2034" s="201"/>
    </row>
    <row r="2035" spans="1:10" ht="13.5" customHeight="1">
      <c r="A2035" s="233"/>
      <c r="B2035" s="247"/>
      <c r="C2035" s="430"/>
      <c r="D2035" s="158"/>
      <c r="E2035" s="1155"/>
      <c r="F2035" s="1180"/>
      <c r="G2035" s="1180" t="s">
        <v>19</v>
      </c>
      <c r="H2035" s="1180" t="s">
        <v>20</v>
      </c>
      <c r="I2035" s="205" t="s">
        <v>19</v>
      </c>
      <c r="J2035" s="206" t="s">
        <v>20</v>
      </c>
    </row>
    <row r="2036" spans="1:10" ht="15" customHeight="1">
      <c r="A2036" s="240"/>
      <c r="B2036" s="241"/>
      <c r="C2036" s="241"/>
      <c r="D2036" s="432" t="s">
        <v>13096</v>
      </c>
      <c r="E2036" s="241"/>
      <c r="F2036" s="242"/>
      <c r="G2036" s="242"/>
      <c r="H2036" s="242"/>
      <c r="I2036" s="242"/>
      <c r="J2036" s="243"/>
    </row>
    <row r="2037" spans="1:10" ht="15" customHeight="1">
      <c r="A2037" s="208" t="s">
        <v>245</v>
      </c>
      <c r="B2037" s="241"/>
      <c r="C2037" s="249">
        <v>88309</v>
      </c>
      <c r="D2037" s="161" t="str">
        <f>IF(B2037="SEPLAG",VLOOKUP(COMPOSIÇÕES!C2037,'MAPA COMPARATIVO'!A:B,2,FALSE),VLOOKUP(C2037,'NAO DESO'!A:B,2,0))</f>
        <v>PEDREIRO COM ENCARGOS COMPLEMENTARES</v>
      </c>
      <c r="E2037" s="241" t="str">
        <f>VLOOKUP($C2037,'NAO DESO'!$A:$D,3,)</f>
        <v>H</v>
      </c>
      <c r="F2037" s="242">
        <v>0.6</v>
      </c>
      <c r="G2037" s="242" t="str">
        <f>IF(B2037="SEPLAG",VLOOKUP(CONCATENATE("MEDIANA - ",C2037),COTAÇÃO,5,FALSE),VLOOKUP($C2037,'NAO DESO'!$A:$D,4,))</f>
        <v>21,10</v>
      </c>
      <c r="H2037" s="242">
        <f>TRUNC(F2037*G2037,2)</f>
        <v>12.66</v>
      </c>
      <c r="I2037" s="54" t="str">
        <f>IF(B2037="SEPLAG",VLOOKUP(CONCATENATE("MEDIANA - ",C2037),COTAÇÃO,5,FALSE),VLOOKUP($C2037,DESON!$A:$D,4,))</f>
        <v>18,86</v>
      </c>
      <c r="J2037" s="209">
        <f>TRUNC(F2037*I2037,2)</f>
        <v>11.31</v>
      </c>
    </row>
    <row r="2038" spans="1:10" ht="15" customHeight="1">
      <c r="A2038" s="208" t="s">
        <v>245</v>
      </c>
      <c r="B2038" s="241"/>
      <c r="C2038" s="249">
        <v>88315</v>
      </c>
      <c r="D2038" s="161" t="str">
        <f>IF(B2038="SEPLAG",VLOOKUP(COMPOSIÇÕES!C2038,'MAPA COMPARATIVO'!A:B,2,FALSE),VLOOKUP(C2038,'NAO DESO'!A:B,2,0))</f>
        <v>SERRALHEIRO COM ENCARGOS COMPLEMENTARES</v>
      </c>
      <c r="E2038" s="241" t="str">
        <f>VLOOKUP($C2038,'NAO DESO'!$A:$D,3,)</f>
        <v>H</v>
      </c>
      <c r="F2038" s="242">
        <v>1.3</v>
      </c>
      <c r="G2038" s="242" t="str">
        <f>IF(B2038="SEPLAG",VLOOKUP(CONCATENATE("MEDIANA - ",C2038),COTAÇÃO,5,FALSE),VLOOKUP($C2038,'NAO DESO'!$A:$D,4,))</f>
        <v>20,97</v>
      </c>
      <c r="H2038" s="242">
        <f>TRUNC(F2038*G2038,2)</f>
        <v>27.26</v>
      </c>
      <c r="I2038" s="54" t="str">
        <f>IF(B2038="SEPLAG",VLOOKUP(CONCATENATE("MEDIANA - ",C2038),COTAÇÃO,5,FALSE),VLOOKUP($C2038,DESON!$A:$D,4,))</f>
        <v>18,75</v>
      </c>
      <c r="J2038" s="209">
        <f>TRUNC(F2038*I2038,2)</f>
        <v>24.37</v>
      </c>
    </row>
    <row r="2039" spans="1:10" ht="15" customHeight="1">
      <c r="A2039" s="208" t="s">
        <v>245</v>
      </c>
      <c r="B2039" s="241"/>
      <c r="C2039" s="249">
        <v>88316</v>
      </c>
      <c r="D2039" s="161" t="str">
        <f>IF(B2039="SEPLAG",VLOOKUP(COMPOSIÇÕES!C2039,'MAPA COMPARATIVO'!A:B,2,FALSE),VLOOKUP(C2039,'NAO DESO'!A:B,2,0))</f>
        <v>SERVENTE COM ENCARGOS COMPLEMENTARES</v>
      </c>
      <c r="E2039" s="241" t="str">
        <f>VLOOKUP($C2039,'NAO DESO'!$A:$D,3,)</f>
        <v>H</v>
      </c>
      <c r="F2039" s="242">
        <v>1.3</v>
      </c>
      <c r="G2039" s="242" t="str">
        <f>IF(B2039="SEPLAG",VLOOKUP(CONCATENATE("MEDIANA - ",C2039),COTAÇÃO,5,FALSE),VLOOKUP($C2039,'NAO DESO'!$A:$D,4,))</f>
        <v>16,83</v>
      </c>
      <c r="H2039" s="242">
        <f>TRUNC(F2039*G2039,2)</f>
        <v>21.87</v>
      </c>
      <c r="I2039" s="54" t="str">
        <f>IF(B2039="SEPLAG",VLOOKUP(CONCATENATE("MEDIANA - ",C2039),COTAÇÃO,5,FALSE),VLOOKUP($C2039,DESON!$A:$D,4,))</f>
        <v>15,16</v>
      </c>
      <c r="J2039" s="209">
        <f>TRUNC(F2039*I2039,2)</f>
        <v>19.7</v>
      </c>
    </row>
    <row r="2040" spans="1:10" ht="15" customHeight="1">
      <c r="A2040" s="208" t="s">
        <v>245</v>
      </c>
      <c r="B2040" s="241"/>
      <c r="C2040" s="249">
        <v>88317</v>
      </c>
      <c r="D2040" s="161" t="str">
        <f>IF(B2040="SEPLAG",VLOOKUP(COMPOSIÇÕES!C2040,'MAPA COMPARATIVO'!A:B,2,FALSE),VLOOKUP(C2040,'NAO DESO'!A:B,2,0))</f>
        <v>SOLDADOR COM ENCARGOS COMPLEMENTARES</v>
      </c>
      <c r="E2040" s="241" t="str">
        <f>VLOOKUP($C2040,'NAO DESO'!$A:$D,3,)</f>
        <v>H</v>
      </c>
      <c r="F2040" s="242">
        <v>0.6</v>
      </c>
      <c r="G2040" s="242" t="str">
        <f>IF(B2040="SEPLAG",VLOOKUP(CONCATENATE("MEDIANA - ",C2040),COTAÇÃO,5,FALSE),VLOOKUP($C2040,'NAO DESO'!$A:$D,4,))</f>
        <v>21,79</v>
      </c>
      <c r="H2040" s="242">
        <f>TRUNC(F2040*G2040,2)</f>
        <v>13.07</v>
      </c>
      <c r="I2040" s="54" t="str">
        <f>IF(B2040="SEPLAG",VLOOKUP(CONCATENATE("MEDIANA - ",C2040),COTAÇÃO,5,FALSE),VLOOKUP($C2040,DESON!$A:$D,4,))</f>
        <v>19,57</v>
      </c>
      <c r="J2040" s="209">
        <f>TRUNC(F2040*I2040,2)</f>
        <v>11.74</v>
      </c>
    </row>
    <row r="2041" spans="1:10" ht="15" customHeight="1">
      <c r="A2041" s="208"/>
      <c r="B2041" s="241"/>
      <c r="C2041" s="249"/>
      <c r="D2041" s="1132"/>
      <c r="E2041" s="241"/>
      <c r="F2041" s="242"/>
      <c r="G2041" s="242"/>
      <c r="H2041" s="242"/>
      <c r="I2041" s="214"/>
      <c r="J2041" s="209"/>
    </row>
    <row r="2042" spans="1:10" ht="15" customHeight="1">
      <c r="A2042" s="208"/>
      <c r="B2042" s="241"/>
      <c r="C2042" s="249"/>
      <c r="D2042" s="432" t="s">
        <v>13097</v>
      </c>
      <c r="E2042" s="241"/>
      <c r="F2042" s="242"/>
      <c r="G2042" s="242"/>
      <c r="H2042" s="242"/>
      <c r="I2042" s="214"/>
      <c r="J2042" s="209"/>
    </row>
    <row r="2043" spans="1:10" ht="15" customHeight="1">
      <c r="A2043" s="208" t="s">
        <v>39</v>
      </c>
      <c r="B2043" s="241"/>
      <c r="C2043" s="249">
        <v>10998</v>
      </c>
      <c r="D2043" s="161" t="str">
        <f>IF(B2043="SEPLAG",VLOOKUP(COMPOSIÇÕES!C2043,'MAPA COMPARATIVO'!A:B,2,FALSE),VLOOKUP(C2043,'NAO DESO'!A:B,2,0))</f>
        <v>ELETRODO REVESTIDO AWS - E-6010, DIAMETRO IGUAL A 4,00 MM</v>
      </c>
      <c r="E2043" s="241" t="str">
        <f>VLOOKUP($C2043,'NAO DESO'!$A:$D,3,)</f>
        <v xml:space="preserve">KG    </v>
      </c>
      <c r="F2043" s="1186">
        <v>0.8</v>
      </c>
      <c r="G2043" s="242">
        <f>IF(B2043="SEPLAG",VLOOKUP(CONCATENATE("MEDIANA - ",C2043),COTAÇÃO,5,FALSE),VLOOKUP($C2043,'NAO DESO'!$A:$D,4,))</f>
        <v>30.03</v>
      </c>
      <c r="H2043" s="242">
        <f>TRUNC(F2043*G2043,2)</f>
        <v>24.02</v>
      </c>
      <c r="I2043" s="54" t="str">
        <f>IF(B2043="SEPLAG",VLOOKUP(CONCATENATE("MEDIANA - ",C2043),COTAÇÃO,5,FALSE),VLOOKUP($C2043,DESON!$A:$D,4,))</f>
        <v>30,03</v>
      </c>
      <c r="J2043" s="209">
        <f>TRUNC(F2043*I2043,2)</f>
        <v>24.02</v>
      </c>
    </row>
    <row r="2044" spans="1:10" ht="15" customHeight="1">
      <c r="A2044" s="208" t="s">
        <v>39</v>
      </c>
      <c r="B2044" s="241" t="s">
        <v>14504</v>
      </c>
      <c r="C2044" s="249" t="s">
        <v>14340</v>
      </c>
      <c r="D2044" s="161" t="str">
        <f>IF(B2044="SEPLAG",VLOOKUP(COMPOSIÇÕES!C2044,'MAPA COMPARATIVO'!A:B,2,FALSE),VLOOKUP(C2044,'NAO DESO'!A:B,2,0))</f>
        <v xml:space="preserve">TUBO ACO INOXIDAVEL, DN 40 MM ( 1 1/2")                                                                                                                                                                                                                                                                                                                                                                                               </v>
      </c>
      <c r="E2044" s="241" t="str">
        <f>'MAPA COMPARATIVO'!D433</f>
        <v>M</v>
      </c>
      <c r="F2044" s="242">
        <v>3.25</v>
      </c>
      <c r="G2044" s="242">
        <f>IF(B2044="SEPLAG",VLOOKUP(CONCATENATE("MEDIANA - ",C2044),COTAÇÃO,5,FALSE),VLOOKUP($C2044,'NAO DESO'!$A:$D,4,))</f>
        <v>47.5</v>
      </c>
      <c r="H2044" s="242">
        <f>TRUNC(F2044*G2044,2)</f>
        <v>154.37</v>
      </c>
      <c r="I2044" s="54">
        <f>IF(B2044="SEPLAG",VLOOKUP(CONCATENATE("MEDIANA - ",C2044),COTAÇÃO,5,FALSE),VLOOKUP($C2044,DESON!$A:$D,4,))</f>
        <v>47.5</v>
      </c>
      <c r="J2044" s="209">
        <f>TRUNC(F2044*I2044,2)</f>
        <v>154.37</v>
      </c>
    </row>
    <row r="2045" spans="1:10" ht="15" customHeight="1">
      <c r="A2045" s="208" t="s">
        <v>39</v>
      </c>
      <c r="B2045" s="241" t="s">
        <v>14504</v>
      </c>
      <c r="C2045" s="249" t="s">
        <v>14342</v>
      </c>
      <c r="D2045" s="161" t="str">
        <f>IF(B2045="SEPLAG",VLOOKUP(COMPOSIÇÕES!C2045,'MAPA COMPARATIVO'!A:B,2,FALSE),VLOOKUP(C2045,'NAO DESO'!A:B,2,0))</f>
        <v xml:space="preserve">BARRA ACO INOXIDAVEL, DN 10 MM 3/8''                                                                                                                                                                                                                                                                                                                                                                                   </v>
      </c>
      <c r="E2045" s="241" t="str">
        <f>'MAPA COMPARATIVO'!D440</f>
        <v>UND</v>
      </c>
      <c r="F2045" s="242">
        <v>1</v>
      </c>
      <c r="G2045" s="242">
        <f>IF(B2045="SEPLAG",VLOOKUP(CONCATENATE("MEDIANA - ",C2045),COTAÇÃO,5,FALSE),VLOOKUP($C2045,'NAO DESO'!$A:$D,4,))</f>
        <v>36.659999999999997</v>
      </c>
      <c r="H2045" s="242">
        <f>TRUNC(F2045*G2045,2)</f>
        <v>36.659999999999997</v>
      </c>
      <c r="I2045" s="54">
        <f>IF(B2045="SEPLAG",VLOOKUP(CONCATENATE("MEDIANA - ",C2045),COTAÇÃO,5,FALSE),VLOOKUP($C2045,DESON!$A:$D,4,))</f>
        <v>36.659999999999997</v>
      </c>
      <c r="J2045" s="209">
        <f>TRUNC(F2045*I2045,2)</f>
        <v>36.659999999999997</v>
      </c>
    </row>
    <row r="2046" spans="1:10" ht="26.25" customHeight="1">
      <c r="A2046" s="208" t="s">
        <v>39</v>
      </c>
      <c r="B2046" s="241"/>
      <c r="C2046" s="249">
        <v>87299</v>
      </c>
      <c r="D2046" s="161" t="str">
        <f>IF(B2046="SEPLAG",VLOOKUP(COMPOSIÇÕES!C2046,'MAPA COMPARATIVO'!A:B,2,FALSE),VLOOKUP(C2046,'NAO DESO'!A:B,2,0))</f>
        <v>ARGAMASSA TRAÇO 1:3 (EM VOLUME DE CIMENTO E AREIA MÉDIA ÚMIDA) PARA CONTRAPISO, PREPARO MECÂNICO COM BETONEIRA 600 L. AF_08/2019</v>
      </c>
      <c r="E2046" s="241" t="str">
        <f>VLOOKUP($C2046,'NAO DESO'!$A:$D,3,)</f>
        <v>M3</v>
      </c>
      <c r="F2046" s="1186">
        <v>3.0000000000000001E-3</v>
      </c>
      <c r="G2046" s="242" t="str">
        <f>IF(B2046="SEPLAG",VLOOKUP(CONCATENATE("MEDIANA - ",C2046),COTAÇÃO,5,FALSE),VLOOKUP($C2046,'NAO DESO'!$A:$D,4,))</f>
        <v>374,60</v>
      </c>
      <c r="H2046" s="242">
        <f>TRUNC(F2046*G2046,2)</f>
        <v>1.1200000000000001</v>
      </c>
      <c r="I2046" s="54" t="str">
        <f>IF(B2046="SEPLAG",VLOOKUP(CONCATENATE("MEDIANA - ",C2046),COTAÇÃO,5,FALSE),VLOOKUP($C2046,DESON!$A:$D,4,))</f>
        <v>368,07</v>
      </c>
      <c r="J2046" s="209">
        <f>TRUNC(F2046*I2046,2)</f>
        <v>1.1000000000000001</v>
      </c>
    </row>
    <row r="2047" spans="1:10" ht="15" customHeight="1">
      <c r="A2047" s="208" t="s">
        <v>39</v>
      </c>
      <c r="B2047" s="241" t="s">
        <v>14504</v>
      </c>
      <c r="C2047" s="249" t="s">
        <v>14348</v>
      </c>
      <c r="D2047" s="161" t="str">
        <f>IF(B2047="SEPLAG",VLOOKUP(COMPOSIÇÕES!C2047,'MAPA COMPARATIVO'!A:B,2,FALSE),VLOOKUP(C2047,'NAO DESO'!A:B,2,0))</f>
        <v xml:space="preserve">TUBO ACO INOXIDAVEL, DN 50 MM ( 2")            </v>
      </c>
      <c r="E2047" s="241" t="str">
        <f>'MAPA COMPARATIVO'!D447</f>
        <v>M</v>
      </c>
      <c r="F2047" s="242">
        <v>0.28999999999999998</v>
      </c>
      <c r="G2047" s="242">
        <f>IF(B2047="SEPLAG",VLOOKUP(CONCATENATE("MEDIANA - ",C2047),COTAÇÃO,5,FALSE),VLOOKUP($C2047,'NAO DESO'!$A:$D,4,))</f>
        <v>48.473333333333329</v>
      </c>
      <c r="H2047" s="242">
        <f>TRUNC(F2047*G2047,2)</f>
        <v>14.05</v>
      </c>
      <c r="I2047" s="54">
        <f>IF(B2047="SEPLAG",VLOOKUP(CONCATENATE("MEDIANA - ",C2047),COTAÇÃO,5,FALSE),VLOOKUP($C2047,DESON!$A:$D,4,))</f>
        <v>48.473333333333329</v>
      </c>
      <c r="J2047" s="209">
        <f>TRUNC(F2047*I2047,2)</f>
        <v>14.05</v>
      </c>
    </row>
    <row r="2048" spans="1:10" ht="15" customHeight="1">
      <c r="A2048" s="210" t="str">
        <f>CONCATENATE("TOTAL DO ITEM NÃO DESON. - ",C2034)</f>
        <v>TOTAL DO ITEM NÃO DESON. - SEPLAG ARQ 128</v>
      </c>
      <c r="B2048" s="424"/>
      <c r="C2048" s="424"/>
      <c r="D2048" s="424"/>
      <c r="E2048" s="424"/>
      <c r="F2048" s="425"/>
      <c r="G2048" s="426"/>
      <c r="H2048" s="1189">
        <f>SUM(H2037:H2047)</f>
        <v>305.08</v>
      </c>
      <c r="I2048" s="214"/>
      <c r="J2048" s="215"/>
    </row>
    <row r="2049" spans="1:10" ht="15.75" customHeight="1" thickBot="1">
      <c r="A2049" s="216" t="str">
        <f>CONCATENATE("TOTAL DO ITEM DESON. - ",C2034)</f>
        <v>TOTAL DO ITEM DESON. - SEPLAG ARQ 128</v>
      </c>
      <c r="B2049" s="427"/>
      <c r="C2049" s="427"/>
      <c r="D2049" s="427"/>
      <c r="E2049" s="427"/>
      <c r="F2049" s="428"/>
      <c r="G2049" s="429"/>
      <c r="H2049" s="1190"/>
      <c r="I2049" s="229"/>
      <c r="J2049" s="219">
        <f>SUM(J2037:J2047)</f>
        <v>297.32</v>
      </c>
    </row>
    <row r="2050" spans="1:10" ht="15" customHeight="1" thickBot="1">
      <c r="A2050" s="235"/>
      <c r="B2050" s="1135"/>
      <c r="C2050" s="1135"/>
      <c r="D2050" s="1135"/>
      <c r="E2050" s="1135"/>
      <c r="F2050" s="1188"/>
      <c r="G2050" s="1188"/>
      <c r="H2050" s="1188"/>
      <c r="I2050" s="236"/>
      <c r="J2050" s="237"/>
    </row>
    <row r="2051" spans="1:10" ht="26.25" customHeight="1">
      <c r="A2051" s="198"/>
      <c r="B2051" s="1175"/>
      <c r="C2051" s="1152" t="s">
        <v>13147</v>
      </c>
      <c r="D2051" s="152" t="s">
        <v>13146</v>
      </c>
      <c r="E2051" s="1176" t="s">
        <v>250</v>
      </c>
      <c r="F2051" s="1177" t="s">
        <v>18</v>
      </c>
      <c r="G2051" s="1178" t="s">
        <v>7017</v>
      </c>
      <c r="H2051" s="1179"/>
      <c r="I2051" s="200" t="s">
        <v>7016</v>
      </c>
      <c r="J2051" s="201"/>
    </row>
    <row r="2052" spans="1:10" ht="15" customHeight="1">
      <c r="A2052" s="233"/>
      <c r="B2052" s="247"/>
      <c r="C2052" s="430"/>
      <c r="D2052" s="158"/>
      <c r="E2052" s="1155"/>
      <c r="F2052" s="1180"/>
      <c r="G2052" s="1180" t="s">
        <v>19</v>
      </c>
      <c r="H2052" s="1180" t="s">
        <v>20</v>
      </c>
      <c r="I2052" s="205" t="s">
        <v>19</v>
      </c>
      <c r="J2052" s="206" t="s">
        <v>20</v>
      </c>
    </row>
    <row r="2053" spans="1:10" ht="15" customHeight="1">
      <c r="A2053" s="240"/>
      <c r="B2053" s="241"/>
      <c r="C2053" s="241"/>
      <c r="D2053" s="432" t="s">
        <v>13096</v>
      </c>
      <c r="E2053" s="241"/>
      <c r="F2053" s="242"/>
      <c r="G2053" s="242"/>
      <c r="H2053" s="242"/>
      <c r="I2053" s="242"/>
      <c r="J2053" s="243"/>
    </row>
    <row r="2054" spans="1:10" ht="15" customHeight="1">
      <c r="A2054" s="208" t="s">
        <v>245</v>
      </c>
      <c r="B2054" s="241"/>
      <c r="C2054" s="249">
        <v>88251</v>
      </c>
      <c r="D2054" s="161" t="str">
        <f>IF(B2054="SEPLAG",VLOOKUP(COMPOSIÇÕES!C2054,'MAPA COMPARATIVO'!A:B,2,FALSE),VLOOKUP(C2054,'NAO DESO'!A:B,2,0))</f>
        <v>AUXILIAR DE SERRALHEIRO COM ENCARGOS COMPLEMENTARES</v>
      </c>
      <c r="E2054" s="241" t="str">
        <f>VLOOKUP($C2054,'NAO DESO'!$A:$D,3,)</f>
        <v>H</v>
      </c>
      <c r="F2054" s="242">
        <v>1.5</v>
      </c>
      <c r="G2054" s="242" t="str">
        <f>IF(B2054="SEPLAG",VLOOKUP(CONCATENATE("MEDIANA - ",C2054),COTAÇÃO,5,FALSE),VLOOKUP($C2054,'NAO DESO'!$A:$D,4,))</f>
        <v>17,84</v>
      </c>
      <c r="H2054" s="242">
        <f>TRUNC(F2054*G2054,2)</f>
        <v>26.76</v>
      </c>
      <c r="I2054" s="54" t="str">
        <f>IF(B2054="SEPLAG",VLOOKUP(CONCATENATE("MEDIANA - ",C2054),COTAÇÃO,5,FALSE),VLOOKUP($C2054,DESON!$A:$D,4,))</f>
        <v>16,05</v>
      </c>
      <c r="J2054" s="209">
        <f>TRUNC(F2054*I2054,2)</f>
        <v>24.07</v>
      </c>
    </row>
    <row r="2055" spans="1:10" ht="15" customHeight="1">
      <c r="A2055" s="208" t="s">
        <v>245</v>
      </c>
      <c r="B2055" s="241"/>
      <c r="C2055" s="249">
        <v>88315</v>
      </c>
      <c r="D2055" s="161" t="str">
        <f>IF(B2055="SEPLAG",VLOOKUP(COMPOSIÇÕES!C2055,'MAPA COMPARATIVO'!A:B,2,FALSE),VLOOKUP(C2055,'NAO DESO'!A:B,2,0))</f>
        <v>SERRALHEIRO COM ENCARGOS COMPLEMENTARES</v>
      </c>
      <c r="E2055" s="241" t="str">
        <f>VLOOKUP($C2055,'NAO DESO'!$A:$D,3,)</f>
        <v>H</v>
      </c>
      <c r="F2055" s="242">
        <v>1.5</v>
      </c>
      <c r="G2055" s="242" t="str">
        <f>IF(B2055="SEPLAG",VLOOKUP(CONCATENATE("MEDIANA - ",C2055),COTAÇÃO,5,FALSE),VLOOKUP($C2055,'NAO DESO'!$A:$D,4,))</f>
        <v>20,97</v>
      </c>
      <c r="H2055" s="242">
        <f>TRUNC(F2055*G2055,2)</f>
        <v>31.45</v>
      </c>
      <c r="I2055" s="54" t="str">
        <f>IF(B2055="SEPLAG",VLOOKUP(CONCATENATE("MEDIANA - ",C2055),COTAÇÃO,5,FALSE),VLOOKUP($C2055,DESON!$A:$D,4,))</f>
        <v>18,75</v>
      </c>
      <c r="J2055" s="209">
        <f>TRUNC(F2055*I2055,2)</f>
        <v>28.12</v>
      </c>
    </row>
    <row r="2056" spans="1:10" ht="15" customHeight="1">
      <c r="A2056" s="208" t="s">
        <v>245</v>
      </c>
      <c r="B2056" s="241"/>
      <c r="C2056" s="249">
        <v>88317</v>
      </c>
      <c r="D2056" s="161" t="str">
        <f>IF(B2056="SEPLAG",VLOOKUP(COMPOSIÇÕES!C2056,'MAPA COMPARATIVO'!A:B,2,FALSE),VLOOKUP(C2056,'NAO DESO'!A:B,2,0))</f>
        <v>SOLDADOR COM ENCARGOS COMPLEMENTARES</v>
      </c>
      <c r="E2056" s="241" t="str">
        <f>VLOOKUP($C2056,'NAO DESO'!$A:$D,3,)</f>
        <v>H</v>
      </c>
      <c r="F2056" s="242">
        <v>1.5</v>
      </c>
      <c r="G2056" s="242" t="str">
        <f>IF(B2056="SEPLAG",VLOOKUP(CONCATENATE("MEDIANA - ",C2056),COTAÇÃO,5,FALSE),VLOOKUP($C2056,'NAO DESO'!$A:$D,4,))</f>
        <v>21,79</v>
      </c>
      <c r="H2056" s="242">
        <f>TRUNC(F2056*G2056,2)</f>
        <v>32.68</v>
      </c>
      <c r="I2056" s="54" t="str">
        <f>IF(B2056="SEPLAG",VLOOKUP(CONCATENATE("MEDIANA - ",C2056),COTAÇÃO,5,FALSE),VLOOKUP($C2056,DESON!$A:$D,4,))</f>
        <v>19,57</v>
      </c>
      <c r="J2056" s="209">
        <f>TRUNC(F2056*I2056,2)</f>
        <v>29.35</v>
      </c>
    </row>
    <row r="2057" spans="1:10" ht="15" customHeight="1">
      <c r="A2057" s="208"/>
      <c r="B2057" s="241"/>
      <c r="C2057" s="249"/>
      <c r="D2057" s="1132"/>
      <c r="E2057" s="241"/>
      <c r="F2057" s="242"/>
      <c r="G2057" s="242"/>
      <c r="H2057" s="242"/>
      <c r="I2057" s="214"/>
      <c r="J2057" s="209"/>
    </row>
    <row r="2058" spans="1:10" ht="15" customHeight="1">
      <c r="A2058" s="208"/>
      <c r="B2058" s="241"/>
      <c r="C2058" s="249"/>
      <c r="D2058" s="432" t="s">
        <v>13097</v>
      </c>
      <c r="E2058" s="241"/>
      <c r="F2058" s="242"/>
      <c r="G2058" s="242"/>
      <c r="H2058" s="242"/>
      <c r="I2058" s="214"/>
      <c r="J2058" s="209"/>
    </row>
    <row r="2059" spans="1:10" ht="15" customHeight="1">
      <c r="A2059" s="208" t="s">
        <v>39</v>
      </c>
      <c r="B2059" s="241"/>
      <c r="C2059" s="249">
        <v>10998</v>
      </c>
      <c r="D2059" s="161" t="str">
        <f>IF(B2059="SEPLAG",VLOOKUP(COMPOSIÇÕES!C2059,'MAPA COMPARATIVO'!A:B,2,FALSE),VLOOKUP(C2059,'NAO DESO'!A:B,2,0))</f>
        <v>ELETRODO REVESTIDO AWS - E-6010, DIAMETRO IGUAL A 4,00 MM</v>
      </c>
      <c r="E2059" s="241" t="str">
        <f>VLOOKUP($C2059,'NAO DESO'!$A:$D,3,)</f>
        <v xml:space="preserve">KG    </v>
      </c>
      <c r="F2059" s="1186">
        <v>0.8</v>
      </c>
      <c r="G2059" s="242">
        <f>IF(B2059="SEPLAG",VLOOKUP(CONCATENATE("MEDIANA - ",C2059),COTAÇÃO,5,FALSE),VLOOKUP($C2059,'NAO DESO'!$A:$D,4,))</f>
        <v>30.03</v>
      </c>
      <c r="H2059" s="242">
        <f t="shared" ref="H2059:H2065" si="154">TRUNC(F2059*G2059,2)</f>
        <v>24.02</v>
      </c>
      <c r="I2059" s="54" t="str">
        <f>IF(B2059="SEPLAG",VLOOKUP(CONCATENATE("MEDIANA - ",C2059),COTAÇÃO,5,FALSE),VLOOKUP($C2059,DESON!$A:$D,4,))</f>
        <v>30,03</v>
      </c>
      <c r="J2059" s="209">
        <f t="shared" ref="J2059:J2065" si="155">TRUNC(F2059*I2059,2)</f>
        <v>24.02</v>
      </c>
    </row>
    <row r="2060" spans="1:10" ht="51.75" customHeight="1">
      <c r="A2060" s="208" t="s">
        <v>39</v>
      </c>
      <c r="B2060" s="241"/>
      <c r="C2060" s="249">
        <v>100763</v>
      </c>
      <c r="D2060" s="161" t="str">
        <f>IF(B2060="SEPLAG",VLOOKUP(COMPOSIÇÕES!C2060,'MAPA COMPARATIVO'!A:B,2,FALSE),VLOOKUP(C2060,'NAO DESO'!A:B,2,0))</f>
        <v>VIGA METÁLICA EM PERFIL LAMINADO OU SOLDADO EM AÇO ESTRUTURAL, COM CONEXÕES PARAFUSADAS, INCLUSOS MÃO DE OBRA, TRANSPORTE E IÇAMENTO UTILIZANDO GUINDASTE - FORNECIMENTO E INSTALAÇÃO. AF_01/2020_P</v>
      </c>
      <c r="E2060" s="241" t="str">
        <f>VLOOKUP($C2060,'NAO DESO'!$A:$D,3,)</f>
        <v>KG</v>
      </c>
      <c r="F2060" s="1186">
        <f>2*3*3.47</f>
        <v>20.82</v>
      </c>
      <c r="G2060" s="242" t="str">
        <f>IF(B2060="SEPLAG",VLOOKUP(CONCATENATE("MEDIANA - ",C2060),COTAÇÃO,5,FALSE),VLOOKUP($C2060,'NAO DESO'!$A:$D,4,))</f>
        <v>16,60</v>
      </c>
      <c r="H2060" s="242">
        <f t="shared" si="154"/>
        <v>345.61</v>
      </c>
      <c r="I2060" s="54" t="str">
        <f>IF(B2060="SEPLAG",VLOOKUP(CONCATENATE("MEDIANA - ",C2060),COTAÇÃO,5,FALSE),VLOOKUP($C2060,DESON!$A:$D,4,))</f>
        <v>16,52</v>
      </c>
      <c r="J2060" s="209">
        <f t="shared" si="155"/>
        <v>343.94</v>
      </c>
    </row>
    <row r="2061" spans="1:10" ht="39" customHeight="1">
      <c r="A2061" s="208" t="s">
        <v>39</v>
      </c>
      <c r="B2061" s="241"/>
      <c r="C2061" s="249">
        <v>100766</v>
      </c>
      <c r="D2061" s="161" t="str">
        <f>IF(B2061="SEPLAG",VLOOKUP(COMPOSIÇÕES!C2061,'MAPA COMPARATIVO'!A:B,2,FALSE),VLOOKUP(C2061,'NAO DESO'!A:B,2,0))</f>
        <v>PILAR METÁLICO PERFIL LAMINADO OU SOLDADO EM AÇO ESTRUTURAL, COM CONEXÕES SOLDADAS, INCLUSOS MÃO DE OBRA, TRANSPORTE E IÇAMENTO UTILIZANDO GUINDASTE - FORNECIMENTO E INSTALAÇÃO. AF_01/2020_P</v>
      </c>
      <c r="E2061" s="241" t="str">
        <f>VLOOKUP($C2061,'NAO DESO'!$A:$D,3,)</f>
        <v>KG</v>
      </c>
      <c r="F2061" s="1186">
        <f>2*2*3.47</f>
        <v>13.88</v>
      </c>
      <c r="G2061" s="242" t="str">
        <f>IF(B2061="SEPLAG",VLOOKUP(CONCATENATE("MEDIANA - ",C2061),COTAÇÃO,5,FALSE),VLOOKUP($C2061,'NAO DESO'!$A:$D,4,))</f>
        <v>16,65</v>
      </c>
      <c r="H2061" s="242">
        <f t="shared" si="154"/>
        <v>231.1</v>
      </c>
      <c r="I2061" s="54" t="str">
        <f>IF(B2061="SEPLAG",VLOOKUP(CONCATENATE("MEDIANA - ",C2061),COTAÇÃO,5,FALSE),VLOOKUP($C2061,DESON!$A:$D,4,))</f>
        <v>16,58</v>
      </c>
      <c r="J2061" s="209">
        <f t="shared" si="155"/>
        <v>230.13</v>
      </c>
    </row>
    <row r="2062" spans="1:10" ht="51.75" customHeight="1">
      <c r="A2062" s="208" t="s">
        <v>39</v>
      </c>
      <c r="B2062" s="241"/>
      <c r="C2062" s="249">
        <v>100770</v>
      </c>
      <c r="D2062" s="161" t="str">
        <f>IF(B2062="SEPLAG",VLOOKUP(COMPOSIÇÕES!C2062,'MAPA COMPARATIVO'!A:B,2,FALSE),VLOOKUP(C2062,'NAO DESO'!A:B,2,0))</f>
        <v>CONTRAVENTAMENTO COM CANTONEIRAS DE AÇO, ABAS IGUAIS, COM CONEXÕES SOLDADAS, INCLUSOS MÃO DE OBRA, TRANSPORTE E IÇAMENTO UTILIZANDO GUINDASTE, PARA EDIFÍCIOS DE 3 A 5 PAVIMENTOS - FORNECIMENTO E INSTALAÇÃO. AF_01/2020_P</v>
      </c>
      <c r="E2062" s="241" t="str">
        <f>VLOOKUP($C2062,'NAO DESO'!$A:$D,3,)</f>
        <v>KG</v>
      </c>
      <c r="F2062" s="1186">
        <f>(6*1.4*(12.6/6))+(2*1.4*2.36)+(0.15*2*14.4)</f>
        <v>28.567999999999998</v>
      </c>
      <c r="G2062" s="242" t="str">
        <f>IF(B2062="SEPLAG",VLOOKUP(CONCATENATE("MEDIANA - ",C2062),COTAÇÃO,5,FALSE),VLOOKUP($C2062,'NAO DESO'!$A:$D,4,))</f>
        <v>20,32</v>
      </c>
      <c r="H2062" s="242">
        <f t="shared" si="154"/>
        <v>580.5</v>
      </c>
      <c r="I2062" s="54" t="str">
        <f>IF(B2062="SEPLAG",VLOOKUP(CONCATENATE("MEDIANA - ",C2062),COTAÇÃO,5,FALSE),VLOOKUP($C2062,DESON!$A:$D,4,))</f>
        <v>20,06</v>
      </c>
      <c r="J2062" s="209">
        <f t="shared" si="155"/>
        <v>573.07000000000005</v>
      </c>
    </row>
    <row r="2063" spans="1:10" ht="15" customHeight="1">
      <c r="A2063" s="208" t="s">
        <v>39</v>
      </c>
      <c r="B2063" s="241"/>
      <c r="C2063" s="249">
        <v>11975</v>
      </c>
      <c r="D2063" s="161" t="str">
        <f>IF(B2063="SEPLAG",VLOOKUP(COMPOSIÇÕES!C2063,'MAPA COMPARATIVO'!A:B,2,FALSE),VLOOKUP(C2063,'NAO DESO'!A:B,2,0))</f>
        <v>CHUMBADOR DE ACO, DIAMETRO 5/8", COMPRIMENTO 6", COM PORCA</v>
      </c>
      <c r="E2063" s="241" t="str">
        <f>VLOOKUP($C2063,'NAO DESO'!$A:$D,3,)</f>
        <v xml:space="preserve">UN    </v>
      </c>
      <c r="F2063" s="1186">
        <v>8</v>
      </c>
      <c r="G2063" s="242">
        <f>IF(B2063="SEPLAG",VLOOKUP(CONCATENATE("MEDIANA - ",C2063),COTAÇÃO,5,FALSE),VLOOKUP($C2063,'NAO DESO'!$A:$D,4,))</f>
        <v>26.82</v>
      </c>
      <c r="H2063" s="242">
        <f t="shared" si="154"/>
        <v>214.56</v>
      </c>
      <c r="I2063" s="54" t="str">
        <f>IF(B2063="SEPLAG",VLOOKUP(CONCATENATE("MEDIANA - ",C2063),COTAÇÃO,5,FALSE),VLOOKUP($C2063,DESON!$A:$D,4,))</f>
        <v>26,82</v>
      </c>
      <c r="J2063" s="209">
        <f t="shared" si="155"/>
        <v>214.56</v>
      </c>
    </row>
    <row r="2064" spans="1:10" ht="15" customHeight="1">
      <c r="A2064" s="208" t="s">
        <v>39</v>
      </c>
      <c r="B2064" s="241" t="s">
        <v>14504</v>
      </c>
      <c r="C2064" s="249" t="s">
        <v>14498</v>
      </c>
      <c r="D2064" s="161" t="str">
        <f>IF(B2064="SEPLAG",VLOOKUP(COMPOSIÇÕES!C2064,'MAPA COMPARATIVO'!A:B,2,FALSE),VLOOKUP(C2064,'NAO DESO'!A:B,2,0))</f>
        <v>CHAPA DE AÇO EXPANDIDA 1200X3000 3MM</v>
      </c>
      <c r="E2064" s="241" t="s">
        <v>8</v>
      </c>
      <c r="F2064" s="1186">
        <f>1.4*3</f>
        <v>4.1999999999999993</v>
      </c>
      <c r="G2064" s="242">
        <f>IF(B2064="SEPLAG",VLOOKUP(CONCATENATE("MEDIANA - ",C2064),COTAÇÃO,5,FALSE),VLOOKUP($C2064,'NAO DESO'!$A:$D,4,))</f>
        <v>90.975000000000009</v>
      </c>
      <c r="H2064" s="242">
        <f t="shared" si="154"/>
        <v>382.09</v>
      </c>
      <c r="I2064" s="54">
        <f>IF(B2064="SEPLAG",VLOOKUP(CONCATENATE("MEDIANA - ",C2064),COTAÇÃO,5,FALSE),VLOOKUP($C2064,DESON!$A:$D,4,))</f>
        <v>90.975000000000009</v>
      </c>
      <c r="J2064" s="209">
        <f t="shared" si="155"/>
        <v>382.09</v>
      </c>
    </row>
    <row r="2065" spans="1:10" ht="15" customHeight="1">
      <c r="A2065" s="208" t="s">
        <v>39</v>
      </c>
      <c r="B2065" s="241"/>
      <c r="C2065" s="249">
        <v>1332</v>
      </c>
      <c r="D2065" s="161" t="str">
        <f>IF(B2065="SEPLAG",VLOOKUP(COMPOSIÇÕES!C2065,'MAPA COMPARATIVO'!A:B,2,FALSE),VLOOKUP(C2065,'NAO DESO'!A:B,2,0))</f>
        <v>CHAPA DE ACO GROSSA, ASTM A36, E = 3/8 " (9,53 MM) 74,69 KG/M2</v>
      </c>
      <c r="E2065" s="241" t="str">
        <f>VLOOKUP($C2065,'NAO DESO'!$A:$D,3,)</f>
        <v xml:space="preserve">KG    </v>
      </c>
      <c r="F2065" s="1186">
        <f>(0.18*0.18*74.69*2)</f>
        <v>4.839912</v>
      </c>
      <c r="G2065" s="242">
        <f>IF(B2065="SEPLAG",VLOOKUP(CONCATENATE("MEDIANA - ",C2065),COTAÇÃO,5,FALSE),VLOOKUP($C2065,'NAO DESO'!$A:$D,4,))</f>
        <v>11.62</v>
      </c>
      <c r="H2065" s="242">
        <f t="shared" si="154"/>
        <v>56.23</v>
      </c>
      <c r="I2065" s="54" t="str">
        <f>IF(B2065="SEPLAG",VLOOKUP(CONCATENATE("MEDIANA - ",C2065),COTAÇÃO,5,FALSE),VLOOKUP($C2065,DESON!$A:$D,4,))</f>
        <v>11,62</v>
      </c>
      <c r="J2065" s="209">
        <f t="shared" si="155"/>
        <v>56.23</v>
      </c>
    </row>
    <row r="2066" spans="1:10" ht="15" customHeight="1">
      <c r="A2066" s="210" t="str">
        <f>CONCATENATE("TOTAL DO ITEM NÃO DESON. - ",C2051)</f>
        <v>TOTAL DO ITEM NÃO DESON. - SEPLAG ARQ 129</v>
      </c>
      <c r="B2066" s="424"/>
      <c r="C2066" s="424"/>
      <c r="D2066" s="424"/>
      <c r="E2066" s="424"/>
      <c r="F2066" s="425"/>
      <c r="G2066" s="426"/>
      <c r="H2066" s="1189">
        <f>SUM(H2054:H2065)</f>
        <v>1924.9999999999998</v>
      </c>
      <c r="I2066" s="214"/>
      <c r="J2066" s="215"/>
    </row>
    <row r="2067" spans="1:10" ht="15.75" customHeight="1" thickBot="1">
      <c r="A2067" s="216" t="str">
        <f>CONCATENATE("TOTAL DO ITEM DESON. - ",C2051)</f>
        <v>TOTAL DO ITEM DESON. - SEPLAG ARQ 129</v>
      </c>
      <c r="B2067" s="427"/>
      <c r="C2067" s="427"/>
      <c r="D2067" s="427"/>
      <c r="E2067" s="427"/>
      <c r="F2067" s="428"/>
      <c r="G2067" s="429"/>
      <c r="H2067" s="1190"/>
      <c r="I2067" s="229"/>
      <c r="J2067" s="219">
        <f>SUM(J2054:J2065)</f>
        <v>1905.58</v>
      </c>
    </row>
    <row r="2068" spans="1:10" ht="15" customHeight="1" thickBot="1">
      <c r="A2068" s="235"/>
      <c r="B2068" s="1135"/>
      <c r="C2068" s="1135"/>
      <c r="D2068" s="1135"/>
      <c r="E2068" s="1135"/>
      <c r="F2068" s="1188"/>
      <c r="G2068" s="1188"/>
      <c r="H2068" s="1188"/>
      <c r="I2068" s="236"/>
      <c r="J2068" s="237"/>
    </row>
    <row r="2069" spans="1:10" ht="28.5" customHeight="1">
      <c r="A2069" s="198"/>
      <c r="B2069" s="1175"/>
      <c r="C2069" s="1152" t="s">
        <v>13244</v>
      </c>
      <c r="D2069" s="152" t="s">
        <v>13213</v>
      </c>
      <c r="E2069" s="1176" t="s">
        <v>250</v>
      </c>
      <c r="F2069" s="1177" t="s">
        <v>18</v>
      </c>
      <c r="G2069" s="1178" t="s">
        <v>7017</v>
      </c>
      <c r="H2069" s="1179"/>
      <c r="I2069" s="200" t="s">
        <v>7016</v>
      </c>
      <c r="J2069" s="201"/>
    </row>
    <row r="2070" spans="1:10" ht="11.25" customHeight="1">
      <c r="A2070" s="233"/>
      <c r="B2070" s="247"/>
      <c r="C2070" s="430"/>
      <c r="D2070" s="158"/>
      <c r="E2070" s="1155"/>
      <c r="F2070" s="1180"/>
      <c r="G2070" s="1180" t="s">
        <v>19</v>
      </c>
      <c r="H2070" s="1180" t="s">
        <v>20</v>
      </c>
      <c r="I2070" s="205" t="s">
        <v>19</v>
      </c>
      <c r="J2070" s="206" t="s">
        <v>20</v>
      </c>
    </row>
    <row r="2071" spans="1:10" ht="15" customHeight="1">
      <c r="A2071" s="240"/>
      <c r="B2071" s="241"/>
      <c r="C2071" s="241"/>
      <c r="D2071" s="432" t="s">
        <v>13096</v>
      </c>
      <c r="E2071" s="241"/>
      <c r="F2071" s="242"/>
      <c r="G2071" s="242"/>
      <c r="H2071" s="242"/>
      <c r="I2071" s="242"/>
      <c r="J2071" s="243"/>
    </row>
    <row r="2072" spans="1:10" ht="15" customHeight="1">
      <c r="A2072" s="208" t="s">
        <v>245</v>
      </c>
      <c r="B2072" s="241"/>
      <c r="C2072" s="249">
        <v>88251</v>
      </c>
      <c r="D2072" s="161" t="str">
        <f>IF(B2072="SEPLAG",VLOOKUP(COMPOSIÇÕES!C2072,'MAPA COMPARATIVO'!A:B,2,FALSE),VLOOKUP(C2072,'NAO DESO'!A:B,2,0))</f>
        <v>AUXILIAR DE SERRALHEIRO COM ENCARGOS COMPLEMENTARES</v>
      </c>
      <c r="E2072" s="241" t="str">
        <f>VLOOKUP($C2072,'NAO DESO'!$A:$D,3,)</f>
        <v>H</v>
      </c>
      <c r="F2072" s="242">
        <v>0.5</v>
      </c>
      <c r="G2072" s="242" t="str">
        <f>IF(B2072="SEPLAG",VLOOKUP(CONCATENATE("MEDIANA - ",C2072),COTAÇÃO,5,FALSE),VLOOKUP($C2072,'NAO DESO'!$A:$D,4,))</f>
        <v>17,84</v>
      </c>
      <c r="H2072" s="242">
        <f>TRUNC(F2072*G2072,2)</f>
        <v>8.92</v>
      </c>
      <c r="I2072" s="54" t="str">
        <f>IF(B2072="SEPLAG",VLOOKUP(CONCATENATE("MEDIANA - ",C2072),COTAÇÃO,5,FALSE),VLOOKUP($C2072,DESON!$A:$D,4,))</f>
        <v>16,05</v>
      </c>
      <c r="J2072" s="209">
        <f>TRUNC(F2072*I2072,2)</f>
        <v>8.02</v>
      </c>
    </row>
    <row r="2073" spans="1:10" ht="15" customHeight="1">
      <c r="A2073" s="208" t="s">
        <v>245</v>
      </c>
      <c r="B2073" s="241"/>
      <c r="C2073" s="249">
        <v>88315</v>
      </c>
      <c r="D2073" s="161" t="str">
        <f>IF(B2073="SEPLAG",VLOOKUP(COMPOSIÇÕES!C2073,'MAPA COMPARATIVO'!A:B,2,FALSE),VLOOKUP(C2073,'NAO DESO'!A:B,2,0))</f>
        <v>SERRALHEIRO COM ENCARGOS COMPLEMENTARES</v>
      </c>
      <c r="E2073" s="241" t="str">
        <f>VLOOKUP($C2073,'NAO DESO'!$A:$D,3,)</f>
        <v>H</v>
      </c>
      <c r="F2073" s="242">
        <v>0.5</v>
      </c>
      <c r="G2073" s="242" t="str">
        <f>IF(B2073="SEPLAG",VLOOKUP(CONCATENATE("MEDIANA - ",C2073),COTAÇÃO,5,FALSE),VLOOKUP($C2073,'NAO DESO'!$A:$D,4,))</f>
        <v>20,97</v>
      </c>
      <c r="H2073" s="242">
        <f>TRUNC(F2073*G2073,2)</f>
        <v>10.48</v>
      </c>
      <c r="I2073" s="54" t="str">
        <f>IF(B2073="SEPLAG",VLOOKUP(CONCATENATE("MEDIANA - ",C2073),COTAÇÃO,5,FALSE),VLOOKUP($C2073,DESON!$A:$D,4,))</f>
        <v>18,75</v>
      </c>
      <c r="J2073" s="209">
        <f>TRUNC(F2073*I2073,2)</f>
        <v>9.3699999999999992</v>
      </c>
    </row>
    <row r="2074" spans="1:10" ht="15" customHeight="1">
      <c r="A2074" s="208" t="s">
        <v>245</v>
      </c>
      <c r="B2074" s="241"/>
      <c r="C2074" s="249">
        <v>88317</v>
      </c>
      <c r="D2074" s="161" t="str">
        <f>IF(B2074="SEPLAG",VLOOKUP(COMPOSIÇÕES!C2074,'MAPA COMPARATIVO'!A:B,2,FALSE),VLOOKUP(C2074,'NAO DESO'!A:B,2,0))</f>
        <v>SOLDADOR COM ENCARGOS COMPLEMENTARES</v>
      </c>
      <c r="E2074" s="241" t="str">
        <f>VLOOKUP($C2074,'NAO DESO'!$A:$D,3,)</f>
        <v>H</v>
      </c>
      <c r="F2074" s="242">
        <v>0.5</v>
      </c>
      <c r="G2074" s="242" t="str">
        <f>IF(B2074="SEPLAG",VLOOKUP(CONCATENATE("MEDIANA - ",C2074),COTAÇÃO,5,FALSE),VLOOKUP($C2074,'NAO DESO'!$A:$D,4,))</f>
        <v>21,79</v>
      </c>
      <c r="H2074" s="242">
        <f>TRUNC(F2074*G2074,2)</f>
        <v>10.89</v>
      </c>
      <c r="I2074" s="54" t="str">
        <f>IF(B2074="SEPLAG",VLOOKUP(CONCATENATE("MEDIANA - ",C2074),COTAÇÃO,5,FALSE),VLOOKUP($C2074,DESON!$A:$D,4,))</f>
        <v>19,57</v>
      </c>
      <c r="J2074" s="209">
        <f>TRUNC(F2074*I2074,2)</f>
        <v>9.7799999999999994</v>
      </c>
    </row>
    <row r="2075" spans="1:10" ht="15" customHeight="1">
      <c r="A2075" s="208"/>
      <c r="B2075" s="241"/>
      <c r="C2075" s="249"/>
      <c r="D2075" s="1132"/>
      <c r="E2075" s="241"/>
      <c r="F2075" s="242"/>
      <c r="G2075" s="242"/>
      <c r="H2075" s="242"/>
      <c r="I2075" s="214"/>
      <c r="J2075" s="209"/>
    </row>
    <row r="2076" spans="1:10" ht="15" customHeight="1">
      <c r="A2076" s="208"/>
      <c r="B2076" s="241"/>
      <c r="C2076" s="249"/>
      <c r="D2076" s="432" t="s">
        <v>13097</v>
      </c>
      <c r="E2076" s="241"/>
      <c r="F2076" s="242"/>
      <c r="G2076" s="242"/>
      <c r="H2076" s="242"/>
      <c r="I2076" s="214"/>
      <c r="J2076" s="209"/>
    </row>
    <row r="2077" spans="1:10" ht="15" customHeight="1">
      <c r="A2077" s="208" t="s">
        <v>39</v>
      </c>
      <c r="B2077" s="241"/>
      <c r="C2077" s="249">
        <v>10998</v>
      </c>
      <c r="D2077" s="161" t="str">
        <f>IF(B2077="SEPLAG",VLOOKUP(COMPOSIÇÕES!C2077,'MAPA COMPARATIVO'!A:B,2,FALSE),VLOOKUP(C2077,'NAO DESO'!A:B,2,0))</f>
        <v>ELETRODO REVESTIDO AWS - E-6010, DIAMETRO IGUAL A 4,00 MM</v>
      </c>
      <c r="E2077" s="241" t="str">
        <f>VLOOKUP($C2077,'NAO DESO'!$A:$D,3,)</f>
        <v xml:space="preserve">KG    </v>
      </c>
      <c r="F2077" s="1186">
        <v>0.4</v>
      </c>
      <c r="G2077" s="242">
        <f>IF(B2077="SEPLAG",VLOOKUP(CONCATENATE("MEDIANA - ",C2077),COTAÇÃO,5,FALSE),VLOOKUP($C2077,'NAO DESO'!$A:$D,4,))</f>
        <v>30.03</v>
      </c>
      <c r="H2077" s="242">
        <f t="shared" ref="H2077:H2083" si="156">TRUNC(F2077*G2077,2)</f>
        <v>12.01</v>
      </c>
      <c r="I2077" s="54" t="str">
        <f>IF(B2077="SEPLAG",VLOOKUP(CONCATENATE("MEDIANA - ",C2077),COTAÇÃO,5,FALSE),VLOOKUP($C2077,DESON!$A:$D,4,))</f>
        <v>30,03</v>
      </c>
      <c r="J2077" s="209">
        <f t="shared" ref="J2077:J2083" si="157">TRUNC(F2077*I2077,2)</f>
        <v>12.01</v>
      </c>
    </row>
    <row r="2078" spans="1:10" ht="51.75" customHeight="1">
      <c r="A2078" s="208" t="s">
        <v>39</v>
      </c>
      <c r="B2078" s="241"/>
      <c r="C2078" s="249">
        <v>100763</v>
      </c>
      <c r="D2078" s="161" t="str">
        <f>IF(B2078="SEPLAG",VLOOKUP(COMPOSIÇÕES!C2078,'MAPA COMPARATIVO'!A:B,2,FALSE),VLOOKUP(C2078,'NAO DESO'!A:B,2,0))</f>
        <v>VIGA METÁLICA EM PERFIL LAMINADO OU SOLDADO EM AÇO ESTRUTURAL, COM CONEXÕES PARAFUSADAS, INCLUSOS MÃO DE OBRA, TRANSPORTE E IÇAMENTO UTILIZANDO GUINDASTE - FORNECIMENTO E INSTALAÇÃO. AF_01/2020_P</v>
      </c>
      <c r="E2078" s="241" t="str">
        <f>VLOOKUP($C2078,'NAO DESO'!$A:$D,3,)</f>
        <v>KG</v>
      </c>
      <c r="F2078" s="1186">
        <f>1*2*2.17</f>
        <v>4.34</v>
      </c>
      <c r="G2078" s="242" t="str">
        <f>IF(B2078="SEPLAG",VLOOKUP(CONCATENATE("MEDIANA - ",C2078),COTAÇÃO,5,FALSE),VLOOKUP($C2078,'NAO DESO'!$A:$D,4,))</f>
        <v>16,60</v>
      </c>
      <c r="H2078" s="242">
        <f t="shared" si="156"/>
        <v>72.040000000000006</v>
      </c>
      <c r="I2078" s="54" t="str">
        <f>IF(B2078="SEPLAG",VLOOKUP(CONCATENATE("MEDIANA - ",C2078),COTAÇÃO,5,FALSE),VLOOKUP($C2078,DESON!$A:$D,4,))</f>
        <v>16,52</v>
      </c>
      <c r="J2078" s="209">
        <f t="shared" si="157"/>
        <v>71.69</v>
      </c>
    </row>
    <row r="2079" spans="1:10" ht="51.75" customHeight="1">
      <c r="A2079" s="208" t="s">
        <v>39</v>
      </c>
      <c r="B2079" s="241"/>
      <c r="C2079" s="249">
        <v>100770</v>
      </c>
      <c r="D2079" s="161" t="str">
        <f>IF(B2079="SEPLAG",VLOOKUP(COMPOSIÇÕES!C2079,'MAPA COMPARATIVO'!A:B,2,FALSE),VLOOKUP(C2079,'NAO DESO'!A:B,2,0))</f>
        <v>CONTRAVENTAMENTO COM CANTONEIRAS DE AÇO, ABAS IGUAIS, COM CONEXÕES SOLDADAS, INCLUSOS MÃO DE OBRA, TRANSPORTE E IÇAMENTO UTILIZANDO GUINDASTE, PARA EDIFÍCIOS DE 3 A 5 PAVIMENTOS - FORNECIMENTO E INSTALAÇÃO. AF_01/2020_P</v>
      </c>
      <c r="E2079" s="241" t="str">
        <f>VLOOKUP($C2079,'NAO DESO'!$A:$D,3,)</f>
        <v>KG</v>
      </c>
      <c r="F2079" s="1186">
        <f>2*0.5*0.9</f>
        <v>0.9</v>
      </c>
      <c r="G2079" s="242" t="str">
        <f>IF(B2079="SEPLAG",VLOOKUP(CONCATENATE("MEDIANA - ",C2079),COTAÇÃO,5,FALSE),VLOOKUP($C2079,'NAO DESO'!$A:$D,4,))</f>
        <v>20,32</v>
      </c>
      <c r="H2079" s="242">
        <f t="shared" si="156"/>
        <v>18.28</v>
      </c>
      <c r="I2079" s="54" t="str">
        <f>IF(B2079="SEPLAG",VLOOKUP(CONCATENATE("MEDIANA - ",C2079),COTAÇÃO,5,FALSE),VLOOKUP($C2079,DESON!$A:$D,4,))</f>
        <v>20,06</v>
      </c>
      <c r="J2079" s="209">
        <f t="shared" si="157"/>
        <v>18.05</v>
      </c>
    </row>
    <row r="2080" spans="1:10" ht="15" customHeight="1">
      <c r="A2080" s="208" t="s">
        <v>39</v>
      </c>
      <c r="B2080" s="241" t="s">
        <v>14504</v>
      </c>
      <c r="C2080" s="249" t="s">
        <v>14499</v>
      </c>
      <c r="D2080" s="161" t="str">
        <f>IF(B2080="SEPLAG",VLOOKUP(COMPOSIÇÕES!C2080,'MAPA COMPARATIVO'!A:B,2,FALSE),VLOOKUP(C2080,'NAO DESO'!A:B,2,0))</f>
        <v>BARRA ROSCADA DIAMETRO DE 5/16</v>
      </c>
      <c r="E2080" s="241" t="s">
        <v>40</v>
      </c>
      <c r="F2080" s="1186">
        <v>0.3</v>
      </c>
      <c r="G2080" s="242">
        <f>IF(B2080="SEPLAG",VLOOKUP(CONCATENATE("MEDIANA - ",C2080),COTAÇÃO,5,FALSE),VLOOKUP($C2080,'NAO DESO'!$A:$D,4,))</f>
        <v>9.9</v>
      </c>
      <c r="H2080" s="242">
        <f t="shared" si="156"/>
        <v>2.97</v>
      </c>
      <c r="I2080" s="54">
        <f>IF(B2080="SEPLAG",VLOOKUP(CONCATENATE("MEDIANA - ",C2080),COTAÇÃO,5,FALSE),VLOOKUP($C2080,DESON!$A:$D,4,))</f>
        <v>9.9</v>
      </c>
      <c r="J2080" s="209">
        <f t="shared" si="157"/>
        <v>2.97</v>
      </c>
    </row>
    <row r="2081" spans="1:10" ht="15" customHeight="1">
      <c r="A2081" s="208" t="s">
        <v>39</v>
      </c>
      <c r="B2081" s="241" t="s">
        <v>14504</v>
      </c>
      <c r="C2081" s="249" t="s">
        <v>14500</v>
      </c>
      <c r="D2081" s="161" t="str">
        <f>IF(B2081="SEPLAG",VLOOKUP(COMPOSIÇÕES!C2081,'MAPA COMPARATIVO'!A:B,2,FALSE),VLOOKUP(C2081,'NAO DESO'!A:B,2,0))</f>
        <v>PORCA DE AÇO PARA PARAFUSO 5/16</v>
      </c>
      <c r="E2081" s="241" t="s">
        <v>24</v>
      </c>
      <c r="F2081" s="1186">
        <v>4</v>
      </c>
      <c r="G2081" s="242">
        <f>IF(B2081="SEPLAG",VLOOKUP(CONCATENATE("MEDIANA - ",C2081),COTAÇÃO,5,FALSE),VLOOKUP($C2081,'NAO DESO'!$A:$D,4,))</f>
        <v>0.31</v>
      </c>
      <c r="H2081" s="242">
        <f t="shared" si="156"/>
        <v>1.24</v>
      </c>
      <c r="I2081" s="54">
        <f>IF(B2081="SEPLAG",VLOOKUP(CONCATENATE("MEDIANA - ",C2081),COTAÇÃO,5,FALSE),VLOOKUP($C2081,DESON!$A:$D,4,))</f>
        <v>0.31</v>
      </c>
      <c r="J2081" s="209">
        <f t="shared" si="157"/>
        <v>1.24</v>
      </c>
    </row>
    <row r="2082" spans="1:10" ht="15" customHeight="1">
      <c r="A2082" s="208" t="s">
        <v>39</v>
      </c>
      <c r="B2082" s="241" t="s">
        <v>14504</v>
      </c>
      <c r="C2082" s="249" t="s">
        <v>14501</v>
      </c>
      <c r="D2082" s="161" t="str">
        <f>IF(B2082="SEPLAG",VLOOKUP(COMPOSIÇÕES!C2082,'MAPA COMPARATIVO'!A:B,2,FALSE),VLOOKUP(C2082,'NAO DESO'!A:B,2,0))</f>
        <v>ARRUELA DE AÇO PARA PARAFUSO 5/16</v>
      </c>
      <c r="E2082" s="241" t="s">
        <v>24</v>
      </c>
      <c r="F2082" s="1186">
        <v>4</v>
      </c>
      <c r="G2082" s="242">
        <f>IF(B2082="SEPLAG",VLOOKUP(CONCATENATE("MEDIANA - ",C2082),COTAÇÃO,5,FALSE),VLOOKUP($C2082,'NAO DESO'!$A:$D,4,))</f>
        <v>0.31</v>
      </c>
      <c r="H2082" s="242">
        <f t="shared" si="156"/>
        <v>1.24</v>
      </c>
      <c r="I2082" s="54">
        <f>IF(B2082="SEPLAG",VLOOKUP(CONCATENATE("MEDIANA - ",C2082),COTAÇÃO,5,FALSE),VLOOKUP($C2082,DESON!$A:$D,4,))</f>
        <v>0.31</v>
      </c>
      <c r="J2082" s="209">
        <f t="shared" si="157"/>
        <v>1.24</v>
      </c>
    </row>
    <row r="2083" spans="1:10" ht="15" customHeight="1">
      <c r="A2083" s="208" t="s">
        <v>39</v>
      </c>
      <c r="B2083" s="241" t="s">
        <v>14504</v>
      </c>
      <c r="C2083" s="249" t="s">
        <v>14498</v>
      </c>
      <c r="D2083" s="161" t="str">
        <f>IF(B2083="SEPLAG",VLOOKUP(COMPOSIÇÕES!C2083,'MAPA COMPARATIVO'!A:B,2,FALSE),VLOOKUP(C2083,'NAO DESO'!A:B,2,0))</f>
        <v>CHAPA DE AÇO EXPANDIDA 1200X3000 3MM</v>
      </c>
      <c r="E2083" s="241" t="s">
        <v>8</v>
      </c>
      <c r="F2083" s="1186">
        <f>0.5*1</f>
        <v>0.5</v>
      </c>
      <c r="G2083" s="242">
        <f>IF(B2083="SEPLAG",VLOOKUP(CONCATENATE("MEDIANA - ",C2083),COTAÇÃO,5,FALSE),VLOOKUP($C2083,'NAO DESO'!$A:$D,4,))</f>
        <v>90.975000000000009</v>
      </c>
      <c r="H2083" s="242">
        <f t="shared" si="156"/>
        <v>45.48</v>
      </c>
      <c r="I2083" s="54">
        <f>IF(B2083="SEPLAG",VLOOKUP(CONCATENATE("MEDIANA - ",C2083),COTAÇÃO,5,FALSE),VLOOKUP($C2083,DESON!$A:$D,4,))</f>
        <v>90.975000000000009</v>
      </c>
      <c r="J2083" s="209">
        <f t="shared" si="157"/>
        <v>45.48</v>
      </c>
    </row>
    <row r="2084" spans="1:10" ht="15" customHeight="1">
      <c r="A2084" s="210" t="str">
        <f>CONCATENATE("TOTAL DO ITEM NÃO DESON. - ",C2069)</f>
        <v>TOTAL DO ITEM NÃO DESON. - SEPLAG ARQ 130</v>
      </c>
      <c r="B2084" s="424"/>
      <c r="C2084" s="424"/>
      <c r="D2084" s="424"/>
      <c r="E2084" s="424"/>
      <c r="F2084" s="425"/>
      <c r="G2084" s="426"/>
      <c r="H2084" s="1189">
        <f>SUM(H2072:H2083)</f>
        <v>183.55</v>
      </c>
      <c r="I2084" s="214"/>
      <c r="J2084" s="215"/>
    </row>
    <row r="2085" spans="1:10" ht="15.75" customHeight="1" thickBot="1">
      <c r="A2085" s="216" t="str">
        <f>CONCATENATE("TOTAL DO ITEM DESON. - ",C2069)</f>
        <v>TOTAL DO ITEM DESON. - SEPLAG ARQ 130</v>
      </c>
      <c r="B2085" s="427"/>
      <c r="C2085" s="427"/>
      <c r="D2085" s="427"/>
      <c r="E2085" s="427"/>
      <c r="F2085" s="428"/>
      <c r="G2085" s="429"/>
      <c r="H2085" s="1190"/>
      <c r="I2085" s="229"/>
      <c r="J2085" s="219">
        <f>SUM(J2072:J2083)</f>
        <v>179.85000000000002</v>
      </c>
    </row>
    <row r="2086" spans="1:10" ht="15" customHeight="1" thickBot="1">
      <c r="A2086" s="235"/>
      <c r="B2086" s="1135"/>
      <c r="C2086" s="1135"/>
      <c r="D2086" s="1135"/>
      <c r="E2086" s="1135"/>
      <c r="F2086" s="1188"/>
      <c r="G2086" s="1188"/>
      <c r="H2086" s="1188"/>
      <c r="I2086" s="236"/>
      <c r="J2086" s="237"/>
    </row>
    <row r="2087" spans="1:10" ht="36.75" customHeight="1">
      <c r="A2087" s="230"/>
      <c r="B2087" s="1152"/>
      <c r="C2087" s="1176" t="s">
        <v>13245</v>
      </c>
      <c r="D2087" s="152" t="s">
        <v>13246</v>
      </c>
      <c r="E2087" s="1176" t="s">
        <v>24</v>
      </c>
      <c r="F2087" s="1177" t="s">
        <v>18</v>
      </c>
      <c r="G2087" s="1178" t="s">
        <v>7017</v>
      </c>
      <c r="H2087" s="1179"/>
      <c r="I2087" s="200" t="s">
        <v>7016</v>
      </c>
      <c r="J2087" s="201"/>
    </row>
    <row r="2088" spans="1:10" ht="11.25" customHeight="1">
      <c r="A2088" s="203"/>
      <c r="B2088" s="430"/>
      <c r="C2088" s="1155"/>
      <c r="D2088" s="158"/>
      <c r="E2088" s="1155"/>
      <c r="F2088" s="1180"/>
      <c r="G2088" s="1180" t="s">
        <v>19</v>
      </c>
      <c r="H2088" s="1180" t="s">
        <v>20</v>
      </c>
      <c r="I2088" s="205" t="s">
        <v>19</v>
      </c>
      <c r="J2088" s="206" t="s">
        <v>20</v>
      </c>
    </row>
    <row r="2089" spans="1:10" ht="15" customHeight="1">
      <c r="A2089" s="208" t="s">
        <v>39</v>
      </c>
      <c r="B2089" s="241" t="s">
        <v>14504</v>
      </c>
      <c r="C2089" s="241" t="s">
        <v>14286</v>
      </c>
      <c r="D2089" s="161" t="str">
        <f>IF(B2089="SEPLAG",VLOOKUP(COMPOSIÇÕES!C2089,'MAPA COMPARATIVO'!A:B,2,FALSE),VLOOKUP(C2089,'NAO DESO'!A:B,2,0))</f>
        <v>KIT PORTA PRONTA PRETA LISA SÓLIDA PORMADE.</v>
      </c>
      <c r="E2089" s="241" t="s">
        <v>256</v>
      </c>
      <c r="F2089" s="242">
        <v>1</v>
      </c>
      <c r="G2089" s="242">
        <f>IF(B2089="SEPLAG",VLOOKUP(CONCATENATE("MEDIANA - ",C2089),COTAÇÃO,5,FALSE),VLOOKUP($C2089,'NAO DESO'!$A:$D,4,))</f>
        <v>2534.3249999999998</v>
      </c>
      <c r="H2089" s="242">
        <f>TRUNC(F2089*G2089,2)</f>
        <v>2534.3200000000002</v>
      </c>
      <c r="I2089" s="54">
        <f>IF(B2089="SEPLAG",VLOOKUP(CONCATENATE("MEDIANA - ",C2089),COTAÇÃO,5,FALSE),VLOOKUP($C2089,DESON!$A:$D,4,))</f>
        <v>2534.3249999999998</v>
      </c>
      <c r="J2089" s="209">
        <f>TRUNC(F2089*I2089,2)</f>
        <v>2534.3200000000002</v>
      </c>
    </row>
    <row r="2090" spans="1:10" ht="15" customHeight="1">
      <c r="A2090" s="208" t="s">
        <v>245</v>
      </c>
      <c r="B2090" s="241"/>
      <c r="C2090" s="1181">
        <v>88309</v>
      </c>
      <c r="D2090" s="161" t="str">
        <f>IF(B2090="SEPLAG",VLOOKUP(COMPOSIÇÕES!C2090,'MAPA COMPARATIVO'!A:B,2,FALSE),VLOOKUP(C2090,'NAO DESO'!A:B,2,0))</f>
        <v>PEDREIRO COM ENCARGOS COMPLEMENTARES</v>
      </c>
      <c r="E2090" s="241" t="str">
        <f>VLOOKUP($C2090,'NAO DESO'!$A:$D,3,)</f>
        <v>H</v>
      </c>
      <c r="F2090" s="242">
        <v>0.38</v>
      </c>
      <c r="G2090" s="242" t="str">
        <f>IF(B2090="SEPLAG",VLOOKUP(CONCATENATE("MEDIANA - ",C2090),COTAÇÃO,5,FALSE),VLOOKUP($C2090,'NAO DESO'!$A:$D,4,))</f>
        <v>21,10</v>
      </c>
      <c r="H2090" s="242">
        <f>TRUNC(F2090*G2090,2)</f>
        <v>8.01</v>
      </c>
      <c r="I2090" s="54" t="str">
        <f>IF(B2090="SEPLAG",VLOOKUP(CONCATENATE("MEDIANA - ",C2090),COTAÇÃO,5,FALSE),VLOOKUP($C2090,DESON!$A:$D,4,))</f>
        <v>18,86</v>
      </c>
      <c r="J2090" s="209">
        <f>TRUNC(F2090*I2090,2)</f>
        <v>7.16</v>
      </c>
    </row>
    <row r="2091" spans="1:10" ht="15" customHeight="1">
      <c r="A2091" s="208" t="s">
        <v>245</v>
      </c>
      <c r="B2091" s="241"/>
      <c r="C2091" s="1181">
        <v>88316</v>
      </c>
      <c r="D2091" s="161" t="str">
        <f>IF(B2091="SEPLAG",VLOOKUP(COMPOSIÇÕES!C2091,'MAPA COMPARATIVO'!A:B,2,FALSE),VLOOKUP(C2091,'NAO DESO'!A:B,2,0))</f>
        <v>SERVENTE COM ENCARGOS COMPLEMENTARES</v>
      </c>
      <c r="E2091" s="241" t="str">
        <f>VLOOKUP($C2091,'NAO DESO'!$A:$D,3,)</f>
        <v>H</v>
      </c>
      <c r="F2091" s="242">
        <v>0.19</v>
      </c>
      <c r="G2091" s="242" t="str">
        <f>IF(B2091="SEPLAG",VLOOKUP(CONCATENATE("MEDIANA - ",C2091),COTAÇÃO,5,FALSE),VLOOKUP($C2091,'NAO DESO'!$A:$D,4,))</f>
        <v>16,83</v>
      </c>
      <c r="H2091" s="242">
        <f>TRUNC(F2091*G2091,2)</f>
        <v>3.19</v>
      </c>
      <c r="I2091" s="54" t="str">
        <f>IF(B2091="SEPLAG",VLOOKUP(CONCATENATE("MEDIANA - ",C2091),COTAÇÃO,5,FALSE),VLOOKUP($C2091,DESON!$A:$D,4,))</f>
        <v>15,16</v>
      </c>
      <c r="J2091" s="209">
        <f>TRUNC(F2091*I2091,2)</f>
        <v>2.88</v>
      </c>
    </row>
    <row r="2092" spans="1:10" ht="15" customHeight="1">
      <c r="A2092" s="210" t="str">
        <f>CONCATENATE("TOTAL DO ITEM NÃO DESON. - ",C2087)</f>
        <v>TOTAL DO ITEM NÃO DESON. - SEPLAG ARQ 131</v>
      </c>
      <c r="B2092" s="424"/>
      <c r="C2092" s="424"/>
      <c r="D2092" s="424"/>
      <c r="E2092" s="424"/>
      <c r="F2092" s="425"/>
      <c r="G2092" s="426"/>
      <c r="H2092" s="1182">
        <f>SUM(H2089:H2091)</f>
        <v>2545.5200000000004</v>
      </c>
      <c r="I2092" s="214"/>
      <c r="J2092" s="215"/>
    </row>
    <row r="2093" spans="1:10" ht="15.75" customHeight="1" thickBot="1">
      <c r="A2093" s="216" t="str">
        <f>CONCATENATE("TOTAL DO ITEM DESON. - ",C2087)</f>
        <v>TOTAL DO ITEM DESON. - SEPLAG ARQ 131</v>
      </c>
      <c r="B2093" s="427"/>
      <c r="C2093" s="427"/>
      <c r="D2093" s="427"/>
      <c r="E2093" s="427"/>
      <c r="F2093" s="428"/>
      <c r="G2093" s="429"/>
      <c r="H2093" s="1187"/>
      <c r="I2093" s="229"/>
      <c r="J2093" s="219">
        <f>SUM(J2089:J2091)</f>
        <v>2544.36</v>
      </c>
    </row>
    <row r="2094" spans="1:10" ht="15" customHeight="1" thickBot="1">
      <c r="A2094" s="235"/>
      <c r="B2094" s="1135"/>
      <c r="C2094" s="1135"/>
      <c r="D2094" s="1135"/>
      <c r="E2094" s="1135"/>
      <c r="F2094" s="1188"/>
      <c r="G2094" s="1188"/>
      <c r="H2094" s="1188"/>
      <c r="I2094" s="236"/>
      <c r="J2094" s="237"/>
    </row>
    <row r="2095" spans="1:10" ht="26.25" customHeight="1">
      <c r="A2095" s="198"/>
      <c r="B2095" s="1175"/>
      <c r="C2095" s="1176" t="s">
        <v>13247</v>
      </c>
      <c r="D2095" s="156" t="s">
        <v>13261</v>
      </c>
      <c r="E2095" s="1176" t="s">
        <v>24</v>
      </c>
      <c r="F2095" s="1177" t="s">
        <v>18</v>
      </c>
      <c r="G2095" s="1178" t="s">
        <v>7017</v>
      </c>
      <c r="H2095" s="1179"/>
      <c r="I2095" s="200" t="s">
        <v>7016</v>
      </c>
      <c r="J2095" s="201"/>
    </row>
    <row r="2096" spans="1:10" ht="15" customHeight="1">
      <c r="A2096" s="233"/>
      <c r="B2096" s="247"/>
      <c r="C2096" s="1155"/>
      <c r="D2096" s="157"/>
      <c r="E2096" s="1155"/>
      <c r="F2096" s="1180"/>
      <c r="G2096" s="1180" t="s">
        <v>19</v>
      </c>
      <c r="H2096" s="1180" t="s">
        <v>20</v>
      </c>
      <c r="I2096" s="205" t="s">
        <v>19</v>
      </c>
      <c r="J2096" s="206" t="s">
        <v>20</v>
      </c>
    </row>
    <row r="2097" spans="1:10" ht="25.5" customHeight="1">
      <c r="A2097" s="208"/>
      <c r="B2097" s="241"/>
      <c r="C2097" s="241" t="s">
        <v>180</v>
      </c>
      <c r="D2097" s="1132" t="s">
        <v>242</v>
      </c>
      <c r="E2097" s="247"/>
      <c r="F2097" s="248"/>
      <c r="G2097" s="248"/>
      <c r="H2097" s="248"/>
      <c r="I2097" s="214"/>
      <c r="J2097" s="227"/>
    </row>
    <row r="2098" spans="1:10" ht="51.75" customHeight="1">
      <c r="A2098" s="208" t="s">
        <v>39</v>
      </c>
      <c r="B2098" s="241"/>
      <c r="C2098" s="1181">
        <v>3104</v>
      </c>
      <c r="D2098" s="161" t="str">
        <f>IF(B2098="SEPLAG",VLOOKUP(COMPOSIÇÕES!C2098,'MAPA COMPARATIVO'!A:B,2,FALSE),VLOOKUP(C2098,'NAO DESO'!A:B,2,0))</f>
        <v>CONJ. DE FERRAGENS PARA PORTA DE VIDRO TEMPERADO, EM ZAMAC CROMADO, CONTEMPLANDO DOBRADICA INF., DOBRADICA SUP., PIVO PARA DOBRADICA INF., PIVO PARA DOBRADICA SUP., FECHADURA CENTRAL EM ZAMC. CROMADO, CONTRA FECHADURA DE PRESSAO</v>
      </c>
      <c r="E2098" s="241" t="str">
        <f>VLOOKUP($C2098,'NAO DESO'!$A:$D,3,)</f>
        <v xml:space="preserve">CJ    </v>
      </c>
      <c r="F2098" s="242">
        <v>1</v>
      </c>
      <c r="G2098" s="242">
        <f>IF(B2098="SEPLAG",VLOOKUP(CONCATENATE("MEDIANA - ",C2098),COTAÇÃO,5,FALSE),VLOOKUP($C2098,'NAO DESO'!$A:$D,4,))</f>
        <v>142.9</v>
      </c>
      <c r="H2098" s="242">
        <f>TRUNC(F2098*G2098,2)</f>
        <v>142.9</v>
      </c>
      <c r="I2098" s="54" t="str">
        <f>IF(B2098="SEPLAG",VLOOKUP(CONCATENATE("MEDIANA - ",C2098),COTAÇÃO,5,FALSE),VLOOKUP($C2098,DESON!$A:$D,4,))</f>
        <v>142,90</v>
      </c>
      <c r="J2098" s="209">
        <f>TRUNC(F2098*I2098,2)</f>
        <v>142.9</v>
      </c>
    </row>
    <row r="2099" spans="1:10" ht="26.25" customHeight="1">
      <c r="A2099" s="208" t="s">
        <v>39</v>
      </c>
      <c r="B2099" s="241"/>
      <c r="C2099" s="1181">
        <v>5031</v>
      </c>
      <c r="D2099" s="161" t="str">
        <f>IF(B2099="SEPLAG",VLOOKUP(COMPOSIÇÕES!C2099,'MAPA COMPARATIVO'!A:B,2,FALSE),VLOOKUP(C2099,'NAO DESO'!A:B,2,0))</f>
        <v>VIDRO TEMPERADO INCOLOR PARA PORTA DE ABRIR, E = 10 MM (SEM FERRAGENS E SEM COLOCACAO)</v>
      </c>
      <c r="E2099" s="241" t="str">
        <f>VLOOKUP($C2099,'NAO DESO'!$A:$D,3,)</f>
        <v xml:space="preserve">M2    </v>
      </c>
      <c r="F2099" s="242">
        <f>0.9*2.1</f>
        <v>1.8900000000000001</v>
      </c>
      <c r="G2099" s="242">
        <f>IF(B2099="SEPLAG",VLOOKUP(CONCATENATE("MEDIANA - ",C2099),COTAÇÃO,5,FALSE),VLOOKUP($C2099,'NAO DESO'!$A:$D,4,))</f>
        <v>500</v>
      </c>
      <c r="H2099" s="242">
        <f>TRUNC(F2099*G2099,2)</f>
        <v>945</v>
      </c>
      <c r="I2099" s="54" t="str">
        <f>IF(B2099="SEPLAG",VLOOKUP(CONCATENATE("MEDIANA - ",C2099),COTAÇÃO,5,FALSE),VLOOKUP($C2099,DESON!$A:$D,4,))</f>
        <v>500,00</v>
      </c>
      <c r="J2099" s="209">
        <f>TRUNC(F2099*I2099,2)</f>
        <v>945</v>
      </c>
    </row>
    <row r="2100" spans="1:10" ht="15" customHeight="1">
      <c r="A2100" s="208" t="s">
        <v>245</v>
      </c>
      <c r="B2100" s="241"/>
      <c r="C2100" s="1181">
        <v>88316</v>
      </c>
      <c r="D2100" s="161" t="str">
        <f>IF(B2100="SEPLAG",VLOOKUP(COMPOSIÇÕES!C2100,'MAPA COMPARATIVO'!A:B,2,FALSE),VLOOKUP(C2100,'NAO DESO'!A:B,2,0))</f>
        <v>SERVENTE COM ENCARGOS COMPLEMENTARES</v>
      </c>
      <c r="E2100" s="241" t="str">
        <f>VLOOKUP($C2100,'NAO DESO'!$A:$D,3,)</f>
        <v>H</v>
      </c>
      <c r="F2100" s="242">
        <v>1.99</v>
      </c>
      <c r="G2100" s="242" t="str">
        <f>IF(B2100="SEPLAG",VLOOKUP(CONCATENATE("MEDIANA - ",C2100),COTAÇÃO,5,FALSE),VLOOKUP($C2100,'NAO DESO'!$A:$D,4,))</f>
        <v>16,83</v>
      </c>
      <c r="H2100" s="242">
        <f>TRUNC(F2100*G2100,2)</f>
        <v>33.49</v>
      </c>
      <c r="I2100" s="54" t="str">
        <f>IF(B2100="SEPLAG",VLOOKUP(CONCATENATE("MEDIANA - ",C2100),COTAÇÃO,5,FALSE),VLOOKUP($C2100,DESON!$A:$D,4,))</f>
        <v>15,16</v>
      </c>
      <c r="J2100" s="209">
        <f>TRUNC(F2100*I2100,2)</f>
        <v>30.16</v>
      </c>
    </row>
    <row r="2101" spans="1:10" ht="15" customHeight="1">
      <c r="A2101" s="208" t="s">
        <v>245</v>
      </c>
      <c r="B2101" s="241"/>
      <c r="C2101" s="1181">
        <v>88325</v>
      </c>
      <c r="D2101" s="161" t="str">
        <f>IF(B2101="SEPLAG",VLOOKUP(COMPOSIÇÕES!C2101,'MAPA COMPARATIVO'!A:B,2,FALSE),VLOOKUP(C2101,'NAO DESO'!A:B,2,0))</f>
        <v>VIDRACEIRO COM ENCARGOS COMPLEMENTARES</v>
      </c>
      <c r="E2101" s="241" t="str">
        <f>VLOOKUP($C2101,'NAO DESO'!$A:$D,3,)</f>
        <v>H</v>
      </c>
      <c r="F2101" s="242">
        <v>2.0499999999999998</v>
      </c>
      <c r="G2101" s="242" t="str">
        <f>IF(B2101="SEPLAG",VLOOKUP(CONCATENATE("MEDIANA - ",C2101),COTAÇÃO,5,FALSE),VLOOKUP($C2101,'NAO DESO'!$A:$D,4,))</f>
        <v>18,78</v>
      </c>
      <c r="H2101" s="242">
        <f>TRUNC(F2101*G2101,2)</f>
        <v>38.49</v>
      </c>
      <c r="I2101" s="54" t="str">
        <f>IF(B2101="SEPLAG",VLOOKUP(CONCATENATE("MEDIANA - ",C2101),COTAÇÃO,5,FALSE),VLOOKUP($C2101,DESON!$A:$D,4,))</f>
        <v>16,86</v>
      </c>
      <c r="J2101" s="209">
        <f>TRUNC(F2101*I2101,2)</f>
        <v>34.56</v>
      </c>
    </row>
    <row r="2102" spans="1:10" ht="15" customHeight="1">
      <c r="A2102" s="210" t="str">
        <f>CONCATENATE("TOTAL DO ITEM NÃO DESON. - ",C2095)</f>
        <v>TOTAL DO ITEM NÃO DESON. - SEPLAG ARQ 132</v>
      </c>
      <c r="B2102" s="424"/>
      <c r="C2102" s="424"/>
      <c r="D2102" s="424"/>
      <c r="E2102" s="424"/>
      <c r="F2102" s="425"/>
      <c r="G2102" s="426"/>
      <c r="H2102" s="1182">
        <f>SUM(H2098:H2101)</f>
        <v>1159.8800000000001</v>
      </c>
      <c r="I2102" s="214"/>
      <c r="J2102" s="215"/>
    </row>
    <row r="2103" spans="1:10" ht="15.75" customHeight="1" thickBot="1">
      <c r="A2103" s="216" t="str">
        <f>CONCATENATE("TOTAL DO ITEM DESON. - ",C2095)</f>
        <v>TOTAL DO ITEM DESON. - SEPLAG ARQ 132</v>
      </c>
      <c r="B2103" s="427"/>
      <c r="C2103" s="427"/>
      <c r="D2103" s="427"/>
      <c r="E2103" s="427"/>
      <c r="F2103" s="428"/>
      <c r="G2103" s="429"/>
      <c r="H2103" s="1187"/>
      <c r="I2103" s="260"/>
      <c r="J2103" s="219">
        <f>SUM(J2098:J2101)</f>
        <v>1152.6200000000001</v>
      </c>
    </row>
    <row r="2104" spans="1:10" ht="15" customHeight="1" thickBot="1">
      <c r="A2104" s="235"/>
      <c r="B2104" s="1135"/>
      <c r="C2104" s="1135"/>
      <c r="D2104" s="1135"/>
      <c r="E2104" s="1135"/>
      <c r="F2104" s="1188"/>
      <c r="G2104" s="1188"/>
      <c r="H2104" s="1188"/>
      <c r="I2104" s="236"/>
      <c r="J2104" s="236"/>
    </row>
    <row r="2105" spans="1:10" ht="45" customHeight="1">
      <c r="A2105" s="230"/>
      <c r="B2105" s="1152"/>
      <c r="C2105" s="1176" t="s">
        <v>13249</v>
      </c>
      <c r="D2105" s="152" t="s">
        <v>13248</v>
      </c>
      <c r="E2105" s="1176" t="s">
        <v>24</v>
      </c>
      <c r="F2105" s="1177" t="s">
        <v>18</v>
      </c>
      <c r="G2105" s="1178" t="s">
        <v>7017</v>
      </c>
      <c r="H2105" s="1179"/>
      <c r="I2105" s="200" t="s">
        <v>7016</v>
      </c>
      <c r="J2105" s="201"/>
    </row>
    <row r="2106" spans="1:10" ht="15.75" customHeight="1">
      <c r="A2106" s="203"/>
      <c r="B2106" s="430"/>
      <c r="C2106" s="1155"/>
      <c r="D2106" s="158"/>
      <c r="E2106" s="1155"/>
      <c r="F2106" s="1180"/>
      <c r="G2106" s="1180" t="s">
        <v>19</v>
      </c>
      <c r="H2106" s="1180" t="s">
        <v>20</v>
      </c>
      <c r="I2106" s="205" t="s">
        <v>19</v>
      </c>
      <c r="J2106" s="206" t="s">
        <v>20</v>
      </c>
    </row>
    <row r="2107" spans="1:10" ht="15" customHeight="1">
      <c r="A2107" s="208" t="s">
        <v>39</v>
      </c>
      <c r="B2107" s="241" t="s">
        <v>14504</v>
      </c>
      <c r="C2107" s="241" t="s">
        <v>14286</v>
      </c>
      <c r="D2107" s="161" t="str">
        <f>IF(B2107="SEPLAG",VLOOKUP(COMPOSIÇÕES!C2107,'MAPA COMPARATIVO'!A:B,2,FALSE),VLOOKUP(C2107,'NAO DESO'!A:B,2,0))</f>
        <v>KIT PORTA PRONTA PRETA LISA SÓLIDA PORMADE.</v>
      </c>
      <c r="E2107" s="241" t="s">
        <v>256</v>
      </c>
      <c r="F2107" s="242">
        <v>1</v>
      </c>
      <c r="G2107" s="242">
        <f>IF(B2107="SEPLAG",VLOOKUP(CONCATENATE("MEDIANA - ",C2107),COTAÇÃO,5,FALSE),VLOOKUP($C2107,'NAO DESO'!$A:$D,4,))</f>
        <v>2534.3249999999998</v>
      </c>
      <c r="H2107" s="242">
        <f>TRUNC(F2107*G2107,2)</f>
        <v>2534.3200000000002</v>
      </c>
      <c r="I2107" s="54">
        <f>IF(B2107="SEPLAG",VLOOKUP(CONCATENATE("MEDIANA - ",C2107),COTAÇÃO,5,FALSE),VLOOKUP($C2107,DESON!$A:$D,4,))</f>
        <v>2534.3249999999998</v>
      </c>
      <c r="J2107" s="209">
        <f>TRUNC(F2107*I2107,2)</f>
        <v>2534.3200000000002</v>
      </c>
    </row>
    <row r="2108" spans="1:10" ht="15" customHeight="1">
      <c r="A2108" s="208" t="s">
        <v>245</v>
      </c>
      <c r="B2108" s="241"/>
      <c r="C2108" s="1181">
        <v>1214</v>
      </c>
      <c r="D2108" s="161" t="str">
        <f>IF(B2108="SEPLAG",VLOOKUP(COMPOSIÇÕES!C2108,'MAPA COMPARATIVO'!A:B,2,FALSE),VLOOKUP(C2108,'NAO DESO'!A:B,2,0))</f>
        <v>CARPINTEIRO DE ESQUADRIAS (HORISTA)</v>
      </c>
      <c r="E2108" s="241" t="str">
        <f>VLOOKUP($C2108,'NAO DESO'!$A:$D,3,)</f>
        <v xml:space="preserve">H     </v>
      </c>
      <c r="F2108" s="242">
        <v>1</v>
      </c>
      <c r="G2108" s="242">
        <f>IF(B2108="SEPLAG",VLOOKUP(CONCATENATE("MEDIANA - ",C2108),COTAÇÃO,5,FALSE),VLOOKUP($C2108,'NAO DESO'!$A:$D,4,))</f>
        <v>14.99</v>
      </c>
      <c r="H2108" s="242">
        <f>TRUNC(F2108*G2108,2)</f>
        <v>14.99</v>
      </c>
      <c r="I2108" s="54" t="str">
        <f>IF(B2108="SEPLAG",VLOOKUP(CONCATENATE("MEDIANA - ",C2108),COTAÇÃO,5,FALSE),VLOOKUP($C2108,DESON!$A:$D,4,))</f>
        <v>12,91</v>
      </c>
      <c r="J2108" s="209">
        <f>TRUNC(F2108*I2108,2)</f>
        <v>12.91</v>
      </c>
    </row>
    <row r="2109" spans="1:10" ht="15" customHeight="1">
      <c r="A2109" s="208" t="s">
        <v>245</v>
      </c>
      <c r="B2109" s="241"/>
      <c r="C2109" s="1181">
        <v>88316</v>
      </c>
      <c r="D2109" s="161" t="str">
        <f>IF(B2109="SEPLAG",VLOOKUP(COMPOSIÇÕES!C2109,'MAPA COMPARATIVO'!A:B,2,FALSE),VLOOKUP(C2109,'NAO DESO'!A:B,2,0))</f>
        <v>SERVENTE COM ENCARGOS COMPLEMENTARES</v>
      </c>
      <c r="E2109" s="241" t="str">
        <f>VLOOKUP($C2109,'NAO DESO'!$A:$D,3,)</f>
        <v>H</v>
      </c>
      <c r="F2109" s="242">
        <v>0.19</v>
      </c>
      <c r="G2109" s="242" t="str">
        <f>IF(B2109="SEPLAG",VLOOKUP(CONCATENATE("MEDIANA - ",C2109),COTAÇÃO,5,FALSE),VLOOKUP($C2109,'NAO DESO'!$A:$D,4,))</f>
        <v>16,83</v>
      </c>
      <c r="H2109" s="242">
        <f>TRUNC(F2109*G2109,2)</f>
        <v>3.19</v>
      </c>
      <c r="I2109" s="54" t="str">
        <f>IF(B2109="SEPLAG",VLOOKUP(CONCATENATE("MEDIANA - ",C2109),COTAÇÃO,5,FALSE),VLOOKUP($C2109,DESON!$A:$D,4,))</f>
        <v>15,16</v>
      </c>
      <c r="J2109" s="209">
        <f>TRUNC(F2109*I2109,2)</f>
        <v>2.88</v>
      </c>
    </row>
    <row r="2110" spans="1:10" ht="26.25" customHeight="1">
      <c r="A2110" s="208" t="s">
        <v>39</v>
      </c>
      <c r="B2110" s="241"/>
      <c r="C2110" s="1181">
        <v>11581</v>
      </c>
      <c r="D2110" s="161" t="str">
        <f>IF(B2110="SEPLAG",VLOOKUP(COMPOSIÇÕES!C2110,'MAPA COMPARATIVO'!A:B,2,FALSE),VLOOKUP(C2110,'NAO DESO'!A:B,2,0))</f>
        <v>TRILHO PANTOGRAFICO CONCAVO, TIPO U, EM ALUMINIO, COM DIMENSOES DE APROX *35 X 35* MM, PARA ROLDANA DE PORTA DE CORRER</v>
      </c>
      <c r="E2110" s="241" t="str">
        <f>VLOOKUP($C2110,'NAO DESO'!$A:$D,3,)</f>
        <v xml:space="preserve">M     </v>
      </c>
      <c r="F2110" s="1186">
        <v>1.19</v>
      </c>
      <c r="G2110" s="242">
        <f>IF(B2110="SEPLAG",VLOOKUP(CONCATENATE("MEDIANA - ",C2110),COTAÇÃO,5,FALSE),VLOOKUP($C2110,'NAO DESO'!$A:$D,4,))</f>
        <v>22.08</v>
      </c>
      <c r="H2110" s="242">
        <f>TRUNC(F2110*G2110,2)</f>
        <v>26.27</v>
      </c>
      <c r="I2110" s="54" t="str">
        <f>IF(B2110="SEPLAG",VLOOKUP(CONCATENATE("MEDIANA - ",C2110),COTAÇÃO,5,FALSE),VLOOKUP($C2110,DESON!$A:$D,4,))</f>
        <v>22,08</v>
      </c>
      <c r="J2110" s="209">
        <f>TRUNC(F2110*I2110,2)</f>
        <v>26.27</v>
      </c>
    </row>
    <row r="2111" spans="1:10" ht="26.25" customHeight="1">
      <c r="A2111" s="208" t="s">
        <v>39</v>
      </c>
      <c r="B2111" s="241"/>
      <c r="C2111" s="1181">
        <v>11575</v>
      </c>
      <c r="D2111" s="161" t="str">
        <f>IF(B2111="SEPLAG",VLOOKUP(COMPOSIÇÕES!C2111,'MAPA COMPARATIVO'!A:B,2,FALSE),VLOOKUP(C2111,'NAO DESO'!A:B,2,0))</f>
        <v>ROLDANA CONCAVA DUPLA, 4 RODAS, EM ZAMAC COM CHAPA DE LATAO, ROLAMENTOS EM ACO, PARA PORTAS E JANELAS DE CORRER</v>
      </c>
      <c r="E2111" s="241" t="str">
        <f>VLOOKUP($C2111,'NAO DESO'!$A:$D,3,)</f>
        <v xml:space="preserve">UN    </v>
      </c>
      <c r="F2111" s="1186">
        <v>1</v>
      </c>
      <c r="G2111" s="242">
        <f>IF(B2111="SEPLAG",VLOOKUP(CONCATENATE("MEDIANA - ",C2111),COTAÇÃO,5,FALSE),VLOOKUP($C2111,'NAO DESO'!$A:$D,4,))</f>
        <v>60.19</v>
      </c>
      <c r="H2111" s="242">
        <f>TRUNC(F2111*G2111,2)</f>
        <v>60.19</v>
      </c>
      <c r="I2111" s="54" t="str">
        <f>IF(B2111="SEPLAG",VLOOKUP(CONCATENATE("MEDIANA - ",C2111),COTAÇÃO,5,FALSE),VLOOKUP($C2111,DESON!$A:$D,4,))</f>
        <v>60,19</v>
      </c>
      <c r="J2111" s="209">
        <f>TRUNC(F2111*I2111,2)</f>
        <v>60.19</v>
      </c>
    </row>
    <row r="2112" spans="1:10" ht="15" customHeight="1">
      <c r="A2112" s="210" t="str">
        <f>CONCATENATE("TOTAL DO ITEM NÃO DESON. - ",C2105)</f>
        <v>TOTAL DO ITEM NÃO DESON. - SEPLAG ARQ 133</v>
      </c>
      <c r="B2112" s="424"/>
      <c r="C2112" s="424"/>
      <c r="D2112" s="424"/>
      <c r="E2112" s="424"/>
      <c r="F2112" s="425"/>
      <c r="G2112" s="426"/>
      <c r="H2112" s="1182">
        <f>SUM(H2107:H2111)</f>
        <v>2638.96</v>
      </c>
      <c r="I2112" s="214"/>
      <c r="J2112" s="215"/>
    </row>
    <row r="2113" spans="1:10" ht="15.75" customHeight="1" thickBot="1">
      <c r="A2113" s="216" t="str">
        <f>CONCATENATE("TOTAL DO ITEM DESON. - ",C2105)</f>
        <v>TOTAL DO ITEM DESON. - SEPLAG ARQ 133</v>
      </c>
      <c r="B2113" s="427"/>
      <c r="C2113" s="427"/>
      <c r="D2113" s="427"/>
      <c r="E2113" s="427"/>
      <c r="F2113" s="428"/>
      <c r="G2113" s="429"/>
      <c r="H2113" s="1187"/>
      <c r="I2113" s="229"/>
      <c r="J2113" s="219">
        <f>SUM(J2107:J2111)</f>
        <v>2636.57</v>
      </c>
    </row>
    <row r="2114" spans="1:10" ht="15" customHeight="1" thickBot="1">
      <c r="A2114" s="235"/>
      <c r="B2114" s="1135"/>
      <c r="C2114" s="1135"/>
      <c r="D2114" s="1135"/>
      <c r="E2114" s="1135"/>
      <c r="F2114" s="1188"/>
      <c r="G2114" s="1188"/>
      <c r="H2114" s="1188"/>
      <c r="I2114" s="236"/>
      <c r="J2114" s="237"/>
    </row>
    <row r="2115" spans="1:10" ht="28.5" customHeight="1">
      <c r="A2115" s="198"/>
      <c r="B2115" s="1175"/>
      <c r="C2115" s="1152" t="s">
        <v>13262</v>
      </c>
      <c r="D2115" s="152" t="s">
        <v>13263</v>
      </c>
      <c r="E2115" s="1176" t="s">
        <v>250</v>
      </c>
      <c r="F2115" s="1177" t="s">
        <v>18</v>
      </c>
      <c r="G2115" s="1178" t="s">
        <v>7017</v>
      </c>
      <c r="H2115" s="1179"/>
      <c r="I2115" s="200" t="s">
        <v>7016</v>
      </c>
      <c r="J2115" s="201"/>
    </row>
    <row r="2116" spans="1:10" ht="15" customHeight="1">
      <c r="A2116" s="233"/>
      <c r="B2116" s="247"/>
      <c r="C2116" s="430"/>
      <c r="D2116" s="158"/>
      <c r="E2116" s="1155"/>
      <c r="F2116" s="1180"/>
      <c r="G2116" s="1180" t="s">
        <v>19</v>
      </c>
      <c r="H2116" s="1180" t="s">
        <v>20</v>
      </c>
      <c r="I2116" s="205" t="s">
        <v>19</v>
      </c>
      <c r="J2116" s="206" t="s">
        <v>20</v>
      </c>
    </row>
    <row r="2117" spans="1:10" ht="15" customHeight="1">
      <c r="A2117" s="240"/>
      <c r="B2117" s="241"/>
      <c r="C2117" s="241"/>
      <c r="D2117" s="432" t="s">
        <v>13096</v>
      </c>
      <c r="E2117" s="241"/>
      <c r="F2117" s="242"/>
      <c r="G2117" s="242"/>
      <c r="H2117" s="242"/>
      <c r="I2117" s="242"/>
      <c r="J2117" s="243"/>
    </row>
    <row r="2118" spans="1:10" ht="15" customHeight="1">
      <c r="A2118" s="208" t="s">
        <v>245</v>
      </c>
      <c r="B2118" s="241"/>
      <c r="C2118" s="249">
        <v>88251</v>
      </c>
      <c r="D2118" s="161" t="str">
        <f>IF(B2118="SEPLAG",VLOOKUP(COMPOSIÇÕES!C2118,'MAPA COMPARATIVO'!A:B,2,FALSE),VLOOKUP(C2118,'NAO DESO'!A:B,2,0))</f>
        <v>AUXILIAR DE SERRALHEIRO COM ENCARGOS COMPLEMENTARES</v>
      </c>
      <c r="E2118" s="241" t="str">
        <f>VLOOKUP($C2118,'NAO DESO'!$A:$D,3,)</f>
        <v>H</v>
      </c>
      <c r="F2118" s="242">
        <v>1</v>
      </c>
      <c r="G2118" s="242" t="str">
        <f>IF(B2118="SEPLAG",VLOOKUP(CONCATENATE("MEDIANA - ",C2118),COTAÇÃO,5,FALSE),VLOOKUP($C2118,'NAO DESO'!$A:$D,4,))</f>
        <v>17,84</v>
      </c>
      <c r="H2118" s="242">
        <f>TRUNC(F2118*G2118,2)</f>
        <v>17.84</v>
      </c>
      <c r="I2118" s="54" t="str">
        <f>IF(B2118="SEPLAG",VLOOKUP(CONCATENATE("MEDIANA - ",C2118),COTAÇÃO,5,FALSE),VLOOKUP($C2118,DESON!$A:$D,4,))</f>
        <v>16,05</v>
      </c>
      <c r="J2118" s="209">
        <f>TRUNC(F2118*I2118,2)</f>
        <v>16.05</v>
      </c>
    </row>
    <row r="2119" spans="1:10" ht="15" customHeight="1">
      <c r="A2119" s="208" t="s">
        <v>245</v>
      </c>
      <c r="B2119" s="241"/>
      <c r="C2119" s="249">
        <v>88315</v>
      </c>
      <c r="D2119" s="161" t="str">
        <f>IF(B2119="SEPLAG",VLOOKUP(COMPOSIÇÕES!C2119,'MAPA COMPARATIVO'!A:B,2,FALSE),VLOOKUP(C2119,'NAO DESO'!A:B,2,0))</f>
        <v>SERRALHEIRO COM ENCARGOS COMPLEMENTARES</v>
      </c>
      <c r="E2119" s="241" t="str">
        <f>VLOOKUP($C2119,'NAO DESO'!$A:$D,3,)</f>
        <v>H</v>
      </c>
      <c r="F2119" s="242">
        <v>1</v>
      </c>
      <c r="G2119" s="242" t="str">
        <f>IF(B2119="SEPLAG",VLOOKUP(CONCATENATE("MEDIANA - ",C2119),COTAÇÃO,5,FALSE),VLOOKUP($C2119,'NAO DESO'!$A:$D,4,))</f>
        <v>20,97</v>
      </c>
      <c r="H2119" s="242">
        <f>TRUNC(F2119*G2119,2)</f>
        <v>20.97</v>
      </c>
      <c r="I2119" s="54" t="str">
        <f>IF(B2119="SEPLAG",VLOOKUP(CONCATENATE("MEDIANA - ",C2119),COTAÇÃO,5,FALSE),VLOOKUP($C2119,DESON!$A:$D,4,))</f>
        <v>18,75</v>
      </c>
      <c r="J2119" s="209">
        <f>TRUNC(F2119*I2119,2)</f>
        <v>18.75</v>
      </c>
    </row>
    <row r="2120" spans="1:10" ht="15" customHeight="1">
      <c r="A2120" s="208" t="s">
        <v>245</v>
      </c>
      <c r="B2120" s="241"/>
      <c r="C2120" s="249">
        <v>88317</v>
      </c>
      <c r="D2120" s="161" t="str">
        <f>IF(B2120="SEPLAG",VLOOKUP(COMPOSIÇÕES!C2120,'MAPA COMPARATIVO'!A:B,2,FALSE),VLOOKUP(C2120,'NAO DESO'!A:B,2,0))</f>
        <v>SOLDADOR COM ENCARGOS COMPLEMENTARES</v>
      </c>
      <c r="E2120" s="241" t="str">
        <f>VLOOKUP($C2120,'NAO DESO'!$A:$D,3,)</f>
        <v>H</v>
      </c>
      <c r="F2120" s="242">
        <v>1</v>
      </c>
      <c r="G2120" s="242" t="str">
        <f>IF(B2120="SEPLAG",VLOOKUP(CONCATENATE("MEDIANA - ",C2120),COTAÇÃO,5,FALSE),VLOOKUP($C2120,'NAO DESO'!$A:$D,4,))</f>
        <v>21,79</v>
      </c>
      <c r="H2120" s="242">
        <f>TRUNC(F2120*G2120,2)</f>
        <v>21.79</v>
      </c>
      <c r="I2120" s="54" t="str">
        <f>IF(B2120="SEPLAG",VLOOKUP(CONCATENATE("MEDIANA - ",C2120),COTAÇÃO,5,FALSE),VLOOKUP($C2120,DESON!$A:$D,4,))</f>
        <v>19,57</v>
      </c>
      <c r="J2120" s="209">
        <f>TRUNC(F2120*I2120,2)</f>
        <v>19.57</v>
      </c>
    </row>
    <row r="2121" spans="1:10" ht="15" customHeight="1">
      <c r="A2121" s="208"/>
      <c r="B2121" s="241"/>
      <c r="C2121" s="249"/>
      <c r="D2121" s="1132"/>
      <c r="E2121" s="241"/>
      <c r="F2121" s="242"/>
      <c r="G2121" s="242"/>
      <c r="H2121" s="242"/>
      <c r="I2121" s="214"/>
      <c r="J2121" s="209"/>
    </row>
    <row r="2122" spans="1:10" ht="15" customHeight="1">
      <c r="A2122" s="208"/>
      <c r="B2122" s="241"/>
      <c r="C2122" s="249"/>
      <c r="D2122" s="432" t="s">
        <v>13097</v>
      </c>
      <c r="E2122" s="241"/>
      <c r="F2122" s="242"/>
      <c r="G2122" s="242"/>
      <c r="H2122" s="242"/>
      <c r="I2122" s="214"/>
      <c r="J2122" s="209"/>
    </row>
    <row r="2123" spans="1:10" ht="15" customHeight="1">
      <c r="A2123" s="208" t="s">
        <v>39</v>
      </c>
      <c r="B2123" s="241"/>
      <c r="C2123" s="249">
        <v>10998</v>
      </c>
      <c r="D2123" s="161" t="str">
        <f>IF(B2123="SEPLAG",VLOOKUP(COMPOSIÇÕES!C2123,'MAPA COMPARATIVO'!A:B,2,FALSE),VLOOKUP(C2123,'NAO DESO'!A:B,2,0))</f>
        <v>ELETRODO REVESTIDO AWS - E-6010, DIAMETRO IGUAL A 4,00 MM</v>
      </c>
      <c r="E2123" s="241" t="str">
        <f>VLOOKUP($C2123,'NAO DESO'!$A:$D,3,)</f>
        <v xml:space="preserve">KG    </v>
      </c>
      <c r="F2123" s="1186">
        <v>0.2</v>
      </c>
      <c r="G2123" s="242">
        <f>IF(B2123="SEPLAG",VLOOKUP(CONCATENATE("MEDIANA - ",C2123),COTAÇÃO,5,FALSE),VLOOKUP($C2123,'NAO DESO'!$A:$D,4,))</f>
        <v>30.03</v>
      </c>
      <c r="H2123" s="242">
        <f>TRUNC(F2123*G2123,2)</f>
        <v>6</v>
      </c>
      <c r="I2123" s="54" t="str">
        <f>IF(B2123="SEPLAG",VLOOKUP(CONCATENATE("MEDIANA - ",C2123),COTAÇÃO,5,FALSE),VLOOKUP($C2123,DESON!$A:$D,4,))</f>
        <v>30,03</v>
      </c>
      <c r="J2123" s="209">
        <f>TRUNC(F2123*I2123,2)</f>
        <v>6</v>
      </c>
    </row>
    <row r="2124" spans="1:10" ht="38.25" customHeight="1">
      <c r="A2124" s="208" t="s">
        <v>39</v>
      </c>
      <c r="B2124" s="241"/>
      <c r="C2124" s="249">
        <v>10933</v>
      </c>
      <c r="D2124" s="161" t="str">
        <f>IF(B2124="SEPLAG",VLOOKUP(COMPOSIÇÕES!C2124,'MAPA COMPARATIVO'!A:B,2,FALSE),VLOOKUP(C2124,'NAO DESO'!A:B,2,0))</f>
        <v>TELA DE ARAME GALVANIZADA QUADRANGULAR / LOSANGULAR, FIO 2,77 MM (12 BWG), MALHA 10 X 10 CM, H = 2 M</v>
      </c>
      <c r="E2124" s="241" t="str">
        <f>VLOOKUP($C2124,'NAO DESO'!$A:$D,3,)</f>
        <v xml:space="preserve">M2    </v>
      </c>
      <c r="F2124" s="1186">
        <v>5</v>
      </c>
      <c r="G2124" s="242">
        <f>IF(B2124="SEPLAG",VLOOKUP(CONCATENATE("MEDIANA - ",C2124),COTAÇÃO,5,FALSE),VLOOKUP($C2124,'NAO DESO'!$A:$D,4,))</f>
        <v>23.58</v>
      </c>
      <c r="H2124" s="242">
        <f>TRUNC(F2124*G2124,2)</f>
        <v>117.9</v>
      </c>
      <c r="I2124" s="54" t="str">
        <f>IF(B2124="SEPLAG",VLOOKUP(CONCATENATE("MEDIANA - ",C2124),COTAÇÃO,5,FALSE),VLOOKUP($C2124,DESON!$A:$D,4,))</f>
        <v>23,58</v>
      </c>
      <c r="J2124" s="209">
        <f>TRUNC(F2124*I2124,2)</f>
        <v>117.9</v>
      </c>
    </row>
    <row r="2125" spans="1:10" ht="26.25" customHeight="1">
      <c r="A2125" s="208" t="s">
        <v>39</v>
      </c>
      <c r="B2125" s="241"/>
      <c r="C2125" s="249">
        <v>43130</v>
      </c>
      <c r="D2125" s="161" t="str">
        <f>IF(B2125="SEPLAG",VLOOKUP(COMPOSIÇÕES!C2125,'MAPA COMPARATIVO'!A:B,2,FALSE),VLOOKUP(C2125,'NAO DESO'!A:B,2,0))</f>
        <v>ARAME GALVANIZADO 12 BWG, D = 2,76 MM (0,048 KG/M) OU 14 BWG, D = 2,11 MM (0,026 KG/M)</v>
      </c>
      <c r="E2125" s="241" t="str">
        <f>VLOOKUP($C2125,'NAO DESO'!$A:$D,3,)</f>
        <v xml:space="preserve">KG    </v>
      </c>
      <c r="F2125" s="1186">
        <v>0.1</v>
      </c>
      <c r="G2125" s="242">
        <f>IF(B2125="SEPLAG",VLOOKUP(CONCATENATE("MEDIANA - ",C2125),COTAÇÃO,5,FALSE),VLOOKUP($C2125,'NAO DESO'!$A:$D,4,))</f>
        <v>20</v>
      </c>
      <c r="H2125" s="242">
        <f>TRUNC(F2125*G2125,2)</f>
        <v>2</v>
      </c>
      <c r="I2125" s="54" t="str">
        <f>IF(B2125="SEPLAG",VLOOKUP(CONCATENATE("MEDIANA - ",C2125),COTAÇÃO,5,FALSE),VLOOKUP($C2125,DESON!$A:$D,4,))</f>
        <v>20,00</v>
      </c>
      <c r="J2125" s="209">
        <f>TRUNC(F2125*I2125,2)</f>
        <v>2</v>
      </c>
    </row>
    <row r="2126" spans="1:10" ht="15" customHeight="1">
      <c r="A2126" s="208" t="s">
        <v>39</v>
      </c>
      <c r="B2126" s="241" t="s">
        <v>14504</v>
      </c>
      <c r="C2126" s="249" t="s">
        <v>14502</v>
      </c>
      <c r="D2126" s="161" t="str">
        <f>IF(B2126="SEPLAG",VLOOKUP(COMPOSIÇÕES!C2126,'MAPA COMPARATIVO'!A:B,2,FALSE),VLOOKUP(C2126,'NAO DESO'!A:B,2,0))</f>
        <v>TUBO RETANGULAR DE METALON 50,0X50,0X1,5mm</v>
      </c>
      <c r="E2126" s="241" t="s">
        <v>40</v>
      </c>
      <c r="F2126" s="1186">
        <v>0.3</v>
      </c>
      <c r="G2126" s="242">
        <f>IF(B2126="SEPLAG",VLOOKUP(CONCATENATE("MEDIANA - ",C2126),COTAÇÃO,5,FALSE),VLOOKUP($C2126,'NAO DESO'!$A:$D,4,))</f>
        <v>30.364999999999998</v>
      </c>
      <c r="H2126" s="242">
        <f>TRUNC(F2126*G2126,2)</f>
        <v>9.1</v>
      </c>
      <c r="I2126" s="54">
        <f>IF(B2126="SEPLAG",VLOOKUP(CONCATENATE("MEDIANA - ",C2126),COTAÇÃO,5,FALSE),VLOOKUP($C2126,DESON!$A:$D,4,))</f>
        <v>30.364999999999998</v>
      </c>
      <c r="J2126" s="209">
        <f>TRUNC(F2126*I2126,2)</f>
        <v>9.1</v>
      </c>
    </row>
    <row r="2127" spans="1:10" ht="15" customHeight="1">
      <c r="A2127" s="210" t="str">
        <f>CONCATENATE("TOTAL DO ITEM NÃO DESON. - ",C2115)</f>
        <v>TOTAL DO ITEM NÃO DESON. - SEPLAG ARQ 134</v>
      </c>
      <c r="B2127" s="424"/>
      <c r="C2127" s="424"/>
      <c r="D2127" s="424"/>
      <c r="E2127" s="424"/>
      <c r="F2127" s="425"/>
      <c r="G2127" s="426"/>
      <c r="H2127" s="1189">
        <f>SUM(H2118:H2126)</f>
        <v>195.6</v>
      </c>
      <c r="I2127" s="214"/>
      <c r="J2127" s="215"/>
    </row>
    <row r="2128" spans="1:10" ht="15.75" customHeight="1" thickBot="1">
      <c r="A2128" s="216" t="str">
        <f>CONCATENATE("TOTAL DO ITEM DESON. - ",C2115)</f>
        <v>TOTAL DO ITEM DESON. - SEPLAG ARQ 134</v>
      </c>
      <c r="B2128" s="427"/>
      <c r="C2128" s="427"/>
      <c r="D2128" s="427"/>
      <c r="E2128" s="427"/>
      <c r="F2128" s="428"/>
      <c r="G2128" s="429"/>
      <c r="H2128" s="1190"/>
      <c r="I2128" s="229"/>
      <c r="J2128" s="219">
        <f>SUM(J2118:J2126)</f>
        <v>189.37</v>
      </c>
    </row>
    <row r="2129" spans="1:10" ht="15" customHeight="1" thickBot="1">
      <c r="A2129" s="235"/>
      <c r="B2129" s="1135"/>
      <c r="C2129" s="1135"/>
      <c r="D2129" s="1135"/>
      <c r="E2129" s="1135"/>
      <c r="F2129" s="1188"/>
      <c r="G2129" s="1188"/>
      <c r="H2129" s="1188"/>
      <c r="I2129" s="236"/>
      <c r="J2129" s="237"/>
    </row>
    <row r="2130" spans="1:10" ht="25.5" customHeight="1">
      <c r="A2130" s="198"/>
      <c r="B2130" s="1175"/>
      <c r="C2130" s="1152" t="s">
        <v>13405</v>
      </c>
      <c r="D2130" s="152" t="s">
        <v>14631</v>
      </c>
      <c r="E2130" s="1176" t="s">
        <v>32</v>
      </c>
      <c r="F2130" s="1177" t="s">
        <v>18</v>
      </c>
      <c r="G2130" s="1178" t="s">
        <v>7017</v>
      </c>
      <c r="H2130" s="1179"/>
      <c r="I2130" s="200" t="s">
        <v>7016</v>
      </c>
      <c r="J2130" s="201"/>
    </row>
    <row r="2131" spans="1:10" ht="15" customHeight="1">
      <c r="A2131" s="233"/>
      <c r="B2131" s="247"/>
      <c r="C2131" s="430"/>
      <c r="D2131" s="158"/>
      <c r="E2131" s="1155"/>
      <c r="F2131" s="1180"/>
      <c r="G2131" s="1180" t="s">
        <v>19</v>
      </c>
      <c r="H2131" s="1180" t="s">
        <v>20</v>
      </c>
      <c r="I2131" s="205" t="s">
        <v>19</v>
      </c>
      <c r="J2131" s="206" t="s">
        <v>20</v>
      </c>
    </row>
    <row r="2132" spans="1:10" ht="15" customHeight="1">
      <c r="A2132" s="240"/>
      <c r="B2132" s="241"/>
      <c r="C2132" s="241"/>
      <c r="D2132" s="432" t="s">
        <v>13096</v>
      </c>
      <c r="E2132" s="241"/>
      <c r="F2132" s="242"/>
      <c r="G2132" s="242"/>
      <c r="H2132" s="242"/>
      <c r="I2132" s="242"/>
      <c r="J2132" s="243"/>
    </row>
    <row r="2133" spans="1:10" ht="15" customHeight="1">
      <c r="A2133" s="208" t="s">
        <v>245</v>
      </c>
      <c r="B2133" s="241"/>
      <c r="C2133" s="249">
        <v>88251</v>
      </c>
      <c r="D2133" s="161" t="str">
        <f>IF(B2133="SEPLAG",VLOOKUP(COMPOSIÇÕES!C2133,'MAPA COMPARATIVO'!A:B,2,FALSE),VLOOKUP(C2133,'NAO DESO'!A:B,2,0))</f>
        <v>AUXILIAR DE SERRALHEIRO COM ENCARGOS COMPLEMENTARES</v>
      </c>
      <c r="E2133" s="241" t="str">
        <f>VLOOKUP($C2133,'NAO DESO'!$A:$D,3,)</f>
        <v>H</v>
      </c>
      <c r="F2133" s="242">
        <v>1</v>
      </c>
      <c r="G2133" s="242" t="str">
        <f>IF(B2133="SEPLAG",VLOOKUP(CONCATENATE("MEDIANA - ",C2133),COTAÇÃO,5,FALSE),VLOOKUP($C2133,'NAO DESO'!$A:$D,4,))</f>
        <v>17,84</v>
      </c>
      <c r="H2133" s="242">
        <f>TRUNC(F2133*G2133,2)</f>
        <v>17.84</v>
      </c>
      <c r="I2133" s="54" t="str">
        <f>IF(B2133="SEPLAG",VLOOKUP(CONCATENATE("MEDIANA - ",C2133),COTAÇÃO,5,FALSE),VLOOKUP($C2133,DESON!$A:$D,4,))</f>
        <v>16,05</v>
      </c>
      <c r="J2133" s="209">
        <f>TRUNC(F2133*I2133,2)</f>
        <v>16.05</v>
      </c>
    </row>
    <row r="2134" spans="1:10" ht="15" customHeight="1">
      <c r="A2134" s="208" t="s">
        <v>245</v>
      </c>
      <c r="B2134" s="241"/>
      <c r="C2134" s="249">
        <v>88315</v>
      </c>
      <c r="D2134" s="161" t="str">
        <f>IF(B2134="SEPLAG",VLOOKUP(COMPOSIÇÕES!C2134,'MAPA COMPARATIVO'!A:B,2,FALSE),VLOOKUP(C2134,'NAO DESO'!A:B,2,0))</f>
        <v>SERRALHEIRO COM ENCARGOS COMPLEMENTARES</v>
      </c>
      <c r="E2134" s="241" t="str">
        <f>VLOOKUP($C2134,'NAO DESO'!$A:$D,3,)</f>
        <v>H</v>
      </c>
      <c r="F2134" s="242">
        <v>1</v>
      </c>
      <c r="G2134" s="242" t="str">
        <f>IF(B2134="SEPLAG",VLOOKUP(CONCATENATE("MEDIANA - ",C2134),COTAÇÃO,5,FALSE),VLOOKUP($C2134,'NAO DESO'!$A:$D,4,))</f>
        <v>20,97</v>
      </c>
      <c r="H2134" s="242">
        <f>TRUNC(F2134*G2134,2)</f>
        <v>20.97</v>
      </c>
      <c r="I2134" s="54" t="str">
        <f>IF(B2134="SEPLAG",VLOOKUP(CONCATENATE("MEDIANA - ",C2134),COTAÇÃO,5,FALSE),VLOOKUP($C2134,DESON!$A:$D,4,))</f>
        <v>18,75</v>
      </c>
      <c r="J2134" s="209">
        <f>TRUNC(F2134*I2134,2)</f>
        <v>18.75</v>
      </c>
    </row>
    <row r="2135" spans="1:10" ht="15" customHeight="1">
      <c r="A2135" s="208" t="s">
        <v>245</v>
      </c>
      <c r="B2135" s="241"/>
      <c r="C2135" s="249">
        <v>88317</v>
      </c>
      <c r="D2135" s="161" t="str">
        <f>IF(B2135="SEPLAG",VLOOKUP(COMPOSIÇÕES!C2135,'MAPA COMPARATIVO'!A:B,2,FALSE),VLOOKUP(C2135,'NAO DESO'!A:B,2,0))</f>
        <v>SOLDADOR COM ENCARGOS COMPLEMENTARES</v>
      </c>
      <c r="E2135" s="241" t="str">
        <f>VLOOKUP($C2135,'NAO DESO'!$A:$D,3,)</f>
        <v>H</v>
      </c>
      <c r="F2135" s="242">
        <v>1</v>
      </c>
      <c r="G2135" s="242" t="str">
        <f>IF(B2135="SEPLAG",VLOOKUP(CONCATENATE("MEDIANA - ",C2135),COTAÇÃO,5,FALSE),VLOOKUP($C2135,'NAO DESO'!$A:$D,4,))</f>
        <v>21,79</v>
      </c>
      <c r="H2135" s="242">
        <f>TRUNC(F2135*G2135,2)</f>
        <v>21.79</v>
      </c>
      <c r="I2135" s="54" t="str">
        <f>IF(B2135="SEPLAG",VLOOKUP(CONCATENATE("MEDIANA - ",C2135),COTAÇÃO,5,FALSE),VLOOKUP($C2135,DESON!$A:$D,4,))</f>
        <v>19,57</v>
      </c>
      <c r="J2135" s="209">
        <f>TRUNC(F2135*I2135,2)</f>
        <v>19.57</v>
      </c>
    </row>
    <row r="2136" spans="1:10" ht="15" customHeight="1">
      <c r="A2136" s="208"/>
      <c r="B2136" s="241"/>
      <c r="C2136" s="249"/>
      <c r="D2136" s="1132"/>
      <c r="E2136" s="241"/>
      <c r="F2136" s="242"/>
      <c r="G2136" s="242"/>
      <c r="H2136" s="242"/>
      <c r="I2136" s="214"/>
      <c r="J2136" s="209"/>
    </row>
    <row r="2137" spans="1:10" ht="15" customHeight="1">
      <c r="A2137" s="208"/>
      <c r="B2137" s="241"/>
      <c r="C2137" s="249"/>
      <c r="D2137" s="432" t="s">
        <v>13097</v>
      </c>
      <c r="E2137" s="241"/>
      <c r="F2137" s="242"/>
      <c r="G2137" s="242"/>
      <c r="H2137" s="242"/>
      <c r="I2137" s="214"/>
      <c r="J2137" s="209"/>
    </row>
    <row r="2138" spans="1:10" ht="15" customHeight="1">
      <c r="A2138" s="208" t="s">
        <v>39</v>
      </c>
      <c r="B2138" s="241"/>
      <c r="C2138" s="249">
        <v>10998</v>
      </c>
      <c r="D2138" s="161" t="str">
        <f>IF(B2138="SEPLAG",VLOOKUP(COMPOSIÇÕES!C2138,'MAPA COMPARATIVO'!A:B,2,FALSE),VLOOKUP(C2138,'NAO DESO'!A:B,2,0))</f>
        <v>ELETRODO REVESTIDO AWS - E-6010, DIAMETRO IGUAL A 4,00 MM</v>
      </c>
      <c r="E2138" s="241" t="str">
        <f>VLOOKUP($C2138,'NAO DESO'!$A:$D,3,)</f>
        <v xml:space="preserve">KG    </v>
      </c>
      <c r="F2138" s="1186">
        <v>0.2</v>
      </c>
      <c r="G2138" s="242">
        <f>IF(B2138="SEPLAG",VLOOKUP(CONCATENATE("MEDIANA - ",C2138),COTAÇÃO,5,FALSE),VLOOKUP($C2138,'NAO DESO'!$A:$D,4,))</f>
        <v>30.03</v>
      </c>
      <c r="H2138" s="242">
        <f t="shared" ref="H2138:H2144" si="158">TRUNC(F2138*G2138,2)</f>
        <v>6</v>
      </c>
      <c r="I2138" s="54" t="str">
        <f>IF(B2138="SEPLAG",VLOOKUP(CONCATENATE("MEDIANA - ",C2138),COTAÇÃO,5,FALSE),VLOOKUP($C2138,DESON!$A:$D,4,))</f>
        <v>30,03</v>
      </c>
      <c r="J2138" s="209">
        <f t="shared" ref="J2138:J2144" si="159">TRUNC(F2138*I2138,2)</f>
        <v>6</v>
      </c>
    </row>
    <row r="2139" spans="1:10" ht="38.25" customHeight="1">
      <c r="A2139" s="208" t="s">
        <v>39</v>
      </c>
      <c r="B2139" s="241"/>
      <c r="C2139" s="249">
        <v>100763</v>
      </c>
      <c r="D2139" s="161" t="str">
        <f>IF(B2139="SEPLAG",VLOOKUP(COMPOSIÇÕES!C2139,'MAPA COMPARATIVO'!A:B,2,FALSE),VLOOKUP(C2139,'NAO DESO'!A:B,2,0))</f>
        <v>VIGA METÁLICA EM PERFIL LAMINADO OU SOLDADO EM AÇO ESTRUTURAL, COM CONEXÕES PARAFUSADAS, INCLUSOS MÃO DE OBRA, TRANSPORTE E IÇAMENTO UTILIZANDO GUINDASTE - FORNECIMENTO E INSTALAÇÃO. AF_01/2020_P</v>
      </c>
      <c r="E2139" s="241" t="str">
        <f>VLOOKUP($C2139,'NAO DESO'!$A:$D,3,)</f>
        <v>KG</v>
      </c>
      <c r="F2139" s="1186">
        <v>35.620000000000005</v>
      </c>
      <c r="G2139" s="242" t="str">
        <f>IF(B2139="SEPLAG",VLOOKUP(CONCATENATE("MEDIANA - ",C2139),COTAÇÃO,5,FALSE),VLOOKUP($C2139,'NAO DESO'!$A:$D,4,))</f>
        <v>16,60</v>
      </c>
      <c r="H2139" s="242">
        <f t="shared" si="158"/>
        <v>591.29</v>
      </c>
      <c r="I2139" s="54" t="str">
        <f>IF(B2139="SEPLAG",VLOOKUP(CONCATENATE("MEDIANA - ",C2139),COTAÇÃO,5,FALSE),VLOOKUP($C2139,DESON!$A:$D,4,))</f>
        <v>16,52</v>
      </c>
      <c r="J2139" s="209">
        <f t="shared" si="159"/>
        <v>588.44000000000005</v>
      </c>
    </row>
    <row r="2140" spans="1:10" ht="38.25" customHeight="1">
      <c r="A2140" s="208" t="s">
        <v>39</v>
      </c>
      <c r="B2140" s="241"/>
      <c r="C2140" s="249">
        <v>100770</v>
      </c>
      <c r="D2140" s="161" t="str">
        <f>IF(B2140="SEPLAG",VLOOKUP(COMPOSIÇÕES!C2140,'MAPA COMPARATIVO'!A:B,2,FALSE),VLOOKUP(C2140,'NAO DESO'!A:B,2,0))</f>
        <v>CONTRAVENTAMENTO COM CANTONEIRAS DE AÇO, ABAS IGUAIS, COM CONEXÕES SOLDADAS, INCLUSOS MÃO DE OBRA, TRANSPORTE E IÇAMENTO UTILIZANDO GUINDASTE, PARA EDIFÍCIOS DE 3 A 5 PAVIMENTOS - FORNECIMENTO E INSTALAÇÃO. AF_01/2020_P</v>
      </c>
      <c r="E2140" s="241" t="str">
        <f>VLOOKUP($C2140,'NAO DESO'!$A:$D,3,)</f>
        <v>KG</v>
      </c>
      <c r="F2140" s="1186">
        <v>4.9039999999999999</v>
      </c>
      <c r="G2140" s="242" t="str">
        <f>IF(B2140="SEPLAG",VLOOKUP(CONCATENATE("MEDIANA - ",C2140),COTAÇÃO,5,FALSE),VLOOKUP($C2140,'NAO DESO'!$A:$D,4,))</f>
        <v>20,32</v>
      </c>
      <c r="H2140" s="242">
        <f t="shared" si="158"/>
        <v>99.64</v>
      </c>
      <c r="I2140" s="54" t="str">
        <f>IF(B2140="SEPLAG",VLOOKUP(CONCATENATE("MEDIANA - ",C2140),COTAÇÃO,5,FALSE),VLOOKUP($C2140,DESON!$A:$D,4,))</f>
        <v>20,06</v>
      </c>
      <c r="J2140" s="209">
        <f t="shared" si="159"/>
        <v>98.37</v>
      </c>
    </row>
    <row r="2141" spans="1:10" ht="38.25" customHeight="1">
      <c r="A2141" s="208" t="s">
        <v>39</v>
      </c>
      <c r="B2141" s="241"/>
      <c r="C2141" s="249">
        <v>2432</v>
      </c>
      <c r="D2141" s="161" t="str">
        <f>IF(B2141="SEPLAG",VLOOKUP(COMPOSIÇÕES!C2141,'MAPA COMPARATIVO'!A:B,2,FALSE),VLOOKUP(C2141,'NAO DESO'!A:B,2,0))</f>
        <v>DOBRADICA EM ACO/FERRO, 3 1/2" X  3", E= 1,9  A 2 MM, COM ANEL,  CROMADO OU ZINCADO, TAMPA BOLA, COM PARAFUSOS</v>
      </c>
      <c r="E2141" s="241" t="str">
        <f>VLOOKUP($C2141,'NAO DESO'!$A:$D,3,)</f>
        <v xml:space="preserve">UN    </v>
      </c>
      <c r="F2141" s="1186">
        <v>2</v>
      </c>
      <c r="G2141" s="242">
        <f>IF(B2141="SEPLAG",VLOOKUP(CONCATENATE("MEDIANA - ",C2141),COTAÇÃO,5,FALSE),VLOOKUP($C2141,'NAO DESO'!$A:$D,4,))</f>
        <v>21.53</v>
      </c>
      <c r="H2141" s="242">
        <f t="shared" si="158"/>
        <v>43.06</v>
      </c>
      <c r="I2141" s="54" t="str">
        <f>IF(B2141="SEPLAG",VLOOKUP(CONCATENATE("MEDIANA - ",C2141),COTAÇÃO,5,FALSE),VLOOKUP($C2141,DESON!$A:$D,4,))</f>
        <v>21,53</v>
      </c>
      <c r="J2141" s="209">
        <f t="shared" si="159"/>
        <v>43.06</v>
      </c>
    </row>
    <row r="2142" spans="1:10" ht="38.25" customHeight="1">
      <c r="A2142" s="208" t="s">
        <v>39</v>
      </c>
      <c r="B2142" s="241"/>
      <c r="C2142" s="249">
        <v>11964</v>
      </c>
      <c r="D2142" s="161" t="str">
        <f>IF(B2142="SEPLAG",VLOOKUP(COMPOSIÇÕES!C2142,'MAPA COMPARATIVO'!A:B,2,FALSE),VLOOKUP(C2142,'NAO DESO'!A:B,2,0))</f>
        <v>PARAFUSO DE ACO TIPO CHUMBADOR PARABOLT, DIAMETRO 3/8", COMPRIMENTO 75 MM</v>
      </c>
      <c r="E2142" s="241" t="str">
        <f>VLOOKUP($C2142,'NAO DESO'!$A:$D,3,)</f>
        <v xml:space="preserve">UN    </v>
      </c>
      <c r="F2142" s="1186">
        <v>34</v>
      </c>
      <c r="G2142" s="242">
        <f>IF(B2142="SEPLAG",VLOOKUP(CONCATENATE("MEDIANA - ",C2142),COTAÇÃO,5,FALSE),VLOOKUP($C2142,'NAO DESO'!$A:$D,4,))</f>
        <v>2.72</v>
      </c>
      <c r="H2142" s="242">
        <f t="shared" si="158"/>
        <v>92.48</v>
      </c>
      <c r="I2142" s="54" t="str">
        <f>IF(B2142="SEPLAG",VLOOKUP(CONCATENATE("MEDIANA - ",C2142),COTAÇÃO,5,FALSE),VLOOKUP($C2142,DESON!$A:$D,4,))</f>
        <v>2,72</v>
      </c>
      <c r="J2142" s="209">
        <f t="shared" si="159"/>
        <v>92.48</v>
      </c>
    </row>
    <row r="2143" spans="1:10" ht="26.25" customHeight="1">
      <c r="A2143" s="208" t="s">
        <v>39</v>
      </c>
      <c r="B2143" s="241"/>
      <c r="C2143" s="249">
        <v>11461</v>
      </c>
      <c r="D2143" s="161" t="str">
        <f>IF(B2143="SEPLAG",VLOOKUP(COMPOSIÇÕES!C2143,'MAPA COMPARATIVO'!A:B,2,FALSE),VLOOKUP(C2143,'NAO DESO'!A:B,2,0))</f>
        <v>FERROLHO COM FECHO CHATO E PORTA CADEADO , EM ACO GALVANIZADO / ZINCADO, DE SOBREPOR, COM COMPRIMENTO DE 5", CHAPA COM ESPESSURA MINIMA DE 1,70 MM E LARGURA MINIMA DE 5,00 CM (FECHO REFORCADO)</v>
      </c>
      <c r="E2143" s="241" t="str">
        <f>VLOOKUP($C2143,'NAO DESO'!$A:$D,3,)</f>
        <v xml:space="preserve">UN    </v>
      </c>
      <c r="F2143" s="1186">
        <v>2</v>
      </c>
      <c r="G2143" s="242">
        <f>IF(B2143="SEPLAG",VLOOKUP(CONCATENATE("MEDIANA - ",C2143),COTAÇÃO,5,FALSE),VLOOKUP($C2143,'NAO DESO'!$A:$D,4,))</f>
        <v>11.43</v>
      </c>
      <c r="H2143" s="242">
        <f t="shared" si="158"/>
        <v>22.86</v>
      </c>
      <c r="I2143" s="54" t="str">
        <f>IF(B2143="SEPLAG",VLOOKUP(CONCATENATE("MEDIANA - ",C2143),COTAÇÃO,5,FALSE),VLOOKUP($C2143,DESON!$A:$D,4,))</f>
        <v>11,43</v>
      </c>
      <c r="J2143" s="209">
        <f t="shared" si="159"/>
        <v>22.86</v>
      </c>
    </row>
    <row r="2144" spans="1:10" ht="15" customHeight="1">
      <c r="A2144" s="208" t="s">
        <v>39</v>
      </c>
      <c r="B2144" s="241"/>
      <c r="C2144" s="249">
        <v>1318</v>
      </c>
      <c r="D2144" s="161" t="str">
        <f>IF(B2144="SEPLAG",VLOOKUP(COMPOSIÇÕES!C2144,'MAPA COMPARATIVO'!A:B,2,FALSE),VLOOKUP(C2144,'NAO DESO'!A:B,2,0))</f>
        <v>CHAPA DE ACO FINA A QUENTE BITOLA MSG 14, E = 2,00 MM (16,0 KG/M2)</v>
      </c>
      <c r="E2144" s="241" t="s">
        <v>40</v>
      </c>
      <c r="F2144" s="1186">
        <v>3.61</v>
      </c>
      <c r="G2144" s="242">
        <f>IF(B2144="SEPLAG",VLOOKUP(CONCATENATE("MEDIANA - ",C2144),COTAÇÃO,5,FALSE),VLOOKUP($C2144,'NAO DESO'!$A:$D,4,))</f>
        <v>11.79</v>
      </c>
      <c r="H2144" s="242">
        <f t="shared" si="158"/>
        <v>42.56</v>
      </c>
      <c r="I2144" s="54" t="str">
        <f>IF(B2144="SEPLAG",VLOOKUP(CONCATENATE("MEDIANA - ",C2144),COTAÇÃO,5,FALSE),VLOOKUP($C2144,DESON!$A:$D,4,))</f>
        <v>11,79</v>
      </c>
      <c r="J2144" s="209">
        <f t="shared" si="159"/>
        <v>42.56</v>
      </c>
    </row>
    <row r="2145" spans="1:10" ht="15" customHeight="1">
      <c r="A2145" s="210" t="str">
        <f>CONCATENATE("TOTAL DO ITEM NÃO DESON. - ",C2130)</f>
        <v>TOTAL DO ITEM NÃO DESON. - SEPLAG ARQ 135</v>
      </c>
      <c r="B2145" s="424"/>
      <c r="C2145" s="424"/>
      <c r="D2145" s="424"/>
      <c r="E2145" s="424"/>
      <c r="F2145" s="425"/>
      <c r="G2145" s="426"/>
      <c r="H2145" s="1189">
        <f>SUM(H2133:H2144)</f>
        <v>958.49</v>
      </c>
      <c r="I2145" s="214"/>
      <c r="J2145" s="215"/>
    </row>
    <row r="2146" spans="1:10" ht="15.75" customHeight="1" thickBot="1">
      <c r="A2146" s="216" t="str">
        <f>CONCATENATE("TOTAL DO ITEM DESON. - ",C2130)</f>
        <v>TOTAL DO ITEM DESON. - SEPLAG ARQ 135</v>
      </c>
      <c r="B2146" s="427"/>
      <c r="C2146" s="427"/>
      <c r="D2146" s="427"/>
      <c r="E2146" s="427"/>
      <c r="F2146" s="428"/>
      <c r="G2146" s="429"/>
      <c r="H2146" s="1190"/>
      <c r="I2146" s="229"/>
      <c r="J2146" s="219">
        <f>SUM(J2133:J2144)</f>
        <v>948.1400000000001</v>
      </c>
    </row>
    <row r="2147" spans="1:10" ht="15" customHeight="1" thickBot="1">
      <c r="A2147" s="235"/>
      <c r="B2147" s="1135"/>
      <c r="C2147" s="1135"/>
      <c r="D2147" s="1135"/>
      <c r="E2147" s="1135"/>
      <c r="F2147" s="1188"/>
      <c r="G2147" s="1188"/>
      <c r="H2147" s="1188"/>
      <c r="I2147" s="236"/>
      <c r="J2147" s="237"/>
    </row>
    <row r="2148" spans="1:10" ht="28.5" customHeight="1">
      <c r="A2148" s="230"/>
      <c r="B2148" s="1152"/>
      <c r="C2148" s="1176" t="s">
        <v>13851</v>
      </c>
      <c r="D2148" s="152" t="s">
        <v>13853</v>
      </c>
      <c r="E2148" s="1176" t="s">
        <v>24</v>
      </c>
      <c r="F2148" s="1177" t="s">
        <v>18</v>
      </c>
      <c r="G2148" s="1178" t="s">
        <v>7017</v>
      </c>
      <c r="H2148" s="1179"/>
      <c r="I2148" s="200" t="s">
        <v>7016</v>
      </c>
      <c r="J2148" s="201"/>
    </row>
    <row r="2149" spans="1:10" ht="12.75" customHeight="1">
      <c r="A2149" s="203"/>
      <c r="B2149" s="430"/>
      <c r="C2149" s="1155"/>
      <c r="D2149" s="158"/>
      <c r="E2149" s="1155"/>
      <c r="F2149" s="1180"/>
      <c r="G2149" s="1180" t="s">
        <v>19</v>
      </c>
      <c r="H2149" s="1180" t="s">
        <v>20</v>
      </c>
      <c r="I2149" s="205" t="s">
        <v>19</v>
      </c>
      <c r="J2149" s="206" t="s">
        <v>20</v>
      </c>
    </row>
    <row r="2150" spans="1:10" ht="25.5" customHeight="1">
      <c r="A2150" s="208"/>
      <c r="B2150" s="241"/>
      <c r="C2150" s="241" t="s">
        <v>180</v>
      </c>
      <c r="D2150" s="1132" t="s">
        <v>13852</v>
      </c>
      <c r="E2150" s="247"/>
      <c r="F2150" s="248"/>
      <c r="G2150" s="248"/>
      <c r="H2150" s="248"/>
      <c r="I2150" s="214"/>
      <c r="J2150" s="227"/>
    </row>
    <row r="2151" spans="1:10" ht="27" customHeight="1">
      <c r="A2151" s="208" t="s">
        <v>39</v>
      </c>
      <c r="B2151" s="241"/>
      <c r="C2151" s="1181">
        <v>142</v>
      </c>
      <c r="D2151" s="161" t="str">
        <f>IF(B2151="SEPLAG",VLOOKUP(COMPOSIÇÕES!C2151,'MAPA COMPARATIVO'!A:B,2,FALSE),VLOOKUP(C2151,'NAO DESO'!A:B,2,0))</f>
        <v>SELANTE ELASTICO MONOCOMPONENTE A BASE DE POLIURETANO (PU) PARA JUNTAS DIVERSAS</v>
      </c>
      <c r="E2151" s="241" t="str">
        <f>VLOOKUP($C2151,'NAO DESO'!$A:$D,3,)</f>
        <v xml:space="preserve">310ML </v>
      </c>
      <c r="F2151" s="242">
        <v>0.88</v>
      </c>
      <c r="G2151" s="242">
        <f>IF(B2151="SEPLAG",VLOOKUP(CONCATENATE("MEDIANA - ",C2151),COTAÇÃO,5,FALSE),VLOOKUP($C2151,'NAO DESO'!$A:$D,4,))</f>
        <v>26.18</v>
      </c>
      <c r="H2151" s="242">
        <f t="shared" ref="H2151:H2156" si="160">TRUNC(F2151*G2151,2)</f>
        <v>23.03</v>
      </c>
      <c r="I2151" s="54" t="str">
        <f>IF(B2151="SEPLAG",VLOOKUP(CONCATENATE("MEDIANA - ",C2151),COTAÇÃO,5,FALSE),VLOOKUP($C2151,DESON!$A:$D,4,))</f>
        <v>26,18</v>
      </c>
      <c r="J2151" s="209">
        <f t="shared" ref="J2151:J2156" si="161">TRUNC(F2151*I2151,2)</f>
        <v>23.03</v>
      </c>
    </row>
    <row r="2152" spans="1:10" ht="45" customHeight="1">
      <c r="A2152" s="208" t="s">
        <v>245</v>
      </c>
      <c r="B2152" s="241"/>
      <c r="C2152" s="1181">
        <v>4914</v>
      </c>
      <c r="D2152" s="161" t="str">
        <f>IF(B2152="SEPLAG",VLOOKUP(COMPOSIÇÕES!C2152,'MAPA COMPARATIVO'!A:B,2,FALSE),VLOOKUP(C2152,'NAO DESO'!A:B,2,0))</f>
        <v>PORTA DE ABRIR EM ALUMINIO COM LAMBRI HORIZONTAL/LAMINADA, ACABAMENTO ANODIZADO NATURAL, SEM GUARNICAO/ALIZAR/VISTA</v>
      </c>
      <c r="E2152" s="241" t="str">
        <f>VLOOKUP($C2152,'NAO DESO'!$A:$D,3,)</f>
        <v xml:space="preserve">M2    </v>
      </c>
      <c r="F2152" s="242">
        <f>2*2.1</f>
        <v>4.2</v>
      </c>
      <c r="G2152" s="242">
        <f>IF(B2152="SEPLAG",VLOOKUP(CONCATENATE("MEDIANA - ",C2152),COTAÇÃO,5,FALSE),VLOOKUP($C2152,'NAO DESO'!$A:$D,4,))</f>
        <v>554.29</v>
      </c>
      <c r="H2152" s="242">
        <f t="shared" si="160"/>
        <v>2328.0100000000002</v>
      </c>
      <c r="I2152" s="54" t="str">
        <f>IF(B2152="SEPLAG",VLOOKUP(CONCATENATE("MEDIANA - ",C2152),COTAÇÃO,5,FALSE),VLOOKUP($C2152,DESON!$A:$D,4,))</f>
        <v>554,29</v>
      </c>
      <c r="J2152" s="209">
        <f t="shared" si="161"/>
        <v>2328.0100000000002</v>
      </c>
    </row>
    <row r="2153" spans="1:10" ht="40.5" customHeight="1">
      <c r="A2153" s="208" t="s">
        <v>245</v>
      </c>
      <c r="B2153" s="241"/>
      <c r="C2153" s="1181">
        <v>7568</v>
      </c>
      <c r="D2153" s="161" t="str">
        <f>IF(B2153="SEPLAG",VLOOKUP(COMPOSIÇÕES!C2153,'MAPA COMPARATIVO'!A:B,2,FALSE),VLOOKUP(C2153,'NAO DESO'!A:B,2,0))</f>
        <v>BUCHA DE NYLON SEM ABA S10, COM PARAFUSO DE 6,10 X 65 MM EM ACO ZINCADO COM ROSCA SOBERBA, CABECA CHATA E FENDA PHILLIPS</v>
      </c>
      <c r="E2153" s="241" t="str">
        <f>VLOOKUP($C2153,'NAO DESO'!$A:$D,3,)</f>
        <v xml:space="preserve">UN    </v>
      </c>
      <c r="F2153" s="242">
        <v>4.8099999999999996</v>
      </c>
      <c r="G2153" s="242">
        <f>IF(B2153="SEPLAG",VLOOKUP(CONCATENATE("MEDIANA - ",C2153),COTAÇÃO,5,FALSE),VLOOKUP($C2153,'NAO DESO'!$A:$D,4,))</f>
        <v>0.61</v>
      </c>
      <c r="H2153" s="242">
        <f t="shared" si="160"/>
        <v>2.93</v>
      </c>
      <c r="I2153" s="54" t="str">
        <f>IF(B2153="SEPLAG",VLOOKUP(CONCATENATE("MEDIANA - ",C2153),COTAÇÃO,5,FALSE),VLOOKUP($C2153,DESON!$A:$D,4,))</f>
        <v>0,61</v>
      </c>
      <c r="J2153" s="209">
        <f t="shared" si="161"/>
        <v>2.93</v>
      </c>
    </row>
    <row r="2154" spans="1:10" ht="43.5" customHeight="1">
      <c r="A2154" s="208" t="s">
        <v>39</v>
      </c>
      <c r="B2154" s="241"/>
      <c r="C2154" s="1181">
        <v>36888</v>
      </c>
      <c r="D2154" s="161" t="str">
        <f>IF(B2154="SEPLAG",VLOOKUP(COMPOSIÇÕES!C2154,'MAPA COMPARATIVO'!A:B,2,FALSE),VLOOKUP(C2154,'NAO DESO'!A:B,2,0))</f>
        <v>GUARNICAO / MOLDURA / ARREMATE DE ACABAMENTO PARA ESQUADRIA, EM ALUMINIO PERFIL 25, ACABAMENTO ANODIZADO BRANCO OU BRILHANTE, PARA 1 FACE</v>
      </c>
      <c r="E2154" s="241" t="str">
        <f>VLOOKUP($C2154,'NAO DESO'!$A:$D,3,)</f>
        <v xml:space="preserve">M     </v>
      </c>
      <c r="F2154" s="1186">
        <v>6.85</v>
      </c>
      <c r="G2154" s="242">
        <f>IF(B2154="SEPLAG",VLOOKUP(CONCATENATE("MEDIANA - ",C2154),COTAÇÃO,5,FALSE),VLOOKUP($C2154,'NAO DESO'!$A:$D,4,))</f>
        <v>43.85</v>
      </c>
      <c r="H2154" s="242">
        <f t="shared" si="160"/>
        <v>300.37</v>
      </c>
      <c r="I2154" s="54" t="str">
        <f>IF(B2154="SEPLAG",VLOOKUP(CONCATENATE("MEDIANA - ",C2154),COTAÇÃO,5,FALSE),VLOOKUP($C2154,DESON!$A:$D,4,))</f>
        <v>43,85</v>
      </c>
      <c r="J2154" s="209">
        <f t="shared" si="161"/>
        <v>300.37</v>
      </c>
    </row>
    <row r="2155" spans="1:10" ht="15" customHeight="1">
      <c r="A2155" s="208" t="s">
        <v>39</v>
      </c>
      <c r="B2155" s="241"/>
      <c r="C2155" s="1181">
        <v>88309</v>
      </c>
      <c r="D2155" s="161" t="str">
        <f>IF(B2155="SEPLAG",VLOOKUP(COMPOSIÇÕES!C2155,'MAPA COMPARATIVO'!A:B,2,FALSE),VLOOKUP(C2155,'NAO DESO'!A:B,2,0))</f>
        <v>PEDREIRO COM ENCARGOS COMPLEMENTARES</v>
      </c>
      <c r="E2155" s="241" t="str">
        <f>VLOOKUP($C2155,'NAO DESO'!$A:$D,3,)</f>
        <v>H</v>
      </c>
      <c r="F2155" s="1186">
        <v>0.35</v>
      </c>
      <c r="G2155" s="242" t="str">
        <f>IF(B2155="SEPLAG",VLOOKUP(CONCATENATE("MEDIANA - ",C2155),COTAÇÃO,5,FALSE),VLOOKUP($C2155,'NAO DESO'!$A:$D,4,))</f>
        <v>21,10</v>
      </c>
      <c r="H2155" s="242">
        <f t="shared" si="160"/>
        <v>7.38</v>
      </c>
      <c r="I2155" s="54" t="str">
        <f>IF(B2155="SEPLAG",VLOOKUP(CONCATENATE("MEDIANA - ",C2155),COTAÇÃO,5,FALSE),VLOOKUP($C2155,DESON!$A:$D,4,))</f>
        <v>18,86</v>
      </c>
      <c r="J2155" s="209">
        <f t="shared" si="161"/>
        <v>6.6</v>
      </c>
    </row>
    <row r="2156" spans="1:10" ht="15" customHeight="1">
      <c r="A2156" s="208" t="s">
        <v>39</v>
      </c>
      <c r="B2156" s="241"/>
      <c r="C2156" s="1181">
        <v>88316</v>
      </c>
      <c r="D2156" s="161" t="str">
        <f>IF(B2156="SEPLAG",VLOOKUP(COMPOSIÇÕES!C2156,'MAPA COMPARATIVO'!A:B,2,FALSE),VLOOKUP(C2156,'NAO DESO'!A:B,2,0))</f>
        <v>SERVENTE COM ENCARGOS COMPLEMENTARES</v>
      </c>
      <c r="E2156" s="241" t="str">
        <f>VLOOKUP($C2156,'NAO DESO'!$A:$D,3,)</f>
        <v>H</v>
      </c>
      <c r="F2156" s="1186">
        <v>0.17</v>
      </c>
      <c r="G2156" s="242" t="str">
        <f>IF(B2156="SEPLAG",VLOOKUP(CONCATENATE("MEDIANA - ",C2156),COTAÇÃO,5,FALSE),VLOOKUP($C2156,'NAO DESO'!$A:$D,4,))</f>
        <v>16,83</v>
      </c>
      <c r="H2156" s="242">
        <f t="shared" si="160"/>
        <v>2.86</v>
      </c>
      <c r="I2156" s="54" t="str">
        <f>IF(B2156="SEPLAG",VLOOKUP(CONCATENATE("MEDIANA - ",C2156),COTAÇÃO,5,FALSE),VLOOKUP($C2156,DESON!$A:$D,4,))</f>
        <v>15,16</v>
      </c>
      <c r="J2156" s="209">
        <f t="shared" si="161"/>
        <v>2.57</v>
      </c>
    </row>
    <row r="2157" spans="1:10" ht="15" customHeight="1">
      <c r="A2157" s="210" t="str">
        <f>CONCATENATE("TOTAL DO ITEM NÃO DESON. - ",C2148)</f>
        <v>TOTAL DO ITEM NÃO DESON. - SEPLAG ARQ 136</v>
      </c>
      <c r="B2157" s="424"/>
      <c r="C2157" s="424"/>
      <c r="D2157" s="424"/>
      <c r="E2157" s="424"/>
      <c r="F2157" s="425"/>
      <c r="G2157" s="426"/>
      <c r="H2157" s="1182">
        <f>SUM(H2151:H2156)</f>
        <v>2664.5800000000004</v>
      </c>
      <c r="I2157" s="214"/>
      <c r="J2157" s="215"/>
    </row>
    <row r="2158" spans="1:10" ht="15.75" customHeight="1" thickBot="1">
      <c r="A2158" s="216" t="str">
        <f>CONCATENATE("TOTAL DO ITEM DESON. - ",C2148)</f>
        <v>TOTAL DO ITEM DESON. - SEPLAG ARQ 136</v>
      </c>
      <c r="B2158" s="427"/>
      <c r="C2158" s="427"/>
      <c r="D2158" s="427"/>
      <c r="E2158" s="427"/>
      <c r="F2158" s="428"/>
      <c r="G2158" s="429"/>
      <c r="H2158" s="1187"/>
      <c r="I2158" s="229"/>
      <c r="J2158" s="219">
        <f>SUM(J2151:J2156)</f>
        <v>2663.51</v>
      </c>
    </row>
    <row r="2159" spans="1:10" ht="15" customHeight="1" thickBot="1">
      <c r="A2159" s="235"/>
      <c r="B2159" s="1135"/>
      <c r="C2159" s="1135"/>
      <c r="D2159" s="1135"/>
      <c r="E2159" s="1135"/>
      <c r="F2159" s="1188"/>
      <c r="G2159" s="1188"/>
      <c r="H2159" s="1188"/>
      <c r="I2159" s="236"/>
      <c r="J2159" s="237"/>
    </row>
    <row r="2160" spans="1:10" ht="24.75" customHeight="1">
      <c r="A2160" s="230"/>
      <c r="B2160" s="1152"/>
      <c r="C2160" s="1176" t="s">
        <v>13855</v>
      </c>
      <c r="D2160" s="152" t="s">
        <v>13854</v>
      </c>
      <c r="E2160" s="1176" t="s">
        <v>24</v>
      </c>
      <c r="F2160" s="1177" t="s">
        <v>18</v>
      </c>
      <c r="G2160" s="1178" t="s">
        <v>7017</v>
      </c>
      <c r="H2160" s="1179"/>
      <c r="I2160" s="200" t="s">
        <v>7016</v>
      </c>
      <c r="J2160" s="201"/>
    </row>
    <row r="2161" spans="1:10" ht="18" customHeight="1">
      <c r="A2161" s="203"/>
      <c r="B2161" s="430"/>
      <c r="C2161" s="1155"/>
      <c r="D2161" s="158"/>
      <c r="E2161" s="1155"/>
      <c r="F2161" s="1180"/>
      <c r="G2161" s="1180" t="s">
        <v>19</v>
      </c>
      <c r="H2161" s="1180" t="s">
        <v>20</v>
      </c>
      <c r="I2161" s="205" t="s">
        <v>19</v>
      </c>
      <c r="J2161" s="206" t="s">
        <v>20</v>
      </c>
    </row>
    <row r="2162" spans="1:10" ht="25.5" customHeight="1">
      <c r="A2162" s="208"/>
      <c r="B2162" s="241"/>
      <c r="C2162" s="241" t="s">
        <v>180</v>
      </c>
      <c r="D2162" s="1132" t="s">
        <v>13852</v>
      </c>
      <c r="E2162" s="247"/>
      <c r="F2162" s="248"/>
      <c r="G2162" s="248"/>
      <c r="H2162" s="248"/>
      <c r="I2162" s="214"/>
      <c r="J2162" s="227"/>
    </row>
    <row r="2163" spans="1:10" ht="26.25" customHeight="1">
      <c r="A2163" s="208" t="s">
        <v>39</v>
      </c>
      <c r="B2163" s="241"/>
      <c r="C2163" s="1181">
        <v>142</v>
      </c>
      <c r="D2163" s="161" t="str">
        <f>IF(B2163="SEPLAG",VLOOKUP(COMPOSIÇÕES!C2163,'MAPA COMPARATIVO'!A:B,2,FALSE),VLOOKUP(C2163,'NAO DESO'!A:B,2,0))</f>
        <v>SELANTE ELASTICO MONOCOMPONENTE A BASE DE POLIURETANO (PU) PARA JUNTAS DIVERSAS</v>
      </c>
      <c r="E2163" s="241" t="str">
        <f>VLOOKUP($C2163,'NAO DESO'!$A:$D,3,)</f>
        <v xml:space="preserve">310ML </v>
      </c>
      <c r="F2163" s="242">
        <v>6.3E-2</v>
      </c>
      <c r="G2163" s="242">
        <f>IF(B2163="SEPLAG",VLOOKUP(CONCATENATE("MEDIANA - ",C2163),COTAÇÃO,5,FALSE),VLOOKUP($C2163,'NAO DESO'!$A:$D,4,))</f>
        <v>26.18</v>
      </c>
      <c r="H2163" s="242">
        <f t="shared" ref="H2163:H2168" si="162">TRUNC(F2163*G2163,2)</f>
        <v>1.64</v>
      </c>
      <c r="I2163" s="54" t="str">
        <f>IF(B2163="SEPLAG",VLOOKUP(CONCATENATE("MEDIANA - ",C2163),COTAÇÃO,5,FALSE),VLOOKUP($C2163,DESON!$A:$D,4,))</f>
        <v>26,18</v>
      </c>
      <c r="J2163" s="209">
        <f t="shared" ref="J2163:J2168" si="163">TRUNC(F2163*I2163,2)</f>
        <v>1.64</v>
      </c>
    </row>
    <row r="2164" spans="1:10" ht="26.25" customHeight="1">
      <c r="A2164" s="208" t="s">
        <v>39</v>
      </c>
      <c r="B2164" s="241"/>
      <c r="C2164" s="1181">
        <v>4914</v>
      </c>
      <c r="D2164" s="161" t="str">
        <f>IF(B2164="SEPLAG",VLOOKUP(COMPOSIÇÕES!C2164,'MAPA COMPARATIVO'!A:B,2,FALSE),VLOOKUP(C2164,'NAO DESO'!A:B,2,0))</f>
        <v>PORTA DE ABRIR EM ALUMINIO COM LAMBRI HORIZONTAL/LAMINADA, ACABAMENTO ANODIZADO NATURAL, SEM GUARNICAO/ALIZAR/VISTA</v>
      </c>
      <c r="E2164" s="241" t="str">
        <f>VLOOKUP($C2164,'NAO DESO'!$A:$D,3,)</f>
        <v xml:space="preserve">M2    </v>
      </c>
      <c r="F2164" s="242">
        <f>2*2.1</f>
        <v>4.2</v>
      </c>
      <c r="G2164" s="242">
        <f>IF(B2164="SEPLAG",VLOOKUP(CONCATENATE("MEDIANA - ",C2164),COTAÇÃO,5,FALSE),VLOOKUP($C2164,'NAO DESO'!$A:$D,4,))</f>
        <v>554.29</v>
      </c>
      <c r="H2164" s="242">
        <f t="shared" si="162"/>
        <v>2328.0100000000002</v>
      </c>
      <c r="I2164" s="54" t="str">
        <f>IF(B2164="SEPLAG",VLOOKUP(CONCATENATE("MEDIANA - ",C2164),COTAÇÃO,5,FALSE),VLOOKUP($C2164,DESON!$A:$D,4,))</f>
        <v>554,29</v>
      </c>
      <c r="J2164" s="209">
        <f t="shared" si="163"/>
        <v>2328.0100000000002</v>
      </c>
    </row>
    <row r="2165" spans="1:10" ht="26.25" customHeight="1">
      <c r="A2165" s="208" t="s">
        <v>245</v>
      </c>
      <c r="B2165" s="241"/>
      <c r="C2165" s="1181">
        <v>7568</v>
      </c>
      <c r="D2165" s="161" t="str">
        <f>IF(B2165="SEPLAG",VLOOKUP(COMPOSIÇÕES!C2165,'MAPA COMPARATIVO'!A:B,2,FALSE),VLOOKUP(C2165,'NAO DESO'!A:B,2,0))</f>
        <v>BUCHA DE NYLON SEM ABA S10, COM PARAFUSO DE 6,10 X 65 MM EM ACO ZINCADO COM ROSCA SOBERBA, CABECA CHATA E FENDA PHILLIPS</v>
      </c>
      <c r="E2165" s="241" t="str">
        <f>VLOOKUP($C2165,'NAO DESO'!$A:$D,3,)</f>
        <v xml:space="preserve">UN    </v>
      </c>
      <c r="F2165" s="242">
        <v>4.72</v>
      </c>
      <c r="G2165" s="242">
        <f>IF(B2165="SEPLAG",VLOOKUP(CONCATENATE("MEDIANA - ",C2165),COTAÇÃO,5,FALSE),VLOOKUP($C2165,'NAO DESO'!$A:$D,4,))</f>
        <v>0.61</v>
      </c>
      <c r="H2165" s="242">
        <f t="shared" si="162"/>
        <v>2.87</v>
      </c>
      <c r="I2165" s="54" t="str">
        <f>IF(B2165="SEPLAG",VLOOKUP(CONCATENATE("MEDIANA - ",C2165),COTAÇÃO,5,FALSE),VLOOKUP($C2165,DESON!$A:$D,4,))</f>
        <v>0,61</v>
      </c>
      <c r="J2165" s="209">
        <f t="shared" si="163"/>
        <v>2.87</v>
      </c>
    </row>
    <row r="2166" spans="1:10" ht="39" customHeight="1">
      <c r="A2166" s="208" t="s">
        <v>39</v>
      </c>
      <c r="B2166" s="241"/>
      <c r="C2166" s="1181">
        <v>36888</v>
      </c>
      <c r="D2166" s="161" t="str">
        <f>IF(B2166="SEPLAG",VLOOKUP(COMPOSIÇÕES!C2166,'MAPA COMPARATIVO'!A:B,2,FALSE),VLOOKUP(C2166,'NAO DESO'!A:B,2,0))</f>
        <v>GUARNICAO / MOLDURA / ARREMATE DE ACABAMENTO PARA ESQUADRIA, EM ALUMINIO PERFIL 25, ACABAMENTO ANODIZADO BRANCO OU BRILHANTE, PARA 1 FACE</v>
      </c>
      <c r="E2166" s="241" t="str">
        <f>VLOOKUP($C2166,'NAO DESO'!$A:$D,3,)</f>
        <v xml:space="preserve">M     </v>
      </c>
      <c r="F2166" s="1186">
        <v>2.2000000000000002</v>
      </c>
      <c r="G2166" s="242">
        <f>IF(B2166="SEPLAG",VLOOKUP(CONCATENATE("MEDIANA - ",C2166),COTAÇÃO,5,FALSE),VLOOKUP($C2166,'NAO DESO'!$A:$D,4,))</f>
        <v>43.85</v>
      </c>
      <c r="H2166" s="242">
        <f t="shared" si="162"/>
        <v>96.47</v>
      </c>
      <c r="I2166" s="54" t="str">
        <f>IF(B2166="SEPLAG",VLOOKUP(CONCATENATE("MEDIANA - ",C2166),COTAÇÃO,5,FALSE),VLOOKUP($C2166,DESON!$A:$D,4,))</f>
        <v>43,85</v>
      </c>
      <c r="J2166" s="209">
        <f t="shared" si="163"/>
        <v>96.47</v>
      </c>
    </row>
    <row r="2167" spans="1:10" ht="15" customHeight="1">
      <c r="A2167" s="208" t="s">
        <v>39</v>
      </c>
      <c r="B2167" s="241"/>
      <c r="C2167" s="1181">
        <v>88309</v>
      </c>
      <c r="D2167" s="161" t="str">
        <f>IF(B2167="SEPLAG",VLOOKUP(COMPOSIÇÕES!C2167,'MAPA COMPARATIVO'!A:B,2,FALSE),VLOOKUP(C2167,'NAO DESO'!A:B,2,0))</f>
        <v>PEDREIRO COM ENCARGOS COMPLEMENTARES</v>
      </c>
      <c r="E2167" s="241" t="str">
        <f>VLOOKUP($C2167,'NAO DESO'!$A:$D,3,)</f>
        <v>H</v>
      </c>
      <c r="F2167" s="1186">
        <v>0.28000000000000003</v>
      </c>
      <c r="G2167" s="242" t="str">
        <f>IF(B2167="SEPLAG",VLOOKUP(CONCATENATE("MEDIANA - ",C2167),COTAÇÃO,5,FALSE),VLOOKUP($C2167,'NAO DESO'!$A:$D,4,))</f>
        <v>21,10</v>
      </c>
      <c r="H2167" s="242">
        <f t="shared" si="162"/>
        <v>5.9</v>
      </c>
      <c r="I2167" s="54" t="str">
        <f>IF(B2167="SEPLAG",VLOOKUP(CONCATENATE("MEDIANA - ",C2167),COTAÇÃO,5,FALSE),VLOOKUP($C2167,DESON!$A:$D,4,))</f>
        <v>18,86</v>
      </c>
      <c r="J2167" s="209">
        <f t="shared" si="163"/>
        <v>5.28</v>
      </c>
    </row>
    <row r="2168" spans="1:10" ht="15" customHeight="1">
      <c r="A2168" s="208" t="s">
        <v>39</v>
      </c>
      <c r="B2168" s="241"/>
      <c r="C2168" s="1181">
        <v>88316</v>
      </c>
      <c r="D2168" s="161" t="str">
        <f>IF(B2168="SEPLAG",VLOOKUP(COMPOSIÇÕES!C2168,'MAPA COMPARATIVO'!A:B,2,FALSE),VLOOKUP(C2168,'NAO DESO'!A:B,2,0))</f>
        <v>SERVENTE COM ENCARGOS COMPLEMENTARES</v>
      </c>
      <c r="E2168" s="241" t="str">
        <f>VLOOKUP($C2168,'NAO DESO'!$A:$D,3,)</f>
        <v>H</v>
      </c>
      <c r="F2168" s="1186">
        <v>0.14000000000000001</v>
      </c>
      <c r="G2168" s="242" t="str">
        <f>IF(B2168="SEPLAG",VLOOKUP(CONCATENATE("MEDIANA - ",C2168),COTAÇÃO,5,FALSE),VLOOKUP($C2168,'NAO DESO'!$A:$D,4,))</f>
        <v>16,83</v>
      </c>
      <c r="H2168" s="242">
        <f t="shared" si="162"/>
        <v>2.35</v>
      </c>
      <c r="I2168" s="54" t="str">
        <f>IF(B2168="SEPLAG",VLOOKUP(CONCATENATE("MEDIANA - ",C2168),COTAÇÃO,5,FALSE),VLOOKUP($C2168,DESON!$A:$D,4,))</f>
        <v>15,16</v>
      </c>
      <c r="J2168" s="209">
        <f t="shared" si="163"/>
        <v>2.12</v>
      </c>
    </row>
    <row r="2169" spans="1:10" ht="15" customHeight="1">
      <c r="A2169" s="210" t="str">
        <f>CONCATENATE("TOTAL DO ITEM NÃO DESON. - ",C2160)</f>
        <v>TOTAL DO ITEM NÃO DESON. - SEPLAG ARQ 137</v>
      </c>
      <c r="B2169" s="424"/>
      <c r="C2169" s="424"/>
      <c r="D2169" s="424"/>
      <c r="E2169" s="424"/>
      <c r="F2169" s="425"/>
      <c r="G2169" s="426"/>
      <c r="H2169" s="1182">
        <f>SUM(H2163:H2168)</f>
        <v>2437.2399999999998</v>
      </c>
      <c r="I2169" s="214"/>
      <c r="J2169" s="215"/>
    </row>
    <row r="2170" spans="1:10" ht="15.75" customHeight="1" thickBot="1">
      <c r="A2170" s="216" t="str">
        <f>CONCATENATE("TOTAL DO ITEM DESON. - ",C2160)</f>
        <v>TOTAL DO ITEM DESON. - SEPLAG ARQ 137</v>
      </c>
      <c r="B2170" s="427"/>
      <c r="C2170" s="427"/>
      <c r="D2170" s="427"/>
      <c r="E2170" s="427"/>
      <c r="F2170" s="428"/>
      <c r="G2170" s="429"/>
      <c r="H2170" s="1187"/>
      <c r="I2170" s="229"/>
      <c r="J2170" s="219">
        <f>SUM(J2163:J2168)</f>
        <v>2436.39</v>
      </c>
    </row>
    <row r="2171" spans="1:10" ht="15" customHeight="1" thickBot="1">
      <c r="A2171" s="235"/>
      <c r="B2171" s="1135"/>
      <c r="C2171" s="1135"/>
      <c r="D2171" s="1135"/>
      <c r="E2171" s="1135"/>
      <c r="F2171" s="1188"/>
      <c r="G2171" s="1188"/>
      <c r="H2171" s="1188"/>
      <c r="I2171" s="236"/>
      <c r="J2171" s="237"/>
    </row>
    <row r="2172" spans="1:10" ht="38.25" customHeight="1">
      <c r="A2172" s="198"/>
      <c r="B2172" s="1175"/>
      <c r="C2172" s="1199" t="s">
        <v>13859</v>
      </c>
      <c r="D2172" s="156" t="s">
        <v>13860</v>
      </c>
      <c r="E2172" s="1176" t="s">
        <v>24</v>
      </c>
      <c r="F2172" s="1177" t="s">
        <v>18</v>
      </c>
      <c r="G2172" s="1178" t="s">
        <v>7017</v>
      </c>
      <c r="H2172" s="1179"/>
      <c r="I2172" s="200" t="s">
        <v>7016</v>
      </c>
      <c r="J2172" s="201"/>
    </row>
    <row r="2173" spans="1:10" ht="15" customHeight="1">
      <c r="A2173" s="233"/>
      <c r="B2173" s="247"/>
      <c r="C2173" s="1155"/>
      <c r="D2173" s="157"/>
      <c r="E2173" s="1155"/>
      <c r="F2173" s="1180"/>
      <c r="G2173" s="1180" t="s">
        <v>19</v>
      </c>
      <c r="H2173" s="1180" t="s">
        <v>20</v>
      </c>
      <c r="I2173" s="205" t="s">
        <v>19</v>
      </c>
      <c r="J2173" s="206" t="s">
        <v>20</v>
      </c>
    </row>
    <row r="2174" spans="1:10" ht="25.5" customHeight="1">
      <c r="A2174" s="208"/>
      <c r="B2174" s="241"/>
      <c r="C2174" s="241" t="s">
        <v>180</v>
      </c>
      <c r="D2174" s="1132" t="s">
        <v>242</v>
      </c>
      <c r="E2174" s="247"/>
      <c r="F2174" s="248"/>
      <c r="G2174" s="248"/>
      <c r="H2174" s="248"/>
      <c r="I2174" s="214"/>
      <c r="J2174" s="227"/>
    </row>
    <row r="2175" spans="1:10" ht="51.75" customHeight="1">
      <c r="A2175" s="208" t="s">
        <v>39</v>
      </c>
      <c r="B2175" s="241"/>
      <c r="C2175" s="1181">
        <v>3104</v>
      </c>
      <c r="D2175" s="161" t="str">
        <f>IF(B2175="SEPLAG",VLOOKUP(COMPOSIÇÕES!C2175,'MAPA COMPARATIVO'!A:B,2,FALSE),VLOOKUP(C2175,'NAO DESO'!A:B,2,0))</f>
        <v>CONJ. DE FERRAGENS PARA PORTA DE VIDRO TEMPERADO, EM ZAMAC CROMADO, CONTEMPLANDO DOBRADICA INF., DOBRADICA SUP., PIVO PARA DOBRADICA INF., PIVO PARA DOBRADICA SUP., FECHADURA CENTRAL EM ZAMC. CROMADO, CONTRA FECHADURA DE PRESSAO</v>
      </c>
      <c r="E2175" s="241" t="str">
        <f>VLOOKUP($C2175,'NAO DESO'!$A:$D,3,)</f>
        <v xml:space="preserve">CJ    </v>
      </c>
      <c r="F2175" s="242">
        <v>2</v>
      </c>
      <c r="G2175" s="242">
        <f>IF(B2175="SEPLAG",VLOOKUP(CONCATENATE("MEDIANA - ",C2175),COTAÇÃO,5,FALSE),VLOOKUP($C2175,'NAO DESO'!$A:$D,4,))</f>
        <v>142.9</v>
      </c>
      <c r="H2175" s="242">
        <f>TRUNC(F2175*G2175,2)</f>
        <v>285.8</v>
      </c>
      <c r="I2175" s="54" t="str">
        <f>IF(B2175="SEPLAG",VLOOKUP(CONCATENATE("MEDIANA - ",C2175),COTAÇÃO,5,FALSE),VLOOKUP($C2175,DESON!$A:$D,4,))</f>
        <v>142,90</v>
      </c>
      <c r="J2175" s="209">
        <f>TRUNC(F2175*I2175,2)</f>
        <v>285.8</v>
      </c>
    </row>
    <row r="2176" spans="1:10" ht="26.25" customHeight="1">
      <c r="A2176" s="208" t="s">
        <v>39</v>
      </c>
      <c r="B2176" s="241"/>
      <c r="C2176" s="1181">
        <v>5031</v>
      </c>
      <c r="D2176" s="161" t="str">
        <f>IF(B2176="SEPLAG",VLOOKUP(COMPOSIÇÕES!C2176,'MAPA COMPARATIVO'!A:B,2,FALSE),VLOOKUP(C2176,'NAO DESO'!A:B,2,0))</f>
        <v>VIDRO TEMPERADO INCOLOR PARA PORTA DE ABRIR, E = 10 MM (SEM FERRAGENS E SEM COLOCACAO)</v>
      </c>
      <c r="E2176" s="241" t="str">
        <f>VLOOKUP($C2176,'NAO DESO'!$A:$D,3,)</f>
        <v xml:space="preserve">M2    </v>
      </c>
      <c r="F2176" s="242">
        <f>2*1*2.5</f>
        <v>5</v>
      </c>
      <c r="G2176" s="242">
        <f>IF(B2176="SEPLAG",VLOOKUP(CONCATENATE("MEDIANA - ",C2176),COTAÇÃO,5,FALSE),VLOOKUP($C2176,'NAO DESO'!$A:$D,4,))</f>
        <v>500</v>
      </c>
      <c r="H2176" s="242">
        <f>TRUNC(F2176*G2176,2)</f>
        <v>2500</v>
      </c>
      <c r="I2176" s="54" t="str">
        <f>IF(B2176="SEPLAG",VLOOKUP(CONCATENATE("MEDIANA - ",C2176),COTAÇÃO,5,FALSE),VLOOKUP($C2176,DESON!$A:$D,4,))</f>
        <v>500,00</v>
      </c>
      <c r="J2176" s="209">
        <f>TRUNC(F2176*I2176,2)</f>
        <v>2500</v>
      </c>
    </row>
    <row r="2177" spans="1:10" ht="15" customHeight="1">
      <c r="A2177" s="208" t="s">
        <v>245</v>
      </c>
      <c r="B2177" s="241"/>
      <c r="C2177" s="1181">
        <v>88316</v>
      </c>
      <c r="D2177" s="161" t="str">
        <f>IF(B2177="SEPLAG",VLOOKUP(COMPOSIÇÕES!C2177,'MAPA COMPARATIVO'!A:B,2,FALSE),VLOOKUP(C2177,'NAO DESO'!A:B,2,0))</f>
        <v>SERVENTE COM ENCARGOS COMPLEMENTARES</v>
      </c>
      <c r="E2177" s="241" t="str">
        <f>VLOOKUP($C2177,'NAO DESO'!$A:$D,3,)</f>
        <v>H</v>
      </c>
      <c r="F2177" s="242">
        <v>3.98</v>
      </c>
      <c r="G2177" s="242" t="str">
        <f>IF(B2177="SEPLAG",VLOOKUP(CONCATENATE("MEDIANA - ",C2177),COTAÇÃO,5,FALSE),VLOOKUP($C2177,'NAO DESO'!$A:$D,4,))</f>
        <v>16,83</v>
      </c>
      <c r="H2177" s="242">
        <f>TRUNC(F2177*G2177,2)</f>
        <v>66.98</v>
      </c>
      <c r="I2177" s="54" t="str">
        <f>IF(B2177="SEPLAG",VLOOKUP(CONCATENATE("MEDIANA - ",C2177),COTAÇÃO,5,FALSE),VLOOKUP($C2177,DESON!$A:$D,4,))</f>
        <v>15,16</v>
      </c>
      <c r="J2177" s="209">
        <f>TRUNC(F2177*I2177,2)</f>
        <v>60.33</v>
      </c>
    </row>
    <row r="2178" spans="1:10" ht="15" customHeight="1">
      <c r="A2178" s="208" t="s">
        <v>245</v>
      </c>
      <c r="B2178" s="241"/>
      <c r="C2178" s="1181">
        <v>88325</v>
      </c>
      <c r="D2178" s="161" t="str">
        <f>IF(B2178="SEPLAG",VLOOKUP(COMPOSIÇÕES!C2178,'MAPA COMPARATIVO'!A:B,2,FALSE),VLOOKUP(C2178,'NAO DESO'!A:B,2,0))</f>
        <v>VIDRACEIRO COM ENCARGOS COMPLEMENTARES</v>
      </c>
      <c r="E2178" s="241" t="str">
        <f>VLOOKUP($C2178,'NAO DESO'!$A:$D,3,)</f>
        <v>H</v>
      </c>
      <c r="F2178" s="242">
        <v>4.0999999999999996</v>
      </c>
      <c r="G2178" s="242" t="str">
        <f>IF(B2178="SEPLAG",VLOOKUP(CONCATENATE("MEDIANA - ",C2178),COTAÇÃO,5,FALSE),VLOOKUP($C2178,'NAO DESO'!$A:$D,4,))</f>
        <v>18,78</v>
      </c>
      <c r="H2178" s="242">
        <f>TRUNC(F2178*G2178,2)</f>
        <v>76.989999999999995</v>
      </c>
      <c r="I2178" s="54" t="str">
        <f>IF(B2178="SEPLAG",VLOOKUP(CONCATENATE("MEDIANA - ",C2178),COTAÇÃO,5,FALSE),VLOOKUP($C2178,DESON!$A:$D,4,))</f>
        <v>16,86</v>
      </c>
      <c r="J2178" s="209">
        <f>TRUNC(F2178*I2178,2)</f>
        <v>69.12</v>
      </c>
    </row>
    <row r="2179" spans="1:10" ht="15" customHeight="1">
      <c r="A2179" s="210" t="str">
        <f>CONCATENATE("TOTAL DO ITEM NÃO DESON. - ",C2172)</f>
        <v>TOTAL DO ITEM NÃO DESON. - SEPLAG ARQ 138</v>
      </c>
      <c r="B2179" s="424"/>
      <c r="C2179" s="424"/>
      <c r="D2179" s="424"/>
      <c r="E2179" s="424"/>
      <c r="F2179" s="425"/>
      <c r="G2179" s="426"/>
      <c r="H2179" s="1182">
        <f>SUM(H2175:H2178)</f>
        <v>2929.77</v>
      </c>
      <c r="I2179" s="214"/>
      <c r="J2179" s="215"/>
    </row>
    <row r="2180" spans="1:10" ht="15.75" customHeight="1" thickBot="1">
      <c r="A2180" s="216" t="str">
        <f>CONCATENATE("TOTAL DO ITEM DESON. - ",C2172)</f>
        <v>TOTAL DO ITEM DESON. - SEPLAG ARQ 138</v>
      </c>
      <c r="B2180" s="427"/>
      <c r="C2180" s="427"/>
      <c r="D2180" s="427"/>
      <c r="E2180" s="427"/>
      <c r="F2180" s="428"/>
      <c r="G2180" s="429"/>
      <c r="H2180" s="1187"/>
      <c r="I2180" s="229"/>
      <c r="J2180" s="219">
        <f>SUM(J2175:J2178)</f>
        <v>2915.25</v>
      </c>
    </row>
    <row r="2181" spans="1:10" ht="15" customHeight="1" thickBot="1">
      <c r="A2181" s="235"/>
      <c r="B2181" s="1135"/>
      <c r="C2181" s="1135"/>
      <c r="D2181" s="1135"/>
      <c r="E2181" s="1135"/>
      <c r="F2181" s="1188"/>
      <c r="G2181" s="1188"/>
      <c r="H2181" s="1188"/>
      <c r="I2181" s="236"/>
      <c r="J2181" s="237"/>
    </row>
    <row r="2182" spans="1:10" ht="46.5" customHeight="1">
      <c r="A2182" s="230"/>
      <c r="B2182" s="1152"/>
      <c r="C2182" s="1176" t="s">
        <v>14210</v>
      </c>
      <c r="D2182" s="152" t="s">
        <v>13871</v>
      </c>
      <c r="E2182" s="1176" t="s">
        <v>24</v>
      </c>
      <c r="F2182" s="1177" t="s">
        <v>18</v>
      </c>
      <c r="G2182" s="1178" t="s">
        <v>7017</v>
      </c>
      <c r="H2182" s="1179"/>
      <c r="I2182" s="200" t="s">
        <v>7016</v>
      </c>
      <c r="J2182" s="201"/>
    </row>
    <row r="2183" spans="1:10" ht="18.75" customHeight="1">
      <c r="A2183" s="203"/>
      <c r="B2183" s="430"/>
      <c r="C2183" s="1155"/>
      <c r="D2183" s="158"/>
      <c r="E2183" s="1155"/>
      <c r="F2183" s="1180"/>
      <c r="G2183" s="1180" t="s">
        <v>19</v>
      </c>
      <c r="H2183" s="1180" t="s">
        <v>20</v>
      </c>
      <c r="I2183" s="205" t="s">
        <v>19</v>
      </c>
      <c r="J2183" s="206" t="s">
        <v>20</v>
      </c>
    </row>
    <row r="2184" spans="1:10" ht="15" customHeight="1">
      <c r="A2184" s="208"/>
      <c r="B2184" s="241"/>
      <c r="C2184" s="241"/>
      <c r="D2184" s="1132"/>
      <c r="E2184" s="247"/>
      <c r="F2184" s="248"/>
      <c r="G2184" s="248"/>
      <c r="H2184" s="248"/>
      <c r="I2184" s="214"/>
      <c r="J2184" s="227"/>
    </row>
    <row r="2185" spans="1:10" ht="15" customHeight="1">
      <c r="A2185" s="208" t="s">
        <v>39</v>
      </c>
      <c r="B2185" s="241" t="s">
        <v>14504</v>
      </c>
      <c r="C2185" s="241" t="s">
        <v>14286</v>
      </c>
      <c r="D2185" s="161" t="str">
        <f>IF(B2185="SEPLAG",VLOOKUP(COMPOSIÇÕES!C2185,'MAPA COMPARATIVO'!A:B,2,FALSE),VLOOKUP(C2185,'NAO DESO'!A:B,2,0))</f>
        <v>KIT PORTA PRONTA PRETA LISA SÓLIDA PORMADE.</v>
      </c>
      <c r="E2185" s="241" t="s">
        <v>256</v>
      </c>
      <c r="F2185" s="242">
        <v>1</v>
      </c>
      <c r="G2185" s="242">
        <f>IF(B2185="SEPLAG",VLOOKUP(CONCATENATE("MEDIANA - ",C2185),COTAÇÃO,5,FALSE),VLOOKUP($C2185,'NAO DESO'!$A:$D,4,))</f>
        <v>2534.3249999999998</v>
      </c>
      <c r="H2185" s="242">
        <f>TRUNC(F2185*G2185,2)</f>
        <v>2534.3200000000002</v>
      </c>
      <c r="I2185" s="54">
        <f>IF(B2185="SEPLAG",VLOOKUP(CONCATENATE("MEDIANA - ",C2185),COTAÇÃO,5,FALSE),VLOOKUP($C2185,DESON!$A:$D,4,))</f>
        <v>2534.3249999999998</v>
      </c>
      <c r="J2185" s="209">
        <f>TRUNC(F2185*I2185,2)</f>
        <v>2534.3200000000002</v>
      </c>
    </row>
    <row r="2186" spans="1:10" ht="15" customHeight="1">
      <c r="A2186" s="208" t="s">
        <v>245</v>
      </c>
      <c r="B2186" s="241"/>
      <c r="C2186" s="1181">
        <v>1214</v>
      </c>
      <c r="D2186" s="161" t="str">
        <f>IF(B2186="SEPLAG",VLOOKUP(COMPOSIÇÕES!C2186,'MAPA COMPARATIVO'!A:B,2,FALSE),VLOOKUP(C2186,'NAO DESO'!A:B,2,0))</f>
        <v>CARPINTEIRO DE ESQUADRIAS (HORISTA)</v>
      </c>
      <c r="E2186" s="241" t="str">
        <f>VLOOKUP($C2186,'NAO DESO'!$A:$D,3,)</f>
        <v xml:space="preserve">H     </v>
      </c>
      <c r="F2186" s="242">
        <v>1</v>
      </c>
      <c r="G2186" s="242">
        <f>IF(B2186="SEPLAG",VLOOKUP(CONCATENATE("MEDIANA - ",C2186),COTAÇÃO,5,FALSE),VLOOKUP($C2186,'NAO DESO'!$A:$D,4,))</f>
        <v>14.99</v>
      </c>
      <c r="H2186" s="242">
        <f>TRUNC(F2186*G2186,2)</f>
        <v>14.99</v>
      </c>
      <c r="I2186" s="54" t="str">
        <f>IF(B2186="SEPLAG",VLOOKUP(CONCATENATE("MEDIANA - ",C2186),COTAÇÃO,5,FALSE),VLOOKUP($C2186,DESON!$A:$D,4,))</f>
        <v>12,91</v>
      </c>
      <c r="J2186" s="209">
        <f>TRUNC(F2186*I2186,2)</f>
        <v>12.91</v>
      </c>
    </row>
    <row r="2187" spans="1:10" ht="15" customHeight="1">
      <c r="A2187" s="208" t="s">
        <v>245</v>
      </c>
      <c r="B2187" s="241"/>
      <c r="C2187" s="1181">
        <v>88316</v>
      </c>
      <c r="D2187" s="161" t="str">
        <f>IF(B2187="SEPLAG",VLOOKUP(COMPOSIÇÕES!C2187,'MAPA COMPARATIVO'!A:B,2,FALSE),VLOOKUP(C2187,'NAO DESO'!A:B,2,0))</f>
        <v>SERVENTE COM ENCARGOS COMPLEMENTARES</v>
      </c>
      <c r="E2187" s="241" t="str">
        <f>VLOOKUP($C2187,'NAO DESO'!$A:$D,3,)</f>
        <v>H</v>
      </c>
      <c r="F2187" s="242">
        <v>0.19</v>
      </c>
      <c r="G2187" s="242" t="str">
        <f>IF(B2187="SEPLAG",VLOOKUP(CONCATENATE("MEDIANA - ",C2187),COTAÇÃO,5,FALSE),VLOOKUP($C2187,'NAO DESO'!$A:$D,4,))</f>
        <v>16,83</v>
      </c>
      <c r="H2187" s="242">
        <f>TRUNC(F2187*G2187,2)</f>
        <v>3.19</v>
      </c>
      <c r="I2187" s="54" t="str">
        <f>IF(B2187="SEPLAG",VLOOKUP(CONCATENATE("MEDIANA - ",C2187),COTAÇÃO,5,FALSE),VLOOKUP($C2187,DESON!$A:$D,4,))</f>
        <v>15,16</v>
      </c>
      <c r="J2187" s="209">
        <f>TRUNC(F2187*I2187,2)</f>
        <v>2.88</v>
      </c>
    </row>
    <row r="2188" spans="1:10" ht="26.25" customHeight="1">
      <c r="A2188" s="208" t="s">
        <v>39</v>
      </c>
      <c r="B2188" s="241"/>
      <c r="C2188" s="1181">
        <v>11581</v>
      </c>
      <c r="D2188" s="161" t="str">
        <f>IF(B2188="SEPLAG",VLOOKUP(COMPOSIÇÕES!C2188,'MAPA COMPARATIVO'!A:B,2,FALSE),VLOOKUP(C2188,'NAO DESO'!A:B,2,0))</f>
        <v>TRILHO PANTOGRAFICO CONCAVO, TIPO U, EM ALUMINIO, COM DIMENSOES DE APROX *35 X 35* MM, PARA ROLDANA DE PORTA DE CORRER</v>
      </c>
      <c r="E2188" s="241" t="str">
        <f>VLOOKUP($C2188,'NAO DESO'!$A:$D,3,)</f>
        <v xml:space="preserve">M     </v>
      </c>
      <c r="F2188" s="1186">
        <v>1.19</v>
      </c>
      <c r="G2188" s="242">
        <f>IF(B2188="SEPLAG",VLOOKUP(CONCATENATE("MEDIANA - ",C2188),COTAÇÃO,5,FALSE),VLOOKUP($C2188,'NAO DESO'!$A:$D,4,))</f>
        <v>22.08</v>
      </c>
      <c r="H2188" s="242">
        <f>TRUNC(F2188*G2188,2)</f>
        <v>26.27</v>
      </c>
      <c r="I2188" s="54" t="str">
        <f>IF(B2188="SEPLAG",VLOOKUP(CONCATENATE("MEDIANA - ",C2188),COTAÇÃO,5,FALSE),VLOOKUP($C2188,DESON!$A:$D,4,))</f>
        <v>22,08</v>
      </c>
      <c r="J2188" s="209">
        <f>TRUNC(F2188*I2188,2)</f>
        <v>26.27</v>
      </c>
    </row>
    <row r="2189" spans="1:10" ht="26.25" customHeight="1">
      <c r="A2189" s="208" t="s">
        <v>39</v>
      </c>
      <c r="B2189" s="241"/>
      <c r="C2189" s="1181">
        <v>11575</v>
      </c>
      <c r="D2189" s="161" t="str">
        <f>IF(B2189="SEPLAG",VLOOKUP(COMPOSIÇÕES!C2189,'MAPA COMPARATIVO'!A:B,2,FALSE),VLOOKUP(C2189,'NAO DESO'!A:B,2,0))</f>
        <v>ROLDANA CONCAVA DUPLA, 4 RODAS, EM ZAMAC COM CHAPA DE LATAO, ROLAMENTOS EM ACO, PARA PORTAS E JANELAS DE CORRER</v>
      </c>
      <c r="E2189" s="241" t="str">
        <f>VLOOKUP($C2189,'NAO DESO'!$A:$D,3,)</f>
        <v xml:space="preserve">UN    </v>
      </c>
      <c r="F2189" s="1186">
        <v>1</v>
      </c>
      <c r="G2189" s="242">
        <f>IF(B2189="SEPLAG",VLOOKUP(CONCATENATE("MEDIANA - ",C2189),COTAÇÃO,5,FALSE),VLOOKUP($C2189,'NAO DESO'!$A:$D,4,))</f>
        <v>60.19</v>
      </c>
      <c r="H2189" s="242">
        <f>TRUNC(F2189*G2189,2)</f>
        <v>60.19</v>
      </c>
      <c r="I2189" s="54" t="str">
        <f>IF(B2189="SEPLAG",VLOOKUP(CONCATENATE("MEDIANA - ",C2189),COTAÇÃO,5,FALSE),VLOOKUP($C2189,DESON!$A:$D,4,))</f>
        <v>60,19</v>
      </c>
      <c r="J2189" s="209">
        <f>TRUNC(F2189*I2189,2)</f>
        <v>60.19</v>
      </c>
    </row>
    <row r="2190" spans="1:10" ht="15" customHeight="1">
      <c r="A2190" s="210" t="str">
        <f>CONCATENATE("TOTAL DO ITEM NÃO DESON. - ",C2182)</f>
        <v>TOTAL DO ITEM NÃO DESON. - SEPLAG ARQ 139</v>
      </c>
      <c r="B2190" s="424"/>
      <c r="C2190" s="424"/>
      <c r="D2190" s="424"/>
      <c r="E2190" s="424"/>
      <c r="F2190" s="425"/>
      <c r="G2190" s="426"/>
      <c r="H2190" s="1182">
        <f>SUM(H2185:H2189)</f>
        <v>2638.96</v>
      </c>
      <c r="I2190" s="214"/>
      <c r="J2190" s="215"/>
    </row>
    <row r="2191" spans="1:10" ht="15.75" customHeight="1" thickBot="1">
      <c r="A2191" s="216" t="str">
        <f>CONCATENATE("TOTAL DO ITEM DESON. - ",C2182)</f>
        <v>TOTAL DO ITEM DESON. - SEPLAG ARQ 139</v>
      </c>
      <c r="B2191" s="427"/>
      <c r="C2191" s="427"/>
      <c r="D2191" s="427"/>
      <c r="E2191" s="427"/>
      <c r="F2191" s="428"/>
      <c r="G2191" s="429"/>
      <c r="H2191" s="1187"/>
      <c r="I2191" s="229"/>
      <c r="J2191" s="219">
        <f>SUM(J2185:J2189)</f>
        <v>2636.57</v>
      </c>
    </row>
    <row r="2192" spans="1:10" ht="15" customHeight="1" thickBot="1">
      <c r="A2192" s="235"/>
      <c r="B2192" s="1135"/>
      <c r="C2192" s="1135"/>
      <c r="D2192" s="1135"/>
      <c r="E2192" s="1135"/>
      <c r="F2192" s="1188"/>
      <c r="G2192" s="1188"/>
      <c r="H2192" s="1188"/>
      <c r="I2192" s="236"/>
      <c r="J2192" s="237"/>
    </row>
    <row r="2193" spans="1:10" ht="46.5" customHeight="1">
      <c r="A2193" s="230"/>
      <c r="B2193" s="1152"/>
      <c r="C2193" s="1176" t="s">
        <v>14213</v>
      </c>
      <c r="D2193" s="152" t="s">
        <v>14232</v>
      </c>
      <c r="E2193" s="1176" t="s">
        <v>24</v>
      </c>
      <c r="F2193" s="1177" t="s">
        <v>18</v>
      </c>
      <c r="G2193" s="1178" t="s">
        <v>7017</v>
      </c>
      <c r="H2193" s="1179"/>
      <c r="I2193" s="200" t="s">
        <v>7016</v>
      </c>
      <c r="J2193" s="201"/>
    </row>
    <row r="2194" spans="1:10" ht="15" customHeight="1">
      <c r="A2194" s="203"/>
      <c r="B2194" s="430"/>
      <c r="C2194" s="1155"/>
      <c r="D2194" s="158"/>
      <c r="E2194" s="1155"/>
      <c r="F2194" s="1180"/>
      <c r="G2194" s="1180" t="s">
        <v>19</v>
      </c>
      <c r="H2194" s="1180" t="s">
        <v>20</v>
      </c>
      <c r="I2194" s="205" t="s">
        <v>19</v>
      </c>
      <c r="J2194" s="206" t="s">
        <v>20</v>
      </c>
    </row>
    <row r="2195" spans="1:10" ht="26.25" customHeight="1">
      <c r="A2195" s="208" t="s">
        <v>39</v>
      </c>
      <c r="B2195" s="241"/>
      <c r="C2195" s="241">
        <v>43692</v>
      </c>
      <c r="D2195" s="161" t="str">
        <f>IF(B2195="SEPLAG",VLOOKUP(COMPOSIÇÕES!C2195,'MAPA COMPARATIVO'!A:B,2,FALSE),VLOOKUP(C2195,'NAO DESO'!A:B,2,0))</f>
        <v>PERFIL "U" EM CHAPA ACO DOBRADA, E = 3,04 MM, H = 20 CM, ABAS = 5 CM (4,47 KG/M)</v>
      </c>
      <c r="E2195" s="241" t="str">
        <f>VLOOKUP($C2195,'NAO DESO'!$A:$D,3,)</f>
        <v xml:space="preserve">KG    </v>
      </c>
      <c r="F2195" s="1186">
        <v>822.13</v>
      </c>
      <c r="G2195" s="242">
        <f>IF(B2195="SEPLAG",VLOOKUP(CONCATENATE("MEDIANA - ",C2195),COTAÇÃO,5,FALSE),VLOOKUP($C2195,'NAO DESO'!$A:$D,4,))</f>
        <v>11.68</v>
      </c>
      <c r="H2195" s="242">
        <f t="shared" ref="H2195:H2200" si="164">TRUNC(F2195*G2195,2)</f>
        <v>9602.4699999999993</v>
      </c>
      <c r="I2195" s="54" t="str">
        <f>IF(B2195="SEPLAG",VLOOKUP(CONCATENATE("MEDIANA - ",C2195),COTAÇÃO,5,FALSE),VLOOKUP($C2195,DESON!$A:$D,4,))</f>
        <v>11,68</v>
      </c>
      <c r="J2195" s="209">
        <f t="shared" ref="J2195:J2200" si="165">TRUNC(F2195*I2195,2)</f>
        <v>9602.4699999999993</v>
      </c>
    </row>
    <row r="2196" spans="1:10" ht="15" customHeight="1">
      <c r="A2196" s="208" t="s">
        <v>245</v>
      </c>
      <c r="B2196" s="241"/>
      <c r="C2196" s="1181">
        <v>11002</v>
      </c>
      <c r="D2196" s="161" t="str">
        <f>IF(B2196="SEPLAG",VLOOKUP(COMPOSIÇÕES!C2196,'MAPA COMPARATIVO'!A:B,2,FALSE),VLOOKUP(C2196,'NAO DESO'!A:B,2,0))</f>
        <v>ELETRODO REVESTIDO AWS - E6013, DIAMETRO IGUAL A 2,50 MM</v>
      </c>
      <c r="E2196" s="241" t="str">
        <f>VLOOKUP($C2196,'NAO DESO'!$A:$D,3,)</f>
        <v xml:space="preserve">KG    </v>
      </c>
      <c r="F2196" s="1186">
        <f>0.015204*F2195</f>
        <v>12.49966452</v>
      </c>
      <c r="G2196" s="242">
        <f>IF(B2196="SEPLAG",VLOOKUP(CONCATENATE("MEDIANA - ",C2196),COTAÇÃO,5,FALSE),VLOOKUP($C2196,'NAO DESO'!$A:$D,4,))</f>
        <v>27.51</v>
      </c>
      <c r="H2196" s="242">
        <f t="shared" si="164"/>
        <v>343.86</v>
      </c>
      <c r="I2196" s="54" t="str">
        <f>IF(B2196="SEPLAG",VLOOKUP(CONCATENATE("MEDIANA - ",C2196),COTAÇÃO,5,FALSE),VLOOKUP($C2196,DESON!$A:$D,4,))</f>
        <v>27,51</v>
      </c>
      <c r="J2196" s="209">
        <f t="shared" si="165"/>
        <v>343.86</v>
      </c>
    </row>
    <row r="2197" spans="1:10" ht="15" customHeight="1">
      <c r="A2197" s="208" t="s">
        <v>245</v>
      </c>
      <c r="B2197" s="241"/>
      <c r="C2197" s="1181">
        <v>88251</v>
      </c>
      <c r="D2197" s="161" t="str">
        <f>IF(B2197="SEPLAG",VLOOKUP(COMPOSIÇÕES!C2197,'MAPA COMPARATIVO'!A:B,2,FALSE),VLOOKUP(C2197,'NAO DESO'!A:B,2,0))</f>
        <v>AUXILIAR DE SERRALHEIRO COM ENCARGOS COMPLEMENTARES</v>
      </c>
      <c r="E2197" s="241" t="str">
        <f>VLOOKUP($C2197,'NAO DESO'!$A:$D,3,)</f>
        <v>H</v>
      </c>
      <c r="F2197" s="1186">
        <f>0.920148*F2195</f>
        <v>756.48127523999995</v>
      </c>
      <c r="G2197" s="242" t="str">
        <f>IF(B2197="SEPLAG",VLOOKUP(CONCATENATE("MEDIANA - ",C2197),COTAÇÃO,5,FALSE),VLOOKUP($C2197,'NAO DESO'!$A:$D,4,))</f>
        <v>17,84</v>
      </c>
      <c r="H2197" s="242">
        <f t="shared" si="164"/>
        <v>13495.62</v>
      </c>
      <c r="I2197" s="54" t="str">
        <f>IF(B2197="SEPLAG",VLOOKUP(CONCATENATE("MEDIANA - ",C2197),COTAÇÃO,5,FALSE),VLOOKUP($C2197,DESON!$A:$D,4,))</f>
        <v>16,05</v>
      </c>
      <c r="J2197" s="209">
        <f t="shared" si="165"/>
        <v>12141.52</v>
      </c>
    </row>
    <row r="2198" spans="1:10" ht="15" customHeight="1">
      <c r="A2198" s="208" t="s">
        <v>39</v>
      </c>
      <c r="B2198" s="241"/>
      <c r="C2198" s="1181">
        <v>88315</v>
      </c>
      <c r="D2198" s="161" t="str">
        <f>IF(B2198="SEPLAG",VLOOKUP(COMPOSIÇÕES!C2198,'MAPA COMPARATIVO'!A:B,2,FALSE),VLOOKUP(C2198,'NAO DESO'!A:B,2,0))</f>
        <v>SERRALHEIRO COM ENCARGOS COMPLEMENTARES</v>
      </c>
      <c r="E2198" s="241" t="str">
        <f>VLOOKUP($C2198,'NAO DESO'!$A:$D,3,)</f>
        <v>H</v>
      </c>
      <c r="F2198" s="1186">
        <f>1.119778*F2195</f>
        <v>920.60308713999996</v>
      </c>
      <c r="G2198" s="242" t="str">
        <f>IF(B2198="SEPLAG",VLOOKUP(CONCATENATE("MEDIANA - ",C2198),COTAÇÃO,5,FALSE),VLOOKUP($C2198,'NAO DESO'!$A:$D,4,))</f>
        <v>20,97</v>
      </c>
      <c r="H2198" s="242">
        <f t="shared" si="164"/>
        <v>19305.04</v>
      </c>
      <c r="I2198" s="54" t="str">
        <f>IF(B2198="SEPLAG",VLOOKUP(CONCATENATE("MEDIANA - ",C2198),COTAÇÃO,5,FALSE),VLOOKUP($C2198,DESON!$A:$D,4,))</f>
        <v>18,75</v>
      </c>
      <c r="J2198" s="209">
        <f t="shared" si="165"/>
        <v>17261.3</v>
      </c>
    </row>
    <row r="2199" spans="1:10" ht="26.25" customHeight="1">
      <c r="A2199" s="208" t="s">
        <v>39</v>
      </c>
      <c r="B2199" s="241"/>
      <c r="C2199" s="241">
        <v>11963</v>
      </c>
      <c r="D2199" s="161" t="str">
        <f>IF(B2199="SEPLAG",VLOOKUP(COMPOSIÇÕES!C2199,'MAPA COMPARATIVO'!A:B,2,FALSE),VLOOKUP(C2199,'NAO DESO'!A:B,2,0))</f>
        <v>PARAFUSO DE ACO TIPO CHUMBADOR PARABOLT, DIAMETRO 1/2", COMPRIMENTO 75 MM</v>
      </c>
      <c r="E2199" s="241" t="str">
        <f>VLOOKUP($C2199,'NAO DESO'!$A:$D,3,)</f>
        <v xml:space="preserve">UN    </v>
      </c>
      <c r="F2199" s="1186">
        <v>16</v>
      </c>
      <c r="G2199" s="242">
        <f>IF(B2199="SEPLAG",VLOOKUP(CONCATENATE("MEDIANA - ",C2199),COTAÇÃO,5,FALSE),VLOOKUP($C2199,'NAO DESO'!$A:$D,4,))</f>
        <v>10.8</v>
      </c>
      <c r="H2199" s="242">
        <f t="shared" si="164"/>
        <v>172.8</v>
      </c>
      <c r="I2199" s="54" t="str">
        <f>IF(B2199="SEPLAG",VLOOKUP(CONCATENATE("MEDIANA - ",C2199),COTAÇÃO,5,FALSE),VLOOKUP($C2199,DESON!$A:$D,4,))</f>
        <v>10,80</v>
      </c>
      <c r="J2199" s="209">
        <f t="shared" si="165"/>
        <v>172.8</v>
      </c>
    </row>
    <row r="2200" spans="1:10" ht="51.75" customHeight="1">
      <c r="A2200" s="208" t="s">
        <v>39</v>
      </c>
      <c r="B2200" s="241"/>
      <c r="C2200" s="247">
        <v>5928</v>
      </c>
      <c r="D2200" s="161" t="str">
        <f>IF(B2200="SEPLAG",VLOOKUP(COMPOSIÇÕES!C2200,'MAPA COMPARATIVO'!A:B,2,FALSE),VLOOKUP(C2200,'NAO DESO'!A:B,2,0))</f>
        <v>GUINDAUTO HIDRÁULICO, CAPACIDADE MÁXIMA DE CARGA 6200 KG, MOMENTO MÁXIMO DE CARGA 11,7 TM, ALCANCE MÁXIMO HORIZONTAL 9,70 M, INCLUSIVE CAMINHÃO TOCO PBT 16.000 KG, POTÊNCIA DE 189 CV - CHP DIURNO. AF_06/2014</v>
      </c>
      <c r="E2200" s="241" t="str">
        <f>VLOOKUP($C2200,'NAO DESO'!$A:$D,3,)</f>
        <v>CHP</v>
      </c>
      <c r="F2200" s="248">
        <v>2</v>
      </c>
      <c r="G2200" s="242" t="str">
        <f>IF(B2200="SEPLAG",VLOOKUP(CONCATENATE("MEDIANA - ",C2200),COTAÇÃO,5,FALSE),VLOOKUP($C2200,'NAO DESO'!$A:$D,4,))</f>
        <v>231,97</v>
      </c>
      <c r="H2200" s="242">
        <f t="shared" si="164"/>
        <v>463.94</v>
      </c>
      <c r="I2200" s="54" t="str">
        <f>IF(B2200="SEPLAG",VLOOKUP(CONCATENATE("MEDIANA - ",C2200),COTAÇÃO,5,FALSE),VLOOKUP($C2200,DESON!$A:$D,4,))</f>
        <v>229,82</v>
      </c>
      <c r="J2200" s="209">
        <f t="shared" si="165"/>
        <v>459.64</v>
      </c>
    </row>
    <row r="2201" spans="1:10" ht="15" customHeight="1">
      <c r="A2201" s="210" t="str">
        <f>CONCATENATE("TOTAL DO ITEM NÃO DESON. - ",C2193)</f>
        <v>TOTAL DO ITEM NÃO DESON. - SEPLAG ARQ 140</v>
      </c>
      <c r="B2201" s="424"/>
      <c r="C2201" s="424"/>
      <c r="D2201" s="424"/>
      <c r="E2201" s="424"/>
      <c r="F2201" s="425"/>
      <c r="G2201" s="426"/>
      <c r="H2201" s="1182">
        <f>SUM(H2195:H2200)</f>
        <v>43383.73000000001</v>
      </c>
      <c r="I2201" s="214"/>
      <c r="J2201" s="215"/>
    </row>
    <row r="2202" spans="1:10" ht="15.75" customHeight="1" thickBot="1">
      <c r="A2202" s="216" t="str">
        <f>CONCATENATE("TOTAL DO ITEM DESON. - ",C2193)</f>
        <v>TOTAL DO ITEM DESON. - SEPLAG ARQ 140</v>
      </c>
      <c r="B2202" s="427"/>
      <c r="C2202" s="427"/>
      <c r="D2202" s="427"/>
      <c r="E2202" s="427"/>
      <c r="F2202" s="428"/>
      <c r="G2202" s="429"/>
      <c r="H2202" s="1187"/>
      <c r="I2202" s="229"/>
      <c r="J2202" s="219">
        <f>SUM(J2195:J2200)</f>
        <v>39981.589999999997</v>
      </c>
    </row>
    <row r="2203" spans="1:10" ht="15" customHeight="1" thickBot="1"/>
    <row r="2204" spans="1:10" ht="28.5" customHeight="1">
      <c r="A2204" s="230"/>
      <c r="B2204" s="1201"/>
      <c r="C2204" s="1176" t="s">
        <v>14214</v>
      </c>
      <c r="D2204" s="152" t="s">
        <v>14233</v>
      </c>
      <c r="E2204" s="1176" t="s">
        <v>250</v>
      </c>
      <c r="F2204" s="1177" t="s">
        <v>18</v>
      </c>
      <c r="G2204" s="1178" t="s">
        <v>7017</v>
      </c>
      <c r="H2204" s="1179"/>
      <c r="I2204" s="200" t="s">
        <v>7016</v>
      </c>
      <c r="J2204" s="201"/>
    </row>
    <row r="2205" spans="1:10" ht="15" customHeight="1">
      <c r="A2205" s="203"/>
      <c r="B2205" s="1202"/>
      <c r="C2205" s="1155"/>
      <c r="D2205" s="158"/>
      <c r="E2205" s="1155"/>
      <c r="F2205" s="1180"/>
      <c r="G2205" s="1180" t="s">
        <v>19</v>
      </c>
      <c r="H2205" s="1180" t="s">
        <v>20</v>
      </c>
      <c r="I2205" s="205" t="s">
        <v>19</v>
      </c>
      <c r="J2205" s="206" t="s">
        <v>20</v>
      </c>
    </row>
    <row r="2206" spans="1:10" ht="15" customHeight="1">
      <c r="A2206" s="208"/>
      <c r="B2206" s="1203"/>
      <c r="C2206" s="241"/>
      <c r="D2206" s="1132"/>
      <c r="E2206" s="247"/>
      <c r="F2206" s="248"/>
      <c r="G2206" s="248"/>
      <c r="H2206" s="248"/>
      <c r="I2206" s="214"/>
      <c r="J2206" s="227"/>
    </row>
    <row r="2207" spans="1:10" ht="15" customHeight="1">
      <c r="A2207" s="208" t="s">
        <v>245</v>
      </c>
      <c r="B2207" s="1203"/>
      <c r="C2207" s="241">
        <v>88309</v>
      </c>
      <c r="D2207" s="161" t="str">
        <f>IF(B2207="SEPLAG",VLOOKUP(COMPOSIÇÕES!C2207,'MAPA COMPARATIVO'!A:B,2,FALSE),VLOOKUP(C2207,'NAO DESO'!A:B,2,0))</f>
        <v>PEDREIRO COM ENCARGOS COMPLEMENTARES</v>
      </c>
      <c r="E2207" s="241" t="str">
        <f>VLOOKUP($C2207,'NAO DESO'!$A:$D,3,)</f>
        <v>H</v>
      </c>
      <c r="F2207" s="1186">
        <v>0.4</v>
      </c>
      <c r="G2207" s="242" t="str">
        <f>IF(B2207="SEPLAG",VLOOKUP(CONCATENATE("MEDIANA - ",C2207),COTAÇÃO,5,FALSE),VLOOKUP($C2207,'NAO DESO'!$A:$D,4,))</f>
        <v>21,10</v>
      </c>
      <c r="H2207" s="242">
        <f t="shared" ref="H2207:H2213" si="166">TRUNC(F2207*G2207,2)</f>
        <v>8.44</v>
      </c>
      <c r="I2207" s="54" t="str">
        <f>IF(B2207="SEPLAG",VLOOKUP(CONCATENATE("MEDIANA - ",C2207),COTAÇÃO,5,FALSE),VLOOKUP($C2207,DESON!$A:$D,4,))</f>
        <v>18,86</v>
      </c>
      <c r="J2207" s="209">
        <f t="shared" ref="J2207:J2213" si="167">TRUNC(F2207*I2207,2)</f>
        <v>7.54</v>
      </c>
    </row>
    <row r="2208" spans="1:10" ht="15" customHeight="1">
      <c r="A2208" s="208" t="s">
        <v>245</v>
      </c>
      <c r="B2208" s="1203"/>
      <c r="C2208" s="1181">
        <v>88315</v>
      </c>
      <c r="D2208" s="161" t="str">
        <f>IF(B2208="SEPLAG",VLOOKUP(COMPOSIÇÕES!C2208,'MAPA COMPARATIVO'!A:B,2,FALSE),VLOOKUP(C2208,'NAO DESO'!A:B,2,0))</f>
        <v>SERRALHEIRO COM ENCARGOS COMPLEMENTARES</v>
      </c>
      <c r="E2208" s="241" t="str">
        <f>VLOOKUP($C2208,'NAO DESO'!$A:$D,3,)</f>
        <v>H</v>
      </c>
      <c r="F2208" s="1186">
        <v>0.6</v>
      </c>
      <c r="G2208" s="242" t="str">
        <f>IF(B2208="SEPLAG",VLOOKUP(CONCATENATE("MEDIANA - ",C2208),COTAÇÃO,5,FALSE),VLOOKUP($C2208,'NAO DESO'!$A:$D,4,))</f>
        <v>20,97</v>
      </c>
      <c r="H2208" s="242">
        <f t="shared" si="166"/>
        <v>12.58</v>
      </c>
      <c r="I2208" s="54" t="str">
        <f>IF(B2208="SEPLAG",VLOOKUP(CONCATENATE("MEDIANA - ",C2208),COTAÇÃO,5,FALSE),VLOOKUP($C2208,DESON!$A:$D,4,))</f>
        <v>18,75</v>
      </c>
      <c r="J2208" s="209">
        <f t="shared" si="167"/>
        <v>11.25</v>
      </c>
    </row>
    <row r="2209" spans="1:10" ht="15" customHeight="1">
      <c r="A2209" s="208" t="s">
        <v>245</v>
      </c>
      <c r="B2209" s="1203"/>
      <c r="C2209" s="1181">
        <v>88316</v>
      </c>
      <c r="D2209" s="161" t="str">
        <f>IF(B2209="SEPLAG",VLOOKUP(COMPOSIÇÕES!C2209,'MAPA COMPARATIVO'!A:B,2,FALSE),VLOOKUP(C2209,'NAO DESO'!A:B,2,0))</f>
        <v>SERVENTE COM ENCARGOS COMPLEMENTARES</v>
      </c>
      <c r="E2209" s="241" t="str">
        <f>VLOOKUP($C2209,'NAO DESO'!$A:$D,3,)</f>
        <v>H</v>
      </c>
      <c r="F2209" s="1186">
        <v>1</v>
      </c>
      <c r="G2209" s="242" t="str">
        <f>IF(B2209="SEPLAG",VLOOKUP(CONCATENATE("MEDIANA - ",C2209),COTAÇÃO,5,FALSE),VLOOKUP($C2209,'NAO DESO'!$A:$D,4,))</f>
        <v>16,83</v>
      </c>
      <c r="H2209" s="242">
        <f t="shared" si="166"/>
        <v>16.829999999999998</v>
      </c>
      <c r="I2209" s="54" t="str">
        <f>IF(B2209="SEPLAG",VLOOKUP(CONCATENATE("MEDIANA - ",C2209),COTAÇÃO,5,FALSE),VLOOKUP($C2209,DESON!$A:$D,4,))</f>
        <v>15,16</v>
      </c>
      <c r="J2209" s="209">
        <f t="shared" si="167"/>
        <v>15.16</v>
      </c>
    </row>
    <row r="2210" spans="1:10" ht="15" customHeight="1">
      <c r="A2210" s="208" t="s">
        <v>39</v>
      </c>
      <c r="B2210" s="1203"/>
      <c r="C2210" s="1181">
        <v>88317</v>
      </c>
      <c r="D2210" s="161" t="str">
        <f>IF(B2210="SEPLAG",VLOOKUP(COMPOSIÇÕES!C2210,'MAPA COMPARATIVO'!A:B,2,FALSE),VLOOKUP(C2210,'NAO DESO'!A:B,2,0))</f>
        <v>SOLDADOR COM ENCARGOS COMPLEMENTARES</v>
      </c>
      <c r="E2210" s="241" t="str">
        <f>VLOOKUP($C2210,'NAO DESO'!$A:$D,3,)</f>
        <v>H</v>
      </c>
      <c r="F2210" s="1186">
        <v>0.6</v>
      </c>
      <c r="G2210" s="242" t="str">
        <f>IF(B2210="SEPLAG",VLOOKUP(CONCATENATE("MEDIANA - ",C2210),COTAÇÃO,5,FALSE),VLOOKUP($C2210,'NAO DESO'!$A:$D,4,))</f>
        <v>21,79</v>
      </c>
      <c r="H2210" s="242">
        <f t="shared" si="166"/>
        <v>13.07</v>
      </c>
      <c r="I2210" s="54" t="str">
        <f>IF(B2210="SEPLAG",VLOOKUP(CONCATENATE("MEDIANA - ",C2210),COTAÇÃO,5,FALSE),VLOOKUP($C2210,DESON!$A:$D,4,))</f>
        <v>19,57</v>
      </c>
      <c r="J2210" s="209">
        <f t="shared" si="167"/>
        <v>11.74</v>
      </c>
    </row>
    <row r="2211" spans="1:10" ht="15" customHeight="1">
      <c r="A2211" s="208" t="s">
        <v>39</v>
      </c>
      <c r="B2211" s="1203"/>
      <c r="C2211" s="1181">
        <v>11002</v>
      </c>
      <c r="D2211" s="161" t="str">
        <f>IF(B2211="SEPLAG",VLOOKUP(COMPOSIÇÕES!C2211,'MAPA COMPARATIVO'!A:B,2,FALSE),VLOOKUP(C2211,'NAO DESO'!A:B,2,0))</f>
        <v>ELETRODO REVESTIDO AWS - E6013, DIAMETRO IGUAL A 2,50 MM</v>
      </c>
      <c r="E2211" s="241" t="str">
        <f>VLOOKUP($C2211,'NAO DESO'!$A:$D,3,)</f>
        <v xml:space="preserve">KG    </v>
      </c>
      <c r="F2211" s="1186">
        <v>0.8</v>
      </c>
      <c r="G2211" s="242">
        <f>IF(B2211="SEPLAG",VLOOKUP(CONCATENATE("MEDIANA - ",C2211),COTAÇÃO,5,FALSE),VLOOKUP($C2211,'NAO DESO'!$A:$D,4,))</f>
        <v>27.51</v>
      </c>
      <c r="H2211" s="242">
        <f t="shared" si="166"/>
        <v>22</v>
      </c>
      <c r="I2211" s="54" t="str">
        <f>IF(B2211="SEPLAG",VLOOKUP(CONCATENATE("MEDIANA - ",C2211),COTAÇÃO,5,FALSE),VLOOKUP($C2211,DESON!$A:$D,4,))</f>
        <v>27,51</v>
      </c>
      <c r="J2211" s="209">
        <f t="shared" si="167"/>
        <v>22</v>
      </c>
    </row>
    <row r="2212" spans="1:10" ht="39" customHeight="1">
      <c r="A2212" s="251" t="s">
        <v>39</v>
      </c>
      <c r="B2212" s="1204"/>
      <c r="C2212" s="1205">
        <v>92365</v>
      </c>
      <c r="D2212" s="161" t="str">
        <f>IF(B2212="SEPLAG",VLOOKUP(COMPOSIÇÕES!C2212,'MAPA COMPARATIVO'!A:B,2,FALSE),VLOOKUP(C2212,'NAO DESO'!A:B,2,0))</f>
        <v>TUBO DE AÇO GALVANIZADO COM COSTURA, CLASSE MÉDIA, DN 40 (1 1/2"), CONEXÃO ROSQUEADA, INSTALADO EM REDE DE ALIMENTAÇÃO PARA HIDRANTE - FORNECIMENTO E INSTALAÇÃO. AF_10/2020</v>
      </c>
      <c r="E2212" s="1206" t="str">
        <f>VLOOKUP($C2212,'NAO DESO'!$A:$D,3,)</f>
        <v>M</v>
      </c>
      <c r="F2212" s="1207">
        <v>5.63</v>
      </c>
      <c r="G2212" s="242" t="str">
        <f>IF(B2212="SEPLAG",VLOOKUP(CONCATENATE("MEDIANA - ",C2212),COTAÇÃO,5,FALSE),VLOOKUP($C2212,'NAO DESO'!$A:$D,4,))</f>
        <v>73,12</v>
      </c>
      <c r="H2212" s="242">
        <f t="shared" si="166"/>
        <v>411.66</v>
      </c>
      <c r="I2212" s="54" t="str">
        <f>IF(B2212="SEPLAG",VLOOKUP(CONCATENATE("MEDIANA - ",C2212),COTAÇÃO,5,FALSE),VLOOKUP($C2212,DESON!$A:$D,4,))</f>
        <v>72,33</v>
      </c>
      <c r="J2212" s="209">
        <f t="shared" si="167"/>
        <v>407.21</v>
      </c>
    </row>
    <row r="2213" spans="1:10" ht="39" customHeight="1">
      <c r="A2213" s="251" t="s">
        <v>39</v>
      </c>
      <c r="B2213" s="1204"/>
      <c r="C2213" s="1208">
        <v>87314</v>
      </c>
      <c r="D2213" s="161" t="str">
        <f>IF(B2213="SEPLAG",VLOOKUP(COMPOSIÇÕES!C2213,'MAPA COMPARATIVO'!A:B,2,FALSE),VLOOKUP(C2213,'NAO DESO'!A:B,2,0))</f>
        <v>ARGAMASSA TRAÇO 1:3 (EM VOLUME DE CIMENTO E AREIA GROSSA ÚMIDA) PARA CHAPISCO CONVENCIONAL, PREPARO MECÂNICO COM BETONEIRA 600 L. AF_08/2019</v>
      </c>
      <c r="E2213" s="1206" t="str">
        <f>VLOOKUP($C2213,'NAO DESO'!$A:$D,3,)</f>
        <v>M3</v>
      </c>
      <c r="F2213" s="1209">
        <v>3.0000000000000001E-3</v>
      </c>
      <c r="G2213" s="242" t="str">
        <f>IF(B2213="SEPLAG",VLOOKUP(CONCATENATE("MEDIANA - ",C2213),COTAÇÃO,5,FALSE),VLOOKUP($C2213,'NAO DESO'!$A:$D,4,))</f>
        <v>453,42</v>
      </c>
      <c r="H2213" s="242">
        <f t="shared" si="166"/>
        <v>1.36</v>
      </c>
      <c r="I2213" s="54" t="str">
        <f>IF(B2213="SEPLAG",VLOOKUP(CONCATENATE("MEDIANA - ",C2213),COTAÇÃO,5,FALSE),VLOOKUP($C2213,DESON!$A:$D,4,))</f>
        <v>447,50</v>
      </c>
      <c r="J2213" s="209">
        <f t="shared" si="167"/>
        <v>1.34</v>
      </c>
    </row>
    <row r="2214" spans="1:10" ht="15" customHeight="1">
      <c r="A2214" s="210" t="str">
        <f>CONCATENATE("TOTAL DO ITEM NÃO DESON. - ",C2204)</f>
        <v>TOTAL DO ITEM NÃO DESON. - SEPLAG ARQ 141</v>
      </c>
      <c r="B2214" s="424"/>
      <c r="C2214" s="424"/>
      <c r="D2214" s="424"/>
      <c r="E2214" s="424"/>
      <c r="F2214" s="425"/>
      <c r="G2214" s="426"/>
      <c r="H2214" s="1182">
        <f>SUM(H2207:H2213)</f>
        <v>485.94000000000005</v>
      </c>
      <c r="I2214" s="214"/>
      <c r="J2214" s="440"/>
    </row>
    <row r="2215" spans="1:10" ht="15.75" customHeight="1" thickBot="1">
      <c r="A2215" s="216" t="str">
        <f>CONCATENATE("TOTAL DO ITEM DESON. - ",C2204)</f>
        <v>TOTAL DO ITEM DESON. - SEPLAG ARQ 141</v>
      </c>
      <c r="B2215" s="427"/>
      <c r="C2215" s="427"/>
      <c r="D2215" s="427"/>
      <c r="E2215" s="427"/>
      <c r="F2215" s="428"/>
      <c r="G2215" s="429"/>
      <c r="H2215" s="1187"/>
      <c r="I2215" s="229"/>
      <c r="J2215" s="219">
        <f>SUM(J2207:J2213)</f>
        <v>476.23999999999995</v>
      </c>
    </row>
    <row r="2216" spans="1:10" ht="15" customHeight="1" thickBot="1"/>
    <row r="2217" spans="1:10" ht="24.75" customHeight="1">
      <c r="A2217" s="230"/>
      <c r="B2217" s="1201"/>
      <c r="C2217" s="1176" t="s">
        <v>14215</v>
      </c>
      <c r="D2217" s="152" t="s">
        <v>14234</v>
      </c>
      <c r="E2217" s="1176" t="s">
        <v>250</v>
      </c>
      <c r="F2217" s="1177" t="s">
        <v>18</v>
      </c>
      <c r="G2217" s="1178" t="s">
        <v>7017</v>
      </c>
      <c r="H2217" s="1179"/>
      <c r="I2217" s="200" t="s">
        <v>7016</v>
      </c>
      <c r="J2217" s="201"/>
    </row>
    <row r="2218" spans="1:10" ht="15" customHeight="1">
      <c r="A2218" s="203"/>
      <c r="B2218" s="1202"/>
      <c r="C2218" s="1155"/>
      <c r="D2218" s="158"/>
      <c r="E2218" s="1155"/>
      <c r="F2218" s="1180"/>
      <c r="G2218" s="1180" t="s">
        <v>19</v>
      </c>
      <c r="H2218" s="1180" t="s">
        <v>20</v>
      </c>
      <c r="I2218" s="205" t="s">
        <v>19</v>
      </c>
      <c r="J2218" s="206" t="s">
        <v>20</v>
      </c>
    </row>
    <row r="2219" spans="1:10" ht="15" customHeight="1">
      <c r="A2219" s="208"/>
      <c r="B2219" s="1203"/>
      <c r="C2219" s="241"/>
      <c r="D2219" s="1132" t="s">
        <v>14200</v>
      </c>
      <c r="E2219" s="247"/>
      <c r="F2219" s="248"/>
      <c r="G2219" s="248"/>
      <c r="H2219" s="248"/>
      <c r="I2219" s="214"/>
      <c r="J2219" s="227"/>
    </row>
    <row r="2220" spans="1:10" ht="15" customHeight="1">
      <c r="A2220" s="208" t="s">
        <v>245</v>
      </c>
      <c r="B2220" s="1203"/>
      <c r="C2220" s="241">
        <v>88309</v>
      </c>
      <c r="D2220" s="161" t="str">
        <f>IF(B2220="SEPLAG",VLOOKUP(COMPOSIÇÕES!C2220,'MAPA COMPARATIVO'!A:B,2,FALSE),VLOOKUP(C2220,'NAO DESO'!A:B,2,0))</f>
        <v>PEDREIRO COM ENCARGOS COMPLEMENTARES</v>
      </c>
      <c r="E2220" s="241" t="str">
        <f>VLOOKUP($C2220,'NAO DESO'!$A:$D,3,)</f>
        <v>H</v>
      </c>
      <c r="F2220" s="1186">
        <v>0.4</v>
      </c>
      <c r="G2220" s="242" t="str">
        <f>IF(B2220="SEPLAG",VLOOKUP(CONCATENATE("MEDIANA - ",C2220),COTAÇÃO,5,FALSE),VLOOKUP($C2220,'NAO DESO'!$A:$D,4,))</f>
        <v>21,10</v>
      </c>
      <c r="H2220" s="242">
        <f>TRUNC(F2220*G2220,2)</f>
        <v>8.44</v>
      </c>
      <c r="I2220" s="54" t="str">
        <f>IF(B2220="SEPLAG",VLOOKUP(CONCATENATE("MEDIANA - ",C2220),COTAÇÃO,5,FALSE),VLOOKUP($C2220,DESON!$A:$D,4,))</f>
        <v>18,86</v>
      </c>
      <c r="J2220" s="209">
        <f>TRUNC(F2220*I2220,2)</f>
        <v>7.54</v>
      </c>
    </row>
    <row r="2221" spans="1:10" ht="15" customHeight="1">
      <c r="A2221" s="208" t="s">
        <v>245</v>
      </c>
      <c r="B2221" s="1203"/>
      <c r="C2221" s="1181">
        <v>88316</v>
      </c>
      <c r="D2221" s="161" t="str">
        <f>IF(B2221="SEPLAG",VLOOKUP(COMPOSIÇÕES!C2221,'MAPA COMPARATIVO'!A:B,2,FALSE),VLOOKUP(C2221,'NAO DESO'!A:B,2,0))</f>
        <v>SERVENTE COM ENCARGOS COMPLEMENTARES</v>
      </c>
      <c r="E2221" s="241" t="str">
        <f>VLOOKUP($C2221,'NAO DESO'!$A:$D,3,)</f>
        <v>H</v>
      </c>
      <c r="F2221" s="1186">
        <v>0.8</v>
      </c>
      <c r="G2221" s="242" t="str">
        <f>IF(B2221="SEPLAG",VLOOKUP(CONCATENATE("MEDIANA - ",C2221),COTAÇÃO,5,FALSE),VLOOKUP($C2221,'NAO DESO'!$A:$D,4,))</f>
        <v>16,83</v>
      </c>
      <c r="H2221" s="242">
        <f>TRUNC(F2221*G2221,2)</f>
        <v>13.46</v>
      </c>
      <c r="I2221" s="54" t="str">
        <f>IF(B2221="SEPLAG",VLOOKUP(CONCATENATE("MEDIANA - ",C2221),COTAÇÃO,5,FALSE),VLOOKUP($C2221,DESON!$A:$D,4,))</f>
        <v>15,16</v>
      </c>
      <c r="J2221" s="209">
        <f>TRUNC(F2221*I2221,2)</f>
        <v>12.12</v>
      </c>
    </row>
    <row r="2222" spans="1:10" ht="15" customHeight="1">
      <c r="A2222" s="208" t="s">
        <v>39</v>
      </c>
      <c r="B2222" s="1203"/>
      <c r="C2222" s="1181">
        <v>43055</v>
      </c>
      <c r="D2222" s="161" t="str">
        <f>IF(B2222="SEPLAG",VLOOKUP(COMPOSIÇÕES!C2222,'MAPA COMPARATIVO'!A:B,2,FALSE),VLOOKUP(C2222,'NAO DESO'!A:B,2,0))</f>
        <v>ACO CA-50, 12,5 MM OU 16,0 MM, VERGALHAO</v>
      </c>
      <c r="E2222" s="241" t="str">
        <f>VLOOKUP($C2222,'NAO DESO'!$A:$D,3,)</f>
        <v xml:space="preserve">KG    </v>
      </c>
      <c r="F2222" s="1186">
        <v>5.18</v>
      </c>
      <c r="G2222" s="242">
        <f>IF(B2222="SEPLAG",VLOOKUP(CONCATENATE("MEDIANA - ",C2222),COTAÇÃO,5,FALSE),VLOOKUP($C2222,'NAO DESO'!$A:$D,4,))</f>
        <v>9.07</v>
      </c>
      <c r="H2222" s="242">
        <f>TRUNC(F2222*G2222,2)</f>
        <v>46.98</v>
      </c>
      <c r="I2222" s="54" t="str">
        <f>IF(B2222="SEPLAG",VLOOKUP(CONCATENATE("MEDIANA - ",C2222),COTAÇÃO,5,FALSE),VLOOKUP($C2222,DESON!$A:$D,4,))</f>
        <v>9,07</v>
      </c>
      <c r="J2222" s="209">
        <f>TRUNC(F2222*I2222,2)</f>
        <v>46.98</v>
      </c>
    </row>
    <row r="2223" spans="1:10" ht="39" customHeight="1">
      <c r="A2223" s="208" t="s">
        <v>39</v>
      </c>
      <c r="B2223" s="241"/>
      <c r="C2223" s="1181">
        <v>87314</v>
      </c>
      <c r="D2223" s="161" t="str">
        <f>IF(B2223="SEPLAG",VLOOKUP(COMPOSIÇÕES!C2223,'MAPA COMPARATIVO'!A:B,2,FALSE),VLOOKUP(C2223,'NAO DESO'!A:B,2,0))</f>
        <v>ARGAMASSA TRAÇO 1:3 (EM VOLUME DE CIMENTO E AREIA GROSSA ÚMIDA) PARA CHAPISCO CONVENCIONAL, PREPARO MECÂNICO COM BETONEIRA 600 L. AF_08/2019</v>
      </c>
      <c r="E2223" s="241" t="str">
        <f>VLOOKUP($C2223,'NAO DESO'!$A:$D,3,)</f>
        <v>M3</v>
      </c>
      <c r="F2223" s="1186">
        <v>3.0000000000000001E-3</v>
      </c>
      <c r="G2223" s="242" t="str">
        <f>IF(B2223="SEPLAG",VLOOKUP(CONCATENATE("MEDIANA - ",C2223),COTAÇÃO,5,FALSE),VLOOKUP($C2223,'NAO DESO'!$A:$D,4,))</f>
        <v>453,42</v>
      </c>
      <c r="H2223" s="242">
        <f>TRUNC(F2223*G2223,2)</f>
        <v>1.36</v>
      </c>
      <c r="I2223" s="54" t="str">
        <f>IF(B2223="SEPLAG",VLOOKUP(CONCATENATE("MEDIANA - ",C2223),COTAÇÃO,5,FALSE),VLOOKUP($C2223,DESON!$A:$D,4,))</f>
        <v>447,50</v>
      </c>
      <c r="J2223" s="209">
        <f>TRUNC(F2223*I2223,2)</f>
        <v>1.34</v>
      </c>
    </row>
    <row r="2224" spans="1:10" ht="15" customHeight="1">
      <c r="A2224" s="210" t="str">
        <f>CONCATENATE("TOTAL DO ITEM NÃO DESON. - ",C2217)</f>
        <v>TOTAL DO ITEM NÃO DESON. - SEPLAG ARQ 142</v>
      </c>
      <c r="B2224" s="424"/>
      <c r="C2224" s="424"/>
      <c r="D2224" s="424"/>
      <c r="E2224" s="424"/>
      <c r="F2224" s="425"/>
      <c r="G2224" s="426"/>
      <c r="H2224" s="1182">
        <f>SUM(H2220:H2223)</f>
        <v>70.239999999999995</v>
      </c>
      <c r="I2224" s="214"/>
      <c r="J2224" s="215"/>
    </row>
    <row r="2225" spans="1:10" ht="15.75" customHeight="1" thickBot="1">
      <c r="A2225" s="216" t="str">
        <f>CONCATENATE("TOTAL DO ITEM DESON. - ",C2217)</f>
        <v>TOTAL DO ITEM DESON. - SEPLAG ARQ 142</v>
      </c>
      <c r="B2225" s="427"/>
      <c r="C2225" s="427"/>
      <c r="D2225" s="427"/>
      <c r="E2225" s="427"/>
      <c r="F2225" s="428"/>
      <c r="G2225" s="429"/>
      <c r="H2225" s="1187"/>
      <c r="I2225" s="229"/>
      <c r="J2225" s="219">
        <f>SUM(J2220:J2223)</f>
        <v>67.98</v>
      </c>
    </row>
    <row r="2226" spans="1:10" ht="15" customHeight="1" thickBot="1"/>
    <row r="2227" spans="1:10" ht="27" customHeight="1">
      <c r="A2227" s="230"/>
      <c r="B2227" s="1201"/>
      <c r="C2227" s="1176" t="s">
        <v>14241</v>
      </c>
      <c r="D2227" s="152" t="s">
        <v>14209</v>
      </c>
      <c r="E2227" s="1176" t="s">
        <v>24</v>
      </c>
      <c r="F2227" s="1177" t="s">
        <v>18</v>
      </c>
      <c r="G2227" s="1178" t="s">
        <v>7017</v>
      </c>
      <c r="H2227" s="1179"/>
      <c r="I2227" s="200" t="s">
        <v>7016</v>
      </c>
      <c r="J2227" s="201"/>
    </row>
    <row r="2228" spans="1:10" ht="15" customHeight="1">
      <c r="A2228" s="203"/>
      <c r="B2228" s="1202"/>
      <c r="C2228" s="1155"/>
      <c r="D2228" s="158"/>
      <c r="E2228" s="1155"/>
      <c r="F2228" s="1180"/>
      <c r="G2228" s="1180" t="s">
        <v>19</v>
      </c>
      <c r="H2228" s="1180" t="s">
        <v>20</v>
      </c>
      <c r="I2228" s="205" t="s">
        <v>19</v>
      </c>
      <c r="J2228" s="206" t="s">
        <v>20</v>
      </c>
    </row>
    <row r="2229" spans="1:10" ht="15" customHeight="1">
      <c r="A2229" s="208"/>
      <c r="B2229" s="1203"/>
      <c r="C2229" s="241"/>
      <c r="D2229" s="1141" t="s">
        <v>14201</v>
      </c>
      <c r="E2229" s="247"/>
      <c r="F2229" s="248"/>
      <c r="G2229" s="248"/>
      <c r="H2229" s="248"/>
      <c r="I2229" s="214"/>
      <c r="J2229" s="227"/>
    </row>
    <row r="2230" spans="1:10" ht="15" customHeight="1">
      <c r="A2230" s="208" t="s">
        <v>245</v>
      </c>
      <c r="B2230" s="1203"/>
      <c r="C2230" s="241">
        <v>88309</v>
      </c>
      <c r="D2230" s="161" t="str">
        <f>IF(B2230="SEPLAG",VLOOKUP(COMPOSIÇÕES!C2230,'MAPA COMPARATIVO'!A:B,2,FALSE),VLOOKUP(C2230,'NAO DESO'!A:B,2,0))</f>
        <v>PEDREIRO COM ENCARGOS COMPLEMENTARES</v>
      </c>
      <c r="E2230" s="241" t="str">
        <f>VLOOKUP($C2230,'NAO DESO'!$A:$D,3,)</f>
        <v>H</v>
      </c>
      <c r="F2230" s="1186">
        <v>0.1</v>
      </c>
      <c r="G2230" s="242" t="str">
        <f>IF(B2230="SEPLAG",VLOOKUP(CONCATENATE("MEDIANA - ",C2230),COTAÇÃO,5,FALSE),VLOOKUP($C2230,'NAO DESO'!$A:$D,4,))</f>
        <v>21,10</v>
      </c>
      <c r="H2230" s="242">
        <f>TRUNC(F2230*G2230,2)</f>
        <v>2.11</v>
      </c>
      <c r="I2230" s="54" t="str">
        <f>IF(B2230="SEPLAG",VLOOKUP(CONCATENATE("MEDIANA - ",C2230),COTAÇÃO,5,FALSE),VLOOKUP($C2230,DESON!$A:$D,4,))</f>
        <v>18,86</v>
      </c>
      <c r="J2230" s="209">
        <f>TRUNC(F2230*I2230,2)</f>
        <v>1.88</v>
      </c>
    </row>
    <row r="2231" spans="1:10" ht="15" customHeight="1">
      <c r="A2231" s="208" t="s">
        <v>39</v>
      </c>
      <c r="B2231" s="241" t="s">
        <v>14504</v>
      </c>
      <c r="C2231" s="1181" t="s">
        <v>14349</v>
      </c>
      <c r="D2231" s="161" t="str">
        <f>IF(B2231="SEPLAG",VLOOKUP(COMPOSIÇÕES!C2231,'MAPA COMPARATIVO'!A:B,2,FALSE),VLOOKUP(C2231,'NAO DESO'!A:B,2,0))</f>
        <v>TAMPÃO FERRO FUNDIDO ARTICULADO</v>
      </c>
      <c r="E2231" s="241" t="s">
        <v>24</v>
      </c>
      <c r="F2231" s="1186">
        <v>1</v>
      </c>
      <c r="G2231" s="242">
        <f>IF(B2231="SEPLAG",VLOOKUP(CONCATENATE("MEDIANA - ",C2231),COTAÇÃO,5,FALSE),VLOOKUP($C2231,'NAO DESO'!$A:$D,4,))</f>
        <v>940.35</v>
      </c>
      <c r="H2231" s="242">
        <f>TRUNC(F2231*G2231,2)</f>
        <v>940.35</v>
      </c>
      <c r="I2231" s="54">
        <f>IF(B2231="SEPLAG",VLOOKUP(CONCATENATE("MEDIANA - ",C2231),COTAÇÃO,5,FALSE),VLOOKUP($C2231,DESON!$A:$D,4,))</f>
        <v>940.35</v>
      </c>
      <c r="J2231" s="209">
        <f>TRUNC(F2231*I2231,2)</f>
        <v>940.35</v>
      </c>
    </row>
    <row r="2232" spans="1:10" ht="15" customHeight="1">
      <c r="A2232" s="210" t="s">
        <v>244</v>
      </c>
      <c r="B2232" s="424"/>
      <c r="C2232" s="424"/>
      <c r="D2232" s="424"/>
      <c r="E2232" s="424"/>
      <c r="F2232" s="425"/>
      <c r="G2232" s="426"/>
      <c r="H2232" s="1182">
        <f>SUM(H2230:H2231)</f>
        <v>942.46</v>
      </c>
      <c r="I2232" s="214"/>
      <c r="J2232" s="215"/>
    </row>
    <row r="2233" spans="1:10" ht="15.75" customHeight="1" thickBot="1">
      <c r="A2233" s="216" t="s">
        <v>244</v>
      </c>
      <c r="B2233" s="427"/>
      <c r="C2233" s="427"/>
      <c r="D2233" s="427"/>
      <c r="E2233" s="427"/>
      <c r="F2233" s="428"/>
      <c r="G2233" s="429"/>
      <c r="H2233" s="1187"/>
      <c r="I2233" s="229"/>
      <c r="J2233" s="219">
        <f>SUM(J2230:J2231)</f>
        <v>942.23</v>
      </c>
    </row>
    <row r="2234" spans="1:10" ht="15" customHeight="1" thickBot="1"/>
    <row r="2235" spans="1:10" ht="27" customHeight="1">
      <c r="A2235" s="230"/>
      <c r="B2235" s="1201"/>
      <c r="C2235" s="1176" t="s">
        <v>14262</v>
      </c>
      <c r="D2235" s="152" t="s">
        <v>14235</v>
      </c>
      <c r="E2235" s="1176" t="s">
        <v>24</v>
      </c>
      <c r="F2235" s="1177" t="s">
        <v>18</v>
      </c>
      <c r="G2235" s="1178" t="s">
        <v>7017</v>
      </c>
      <c r="H2235" s="1179"/>
      <c r="I2235" s="200" t="s">
        <v>7016</v>
      </c>
      <c r="J2235" s="201"/>
    </row>
    <row r="2236" spans="1:10" ht="15" customHeight="1">
      <c r="A2236" s="203"/>
      <c r="B2236" s="1202"/>
      <c r="C2236" s="1155"/>
      <c r="D2236" s="158"/>
      <c r="E2236" s="1155"/>
      <c r="F2236" s="1180"/>
      <c r="G2236" s="1180" t="s">
        <v>19</v>
      </c>
      <c r="H2236" s="1180" t="s">
        <v>20</v>
      </c>
      <c r="I2236" s="205" t="s">
        <v>19</v>
      </c>
      <c r="J2236" s="206" t="s">
        <v>20</v>
      </c>
    </row>
    <row r="2237" spans="1:10" ht="26.25" customHeight="1">
      <c r="A2237" s="208" t="s">
        <v>39</v>
      </c>
      <c r="B2237" s="1203"/>
      <c r="C2237" s="241">
        <v>43692</v>
      </c>
      <c r="D2237" s="161" t="str">
        <f>IF(B2237="SEPLAG",VLOOKUP(COMPOSIÇÕES!C2237,'MAPA COMPARATIVO'!A:B,2,FALSE),VLOOKUP(C2237,'NAO DESO'!A:B,2,0))</f>
        <v>PERFIL "U" EM CHAPA ACO DOBRADA, E = 3,04 MM, H = 20 CM, ABAS = 5 CM (4,47 KG/M)</v>
      </c>
      <c r="E2237" s="241" t="str">
        <f>VLOOKUP($C2237,'NAO DESO'!$A:$D,3,)</f>
        <v xml:space="preserve">KG    </v>
      </c>
      <c r="F2237" s="1186">
        <v>1568.95</v>
      </c>
      <c r="G2237" s="242">
        <f>IF(B2237="SEPLAG",VLOOKUP(CONCATENATE("MEDIANA - ",C2237),COTAÇÃO,5,FALSE),VLOOKUP($C2237,'NAO DESO'!$A:$D,4,))</f>
        <v>11.68</v>
      </c>
      <c r="H2237" s="242">
        <f t="shared" ref="H2237:H2242" si="168">TRUNC(F2237*G2237,2)</f>
        <v>18325.330000000002</v>
      </c>
      <c r="I2237" s="54" t="str">
        <f>IF(B2237="SEPLAG",VLOOKUP(CONCATENATE("MEDIANA - ",C2237),COTAÇÃO,5,FALSE),VLOOKUP($C2237,DESON!$A:$D,4,))</f>
        <v>11,68</v>
      </c>
      <c r="J2237" s="209">
        <f t="shared" ref="J2237:J2242" si="169">TRUNC(F2237*I2237,2)</f>
        <v>18325.330000000002</v>
      </c>
    </row>
    <row r="2238" spans="1:10" ht="15" customHeight="1">
      <c r="A2238" s="208" t="s">
        <v>245</v>
      </c>
      <c r="B2238" s="1203"/>
      <c r="C2238" s="1181">
        <v>11002</v>
      </c>
      <c r="D2238" s="161" t="str">
        <f>IF(B2238="SEPLAG",VLOOKUP(COMPOSIÇÕES!C2238,'MAPA COMPARATIVO'!A:B,2,FALSE),VLOOKUP(C2238,'NAO DESO'!A:B,2,0))</f>
        <v>ELETRODO REVESTIDO AWS - E6013, DIAMETRO IGUAL A 2,50 MM</v>
      </c>
      <c r="E2238" s="241" t="str">
        <f>VLOOKUP($C2238,'NAO DESO'!$A:$D,3,)</f>
        <v xml:space="preserve">KG    </v>
      </c>
      <c r="F2238" s="1186">
        <f>0.015204*F2237</f>
        <v>23.854315800000002</v>
      </c>
      <c r="G2238" s="242">
        <f>IF(B2238="SEPLAG",VLOOKUP(CONCATENATE("MEDIANA - ",C2238),COTAÇÃO,5,FALSE),VLOOKUP($C2238,'NAO DESO'!$A:$D,4,))</f>
        <v>27.51</v>
      </c>
      <c r="H2238" s="242">
        <f t="shared" si="168"/>
        <v>656.23</v>
      </c>
      <c r="I2238" s="54" t="str">
        <f>IF(B2238="SEPLAG",VLOOKUP(CONCATENATE("MEDIANA - ",C2238),COTAÇÃO,5,FALSE),VLOOKUP($C2238,DESON!$A:$D,4,))</f>
        <v>27,51</v>
      </c>
      <c r="J2238" s="209">
        <f t="shared" si="169"/>
        <v>656.23</v>
      </c>
    </row>
    <row r="2239" spans="1:10" ht="15" customHeight="1">
      <c r="A2239" s="208" t="s">
        <v>245</v>
      </c>
      <c r="B2239" s="1203"/>
      <c r="C2239" s="1181">
        <v>88251</v>
      </c>
      <c r="D2239" s="161" t="str">
        <f>IF(B2239="SEPLAG",VLOOKUP(COMPOSIÇÕES!C2239,'MAPA COMPARATIVO'!A:B,2,FALSE),VLOOKUP(C2239,'NAO DESO'!A:B,2,0))</f>
        <v>AUXILIAR DE SERRALHEIRO COM ENCARGOS COMPLEMENTARES</v>
      </c>
      <c r="E2239" s="241" t="str">
        <f>VLOOKUP($C2239,'NAO DESO'!$A:$D,3,)</f>
        <v>H</v>
      </c>
      <c r="F2239" s="1186">
        <f>30*8</f>
        <v>240</v>
      </c>
      <c r="G2239" s="242" t="str">
        <f>IF(B2239="SEPLAG",VLOOKUP(CONCATENATE("MEDIANA - ",C2239),COTAÇÃO,5,FALSE),VLOOKUP($C2239,'NAO DESO'!$A:$D,4,))</f>
        <v>17,84</v>
      </c>
      <c r="H2239" s="242">
        <f t="shared" si="168"/>
        <v>4281.6000000000004</v>
      </c>
      <c r="I2239" s="54" t="str">
        <f>IF(B2239="SEPLAG",VLOOKUP(CONCATENATE("MEDIANA - ",C2239),COTAÇÃO,5,FALSE),VLOOKUP($C2239,DESON!$A:$D,4,))</f>
        <v>16,05</v>
      </c>
      <c r="J2239" s="209">
        <f t="shared" si="169"/>
        <v>3852</v>
      </c>
    </row>
    <row r="2240" spans="1:10" ht="15" customHeight="1">
      <c r="A2240" s="208" t="s">
        <v>39</v>
      </c>
      <c r="B2240" s="1203"/>
      <c r="C2240" s="1181">
        <v>88315</v>
      </c>
      <c r="D2240" s="161" t="str">
        <f>IF(B2240="SEPLAG",VLOOKUP(COMPOSIÇÕES!C2240,'MAPA COMPARATIVO'!A:B,2,FALSE),VLOOKUP(C2240,'NAO DESO'!A:B,2,0))</f>
        <v>SERRALHEIRO COM ENCARGOS COMPLEMENTARES</v>
      </c>
      <c r="E2240" s="241" t="str">
        <f>VLOOKUP($C2240,'NAO DESO'!$A:$D,3,)</f>
        <v>H</v>
      </c>
      <c r="F2240" s="1186">
        <f>F2239</f>
        <v>240</v>
      </c>
      <c r="G2240" s="242" t="str">
        <f>IF(B2240="SEPLAG",VLOOKUP(CONCATENATE("MEDIANA - ",C2240),COTAÇÃO,5,FALSE),VLOOKUP($C2240,'NAO DESO'!$A:$D,4,))</f>
        <v>20,97</v>
      </c>
      <c r="H2240" s="242">
        <f t="shared" si="168"/>
        <v>5032.8</v>
      </c>
      <c r="I2240" s="54" t="str">
        <f>IF(B2240="SEPLAG",VLOOKUP(CONCATENATE("MEDIANA - ",C2240),COTAÇÃO,5,FALSE),VLOOKUP($C2240,DESON!$A:$D,4,))</f>
        <v>18,75</v>
      </c>
      <c r="J2240" s="209">
        <f t="shared" si="169"/>
        <v>4500</v>
      </c>
    </row>
    <row r="2241" spans="1:10" ht="26.25" customHeight="1">
      <c r="A2241" s="208" t="s">
        <v>39</v>
      </c>
      <c r="B2241" s="1203"/>
      <c r="C2241" s="241">
        <v>11963</v>
      </c>
      <c r="D2241" s="161" t="str">
        <f>IF(B2241="SEPLAG",VLOOKUP(COMPOSIÇÕES!C2241,'MAPA COMPARATIVO'!A:B,2,FALSE),VLOOKUP(C2241,'NAO DESO'!A:B,2,0))</f>
        <v>PARAFUSO DE ACO TIPO CHUMBADOR PARABOLT, DIAMETRO 1/2", COMPRIMENTO 75 MM</v>
      </c>
      <c r="E2241" s="241" t="str">
        <f>VLOOKUP($C2241,'NAO DESO'!$A:$D,3,)</f>
        <v xml:space="preserve">UN    </v>
      </c>
      <c r="F2241" s="1186">
        <v>24</v>
      </c>
      <c r="G2241" s="242">
        <f>IF(B2241="SEPLAG",VLOOKUP(CONCATENATE("MEDIANA - ",C2241),COTAÇÃO,5,FALSE),VLOOKUP($C2241,'NAO DESO'!$A:$D,4,))</f>
        <v>10.8</v>
      </c>
      <c r="H2241" s="242">
        <f t="shared" si="168"/>
        <v>259.2</v>
      </c>
      <c r="I2241" s="54" t="str">
        <f>IF(B2241="SEPLAG",VLOOKUP(CONCATENATE("MEDIANA - ",C2241),COTAÇÃO,5,FALSE),VLOOKUP($C2241,DESON!$A:$D,4,))</f>
        <v>10,80</v>
      </c>
      <c r="J2241" s="209">
        <f t="shared" si="169"/>
        <v>259.2</v>
      </c>
    </row>
    <row r="2242" spans="1:10" ht="51.75" customHeight="1">
      <c r="A2242" s="208" t="s">
        <v>39</v>
      </c>
      <c r="B2242" s="241"/>
      <c r="C2242" s="247">
        <v>5928</v>
      </c>
      <c r="D2242" s="161" t="str">
        <f>IF(B2242="SEPLAG",VLOOKUP(COMPOSIÇÕES!C2242,'MAPA COMPARATIVO'!A:B,2,FALSE),VLOOKUP(C2242,'NAO DESO'!A:B,2,0))</f>
        <v>GUINDAUTO HIDRÁULICO, CAPACIDADE MÁXIMA DE CARGA 6200 KG, MOMENTO MÁXIMO DE CARGA 11,7 TM, ALCANCE MÁXIMO HORIZONTAL 9,70 M, INCLUSIVE CAMINHÃO TOCO PBT 16.000 KG, POTÊNCIA DE 189 CV - CHP DIURNO. AF_06/2014</v>
      </c>
      <c r="E2242" s="241" t="str">
        <f>VLOOKUP($C2242,'NAO DESO'!$A:$D,3,)</f>
        <v>CHP</v>
      </c>
      <c r="F2242" s="248">
        <v>2</v>
      </c>
      <c r="G2242" s="242" t="str">
        <f>IF(B2242="SEPLAG",VLOOKUP(CONCATENATE("MEDIANA - ",C2242),COTAÇÃO,5,FALSE),VLOOKUP($C2242,'NAO DESO'!$A:$D,4,))</f>
        <v>231,97</v>
      </c>
      <c r="H2242" s="242">
        <f t="shared" si="168"/>
        <v>463.94</v>
      </c>
      <c r="I2242" s="54" t="str">
        <f>IF(B2242="SEPLAG",VLOOKUP(CONCATENATE("MEDIANA - ",C2242),COTAÇÃO,5,FALSE),VLOOKUP($C2242,DESON!$A:$D,4,))</f>
        <v>229,82</v>
      </c>
      <c r="J2242" s="209">
        <f t="shared" si="169"/>
        <v>459.64</v>
      </c>
    </row>
    <row r="2243" spans="1:10" ht="15" customHeight="1">
      <c r="A2243" s="210" t="str">
        <f>CONCATENATE("TOTAL DO ITEM NÃO DESON. - ",C2235)</f>
        <v>TOTAL DO ITEM NÃO DESON. - SEPLAG ARQ 144</v>
      </c>
      <c r="B2243" s="424"/>
      <c r="C2243" s="424"/>
      <c r="D2243" s="424"/>
      <c r="E2243" s="424"/>
      <c r="F2243" s="425"/>
      <c r="G2243" s="426"/>
      <c r="H2243" s="1182">
        <f>SUM(H2237:H2242)</f>
        <v>29019.100000000002</v>
      </c>
      <c r="I2243" s="214"/>
      <c r="J2243" s="215"/>
    </row>
    <row r="2244" spans="1:10" ht="15.75" customHeight="1" thickBot="1">
      <c r="A2244" s="216" t="str">
        <f>CONCATENATE("TOTAL DO ITEM DESON. - ",C2235)</f>
        <v>TOTAL DO ITEM DESON. - SEPLAG ARQ 144</v>
      </c>
      <c r="B2244" s="427"/>
      <c r="C2244" s="427"/>
      <c r="D2244" s="427"/>
      <c r="E2244" s="427"/>
      <c r="F2244" s="428"/>
      <c r="G2244" s="429"/>
      <c r="H2244" s="1187"/>
      <c r="I2244" s="229"/>
      <c r="J2244" s="219">
        <f>SUM(J2237:J2242)</f>
        <v>28052.400000000001</v>
      </c>
    </row>
    <row r="2245" spans="1:10" ht="15" customHeight="1" thickBot="1"/>
    <row r="2246" spans="1:10" ht="30" customHeight="1">
      <c r="A2246" s="230"/>
      <c r="B2246" s="1201"/>
      <c r="C2246" s="1176" t="s">
        <v>14523</v>
      </c>
      <c r="D2246" s="152" t="s">
        <v>14236</v>
      </c>
      <c r="E2246" s="1176" t="s">
        <v>24</v>
      </c>
      <c r="F2246" s="1177" t="s">
        <v>18</v>
      </c>
      <c r="G2246" s="1178" t="s">
        <v>7017</v>
      </c>
      <c r="H2246" s="1179"/>
      <c r="I2246" s="200" t="s">
        <v>7016</v>
      </c>
      <c r="J2246" s="201"/>
    </row>
    <row r="2247" spans="1:10" ht="15" customHeight="1">
      <c r="A2247" s="203"/>
      <c r="B2247" s="1202"/>
      <c r="C2247" s="1155"/>
      <c r="D2247" s="158"/>
      <c r="E2247" s="1155"/>
      <c r="F2247" s="1180"/>
      <c r="G2247" s="1180" t="s">
        <v>19</v>
      </c>
      <c r="H2247" s="1180" t="s">
        <v>20</v>
      </c>
      <c r="I2247" s="205" t="s">
        <v>19</v>
      </c>
      <c r="J2247" s="206" t="s">
        <v>20</v>
      </c>
    </row>
    <row r="2248" spans="1:10" ht="15" customHeight="1">
      <c r="A2248" s="208"/>
      <c r="B2248" s="1203"/>
      <c r="C2248" s="241"/>
      <c r="D2248" s="1132"/>
      <c r="E2248" s="247"/>
      <c r="F2248" s="248"/>
      <c r="G2248" s="248"/>
      <c r="H2248" s="248"/>
      <c r="I2248" s="214"/>
      <c r="J2248" s="227"/>
    </row>
    <row r="2249" spans="1:10" ht="26.25" customHeight="1">
      <c r="A2249" s="208" t="s">
        <v>39</v>
      </c>
      <c r="B2249" s="1203"/>
      <c r="C2249" s="241">
        <v>43692</v>
      </c>
      <c r="D2249" s="161" t="str">
        <f>IF(B2249="SEPLAG",VLOOKUP(COMPOSIÇÕES!C2249,'MAPA COMPARATIVO'!A:B,2,FALSE),VLOOKUP(C2249,'NAO DESO'!A:B,2,0))</f>
        <v>PERFIL "U" EM CHAPA ACO DOBRADA, E = 3,04 MM, H = 20 CM, ABAS = 5 CM (4,47 KG/M)</v>
      </c>
      <c r="E2249" s="241" t="str">
        <f>VLOOKUP($C2249,'NAO DESO'!$A:$D,3,)</f>
        <v xml:space="preserve">KG    </v>
      </c>
      <c r="F2249" s="1186">
        <v>134.32</v>
      </c>
      <c r="G2249" s="242">
        <f>IF(B2249="SEPLAG",VLOOKUP(CONCATENATE("MEDIANA - ",C2249),COTAÇÃO,5,FALSE),VLOOKUP($C2249,'NAO DESO'!$A:$D,4,))</f>
        <v>11.68</v>
      </c>
      <c r="H2249" s="242">
        <f t="shared" ref="H2249:H2254" si="170">TRUNC(F2249*G2249,2)</f>
        <v>1568.85</v>
      </c>
      <c r="I2249" s="54" t="str">
        <f>IF(B2249="SEPLAG",VLOOKUP(CONCATENATE("MEDIANA - ",C2249),COTAÇÃO,5,FALSE),VLOOKUP($C2249,DESON!$A:$D,4,))</f>
        <v>11,68</v>
      </c>
      <c r="J2249" s="209">
        <f t="shared" ref="J2249:J2254" si="171">TRUNC(F2249*I2249,2)</f>
        <v>1568.85</v>
      </c>
    </row>
    <row r="2250" spans="1:10" ht="15" customHeight="1">
      <c r="A2250" s="208" t="s">
        <v>245</v>
      </c>
      <c r="B2250" s="1203"/>
      <c r="C2250" s="1181">
        <v>11002</v>
      </c>
      <c r="D2250" s="161" t="str">
        <f>IF(B2250="SEPLAG",VLOOKUP(COMPOSIÇÕES!C2250,'MAPA COMPARATIVO'!A:B,2,FALSE),VLOOKUP(C2250,'NAO DESO'!A:B,2,0))</f>
        <v>ELETRODO REVESTIDO AWS - E6013, DIAMETRO IGUAL A 2,50 MM</v>
      </c>
      <c r="E2250" s="241" t="str">
        <f>VLOOKUP($C2250,'NAO DESO'!$A:$D,3,)</f>
        <v xml:space="preserve">KG    </v>
      </c>
      <c r="F2250" s="1186">
        <f>0.015204*F2249</f>
        <v>2.04220128</v>
      </c>
      <c r="G2250" s="242">
        <f>IF(B2250="SEPLAG",VLOOKUP(CONCATENATE("MEDIANA - ",C2250),COTAÇÃO,5,FALSE),VLOOKUP($C2250,'NAO DESO'!$A:$D,4,))</f>
        <v>27.51</v>
      </c>
      <c r="H2250" s="242">
        <f t="shared" si="170"/>
        <v>56.18</v>
      </c>
      <c r="I2250" s="54" t="str">
        <f>IF(B2250="SEPLAG",VLOOKUP(CONCATENATE("MEDIANA - ",C2250),COTAÇÃO,5,FALSE),VLOOKUP($C2250,DESON!$A:$D,4,))</f>
        <v>27,51</v>
      </c>
      <c r="J2250" s="209">
        <f t="shared" si="171"/>
        <v>56.18</v>
      </c>
    </row>
    <row r="2251" spans="1:10" ht="15" customHeight="1">
      <c r="A2251" s="208" t="s">
        <v>245</v>
      </c>
      <c r="B2251" s="1203"/>
      <c r="C2251" s="1181">
        <v>88251</v>
      </c>
      <c r="D2251" s="161" t="str">
        <f>IF(B2251="SEPLAG",VLOOKUP(COMPOSIÇÕES!C2251,'MAPA COMPARATIVO'!A:B,2,FALSE),VLOOKUP(C2251,'NAO DESO'!A:B,2,0))</f>
        <v>AUXILIAR DE SERRALHEIRO COM ENCARGOS COMPLEMENTARES</v>
      </c>
      <c r="E2251" s="241" t="str">
        <f>VLOOKUP($C2251,'NAO DESO'!$A:$D,3,)</f>
        <v>H</v>
      </c>
      <c r="F2251" s="1186">
        <f>2*8</f>
        <v>16</v>
      </c>
      <c r="G2251" s="242" t="str">
        <f>IF(B2251="SEPLAG",VLOOKUP(CONCATENATE("MEDIANA - ",C2251),COTAÇÃO,5,FALSE),VLOOKUP($C2251,'NAO DESO'!$A:$D,4,))</f>
        <v>17,84</v>
      </c>
      <c r="H2251" s="242">
        <f t="shared" si="170"/>
        <v>285.44</v>
      </c>
      <c r="I2251" s="54" t="str">
        <f>IF(B2251="SEPLAG",VLOOKUP(CONCATENATE("MEDIANA - ",C2251),COTAÇÃO,5,FALSE),VLOOKUP($C2251,DESON!$A:$D,4,))</f>
        <v>16,05</v>
      </c>
      <c r="J2251" s="209">
        <f t="shared" si="171"/>
        <v>256.8</v>
      </c>
    </row>
    <row r="2252" spans="1:10" ht="15" customHeight="1">
      <c r="A2252" s="208" t="s">
        <v>39</v>
      </c>
      <c r="B2252" s="1203"/>
      <c r="C2252" s="1181">
        <v>88315</v>
      </c>
      <c r="D2252" s="161" t="str">
        <f>IF(B2252="SEPLAG",VLOOKUP(COMPOSIÇÕES!C2252,'MAPA COMPARATIVO'!A:B,2,FALSE),VLOOKUP(C2252,'NAO DESO'!A:B,2,0))</f>
        <v>SERRALHEIRO COM ENCARGOS COMPLEMENTARES</v>
      </c>
      <c r="E2252" s="241" t="str">
        <f>VLOOKUP($C2252,'NAO DESO'!$A:$D,3,)</f>
        <v>H</v>
      </c>
      <c r="F2252" s="1186">
        <f>F2251</f>
        <v>16</v>
      </c>
      <c r="G2252" s="242" t="str">
        <f>IF(B2252="SEPLAG",VLOOKUP(CONCATENATE("MEDIANA - ",C2252),COTAÇÃO,5,FALSE),VLOOKUP($C2252,'NAO DESO'!$A:$D,4,))</f>
        <v>20,97</v>
      </c>
      <c r="H2252" s="242">
        <f t="shared" si="170"/>
        <v>335.52</v>
      </c>
      <c r="I2252" s="54" t="str">
        <f>IF(B2252="SEPLAG",VLOOKUP(CONCATENATE("MEDIANA - ",C2252),COTAÇÃO,5,FALSE),VLOOKUP($C2252,DESON!$A:$D,4,))</f>
        <v>18,75</v>
      </c>
      <c r="J2252" s="209">
        <f t="shared" si="171"/>
        <v>300</v>
      </c>
    </row>
    <row r="2253" spans="1:10" ht="26.25" customHeight="1">
      <c r="A2253" s="208" t="s">
        <v>39</v>
      </c>
      <c r="B2253" s="1203"/>
      <c r="C2253" s="241">
        <v>11963</v>
      </c>
      <c r="D2253" s="161" t="str">
        <f>IF(B2253="SEPLAG",VLOOKUP(COMPOSIÇÕES!C2253,'MAPA COMPARATIVO'!A:B,2,FALSE),VLOOKUP(C2253,'NAO DESO'!A:B,2,0))</f>
        <v>PARAFUSO DE ACO TIPO CHUMBADOR PARABOLT, DIAMETRO 1/2", COMPRIMENTO 75 MM</v>
      </c>
      <c r="E2253" s="241" t="str">
        <f>VLOOKUP($C2253,'NAO DESO'!$A:$D,3,)</f>
        <v xml:space="preserve">UN    </v>
      </c>
      <c r="F2253" s="1186">
        <v>8</v>
      </c>
      <c r="G2253" s="242">
        <f>IF(B2253="SEPLAG",VLOOKUP(CONCATENATE("MEDIANA - ",C2253),COTAÇÃO,5,FALSE),VLOOKUP($C2253,'NAO DESO'!$A:$D,4,))</f>
        <v>10.8</v>
      </c>
      <c r="H2253" s="242">
        <f t="shared" si="170"/>
        <v>86.4</v>
      </c>
      <c r="I2253" s="54" t="str">
        <f>IF(B2253="SEPLAG",VLOOKUP(CONCATENATE("MEDIANA - ",C2253),COTAÇÃO,5,FALSE),VLOOKUP($C2253,DESON!$A:$D,4,))</f>
        <v>10,80</v>
      </c>
      <c r="J2253" s="209">
        <f t="shared" si="171"/>
        <v>86.4</v>
      </c>
    </row>
    <row r="2254" spans="1:10" ht="51.75" customHeight="1">
      <c r="A2254" s="208" t="s">
        <v>39</v>
      </c>
      <c r="B2254" s="241"/>
      <c r="C2254" s="247">
        <v>5928</v>
      </c>
      <c r="D2254" s="161" t="str">
        <f>IF(B2254="SEPLAG",VLOOKUP(COMPOSIÇÕES!C2254,'MAPA COMPARATIVO'!A:B,2,FALSE),VLOOKUP(C2254,'NAO DESO'!A:B,2,0))</f>
        <v>GUINDAUTO HIDRÁULICO, CAPACIDADE MÁXIMA DE CARGA 6200 KG, MOMENTO MÁXIMO DE CARGA 11,7 TM, ALCANCE MÁXIMO HORIZONTAL 9,70 M, INCLUSIVE CAMINHÃO TOCO PBT 16.000 KG, POTÊNCIA DE 189 CV - CHP DIURNO. AF_06/2014</v>
      </c>
      <c r="E2254" s="241" t="str">
        <f>VLOOKUP($C2254,'NAO DESO'!$A:$D,3,)</f>
        <v>CHP</v>
      </c>
      <c r="F2254" s="248">
        <v>0.5</v>
      </c>
      <c r="G2254" s="242" t="str">
        <f>IF(B2254="SEPLAG",VLOOKUP(CONCATENATE("MEDIANA - ",C2254),COTAÇÃO,5,FALSE),VLOOKUP($C2254,'NAO DESO'!$A:$D,4,))</f>
        <v>231,97</v>
      </c>
      <c r="H2254" s="242">
        <f t="shared" si="170"/>
        <v>115.98</v>
      </c>
      <c r="I2254" s="54" t="str">
        <f>IF(B2254="SEPLAG",VLOOKUP(CONCATENATE("MEDIANA - ",C2254),COTAÇÃO,5,FALSE),VLOOKUP($C2254,DESON!$A:$D,4,))</f>
        <v>229,82</v>
      </c>
      <c r="J2254" s="209">
        <f t="shared" si="171"/>
        <v>114.91</v>
      </c>
    </row>
    <row r="2255" spans="1:10" ht="15" customHeight="1">
      <c r="A2255" s="210" t="str">
        <f>CONCATENATE("TOTAL DO ITEM NÃO DESON. - ",C2246)</f>
        <v>TOTAL DO ITEM NÃO DESON. - SEPLAG ARQ 145</v>
      </c>
      <c r="B2255" s="424"/>
      <c r="C2255" s="424"/>
      <c r="D2255" s="424"/>
      <c r="E2255" s="424"/>
      <c r="F2255" s="425"/>
      <c r="G2255" s="426"/>
      <c r="H2255" s="1182">
        <f>SUM(H2249:H2254)</f>
        <v>2448.37</v>
      </c>
      <c r="I2255" s="214"/>
      <c r="J2255" s="215"/>
    </row>
    <row r="2256" spans="1:10" ht="15.75" customHeight="1" thickBot="1">
      <c r="A2256" s="216" t="str">
        <f>CONCATENATE("TOTAL DO ITEM DESON. - ",C2246)</f>
        <v>TOTAL DO ITEM DESON. - SEPLAG ARQ 145</v>
      </c>
      <c r="B2256" s="427"/>
      <c r="C2256" s="427"/>
      <c r="D2256" s="427"/>
      <c r="E2256" s="427"/>
      <c r="F2256" s="428"/>
      <c r="G2256" s="429"/>
      <c r="H2256" s="1187"/>
      <c r="I2256" s="229"/>
      <c r="J2256" s="219">
        <f>SUM(J2249:J2254)</f>
        <v>2383.14</v>
      </c>
    </row>
    <row r="2257" spans="1:10" ht="15" customHeight="1" thickBot="1"/>
    <row r="2258" spans="1:10" ht="25.5" customHeight="1">
      <c r="A2258" s="230"/>
      <c r="B2258" s="1201"/>
      <c r="C2258" s="1176" t="s">
        <v>14548</v>
      </c>
      <c r="D2258" s="152" t="s">
        <v>14237</v>
      </c>
      <c r="E2258" s="1176" t="s">
        <v>24</v>
      </c>
      <c r="F2258" s="1177" t="s">
        <v>18</v>
      </c>
      <c r="G2258" s="1178" t="s">
        <v>7017</v>
      </c>
      <c r="H2258" s="1179"/>
      <c r="I2258" s="200" t="s">
        <v>7016</v>
      </c>
      <c r="J2258" s="201"/>
    </row>
    <row r="2259" spans="1:10" ht="15" customHeight="1">
      <c r="A2259" s="203"/>
      <c r="B2259" s="1202"/>
      <c r="C2259" s="1155"/>
      <c r="D2259" s="158"/>
      <c r="E2259" s="1155"/>
      <c r="F2259" s="1180"/>
      <c r="G2259" s="1180" t="s">
        <v>19</v>
      </c>
      <c r="H2259" s="1180" t="s">
        <v>20</v>
      </c>
      <c r="I2259" s="205" t="s">
        <v>19</v>
      </c>
      <c r="J2259" s="206" t="s">
        <v>20</v>
      </c>
    </row>
    <row r="2260" spans="1:10" ht="26.25" customHeight="1">
      <c r="A2260" s="208" t="s">
        <v>39</v>
      </c>
      <c r="B2260" s="1203"/>
      <c r="C2260" s="241">
        <v>43692</v>
      </c>
      <c r="D2260" s="161" t="str">
        <f>IF(B2260="SEPLAG",VLOOKUP(COMPOSIÇÕES!C2260,'MAPA COMPARATIVO'!A:B,2,FALSE),VLOOKUP(C2260,'NAO DESO'!A:B,2,0))</f>
        <v>PERFIL "U" EM CHAPA ACO DOBRADA, E = 3,04 MM, H = 20 CM, ABAS = 5 CM (4,47 KG/M)</v>
      </c>
      <c r="E2260" s="241" t="str">
        <f>VLOOKUP($C2260,'NAO DESO'!$A:$D,3,)</f>
        <v xml:space="preserve">KG    </v>
      </c>
      <c r="F2260" s="1186">
        <v>62.12</v>
      </c>
      <c r="G2260" s="242">
        <f>IF(B2260="SEPLAG",VLOOKUP(CONCATENATE("MEDIANA - ",C2260),COTAÇÃO,5,FALSE),VLOOKUP($C2260,'NAO DESO'!$A:$D,4,))</f>
        <v>11.68</v>
      </c>
      <c r="H2260" s="242">
        <f t="shared" ref="H2260:H2265" si="172">TRUNC(F2260*G2260,2)</f>
        <v>725.56</v>
      </c>
      <c r="I2260" s="54" t="str">
        <f>IF(B2260="SEPLAG",VLOOKUP(CONCATENATE("MEDIANA - ",C2260),COTAÇÃO,5,FALSE),VLOOKUP($C2260,DESON!$A:$D,4,))</f>
        <v>11,68</v>
      </c>
      <c r="J2260" s="209">
        <f t="shared" ref="J2260:J2265" si="173">TRUNC(F2260*I2260,2)</f>
        <v>725.56</v>
      </c>
    </row>
    <row r="2261" spans="1:10" ht="15" customHeight="1">
      <c r="A2261" s="208" t="s">
        <v>245</v>
      </c>
      <c r="B2261" s="1203"/>
      <c r="C2261" s="1181">
        <v>11002</v>
      </c>
      <c r="D2261" s="161" t="str">
        <f>IF(B2261="SEPLAG",VLOOKUP(COMPOSIÇÕES!C2261,'MAPA COMPARATIVO'!A:B,2,FALSE),VLOOKUP(C2261,'NAO DESO'!A:B,2,0))</f>
        <v>ELETRODO REVESTIDO AWS - E6013, DIAMETRO IGUAL A 2,50 MM</v>
      </c>
      <c r="E2261" s="241" t="str">
        <f>VLOOKUP($C2261,'NAO DESO'!$A:$D,3,)</f>
        <v xml:space="preserve">KG    </v>
      </c>
      <c r="F2261" s="1186">
        <f>0.015204*F2260</f>
        <v>0.94447247999999995</v>
      </c>
      <c r="G2261" s="242">
        <f>IF(B2261="SEPLAG",VLOOKUP(CONCATENATE("MEDIANA - ",C2261),COTAÇÃO,5,FALSE),VLOOKUP($C2261,'NAO DESO'!$A:$D,4,))</f>
        <v>27.51</v>
      </c>
      <c r="H2261" s="242">
        <f t="shared" si="172"/>
        <v>25.98</v>
      </c>
      <c r="I2261" s="54" t="str">
        <f>IF(B2261="SEPLAG",VLOOKUP(CONCATENATE("MEDIANA - ",C2261),COTAÇÃO,5,FALSE),VLOOKUP($C2261,DESON!$A:$D,4,))</f>
        <v>27,51</v>
      </c>
      <c r="J2261" s="209">
        <f t="shared" si="173"/>
        <v>25.98</v>
      </c>
    </row>
    <row r="2262" spans="1:10" ht="15" customHeight="1">
      <c r="A2262" s="208" t="s">
        <v>245</v>
      </c>
      <c r="B2262" s="1203"/>
      <c r="C2262" s="1181">
        <v>88251</v>
      </c>
      <c r="D2262" s="161" t="str">
        <f>IF(B2262="SEPLAG",VLOOKUP(COMPOSIÇÕES!C2262,'MAPA COMPARATIVO'!A:B,2,FALSE),VLOOKUP(C2262,'NAO DESO'!A:B,2,0))</f>
        <v>AUXILIAR DE SERRALHEIRO COM ENCARGOS COMPLEMENTARES</v>
      </c>
      <c r="E2262" s="241" t="str">
        <f>VLOOKUP($C2262,'NAO DESO'!$A:$D,3,)</f>
        <v>H</v>
      </c>
      <c r="F2262" s="1186">
        <f>2*8</f>
        <v>16</v>
      </c>
      <c r="G2262" s="242" t="str">
        <f>IF(B2262="SEPLAG",VLOOKUP(CONCATENATE("MEDIANA - ",C2262),COTAÇÃO,5,FALSE),VLOOKUP($C2262,'NAO DESO'!$A:$D,4,))</f>
        <v>17,84</v>
      </c>
      <c r="H2262" s="242">
        <f t="shared" si="172"/>
        <v>285.44</v>
      </c>
      <c r="I2262" s="54" t="str">
        <f>IF(B2262="SEPLAG",VLOOKUP(CONCATENATE("MEDIANA - ",C2262),COTAÇÃO,5,FALSE),VLOOKUP($C2262,DESON!$A:$D,4,))</f>
        <v>16,05</v>
      </c>
      <c r="J2262" s="209">
        <f t="shared" si="173"/>
        <v>256.8</v>
      </c>
    </row>
    <row r="2263" spans="1:10" ht="15" customHeight="1">
      <c r="A2263" s="208" t="s">
        <v>39</v>
      </c>
      <c r="B2263" s="1203"/>
      <c r="C2263" s="1181">
        <v>88315</v>
      </c>
      <c r="D2263" s="161" t="str">
        <f>IF(B2263="SEPLAG",VLOOKUP(COMPOSIÇÕES!C2263,'MAPA COMPARATIVO'!A:B,2,FALSE),VLOOKUP(C2263,'NAO DESO'!A:B,2,0))</f>
        <v>SERRALHEIRO COM ENCARGOS COMPLEMENTARES</v>
      </c>
      <c r="E2263" s="241" t="str">
        <f>VLOOKUP($C2263,'NAO DESO'!$A:$D,3,)</f>
        <v>H</v>
      </c>
      <c r="F2263" s="1186">
        <f>F2262</f>
        <v>16</v>
      </c>
      <c r="G2263" s="242" t="str">
        <f>IF(B2263="SEPLAG",VLOOKUP(CONCATENATE("MEDIANA - ",C2263),COTAÇÃO,5,FALSE),VLOOKUP($C2263,'NAO DESO'!$A:$D,4,))</f>
        <v>20,97</v>
      </c>
      <c r="H2263" s="242">
        <f t="shared" si="172"/>
        <v>335.52</v>
      </c>
      <c r="I2263" s="54" t="str">
        <f>IF(B2263="SEPLAG",VLOOKUP(CONCATENATE("MEDIANA - ",C2263),COTAÇÃO,5,FALSE),VLOOKUP($C2263,DESON!$A:$D,4,))</f>
        <v>18,75</v>
      </c>
      <c r="J2263" s="209">
        <f t="shared" si="173"/>
        <v>300</v>
      </c>
    </row>
    <row r="2264" spans="1:10" ht="26.25" customHeight="1">
      <c r="A2264" s="208" t="s">
        <v>39</v>
      </c>
      <c r="B2264" s="1203"/>
      <c r="C2264" s="241">
        <v>11963</v>
      </c>
      <c r="D2264" s="161" t="str">
        <f>IF(B2264="SEPLAG",VLOOKUP(COMPOSIÇÕES!C2264,'MAPA COMPARATIVO'!A:B,2,FALSE),VLOOKUP(C2264,'NAO DESO'!A:B,2,0))</f>
        <v>PARAFUSO DE ACO TIPO CHUMBADOR PARABOLT, DIAMETRO 1/2", COMPRIMENTO 75 MM</v>
      </c>
      <c r="E2264" s="241" t="str">
        <f>VLOOKUP($C2264,'NAO DESO'!$A:$D,3,)</f>
        <v xml:space="preserve">UN    </v>
      </c>
      <c r="F2264" s="1186">
        <v>8</v>
      </c>
      <c r="G2264" s="242">
        <f>IF(B2264="SEPLAG",VLOOKUP(CONCATENATE("MEDIANA - ",C2264),COTAÇÃO,5,FALSE),VLOOKUP($C2264,'NAO DESO'!$A:$D,4,))</f>
        <v>10.8</v>
      </c>
      <c r="H2264" s="242">
        <f t="shared" si="172"/>
        <v>86.4</v>
      </c>
      <c r="I2264" s="54" t="str">
        <f>IF(B2264="SEPLAG",VLOOKUP(CONCATENATE("MEDIANA - ",C2264),COTAÇÃO,5,FALSE),VLOOKUP($C2264,DESON!$A:$D,4,))</f>
        <v>10,80</v>
      </c>
      <c r="J2264" s="209">
        <f t="shared" si="173"/>
        <v>86.4</v>
      </c>
    </row>
    <row r="2265" spans="1:10" ht="51.75" customHeight="1">
      <c r="A2265" s="208" t="s">
        <v>39</v>
      </c>
      <c r="B2265" s="241"/>
      <c r="C2265" s="247">
        <v>5928</v>
      </c>
      <c r="D2265" s="161" t="str">
        <f>IF(B2265="SEPLAG",VLOOKUP(COMPOSIÇÕES!C2265,'MAPA COMPARATIVO'!A:B,2,FALSE),VLOOKUP(C2265,'NAO DESO'!A:B,2,0))</f>
        <v>GUINDAUTO HIDRÁULICO, CAPACIDADE MÁXIMA DE CARGA 6200 KG, MOMENTO MÁXIMO DE CARGA 11,7 TM, ALCANCE MÁXIMO HORIZONTAL 9,70 M, INCLUSIVE CAMINHÃO TOCO PBT 16.000 KG, POTÊNCIA DE 189 CV - CHP DIURNO. AF_06/2014</v>
      </c>
      <c r="E2265" s="241" t="str">
        <f>VLOOKUP($C2265,'NAO DESO'!$A:$D,3,)</f>
        <v>CHP</v>
      </c>
      <c r="F2265" s="248">
        <v>0.5</v>
      </c>
      <c r="G2265" s="242" t="str">
        <f>IF(B2265="SEPLAG",VLOOKUP(CONCATENATE("MEDIANA - ",C2265),COTAÇÃO,5,FALSE),VLOOKUP($C2265,'NAO DESO'!$A:$D,4,))</f>
        <v>231,97</v>
      </c>
      <c r="H2265" s="242">
        <f t="shared" si="172"/>
        <v>115.98</v>
      </c>
      <c r="I2265" s="54" t="str">
        <f>IF(B2265="SEPLAG",VLOOKUP(CONCATENATE("MEDIANA - ",C2265),COTAÇÃO,5,FALSE),VLOOKUP($C2265,DESON!$A:$D,4,))</f>
        <v>229,82</v>
      </c>
      <c r="J2265" s="209">
        <f t="shared" si="173"/>
        <v>114.91</v>
      </c>
    </row>
    <row r="2266" spans="1:10" ht="15" customHeight="1">
      <c r="A2266" s="210" t="str">
        <f>CONCATENATE("TOTAL DO ITEM NÃO DESON. - ",C2258)</f>
        <v>TOTAL DO ITEM NÃO DESON. - SEPLAG ARQ 146</v>
      </c>
      <c r="B2266" s="424"/>
      <c r="C2266" s="424"/>
      <c r="D2266" s="424"/>
      <c r="E2266" s="424"/>
      <c r="F2266" s="425"/>
      <c r="G2266" s="426"/>
      <c r="H2266" s="1182">
        <f>SUM(H2260:H2265)</f>
        <v>1574.88</v>
      </c>
      <c r="I2266" s="214"/>
      <c r="J2266" s="215"/>
    </row>
    <row r="2267" spans="1:10" ht="15.75" customHeight="1" thickBot="1">
      <c r="A2267" s="216" t="str">
        <f>CONCATENATE("TOTAL DO ITEM DESON. - ",C2258)</f>
        <v>TOTAL DO ITEM DESON. - SEPLAG ARQ 146</v>
      </c>
      <c r="B2267" s="427"/>
      <c r="C2267" s="427"/>
      <c r="D2267" s="427"/>
      <c r="E2267" s="427"/>
      <c r="F2267" s="428"/>
      <c r="G2267" s="429"/>
      <c r="H2267" s="1187"/>
      <c r="I2267" s="229"/>
      <c r="J2267" s="219">
        <f>SUM(J2260:J2265)</f>
        <v>1509.65</v>
      </c>
    </row>
    <row r="2268" spans="1:10" ht="15" customHeight="1" thickBot="1"/>
    <row r="2269" spans="1:10" ht="27" customHeight="1">
      <c r="A2269" s="230"/>
      <c r="B2269" s="1201"/>
      <c r="C2269" s="1176" t="s">
        <v>14549</v>
      </c>
      <c r="D2269" s="152" t="s">
        <v>14238</v>
      </c>
      <c r="E2269" s="1176" t="s">
        <v>24</v>
      </c>
      <c r="F2269" s="1177" t="s">
        <v>18</v>
      </c>
      <c r="G2269" s="1178" t="s">
        <v>7017</v>
      </c>
      <c r="H2269" s="1179"/>
      <c r="I2269" s="200" t="s">
        <v>7016</v>
      </c>
      <c r="J2269" s="201"/>
    </row>
    <row r="2270" spans="1:10" ht="15" customHeight="1">
      <c r="A2270" s="203"/>
      <c r="B2270" s="1202"/>
      <c r="C2270" s="1155"/>
      <c r="D2270" s="158"/>
      <c r="E2270" s="1155"/>
      <c r="F2270" s="1180"/>
      <c r="G2270" s="1180" t="s">
        <v>19</v>
      </c>
      <c r="H2270" s="1180" t="s">
        <v>20</v>
      </c>
      <c r="I2270" s="205" t="s">
        <v>19</v>
      </c>
      <c r="J2270" s="206" t="s">
        <v>20</v>
      </c>
    </row>
    <row r="2271" spans="1:10" ht="26.25" customHeight="1">
      <c r="A2271" s="208" t="s">
        <v>39</v>
      </c>
      <c r="B2271" s="1203"/>
      <c r="C2271" s="241">
        <v>43692</v>
      </c>
      <c r="D2271" s="161" t="str">
        <f>IF(B2271="SEPLAG",VLOOKUP(COMPOSIÇÕES!C2271,'MAPA COMPARATIVO'!A:B,2,FALSE),VLOOKUP(C2271,'NAO DESO'!A:B,2,0))</f>
        <v>PERFIL "U" EM CHAPA ACO DOBRADA, E = 3,04 MM, H = 20 CM, ABAS = 5 CM (4,47 KG/M)</v>
      </c>
      <c r="E2271" s="241" t="str">
        <f>VLOOKUP($C2271,'NAO DESO'!$A:$D,3,)</f>
        <v xml:space="preserve">KG    </v>
      </c>
      <c r="F2271" s="1186">
        <v>68.62</v>
      </c>
      <c r="G2271" s="242">
        <f>IF(B2271="SEPLAG",VLOOKUP(CONCATENATE("MEDIANA - ",C2271),COTAÇÃO,5,FALSE),VLOOKUP($C2271,'NAO DESO'!$A:$D,4,))</f>
        <v>11.68</v>
      </c>
      <c r="H2271" s="242">
        <f t="shared" ref="H2271:H2276" si="174">TRUNC(F2271*G2271,2)</f>
        <v>801.48</v>
      </c>
      <c r="I2271" s="54" t="str">
        <f>IF(B2271="SEPLAG",VLOOKUP(CONCATENATE("MEDIANA - ",C2271),COTAÇÃO,5,FALSE),VLOOKUP($C2271,DESON!$A:$D,4,))</f>
        <v>11,68</v>
      </c>
      <c r="J2271" s="209">
        <f t="shared" ref="J2271:J2276" si="175">TRUNC(F2271*I2271,2)</f>
        <v>801.48</v>
      </c>
    </row>
    <row r="2272" spans="1:10" ht="15" customHeight="1">
      <c r="A2272" s="208" t="s">
        <v>245</v>
      </c>
      <c r="B2272" s="1203"/>
      <c r="C2272" s="1181">
        <v>11002</v>
      </c>
      <c r="D2272" s="161" t="str">
        <f>IF(B2272="SEPLAG",VLOOKUP(COMPOSIÇÕES!C2272,'MAPA COMPARATIVO'!A:B,2,FALSE),VLOOKUP(C2272,'NAO DESO'!A:B,2,0))</f>
        <v>ELETRODO REVESTIDO AWS - E6013, DIAMETRO IGUAL A 2,50 MM</v>
      </c>
      <c r="E2272" s="241" t="str">
        <f>VLOOKUP($C2272,'NAO DESO'!$A:$D,3,)</f>
        <v xml:space="preserve">KG    </v>
      </c>
      <c r="F2272" s="1186">
        <f>0.015204*F2271</f>
        <v>1.04329848</v>
      </c>
      <c r="G2272" s="242">
        <f>IF(B2272="SEPLAG",VLOOKUP(CONCATENATE("MEDIANA - ",C2272),COTAÇÃO,5,FALSE),VLOOKUP($C2272,'NAO DESO'!$A:$D,4,))</f>
        <v>27.51</v>
      </c>
      <c r="H2272" s="242">
        <f t="shared" si="174"/>
        <v>28.7</v>
      </c>
      <c r="I2272" s="54" t="str">
        <f>IF(B2272="SEPLAG",VLOOKUP(CONCATENATE("MEDIANA - ",C2272),COTAÇÃO,5,FALSE),VLOOKUP($C2272,DESON!$A:$D,4,))</f>
        <v>27,51</v>
      </c>
      <c r="J2272" s="209">
        <f t="shared" si="175"/>
        <v>28.7</v>
      </c>
    </row>
    <row r="2273" spans="1:10" ht="15" customHeight="1">
      <c r="A2273" s="208" t="s">
        <v>245</v>
      </c>
      <c r="B2273" s="1203"/>
      <c r="C2273" s="1181">
        <v>88251</v>
      </c>
      <c r="D2273" s="161" t="str">
        <f>IF(B2273="SEPLAG",VLOOKUP(COMPOSIÇÕES!C2273,'MAPA COMPARATIVO'!A:B,2,FALSE),VLOOKUP(C2273,'NAO DESO'!A:B,2,0))</f>
        <v>AUXILIAR DE SERRALHEIRO COM ENCARGOS COMPLEMENTARES</v>
      </c>
      <c r="E2273" s="241" t="str">
        <f>VLOOKUP($C2273,'NAO DESO'!$A:$D,3,)</f>
        <v>H</v>
      </c>
      <c r="F2273" s="1186">
        <f>2*8</f>
        <v>16</v>
      </c>
      <c r="G2273" s="242" t="str">
        <f>IF(B2273="SEPLAG",VLOOKUP(CONCATENATE("MEDIANA - ",C2273),COTAÇÃO,5,FALSE),VLOOKUP($C2273,'NAO DESO'!$A:$D,4,))</f>
        <v>17,84</v>
      </c>
      <c r="H2273" s="242">
        <f t="shared" si="174"/>
        <v>285.44</v>
      </c>
      <c r="I2273" s="54" t="str">
        <f>IF(B2273="SEPLAG",VLOOKUP(CONCATENATE("MEDIANA - ",C2273),COTAÇÃO,5,FALSE),VLOOKUP($C2273,DESON!$A:$D,4,))</f>
        <v>16,05</v>
      </c>
      <c r="J2273" s="209">
        <f t="shared" si="175"/>
        <v>256.8</v>
      </c>
    </row>
    <row r="2274" spans="1:10" ht="15" customHeight="1">
      <c r="A2274" s="208" t="s">
        <v>39</v>
      </c>
      <c r="B2274" s="1203"/>
      <c r="C2274" s="1181">
        <v>88315</v>
      </c>
      <c r="D2274" s="161" t="str">
        <f>IF(B2274="SEPLAG",VLOOKUP(COMPOSIÇÕES!C2274,'MAPA COMPARATIVO'!A:B,2,FALSE),VLOOKUP(C2274,'NAO DESO'!A:B,2,0))</f>
        <v>SERRALHEIRO COM ENCARGOS COMPLEMENTARES</v>
      </c>
      <c r="E2274" s="241" t="str">
        <f>VLOOKUP($C2274,'NAO DESO'!$A:$D,3,)</f>
        <v>H</v>
      </c>
      <c r="F2274" s="1186">
        <f>F2273</f>
        <v>16</v>
      </c>
      <c r="G2274" s="242" t="str">
        <f>IF(B2274="SEPLAG",VLOOKUP(CONCATENATE("MEDIANA - ",C2274),COTAÇÃO,5,FALSE),VLOOKUP($C2274,'NAO DESO'!$A:$D,4,))</f>
        <v>20,97</v>
      </c>
      <c r="H2274" s="242">
        <f t="shared" si="174"/>
        <v>335.52</v>
      </c>
      <c r="I2274" s="54" t="str">
        <f>IF(B2274="SEPLAG",VLOOKUP(CONCATENATE("MEDIANA - ",C2274),COTAÇÃO,5,FALSE),VLOOKUP($C2274,DESON!$A:$D,4,))</f>
        <v>18,75</v>
      </c>
      <c r="J2274" s="209">
        <f t="shared" si="175"/>
        <v>300</v>
      </c>
    </row>
    <row r="2275" spans="1:10" ht="26.25" customHeight="1">
      <c r="A2275" s="208" t="s">
        <v>39</v>
      </c>
      <c r="B2275" s="1203"/>
      <c r="C2275" s="241">
        <v>11963</v>
      </c>
      <c r="D2275" s="161" t="str">
        <f>IF(B2275="SEPLAG",VLOOKUP(COMPOSIÇÕES!C2275,'MAPA COMPARATIVO'!A:B,2,FALSE),VLOOKUP(C2275,'NAO DESO'!A:B,2,0))</f>
        <v>PARAFUSO DE ACO TIPO CHUMBADOR PARABOLT, DIAMETRO 1/2", COMPRIMENTO 75 MM</v>
      </c>
      <c r="E2275" s="241" t="str">
        <f>VLOOKUP($C2275,'NAO DESO'!$A:$D,3,)</f>
        <v xml:space="preserve">UN    </v>
      </c>
      <c r="F2275" s="1186">
        <v>8</v>
      </c>
      <c r="G2275" s="242">
        <f>IF(B2275="SEPLAG",VLOOKUP(CONCATENATE("MEDIANA - ",C2275),COTAÇÃO,5,FALSE),VLOOKUP($C2275,'NAO DESO'!$A:$D,4,))</f>
        <v>10.8</v>
      </c>
      <c r="H2275" s="242">
        <f t="shared" si="174"/>
        <v>86.4</v>
      </c>
      <c r="I2275" s="54" t="str">
        <f>IF(B2275="SEPLAG",VLOOKUP(CONCATENATE("MEDIANA - ",C2275),COTAÇÃO,5,FALSE),VLOOKUP($C2275,DESON!$A:$D,4,))</f>
        <v>10,80</v>
      </c>
      <c r="J2275" s="209">
        <f t="shared" si="175"/>
        <v>86.4</v>
      </c>
    </row>
    <row r="2276" spans="1:10" ht="51.75" customHeight="1">
      <c r="A2276" s="208" t="s">
        <v>39</v>
      </c>
      <c r="B2276" s="241"/>
      <c r="C2276" s="247">
        <v>5928</v>
      </c>
      <c r="D2276" s="161" t="str">
        <f>IF(B2276="SEPLAG",VLOOKUP(COMPOSIÇÕES!C2276,'MAPA COMPARATIVO'!A:B,2,FALSE),VLOOKUP(C2276,'NAO DESO'!A:B,2,0))</f>
        <v>GUINDAUTO HIDRÁULICO, CAPACIDADE MÁXIMA DE CARGA 6200 KG, MOMENTO MÁXIMO DE CARGA 11,7 TM, ALCANCE MÁXIMO HORIZONTAL 9,70 M, INCLUSIVE CAMINHÃO TOCO PBT 16.000 KG, POTÊNCIA DE 189 CV - CHP DIURNO. AF_06/2014</v>
      </c>
      <c r="E2276" s="241" t="str">
        <f>VLOOKUP($C2276,'NAO DESO'!$A:$D,3,)</f>
        <v>CHP</v>
      </c>
      <c r="F2276" s="248">
        <v>0.5</v>
      </c>
      <c r="G2276" s="242" t="str">
        <f>IF(B2276="SEPLAG",VLOOKUP(CONCATENATE("MEDIANA - ",C2276),COTAÇÃO,5,FALSE),VLOOKUP($C2276,'NAO DESO'!$A:$D,4,))</f>
        <v>231,97</v>
      </c>
      <c r="H2276" s="242">
        <f t="shared" si="174"/>
        <v>115.98</v>
      </c>
      <c r="I2276" s="54" t="str">
        <f>IF(B2276="SEPLAG",VLOOKUP(CONCATENATE("MEDIANA - ",C2276),COTAÇÃO,5,FALSE),VLOOKUP($C2276,DESON!$A:$D,4,))</f>
        <v>229,82</v>
      </c>
      <c r="J2276" s="209">
        <f t="shared" si="175"/>
        <v>114.91</v>
      </c>
    </row>
    <row r="2277" spans="1:10" ht="15" customHeight="1">
      <c r="A2277" s="210" t="str">
        <f>CONCATENATE("TOTAL DO ITEM NÃO DESON. - ",C2269)</f>
        <v>TOTAL DO ITEM NÃO DESON. - SEPLAG ARQ 147</v>
      </c>
      <c r="B2277" s="424"/>
      <c r="C2277" s="424"/>
      <c r="D2277" s="424"/>
      <c r="E2277" s="424"/>
      <c r="F2277" s="425"/>
      <c r="G2277" s="426"/>
      <c r="H2277" s="1182">
        <f>SUM(H2271:H2276)</f>
        <v>1653.5200000000002</v>
      </c>
      <c r="I2277" s="214"/>
      <c r="J2277" s="215"/>
    </row>
    <row r="2278" spans="1:10" ht="15.75" customHeight="1" thickBot="1">
      <c r="A2278" s="216" t="str">
        <f>CONCATENATE("TOTAL DO ITEM DESON. - ",C2269)</f>
        <v>TOTAL DO ITEM DESON. - SEPLAG ARQ 147</v>
      </c>
      <c r="B2278" s="427"/>
      <c r="C2278" s="427"/>
      <c r="D2278" s="427"/>
      <c r="E2278" s="427"/>
      <c r="F2278" s="428"/>
      <c r="G2278" s="429"/>
      <c r="H2278" s="1187"/>
      <c r="I2278" s="229"/>
      <c r="J2278" s="219">
        <f>SUM(J2271:J2276)</f>
        <v>1588.2900000000002</v>
      </c>
    </row>
    <row r="2279" spans="1:10" ht="15" customHeight="1" thickBot="1"/>
    <row r="2280" spans="1:10" ht="24" customHeight="1">
      <c r="A2280" s="230"/>
      <c r="B2280" s="1152"/>
      <c r="C2280" s="1176" t="s">
        <v>14606</v>
      </c>
      <c r="D2280" s="152" t="s">
        <v>14239</v>
      </c>
      <c r="E2280" s="1176" t="s">
        <v>207</v>
      </c>
      <c r="F2280" s="1177" t="s">
        <v>18</v>
      </c>
      <c r="G2280" s="1177" t="s">
        <v>7017</v>
      </c>
      <c r="H2280" s="1177"/>
      <c r="I2280" s="199" t="s">
        <v>7016</v>
      </c>
      <c r="J2280" s="252"/>
    </row>
    <row r="2281" spans="1:10" ht="15" customHeight="1" thickBot="1">
      <c r="A2281" s="203"/>
      <c r="B2281" s="430"/>
      <c r="C2281" s="1155"/>
      <c r="D2281" s="158"/>
      <c r="E2281" s="1155"/>
      <c r="F2281" s="1180"/>
      <c r="G2281" s="1180" t="s">
        <v>19</v>
      </c>
      <c r="H2281" s="1180" t="s">
        <v>20</v>
      </c>
      <c r="I2281" s="205" t="s">
        <v>19</v>
      </c>
      <c r="J2281" s="206" t="s">
        <v>20</v>
      </c>
    </row>
    <row r="2282" spans="1:10" ht="25.5" customHeight="1">
      <c r="A2282" s="208" t="s">
        <v>39</v>
      </c>
      <c r="B2282" s="241" t="s">
        <v>27203</v>
      </c>
      <c r="C2282" s="1210" t="s">
        <v>14550</v>
      </c>
      <c r="D2282" s="1132" t="s">
        <v>14240</v>
      </c>
      <c r="E2282" s="241" t="s">
        <v>207</v>
      </c>
      <c r="F2282" s="1186">
        <v>1</v>
      </c>
      <c r="G2282" s="242">
        <f>IF(B2282="SEPLAG",VLOOKUP(CONCATENATE("MEDIANA - ",C2282),COTAÇÃO,5,FALSE),VLOOKUP($C2282,'NAO DESO'!$A:$D,4,))</f>
        <v>1250</v>
      </c>
      <c r="H2282" s="242">
        <f>TRUNC(F2282*G2282,2)</f>
        <v>1250</v>
      </c>
      <c r="I2282" s="54">
        <f>IF(B2282="SEPLAG",VLOOKUP(CONCATENATE("MEDIANA - ",C2282),COTAÇÃO,5,FALSE),VLOOKUP($C2282,DESON!$A:$D,4,))</f>
        <v>1250</v>
      </c>
      <c r="J2282" s="209">
        <f>TRUNC(F2282*I2282,2)</f>
        <v>1250</v>
      </c>
    </row>
    <row r="2283" spans="1:10" ht="15" customHeight="1">
      <c r="A2283" s="208" t="s">
        <v>245</v>
      </c>
      <c r="B2283" s="241"/>
      <c r="C2283" s="1181">
        <v>88251</v>
      </c>
      <c r="D2283" s="161" t="str">
        <f>IF(B2283="SEPLAG",VLOOKUP(COMPOSIÇÕES!C2283,'MAPA COMPARATIVO'!A:B,2,FALSE),VLOOKUP(C2283,'NAO DESO'!A:B,2,0))</f>
        <v>AUXILIAR DE SERRALHEIRO COM ENCARGOS COMPLEMENTARES</v>
      </c>
      <c r="E2283" s="241" t="str">
        <f>VLOOKUP($C2283,'NAO DESO'!$A:$D,3,)</f>
        <v>H</v>
      </c>
      <c r="F2283" s="1186">
        <f>F2282*2.44</f>
        <v>2.44</v>
      </c>
      <c r="G2283" s="242" t="str">
        <f>IF(B2283="SEPLAG",VLOOKUP(CONCATENATE("MEDIANA - ",C2283),COTAÇÃO,5,FALSE),VLOOKUP($C2283,'NAO DESO'!$A:$D,4,))</f>
        <v>17,84</v>
      </c>
      <c r="H2283" s="242">
        <f>TRUNC(F2283*G2283,2)</f>
        <v>43.52</v>
      </c>
      <c r="I2283" s="54" t="str">
        <f>IF(B2283="SEPLAG",VLOOKUP(CONCATENATE("MEDIANA - ",C2283),COTAÇÃO,5,FALSE),VLOOKUP($C2283,DESON!$A:$D,4,))</f>
        <v>16,05</v>
      </c>
      <c r="J2283" s="209">
        <f>TRUNC(F2283*I2283,2)</f>
        <v>39.159999999999997</v>
      </c>
    </row>
    <row r="2284" spans="1:10" ht="15" customHeight="1">
      <c r="A2284" s="208" t="s">
        <v>39</v>
      </c>
      <c r="B2284" s="241"/>
      <c r="C2284" s="1181">
        <v>88315</v>
      </c>
      <c r="D2284" s="161" t="str">
        <f>IF(B2284="SEPLAG",VLOOKUP(COMPOSIÇÕES!C2284,'MAPA COMPARATIVO'!A:B,2,FALSE),VLOOKUP(C2284,'NAO DESO'!A:B,2,0))</f>
        <v>SERRALHEIRO COM ENCARGOS COMPLEMENTARES</v>
      </c>
      <c r="E2284" s="241" t="str">
        <f>VLOOKUP($C2284,'NAO DESO'!$A:$D,3,)</f>
        <v>H</v>
      </c>
      <c r="F2284" s="1186">
        <f>F2283</f>
        <v>2.44</v>
      </c>
      <c r="G2284" s="242" t="str">
        <f>IF(B2284="SEPLAG",VLOOKUP(CONCATENATE("MEDIANA - ",C2284),COTAÇÃO,5,FALSE),VLOOKUP($C2284,'NAO DESO'!$A:$D,4,))</f>
        <v>20,97</v>
      </c>
      <c r="H2284" s="242">
        <f>TRUNC(F2284*G2284,2)</f>
        <v>51.16</v>
      </c>
      <c r="I2284" s="54" t="str">
        <f>IF(B2284="SEPLAG",VLOOKUP(CONCATENATE("MEDIANA - ",C2284),COTAÇÃO,5,FALSE),VLOOKUP($C2284,DESON!$A:$D,4,))</f>
        <v>18,75</v>
      </c>
      <c r="J2284" s="209">
        <f>TRUNC(F2284*I2284,2)</f>
        <v>45.75</v>
      </c>
    </row>
    <row r="2285" spans="1:10" ht="39" customHeight="1">
      <c r="A2285" s="208" t="s">
        <v>39</v>
      </c>
      <c r="B2285" s="241"/>
      <c r="C2285" s="241">
        <v>10527</v>
      </c>
      <c r="D2285" s="161" t="str">
        <f>IF(B2285="SEPLAG",VLOOKUP(COMPOSIÇÕES!C2285,'MAPA COMPARATIVO'!A:B,2,FALSE),VLOOKUP(C2285,'NAO DESO'!A:B,2,0))</f>
        <v>LOCACAO DE ANDAIME METALICO TUBULAR DE ENCAIXE, TIPO DE TORRE, COM LARGURA DE 1 ATE 1,5 M E ALTURA DE *1,00* M (INCLUSO SAPATAS FIXAS OU RODIZIOS)</v>
      </c>
      <c r="E2285" s="241" t="str">
        <f>VLOOKUP($C2285,'NAO DESO'!$A:$D,3,)</f>
        <v xml:space="preserve">MXMES </v>
      </c>
      <c r="F2285" s="1186">
        <f>(0.5*11)/7</f>
        <v>0.7857142857142857</v>
      </c>
      <c r="G2285" s="242">
        <f>IF(B2285="SEPLAG",VLOOKUP(CONCATENATE("MEDIANA - ",C2285),COTAÇÃO,5,FALSE),VLOOKUP($C2285,'NAO DESO'!$A:$D,4,))</f>
        <v>22.5</v>
      </c>
      <c r="H2285" s="242">
        <f>TRUNC(F2285*G2285,2)</f>
        <v>17.670000000000002</v>
      </c>
      <c r="I2285" s="54" t="str">
        <f>IF(B2285="SEPLAG",VLOOKUP(CONCATENATE("MEDIANA - ",C2285),COTAÇÃO,5,FALSE),VLOOKUP($C2285,DESON!$A:$D,4,))</f>
        <v>22,50</v>
      </c>
      <c r="J2285" s="209">
        <f>TRUNC(F2285*I2285,2)</f>
        <v>17.670000000000002</v>
      </c>
    </row>
    <row r="2286" spans="1:10" ht="26.25" customHeight="1">
      <c r="A2286" s="208" t="s">
        <v>39</v>
      </c>
      <c r="B2286" s="241"/>
      <c r="C2286" s="247">
        <v>97064</v>
      </c>
      <c r="D2286" s="161" t="str">
        <f>IF(B2286="SEPLAG",VLOOKUP(COMPOSIÇÕES!C2286,'MAPA COMPARATIVO'!A:B,2,FALSE),VLOOKUP(C2286,'NAO DESO'!A:B,2,0))</f>
        <v>MONTAGEM E DESMONTAGEM DE ANDAIME TUBULAR TIPO TORRE (EXCLUSIVE ANDAIME E LIMPEZA). AF_11/2017</v>
      </c>
      <c r="E2286" s="241" t="str">
        <f>VLOOKUP($C2286,'NAO DESO'!$A:$D,3,)</f>
        <v>M</v>
      </c>
      <c r="F2286" s="248">
        <v>1</v>
      </c>
      <c r="G2286" s="242" t="str">
        <f>IF(B2286="SEPLAG",VLOOKUP(CONCATENATE("MEDIANA - ",C2286),COTAÇÃO,5,FALSE),VLOOKUP($C2286,'NAO DESO'!$A:$D,4,))</f>
        <v>13,42</v>
      </c>
      <c r="H2286" s="242">
        <f>TRUNC(F2286*G2286,2)</f>
        <v>13.42</v>
      </c>
      <c r="I2286" s="54" t="str">
        <f>IF(B2286="SEPLAG",VLOOKUP(CONCATENATE("MEDIANA - ",C2286),COTAÇÃO,5,FALSE),VLOOKUP($C2286,DESON!$A:$D,4,))</f>
        <v>12,05</v>
      </c>
      <c r="J2286" s="209">
        <f>TRUNC(F2286*I2286,2)</f>
        <v>12.05</v>
      </c>
    </row>
    <row r="2287" spans="1:10" ht="15" customHeight="1">
      <c r="A2287" s="210" t="str">
        <f>CONCATENATE("TOTAL DO ITEM NÃO DESON. - ",C2280)</f>
        <v>TOTAL DO ITEM NÃO DESON. - SEPLAG ARQ 148</v>
      </c>
      <c r="B2287" s="430"/>
      <c r="C2287" s="430"/>
      <c r="D2287" s="430"/>
      <c r="E2287" s="430"/>
      <c r="F2287" s="1180"/>
      <c r="G2287" s="1180"/>
      <c r="H2287" s="1182">
        <f>SUM(H2282:H2286)</f>
        <v>1375.7700000000002</v>
      </c>
      <c r="I2287" s="214"/>
      <c r="J2287" s="440"/>
    </row>
    <row r="2288" spans="1:10" ht="15.75" customHeight="1" thickBot="1">
      <c r="A2288" s="216" t="str">
        <f>CONCATENATE("TOTAL DO ITEM DESON. - ",C2280)</f>
        <v>TOTAL DO ITEM DESON. - SEPLAG ARQ 148</v>
      </c>
      <c r="B2288" s="1142"/>
      <c r="C2288" s="1142"/>
      <c r="D2288" s="1142"/>
      <c r="E2288" s="1142"/>
      <c r="F2288" s="1211"/>
      <c r="G2288" s="1211"/>
      <c r="H2288" s="1187"/>
      <c r="I2288" s="229"/>
      <c r="J2288" s="219">
        <f>SUM(J2282:J2286)</f>
        <v>1364.63</v>
      </c>
    </row>
    <row r="2289" spans="1:10" ht="15" customHeight="1" thickBot="1"/>
    <row r="2290" spans="1:10" ht="30" customHeight="1">
      <c r="A2290" s="230"/>
      <c r="B2290" s="1201"/>
      <c r="C2290" s="1176" t="s">
        <v>14607</v>
      </c>
      <c r="D2290" s="152" t="s">
        <v>14263</v>
      </c>
      <c r="E2290" s="1176" t="s">
        <v>207</v>
      </c>
      <c r="F2290" s="1177" t="s">
        <v>18</v>
      </c>
      <c r="G2290" s="1178" t="s">
        <v>7017</v>
      </c>
      <c r="H2290" s="1179"/>
      <c r="I2290" s="200" t="s">
        <v>7016</v>
      </c>
      <c r="J2290" s="201"/>
    </row>
    <row r="2291" spans="1:10" ht="15" customHeight="1">
      <c r="A2291" s="203"/>
      <c r="B2291" s="1202"/>
      <c r="C2291" s="1155"/>
      <c r="D2291" s="158"/>
      <c r="E2291" s="1155"/>
      <c r="F2291" s="1180"/>
      <c r="G2291" s="1180" t="s">
        <v>19</v>
      </c>
      <c r="H2291" s="1180" t="s">
        <v>20</v>
      </c>
      <c r="I2291" s="205" t="s">
        <v>19</v>
      </c>
      <c r="J2291" s="206" t="s">
        <v>20</v>
      </c>
    </row>
    <row r="2292" spans="1:10" ht="26.25" customHeight="1">
      <c r="A2292" s="208" t="s">
        <v>245</v>
      </c>
      <c r="B2292" s="1203"/>
      <c r="C2292" s="241">
        <v>3671</v>
      </c>
      <c r="D2292" s="161" t="str">
        <f>IF(B2292="SEPLAG",VLOOKUP(COMPOSIÇÕES!C2292,'MAPA COMPARATIVO'!A:B,2,FALSE),VLOOKUP(C2292,'NAO DESO'!A:B,2,0))</f>
        <v>JUNTA PLASTICA DE DILATACAO PARA PISOS, COR CINZA, 17 X 3 MM (ALTURA X ESPESSURA)</v>
      </c>
      <c r="E2292" s="241" t="str">
        <f>VLOOKUP($C2292,'NAO DESO'!$A:$D,3,)</f>
        <v xml:space="preserve">M     </v>
      </c>
      <c r="F2292" s="1186">
        <v>1.67</v>
      </c>
      <c r="G2292" s="242">
        <f>IF(B2292="SEPLAG",VLOOKUP(CONCATENATE("MEDIANA - ",C2292),COTAÇÃO,5,FALSE),VLOOKUP($C2292,'NAO DESO'!$A:$D,4,))</f>
        <v>1.1000000000000001</v>
      </c>
      <c r="H2292" s="242">
        <f t="shared" ref="H2292:H2298" si="176">TRUNC(F2292*G2292,2)</f>
        <v>1.83</v>
      </c>
      <c r="I2292" s="54" t="str">
        <f>IF(B2292="SEPLAG",VLOOKUP(CONCATENATE("MEDIANA - ",C2292),COTAÇÃO,5,FALSE),VLOOKUP($C2292,DESON!$A:$D,4,))</f>
        <v>1,10</v>
      </c>
      <c r="J2292" s="209">
        <f t="shared" ref="J2292:J2298" si="177">TRUNC(F2292*I2292,2)</f>
        <v>1.83</v>
      </c>
    </row>
    <row r="2293" spans="1:10" ht="26.25" customHeight="1">
      <c r="A2293" s="208" t="s">
        <v>245</v>
      </c>
      <c r="B2293" s="1203"/>
      <c r="C2293" s="241">
        <v>4824</v>
      </c>
      <c r="D2293" s="161" t="str">
        <f>IF(B2293="SEPLAG",VLOOKUP(COMPOSIÇÕES!C2293,'MAPA COMPARATIVO'!A:B,2,FALSE),VLOOKUP(C2293,'NAO DESO'!A:B,2,0))</f>
        <v>GRANILHA/ GRANA/ PEDRISCO OU AGREGADO EM MARMORE/ GRANITO/ QUARTZO E CALCARIO, PRETO, CINZA, PALHA OU BRANCO</v>
      </c>
      <c r="E2293" s="241" t="str">
        <f>VLOOKUP($C2293,'NAO DESO'!$A:$D,3,)</f>
        <v xml:space="preserve">KG    </v>
      </c>
      <c r="F2293" s="1186">
        <v>23.24</v>
      </c>
      <c r="G2293" s="242">
        <f>IF(B2293="SEPLAG",VLOOKUP(CONCATENATE("MEDIANA - ",C2293),COTAÇÃO,5,FALSE),VLOOKUP($C2293,'NAO DESO'!$A:$D,4,))</f>
        <v>0.54</v>
      </c>
      <c r="H2293" s="242">
        <f t="shared" si="176"/>
        <v>12.54</v>
      </c>
      <c r="I2293" s="54" t="str">
        <f>IF(B2293="SEPLAG",VLOOKUP(CONCATENATE("MEDIANA - ",C2293),COTAÇÃO,5,FALSE),VLOOKUP($C2293,DESON!$A:$D,4,))</f>
        <v>0,54</v>
      </c>
      <c r="J2293" s="209">
        <f t="shared" si="177"/>
        <v>12.54</v>
      </c>
    </row>
    <row r="2294" spans="1:10" ht="26.25" customHeight="1">
      <c r="A2294" s="208" t="s">
        <v>245</v>
      </c>
      <c r="B2294" s="1203"/>
      <c r="C2294" s="241">
        <v>87298</v>
      </c>
      <c r="D2294" s="161" t="str">
        <f>IF(B2294="SEPLAG",VLOOKUP(COMPOSIÇÕES!C2294,'MAPA COMPARATIVO'!A:B,2,FALSE),VLOOKUP(C2294,'NAO DESO'!A:B,2,0))</f>
        <v>ARGAMASSA TRAÇO 1:3 (EM VOLUME DE CIMENTO E AREIA MÉDIA ÚMIDA) PARA CONTRAPISO, PREPARO MECÂNICO COM BETONEIRA 400 L. AF_08/2019</v>
      </c>
      <c r="E2294" s="241" t="str">
        <f>VLOOKUP($C2294,'NAO DESO'!$A:$D,3,)</f>
        <v>M3</v>
      </c>
      <c r="F2294" s="1186">
        <v>1.66E-2</v>
      </c>
      <c r="G2294" s="242" t="str">
        <f>IF(B2294="SEPLAG",VLOOKUP(CONCATENATE("MEDIANA - ",C2294),COTAÇÃO,5,FALSE),VLOOKUP($C2294,'NAO DESO'!$A:$D,4,))</f>
        <v>589,78</v>
      </c>
      <c r="H2294" s="242">
        <f t="shared" si="176"/>
        <v>9.7899999999999991</v>
      </c>
      <c r="I2294" s="54" t="str">
        <f>IF(B2294="SEPLAG",VLOOKUP(CONCATENATE("MEDIANA - ",C2294),COTAÇÃO,5,FALSE),VLOOKUP($C2294,DESON!$A:$D,4,))</f>
        <v>582,79</v>
      </c>
      <c r="J2294" s="209">
        <f t="shared" si="177"/>
        <v>9.67</v>
      </c>
    </row>
    <row r="2295" spans="1:10" ht="15" customHeight="1">
      <c r="A2295" s="208" t="s">
        <v>245</v>
      </c>
      <c r="B2295" s="1203"/>
      <c r="C2295" s="241">
        <v>88309</v>
      </c>
      <c r="D2295" s="161" t="str">
        <f>IF(B2295="SEPLAG",VLOOKUP(COMPOSIÇÕES!C2295,'MAPA COMPARATIVO'!A:B,2,FALSE),VLOOKUP(C2295,'NAO DESO'!A:B,2,0))</f>
        <v>PEDREIRO COM ENCARGOS COMPLEMENTARES</v>
      </c>
      <c r="E2295" s="241" t="str">
        <f>VLOOKUP($C2295,'NAO DESO'!$A:$D,3,)</f>
        <v>H</v>
      </c>
      <c r="F2295" s="1186">
        <v>0.55100000000000005</v>
      </c>
      <c r="G2295" s="242" t="str">
        <f>IF(B2295="SEPLAG",VLOOKUP(CONCATENATE("MEDIANA - ",C2295),COTAÇÃO,5,FALSE),VLOOKUP($C2295,'NAO DESO'!$A:$D,4,))</f>
        <v>21,10</v>
      </c>
      <c r="H2295" s="242">
        <f t="shared" si="176"/>
        <v>11.62</v>
      </c>
      <c r="I2295" s="54" t="str">
        <f>IF(B2295="SEPLAG",VLOOKUP(CONCATENATE("MEDIANA - ",C2295),COTAÇÃO,5,FALSE),VLOOKUP($C2295,DESON!$A:$D,4,))</f>
        <v>18,86</v>
      </c>
      <c r="J2295" s="209">
        <f t="shared" si="177"/>
        <v>10.39</v>
      </c>
    </row>
    <row r="2296" spans="1:10" ht="15" customHeight="1">
      <c r="A2296" s="251" t="s">
        <v>245</v>
      </c>
      <c r="B2296" s="1204"/>
      <c r="C2296" s="1206">
        <v>88316</v>
      </c>
      <c r="D2296" s="161" t="str">
        <f>IF(B2296="SEPLAG",VLOOKUP(COMPOSIÇÕES!C2296,'MAPA COMPARATIVO'!A:B,2,FALSE),VLOOKUP(C2296,'NAO DESO'!A:B,2,0))</f>
        <v>SERVENTE COM ENCARGOS COMPLEMENTARES</v>
      </c>
      <c r="E2296" s="1206" t="str">
        <f>VLOOKUP($C2296,'NAO DESO'!$A:$D,3,)</f>
        <v>H</v>
      </c>
      <c r="F2296" s="1209">
        <v>0.27500000000000002</v>
      </c>
      <c r="G2296" s="242" t="str">
        <f>IF(B2296="SEPLAG",VLOOKUP(CONCATENATE("MEDIANA - ",C2296),COTAÇÃO,5,FALSE),VLOOKUP($C2296,'NAO DESO'!$A:$D,4,))</f>
        <v>16,83</v>
      </c>
      <c r="H2296" s="242">
        <f t="shared" si="176"/>
        <v>4.62</v>
      </c>
      <c r="I2296" s="54" t="str">
        <f>IF(B2296="SEPLAG",VLOOKUP(CONCATENATE("MEDIANA - ",C2296),COTAÇÃO,5,FALSE),VLOOKUP($C2296,DESON!$A:$D,4,))</f>
        <v>15,16</v>
      </c>
      <c r="J2296" s="209">
        <f t="shared" si="177"/>
        <v>4.16</v>
      </c>
    </row>
    <row r="2297" spans="1:10" ht="26.25" customHeight="1">
      <c r="A2297" s="208" t="s">
        <v>245</v>
      </c>
      <c r="B2297" s="241"/>
      <c r="C2297" s="241">
        <v>95276</v>
      </c>
      <c r="D2297" s="161" t="str">
        <f>IF(B2297="SEPLAG",VLOOKUP(COMPOSIÇÕES!C2297,'MAPA COMPARATIVO'!A:B,2,FALSE),VLOOKUP(C2297,'NAO DESO'!A:B,2,0))</f>
        <v>POLIDORA DE PISO (POLITRIZ), PESO DE 100KG, DIÂMETRO 450 MM, MOTOR ELÉTRICO, POTÊNCIA 4 HP - CHP DIURNO. AF_09/2016</v>
      </c>
      <c r="E2297" s="241" t="str">
        <f>VLOOKUP($C2297,'NAO DESO'!$A:$D,3,)</f>
        <v>CHP</v>
      </c>
      <c r="F2297" s="1186">
        <v>0.123</v>
      </c>
      <c r="G2297" s="242" t="str">
        <f>IF(B2297="SEPLAG",VLOOKUP(CONCATENATE("MEDIANA - ",C2297),COTAÇÃO,5,FALSE),VLOOKUP($C2297,'NAO DESO'!$A:$D,4,))</f>
        <v>3,12</v>
      </c>
      <c r="H2297" s="242">
        <f t="shared" si="176"/>
        <v>0.38</v>
      </c>
      <c r="I2297" s="54" t="str">
        <f>IF(B2297="SEPLAG",VLOOKUP(CONCATENATE("MEDIANA - ",C2297),COTAÇÃO,5,FALSE),VLOOKUP($C2297,DESON!$A:$D,4,))</f>
        <v>3,12</v>
      </c>
      <c r="J2297" s="209">
        <f t="shared" si="177"/>
        <v>0.38</v>
      </c>
    </row>
    <row r="2298" spans="1:10" ht="26.25" customHeight="1">
      <c r="A2298" s="208" t="s">
        <v>245</v>
      </c>
      <c r="B2298" s="241"/>
      <c r="C2298" s="241">
        <v>95277</v>
      </c>
      <c r="D2298" s="161" t="str">
        <f>IF(B2298="SEPLAG",VLOOKUP(COMPOSIÇÕES!C2298,'MAPA COMPARATIVO'!A:B,2,FALSE),VLOOKUP(C2298,'NAO DESO'!A:B,2,0))</f>
        <v>POLIDORA DE PISO (POLITRIZ), PESO DE 100KG, DIÂMETRO 450 MM, MOTOR ELÉTRICO, POTÊNCIA 4 HP - CHI DIURNO. AF_09/2016</v>
      </c>
      <c r="E2298" s="241" t="str">
        <f>VLOOKUP($C2298,'NAO DESO'!$A:$D,3,)</f>
        <v>CHI</v>
      </c>
      <c r="F2298" s="1186">
        <v>0.42799999999999999</v>
      </c>
      <c r="G2298" s="242" t="str">
        <f>IF(B2298="SEPLAG",VLOOKUP(CONCATENATE("MEDIANA - ",C2298),COTAÇÃO,5,FALSE),VLOOKUP($C2298,'NAO DESO'!$A:$D,4,))</f>
        <v>0,48</v>
      </c>
      <c r="H2298" s="242">
        <f t="shared" si="176"/>
        <v>0.2</v>
      </c>
      <c r="I2298" s="54" t="str">
        <f>IF(B2298="SEPLAG",VLOOKUP(CONCATENATE("MEDIANA - ",C2298),COTAÇÃO,5,FALSE),VLOOKUP($C2298,DESON!$A:$D,4,))</f>
        <v>0,48</v>
      </c>
      <c r="J2298" s="209">
        <f t="shared" si="177"/>
        <v>0.2</v>
      </c>
    </row>
    <row r="2299" spans="1:10" ht="15" customHeight="1">
      <c r="A2299" s="210" t="str">
        <f>CONCATENATE("TOTAL DO ITEM NÃO DESON. - ",C2290)</f>
        <v>TOTAL DO ITEM NÃO DESON. - SEPLAG ARQ 149</v>
      </c>
      <c r="B2299" s="424"/>
      <c r="C2299" s="424"/>
      <c r="D2299" s="424"/>
      <c r="E2299" s="424"/>
      <c r="F2299" s="425"/>
      <c r="G2299" s="426"/>
      <c r="H2299" s="1182">
        <f>SUM(H2292:H2298)</f>
        <v>40.98</v>
      </c>
      <c r="I2299" s="214"/>
      <c r="J2299" s="215"/>
    </row>
    <row r="2300" spans="1:10" ht="15.75" customHeight="1" thickBot="1">
      <c r="A2300" s="216" t="str">
        <f>CONCATENATE("TOTAL DO ITEM DESON. - ",C2290)</f>
        <v>TOTAL DO ITEM DESON. - SEPLAG ARQ 149</v>
      </c>
      <c r="B2300" s="427"/>
      <c r="C2300" s="427"/>
      <c r="D2300" s="427"/>
      <c r="E2300" s="427"/>
      <c r="F2300" s="428"/>
      <c r="G2300" s="429"/>
      <c r="H2300" s="1187"/>
      <c r="I2300" s="229"/>
      <c r="J2300" s="219">
        <f>SUM(J2292:J2298)</f>
        <v>39.170000000000009</v>
      </c>
    </row>
    <row r="2301" spans="1:10" ht="15" customHeight="1" thickBot="1">
      <c r="A2301" s="441"/>
      <c r="B2301" s="1143"/>
      <c r="C2301" s="1143"/>
      <c r="D2301" s="1143"/>
      <c r="E2301" s="1143"/>
      <c r="F2301" s="1212"/>
      <c r="G2301" s="1212"/>
      <c r="H2301" s="1212"/>
      <c r="I2301" s="442"/>
      <c r="J2301" s="443"/>
    </row>
    <row r="2302" spans="1:10" ht="26.25" customHeight="1">
      <c r="A2302" s="198"/>
      <c r="B2302" s="1175"/>
      <c r="C2302" s="1152" t="s">
        <v>14608</v>
      </c>
      <c r="D2302" s="152" t="s">
        <v>14524</v>
      </c>
      <c r="E2302" s="1176" t="s">
        <v>24</v>
      </c>
      <c r="F2302" s="1177" t="s">
        <v>18</v>
      </c>
      <c r="G2302" s="1178" t="s">
        <v>7017</v>
      </c>
      <c r="H2302" s="1179"/>
      <c r="I2302" s="200" t="s">
        <v>7016</v>
      </c>
      <c r="J2302" s="201"/>
    </row>
    <row r="2303" spans="1:10" ht="15" customHeight="1">
      <c r="A2303" s="233"/>
      <c r="B2303" s="247"/>
      <c r="C2303" s="430"/>
      <c r="D2303" s="158"/>
      <c r="E2303" s="1155"/>
      <c r="F2303" s="1180"/>
      <c r="G2303" s="1180" t="s">
        <v>19</v>
      </c>
      <c r="H2303" s="1180" t="s">
        <v>20</v>
      </c>
      <c r="I2303" s="205" t="s">
        <v>19</v>
      </c>
      <c r="J2303" s="206" t="s">
        <v>20</v>
      </c>
    </row>
    <row r="2304" spans="1:10" ht="15" customHeight="1">
      <c r="A2304" s="240"/>
      <c r="B2304" s="241"/>
      <c r="C2304" s="241"/>
      <c r="D2304" s="432" t="s">
        <v>13096</v>
      </c>
      <c r="E2304" s="241"/>
      <c r="F2304" s="242"/>
      <c r="G2304" s="242"/>
      <c r="H2304" s="242"/>
      <c r="I2304" s="242"/>
      <c r="J2304" s="243"/>
    </row>
    <row r="2305" spans="1:12" ht="15" customHeight="1">
      <c r="A2305" s="208" t="s">
        <v>245</v>
      </c>
      <c r="B2305" s="241"/>
      <c r="C2305" s="249">
        <v>88251</v>
      </c>
      <c r="D2305" s="161" t="str">
        <f>IF(B2305="SEPLAG",VLOOKUP(COMPOSIÇÕES!C2305,'MAPA COMPARATIVO'!A:B,2,FALSE),VLOOKUP(C2305,'NAO DESO'!A:B,2,0))</f>
        <v>AUXILIAR DE SERRALHEIRO COM ENCARGOS COMPLEMENTARES</v>
      </c>
      <c r="E2305" s="241" t="str">
        <f>VLOOKUP($C2305,'NAO DESO'!$A:$D,3,)</f>
        <v>H</v>
      </c>
      <c r="F2305" s="242">
        <f>8*30</f>
        <v>240</v>
      </c>
      <c r="G2305" s="242" t="str">
        <f>IF(B2305="SEPLAG",VLOOKUP(CONCATENATE("MEDIANA - ",C2305),COTAÇÃO,5,FALSE),VLOOKUP($C2305,'NAO DESO'!$A:$D,4,))</f>
        <v>17,84</v>
      </c>
      <c r="H2305" s="242">
        <f>TRUNC(F2305*G2305,2)</f>
        <v>4281.6000000000004</v>
      </c>
      <c r="I2305" s="54" t="str">
        <f>IF(B2305="SEPLAG",VLOOKUP(CONCATENATE("MEDIANA - ",C2305),COTAÇÃO,5,FALSE),VLOOKUP($C2305,DESON!$A:$D,4,))</f>
        <v>16,05</v>
      </c>
      <c r="J2305" s="209">
        <f>TRUNC(F2305*I2305,2)</f>
        <v>3852</v>
      </c>
    </row>
    <row r="2306" spans="1:12" ht="15" customHeight="1">
      <c r="A2306" s="208" t="s">
        <v>245</v>
      </c>
      <c r="B2306" s="241"/>
      <c r="C2306" s="249">
        <v>88315</v>
      </c>
      <c r="D2306" s="161" t="str">
        <f>IF(B2306="SEPLAG",VLOOKUP(COMPOSIÇÕES!C2306,'MAPA COMPARATIVO'!A:B,2,FALSE),VLOOKUP(C2306,'NAO DESO'!A:B,2,0))</f>
        <v>SERRALHEIRO COM ENCARGOS COMPLEMENTARES</v>
      </c>
      <c r="E2306" s="241" t="str">
        <f>VLOOKUP($C2306,'NAO DESO'!$A:$D,3,)</f>
        <v>H</v>
      </c>
      <c r="F2306" s="242">
        <f>F2305</f>
        <v>240</v>
      </c>
      <c r="G2306" s="242" t="str">
        <f>IF(B2306="SEPLAG",VLOOKUP(CONCATENATE("MEDIANA - ",C2306),COTAÇÃO,5,FALSE),VLOOKUP($C2306,'NAO DESO'!$A:$D,4,))</f>
        <v>20,97</v>
      </c>
      <c r="H2306" s="242">
        <f>TRUNC(F2306*G2306,2)</f>
        <v>5032.8</v>
      </c>
      <c r="I2306" s="54" t="str">
        <f>IF(B2306="SEPLAG",VLOOKUP(CONCATENATE("MEDIANA - ",C2306),COTAÇÃO,5,FALSE),VLOOKUP($C2306,DESON!$A:$D,4,))</f>
        <v>18,75</v>
      </c>
      <c r="J2306" s="209">
        <f>TRUNC(F2306*I2306,2)</f>
        <v>4500</v>
      </c>
    </row>
    <row r="2307" spans="1:12" ht="15" customHeight="1">
      <c r="A2307" s="208" t="s">
        <v>245</v>
      </c>
      <c r="B2307" s="241"/>
      <c r="C2307" s="249">
        <v>88317</v>
      </c>
      <c r="D2307" s="161" t="str">
        <f>IF(B2307="SEPLAG",VLOOKUP(COMPOSIÇÕES!C2307,'MAPA COMPARATIVO'!A:B,2,FALSE),VLOOKUP(C2307,'NAO DESO'!A:B,2,0))</f>
        <v>SOLDADOR COM ENCARGOS COMPLEMENTARES</v>
      </c>
      <c r="E2307" s="241" t="str">
        <f>VLOOKUP($C2307,'NAO DESO'!$A:$D,3,)</f>
        <v>H</v>
      </c>
      <c r="F2307" s="242">
        <f>F2305</f>
        <v>240</v>
      </c>
      <c r="G2307" s="242" t="str">
        <f>IF(B2307="SEPLAG",VLOOKUP(CONCATENATE("MEDIANA - ",C2307),COTAÇÃO,5,FALSE),VLOOKUP($C2307,'NAO DESO'!$A:$D,4,))</f>
        <v>21,79</v>
      </c>
      <c r="H2307" s="242">
        <f>TRUNC(F2307*G2307,2)</f>
        <v>5229.6000000000004</v>
      </c>
      <c r="I2307" s="54" t="str">
        <f>IF(B2307="SEPLAG",VLOOKUP(CONCATENATE("MEDIANA - ",C2307),COTAÇÃO,5,FALSE),VLOOKUP($C2307,DESON!$A:$D,4,))</f>
        <v>19,57</v>
      </c>
      <c r="J2307" s="209">
        <f>TRUNC(F2307*I2307,2)</f>
        <v>4696.8</v>
      </c>
    </row>
    <row r="2308" spans="1:12" ht="15" customHeight="1">
      <c r="A2308" s="208"/>
      <c r="B2308" s="241"/>
      <c r="C2308" s="249"/>
      <c r="D2308" s="1132"/>
      <c r="E2308" s="241"/>
      <c r="F2308" s="242"/>
      <c r="G2308" s="242"/>
      <c r="H2308" s="242"/>
      <c r="I2308" s="214"/>
      <c r="J2308" s="209"/>
    </row>
    <row r="2309" spans="1:12" ht="15" customHeight="1">
      <c r="A2309" s="208"/>
      <c r="B2309" s="241"/>
      <c r="C2309" s="249"/>
      <c r="D2309" s="432" t="s">
        <v>13097</v>
      </c>
      <c r="E2309" s="241"/>
      <c r="F2309" s="242"/>
      <c r="G2309" s="242"/>
      <c r="H2309" s="242"/>
      <c r="I2309" s="214"/>
      <c r="J2309" s="209"/>
      <c r="L2309" s="444"/>
    </row>
    <row r="2310" spans="1:12" ht="15" customHeight="1">
      <c r="A2310" s="208" t="s">
        <v>39</v>
      </c>
      <c r="B2310" s="241"/>
      <c r="C2310" s="249">
        <v>10998</v>
      </c>
      <c r="D2310" s="161" t="str">
        <f>IF(B2310="SEPLAG",VLOOKUP(COMPOSIÇÕES!C2310,'MAPA COMPARATIVO'!A:B,2,FALSE),VLOOKUP(C2310,'NAO DESO'!A:B,2,0))</f>
        <v>ELETRODO REVESTIDO AWS - E-6010, DIAMETRO IGUAL A 4,00 MM</v>
      </c>
      <c r="E2310" s="241" t="str">
        <f>VLOOKUP($C2310,'NAO DESO'!$A:$D,3,)</f>
        <v xml:space="preserve">KG    </v>
      </c>
      <c r="F2310" s="1186">
        <f>0.02*(F2311+F2312+F23538)</f>
        <v>26.030200000000001</v>
      </c>
      <c r="G2310" s="242">
        <f>IF(B2310="SEPLAG",VLOOKUP(CONCATENATE("MEDIANA - ",C2310),COTAÇÃO,5,FALSE),VLOOKUP($C2310,'NAO DESO'!$A:$D,4,))</f>
        <v>30.03</v>
      </c>
      <c r="H2310" s="242">
        <f t="shared" ref="H2310:H2315" si="178">TRUNC(F2310*G2310,2)</f>
        <v>781.68</v>
      </c>
      <c r="I2310" s="54" t="str">
        <f>IF(B2310="SEPLAG",VLOOKUP(CONCATENATE("MEDIANA - ",C2310),COTAÇÃO,5,FALSE),VLOOKUP($C2310,DESON!$A:$D,4,))</f>
        <v>30,03</v>
      </c>
      <c r="J2310" s="209">
        <f t="shared" ref="J2310:J2315" si="179">TRUNC(F2310*I2310,2)</f>
        <v>781.68</v>
      </c>
    </row>
    <row r="2311" spans="1:12" ht="51.75" customHeight="1">
      <c r="A2311" s="208" t="s">
        <v>39</v>
      </c>
      <c r="B2311" s="241"/>
      <c r="C2311" s="249">
        <v>100763</v>
      </c>
      <c r="D2311" s="161" t="str">
        <f>IF(B2311="SEPLAG",VLOOKUP(COMPOSIÇÕES!C2311,'MAPA COMPARATIVO'!A:B,2,FALSE),VLOOKUP(C2311,'NAO DESO'!A:B,2,0))</f>
        <v>VIGA METÁLICA EM PERFIL LAMINADO OU SOLDADO EM AÇO ESTRUTURAL, COM CONEXÕES PARAFUSADAS, INCLUSOS MÃO DE OBRA, TRANSPORTE E IÇAMENTO UTILIZANDO GUINDASTE - FORNECIMENTO E INSTALAÇÃO. AF_01/2020_P</v>
      </c>
      <c r="E2311" s="241" t="str">
        <f>VLOOKUP($C2311,'NAO DESO'!$A:$D,3,)</f>
        <v>KG</v>
      </c>
      <c r="F2311" s="242">
        <v>850.87</v>
      </c>
      <c r="G2311" s="242" t="str">
        <f>IF(B2311="SEPLAG",VLOOKUP(CONCATENATE("MEDIANA - ",C2311),COTAÇÃO,5,FALSE),VLOOKUP($C2311,'NAO DESO'!$A:$D,4,))</f>
        <v>16,60</v>
      </c>
      <c r="H2311" s="242">
        <f t="shared" si="178"/>
        <v>14124.44</v>
      </c>
      <c r="I2311" s="54" t="str">
        <f>IF(B2311="SEPLAG",VLOOKUP(CONCATENATE("MEDIANA - ",C2311),COTAÇÃO,5,FALSE),VLOOKUP($C2311,DESON!$A:$D,4,))</f>
        <v>16,52</v>
      </c>
      <c r="J2311" s="209">
        <f t="shared" si="179"/>
        <v>14056.37</v>
      </c>
    </row>
    <row r="2312" spans="1:12" ht="39" customHeight="1">
      <c r="A2312" s="208" t="s">
        <v>39</v>
      </c>
      <c r="B2312" s="241"/>
      <c r="C2312" s="249">
        <v>100766</v>
      </c>
      <c r="D2312" s="161" t="str">
        <f>IF(B2312="SEPLAG",VLOOKUP(COMPOSIÇÕES!C2312,'MAPA COMPARATIVO'!A:B,2,FALSE),VLOOKUP(C2312,'NAO DESO'!A:B,2,0))</f>
        <v>PILAR METÁLICO PERFIL LAMINADO OU SOLDADO EM AÇO ESTRUTURAL, COM CONEXÕES SOLDADAS, INCLUSOS MÃO DE OBRA, TRANSPORTE E IÇAMENTO UTILIZANDO GUINDASTE - FORNECIMENTO E INSTALAÇÃO. AF_01/2020_P</v>
      </c>
      <c r="E2312" s="241" t="str">
        <f>VLOOKUP($C2312,'NAO DESO'!$A:$D,3,)</f>
        <v>KG</v>
      </c>
      <c r="F2312" s="1213">
        <v>450.64</v>
      </c>
      <c r="G2312" s="242" t="str">
        <f>IF(B2312="SEPLAG",VLOOKUP(CONCATENATE("MEDIANA - ",C2312),COTAÇÃO,5,FALSE),VLOOKUP($C2312,'NAO DESO'!$A:$D,4,))</f>
        <v>16,65</v>
      </c>
      <c r="H2312" s="242">
        <f t="shared" si="178"/>
        <v>7503.15</v>
      </c>
      <c r="I2312" s="54" t="str">
        <f>IF(B2312="SEPLAG",VLOOKUP(CONCATENATE("MEDIANA - ",C2312),COTAÇÃO,5,FALSE),VLOOKUP($C2312,DESON!$A:$D,4,))</f>
        <v>16,58</v>
      </c>
      <c r="J2312" s="209">
        <f t="shared" si="179"/>
        <v>7471.61</v>
      </c>
      <c r="L2312" s="445"/>
    </row>
    <row r="2313" spans="1:12" ht="15" customHeight="1">
      <c r="A2313" s="208" t="s">
        <v>39</v>
      </c>
      <c r="B2313" s="241"/>
      <c r="C2313" s="249">
        <v>43692</v>
      </c>
      <c r="D2313" s="161" t="s">
        <v>14527</v>
      </c>
      <c r="E2313" s="241" t="str">
        <f>VLOOKUP($C2313,'NAO DESO'!$A:$D,3,)</f>
        <v xml:space="preserve">KG    </v>
      </c>
      <c r="F2313" s="1186">
        <v>149.06</v>
      </c>
      <c r="G2313" s="242">
        <f>IF(B2313="SEPLAG",VLOOKUP(CONCATENATE("MEDIANA - ",C2313),COTAÇÃO,5,FALSE),VLOOKUP($C2313,'NAO DESO'!$A:$D,4,))</f>
        <v>11.68</v>
      </c>
      <c r="H2313" s="242">
        <f t="shared" si="178"/>
        <v>1741.02</v>
      </c>
      <c r="I2313" s="54" t="str">
        <f>IF(B2313="SEPLAG",VLOOKUP(CONCATENATE("MEDIANA - ",C2313),COTAÇÃO,5,FALSE),VLOOKUP($C2313,DESON!$A:$D,4,))</f>
        <v>11,68</v>
      </c>
      <c r="J2313" s="209">
        <f t="shared" si="179"/>
        <v>1741.02</v>
      </c>
    </row>
    <row r="2314" spans="1:12" ht="15" customHeight="1">
      <c r="A2314" s="208" t="s">
        <v>39</v>
      </c>
      <c r="B2314" s="241"/>
      <c r="C2314" s="249">
        <v>11975</v>
      </c>
      <c r="D2314" s="161" t="str">
        <f>IF(B2314="SEPLAG",VLOOKUP(COMPOSIÇÕES!C2314,'MAPA COMPARATIVO'!A:B,2,FALSE),VLOOKUP(C2314,'NAO DESO'!A:B,2,0))</f>
        <v>CHUMBADOR DE ACO, DIAMETRO 5/8", COMPRIMENTO 6", COM PORCA</v>
      </c>
      <c r="E2314" s="241" t="str">
        <f>VLOOKUP($C2314,'NAO DESO'!$A:$D,3,)</f>
        <v xml:space="preserve">UN    </v>
      </c>
      <c r="F2314" s="1186">
        <f>5*8</f>
        <v>40</v>
      </c>
      <c r="G2314" s="242">
        <f>IF(B2314="SEPLAG",VLOOKUP(CONCATENATE("MEDIANA - ",C2314),COTAÇÃO,5,FALSE),VLOOKUP($C2314,'NAO DESO'!$A:$D,4,))</f>
        <v>26.82</v>
      </c>
      <c r="H2314" s="242">
        <f t="shared" si="178"/>
        <v>1072.8</v>
      </c>
      <c r="I2314" s="54" t="str">
        <f>IF(B2314="SEPLAG",VLOOKUP(CONCATENATE("MEDIANA - ",C2314),COTAÇÃO,5,FALSE),VLOOKUP($C2314,DESON!$A:$D,4,))</f>
        <v>26,82</v>
      </c>
      <c r="J2314" s="209">
        <f t="shared" si="179"/>
        <v>1072.8</v>
      </c>
    </row>
    <row r="2315" spans="1:12" ht="15" customHeight="1">
      <c r="A2315" s="208" t="s">
        <v>39</v>
      </c>
      <c r="B2315" s="241"/>
      <c r="C2315" s="249">
        <v>1332</v>
      </c>
      <c r="D2315" s="161" t="str">
        <f>IF(B2315="SEPLAG",VLOOKUP(COMPOSIÇÕES!C2315,'MAPA COMPARATIVO'!A:B,2,FALSE),VLOOKUP(C2315,'NAO DESO'!A:B,2,0))</f>
        <v>CHAPA DE ACO GROSSA, ASTM A36, E = 3/8 " (9,53 MM) 74,69 KG/M2</v>
      </c>
      <c r="E2315" s="241" t="str">
        <f>VLOOKUP($C2315,'NAO DESO'!$A:$D,3,)</f>
        <v xml:space="preserve">KG    </v>
      </c>
      <c r="F2315" s="1186">
        <f>(0.18*0.18*74.69*2)</f>
        <v>4.839912</v>
      </c>
      <c r="G2315" s="242">
        <f>IF(B2315="SEPLAG",VLOOKUP(CONCATENATE("MEDIANA - ",C2315),COTAÇÃO,5,FALSE),VLOOKUP($C2315,'NAO DESO'!$A:$D,4,))</f>
        <v>11.62</v>
      </c>
      <c r="H2315" s="242">
        <f t="shared" si="178"/>
        <v>56.23</v>
      </c>
      <c r="I2315" s="54" t="str">
        <f>IF(B2315="SEPLAG",VLOOKUP(CONCATENATE("MEDIANA - ",C2315),COTAÇÃO,5,FALSE),VLOOKUP($C2315,DESON!$A:$D,4,))</f>
        <v>11,62</v>
      </c>
      <c r="J2315" s="209">
        <f t="shared" si="179"/>
        <v>56.23</v>
      </c>
    </row>
    <row r="2316" spans="1:12" ht="15" customHeight="1">
      <c r="A2316" s="210" t="str">
        <f>CONCATENATE("TOTAL DO ITEM NÃO DESON. - ",C2302)</f>
        <v>TOTAL DO ITEM NÃO DESON. - SEPLAG ARQ 150</v>
      </c>
      <c r="B2316" s="424"/>
      <c r="C2316" s="424"/>
      <c r="D2316" s="424"/>
      <c r="E2316" s="424"/>
      <c r="F2316" s="425"/>
      <c r="G2316" s="426"/>
      <c r="H2316" s="1189">
        <f>SUM(H2305:H2315)</f>
        <v>39823.320000000007</v>
      </c>
      <c r="I2316" s="214"/>
      <c r="J2316" s="215"/>
    </row>
    <row r="2317" spans="1:12" ht="15.75" customHeight="1" thickBot="1">
      <c r="A2317" s="216" t="str">
        <f>CONCATENATE("TOTAL DO ITEM DESON. - ",C2302)</f>
        <v>TOTAL DO ITEM DESON. - SEPLAG ARQ 150</v>
      </c>
      <c r="B2317" s="427"/>
      <c r="C2317" s="427"/>
      <c r="D2317" s="427"/>
      <c r="E2317" s="427"/>
      <c r="F2317" s="428"/>
      <c r="G2317" s="429"/>
      <c r="H2317" s="1190"/>
      <c r="I2317" s="229"/>
      <c r="J2317" s="219">
        <f>SUM(J2305:J2315)</f>
        <v>38228.51</v>
      </c>
    </row>
    <row r="2318" spans="1:12" ht="15" customHeight="1" thickBot="1">
      <c r="A2318" s="446"/>
      <c r="B2318" s="1144"/>
      <c r="C2318" s="1144"/>
      <c r="D2318" s="1144"/>
      <c r="E2318" s="1144"/>
      <c r="F2318" s="1214"/>
      <c r="G2318" s="1214"/>
      <c r="H2318" s="1214"/>
      <c r="I2318" s="447"/>
      <c r="J2318" s="448"/>
    </row>
    <row r="2319" spans="1:12" ht="27" customHeight="1">
      <c r="A2319" s="230"/>
      <c r="B2319" s="1201"/>
      <c r="C2319" s="1176" t="s">
        <v>14609</v>
      </c>
      <c r="D2319" s="152" t="s">
        <v>14604</v>
      </c>
      <c r="E2319" s="1176" t="s">
        <v>24</v>
      </c>
      <c r="F2319" s="1177" t="s">
        <v>18</v>
      </c>
      <c r="G2319" s="1178" t="s">
        <v>7017</v>
      </c>
      <c r="H2319" s="1179"/>
      <c r="I2319" s="200" t="s">
        <v>7016</v>
      </c>
      <c r="J2319" s="201"/>
    </row>
    <row r="2320" spans="1:12" ht="15" customHeight="1">
      <c r="A2320" s="203"/>
      <c r="B2320" s="1202"/>
      <c r="C2320" s="1155"/>
      <c r="D2320" s="158"/>
      <c r="E2320" s="1155"/>
      <c r="F2320" s="1180"/>
      <c r="G2320" s="1180" t="s">
        <v>19</v>
      </c>
      <c r="H2320" s="1180" t="s">
        <v>20</v>
      </c>
      <c r="I2320" s="205" t="s">
        <v>19</v>
      </c>
      <c r="J2320" s="206" t="s">
        <v>20</v>
      </c>
    </row>
    <row r="2321" spans="1:10" ht="26.25" customHeight="1">
      <c r="A2321" s="208" t="s">
        <v>39</v>
      </c>
      <c r="B2321" s="1203"/>
      <c r="C2321" s="241">
        <v>43692</v>
      </c>
      <c r="D2321" s="161" t="str">
        <f>IF(B2321="SEPLAG",VLOOKUP(COMPOSIÇÕES!C2321,'MAPA COMPARATIVO'!A:B,2,FALSE),VLOOKUP(C2321,'NAO DESO'!A:B,2,0))</f>
        <v>PERFIL "U" EM CHAPA ACO DOBRADA, E = 3,04 MM, H = 20 CM, ABAS = 5 CM (4,47 KG/M)</v>
      </c>
      <c r="E2321" s="241" t="str">
        <f>VLOOKUP($C2321,'NAO DESO'!$A:$D,3,)</f>
        <v xml:space="preserve">KG    </v>
      </c>
      <c r="F2321" s="1186">
        <v>1912.47</v>
      </c>
      <c r="G2321" s="242">
        <f>IF(B2321="SEPLAG",VLOOKUP(CONCATENATE("MEDIANA - ",C2321),COTAÇÃO,5,FALSE),VLOOKUP($C2321,'NAO DESO'!$A:$D,4,))</f>
        <v>11.68</v>
      </c>
      <c r="H2321" s="242">
        <f t="shared" ref="H2321:H2326" si="180">TRUNC(F2321*G2321,2)</f>
        <v>22337.64</v>
      </c>
      <c r="I2321" s="54" t="str">
        <f>IF(B2321="SEPLAG",VLOOKUP(CONCATENATE("MEDIANA - ",C2321),COTAÇÃO,5,FALSE),VLOOKUP($C2321,DESON!$A:$D,4,))</f>
        <v>11,68</v>
      </c>
      <c r="J2321" s="209">
        <f t="shared" ref="J2321:J2326" si="181">TRUNC(F2321*I2321,2)</f>
        <v>22337.64</v>
      </c>
    </row>
    <row r="2322" spans="1:10" ht="15" customHeight="1">
      <c r="A2322" s="208" t="s">
        <v>245</v>
      </c>
      <c r="B2322" s="1203"/>
      <c r="C2322" s="1181">
        <v>11002</v>
      </c>
      <c r="D2322" s="161" t="str">
        <f>IF(B2322="SEPLAG",VLOOKUP(COMPOSIÇÕES!C2322,'MAPA COMPARATIVO'!A:B,2,FALSE),VLOOKUP(C2322,'NAO DESO'!A:B,2,0))</f>
        <v>ELETRODO REVESTIDO AWS - E6013, DIAMETRO IGUAL A 2,50 MM</v>
      </c>
      <c r="E2322" s="241" t="str">
        <f>VLOOKUP($C2322,'NAO DESO'!$A:$D,3,)</f>
        <v xml:space="preserve">KG    </v>
      </c>
      <c r="F2322" s="1186">
        <f>0.015204*F2321</f>
        <v>29.077193880000003</v>
      </c>
      <c r="G2322" s="242">
        <f>IF(B2322="SEPLAG",VLOOKUP(CONCATENATE("MEDIANA - ",C2322),COTAÇÃO,5,FALSE),VLOOKUP($C2322,'NAO DESO'!$A:$D,4,))</f>
        <v>27.51</v>
      </c>
      <c r="H2322" s="242">
        <f t="shared" si="180"/>
        <v>799.91</v>
      </c>
      <c r="I2322" s="54" t="str">
        <f>IF(B2322="SEPLAG",VLOOKUP(CONCATENATE("MEDIANA - ",C2322),COTAÇÃO,5,FALSE),VLOOKUP($C2322,DESON!$A:$D,4,))</f>
        <v>27,51</v>
      </c>
      <c r="J2322" s="209">
        <f t="shared" si="181"/>
        <v>799.91</v>
      </c>
    </row>
    <row r="2323" spans="1:10" ht="15" customHeight="1">
      <c r="A2323" s="208" t="s">
        <v>245</v>
      </c>
      <c r="B2323" s="1203"/>
      <c r="C2323" s="1181">
        <v>88251</v>
      </c>
      <c r="D2323" s="161" t="str">
        <f>IF(B2323="SEPLAG",VLOOKUP(COMPOSIÇÕES!C2323,'MAPA COMPARATIVO'!A:B,2,FALSE),VLOOKUP(C2323,'NAO DESO'!A:B,2,0))</f>
        <v>AUXILIAR DE SERRALHEIRO COM ENCARGOS COMPLEMENTARES</v>
      </c>
      <c r="E2323" s="241" t="str">
        <f>VLOOKUP($C2323,'NAO DESO'!$A:$D,3,)</f>
        <v>H</v>
      </c>
      <c r="F2323" s="1186">
        <f>15*8</f>
        <v>120</v>
      </c>
      <c r="G2323" s="242" t="str">
        <f>IF(B2323="SEPLAG",VLOOKUP(CONCATENATE("MEDIANA - ",C2323),COTAÇÃO,5,FALSE),VLOOKUP($C2323,'NAO DESO'!$A:$D,4,))</f>
        <v>17,84</v>
      </c>
      <c r="H2323" s="242">
        <f t="shared" si="180"/>
        <v>2140.8000000000002</v>
      </c>
      <c r="I2323" s="54" t="str">
        <f>IF(B2323="SEPLAG",VLOOKUP(CONCATENATE("MEDIANA - ",C2323),COTAÇÃO,5,FALSE),VLOOKUP($C2323,DESON!$A:$D,4,))</f>
        <v>16,05</v>
      </c>
      <c r="J2323" s="209">
        <f t="shared" si="181"/>
        <v>1926</v>
      </c>
    </row>
    <row r="2324" spans="1:10" ht="15" customHeight="1">
      <c r="A2324" s="208" t="s">
        <v>39</v>
      </c>
      <c r="B2324" s="1203"/>
      <c r="C2324" s="1181">
        <v>88315</v>
      </c>
      <c r="D2324" s="161" t="str">
        <f>IF(B2324="SEPLAG",VLOOKUP(COMPOSIÇÕES!C2324,'MAPA COMPARATIVO'!A:B,2,FALSE),VLOOKUP(C2324,'NAO DESO'!A:B,2,0))</f>
        <v>SERRALHEIRO COM ENCARGOS COMPLEMENTARES</v>
      </c>
      <c r="E2324" s="241" t="str">
        <f>VLOOKUP($C2324,'NAO DESO'!$A:$D,3,)</f>
        <v>H</v>
      </c>
      <c r="F2324" s="1186">
        <f>F2323</f>
        <v>120</v>
      </c>
      <c r="G2324" s="242" t="str">
        <f>IF(B2324="SEPLAG",VLOOKUP(CONCATENATE("MEDIANA - ",C2324),COTAÇÃO,5,FALSE),VLOOKUP($C2324,'NAO DESO'!$A:$D,4,))</f>
        <v>20,97</v>
      </c>
      <c r="H2324" s="242">
        <f t="shared" si="180"/>
        <v>2516.4</v>
      </c>
      <c r="I2324" s="54" t="str">
        <f>IF(B2324="SEPLAG",VLOOKUP(CONCATENATE("MEDIANA - ",C2324),COTAÇÃO,5,FALSE),VLOOKUP($C2324,DESON!$A:$D,4,))</f>
        <v>18,75</v>
      </c>
      <c r="J2324" s="209">
        <f t="shared" si="181"/>
        <v>2250</v>
      </c>
    </row>
    <row r="2325" spans="1:10" ht="26.25" customHeight="1">
      <c r="A2325" s="208" t="s">
        <v>39</v>
      </c>
      <c r="B2325" s="1203"/>
      <c r="C2325" s="241">
        <v>11963</v>
      </c>
      <c r="D2325" s="161" t="str">
        <f>IF(B2325="SEPLAG",VLOOKUP(COMPOSIÇÕES!C2325,'MAPA COMPARATIVO'!A:B,2,FALSE),VLOOKUP(C2325,'NAO DESO'!A:B,2,0))</f>
        <v>PARAFUSO DE ACO TIPO CHUMBADOR PARABOLT, DIAMETRO 1/2", COMPRIMENTO 75 MM</v>
      </c>
      <c r="E2325" s="241" t="str">
        <f>VLOOKUP($C2325,'NAO DESO'!$A:$D,3,)</f>
        <v xml:space="preserve">UN    </v>
      </c>
      <c r="F2325" s="1186">
        <v>16</v>
      </c>
      <c r="G2325" s="242">
        <f>IF(B2325="SEPLAG",VLOOKUP(CONCATENATE("MEDIANA - ",C2325),COTAÇÃO,5,FALSE),VLOOKUP($C2325,'NAO DESO'!$A:$D,4,))</f>
        <v>10.8</v>
      </c>
      <c r="H2325" s="242">
        <f t="shared" si="180"/>
        <v>172.8</v>
      </c>
      <c r="I2325" s="54" t="str">
        <f>IF(B2325="SEPLAG",VLOOKUP(CONCATENATE("MEDIANA - ",C2325),COTAÇÃO,5,FALSE),VLOOKUP($C2325,DESON!$A:$D,4,))</f>
        <v>10,80</v>
      </c>
      <c r="J2325" s="209">
        <f t="shared" si="181"/>
        <v>172.8</v>
      </c>
    </row>
    <row r="2326" spans="1:10" ht="51.75" customHeight="1">
      <c r="A2326" s="208" t="s">
        <v>39</v>
      </c>
      <c r="B2326" s="241"/>
      <c r="C2326" s="247">
        <v>5928</v>
      </c>
      <c r="D2326" s="161" t="str">
        <f>IF(B2326="SEPLAG",VLOOKUP(COMPOSIÇÕES!C2326,'MAPA COMPARATIVO'!A:B,2,FALSE),VLOOKUP(C2326,'NAO DESO'!A:B,2,0))</f>
        <v>GUINDAUTO HIDRÁULICO, CAPACIDADE MÁXIMA DE CARGA 6200 KG, MOMENTO MÁXIMO DE CARGA 11,7 TM, ALCANCE MÁXIMO HORIZONTAL 9,70 M, INCLUSIVE CAMINHÃO TOCO PBT 16.000 KG, POTÊNCIA DE 189 CV - CHP DIURNO. AF_06/2014</v>
      </c>
      <c r="E2326" s="241" t="str">
        <f>VLOOKUP($C2326,'NAO DESO'!$A:$D,3,)</f>
        <v>CHP</v>
      </c>
      <c r="F2326" s="248">
        <v>2</v>
      </c>
      <c r="G2326" s="242" t="str">
        <f>IF(B2326="SEPLAG",VLOOKUP(CONCATENATE("MEDIANA - ",C2326),COTAÇÃO,5,FALSE),VLOOKUP($C2326,'NAO DESO'!$A:$D,4,))</f>
        <v>231,97</v>
      </c>
      <c r="H2326" s="242">
        <f t="shared" si="180"/>
        <v>463.94</v>
      </c>
      <c r="I2326" s="54" t="str">
        <f>IF(B2326="SEPLAG",VLOOKUP(CONCATENATE("MEDIANA - ",C2326),COTAÇÃO,5,FALSE),VLOOKUP($C2326,DESON!$A:$D,4,))</f>
        <v>229,82</v>
      </c>
      <c r="J2326" s="209">
        <f t="shared" si="181"/>
        <v>459.64</v>
      </c>
    </row>
    <row r="2327" spans="1:10" ht="15" customHeight="1">
      <c r="A2327" s="210" t="str">
        <f>CONCATENATE("TOTAL DO ITEM NÃO DESON. - ",C2319)</f>
        <v>TOTAL DO ITEM NÃO DESON. - SEPLAG ARQ 151</v>
      </c>
      <c r="B2327" s="424"/>
      <c r="C2327" s="424"/>
      <c r="D2327" s="424"/>
      <c r="E2327" s="424"/>
      <c r="F2327" s="425"/>
      <c r="G2327" s="426"/>
      <c r="H2327" s="1182">
        <f>SUM(H2321:H2326)</f>
        <v>28431.489999999998</v>
      </c>
      <c r="I2327" s="214"/>
      <c r="J2327" s="215"/>
    </row>
    <row r="2328" spans="1:10" ht="15.75" customHeight="1" thickBot="1">
      <c r="A2328" s="216" t="str">
        <f>CONCATENATE("TOTAL DO ITEM DESON. - ",C2319)</f>
        <v>TOTAL DO ITEM DESON. - SEPLAG ARQ 151</v>
      </c>
      <c r="B2328" s="427"/>
      <c r="C2328" s="427"/>
      <c r="D2328" s="427"/>
      <c r="E2328" s="427"/>
      <c r="F2328" s="428"/>
      <c r="G2328" s="429"/>
      <c r="H2328" s="1187"/>
      <c r="I2328" s="229"/>
      <c r="J2328" s="219">
        <f>SUM(J2321:J2326)</f>
        <v>27945.989999999998</v>
      </c>
    </row>
    <row r="2329" spans="1:10" ht="15" customHeight="1" thickBot="1">
      <c r="A2329" s="446"/>
      <c r="B2329" s="1144"/>
      <c r="C2329" s="1144"/>
      <c r="D2329" s="1144"/>
      <c r="E2329" s="1144"/>
      <c r="F2329" s="1214"/>
      <c r="G2329" s="1214"/>
      <c r="H2329" s="1214"/>
      <c r="I2329" s="447"/>
      <c r="J2329" s="448"/>
    </row>
    <row r="2330" spans="1:10" ht="27" customHeight="1">
      <c r="A2330" s="230"/>
      <c r="B2330" s="1201"/>
      <c r="C2330" s="1176" t="s">
        <v>14610</v>
      </c>
      <c r="D2330" s="152" t="s">
        <v>14605</v>
      </c>
      <c r="E2330" s="1176" t="s">
        <v>24</v>
      </c>
      <c r="F2330" s="1177" t="s">
        <v>18</v>
      </c>
      <c r="G2330" s="1178" t="s">
        <v>7017</v>
      </c>
      <c r="H2330" s="1179"/>
      <c r="I2330" s="200" t="s">
        <v>7016</v>
      </c>
      <c r="J2330" s="201"/>
    </row>
    <row r="2331" spans="1:10" ht="15" customHeight="1">
      <c r="A2331" s="203"/>
      <c r="B2331" s="1202"/>
      <c r="C2331" s="1155"/>
      <c r="D2331" s="158"/>
      <c r="E2331" s="1155"/>
      <c r="F2331" s="1180"/>
      <c r="G2331" s="1180" t="s">
        <v>19</v>
      </c>
      <c r="H2331" s="1180" t="s">
        <v>20</v>
      </c>
      <c r="I2331" s="205" t="s">
        <v>19</v>
      </c>
      <c r="J2331" s="206" t="s">
        <v>20</v>
      </c>
    </row>
    <row r="2332" spans="1:10" ht="26.25" customHeight="1">
      <c r="A2332" s="208" t="s">
        <v>39</v>
      </c>
      <c r="B2332" s="1203"/>
      <c r="C2332" s="241">
        <v>43692</v>
      </c>
      <c r="D2332" s="161" t="str">
        <f>IF(B2332="SEPLAG",VLOOKUP(COMPOSIÇÕES!C2332,'MAPA COMPARATIVO'!A:B,2,FALSE),VLOOKUP(C2332,'NAO DESO'!A:B,2,0))</f>
        <v>PERFIL "U" EM CHAPA ACO DOBRADA, E = 3,04 MM, H = 20 CM, ABAS = 5 CM (4,47 KG/M)</v>
      </c>
      <c r="E2332" s="241" t="str">
        <f>VLOOKUP($C2332,'NAO DESO'!$A:$D,3,)</f>
        <v xml:space="preserve">KG    </v>
      </c>
      <c r="F2332" s="1186">
        <v>1493.09</v>
      </c>
      <c r="G2332" s="242">
        <f>IF(B2332="SEPLAG",VLOOKUP(CONCATENATE("MEDIANA - ",C2332),COTAÇÃO,5,FALSE),VLOOKUP($C2332,'NAO DESO'!$A:$D,4,))</f>
        <v>11.68</v>
      </c>
      <c r="H2332" s="242">
        <f t="shared" ref="H2332:H2337" si="182">TRUNC(F2332*G2332,2)</f>
        <v>17439.29</v>
      </c>
      <c r="I2332" s="54" t="str">
        <f>IF(B2332="SEPLAG",VLOOKUP(CONCATENATE("MEDIANA - ",C2332),COTAÇÃO,5,FALSE),VLOOKUP($C2332,DESON!$A:$D,4,))</f>
        <v>11,68</v>
      </c>
      <c r="J2332" s="209">
        <f t="shared" ref="J2332:J2337" si="183">TRUNC(F2332*I2332,2)</f>
        <v>17439.29</v>
      </c>
    </row>
    <row r="2333" spans="1:10" ht="15" customHeight="1">
      <c r="A2333" s="208" t="s">
        <v>245</v>
      </c>
      <c r="B2333" s="1203"/>
      <c r="C2333" s="1181">
        <v>11002</v>
      </c>
      <c r="D2333" s="161" t="str">
        <f>IF(B2333="SEPLAG",VLOOKUP(COMPOSIÇÕES!C2333,'MAPA COMPARATIVO'!A:B,2,FALSE),VLOOKUP(C2333,'NAO DESO'!A:B,2,0))</f>
        <v>ELETRODO REVESTIDO AWS - E6013, DIAMETRO IGUAL A 2,50 MM</v>
      </c>
      <c r="E2333" s="241" t="str">
        <f>VLOOKUP($C2333,'NAO DESO'!$A:$D,3,)</f>
        <v xml:space="preserve">KG    </v>
      </c>
      <c r="F2333" s="1186">
        <f>0.015204*F2332</f>
        <v>22.700940360000001</v>
      </c>
      <c r="G2333" s="242">
        <f>IF(B2333="SEPLAG",VLOOKUP(CONCATENATE("MEDIANA - ",C2333),COTAÇÃO,5,FALSE),VLOOKUP($C2333,'NAO DESO'!$A:$D,4,))</f>
        <v>27.51</v>
      </c>
      <c r="H2333" s="242">
        <f t="shared" si="182"/>
        <v>624.5</v>
      </c>
      <c r="I2333" s="54" t="str">
        <f>IF(B2333="SEPLAG",VLOOKUP(CONCATENATE("MEDIANA - ",C2333),COTAÇÃO,5,FALSE),VLOOKUP($C2333,DESON!$A:$D,4,))</f>
        <v>27,51</v>
      </c>
      <c r="J2333" s="209">
        <f t="shared" si="183"/>
        <v>624.5</v>
      </c>
    </row>
    <row r="2334" spans="1:10" ht="15" customHeight="1">
      <c r="A2334" s="208" t="s">
        <v>245</v>
      </c>
      <c r="B2334" s="1203"/>
      <c r="C2334" s="1181">
        <v>88251</v>
      </c>
      <c r="D2334" s="161" t="str">
        <f>IF(B2334="SEPLAG",VLOOKUP(COMPOSIÇÕES!C2334,'MAPA COMPARATIVO'!A:B,2,FALSE),VLOOKUP(C2334,'NAO DESO'!A:B,2,0))</f>
        <v>AUXILIAR DE SERRALHEIRO COM ENCARGOS COMPLEMENTARES</v>
      </c>
      <c r="E2334" s="241" t="str">
        <f>VLOOKUP($C2334,'NAO DESO'!$A:$D,3,)</f>
        <v>H</v>
      </c>
      <c r="F2334" s="1186">
        <f>20*8</f>
        <v>160</v>
      </c>
      <c r="G2334" s="242" t="str">
        <f>IF(B2334="SEPLAG",VLOOKUP(CONCATENATE("MEDIANA - ",C2334),COTAÇÃO,5,FALSE),VLOOKUP($C2334,'NAO DESO'!$A:$D,4,))</f>
        <v>17,84</v>
      </c>
      <c r="H2334" s="242">
        <f t="shared" si="182"/>
        <v>2854.4</v>
      </c>
      <c r="I2334" s="54" t="str">
        <f>IF(B2334="SEPLAG",VLOOKUP(CONCATENATE("MEDIANA - ",C2334),COTAÇÃO,5,FALSE),VLOOKUP($C2334,DESON!$A:$D,4,))</f>
        <v>16,05</v>
      </c>
      <c r="J2334" s="209">
        <f t="shared" si="183"/>
        <v>2568</v>
      </c>
    </row>
    <row r="2335" spans="1:10" ht="15" customHeight="1">
      <c r="A2335" s="208" t="s">
        <v>39</v>
      </c>
      <c r="B2335" s="1203"/>
      <c r="C2335" s="1181">
        <v>88315</v>
      </c>
      <c r="D2335" s="161" t="str">
        <f>IF(B2335="SEPLAG",VLOOKUP(COMPOSIÇÕES!C2335,'MAPA COMPARATIVO'!A:B,2,FALSE),VLOOKUP(C2335,'NAO DESO'!A:B,2,0))</f>
        <v>SERRALHEIRO COM ENCARGOS COMPLEMENTARES</v>
      </c>
      <c r="E2335" s="241" t="str">
        <f>VLOOKUP($C2335,'NAO DESO'!$A:$D,3,)</f>
        <v>H</v>
      </c>
      <c r="F2335" s="1186">
        <f>F2334</f>
        <v>160</v>
      </c>
      <c r="G2335" s="242" t="str">
        <f>IF(B2335="SEPLAG",VLOOKUP(CONCATENATE("MEDIANA - ",C2335),COTAÇÃO,5,FALSE),VLOOKUP($C2335,'NAO DESO'!$A:$D,4,))</f>
        <v>20,97</v>
      </c>
      <c r="H2335" s="242">
        <f t="shared" si="182"/>
        <v>3355.2</v>
      </c>
      <c r="I2335" s="54" t="str">
        <f>IF(B2335="SEPLAG",VLOOKUP(CONCATENATE("MEDIANA - ",C2335),COTAÇÃO,5,FALSE),VLOOKUP($C2335,DESON!$A:$D,4,))</f>
        <v>18,75</v>
      </c>
      <c r="J2335" s="209">
        <f t="shared" si="183"/>
        <v>3000</v>
      </c>
    </row>
    <row r="2336" spans="1:10" ht="26.25" customHeight="1">
      <c r="A2336" s="208" t="s">
        <v>39</v>
      </c>
      <c r="B2336" s="1203"/>
      <c r="C2336" s="241">
        <v>11963</v>
      </c>
      <c r="D2336" s="161" t="str">
        <f>IF(B2336="SEPLAG",VLOOKUP(COMPOSIÇÕES!C2336,'MAPA COMPARATIVO'!A:B,2,FALSE),VLOOKUP(C2336,'NAO DESO'!A:B,2,0))</f>
        <v>PARAFUSO DE ACO TIPO CHUMBADOR PARABOLT, DIAMETRO 1/2", COMPRIMENTO 75 MM</v>
      </c>
      <c r="E2336" s="241" t="str">
        <f>VLOOKUP($C2336,'NAO DESO'!$A:$D,3,)</f>
        <v xml:space="preserve">UN    </v>
      </c>
      <c r="F2336" s="1186">
        <v>16</v>
      </c>
      <c r="G2336" s="242">
        <f>IF(B2336="SEPLAG",VLOOKUP(CONCATENATE("MEDIANA - ",C2336),COTAÇÃO,5,FALSE),VLOOKUP($C2336,'NAO DESO'!$A:$D,4,))</f>
        <v>10.8</v>
      </c>
      <c r="H2336" s="242">
        <f t="shared" si="182"/>
        <v>172.8</v>
      </c>
      <c r="I2336" s="54" t="str">
        <f>IF(B2336="SEPLAG",VLOOKUP(CONCATENATE("MEDIANA - ",C2336),COTAÇÃO,5,FALSE),VLOOKUP($C2336,DESON!$A:$D,4,))</f>
        <v>10,80</v>
      </c>
      <c r="J2336" s="209">
        <f t="shared" si="183"/>
        <v>172.8</v>
      </c>
    </row>
    <row r="2337" spans="1:10" ht="51.75" customHeight="1">
      <c r="A2337" s="208" t="s">
        <v>39</v>
      </c>
      <c r="B2337" s="241"/>
      <c r="C2337" s="247">
        <v>5928</v>
      </c>
      <c r="D2337" s="161" t="str">
        <f>IF(B2337="SEPLAG",VLOOKUP(COMPOSIÇÕES!C2337,'MAPA COMPARATIVO'!A:B,2,FALSE),VLOOKUP(C2337,'NAO DESO'!A:B,2,0))</f>
        <v>GUINDAUTO HIDRÁULICO, CAPACIDADE MÁXIMA DE CARGA 6200 KG, MOMENTO MÁXIMO DE CARGA 11,7 TM, ALCANCE MÁXIMO HORIZONTAL 9,70 M, INCLUSIVE CAMINHÃO TOCO PBT 16.000 KG, POTÊNCIA DE 189 CV - CHP DIURNO. AF_06/2014</v>
      </c>
      <c r="E2337" s="241" t="str">
        <f>VLOOKUP($C2337,'NAO DESO'!$A:$D,3,)</f>
        <v>CHP</v>
      </c>
      <c r="F2337" s="248">
        <v>4</v>
      </c>
      <c r="G2337" s="242" t="str">
        <f>IF(B2337="SEPLAG",VLOOKUP(CONCATENATE("MEDIANA - ",C2337),COTAÇÃO,5,FALSE),VLOOKUP($C2337,'NAO DESO'!$A:$D,4,))</f>
        <v>231,97</v>
      </c>
      <c r="H2337" s="242">
        <f t="shared" si="182"/>
        <v>927.88</v>
      </c>
      <c r="I2337" s="54" t="str">
        <f>IF(B2337="SEPLAG",VLOOKUP(CONCATENATE("MEDIANA - ",C2337),COTAÇÃO,5,FALSE),VLOOKUP($C2337,DESON!$A:$D,4,))</f>
        <v>229,82</v>
      </c>
      <c r="J2337" s="209">
        <f t="shared" si="183"/>
        <v>919.28</v>
      </c>
    </row>
    <row r="2338" spans="1:10" ht="15" customHeight="1">
      <c r="A2338" s="210" t="str">
        <f>CONCATENATE("TOTAL DO ITEM NÃO DESON. - ",C2330)</f>
        <v>TOTAL DO ITEM NÃO DESON. - SEPLAG ARQ 152</v>
      </c>
      <c r="B2338" s="424"/>
      <c r="C2338" s="424"/>
      <c r="D2338" s="424"/>
      <c r="E2338" s="424"/>
      <c r="F2338" s="425"/>
      <c r="G2338" s="426"/>
      <c r="H2338" s="1182">
        <f>SUM(H2332:H2337)</f>
        <v>25374.070000000003</v>
      </c>
      <c r="I2338" s="214"/>
      <c r="J2338" s="215"/>
    </row>
    <row r="2339" spans="1:10" ht="15.75" customHeight="1" thickBot="1">
      <c r="A2339" s="216" t="str">
        <f>CONCATENATE("TOTAL DO ITEM DESON. - ",C2330)</f>
        <v>TOTAL DO ITEM DESON. - SEPLAG ARQ 152</v>
      </c>
      <c r="B2339" s="427"/>
      <c r="C2339" s="427"/>
      <c r="D2339" s="427"/>
      <c r="E2339" s="427"/>
      <c r="F2339" s="428"/>
      <c r="G2339" s="429"/>
      <c r="H2339" s="1187"/>
      <c r="I2339" s="229"/>
      <c r="J2339" s="219">
        <f>SUM(J2332:J2337)</f>
        <v>24723.87</v>
      </c>
    </row>
    <row r="2340" spans="1:10" ht="15" customHeight="1" thickBot="1">
      <c r="A2340" s="253"/>
      <c r="B2340" s="1145"/>
      <c r="C2340" s="1145"/>
      <c r="D2340" s="1145"/>
      <c r="E2340" s="1145"/>
      <c r="F2340" s="1215"/>
      <c r="G2340" s="1215"/>
      <c r="H2340" s="1216"/>
      <c r="I2340" s="254"/>
      <c r="J2340" s="255"/>
    </row>
    <row r="2341" spans="1:10" ht="25.5" customHeight="1">
      <c r="A2341" s="198"/>
      <c r="B2341" s="1175"/>
      <c r="C2341" s="1176" t="s">
        <v>14632</v>
      </c>
      <c r="D2341" s="156" t="s">
        <v>14633</v>
      </c>
      <c r="E2341" s="1176" t="s">
        <v>32</v>
      </c>
      <c r="F2341" s="1177" t="s">
        <v>18</v>
      </c>
      <c r="G2341" s="1178" t="s">
        <v>7017</v>
      </c>
      <c r="H2341" s="1179"/>
      <c r="I2341" s="200" t="s">
        <v>7016</v>
      </c>
      <c r="J2341" s="201"/>
    </row>
    <row r="2342" spans="1:10" ht="15" customHeight="1">
      <c r="A2342" s="233"/>
      <c r="B2342" s="247"/>
      <c r="C2342" s="1155"/>
      <c r="D2342" s="157"/>
      <c r="E2342" s="1155"/>
      <c r="F2342" s="1180"/>
      <c r="G2342" s="1180" t="s">
        <v>19</v>
      </c>
      <c r="H2342" s="1180" t="s">
        <v>20</v>
      </c>
      <c r="I2342" s="205" t="s">
        <v>19</v>
      </c>
      <c r="J2342" s="206" t="s">
        <v>20</v>
      </c>
    </row>
    <row r="2343" spans="1:10" ht="15" customHeight="1">
      <c r="A2343" s="208" t="s">
        <v>39</v>
      </c>
      <c r="B2343" s="241"/>
      <c r="C2343" s="241">
        <v>34360</v>
      </c>
      <c r="D2343" s="161" t="s">
        <v>14634</v>
      </c>
      <c r="E2343" s="1194" t="s">
        <v>133</v>
      </c>
      <c r="F2343" s="242">
        <v>31.14</v>
      </c>
      <c r="G2343" s="242">
        <f>IF(B2343="SEPLAG",VLOOKUP(CONCATENATE("MEDIANA - ",C2343),COTAÇÃO,5,FALSE),VLOOKUP($C2343,'NAO DESO'!$A:$D,4,))</f>
        <v>47.31</v>
      </c>
      <c r="H2343" s="242">
        <f t="shared" ref="H2343:H2357" si="184">TRUNC(F2343*G2343,2)</f>
        <v>1473.23</v>
      </c>
      <c r="I2343" s="54" t="str">
        <f>IF(B2343="SEPLAG",VLOOKUP(CONCATENATE("MEDIANA - ",C2343),COTAÇÃO,5,FALSE),VLOOKUP($C2343,DESON!$A:$D,4,))</f>
        <v>47,31</v>
      </c>
      <c r="J2343" s="209">
        <f t="shared" ref="J2343:J2357" si="185">TRUNC(F2343*I2343,2)</f>
        <v>1473.23</v>
      </c>
    </row>
    <row r="2344" spans="1:10" ht="15" customHeight="1">
      <c r="A2344" s="208" t="s">
        <v>39</v>
      </c>
      <c r="B2344" s="241" t="s">
        <v>14504</v>
      </c>
      <c r="C2344" s="1181" t="s">
        <v>14307</v>
      </c>
      <c r="D2344" s="161" t="str">
        <f>IF(B2344="SEPLAG",VLOOKUP(COMPOSIÇÕES!C2344,'MAPA COMPARATIVO'!A:B,2,FALSE),VLOOKUP(C2344,'NAO DESO'!A:B,2,0))</f>
        <v xml:space="preserve">Braço de max-ar linha gold de 600mm </v>
      </c>
      <c r="E2344" s="1194" t="s">
        <v>24</v>
      </c>
      <c r="F2344" s="242">
        <v>3</v>
      </c>
      <c r="G2344" s="242">
        <f>IF(B2344="SEPLAG",VLOOKUP(CONCATENATE("MEDIANA - ",C2344),COTAÇÃO,5,FALSE),VLOOKUP($C2344,'NAO DESO'!$A:$D,4,))</f>
        <v>36.575000000000003</v>
      </c>
      <c r="H2344" s="242">
        <f t="shared" si="184"/>
        <v>109.72</v>
      </c>
      <c r="I2344" s="54">
        <f>IF(B2344="SEPLAG",VLOOKUP(CONCATENATE("MEDIANA - ",C2344),COTAÇÃO,5,FALSE),VLOOKUP($C2344,DESON!$A:$D,4,))</f>
        <v>36.575000000000003</v>
      </c>
      <c r="J2344" s="209">
        <f t="shared" si="185"/>
        <v>109.72</v>
      </c>
    </row>
    <row r="2345" spans="1:10" ht="15" customHeight="1">
      <c r="A2345" s="208" t="s">
        <v>39</v>
      </c>
      <c r="B2345" s="241" t="s">
        <v>14504</v>
      </c>
      <c r="C2345" s="1181" t="s">
        <v>14308</v>
      </c>
      <c r="D2345" s="161" t="str">
        <f>IF(B2345="SEPLAG",VLOOKUP(COMPOSIÇÕES!C2345,'MAPA COMPARATIVO'!A:B,2,FALSE),VLOOKUP(C2345,'NAO DESO'!A:B,2,0))</f>
        <v>Fecho max-ar linha gold</v>
      </c>
      <c r="E2345" s="1194" t="s">
        <v>24</v>
      </c>
      <c r="F2345" s="242">
        <v>4</v>
      </c>
      <c r="G2345" s="242">
        <f>IF(B2345="SEPLAG",VLOOKUP(CONCATENATE("MEDIANA - ",C2345),COTAÇÃO,5,FALSE),VLOOKUP($C2345,'NAO DESO'!$A:$D,4,))</f>
        <v>47.36</v>
      </c>
      <c r="H2345" s="242">
        <f t="shared" si="184"/>
        <v>189.44</v>
      </c>
      <c r="I2345" s="54">
        <f>IF(B2345="SEPLAG",VLOOKUP(CONCATENATE("MEDIANA - ",C2345),COTAÇÃO,5,FALSE),VLOOKUP($C2345,DESON!$A:$D,4,))</f>
        <v>47.36</v>
      </c>
      <c r="J2345" s="209">
        <f t="shared" si="185"/>
        <v>189.44</v>
      </c>
    </row>
    <row r="2346" spans="1:10" ht="15" customHeight="1">
      <c r="A2346" s="208" t="s">
        <v>39</v>
      </c>
      <c r="B2346" s="241" t="s">
        <v>14504</v>
      </c>
      <c r="C2346" s="1181" t="s">
        <v>14309</v>
      </c>
      <c r="D2346" s="161" t="str">
        <f>IF(B2346="SEPLAG",VLOOKUP(COMPOSIÇÕES!C2346,'MAPA COMPARATIVO'!A:B,2,FALSE),VLOOKUP(C2346,'NAO DESO'!A:B,2,0))</f>
        <v>Guarnição em EPDM p/ pingadeira</v>
      </c>
      <c r="E2346" s="1194" t="s">
        <v>250</v>
      </c>
      <c r="F2346" s="242">
        <v>7.6</v>
      </c>
      <c r="G2346" s="242">
        <f>IF(B2346="SEPLAG",VLOOKUP(CONCATENATE("MEDIANA - ",C2346),COTAÇÃO,5,FALSE),VLOOKUP($C2346,'NAO DESO'!$A:$D,4,))</f>
        <v>4.3849999999999998</v>
      </c>
      <c r="H2346" s="242">
        <f t="shared" si="184"/>
        <v>33.32</v>
      </c>
      <c r="I2346" s="54">
        <f>IF(B2346="SEPLAG",VLOOKUP(CONCATENATE("MEDIANA - ",C2346),COTAÇÃO,5,FALSE),VLOOKUP($C2346,DESON!$A:$D,4,))</f>
        <v>4.3849999999999998</v>
      </c>
      <c r="J2346" s="209">
        <f t="shared" si="185"/>
        <v>33.32</v>
      </c>
    </row>
    <row r="2347" spans="1:10" ht="15" customHeight="1">
      <c r="A2347" s="208" t="s">
        <v>39</v>
      </c>
      <c r="B2347" s="241" t="s">
        <v>14504</v>
      </c>
      <c r="C2347" s="1181" t="s">
        <v>14310</v>
      </c>
      <c r="D2347" s="161" t="str">
        <f>IF(B2347="SEPLAG",VLOOKUP(COMPOSIÇÕES!C2347,'MAPA COMPARATIVO'!A:B,2,FALSE),VLOOKUP(C2347,'NAO DESO'!A:B,2,0))</f>
        <v>Guarnição em EPDM para vidro</v>
      </c>
      <c r="E2347" s="1194" t="s">
        <v>250</v>
      </c>
      <c r="F2347" s="242">
        <v>33</v>
      </c>
      <c r="G2347" s="242">
        <f>IF(B2347="SEPLAG",VLOOKUP(CONCATENATE("MEDIANA - ",C2347),COTAÇÃO,5,FALSE),VLOOKUP($C2347,'NAO DESO'!$A:$D,4,))</f>
        <v>2.4091999999999998</v>
      </c>
      <c r="H2347" s="242">
        <f t="shared" si="184"/>
        <v>79.5</v>
      </c>
      <c r="I2347" s="54">
        <f>IF(B2347="SEPLAG",VLOOKUP(CONCATENATE("MEDIANA - ",C2347),COTAÇÃO,5,FALSE),VLOOKUP($C2347,DESON!$A:$D,4,))</f>
        <v>2.4091999999999998</v>
      </c>
      <c r="J2347" s="209">
        <f t="shared" si="185"/>
        <v>79.5</v>
      </c>
    </row>
    <row r="2348" spans="1:10" ht="15" customHeight="1">
      <c r="A2348" s="208" t="s">
        <v>39</v>
      </c>
      <c r="B2348" s="241" t="s">
        <v>14504</v>
      </c>
      <c r="C2348" s="1181" t="s">
        <v>14311</v>
      </c>
      <c r="D2348" s="161" t="str">
        <f>IF(B2348="SEPLAG",VLOOKUP(COMPOSIÇÕES!C2348,'MAPA COMPARATIVO'!A:B,2,FALSE),VLOOKUP(C2348,'NAO DESO'!A:B,2,0))</f>
        <v>Espuma adesiva 1 face</v>
      </c>
      <c r="E2348" s="1194" t="s">
        <v>250</v>
      </c>
      <c r="F2348" s="242">
        <v>29.067999999999998</v>
      </c>
      <c r="G2348" s="242">
        <f>IF(B2348="SEPLAG",VLOOKUP(CONCATENATE("MEDIANA - ",C2348),COTAÇÃO,5,FALSE),VLOOKUP($C2348,'NAO DESO'!$A:$D,4,))</f>
        <v>2.1800000000000002</v>
      </c>
      <c r="H2348" s="242">
        <f t="shared" si="184"/>
        <v>63.36</v>
      </c>
      <c r="I2348" s="54">
        <f>IF(B2348="SEPLAG",VLOOKUP(CONCATENATE("MEDIANA - ",C2348),COTAÇÃO,5,FALSE),VLOOKUP($C2348,DESON!$A:$D,4,))</f>
        <v>2.1800000000000002</v>
      </c>
      <c r="J2348" s="209">
        <f t="shared" si="185"/>
        <v>63.36</v>
      </c>
    </row>
    <row r="2349" spans="1:10" ht="15" customHeight="1">
      <c r="A2349" s="208" t="s">
        <v>39</v>
      </c>
      <c r="B2349" s="241" t="s">
        <v>14504</v>
      </c>
      <c r="C2349" s="1181" t="s">
        <v>14312</v>
      </c>
      <c r="D2349" s="161" t="str">
        <f>IF(B2349="SEPLAG",VLOOKUP(COMPOSIÇÕES!C2349,'MAPA COMPARATIVO'!A:B,2,FALSE),VLOOKUP(C2349,'NAO DESO'!A:B,2,0))</f>
        <v>Guarnição em EPDM p/ marco max-ar</v>
      </c>
      <c r="E2349" s="1194" t="s">
        <v>7388</v>
      </c>
      <c r="F2349" s="242">
        <v>32.368000000000002</v>
      </c>
      <c r="G2349" s="242">
        <f>IF(B2349="SEPLAG",VLOOKUP(CONCATENATE("MEDIANA - ",C2349),COTAÇÃO,5,FALSE),VLOOKUP($C2349,'NAO DESO'!$A:$D,4,))</f>
        <v>3.8138999999999998</v>
      </c>
      <c r="H2349" s="242">
        <f t="shared" si="184"/>
        <v>123.44</v>
      </c>
      <c r="I2349" s="54">
        <f>IF(B2349="SEPLAG",VLOOKUP(CONCATENATE("MEDIANA - ",C2349),COTAÇÃO,5,FALSE),VLOOKUP($C2349,DESON!$A:$D,4,))</f>
        <v>3.8138999999999998</v>
      </c>
      <c r="J2349" s="209">
        <f t="shared" si="185"/>
        <v>123.44</v>
      </c>
    </row>
    <row r="2350" spans="1:10" ht="15" customHeight="1">
      <c r="A2350" s="208" t="s">
        <v>39</v>
      </c>
      <c r="B2350" s="241" t="s">
        <v>14504</v>
      </c>
      <c r="C2350" s="1181" t="s">
        <v>14313</v>
      </c>
      <c r="D2350" s="161" t="str">
        <f>IF(B2350="SEPLAG",VLOOKUP(COMPOSIÇÕES!C2350,'MAPA COMPARATIVO'!A:B,2,FALSE),VLOOKUP(C2350,'NAO DESO'!A:B,2,0))</f>
        <v>PRESILHA DE FIXAÇÃO DO ARREMATE MP-347</v>
      </c>
      <c r="E2350" s="1194" t="s">
        <v>24</v>
      </c>
      <c r="F2350" s="242">
        <v>34</v>
      </c>
      <c r="G2350" s="242">
        <f>IF(B2350="SEPLAG",VLOOKUP(CONCATENATE("MEDIANA - ",C2350),COTAÇÃO,5,FALSE),VLOOKUP($C2350,'NAO DESO'!$A:$D,4,))</f>
        <v>0.34</v>
      </c>
      <c r="H2350" s="242">
        <f t="shared" si="184"/>
        <v>11.56</v>
      </c>
      <c r="I2350" s="54">
        <f>IF(B2350="SEPLAG",VLOOKUP(CONCATENATE("MEDIANA - ",C2350),COTAÇÃO,5,FALSE),VLOOKUP($C2350,DESON!$A:$D,4,))</f>
        <v>0.34</v>
      </c>
      <c r="J2350" s="209">
        <f t="shared" si="185"/>
        <v>11.56</v>
      </c>
    </row>
    <row r="2351" spans="1:10" ht="15" customHeight="1">
      <c r="A2351" s="208" t="s">
        <v>39</v>
      </c>
      <c r="B2351" s="241" t="s">
        <v>14504</v>
      </c>
      <c r="C2351" s="1181" t="s">
        <v>14314</v>
      </c>
      <c r="D2351" s="161" t="str">
        <f>IF(B2351="SEPLAG",VLOOKUP(COMPOSIÇÕES!C2351,'MAPA COMPARATIVO'!A:B,2,FALSE),VLOOKUP(C2351,'NAO DESO'!A:B,2,0))</f>
        <v>Parafuso zincado phillips flangeado autobrocante 4,2 x 16mm</v>
      </c>
      <c r="E2351" s="1194" t="s">
        <v>24</v>
      </c>
      <c r="F2351" s="242">
        <v>34</v>
      </c>
      <c r="G2351" s="242">
        <f>IF(B2351="SEPLAG",VLOOKUP(CONCATENATE("MEDIANA - ",C2351),COTAÇÃO,5,FALSE),VLOOKUP($C2351,'NAO DESO'!$A:$D,4,))</f>
        <v>0.28000000000000003</v>
      </c>
      <c r="H2351" s="242">
        <f t="shared" si="184"/>
        <v>9.52</v>
      </c>
      <c r="I2351" s="54">
        <f>IF(B2351="SEPLAG",VLOOKUP(CONCATENATE("MEDIANA - ",C2351),COTAÇÃO,5,FALSE),VLOOKUP($C2351,DESON!$A:$D,4,))</f>
        <v>0.28000000000000003</v>
      </c>
      <c r="J2351" s="209">
        <f t="shared" si="185"/>
        <v>9.52</v>
      </c>
    </row>
    <row r="2352" spans="1:10" ht="15" customHeight="1">
      <c r="A2352" s="208" t="s">
        <v>39</v>
      </c>
      <c r="B2352" s="241" t="s">
        <v>14504</v>
      </c>
      <c r="C2352" s="1181" t="s">
        <v>14315</v>
      </c>
      <c r="D2352" s="161" t="str">
        <f>IF(B2352="SEPLAG",VLOOKUP(COMPOSIÇÕES!C2352,'MAPA COMPARATIVO'!A:B,2,FALSE),VLOOKUP(C2352,'NAO DESO'!A:B,2,0))</f>
        <v>PARAF. PANELA PHILIPS INOX 4,8 X32 PONTA PILOTO</v>
      </c>
      <c r="E2352" s="1194" t="s">
        <v>24</v>
      </c>
      <c r="F2352" s="242">
        <v>28</v>
      </c>
      <c r="G2352" s="242">
        <f>IF(B2352="SEPLAG",VLOOKUP(CONCATENATE("MEDIANA - ",C2352),COTAÇÃO,5,FALSE),VLOOKUP($C2352,'NAO DESO'!$A:$D,4,))</f>
        <v>0.95</v>
      </c>
      <c r="H2352" s="242">
        <f t="shared" si="184"/>
        <v>26.6</v>
      </c>
      <c r="I2352" s="54">
        <f>IF(B2352="SEPLAG",VLOOKUP(CONCATENATE("MEDIANA - ",C2352),COTAÇÃO,5,FALSE),VLOOKUP($C2352,DESON!$A:$D,4,))</f>
        <v>0.95</v>
      </c>
      <c r="J2352" s="209">
        <f t="shared" si="185"/>
        <v>26.6</v>
      </c>
    </row>
    <row r="2353" spans="1:10" ht="15" customHeight="1">
      <c r="A2353" s="208" t="s">
        <v>39</v>
      </c>
      <c r="B2353" s="241" t="s">
        <v>14504</v>
      </c>
      <c r="C2353" s="1181" t="s">
        <v>14316</v>
      </c>
      <c r="D2353" s="161" t="str">
        <f>IF(B2353="SEPLAG",VLOOKUP(COMPOSIÇÕES!C2353,'MAPA COMPARATIVO'!A:B,2,FALSE),VLOOKUP(C2353,'NAO DESO'!A:B,2,0))</f>
        <v>CHUMBADOR DE CM-063/060</v>
      </c>
      <c r="E2353" s="1194" t="s">
        <v>24</v>
      </c>
      <c r="F2353" s="242">
        <v>30</v>
      </c>
      <c r="G2353" s="242">
        <f>IF(B2353="SEPLAG",VLOOKUP(CONCATENATE("MEDIANA - ",C2353),COTAÇÃO,5,FALSE),VLOOKUP($C2353,'NAO DESO'!$A:$D,4,))</f>
        <v>0.86</v>
      </c>
      <c r="H2353" s="242">
        <f t="shared" si="184"/>
        <v>25.8</v>
      </c>
      <c r="I2353" s="54">
        <f>IF(B2353="SEPLAG",VLOOKUP(CONCATENATE("MEDIANA - ",C2353),COTAÇÃO,5,FALSE),VLOOKUP($C2353,DESON!$A:$D,4,))</f>
        <v>0.86</v>
      </c>
      <c r="J2353" s="209">
        <f t="shared" si="185"/>
        <v>25.8</v>
      </c>
    </row>
    <row r="2354" spans="1:10" ht="15" customHeight="1">
      <c r="A2354" s="208" t="s">
        <v>39</v>
      </c>
      <c r="B2354" s="241" t="s">
        <v>14504</v>
      </c>
      <c r="C2354" s="1181" t="s">
        <v>14317</v>
      </c>
      <c r="D2354" s="161" t="str">
        <f>IF(B2354="SEPLAG",VLOOKUP(COMPOSIÇÕES!C2354,'MAPA COMPARATIVO'!A:B,2,FALSE),VLOOKUP(C2354,'NAO DESO'!A:B,2,0))</f>
        <v>Silicone neutro incolor 280 g</v>
      </c>
      <c r="E2354" s="1194" t="s">
        <v>24</v>
      </c>
      <c r="F2354" s="242">
        <v>2</v>
      </c>
      <c r="G2354" s="242">
        <f>IF(B2354="SEPLAG",VLOOKUP(CONCATENATE("MEDIANA - ",C2354),COTAÇÃO,5,FALSE),VLOOKUP($C2354,'NAO DESO'!$A:$D,4,))</f>
        <v>43.9</v>
      </c>
      <c r="H2354" s="242">
        <f t="shared" si="184"/>
        <v>87.8</v>
      </c>
      <c r="I2354" s="54">
        <f>IF(B2354="SEPLAG",VLOOKUP(CONCATENATE("MEDIANA - ",C2354),COTAÇÃO,5,FALSE),VLOOKUP($C2354,DESON!$A:$D,4,))</f>
        <v>43.9</v>
      </c>
      <c r="J2354" s="209">
        <f t="shared" si="185"/>
        <v>87.8</v>
      </c>
    </row>
    <row r="2355" spans="1:10" ht="15" customHeight="1">
      <c r="A2355" s="208" t="s">
        <v>245</v>
      </c>
      <c r="B2355" s="241"/>
      <c r="C2355" s="1181">
        <v>10505</v>
      </c>
      <c r="D2355" s="161" t="str">
        <f>IF(B2355="SEPLAG",VLOOKUP(COMPOSIÇÕES!C2355,'MAPA COMPARATIVO'!A:B,2,FALSE),VLOOKUP(C2355,'NAO DESO'!A:B,2,0))</f>
        <v>VIDRO TEMPERADO INCOLOR E = 6 MM, SEM COLOCACAO</v>
      </c>
      <c r="E2355" s="241" t="str">
        <f>VLOOKUP($C2355,'NAO DESO'!$A:$D,3,)</f>
        <v xml:space="preserve">M2    </v>
      </c>
      <c r="F2355" s="242">
        <v>8.64</v>
      </c>
      <c r="G2355" s="242">
        <f>IF(B2355="SEPLAG",VLOOKUP(CONCATENATE("MEDIANA - ",C2355),COTAÇÃO,5,FALSE),VLOOKUP($C2355,'NAO DESO'!$A:$D,4,))</f>
        <v>272.77</v>
      </c>
      <c r="H2355" s="242">
        <f t="shared" si="184"/>
        <v>2356.73</v>
      </c>
      <c r="I2355" s="54" t="str">
        <f>IF(B2355="SEPLAG",VLOOKUP(CONCATENATE("MEDIANA - ",C2355),COTAÇÃO,5,FALSE),VLOOKUP($C2355,DESON!$A:$D,4,))</f>
        <v>272,77</v>
      </c>
      <c r="J2355" s="209">
        <f t="shared" si="185"/>
        <v>2356.73</v>
      </c>
    </row>
    <row r="2356" spans="1:10" ht="15" customHeight="1">
      <c r="A2356" s="208" t="s">
        <v>245</v>
      </c>
      <c r="B2356" s="241"/>
      <c r="C2356" s="1181">
        <v>88315</v>
      </c>
      <c r="D2356" s="161" t="str">
        <f>IF(B2356="SEPLAG",VLOOKUP(COMPOSIÇÕES!C2356,'MAPA COMPARATIVO'!A:B,2,FALSE),VLOOKUP(C2356,'NAO DESO'!A:B,2,0))</f>
        <v>SERRALHEIRO COM ENCARGOS COMPLEMENTARES</v>
      </c>
      <c r="E2356" s="241" t="str">
        <f>VLOOKUP($C2356,'NAO DESO'!$A:$D,3,)</f>
        <v>H</v>
      </c>
      <c r="F2356" s="242">
        <v>15</v>
      </c>
      <c r="G2356" s="242" t="str">
        <f>IF(B2356="SEPLAG",VLOOKUP(CONCATENATE("MEDIANA - ",C2356),COTAÇÃO,5,FALSE),VLOOKUP($C2356,'NAO DESO'!$A:$D,4,))</f>
        <v>20,97</v>
      </c>
      <c r="H2356" s="242">
        <f t="shared" si="184"/>
        <v>314.55</v>
      </c>
      <c r="I2356" s="54" t="str">
        <f>IF(B2356="SEPLAG",VLOOKUP(CONCATENATE("MEDIANA - ",C2356),COTAÇÃO,5,FALSE),VLOOKUP($C2356,DESON!$A:$D,4,))</f>
        <v>18,75</v>
      </c>
      <c r="J2356" s="209">
        <f t="shared" si="185"/>
        <v>281.25</v>
      </c>
    </row>
    <row r="2357" spans="1:10" ht="15" customHeight="1">
      <c r="A2357" s="208" t="s">
        <v>245</v>
      </c>
      <c r="B2357" s="241"/>
      <c r="C2357" s="1181">
        <v>88316</v>
      </c>
      <c r="D2357" s="161" t="str">
        <f>IF(B2357="SEPLAG",VLOOKUP(COMPOSIÇÕES!C2357,'MAPA COMPARATIVO'!A:B,2,FALSE),VLOOKUP(C2357,'NAO DESO'!A:B,2,0))</f>
        <v>SERVENTE COM ENCARGOS COMPLEMENTARES</v>
      </c>
      <c r="E2357" s="241" t="str">
        <f>VLOOKUP($C2357,'NAO DESO'!$A:$D,3,)</f>
        <v>H</v>
      </c>
      <c r="F2357" s="242">
        <f>F2356</f>
        <v>15</v>
      </c>
      <c r="G2357" s="242" t="str">
        <f>IF(B2357="SEPLAG",VLOOKUP(CONCATENATE("MEDIANA - ",C2357),COTAÇÃO,5,FALSE),VLOOKUP($C2357,'NAO DESO'!$A:$D,4,))</f>
        <v>16,83</v>
      </c>
      <c r="H2357" s="242">
        <f t="shared" si="184"/>
        <v>252.45</v>
      </c>
      <c r="I2357" s="54" t="str">
        <f>IF(B2357="SEPLAG",VLOOKUP(CONCATENATE("MEDIANA - ",C2357),COTAÇÃO,5,FALSE),VLOOKUP($C2357,DESON!$A:$D,4,))</f>
        <v>15,16</v>
      </c>
      <c r="J2357" s="209">
        <f t="shared" si="185"/>
        <v>227.4</v>
      </c>
    </row>
    <row r="2358" spans="1:10" ht="15" customHeight="1">
      <c r="A2358" s="210" t="str">
        <f>CONCATENATE("TOTAL DO ITEM NÃO DESON. - ",C2341)</f>
        <v>TOTAL DO ITEM NÃO DESON. - SEPLAG  ARQ 153</v>
      </c>
      <c r="B2358" s="424"/>
      <c r="C2358" s="424"/>
      <c r="D2358" s="424"/>
      <c r="E2358" s="424"/>
      <c r="F2358" s="425"/>
      <c r="G2358" s="426"/>
      <c r="H2358" s="1182">
        <f>SUM(H2343:H2357)</f>
        <v>5157.0200000000004</v>
      </c>
      <c r="I2358" s="214"/>
      <c r="J2358" s="215"/>
    </row>
    <row r="2359" spans="1:10" ht="15.75" customHeight="1" thickBot="1">
      <c r="A2359" s="216" t="str">
        <f>CONCATENATE("TOTAL DO ITEM DESON. - ",C2341)</f>
        <v>TOTAL DO ITEM DESON. - SEPLAG  ARQ 153</v>
      </c>
      <c r="B2359" s="427"/>
      <c r="C2359" s="427"/>
      <c r="D2359" s="427"/>
      <c r="E2359" s="427"/>
      <c r="F2359" s="428"/>
      <c r="G2359" s="429"/>
      <c r="H2359" s="1187"/>
      <c r="I2359" s="229"/>
      <c r="J2359" s="219">
        <f>SUM(J2343:J2357)</f>
        <v>5098.67</v>
      </c>
    </row>
    <row r="2360" spans="1:10" ht="15" customHeight="1" thickBot="1">
      <c r="A2360" s="253"/>
      <c r="B2360" s="1145"/>
      <c r="C2360" s="1145"/>
      <c r="D2360" s="1145"/>
      <c r="E2360" s="1145"/>
      <c r="F2360" s="1215"/>
      <c r="G2360" s="1215"/>
      <c r="H2360" s="1216"/>
      <c r="I2360" s="254"/>
      <c r="J2360" s="255"/>
    </row>
    <row r="2361" spans="1:10" ht="25.5" customHeight="1">
      <c r="A2361" s="198"/>
      <c r="B2361" s="1175"/>
      <c r="C2361" s="1176" t="s">
        <v>14635</v>
      </c>
      <c r="D2361" s="156" t="s">
        <v>14636</v>
      </c>
      <c r="E2361" s="1176" t="s">
        <v>32</v>
      </c>
      <c r="F2361" s="1177" t="s">
        <v>18</v>
      </c>
      <c r="G2361" s="1178" t="s">
        <v>7017</v>
      </c>
      <c r="H2361" s="1179"/>
      <c r="I2361" s="200" t="s">
        <v>7016</v>
      </c>
      <c r="J2361" s="201"/>
    </row>
    <row r="2362" spans="1:10" ht="15" customHeight="1">
      <c r="A2362" s="233"/>
      <c r="B2362" s="247"/>
      <c r="C2362" s="1155"/>
      <c r="D2362" s="157"/>
      <c r="E2362" s="1155"/>
      <c r="F2362" s="1180"/>
      <c r="G2362" s="1180" t="s">
        <v>19</v>
      </c>
      <c r="H2362" s="1180" t="s">
        <v>20</v>
      </c>
      <c r="I2362" s="205" t="s">
        <v>19</v>
      </c>
      <c r="J2362" s="206" t="s">
        <v>20</v>
      </c>
    </row>
    <row r="2363" spans="1:10" ht="15" customHeight="1">
      <c r="A2363" s="208" t="s">
        <v>39</v>
      </c>
      <c r="B2363" s="241"/>
      <c r="C2363" s="241">
        <v>34360</v>
      </c>
      <c r="D2363" s="161" t="s">
        <v>14634</v>
      </c>
      <c r="E2363" s="1194" t="s">
        <v>133</v>
      </c>
      <c r="F2363" s="242">
        <v>26</v>
      </c>
      <c r="G2363" s="242">
        <f>IF(B2363="SEPLAG",VLOOKUP(CONCATENATE("MEDIANA - ",C2363),COTAÇÃO,5,FALSE),VLOOKUP($C2363,'NAO DESO'!$A:$D,4,))</f>
        <v>47.31</v>
      </c>
      <c r="H2363" s="242">
        <f t="shared" ref="H2363:H2377" si="186">TRUNC(F2363*G2363,2)</f>
        <v>1230.06</v>
      </c>
      <c r="I2363" s="54" t="str">
        <f>IF(B2363="SEPLAG",VLOOKUP(CONCATENATE("MEDIANA - ",C2363),COTAÇÃO,5,FALSE),VLOOKUP($C2363,DESON!$A:$D,4,))</f>
        <v>47,31</v>
      </c>
      <c r="J2363" s="209">
        <f t="shared" ref="J2363:J2377" si="187">TRUNC(F2363*I2363,2)</f>
        <v>1230.06</v>
      </c>
    </row>
    <row r="2364" spans="1:10" ht="15" customHeight="1">
      <c r="A2364" s="208" t="s">
        <v>39</v>
      </c>
      <c r="B2364" s="241" t="s">
        <v>14504</v>
      </c>
      <c r="C2364" s="1181" t="s">
        <v>14307</v>
      </c>
      <c r="D2364" s="161" t="str">
        <f>IF(B2364="SEPLAG",VLOOKUP(COMPOSIÇÕES!C2364,'MAPA COMPARATIVO'!A:B,2,FALSE),VLOOKUP(C2364,'NAO DESO'!A:B,2,0))</f>
        <v xml:space="preserve">Braço de max-ar linha gold de 600mm </v>
      </c>
      <c r="E2364" s="1194" t="s">
        <v>24</v>
      </c>
      <c r="F2364" s="242">
        <v>1</v>
      </c>
      <c r="G2364" s="242">
        <f>IF(B2364="SEPLAG",VLOOKUP(CONCATENATE("MEDIANA - ",C2364),COTAÇÃO,5,FALSE),VLOOKUP($C2364,'NAO DESO'!$A:$D,4,))</f>
        <v>36.575000000000003</v>
      </c>
      <c r="H2364" s="242">
        <f t="shared" si="186"/>
        <v>36.57</v>
      </c>
      <c r="I2364" s="54">
        <f>IF(B2364="SEPLAG",VLOOKUP(CONCATENATE("MEDIANA - ",C2364),COTAÇÃO,5,FALSE),VLOOKUP($C2364,DESON!$A:$D,4,))</f>
        <v>36.575000000000003</v>
      </c>
      <c r="J2364" s="209">
        <f t="shared" si="187"/>
        <v>36.57</v>
      </c>
    </row>
    <row r="2365" spans="1:10" ht="15" customHeight="1">
      <c r="A2365" s="208" t="s">
        <v>39</v>
      </c>
      <c r="B2365" s="241" t="s">
        <v>14504</v>
      </c>
      <c r="C2365" s="1181" t="s">
        <v>14308</v>
      </c>
      <c r="D2365" s="161" t="str">
        <f>IF(B2365="SEPLAG",VLOOKUP(COMPOSIÇÕES!C2365,'MAPA COMPARATIVO'!A:B,2,FALSE),VLOOKUP(C2365,'NAO DESO'!A:B,2,0))</f>
        <v>Fecho max-ar linha gold</v>
      </c>
      <c r="E2365" s="1194" t="s">
        <v>24</v>
      </c>
      <c r="F2365" s="242">
        <v>1</v>
      </c>
      <c r="G2365" s="242">
        <f>IF(B2365="SEPLAG",VLOOKUP(CONCATENATE("MEDIANA - ",C2365),COTAÇÃO,5,FALSE),VLOOKUP($C2365,'NAO DESO'!$A:$D,4,))</f>
        <v>47.36</v>
      </c>
      <c r="H2365" s="242">
        <f t="shared" si="186"/>
        <v>47.36</v>
      </c>
      <c r="I2365" s="54">
        <f>IF(B2365="SEPLAG",VLOOKUP(CONCATENATE("MEDIANA - ",C2365),COTAÇÃO,5,FALSE),VLOOKUP($C2365,DESON!$A:$D,4,))</f>
        <v>47.36</v>
      </c>
      <c r="J2365" s="209">
        <f t="shared" si="187"/>
        <v>47.36</v>
      </c>
    </row>
    <row r="2366" spans="1:10" ht="15" customHeight="1">
      <c r="A2366" s="208" t="s">
        <v>39</v>
      </c>
      <c r="B2366" s="241" t="s">
        <v>14504</v>
      </c>
      <c r="C2366" s="1181" t="s">
        <v>14309</v>
      </c>
      <c r="D2366" s="161" t="str">
        <f>IF(B2366="SEPLAG",VLOOKUP(COMPOSIÇÕES!C2366,'MAPA COMPARATIVO'!A:B,2,FALSE),VLOOKUP(C2366,'NAO DESO'!A:B,2,0))</f>
        <v>Guarnição em EPDM p/ pingadeira</v>
      </c>
      <c r="E2366" s="1194" t="s">
        <v>250</v>
      </c>
      <c r="F2366" s="242">
        <v>7.6</v>
      </c>
      <c r="G2366" s="242">
        <f>IF(B2366="SEPLAG",VLOOKUP(CONCATENATE("MEDIANA - ",C2366),COTAÇÃO,5,FALSE),VLOOKUP($C2366,'NAO DESO'!$A:$D,4,))</f>
        <v>4.3849999999999998</v>
      </c>
      <c r="H2366" s="242">
        <f t="shared" si="186"/>
        <v>33.32</v>
      </c>
      <c r="I2366" s="54">
        <f>IF(B2366="SEPLAG",VLOOKUP(CONCATENATE("MEDIANA - ",C2366),COTAÇÃO,5,FALSE),VLOOKUP($C2366,DESON!$A:$D,4,))</f>
        <v>4.3849999999999998</v>
      </c>
      <c r="J2366" s="209">
        <f t="shared" si="187"/>
        <v>33.32</v>
      </c>
    </row>
    <row r="2367" spans="1:10" ht="15" customHeight="1">
      <c r="A2367" s="208" t="s">
        <v>39</v>
      </c>
      <c r="B2367" s="241" t="s">
        <v>14504</v>
      </c>
      <c r="C2367" s="1181" t="s">
        <v>14310</v>
      </c>
      <c r="D2367" s="161" t="str">
        <f>IF(B2367="SEPLAG",VLOOKUP(COMPOSIÇÕES!C2367,'MAPA COMPARATIVO'!A:B,2,FALSE),VLOOKUP(C2367,'NAO DESO'!A:B,2,0))</f>
        <v>Guarnição em EPDM para vidro</v>
      </c>
      <c r="E2367" s="1194" t="s">
        <v>250</v>
      </c>
      <c r="F2367" s="242">
        <v>33</v>
      </c>
      <c r="G2367" s="242">
        <f>IF(B2367="SEPLAG",VLOOKUP(CONCATENATE("MEDIANA - ",C2367),COTAÇÃO,5,FALSE),VLOOKUP($C2367,'NAO DESO'!$A:$D,4,))</f>
        <v>2.4091999999999998</v>
      </c>
      <c r="H2367" s="242">
        <f t="shared" si="186"/>
        <v>79.5</v>
      </c>
      <c r="I2367" s="54">
        <f>IF(B2367="SEPLAG",VLOOKUP(CONCATENATE("MEDIANA - ",C2367),COTAÇÃO,5,FALSE),VLOOKUP($C2367,DESON!$A:$D,4,))</f>
        <v>2.4091999999999998</v>
      </c>
      <c r="J2367" s="209">
        <f t="shared" si="187"/>
        <v>79.5</v>
      </c>
    </row>
    <row r="2368" spans="1:10" ht="15" customHeight="1">
      <c r="A2368" s="208" t="s">
        <v>39</v>
      </c>
      <c r="B2368" s="241" t="s">
        <v>14504</v>
      </c>
      <c r="C2368" s="1181" t="s">
        <v>14311</v>
      </c>
      <c r="D2368" s="161" t="str">
        <f>IF(B2368="SEPLAG",VLOOKUP(COMPOSIÇÕES!C2368,'MAPA COMPARATIVO'!A:B,2,FALSE),VLOOKUP(C2368,'NAO DESO'!A:B,2,0))</f>
        <v>Espuma adesiva 1 face</v>
      </c>
      <c r="E2368" s="1194" t="s">
        <v>250</v>
      </c>
      <c r="F2368" s="242">
        <v>29.067999999999998</v>
      </c>
      <c r="G2368" s="242">
        <f>IF(B2368="SEPLAG",VLOOKUP(CONCATENATE("MEDIANA - ",C2368),COTAÇÃO,5,FALSE),VLOOKUP($C2368,'NAO DESO'!$A:$D,4,))</f>
        <v>2.1800000000000002</v>
      </c>
      <c r="H2368" s="242">
        <f t="shared" si="186"/>
        <v>63.36</v>
      </c>
      <c r="I2368" s="54">
        <f>IF(B2368="SEPLAG",VLOOKUP(CONCATENATE("MEDIANA - ",C2368),COTAÇÃO,5,FALSE),VLOOKUP($C2368,DESON!$A:$D,4,))</f>
        <v>2.1800000000000002</v>
      </c>
      <c r="J2368" s="209">
        <f t="shared" si="187"/>
        <v>63.36</v>
      </c>
    </row>
    <row r="2369" spans="1:10" ht="15" customHeight="1">
      <c r="A2369" s="208" t="s">
        <v>39</v>
      </c>
      <c r="B2369" s="241" t="s">
        <v>14504</v>
      </c>
      <c r="C2369" s="1181" t="s">
        <v>14312</v>
      </c>
      <c r="D2369" s="161" t="str">
        <f>IF(B2369="SEPLAG",VLOOKUP(COMPOSIÇÕES!C2369,'MAPA COMPARATIVO'!A:B,2,FALSE),VLOOKUP(C2369,'NAO DESO'!A:B,2,0))</f>
        <v>Guarnição em EPDM p/ marco max-ar</v>
      </c>
      <c r="E2369" s="1194" t="s">
        <v>7388</v>
      </c>
      <c r="F2369" s="242">
        <v>22.98</v>
      </c>
      <c r="G2369" s="242">
        <f>IF(B2369="SEPLAG",VLOOKUP(CONCATENATE("MEDIANA - ",C2369),COTAÇÃO,5,FALSE),VLOOKUP($C2369,'NAO DESO'!$A:$D,4,))</f>
        <v>3.8138999999999998</v>
      </c>
      <c r="H2369" s="242">
        <f t="shared" si="186"/>
        <v>87.64</v>
      </c>
      <c r="I2369" s="54">
        <f>IF(B2369="SEPLAG",VLOOKUP(CONCATENATE("MEDIANA - ",C2369),COTAÇÃO,5,FALSE),VLOOKUP($C2369,DESON!$A:$D,4,))</f>
        <v>3.8138999999999998</v>
      </c>
      <c r="J2369" s="209">
        <f t="shared" si="187"/>
        <v>87.64</v>
      </c>
    </row>
    <row r="2370" spans="1:10" ht="15" customHeight="1">
      <c r="A2370" s="208" t="s">
        <v>39</v>
      </c>
      <c r="B2370" s="241" t="s">
        <v>14504</v>
      </c>
      <c r="C2370" s="1181" t="s">
        <v>14313</v>
      </c>
      <c r="D2370" s="161" t="str">
        <f>IF(B2370="SEPLAG",VLOOKUP(COMPOSIÇÕES!C2370,'MAPA COMPARATIVO'!A:B,2,FALSE),VLOOKUP(C2370,'NAO DESO'!A:B,2,0))</f>
        <v>PRESILHA DE FIXAÇÃO DO ARREMATE MP-347</v>
      </c>
      <c r="E2370" s="1194" t="s">
        <v>24</v>
      </c>
      <c r="F2370" s="242">
        <v>32</v>
      </c>
      <c r="G2370" s="242">
        <f>IF(B2370="SEPLAG",VLOOKUP(CONCATENATE("MEDIANA - ",C2370),COTAÇÃO,5,FALSE),VLOOKUP($C2370,'NAO DESO'!$A:$D,4,))</f>
        <v>0.34</v>
      </c>
      <c r="H2370" s="242">
        <f t="shared" si="186"/>
        <v>10.88</v>
      </c>
      <c r="I2370" s="54">
        <f>IF(B2370="SEPLAG",VLOOKUP(CONCATENATE("MEDIANA - ",C2370),COTAÇÃO,5,FALSE),VLOOKUP($C2370,DESON!$A:$D,4,))</f>
        <v>0.34</v>
      </c>
      <c r="J2370" s="209">
        <f t="shared" si="187"/>
        <v>10.88</v>
      </c>
    </row>
    <row r="2371" spans="1:10" ht="15" customHeight="1">
      <c r="A2371" s="208" t="s">
        <v>39</v>
      </c>
      <c r="B2371" s="241" t="s">
        <v>14504</v>
      </c>
      <c r="C2371" s="1181" t="s">
        <v>14314</v>
      </c>
      <c r="D2371" s="161" t="str">
        <f>IF(B2371="SEPLAG",VLOOKUP(COMPOSIÇÕES!C2371,'MAPA COMPARATIVO'!A:B,2,FALSE),VLOOKUP(C2371,'NAO DESO'!A:B,2,0))</f>
        <v>Parafuso zincado phillips flangeado autobrocante 4,2 x 16mm</v>
      </c>
      <c r="E2371" s="1194" t="s">
        <v>24</v>
      </c>
      <c r="F2371" s="242">
        <v>32</v>
      </c>
      <c r="G2371" s="242">
        <f>IF(B2371="SEPLAG",VLOOKUP(CONCATENATE("MEDIANA - ",C2371),COTAÇÃO,5,FALSE),VLOOKUP($C2371,'NAO DESO'!$A:$D,4,))</f>
        <v>0.28000000000000003</v>
      </c>
      <c r="H2371" s="242">
        <f t="shared" si="186"/>
        <v>8.9600000000000009</v>
      </c>
      <c r="I2371" s="54">
        <f>IF(B2371="SEPLAG",VLOOKUP(CONCATENATE("MEDIANA - ",C2371),COTAÇÃO,5,FALSE),VLOOKUP($C2371,DESON!$A:$D,4,))</f>
        <v>0.28000000000000003</v>
      </c>
      <c r="J2371" s="209">
        <f t="shared" si="187"/>
        <v>8.9600000000000009</v>
      </c>
    </row>
    <row r="2372" spans="1:10" ht="15" customHeight="1">
      <c r="A2372" s="208" t="s">
        <v>39</v>
      </c>
      <c r="B2372" s="241" t="s">
        <v>14504</v>
      </c>
      <c r="C2372" s="1181" t="s">
        <v>14315</v>
      </c>
      <c r="D2372" s="161" t="str">
        <f>IF(B2372="SEPLAG",VLOOKUP(COMPOSIÇÕES!C2372,'MAPA COMPARATIVO'!A:B,2,FALSE),VLOOKUP(C2372,'NAO DESO'!A:B,2,0))</f>
        <v>PARAF. PANELA PHILIPS INOX 4,8 X32 PONTA PILOTO</v>
      </c>
      <c r="E2372" s="1194" t="s">
        <v>24</v>
      </c>
      <c r="F2372" s="242">
        <v>28</v>
      </c>
      <c r="G2372" s="242">
        <f>IF(B2372="SEPLAG",VLOOKUP(CONCATENATE("MEDIANA - ",C2372),COTAÇÃO,5,FALSE),VLOOKUP($C2372,'NAO DESO'!$A:$D,4,))</f>
        <v>0.95</v>
      </c>
      <c r="H2372" s="242">
        <f t="shared" si="186"/>
        <v>26.6</v>
      </c>
      <c r="I2372" s="54">
        <f>IF(B2372="SEPLAG",VLOOKUP(CONCATENATE("MEDIANA - ",C2372),COTAÇÃO,5,FALSE),VLOOKUP($C2372,DESON!$A:$D,4,))</f>
        <v>0.95</v>
      </c>
      <c r="J2372" s="209">
        <f t="shared" si="187"/>
        <v>26.6</v>
      </c>
    </row>
    <row r="2373" spans="1:10" ht="15" customHeight="1">
      <c r="A2373" s="208" t="s">
        <v>39</v>
      </c>
      <c r="B2373" s="241" t="s">
        <v>14504</v>
      </c>
      <c r="C2373" s="1181" t="s">
        <v>14316</v>
      </c>
      <c r="D2373" s="161" t="str">
        <f>IF(B2373="SEPLAG",VLOOKUP(COMPOSIÇÕES!C2373,'MAPA COMPARATIVO'!A:B,2,FALSE),VLOOKUP(C2373,'NAO DESO'!A:B,2,0))</f>
        <v>CHUMBADOR DE CM-063/060</v>
      </c>
      <c r="E2373" s="1194" t="s">
        <v>24</v>
      </c>
      <c r="F2373" s="242">
        <v>32</v>
      </c>
      <c r="G2373" s="242">
        <f>IF(B2373="SEPLAG",VLOOKUP(CONCATENATE("MEDIANA - ",C2373),COTAÇÃO,5,FALSE),VLOOKUP($C2373,'NAO DESO'!$A:$D,4,))</f>
        <v>0.86</v>
      </c>
      <c r="H2373" s="242">
        <f t="shared" si="186"/>
        <v>27.52</v>
      </c>
      <c r="I2373" s="54">
        <f>IF(B2373="SEPLAG",VLOOKUP(CONCATENATE("MEDIANA - ",C2373),COTAÇÃO,5,FALSE),VLOOKUP($C2373,DESON!$A:$D,4,))</f>
        <v>0.86</v>
      </c>
      <c r="J2373" s="209">
        <f t="shared" si="187"/>
        <v>27.52</v>
      </c>
    </row>
    <row r="2374" spans="1:10" ht="15" customHeight="1">
      <c r="A2374" s="208" t="s">
        <v>39</v>
      </c>
      <c r="B2374" s="241" t="s">
        <v>14504</v>
      </c>
      <c r="C2374" s="1181" t="s">
        <v>14317</v>
      </c>
      <c r="D2374" s="161" t="str">
        <f>IF(B2374="SEPLAG",VLOOKUP(COMPOSIÇÕES!C2374,'MAPA COMPARATIVO'!A:B,2,FALSE),VLOOKUP(C2374,'NAO DESO'!A:B,2,0))</f>
        <v>Silicone neutro incolor 280 g</v>
      </c>
      <c r="E2374" s="1194" t="s">
        <v>24</v>
      </c>
      <c r="F2374" s="242">
        <v>2</v>
      </c>
      <c r="G2374" s="242">
        <f>IF(B2374="SEPLAG",VLOOKUP(CONCATENATE("MEDIANA - ",C2374),COTAÇÃO,5,FALSE),VLOOKUP($C2374,'NAO DESO'!$A:$D,4,))</f>
        <v>43.9</v>
      </c>
      <c r="H2374" s="242">
        <f t="shared" si="186"/>
        <v>87.8</v>
      </c>
      <c r="I2374" s="54">
        <f>IF(B2374="SEPLAG",VLOOKUP(CONCATENATE("MEDIANA - ",C2374),COTAÇÃO,5,FALSE),VLOOKUP($C2374,DESON!$A:$D,4,))</f>
        <v>43.9</v>
      </c>
      <c r="J2374" s="209">
        <f t="shared" si="187"/>
        <v>87.8</v>
      </c>
    </row>
    <row r="2375" spans="1:10" ht="15" customHeight="1">
      <c r="A2375" s="208" t="s">
        <v>245</v>
      </c>
      <c r="B2375" s="241"/>
      <c r="C2375" s="1181">
        <v>10505</v>
      </c>
      <c r="D2375" s="161" t="str">
        <f>IF(B2375="SEPLAG",VLOOKUP(COMPOSIÇÕES!C2375,'MAPA COMPARATIVO'!A:B,2,FALSE),VLOOKUP(C2375,'NAO DESO'!A:B,2,0))</f>
        <v>VIDRO TEMPERADO INCOLOR E = 6 MM, SEM COLOCACAO</v>
      </c>
      <c r="E2375" s="241" t="str">
        <f>VLOOKUP($C2375,'NAO DESO'!$A:$D,3,)</f>
        <v xml:space="preserve">M2    </v>
      </c>
      <c r="F2375" s="242">
        <v>7.02</v>
      </c>
      <c r="G2375" s="242">
        <f>IF(B2375="SEPLAG",VLOOKUP(CONCATENATE("MEDIANA - ",C2375),COTAÇÃO,5,FALSE),VLOOKUP($C2375,'NAO DESO'!$A:$D,4,))</f>
        <v>272.77</v>
      </c>
      <c r="H2375" s="242">
        <f t="shared" si="186"/>
        <v>1914.84</v>
      </c>
      <c r="I2375" s="54" t="str">
        <f>IF(B2375="SEPLAG",VLOOKUP(CONCATENATE("MEDIANA - ",C2375),COTAÇÃO,5,FALSE),VLOOKUP($C2375,DESON!$A:$D,4,))</f>
        <v>272,77</v>
      </c>
      <c r="J2375" s="209">
        <f t="shared" si="187"/>
        <v>1914.84</v>
      </c>
    </row>
    <row r="2376" spans="1:10" ht="15" customHeight="1">
      <c r="A2376" s="208" t="s">
        <v>245</v>
      </c>
      <c r="B2376" s="241"/>
      <c r="C2376" s="1181">
        <v>88315</v>
      </c>
      <c r="D2376" s="161" t="str">
        <f>IF(B2376="SEPLAG",VLOOKUP(COMPOSIÇÕES!C2376,'MAPA COMPARATIVO'!A:B,2,FALSE),VLOOKUP(C2376,'NAO DESO'!A:B,2,0))</f>
        <v>SERRALHEIRO COM ENCARGOS COMPLEMENTARES</v>
      </c>
      <c r="E2376" s="241" t="str">
        <f>VLOOKUP($C2376,'NAO DESO'!$A:$D,3,)</f>
        <v>H</v>
      </c>
      <c r="F2376" s="242">
        <v>10</v>
      </c>
      <c r="G2376" s="242" t="str">
        <f>IF(B2376="SEPLAG",VLOOKUP(CONCATENATE("MEDIANA - ",C2376),COTAÇÃO,5,FALSE),VLOOKUP($C2376,'NAO DESO'!$A:$D,4,))</f>
        <v>20,97</v>
      </c>
      <c r="H2376" s="242">
        <f t="shared" si="186"/>
        <v>209.7</v>
      </c>
      <c r="I2376" s="54" t="str">
        <f>IF(B2376="SEPLAG",VLOOKUP(CONCATENATE("MEDIANA - ",C2376),COTAÇÃO,5,FALSE),VLOOKUP($C2376,DESON!$A:$D,4,))</f>
        <v>18,75</v>
      </c>
      <c r="J2376" s="209">
        <f t="shared" si="187"/>
        <v>187.5</v>
      </c>
    </row>
    <row r="2377" spans="1:10" ht="15" customHeight="1">
      <c r="A2377" s="208" t="s">
        <v>245</v>
      </c>
      <c r="B2377" s="241"/>
      <c r="C2377" s="1181">
        <v>88316</v>
      </c>
      <c r="D2377" s="161" t="str">
        <f>IF(B2377="SEPLAG",VLOOKUP(COMPOSIÇÕES!C2377,'MAPA COMPARATIVO'!A:B,2,FALSE),VLOOKUP(C2377,'NAO DESO'!A:B,2,0))</f>
        <v>SERVENTE COM ENCARGOS COMPLEMENTARES</v>
      </c>
      <c r="E2377" s="241" t="str">
        <f>VLOOKUP($C2377,'NAO DESO'!$A:$D,3,)</f>
        <v>H</v>
      </c>
      <c r="F2377" s="242">
        <f>F2376</f>
        <v>10</v>
      </c>
      <c r="G2377" s="242" t="str">
        <f>IF(B2377="SEPLAG",VLOOKUP(CONCATENATE("MEDIANA - ",C2377),COTAÇÃO,5,FALSE),VLOOKUP($C2377,'NAO DESO'!$A:$D,4,))</f>
        <v>16,83</v>
      </c>
      <c r="H2377" s="242">
        <f t="shared" si="186"/>
        <v>168.3</v>
      </c>
      <c r="I2377" s="54" t="str">
        <f>IF(B2377="SEPLAG",VLOOKUP(CONCATENATE("MEDIANA - ",C2377),COTAÇÃO,5,FALSE),VLOOKUP($C2377,DESON!$A:$D,4,))</f>
        <v>15,16</v>
      </c>
      <c r="J2377" s="209">
        <f t="shared" si="187"/>
        <v>151.6</v>
      </c>
    </row>
    <row r="2378" spans="1:10" ht="15" customHeight="1">
      <c r="A2378" s="210" t="str">
        <f>CONCATENATE("TOTAL DO ITEM NÃO DESON. - ",C2361)</f>
        <v>TOTAL DO ITEM NÃO DESON. - SEPLAG  ARQ 154</v>
      </c>
      <c r="B2378" s="424"/>
      <c r="C2378" s="424"/>
      <c r="D2378" s="424"/>
      <c r="E2378" s="424"/>
      <c r="F2378" s="425"/>
      <c r="G2378" s="426"/>
      <c r="H2378" s="1182">
        <f>SUM(H2363:H2377)</f>
        <v>4032.41</v>
      </c>
      <c r="I2378" s="214"/>
      <c r="J2378" s="215"/>
    </row>
    <row r="2379" spans="1:10" ht="15.75" customHeight="1" thickBot="1">
      <c r="A2379" s="216" t="str">
        <f>CONCATENATE("TOTAL DO ITEM DESON. - ",C2361)</f>
        <v>TOTAL DO ITEM DESON. - SEPLAG  ARQ 154</v>
      </c>
      <c r="B2379" s="427"/>
      <c r="C2379" s="427"/>
      <c r="D2379" s="427"/>
      <c r="E2379" s="427"/>
      <c r="F2379" s="428"/>
      <c r="G2379" s="429"/>
      <c r="H2379" s="1187"/>
      <c r="I2379" s="229"/>
      <c r="J2379" s="219">
        <f>SUM(J2363:J2377)</f>
        <v>3993.5099999999998</v>
      </c>
    </row>
    <row r="2380" spans="1:10" ht="15" customHeight="1" thickBot="1">
      <c r="A2380" s="253"/>
      <c r="B2380" s="1145"/>
      <c r="C2380" s="1145"/>
      <c r="D2380" s="1145"/>
      <c r="E2380" s="1145"/>
      <c r="F2380" s="1215"/>
      <c r="G2380" s="1215"/>
      <c r="H2380" s="1216"/>
      <c r="I2380" s="254"/>
      <c r="J2380" s="255"/>
    </row>
    <row r="2381" spans="1:10" ht="25.5" customHeight="1">
      <c r="A2381" s="198"/>
      <c r="B2381" s="1175"/>
      <c r="C2381" s="1176" t="s">
        <v>14637</v>
      </c>
      <c r="D2381" s="156" t="s">
        <v>14638</v>
      </c>
      <c r="E2381" s="1176" t="s">
        <v>32</v>
      </c>
      <c r="F2381" s="1177" t="s">
        <v>18</v>
      </c>
      <c r="G2381" s="1178" t="s">
        <v>7017</v>
      </c>
      <c r="H2381" s="1179"/>
      <c r="I2381" s="200" t="s">
        <v>7016</v>
      </c>
      <c r="J2381" s="201"/>
    </row>
    <row r="2382" spans="1:10" ht="15" customHeight="1">
      <c r="A2382" s="233"/>
      <c r="B2382" s="247"/>
      <c r="C2382" s="1155"/>
      <c r="D2382" s="157"/>
      <c r="E2382" s="1155"/>
      <c r="F2382" s="1180"/>
      <c r="G2382" s="1180" t="s">
        <v>19</v>
      </c>
      <c r="H2382" s="1180" t="s">
        <v>20</v>
      </c>
      <c r="I2382" s="205" t="s">
        <v>19</v>
      </c>
      <c r="J2382" s="206" t="s">
        <v>20</v>
      </c>
    </row>
    <row r="2383" spans="1:10" ht="15" customHeight="1">
      <c r="A2383" s="208" t="s">
        <v>39</v>
      </c>
      <c r="B2383" s="241"/>
      <c r="C2383" s="241">
        <v>34360</v>
      </c>
      <c r="D2383" s="161" t="s">
        <v>14634</v>
      </c>
      <c r="E2383" s="1194" t="s">
        <v>133</v>
      </c>
      <c r="F2383" s="242">
        <v>29.6</v>
      </c>
      <c r="G2383" s="242">
        <f>IF(B2383="SEPLAG",VLOOKUP(CONCATENATE("MEDIANA - ",C2383),COTAÇÃO,5,FALSE),VLOOKUP($C2383,'NAO DESO'!$A:$D,4,))</f>
        <v>47.31</v>
      </c>
      <c r="H2383" s="242">
        <f t="shared" ref="H2383:H2397" si="188">TRUNC(F2383*G2383,2)</f>
        <v>1400.37</v>
      </c>
      <c r="I2383" s="54" t="str">
        <f>IF(B2383="SEPLAG",VLOOKUP(CONCATENATE("MEDIANA - ",C2383),COTAÇÃO,5,FALSE),VLOOKUP($C2383,DESON!$A:$D,4,))</f>
        <v>47,31</v>
      </c>
      <c r="J2383" s="209">
        <f t="shared" ref="J2383:J2397" si="189">TRUNC(F2383*I2383,2)</f>
        <v>1400.37</v>
      </c>
    </row>
    <row r="2384" spans="1:10" ht="15" customHeight="1">
      <c r="A2384" s="208" t="s">
        <v>39</v>
      </c>
      <c r="B2384" s="241" t="s">
        <v>14504</v>
      </c>
      <c r="C2384" s="1181" t="s">
        <v>14307</v>
      </c>
      <c r="D2384" s="161" t="str">
        <f>IF(B2384="SEPLAG",VLOOKUP(COMPOSIÇÕES!C2384,'MAPA COMPARATIVO'!A:B,2,FALSE),VLOOKUP(C2384,'NAO DESO'!A:B,2,0))</f>
        <v xml:space="preserve">Braço de max-ar linha gold de 600mm </v>
      </c>
      <c r="E2384" s="1194" t="s">
        <v>24</v>
      </c>
      <c r="F2384" s="242">
        <v>6</v>
      </c>
      <c r="G2384" s="242">
        <f>IF(B2384="SEPLAG",VLOOKUP(CONCATENATE("MEDIANA - ",C2384),COTAÇÃO,5,FALSE),VLOOKUP($C2384,'NAO DESO'!$A:$D,4,))</f>
        <v>36.575000000000003</v>
      </c>
      <c r="H2384" s="242">
        <f t="shared" si="188"/>
        <v>219.45</v>
      </c>
      <c r="I2384" s="54">
        <f>IF(B2384="SEPLAG",VLOOKUP(CONCATENATE("MEDIANA - ",C2384),COTAÇÃO,5,FALSE),VLOOKUP($C2384,DESON!$A:$D,4,))</f>
        <v>36.575000000000003</v>
      </c>
      <c r="J2384" s="209">
        <f t="shared" si="189"/>
        <v>219.45</v>
      </c>
    </row>
    <row r="2385" spans="1:10" ht="15" customHeight="1">
      <c r="A2385" s="208" t="s">
        <v>39</v>
      </c>
      <c r="B2385" s="241" t="s">
        <v>14504</v>
      </c>
      <c r="C2385" s="1181" t="s">
        <v>14308</v>
      </c>
      <c r="D2385" s="161" t="str">
        <f>IF(B2385="SEPLAG",VLOOKUP(COMPOSIÇÕES!C2385,'MAPA COMPARATIVO'!A:B,2,FALSE),VLOOKUP(C2385,'NAO DESO'!A:B,2,0))</f>
        <v>Fecho max-ar linha gold</v>
      </c>
      <c r="E2385" s="1194" t="s">
        <v>24</v>
      </c>
      <c r="F2385" s="242">
        <v>6</v>
      </c>
      <c r="G2385" s="242">
        <f>IF(B2385="SEPLAG",VLOOKUP(CONCATENATE("MEDIANA - ",C2385),COTAÇÃO,5,FALSE),VLOOKUP($C2385,'NAO DESO'!$A:$D,4,))</f>
        <v>47.36</v>
      </c>
      <c r="H2385" s="242">
        <f t="shared" si="188"/>
        <v>284.16000000000003</v>
      </c>
      <c r="I2385" s="54">
        <f>IF(B2385="SEPLAG",VLOOKUP(CONCATENATE("MEDIANA - ",C2385),COTAÇÃO,5,FALSE),VLOOKUP($C2385,DESON!$A:$D,4,))</f>
        <v>47.36</v>
      </c>
      <c r="J2385" s="209">
        <f t="shared" si="189"/>
        <v>284.16000000000003</v>
      </c>
    </row>
    <row r="2386" spans="1:10" ht="15" customHeight="1">
      <c r="A2386" s="208" t="s">
        <v>39</v>
      </c>
      <c r="B2386" s="241" t="s">
        <v>14504</v>
      </c>
      <c r="C2386" s="1181" t="s">
        <v>14309</v>
      </c>
      <c r="D2386" s="161" t="str">
        <f>IF(B2386="SEPLAG",VLOOKUP(COMPOSIÇÕES!C2386,'MAPA COMPARATIVO'!A:B,2,FALSE),VLOOKUP(C2386,'NAO DESO'!A:B,2,0))</f>
        <v>Guarnição em EPDM p/ pingadeira</v>
      </c>
      <c r="E2386" s="1194" t="s">
        <v>250</v>
      </c>
      <c r="F2386" s="242">
        <v>6.15</v>
      </c>
      <c r="G2386" s="242">
        <f>IF(B2386="SEPLAG",VLOOKUP(CONCATENATE("MEDIANA - ",C2386),COTAÇÃO,5,FALSE),VLOOKUP($C2386,'NAO DESO'!$A:$D,4,))</f>
        <v>4.3849999999999998</v>
      </c>
      <c r="H2386" s="242">
        <f t="shared" si="188"/>
        <v>26.96</v>
      </c>
      <c r="I2386" s="54">
        <f>IF(B2386="SEPLAG",VLOOKUP(CONCATENATE("MEDIANA - ",C2386),COTAÇÃO,5,FALSE),VLOOKUP($C2386,DESON!$A:$D,4,))</f>
        <v>4.3849999999999998</v>
      </c>
      <c r="J2386" s="209">
        <f t="shared" si="189"/>
        <v>26.96</v>
      </c>
    </row>
    <row r="2387" spans="1:10" ht="15" customHeight="1">
      <c r="A2387" s="208" t="s">
        <v>39</v>
      </c>
      <c r="B2387" s="241" t="s">
        <v>14504</v>
      </c>
      <c r="C2387" s="1181" t="s">
        <v>14310</v>
      </c>
      <c r="D2387" s="161" t="str">
        <f>IF(B2387="SEPLAG",VLOOKUP(COMPOSIÇÕES!C2387,'MAPA COMPARATIVO'!A:B,2,FALSE),VLOOKUP(C2387,'NAO DESO'!A:B,2,0))</f>
        <v>Guarnição em EPDM para vidro</v>
      </c>
      <c r="E2387" s="1194" t="s">
        <v>250</v>
      </c>
      <c r="F2387" s="242">
        <v>33</v>
      </c>
      <c r="G2387" s="242">
        <f>IF(B2387="SEPLAG",VLOOKUP(CONCATENATE("MEDIANA - ",C2387),COTAÇÃO,5,FALSE),VLOOKUP($C2387,'NAO DESO'!$A:$D,4,))</f>
        <v>2.4091999999999998</v>
      </c>
      <c r="H2387" s="242">
        <f t="shared" si="188"/>
        <v>79.5</v>
      </c>
      <c r="I2387" s="54">
        <f>IF(B2387="SEPLAG",VLOOKUP(CONCATENATE("MEDIANA - ",C2387),COTAÇÃO,5,FALSE),VLOOKUP($C2387,DESON!$A:$D,4,))</f>
        <v>2.4091999999999998</v>
      </c>
      <c r="J2387" s="209">
        <f t="shared" si="189"/>
        <v>79.5</v>
      </c>
    </row>
    <row r="2388" spans="1:10" ht="15" customHeight="1">
      <c r="A2388" s="208" t="s">
        <v>39</v>
      </c>
      <c r="B2388" s="241" t="s">
        <v>14504</v>
      </c>
      <c r="C2388" s="1181" t="s">
        <v>14311</v>
      </c>
      <c r="D2388" s="161" t="str">
        <f>IF(B2388="SEPLAG",VLOOKUP(COMPOSIÇÕES!C2388,'MAPA COMPARATIVO'!A:B,2,FALSE),VLOOKUP(C2388,'NAO DESO'!A:B,2,0))</f>
        <v>Espuma adesiva 1 face</v>
      </c>
      <c r="E2388" s="1194" t="s">
        <v>250</v>
      </c>
      <c r="F2388" s="242">
        <v>25.75</v>
      </c>
      <c r="G2388" s="242">
        <f>IF(B2388="SEPLAG",VLOOKUP(CONCATENATE("MEDIANA - ",C2388),COTAÇÃO,5,FALSE),VLOOKUP($C2388,'NAO DESO'!$A:$D,4,))</f>
        <v>2.1800000000000002</v>
      </c>
      <c r="H2388" s="242">
        <f t="shared" si="188"/>
        <v>56.13</v>
      </c>
      <c r="I2388" s="54">
        <f>IF(B2388="SEPLAG",VLOOKUP(CONCATENATE("MEDIANA - ",C2388),COTAÇÃO,5,FALSE),VLOOKUP($C2388,DESON!$A:$D,4,))</f>
        <v>2.1800000000000002</v>
      </c>
      <c r="J2388" s="209">
        <f t="shared" si="189"/>
        <v>56.13</v>
      </c>
    </row>
    <row r="2389" spans="1:10" ht="15" customHeight="1">
      <c r="A2389" s="208" t="s">
        <v>39</v>
      </c>
      <c r="B2389" s="241" t="s">
        <v>14504</v>
      </c>
      <c r="C2389" s="1181" t="s">
        <v>14312</v>
      </c>
      <c r="D2389" s="161" t="str">
        <f>IF(B2389="SEPLAG",VLOOKUP(COMPOSIÇÕES!C2389,'MAPA COMPARATIVO'!A:B,2,FALSE),VLOOKUP(C2389,'NAO DESO'!A:B,2,0))</f>
        <v>Guarnição em EPDM p/ marco max-ar</v>
      </c>
      <c r="E2389" s="1194" t="s">
        <v>7388</v>
      </c>
      <c r="F2389" s="242">
        <v>28.5</v>
      </c>
      <c r="G2389" s="242">
        <f>IF(B2389="SEPLAG",VLOOKUP(CONCATENATE("MEDIANA - ",C2389),COTAÇÃO,5,FALSE),VLOOKUP($C2389,'NAO DESO'!$A:$D,4,))</f>
        <v>3.8138999999999998</v>
      </c>
      <c r="H2389" s="242">
        <f t="shared" si="188"/>
        <v>108.69</v>
      </c>
      <c r="I2389" s="54">
        <f>IF(B2389="SEPLAG",VLOOKUP(CONCATENATE("MEDIANA - ",C2389),COTAÇÃO,5,FALSE),VLOOKUP($C2389,DESON!$A:$D,4,))</f>
        <v>3.8138999999999998</v>
      </c>
      <c r="J2389" s="209">
        <f t="shared" si="189"/>
        <v>108.69</v>
      </c>
    </row>
    <row r="2390" spans="1:10" ht="15" customHeight="1">
      <c r="A2390" s="208" t="s">
        <v>39</v>
      </c>
      <c r="B2390" s="241" t="s">
        <v>14504</v>
      </c>
      <c r="C2390" s="1181" t="s">
        <v>14313</v>
      </c>
      <c r="D2390" s="161" t="str">
        <f>IF(B2390="SEPLAG",VLOOKUP(COMPOSIÇÕES!C2390,'MAPA COMPARATIVO'!A:B,2,FALSE),VLOOKUP(C2390,'NAO DESO'!A:B,2,0))</f>
        <v>PRESILHA DE FIXAÇÃO DO ARREMATE MP-347</v>
      </c>
      <c r="E2390" s="1194" t="s">
        <v>24</v>
      </c>
      <c r="F2390" s="242">
        <v>40</v>
      </c>
      <c r="G2390" s="242">
        <f>IF(B2390="SEPLAG",VLOOKUP(CONCATENATE("MEDIANA - ",C2390),COTAÇÃO,5,FALSE),VLOOKUP($C2390,'NAO DESO'!$A:$D,4,))</f>
        <v>0.34</v>
      </c>
      <c r="H2390" s="242">
        <f t="shared" si="188"/>
        <v>13.6</v>
      </c>
      <c r="I2390" s="54">
        <f>IF(B2390="SEPLAG",VLOOKUP(CONCATENATE("MEDIANA - ",C2390),COTAÇÃO,5,FALSE),VLOOKUP($C2390,DESON!$A:$D,4,))</f>
        <v>0.34</v>
      </c>
      <c r="J2390" s="209">
        <f t="shared" si="189"/>
        <v>13.6</v>
      </c>
    </row>
    <row r="2391" spans="1:10" ht="15" customHeight="1">
      <c r="A2391" s="208" t="s">
        <v>39</v>
      </c>
      <c r="B2391" s="241" t="s">
        <v>14504</v>
      </c>
      <c r="C2391" s="1181" t="s">
        <v>14314</v>
      </c>
      <c r="D2391" s="161" t="str">
        <f>IF(B2391="SEPLAG",VLOOKUP(COMPOSIÇÕES!C2391,'MAPA COMPARATIVO'!A:B,2,FALSE),VLOOKUP(C2391,'NAO DESO'!A:B,2,0))</f>
        <v>Parafuso zincado phillips flangeado autobrocante 4,2 x 16mm</v>
      </c>
      <c r="E2391" s="1194" t="s">
        <v>24</v>
      </c>
      <c r="F2391" s="242">
        <v>40</v>
      </c>
      <c r="G2391" s="242">
        <f>IF(B2391="SEPLAG",VLOOKUP(CONCATENATE("MEDIANA - ",C2391),COTAÇÃO,5,FALSE),VLOOKUP($C2391,'NAO DESO'!$A:$D,4,))</f>
        <v>0.28000000000000003</v>
      </c>
      <c r="H2391" s="242">
        <f t="shared" si="188"/>
        <v>11.2</v>
      </c>
      <c r="I2391" s="54">
        <f>IF(B2391="SEPLAG",VLOOKUP(CONCATENATE("MEDIANA - ",C2391),COTAÇÃO,5,FALSE),VLOOKUP($C2391,DESON!$A:$D,4,))</f>
        <v>0.28000000000000003</v>
      </c>
      <c r="J2391" s="209">
        <f t="shared" si="189"/>
        <v>11.2</v>
      </c>
    </row>
    <row r="2392" spans="1:10" ht="15" customHeight="1">
      <c r="A2392" s="208" t="s">
        <v>39</v>
      </c>
      <c r="B2392" s="241" t="s">
        <v>14504</v>
      </c>
      <c r="C2392" s="1181" t="s">
        <v>14315</v>
      </c>
      <c r="D2392" s="161" t="str">
        <f>IF(B2392="SEPLAG",VLOOKUP(COMPOSIÇÕES!C2392,'MAPA COMPARATIVO'!A:B,2,FALSE),VLOOKUP(C2392,'NAO DESO'!A:B,2,0))</f>
        <v>PARAF. PANELA PHILIPS INOX 4,8 X32 PONTA PILOTO</v>
      </c>
      <c r="E2392" s="1194" t="s">
        <v>24</v>
      </c>
      <c r="F2392" s="242">
        <v>20</v>
      </c>
      <c r="G2392" s="242">
        <f>IF(B2392="SEPLAG",VLOOKUP(CONCATENATE("MEDIANA - ",C2392),COTAÇÃO,5,FALSE),VLOOKUP($C2392,'NAO DESO'!$A:$D,4,))</f>
        <v>0.95</v>
      </c>
      <c r="H2392" s="242">
        <f t="shared" si="188"/>
        <v>19</v>
      </c>
      <c r="I2392" s="54">
        <f>IF(B2392="SEPLAG",VLOOKUP(CONCATENATE("MEDIANA - ",C2392),COTAÇÃO,5,FALSE),VLOOKUP($C2392,DESON!$A:$D,4,))</f>
        <v>0.95</v>
      </c>
      <c r="J2392" s="209">
        <f t="shared" si="189"/>
        <v>19</v>
      </c>
    </row>
    <row r="2393" spans="1:10" ht="15" customHeight="1">
      <c r="A2393" s="208" t="s">
        <v>39</v>
      </c>
      <c r="B2393" s="241" t="s">
        <v>14504</v>
      </c>
      <c r="C2393" s="1181" t="s">
        <v>14316</v>
      </c>
      <c r="D2393" s="161" t="str">
        <f>IF(B2393="SEPLAG",VLOOKUP(COMPOSIÇÕES!C2393,'MAPA COMPARATIVO'!A:B,2,FALSE),VLOOKUP(C2393,'NAO DESO'!A:B,2,0))</f>
        <v>CHUMBADOR DE CM-063/060</v>
      </c>
      <c r="E2393" s="1194" t="s">
        <v>24</v>
      </c>
      <c r="F2393" s="242">
        <v>32</v>
      </c>
      <c r="G2393" s="242">
        <f>IF(B2393="SEPLAG",VLOOKUP(CONCATENATE("MEDIANA - ",C2393),COTAÇÃO,5,FALSE),VLOOKUP($C2393,'NAO DESO'!$A:$D,4,))</f>
        <v>0.86</v>
      </c>
      <c r="H2393" s="242">
        <f t="shared" si="188"/>
        <v>27.52</v>
      </c>
      <c r="I2393" s="54">
        <f>IF(B2393="SEPLAG",VLOOKUP(CONCATENATE("MEDIANA - ",C2393),COTAÇÃO,5,FALSE),VLOOKUP($C2393,DESON!$A:$D,4,))</f>
        <v>0.86</v>
      </c>
      <c r="J2393" s="209">
        <f t="shared" si="189"/>
        <v>27.52</v>
      </c>
    </row>
    <row r="2394" spans="1:10" ht="15" customHeight="1">
      <c r="A2394" s="208" t="s">
        <v>39</v>
      </c>
      <c r="B2394" s="241" t="s">
        <v>14504</v>
      </c>
      <c r="C2394" s="1181" t="s">
        <v>14317</v>
      </c>
      <c r="D2394" s="161" t="str">
        <f>IF(B2394="SEPLAG",VLOOKUP(COMPOSIÇÕES!C2394,'MAPA COMPARATIVO'!A:B,2,FALSE),VLOOKUP(C2394,'NAO DESO'!A:B,2,0))</f>
        <v>Silicone neutro incolor 280 g</v>
      </c>
      <c r="E2394" s="1194" t="s">
        <v>24</v>
      </c>
      <c r="F2394" s="242">
        <v>2</v>
      </c>
      <c r="G2394" s="242">
        <f>IF(B2394="SEPLAG",VLOOKUP(CONCATENATE("MEDIANA - ",C2394),COTAÇÃO,5,FALSE),VLOOKUP($C2394,'NAO DESO'!$A:$D,4,))</f>
        <v>43.9</v>
      </c>
      <c r="H2394" s="242">
        <f t="shared" si="188"/>
        <v>87.8</v>
      </c>
      <c r="I2394" s="54">
        <f>IF(B2394="SEPLAG",VLOOKUP(CONCATENATE("MEDIANA - ",C2394),COTAÇÃO,5,FALSE),VLOOKUP($C2394,DESON!$A:$D,4,))</f>
        <v>43.9</v>
      </c>
      <c r="J2394" s="209">
        <f t="shared" si="189"/>
        <v>87.8</v>
      </c>
    </row>
    <row r="2395" spans="1:10" ht="15" customHeight="1">
      <c r="A2395" s="208" t="s">
        <v>245</v>
      </c>
      <c r="B2395" s="241"/>
      <c r="C2395" s="1181">
        <v>10505</v>
      </c>
      <c r="D2395" s="161" t="str">
        <f>IF(B2395="SEPLAG",VLOOKUP(COMPOSIÇÕES!C2395,'MAPA COMPARATIVO'!A:B,2,FALSE),VLOOKUP(C2395,'NAO DESO'!A:B,2,0))</f>
        <v>VIDRO TEMPERADO INCOLOR E = 6 MM, SEM COLOCACAO</v>
      </c>
      <c r="E2395" s="241" t="str">
        <f>VLOOKUP($C2395,'NAO DESO'!$A:$D,3,)</f>
        <v xml:space="preserve">M2    </v>
      </c>
      <c r="F2395" s="242">
        <v>8.26</v>
      </c>
      <c r="G2395" s="242">
        <f>IF(B2395="SEPLAG",VLOOKUP(CONCATENATE("MEDIANA - ",C2395),COTAÇÃO,5,FALSE),VLOOKUP($C2395,'NAO DESO'!$A:$D,4,))</f>
        <v>272.77</v>
      </c>
      <c r="H2395" s="242">
        <f t="shared" si="188"/>
        <v>2253.08</v>
      </c>
      <c r="I2395" s="54" t="str">
        <f>IF(B2395="SEPLAG",VLOOKUP(CONCATENATE("MEDIANA - ",C2395),COTAÇÃO,5,FALSE),VLOOKUP($C2395,DESON!$A:$D,4,))</f>
        <v>272,77</v>
      </c>
      <c r="J2395" s="209">
        <f t="shared" si="189"/>
        <v>2253.08</v>
      </c>
    </row>
    <row r="2396" spans="1:10" ht="15" customHeight="1">
      <c r="A2396" s="208" t="s">
        <v>245</v>
      </c>
      <c r="B2396" s="241"/>
      <c r="C2396" s="1181">
        <v>88315</v>
      </c>
      <c r="D2396" s="161" t="str">
        <f>IF(B2396="SEPLAG",VLOOKUP(COMPOSIÇÕES!C2396,'MAPA COMPARATIVO'!A:B,2,FALSE),VLOOKUP(C2396,'NAO DESO'!A:B,2,0))</f>
        <v>SERRALHEIRO COM ENCARGOS COMPLEMENTARES</v>
      </c>
      <c r="E2396" s="241" t="str">
        <f>VLOOKUP($C2396,'NAO DESO'!$A:$D,3,)</f>
        <v>H</v>
      </c>
      <c r="F2396" s="242">
        <v>12</v>
      </c>
      <c r="G2396" s="242" t="str">
        <f>IF(B2396="SEPLAG",VLOOKUP(CONCATENATE("MEDIANA - ",C2396),COTAÇÃO,5,FALSE),VLOOKUP($C2396,'NAO DESO'!$A:$D,4,))</f>
        <v>20,97</v>
      </c>
      <c r="H2396" s="242">
        <f t="shared" si="188"/>
        <v>251.64</v>
      </c>
      <c r="I2396" s="54" t="str">
        <f>IF(B2396="SEPLAG",VLOOKUP(CONCATENATE("MEDIANA - ",C2396),COTAÇÃO,5,FALSE),VLOOKUP($C2396,DESON!$A:$D,4,))</f>
        <v>18,75</v>
      </c>
      <c r="J2396" s="209">
        <f t="shared" si="189"/>
        <v>225</v>
      </c>
    </row>
    <row r="2397" spans="1:10" ht="15" customHeight="1">
      <c r="A2397" s="208" t="s">
        <v>245</v>
      </c>
      <c r="B2397" s="241"/>
      <c r="C2397" s="1181">
        <v>88316</v>
      </c>
      <c r="D2397" s="161" t="str">
        <f>IF(B2397="SEPLAG",VLOOKUP(COMPOSIÇÕES!C2397,'MAPA COMPARATIVO'!A:B,2,FALSE),VLOOKUP(C2397,'NAO DESO'!A:B,2,0))</f>
        <v>SERVENTE COM ENCARGOS COMPLEMENTARES</v>
      </c>
      <c r="E2397" s="241" t="str">
        <f>VLOOKUP($C2397,'NAO DESO'!$A:$D,3,)</f>
        <v>H</v>
      </c>
      <c r="F2397" s="242">
        <f>F2396</f>
        <v>12</v>
      </c>
      <c r="G2397" s="242" t="str">
        <f>IF(B2397="SEPLAG",VLOOKUP(CONCATENATE("MEDIANA - ",C2397),COTAÇÃO,5,FALSE),VLOOKUP($C2397,'NAO DESO'!$A:$D,4,))</f>
        <v>16,83</v>
      </c>
      <c r="H2397" s="242">
        <f t="shared" si="188"/>
        <v>201.96</v>
      </c>
      <c r="I2397" s="54" t="str">
        <f>IF(B2397="SEPLAG",VLOOKUP(CONCATENATE("MEDIANA - ",C2397),COTAÇÃO,5,FALSE),VLOOKUP($C2397,DESON!$A:$D,4,))</f>
        <v>15,16</v>
      </c>
      <c r="J2397" s="209">
        <f t="shared" si="189"/>
        <v>181.92</v>
      </c>
    </row>
    <row r="2398" spans="1:10" ht="15" customHeight="1">
      <c r="A2398" s="210" t="str">
        <f>CONCATENATE("TOTAL DO ITEM NÃO DESON. - ",C2381)</f>
        <v>TOTAL DO ITEM NÃO DESON. - SEPLAG  ARQ 155</v>
      </c>
      <c r="B2398" s="424"/>
      <c r="C2398" s="424"/>
      <c r="D2398" s="424"/>
      <c r="E2398" s="424"/>
      <c r="F2398" s="425"/>
      <c r="G2398" s="426"/>
      <c r="H2398" s="1182">
        <f>SUM(H2383:H2397)</f>
        <v>5041.0600000000004</v>
      </c>
      <c r="I2398" s="214"/>
      <c r="J2398" s="215"/>
    </row>
    <row r="2399" spans="1:10" ht="15.75" customHeight="1" thickBot="1">
      <c r="A2399" s="216" t="str">
        <f>CONCATENATE("TOTAL DO ITEM DESON. - ",C2381)</f>
        <v>TOTAL DO ITEM DESON. - SEPLAG  ARQ 155</v>
      </c>
      <c r="B2399" s="427"/>
      <c r="C2399" s="427"/>
      <c r="D2399" s="427"/>
      <c r="E2399" s="427"/>
      <c r="F2399" s="428"/>
      <c r="G2399" s="429"/>
      <c r="H2399" s="1187"/>
      <c r="I2399" s="229"/>
      <c r="J2399" s="219">
        <f>SUM(J2383:J2397)</f>
        <v>4994.38</v>
      </c>
    </row>
    <row r="2400" spans="1:10" ht="15" customHeight="1" thickBot="1">
      <c r="A2400" s="253"/>
      <c r="B2400" s="1145"/>
      <c r="C2400" s="1145"/>
      <c r="D2400" s="1145"/>
      <c r="E2400" s="1145"/>
      <c r="F2400" s="1215"/>
      <c r="G2400" s="1215"/>
      <c r="H2400" s="1216"/>
      <c r="I2400" s="254"/>
      <c r="J2400" s="255"/>
    </row>
    <row r="2401" spans="1:10" ht="25.5" customHeight="1">
      <c r="A2401" s="198"/>
      <c r="B2401" s="1175"/>
      <c r="C2401" s="1176" t="s">
        <v>14639</v>
      </c>
      <c r="D2401" s="156" t="s">
        <v>14640</v>
      </c>
      <c r="E2401" s="1176" t="s">
        <v>32</v>
      </c>
      <c r="F2401" s="1177" t="s">
        <v>18</v>
      </c>
      <c r="G2401" s="1178" t="s">
        <v>7017</v>
      </c>
      <c r="H2401" s="1179"/>
      <c r="I2401" s="200" t="s">
        <v>7016</v>
      </c>
      <c r="J2401" s="201"/>
    </row>
    <row r="2402" spans="1:10" ht="15" customHeight="1">
      <c r="A2402" s="233"/>
      <c r="B2402" s="247"/>
      <c r="C2402" s="1155"/>
      <c r="D2402" s="157"/>
      <c r="E2402" s="1155"/>
      <c r="F2402" s="1180"/>
      <c r="G2402" s="1180" t="s">
        <v>19</v>
      </c>
      <c r="H2402" s="1180" t="s">
        <v>20</v>
      </c>
      <c r="I2402" s="205" t="s">
        <v>19</v>
      </c>
      <c r="J2402" s="206" t="s">
        <v>20</v>
      </c>
    </row>
    <row r="2403" spans="1:10" ht="15" customHeight="1">
      <c r="A2403" s="208" t="s">
        <v>39</v>
      </c>
      <c r="B2403" s="241"/>
      <c r="C2403" s="241">
        <v>34360</v>
      </c>
      <c r="D2403" s="161" t="s">
        <v>14634</v>
      </c>
      <c r="E2403" s="1194" t="s">
        <v>133</v>
      </c>
      <c r="F2403" s="242">
        <v>15.44</v>
      </c>
      <c r="G2403" s="242">
        <f>IF(B2403="SEPLAG",VLOOKUP(CONCATENATE("MEDIANA - ",C2403),COTAÇÃO,5,FALSE),VLOOKUP($C2403,'NAO DESO'!$A:$D,4,))</f>
        <v>47.31</v>
      </c>
      <c r="H2403" s="242">
        <f t="shared" ref="H2403:H2417" si="190">TRUNC(F2403*G2403,2)</f>
        <v>730.46</v>
      </c>
      <c r="I2403" s="54" t="str">
        <f>IF(B2403="SEPLAG",VLOOKUP(CONCATENATE("MEDIANA - ",C2403),COTAÇÃO,5,FALSE),VLOOKUP($C2403,DESON!$A:$D,4,))</f>
        <v>47,31</v>
      </c>
      <c r="J2403" s="209">
        <f t="shared" ref="J2403:J2417" si="191">TRUNC(F2403*I2403,2)</f>
        <v>730.46</v>
      </c>
    </row>
    <row r="2404" spans="1:10" ht="15" customHeight="1">
      <c r="A2404" s="208" t="s">
        <v>39</v>
      </c>
      <c r="B2404" s="241" t="s">
        <v>14504</v>
      </c>
      <c r="C2404" s="1181" t="s">
        <v>14307</v>
      </c>
      <c r="D2404" s="161" t="str">
        <f>IF(B2404="SEPLAG",VLOOKUP(COMPOSIÇÕES!C2404,'MAPA COMPARATIVO'!A:B,2,FALSE),VLOOKUP(C2404,'NAO DESO'!A:B,2,0))</f>
        <v xml:space="preserve">Braço de max-ar linha gold de 600mm </v>
      </c>
      <c r="E2404" s="1194" t="s">
        <v>24</v>
      </c>
      <c r="F2404" s="242">
        <v>6</v>
      </c>
      <c r="G2404" s="242">
        <f>IF(B2404="SEPLAG",VLOOKUP(CONCATENATE("MEDIANA - ",C2404),COTAÇÃO,5,FALSE),VLOOKUP($C2404,'NAO DESO'!$A:$D,4,))</f>
        <v>36.575000000000003</v>
      </c>
      <c r="H2404" s="242">
        <f t="shared" si="190"/>
        <v>219.45</v>
      </c>
      <c r="I2404" s="54">
        <f>IF(B2404="SEPLAG",VLOOKUP(CONCATENATE("MEDIANA - ",C2404),COTAÇÃO,5,FALSE),VLOOKUP($C2404,DESON!$A:$D,4,))</f>
        <v>36.575000000000003</v>
      </c>
      <c r="J2404" s="209">
        <f t="shared" si="191"/>
        <v>219.45</v>
      </c>
    </row>
    <row r="2405" spans="1:10" ht="15" customHeight="1">
      <c r="A2405" s="208" t="s">
        <v>39</v>
      </c>
      <c r="B2405" s="241" t="s">
        <v>14504</v>
      </c>
      <c r="C2405" s="1181" t="s">
        <v>14308</v>
      </c>
      <c r="D2405" s="161" t="str">
        <f>IF(B2405="SEPLAG",VLOOKUP(COMPOSIÇÕES!C2405,'MAPA COMPARATIVO'!A:B,2,FALSE),VLOOKUP(C2405,'NAO DESO'!A:B,2,0))</f>
        <v>Fecho max-ar linha gold</v>
      </c>
      <c r="E2405" s="1194" t="s">
        <v>24</v>
      </c>
      <c r="F2405" s="242">
        <v>6</v>
      </c>
      <c r="G2405" s="242">
        <f>IF(B2405="SEPLAG",VLOOKUP(CONCATENATE("MEDIANA - ",C2405),COTAÇÃO,5,FALSE),VLOOKUP($C2405,'NAO DESO'!$A:$D,4,))</f>
        <v>47.36</v>
      </c>
      <c r="H2405" s="242">
        <f t="shared" si="190"/>
        <v>284.16000000000003</v>
      </c>
      <c r="I2405" s="54">
        <f>IF(B2405="SEPLAG",VLOOKUP(CONCATENATE("MEDIANA - ",C2405),COTAÇÃO,5,FALSE),VLOOKUP($C2405,DESON!$A:$D,4,))</f>
        <v>47.36</v>
      </c>
      <c r="J2405" s="209">
        <f t="shared" si="191"/>
        <v>284.16000000000003</v>
      </c>
    </row>
    <row r="2406" spans="1:10" ht="15" customHeight="1">
      <c r="A2406" s="208" t="s">
        <v>39</v>
      </c>
      <c r="B2406" s="241" t="s">
        <v>14504</v>
      </c>
      <c r="C2406" s="1181" t="s">
        <v>14309</v>
      </c>
      <c r="D2406" s="161" t="str">
        <f>IF(B2406="SEPLAG",VLOOKUP(COMPOSIÇÕES!C2406,'MAPA COMPARATIVO'!A:B,2,FALSE),VLOOKUP(C2406,'NAO DESO'!A:B,2,0))</f>
        <v>Guarnição em EPDM p/ pingadeira</v>
      </c>
      <c r="E2406" s="1194" t="s">
        <v>250</v>
      </c>
      <c r="F2406" s="242">
        <v>6.15</v>
      </c>
      <c r="G2406" s="242">
        <f>IF(B2406="SEPLAG",VLOOKUP(CONCATENATE("MEDIANA - ",C2406),COTAÇÃO,5,FALSE),VLOOKUP($C2406,'NAO DESO'!$A:$D,4,))</f>
        <v>4.3849999999999998</v>
      </c>
      <c r="H2406" s="242">
        <f t="shared" si="190"/>
        <v>26.96</v>
      </c>
      <c r="I2406" s="54">
        <f>IF(B2406="SEPLAG",VLOOKUP(CONCATENATE("MEDIANA - ",C2406),COTAÇÃO,5,FALSE),VLOOKUP($C2406,DESON!$A:$D,4,))</f>
        <v>4.3849999999999998</v>
      </c>
      <c r="J2406" s="209">
        <f t="shared" si="191"/>
        <v>26.96</v>
      </c>
    </row>
    <row r="2407" spans="1:10" ht="15" customHeight="1">
      <c r="A2407" s="208" t="s">
        <v>39</v>
      </c>
      <c r="B2407" s="241" t="s">
        <v>14504</v>
      </c>
      <c r="C2407" s="1181" t="s">
        <v>14310</v>
      </c>
      <c r="D2407" s="161" t="str">
        <f>IF(B2407="SEPLAG",VLOOKUP(COMPOSIÇÕES!C2407,'MAPA COMPARATIVO'!A:B,2,FALSE),VLOOKUP(C2407,'NAO DESO'!A:B,2,0))</f>
        <v>Guarnição em EPDM para vidro</v>
      </c>
      <c r="E2407" s="1194" t="s">
        <v>250</v>
      </c>
      <c r="F2407" s="242">
        <v>12.8</v>
      </c>
      <c r="G2407" s="242">
        <f>IF(B2407="SEPLAG",VLOOKUP(CONCATENATE("MEDIANA - ",C2407),COTAÇÃO,5,FALSE),VLOOKUP($C2407,'NAO DESO'!$A:$D,4,))</f>
        <v>2.4091999999999998</v>
      </c>
      <c r="H2407" s="242">
        <f t="shared" si="190"/>
        <v>30.83</v>
      </c>
      <c r="I2407" s="54">
        <f>IF(B2407="SEPLAG",VLOOKUP(CONCATENATE("MEDIANA - ",C2407),COTAÇÃO,5,FALSE),VLOOKUP($C2407,DESON!$A:$D,4,))</f>
        <v>2.4091999999999998</v>
      </c>
      <c r="J2407" s="209">
        <f t="shared" si="191"/>
        <v>30.83</v>
      </c>
    </row>
    <row r="2408" spans="1:10" ht="15" customHeight="1">
      <c r="A2408" s="208" t="s">
        <v>39</v>
      </c>
      <c r="B2408" s="241" t="s">
        <v>14504</v>
      </c>
      <c r="C2408" s="1181" t="s">
        <v>14311</v>
      </c>
      <c r="D2408" s="161" t="str">
        <f>IF(B2408="SEPLAG",VLOOKUP(COMPOSIÇÕES!C2408,'MAPA COMPARATIVO'!A:B,2,FALSE),VLOOKUP(C2408,'NAO DESO'!A:B,2,0))</f>
        <v>Espuma adesiva 1 face</v>
      </c>
      <c r="E2408" s="1194" t="s">
        <v>250</v>
      </c>
      <c r="F2408" s="242">
        <v>12.8</v>
      </c>
      <c r="G2408" s="242">
        <f>IF(B2408="SEPLAG",VLOOKUP(CONCATENATE("MEDIANA - ",C2408),COTAÇÃO,5,FALSE),VLOOKUP($C2408,'NAO DESO'!$A:$D,4,))</f>
        <v>2.1800000000000002</v>
      </c>
      <c r="H2408" s="242">
        <f t="shared" si="190"/>
        <v>27.9</v>
      </c>
      <c r="I2408" s="54">
        <f>IF(B2408="SEPLAG",VLOOKUP(CONCATENATE("MEDIANA - ",C2408),COTAÇÃO,5,FALSE),VLOOKUP($C2408,DESON!$A:$D,4,))</f>
        <v>2.1800000000000002</v>
      </c>
      <c r="J2408" s="209">
        <f t="shared" si="191"/>
        <v>27.9</v>
      </c>
    </row>
    <row r="2409" spans="1:10" ht="15" customHeight="1">
      <c r="A2409" s="208" t="s">
        <v>39</v>
      </c>
      <c r="B2409" s="241" t="s">
        <v>14504</v>
      </c>
      <c r="C2409" s="1181" t="s">
        <v>14312</v>
      </c>
      <c r="D2409" s="161" t="str">
        <f>IF(B2409="SEPLAG",VLOOKUP(COMPOSIÇÕES!C2409,'MAPA COMPARATIVO'!A:B,2,FALSE),VLOOKUP(C2409,'NAO DESO'!A:B,2,0))</f>
        <v>Guarnição em EPDM p/ marco max-ar</v>
      </c>
      <c r="E2409" s="1194" t="s">
        <v>7388</v>
      </c>
      <c r="F2409" s="242">
        <v>14.42</v>
      </c>
      <c r="G2409" s="242">
        <f>IF(B2409="SEPLAG",VLOOKUP(CONCATENATE("MEDIANA - ",C2409),COTAÇÃO,5,FALSE),VLOOKUP($C2409,'NAO DESO'!$A:$D,4,))</f>
        <v>3.8138999999999998</v>
      </c>
      <c r="H2409" s="242">
        <f t="shared" si="190"/>
        <v>54.99</v>
      </c>
      <c r="I2409" s="54">
        <f>IF(B2409="SEPLAG",VLOOKUP(CONCATENATE("MEDIANA - ",C2409),COTAÇÃO,5,FALSE),VLOOKUP($C2409,DESON!$A:$D,4,))</f>
        <v>3.8138999999999998</v>
      </c>
      <c r="J2409" s="209">
        <f t="shared" si="191"/>
        <v>54.99</v>
      </c>
    </row>
    <row r="2410" spans="1:10" ht="15" customHeight="1">
      <c r="A2410" s="208" t="s">
        <v>39</v>
      </c>
      <c r="B2410" s="241" t="s">
        <v>14504</v>
      </c>
      <c r="C2410" s="1181" t="s">
        <v>14313</v>
      </c>
      <c r="D2410" s="161" t="str">
        <f>IF(B2410="SEPLAG",VLOOKUP(COMPOSIÇÕES!C2410,'MAPA COMPARATIVO'!A:B,2,FALSE),VLOOKUP(C2410,'NAO DESO'!A:B,2,0))</f>
        <v>PRESILHA DE FIXAÇÃO DO ARREMATE MP-347</v>
      </c>
      <c r="E2410" s="1194" t="s">
        <v>24</v>
      </c>
      <c r="F2410" s="242">
        <v>24</v>
      </c>
      <c r="G2410" s="242">
        <f>IF(B2410="SEPLAG",VLOOKUP(CONCATENATE("MEDIANA - ",C2410),COTAÇÃO,5,FALSE),VLOOKUP($C2410,'NAO DESO'!$A:$D,4,))</f>
        <v>0.34</v>
      </c>
      <c r="H2410" s="242">
        <f t="shared" si="190"/>
        <v>8.16</v>
      </c>
      <c r="I2410" s="54">
        <f>IF(B2410="SEPLAG",VLOOKUP(CONCATENATE("MEDIANA - ",C2410),COTAÇÃO,5,FALSE),VLOOKUP($C2410,DESON!$A:$D,4,))</f>
        <v>0.34</v>
      </c>
      <c r="J2410" s="209">
        <f t="shared" si="191"/>
        <v>8.16</v>
      </c>
    </row>
    <row r="2411" spans="1:10" ht="15" customHeight="1">
      <c r="A2411" s="208" t="s">
        <v>39</v>
      </c>
      <c r="B2411" s="241" t="s">
        <v>14504</v>
      </c>
      <c r="C2411" s="1181" t="s">
        <v>14314</v>
      </c>
      <c r="D2411" s="161" t="str">
        <f>IF(B2411="SEPLAG",VLOOKUP(COMPOSIÇÕES!C2411,'MAPA COMPARATIVO'!A:B,2,FALSE),VLOOKUP(C2411,'NAO DESO'!A:B,2,0))</f>
        <v>Parafuso zincado phillips flangeado autobrocante 4,2 x 16mm</v>
      </c>
      <c r="E2411" s="1194" t="s">
        <v>24</v>
      </c>
      <c r="F2411" s="242">
        <v>24</v>
      </c>
      <c r="G2411" s="242">
        <f>IF(B2411="SEPLAG",VLOOKUP(CONCATENATE("MEDIANA - ",C2411),COTAÇÃO,5,FALSE),VLOOKUP($C2411,'NAO DESO'!$A:$D,4,))</f>
        <v>0.28000000000000003</v>
      </c>
      <c r="H2411" s="242">
        <f t="shared" si="190"/>
        <v>6.72</v>
      </c>
      <c r="I2411" s="54">
        <f>IF(B2411="SEPLAG",VLOOKUP(CONCATENATE("MEDIANA - ",C2411),COTAÇÃO,5,FALSE),VLOOKUP($C2411,DESON!$A:$D,4,))</f>
        <v>0.28000000000000003</v>
      </c>
      <c r="J2411" s="209">
        <f t="shared" si="191"/>
        <v>6.72</v>
      </c>
    </row>
    <row r="2412" spans="1:10" ht="15" customHeight="1">
      <c r="A2412" s="208" t="s">
        <v>39</v>
      </c>
      <c r="B2412" s="241" t="s">
        <v>14504</v>
      </c>
      <c r="C2412" s="1181" t="s">
        <v>14315</v>
      </c>
      <c r="D2412" s="161" t="str">
        <f>IF(B2412="SEPLAG",VLOOKUP(COMPOSIÇÕES!C2412,'MAPA COMPARATIVO'!A:B,2,FALSE),VLOOKUP(C2412,'NAO DESO'!A:B,2,0))</f>
        <v>PARAF. PANELA PHILIPS INOX 4,8 X32 PONTA PILOTO</v>
      </c>
      <c r="E2412" s="1194" t="s">
        <v>24</v>
      </c>
      <c r="F2412" s="242">
        <v>8</v>
      </c>
      <c r="G2412" s="242">
        <f>IF(B2412="SEPLAG",VLOOKUP(CONCATENATE("MEDIANA - ",C2412),COTAÇÃO,5,FALSE),VLOOKUP($C2412,'NAO DESO'!$A:$D,4,))</f>
        <v>0.95</v>
      </c>
      <c r="H2412" s="242">
        <f t="shared" si="190"/>
        <v>7.6</v>
      </c>
      <c r="I2412" s="54">
        <f>IF(B2412="SEPLAG",VLOOKUP(CONCATENATE("MEDIANA - ",C2412),COTAÇÃO,5,FALSE),VLOOKUP($C2412,DESON!$A:$D,4,))</f>
        <v>0.95</v>
      </c>
      <c r="J2412" s="209">
        <f t="shared" si="191"/>
        <v>7.6</v>
      </c>
    </row>
    <row r="2413" spans="1:10" ht="15" customHeight="1">
      <c r="A2413" s="208" t="s">
        <v>39</v>
      </c>
      <c r="B2413" s="241" t="s">
        <v>14504</v>
      </c>
      <c r="C2413" s="1181" t="s">
        <v>14316</v>
      </c>
      <c r="D2413" s="161" t="str">
        <f>IF(B2413="SEPLAG",VLOOKUP(COMPOSIÇÕES!C2413,'MAPA COMPARATIVO'!A:B,2,FALSE),VLOOKUP(C2413,'NAO DESO'!A:B,2,0))</f>
        <v>CHUMBADOR DE CM-063/060</v>
      </c>
      <c r="E2413" s="1194" t="s">
        <v>24</v>
      </c>
      <c r="F2413" s="242">
        <v>24</v>
      </c>
      <c r="G2413" s="242">
        <f>IF(B2413="SEPLAG",VLOOKUP(CONCATENATE("MEDIANA - ",C2413),COTAÇÃO,5,FALSE),VLOOKUP($C2413,'NAO DESO'!$A:$D,4,))</f>
        <v>0.86</v>
      </c>
      <c r="H2413" s="242">
        <f t="shared" si="190"/>
        <v>20.64</v>
      </c>
      <c r="I2413" s="54">
        <f>IF(B2413="SEPLAG",VLOOKUP(CONCATENATE("MEDIANA - ",C2413),COTAÇÃO,5,FALSE),VLOOKUP($C2413,DESON!$A:$D,4,))</f>
        <v>0.86</v>
      </c>
      <c r="J2413" s="209">
        <f t="shared" si="191"/>
        <v>20.64</v>
      </c>
    </row>
    <row r="2414" spans="1:10" ht="15" customHeight="1">
      <c r="A2414" s="208" t="s">
        <v>39</v>
      </c>
      <c r="B2414" s="241" t="s">
        <v>14504</v>
      </c>
      <c r="C2414" s="1181" t="s">
        <v>14317</v>
      </c>
      <c r="D2414" s="161" t="str">
        <f>IF(B2414="SEPLAG",VLOOKUP(COMPOSIÇÕES!C2414,'MAPA COMPARATIVO'!A:B,2,FALSE),VLOOKUP(C2414,'NAO DESO'!A:B,2,0))</f>
        <v>Silicone neutro incolor 280 g</v>
      </c>
      <c r="E2414" s="1194" t="s">
        <v>24</v>
      </c>
      <c r="F2414" s="242">
        <v>2</v>
      </c>
      <c r="G2414" s="242">
        <f>IF(B2414="SEPLAG",VLOOKUP(CONCATENATE("MEDIANA - ",C2414),COTAÇÃO,5,FALSE),VLOOKUP($C2414,'NAO DESO'!$A:$D,4,))</f>
        <v>43.9</v>
      </c>
      <c r="H2414" s="242">
        <f t="shared" si="190"/>
        <v>87.8</v>
      </c>
      <c r="I2414" s="54">
        <f>IF(B2414="SEPLAG",VLOOKUP(CONCATENATE("MEDIANA - ",C2414),COTAÇÃO,5,FALSE),VLOOKUP($C2414,DESON!$A:$D,4,))</f>
        <v>43.9</v>
      </c>
      <c r="J2414" s="209">
        <f t="shared" si="191"/>
        <v>87.8</v>
      </c>
    </row>
    <row r="2415" spans="1:10" ht="15" customHeight="1">
      <c r="A2415" s="208" t="s">
        <v>245</v>
      </c>
      <c r="B2415" s="241"/>
      <c r="C2415" s="1181">
        <v>10505</v>
      </c>
      <c r="D2415" s="161" t="str">
        <f>IF(B2415="SEPLAG",VLOOKUP(COMPOSIÇÕES!C2415,'MAPA COMPARATIVO'!A:B,2,FALSE),VLOOKUP(C2415,'NAO DESO'!A:B,2,0))</f>
        <v>VIDRO TEMPERADO INCOLOR E = 6 MM, SEM COLOCACAO</v>
      </c>
      <c r="E2415" s="241" t="str">
        <f>VLOOKUP($C2415,'NAO DESO'!$A:$D,3,)</f>
        <v xml:space="preserve">M2    </v>
      </c>
      <c r="F2415" s="242">
        <v>4.13</v>
      </c>
      <c r="G2415" s="242">
        <f>IF(B2415="SEPLAG",VLOOKUP(CONCATENATE("MEDIANA - ",C2415),COTAÇÃO,5,FALSE),VLOOKUP($C2415,'NAO DESO'!$A:$D,4,))</f>
        <v>272.77</v>
      </c>
      <c r="H2415" s="242">
        <f t="shared" si="190"/>
        <v>1126.54</v>
      </c>
      <c r="I2415" s="54" t="str">
        <f>IF(B2415="SEPLAG",VLOOKUP(CONCATENATE("MEDIANA - ",C2415),COTAÇÃO,5,FALSE),VLOOKUP($C2415,DESON!$A:$D,4,))</f>
        <v>272,77</v>
      </c>
      <c r="J2415" s="209">
        <f t="shared" si="191"/>
        <v>1126.54</v>
      </c>
    </row>
    <row r="2416" spans="1:10" ht="15" customHeight="1">
      <c r="A2416" s="208" t="s">
        <v>245</v>
      </c>
      <c r="B2416" s="241"/>
      <c r="C2416" s="1181">
        <v>88315</v>
      </c>
      <c r="D2416" s="161" t="str">
        <f>IF(B2416="SEPLAG",VLOOKUP(COMPOSIÇÕES!C2416,'MAPA COMPARATIVO'!A:B,2,FALSE),VLOOKUP(C2416,'NAO DESO'!A:B,2,0))</f>
        <v>SERRALHEIRO COM ENCARGOS COMPLEMENTARES</v>
      </c>
      <c r="E2416" s="241" t="str">
        <f>VLOOKUP($C2416,'NAO DESO'!$A:$D,3,)</f>
        <v>H</v>
      </c>
      <c r="F2416" s="242">
        <v>8</v>
      </c>
      <c r="G2416" s="242" t="str">
        <f>IF(B2416="SEPLAG",VLOOKUP(CONCATENATE("MEDIANA - ",C2416),COTAÇÃO,5,FALSE),VLOOKUP($C2416,'NAO DESO'!$A:$D,4,))</f>
        <v>20,97</v>
      </c>
      <c r="H2416" s="242">
        <f t="shared" si="190"/>
        <v>167.76</v>
      </c>
      <c r="I2416" s="54" t="str">
        <f>IF(B2416="SEPLAG",VLOOKUP(CONCATENATE("MEDIANA - ",C2416),COTAÇÃO,5,FALSE),VLOOKUP($C2416,DESON!$A:$D,4,))</f>
        <v>18,75</v>
      </c>
      <c r="J2416" s="209">
        <f t="shared" si="191"/>
        <v>150</v>
      </c>
    </row>
    <row r="2417" spans="1:10" ht="15" customHeight="1">
      <c r="A2417" s="208" t="s">
        <v>245</v>
      </c>
      <c r="B2417" s="241"/>
      <c r="C2417" s="1181">
        <v>88316</v>
      </c>
      <c r="D2417" s="161" t="str">
        <f>IF(B2417="SEPLAG",VLOOKUP(COMPOSIÇÕES!C2417,'MAPA COMPARATIVO'!A:B,2,FALSE),VLOOKUP(C2417,'NAO DESO'!A:B,2,0))</f>
        <v>SERVENTE COM ENCARGOS COMPLEMENTARES</v>
      </c>
      <c r="E2417" s="241" t="str">
        <f>VLOOKUP($C2417,'NAO DESO'!$A:$D,3,)</f>
        <v>H</v>
      </c>
      <c r="F2417" s="242">
        <f>F2416</f>
        <v>8</v>
      </c>
      <c r="G2417" s="242" t="str">
        <f>IF(B2417="SEPLAG",VLOOKUP(CONCATENATE("MEDIANA - ",C2417),COTAÇÃO,5,FALSE),VLOOKUP($C2417,'NAO DESO'!$A:$D,4,))</f>
        <v>16,83</v>
      </c>
      <c r="H2417" s="242">
        <f t="shared" si="190"/>
        <v>134.63999999999999</v>
      </c>
      <c r="I2417" s="54" t="str">
        <f>IF(B2417="SEPLAG",VLOOKUP(CONCATENATE("MEDIANA - ",C2417),COTAÇÃO,5,FALSE),VLOOKUP($C2417,DESON!$A:$D,4,))</f>
        <v>15,16</v>
      </c>
      <c r="J2417" s="209">
        <f t="shared" si="191"/>
        <v>121.28</v>
      </c>
    </row>
    <row r="2418" spans="1:10" ht="15" customHeight="1">
      <c r="A2418" s="210" t="str">
        <f>CONCATENATE("TOTAL DO ITEM NÃO DESON. - ",C2401)</f>
        <v>TOTAL DO ITEM NÃO DESON. - SEPLAG  ARQ 156</v>
      </c>
      <c r="B2418" s="424"/>
      <c r="C2418" s="424"/>
      <c r="D2418" s="424"/>
      <c r="E2418" s="424"/>
      <c r="F2418" s="425"/>
      <c r="G2418" s="426"/>
      <c r="H2418" s="1182">
        <f>SUM(H2403:H2417)</f>
        <v>2934.61</v>
      </c>
      <c r="I2418" s="214"/>
      <c r="J2418" s="215"/>
    </row>
    <row r="2419" spans="1:10" ht="15.75" customHeight="1" thickBot="1">
      <c r="A2419" s="216" t="str">
        <f>CONCATENATE("TOTAL DO ITEM DESON. - ",C2401)</f>
        <v>TOTAL DO ITEM DESON. - SEPLAG  ARQ 156</v>
      </c>
      <c r="B2419" s="427"/>
      <c r="C2419" s="427"/>
      <c r="D2419" s="427"/>
      <c r="E2419" s="427"/>
      <c r="F2419" s="428"/>
      <c r="G2419" s="429"/>
      <c r="H2419" s="1187"/>
      <c r="I2419" s="229"/>
      <c r="J2419" s="219">
        <f>SUM(J2403:J2417)</f>
        <v>2903.4900000000002</v>
      </c>
    </row>
    <row r="2420" spans="1:10" ht="15" customHeight="1" thickBot="1">
      <c r="A2420" s="253"/>
      <c r="B2420" s="1145"/>
      <c r="C2420" s="1145"/>
      <c r="D2420" s="1145"/>
      <c r="E2420" s="1145"/>
      <c r="F2420" s="1215"/>
      <c r="G2420" s="1215"/>
      <c r="H2420" s="1216"/>
      <c r="I2420" s="254"/>
      <c r="J2420" s="255"/>
    </row>
    <row r="2421" spans="1:10" ht="25.5" customHeight="1">
      <c r="A2421" s="198"/>
      <c r="B2421" s="1175"/>
      <c r="C2421" s="1176" t="s">
        <v>14641</v>
      </c>
      <c r="D2421" s="156" t="s">
        <v>14642</v>
      </c>
      <c r="E2421" s="1176" t="s">
        <v>32</v>
      </c>
      <c r="F2421" s="1177" t="s">
        <v>18</v>
      </c>
      <c r="G2421" s="1178" t="s">
        <v>7017</v>
      </c>
      <c r="H2421" s="1179"/>
      <c r="I2421" s="200" t="s">
        <v>7016</v>
      </c>
      <c r="J2421" s="201"/>
    </row>
    <row r="2422" spans="1:10" ht="15" customHeight="1">
      <c r="A2422" s="233"/>
      <c r="B2422" s="247"/>
      <c r="C2422" s="1155"/>
      <c r="D2422" s="157"/>
      <c r="E2422" s="1155"/>
      <c r="F2422" s="1180"/>
      <c r="G2422" s="1180" t="s">
        <v>19</v>
      </c>
      <c r="H2422" s="1180" t="s">
        <v>20</v>
      </c>
      <c r="I2422" s="205" t="s">
        <v>19</v>
      </c>
      <c r="J2422" s="206" t="s">
        <v>20</v>
      </c>
    </row>
    <row r="2423" spans="1:10" ht="15" customHeight="1">
      <c r="A2423" s="208" t="s">
        <v>39</v>
      </c>
      <c r="B2423" s="241"/>
      <c r="C2423" s="241">
        <v>34360</v>
      </c>
      <c r="D2423" s="161" t="s">
        <v>14634</v>
      </c>
      <c r="E2423" s="1194" t="s">
        <v>133</v>
      </c>
      <c r="F2423" s="242">
        <v>16.09</v>
      </c>
      <c r="G2423" s="242">
        <f>IF(B2423="SEPLAG",VLOOKUP(CONCATENATE("MEDIANA - ",C2423),COTAÇÃO,5,FALSE),VLOOKUP($C2423,'NAO DESO'!$A:$D,4,))</f>
        <v>47.31</v>
      </c>
      <c r="H2423" s="242">
        <f t="shared" ref="H2423:H2437" si="192">TRUNC(F2423*G2423,2)</f>
        <v>761.21</v>
      </c>
      <c r="I2423" s="54" t="str">
        <f>IF(B2423="SEPLAG",VLOOKUP(CONCATENATE("MEDIANA - ",C2423),COTAÇÃO,5,FALSE),VLOOKUP($C2423,DESON!$A:$D,4,))</f>
        <v>47,31</v>
      </c>
      <c r="J2423" s="209">
        <f t="shared" ref="J2423:J2437" si="193">TRUNC(F2423*I2423,2)</f>
        <v>761.21</v>
      </c>
    </row>
    <row r="2424" spans="1:10" ht="15" customHeight="1">
      <c r="A2424" s="208" t="s">
        <v>39</v>
      </c>
      <c r="B2424" s="241" t="s">
        <v>14504</v>
      </c>
      <c r="C2424" s="1181" t="s">
        <v>14307</v>
      </c>
      <c r="D2424" s="161" t="str">
        <f>IF(B2424="SEPLAG",VLOOKUP(COMPOSIÇÕES!C2424,'MAPA COMPARATIVO'!A:B,2,FALSE),VLOOKUP(C2424,'NAO DESO'!A:B,2,0))</f>
        <v xml:space="preserve">Braço de max-ar linha gold de 600mm </v>
      </c>
      <c r="E2424" s="1194" t="s">
        <v>24</v>
      </c>
      <c r="F2424" s="242">
        <v>4</v>
      </c>
      <c r="G2424" s="242">
        <f>IF(B2424="SEPLAG",VLOOKUP(CONCATENATE("MEDIANA - ",C2424),COTAÇÃO,5,FALSE),VLOOKUP($C2424,'NAO DESO'!$A:$D,4,))</f>
        <v>36.575000000000003</v>
      </c>
      <c r="H2424" s="242">
        <f t="shared" si="192"/>
        <v>146.30000000000001</v>
      </c>
      <c r="I2424" s="54">
        <f>IF(B2424="SEPLAG",VLOOKUP(CONCATENATE("MEDIANA - ",C2424),COTAÇÃO,5,FALSE),VLOOKUP($C2424,DESON!$A:$D,4,))</f>
        <v>36.575000000000003</v>
      </c>
      <c r="J2424" s="209">
        <f t="shared" si="193"/>
        <v>146.30000000000001</v>
      </c>
    </row>
    <row r="2425" spans="1:10" ht="15" customHeight="1">
      <c r="A2425" s="208" t="s">
        <v>39</v>
      </c>
      <c r="B2425" s="241" t="s">
        <v>14504</v>
      </c>
      <c r="C2425" s="1181" t="s">
        <v>14308</v>
      </c>
      <c r="D2425" s="161" t="str">
        <f>IF(B2425="SEPLAG",VLOOKUP(COMPOSIÇÕES!C2425,'MAPA COMPARATIVO'!A:B,2,FALSE),VLOOKUP(C2425,'NAO DESO'!A:B,2,0))</f>
        <v>Fecho max-ar linha gold</v>
      </c>
      <c r="E2425" s="1194" t="s">
        <v>24</v>
      </c>
      <c r="F2425" s="242">
        <v>4</v>
      </c>
      <c r="G2425" s="242">
        <f>IF(B2425="SEPLAG",VLOOKUP(CONCATENATE("MEDIANA - ",C2425),COTAÇÃO,5,FALSE),VLOOKUP($C2425,'NAO DESO'!$A:$D,4,))</f>
        <v>47.36</v>
      </c>
      <c r="H2425" s="242">
        <f t="shared" si="192"/>
        <v>189.44</v>
      </c>
      <c r="I2425" s="54">
        <f>IF(B2425="SEPLAG",VLOOKUP(CONCATENATE("MEDIANA - ",C2425),COTAÇÃO,5,FALSE),VLOOKUP($C2425,DESON!$A:$D,4,))</f>
        <v>47.36</v>
      </c>
      <c r="J2425" s="209">
        <f t="shared" si="193"/>
        <v>189.44</v>
      </c>
    </row>
    <row r="2426" spans="1:10" ht="15" customHeight="1">
      <c r="A2426" s="208" t="s">
        <v>39</v>
      </c>
      <c r="B2426" s="241" t="s">
        <v>14504</v>
      </c>
      <c r="C2426" s="1181" t="s">
        <v>14309</v>
      </c>
      <c r="D2426" s="161" t="str">
        <f>IF(B2426="SEPLAG",VLOOKUP(COMPOSIÇÕES!C2426,'MAPA COMPARATIVO'!A:B,2,FALSE),VLOOKUP(C2426,'NAO DESO'!A:B,2,0))</f>
        <v>Guarnição em EPDM p/ pingadeira</v>
      </c>
      <c r="E2426" s="1194" t="s">
        <v>250</v>
      </c>
      <c r="F2426" s="242">
        <v>3.8</v>
      </c>
      <c r="G2426" s="242">
        <f>IF(B2426="SEPLAG",VLOOKUP(CONCATENATE("MEDIANA - ",C2426),COTAÇÃO,5,FALSE),VLOOKUP($C2426,'NAO DESO'!$A:$D,4,))</f>
        <v>4.3849999999999998</v>
      </c>
      <c r="H2426" s="242">
        <f t="shared" si="192"/>
        <v>16.66</v>
      </c>
      <c r="I2426" s="54">
        <f>IF(B2426="SEPLAG",VLOOKUP(CONCATENATE("MEDIANA - ",C2426),COTAÇÃO,5,FALSE),VLOOKUP($C2426,DESON!$A:$D,4,))</f>
        <v>4.3849999999999998</v>
      </c>
      <c r="J2426" s="209">
        <f t="shared" si="193"/>
        <v>16.66</v>
      </c>
    </row>
    <row r="2427" spans="1:10" ht="15" customHeight="1">
      <c r="A2427" s="208" t="s">
        <v>39</v>
      </c>
      <c r="B2427" s="241" t="s">
        <v>14504</v>
      </c>
      <c r="C2427" s="1181" t="s">
        <v>14310</v>
      </c>
      <c r="D2427" s="161" t="str">
        <f>IF(B2427="SEPLAG",VLOOKUP(COMPOSIÇÕES!C2427,'MAPA COMPARATIVO'!A:B,2,FALSE),VLOOKUP(C2427,'NAO DESO'!A:B,2,0))</f>
        <v>Guarnição em EPDM para vidro</v>
      </c>
      <c r="E2427" s="1194" t="s">
        <v>250</v>
      </c>
      <c r="F2427" s="242">
        <v>12.94</v>
      </c>
      <c r="G2427" s="242">
        <f>IF(B2427="SEPLAG",VLOOKUP(CONCATENATE("MEDIANA - ",C2427),COTAÇÃO,5,FALSE),VLOOKUP($C2427,'NAO DESO'!$A:$D,4,))</f>
        <v>2.4091999999999998</v>
      </c>
      <c r="H2427" s="242">
        <f t="shared" si="192"/>
        <v>31.17</v>
      </c>
      <c r="I2427" s="54">
        <f>IF(B2427="SEPLAG",VLOOKUP(CONCATENATE("MEDIANA - ",C2427),COTAÇÃO,5,FALSE),VLOOKUP($C2427,DESON!$A:$D,4,))</f>
        <v>2.4091999999999998</v>
      </c>
      <c r="J2427" s="209">
        <f t="shared" si="193"/>
        <v>31.17</v>
      </c>
    </row>
    <row r="2428" spans="1:10" ht="15" customHeight="1">
      <c r="A2428" s="208" t="s">
        <v>39</v>
      </c>
      <c r="B2428" s="241" t="s">
        <v>14504</v>
      </c>
      <c r="C2428" s="1181" t="s">
        <v>14311</v>
      </c>
      <c r="D2428" s="161" t="str">
        <f>IF(B2428="SEPLAG",VLOOKUP(COMPOSIÇÕES!C2428,'MAPA COMPARATIVO'!A:B,2,FALSE),VLOOKUP(C2428,'NAO DESO'!A:B,2,0))</f>
        <v>Espuma adesiva 1 face</v>
      </c>
      <c r="E2428" s="1194" t="s">
        <v>250</v>
      </c>
      <c r="F2428" s="242">
        <v>12.94</v>
      </c>
      <c r="G2428" s="242">
        <f>IF(B2428="SEPLAG",VLOOKUP(CONCATENATE("MEDIANA - ",C2428),COTAÇÃO,5,FALSE),VLOOKUP($C2428,'NAO DESO'!$A:$D,4,))</f>
        <v>2.1800000000000002</v>
      </c>
      <c r="H2428" s="242">
        <f t="shared" si="192"/>
        <v>28.2</v>
      </c>
      <c r="I2428" s="54">
        <f>IF(B2428="SEPLAG",VLOOKUP(CONCATENATE("MEDIANA - ",C2428),COTAÇÃO,5,FALSE),VLOOKUP($C2428,DESON!$A:$D,4,))</f>
        <v>2.1800000000000002</v>
      </c>
      <c r="J2428" s="209">
        <f t="shared" si="193"/>
        <v>28.2</v>
      </c>
    </row>
    <row r="2429" spans="1:10" ht="15" customHeight="1">
      <c r="A2429" s="208" t="s">
        <v>39</v>
      </c>
      <c r="B2429" s="241" t="s">
        <v>14504</v>
      </c>
      <c r="C2429" s="1181" t="s">
        <v>14312</v>
      </c>
      <c r="D2429" s="161" t="str">
        <f>IF(B2429="SEPLAG",VLOOKUP(COMPOSIÇÕES!C2429,'MAPA COMPARATIVO'!A:B,2,FALSE),VLOOKUP(C2429,'NAO DESO'!A:B,2,0))</f>
        <v>Guarnição em EPDM p/ marco max-ar</v>
      </c>
      <c r="E2429" s="1194" t="s">
        <v>7388</v>
      </c>
      <c r="F2429" s="242">
        <v>14.8</v>
      </c>
      <c r="G2429" s="242">
        <f>IF(B2429="SEPLAG",VLOOKUP(CONCATENATE("MEDIANA - ",C2429),COTAÇÃO,5,FALSE),VLOOKUP($C2429,'NAO DESO'!$A:$D,4,))</f>
        <v>3.8138999999999998</v>
      </c>
      <c r="H2429" s="242">
        <f t="shared" si="192"/>
        <v>56.44</v>
      </c>
      <c r="I2429" s="54">
        <f>IF(B2429="SEPLAG",VLOOKUP(CONCATENATE("MEDIANA - ",C2429),COTAÇÃO,5,FALSE),VLOOKUP($C2429,DESON!$A:$D,4,))</f>
        <v>3.8138999999999998</v>
      </c>
      <c r="J2429" s="209">
        <f t="shared" si="193"/>
        <v>56.44</v>
      </c>
    </row>
    <row r="2430" spans="1:10" ht="15" customHeight="1">
      <c r="A2430" s="208" t="s">
        <v>39</v>
      </c>
      <c r="B2430" s="241" t="s">
        <v>14504</v>
      </c>
      <c r="C2430" s="1181" t="s">
        <v>14313</v>
      </c>
      <c r="D2430" s="161" t="str">
        <f>IF(B2430="SEPLAG",VLOOKUP(COMPOSIÇÕES!C2430,'MAPA COMPARATIVO'!A:B,2,FALSE),VLOOKUP(C2430,'NAO DESO'!A:B,2,0))</f>
        <v>PRESILHA DE FIXAÇÃO DO ARREMATE MP-347</v>
      </c>
      <c r="E2430" s="1194" t="s">
        <v>24</v>
      </c>
      <c r="F2430" s="242">
        <v>26</v>
      </c>
      <c r="G2430" s="242">
        <f>IF(B2430="SEPLAG",VLOOKUP(CONCATENATE("MEDIANA - ",C2430),COTAÇÃO,5,FALSE),VLOOKUP($C2430,'NAO DESO'!$A:$D,4,))</f>
        <v>0.34</v>
      </c>
      <c r="H2430" s="242">
        <f t="shared" si="192"/>
        <v>8.84</v>
      </c>
      <c r="I2430" s="54">
        <f>IF(B2430="SEPLAG",VLOOKUP(CONCATENATE("MEDIANA - ",C2430),COTAÇÃO,5,FALSE),VLOOKUP($C2430,DESON!$A:$D,4,))</f>
        <v>0.34</v>
      </c>
      <c r="J2430" s="209">
        <f t="shared" si="193"/>
        <v>8.84</v>
      </c>
    </row>
    <row r="2431" spans="1:10" ht="15" customHeight="1">
      <c r="A2431" s="208" t="s">
        <v>39</v>
      </c>
      <c r="B2431" s="241" t="s">
        <v>14504</v>
      </c>
      <c r="C2431" s="1181" t="s">
        <v>14314</v>
      </c>
      <c r="D2431" s="161" t="str">
        <f>IF(B2431="SEPLAG",VLOOKUP(COMPOSIÇÕES!C2431,'MAPA COMPARATIVO'!A:B,2,FALSE),VLOOKUP(C2431,'NAO DESO'!A:B,2,0))</f>
        <v>Parafuso zincado phillips flangeado autobrocante 4,2 x 16mm</v>
      </c>
      <c r="E2431" s="1194" t="s">
        <v>24</v>
      </c>
      <c r="F2431" s="242">
        <v>26</v>
      </c>
      <c r="G2431" s="242">
        <f>IF(B2431="SEPLAG",VLOOKUP(CONCATENATE("MEDIANA - ",C2431),COTAÇÃO,5,FALSE),VLOOKUP($C2431,'NAO DESO'!$A:$D,4,))</f>
        <v>0.28000000000000003</v>
      </c>
      <c r="H2431" s="242">
        <f t="shared" si="192"/>
        <v>7.28</v>
      </c>
      <c r="I2431" s="54">
        <f>IF(B2431="SEPLAG",VLOOKUP(CONCATENATE("MEDIANA - ",C2431),COTAÇÃO,5,FALSE),VLOOKUP($C2431,DESON!$A:$D,4,))</f>
        <v>0.28000000000000003</v>
      </c>
      <c r="J2431" s="209">
        <f t="shared" si="193"/>
        <v>7.28</v>
      </c>
    </row>
    <row r="2432" spans="1:10" ht="15" customHeight="1">
      <c r="A2432" s="208" t="s">
        <v>39</v>
      </c>
      <c r="B2432" s="241" t="s">
        <v>14504</v>
      </c>
      <c r="C2432" s="1181" t="s">
        <v>14315</v>
      </c>
      <c r="D2432" s="161" t="str">
        <f>IF(B2432="SEPLAG",VLOOKUP(COMPOSIÇÕES!C2432,'MAPA COMPARATIVO'!A:B,2,FALSE),VLOOKUP(C2432,'NAO DESO'!A:B,2,0))</f>
        <v>PARAF. PANELA PHILIPS INOX 4,8 X32 PONTA PILOTO</v>
      </c>
      <c r="E2432" s="1194" t="s">
        <v>24</v>
      </c>
      <c r="F2432" s="242">
        <v>12</v>
      </c>
      <c r="G2432" s="242">
        <f>IF(B2432="SEPLAG",VLOOKUP(CONCATENATE("MEDIANA - ",C2432),COTAÇÃO,5,FALSE),VLOOKUP($C2432,'NAO DESO'!$A:$D,4,))</f>
        <v>0.95</v>
      </c>
      <c r="H2432" s="242">
        <f t="shared" si="192"/>
        <v>11.4</v>
      </c>
      <c r="I2432" s="54">
        <f>IF(B2432="SEPLAG",VLOOKUP(CONCATENATE("MEDIANA - ",C2432),COTAÇÃO,5,FALSE),VLOOKUP($C2432,DESON!$A:$D,4,))</f>
        <v>0.95</v>
      </c>
      <c r="J2432" s="209">
        <f t="shared" si="193"/>
        <v>11.4</v>
      </c>
    </row>
    <row r="2433" spans="1:10" ht="15" customHeight="1">
      <c r="A2433" s="208" t="s">
        <v>39</v>
      </c>
      <c r="B2433" s="241" t="s">
        <v>14504</v>
      </c>
      <c r="C2433" s="1181" t="s">
        <v>14316</v>
      </c>
      <c r="D2433" s="161" t="str">
        <f>IF(B2433="SEPLAG",VLOOKUP(COMPOSIÇÕES!C2433,'MAPA COMPARATIVO'!A:B,2,FALSE),VLOOKUP(C2433,'NAO DESO'!A:B,2,0))</f>
        <v>CHUMBADOR DE CM-063/060</v>
      </c>
      <c r="E2433" s="1194" t="s">
        <v>24</v>
      </c>
      <c r="F2433" s="242">
        <v>26</v>
      </c>
      <c r="G2433" s="242">
        <f>IF(B2433="SEPLAG",VLOOKUP(CONCATENATE("MEDIANA - ",C2433),COTAÇÃO,5,FALSE),VLOOKUP($C2433,'NAO DESO'!$A:$D,4,))</f>
        <v>0.86</v>
      </c>
      <c r="H2433" s="242">
        <f t="shared" si="192"/>
        <v>22.36</v>
      </c>
      <c r="I2433" s="54">
        <f>IF(B2433="SEPLAG",VLOOKUP(CONCATENATE("MEDIANA - ",C2433),COTAÇÃO,5,FALSE),VLOOKUP($C2433,DESON!$A:$D,4,))</f>
        <v>0.86</v>
      </c>
      <c r="J2433" s="209">
        <f t="shared" si="193"/>
        <v>22.36</v>
      </c>
    </row>
    <row r="2434" spans="1:10" ht="15" customHeight="1">
      <c r="A2434" s="208" t="s">
        <v>39</v>
      </c>
      <c r="B2434" s="241" t="s">
        <v>14504</v>
      </c>
      <c r="C2434" s="1181" t="s">
        <v>14317</v>
      </c>
      <c r="D2434" s="161" t="str">
        <f>IF(B2434="SEPLAG",VLOOKUP(COMPOSIÇÕES!C2434,'MAPA COMPARATIVO'!A:B,2,FALSE),VLOOKUP(C2434,'NAO DESO'!A:B,2,0))</f>
        <v>Silicone neutro incolor 280 g</v>
      </c>
      <c r="E2434" s="1194" t="s">
        <v>24</v>
      </c>
      <c r="F2434" s="242">
        <v>3</v>
      </c>
      <c r="G2434" s="242">
        <f>IF(B2434="SEPLAG",VLOOKUP(CONCATENATE("MEDIANA - ",C2434),COTAÇÃO,5,FALSE),VLOOKUP($C2434,'NAO DESO'!$A:$D,4,))</f>
        <v>43.9</v>
      </c>
      <c r="H2434" s="242">
        <f t="shared" si="192"/>
        <v>131.69999999999999</v>
      </c>
      <c r="I2434" s="54">
        <f>IF(B2434="SEPLAG",VLOOKUP(CONCATENATE("MEDIANA - ",C2434),COTAÇÃO,5,FALSE),VLOOKUP($C2434,DESON!$A:$D,4,))</f>
        <v>43.9</v>
      </c>
      <c r="J2434" s="209">
        <f t="shared" si="193"/>
        <v>131.69999999999999</v>
      </c>
    </row>
    <row r="2435" spans="1:10" ht="15" customHeight="1">
      <c r="A2435" s="208" t="s">
        <v>245</v>
      </c>
      <c r="B2435" s="241"/>
      <c r="C2435" s="1181">
        <v>10505</v>
      </c>
      <c r="D2435" s="161" t="str">
        <f>IF(B2435="SEPLAG",VLOOKUP(COMPOSIÇÕES!C2435,'MAPA COMPARATIVO'!A:B,2,FALSE),VLOOKUP(C2435,'NAO DESO'!A:B,2,0))</f>
        <v>VIDRO TEMPERADO INCOLOR E = 6 MM, SEM COLOCACAO</v>
      </c>
      <c r="E2435" s="241" t="str">
        <f>VLOOKUP($C2435,'NAO DESO'!$A:$D,3,)</f>
        <v xml:space="preserve">M2    </v>
      </c>
      <c r="F2435" s="242">
        <v>5.13</v>
      </c>
      <c r="G2435" s="242">
        <f>IF(B2435="SEPLAG",VLOOKUP(CONCATENATE("MEDIANA - ",C2435),COTAÇÃO,5,FALSE),VLOOKUP($C2435,'NAO DESO'!$A:$D,4,))</f>
        <v>272.77</v>
      </c>
      <c r="H2435" s="242">
        <f t="shared" si="192"/>
        <v>1399.31</v>
      </c>
      <c r="I2435" s="54" t="str">
        <f>IF(B2435="SEPLAG",VLOOKUP(CONCATENATE("MEDIANA - ",C2435),COTAÇÃO,5,FALSE),VLOOKUP($C2435,DESON!$A:$D,4,))</f>
        <v>272,77</v>
      </c>
      <c r="J2435" s="209">
        <f t="shared" si="193"/>
        <v>1399.31</v>
      </c>
    </row>
    <row r="2436" spans="1:10" ht="15" customHeight="1">
      <c r="A2436" s="208" t="s">
        <v>245</v>
      </c>
      <c r="B2436" s="241"/>
      <c r="C2436" s="1181">
        <v>88315</v>
      </c>
      <c r="D2436" s="161" t="str">
        <f>IF(B2436="SEPLAG",VLOOKUP(COMPOSIÇÕES!C2436,'MAPA COMPARATIVO'!A:B,2,FALSE),VLOOKUP(C2436,'NAO DESO'!A:B,2,0))</f>
        <v>SERRALHEIRO COM ENCARGOS COMPLEMENTARES</v>
      </c>
      <c r="E2436" s="241" t="str">
        <f>VLOOKUP($C2436,'NAO DESO'!$A:$D,3,)</f>
        <v>H</v>
      </c>
      <c r="F2436" s="242">
        <v>9</v>
      </c>
      <c r="G2436" s="242" t="str">
        <f>IF(B2436="SEPLAG",VLOOKUP(CONCATENATE("MEDIANA - ",C2436),COTAÇÃO,5,FALSE),VLOOKUP($C2436,'NAO DESO'!$A:$D,4,))</f>
        <v>20,97</v>
      </c>
      <c r="H2436" s="242">
        <f t="shared" si="192"/>
        <v>188.73</v>
      </c>
      <c r="I2436" s="54" t="str">
        <f>IF(B2436="SEPLAG",VLOOKUP(CONCATENATE("MEDIANA - ",C2436),COTAÇÃO,5,FALSE),VLOOKUP($C2436,DESON!$A:$D,4,))</f>
        <v>18,75</v>
      </c>
      <c r="J2436" s="209">
        <f t="shared" si="193"/>
        <v>168.75</v>
      </c>
    </row>
    <row r="2437" spans="1:10" ht="15" customHeight="1">
      <c r="A2437" s="208" t="s">
        <v>245</v>
      </c>
      <c r="B2437" s="241"/>
      <c r="C2437" s="1181">
        <v>88316</v>
      </c>
      <c r="D2437" s="161" t="str">
        <f>IF(B2437="SEPLAG",VLOOKUP(COMPOSIÇÕES!C2437,'MAPA COMPARATIVO'!A:B,2,FALSE),VLOOKUP(C2437,'NAO DESO'!A:B,2,0))</f>
        <v>SERVENTE COM ENCARGOS COMPLEMENTARES</v>
      </c>
      <c r="E2437" s="241" t="str">
        <f>VLOOKUP($C2437,'NAO DESO'!$A:$D,3,)</f>
        <v>H</v>
      </c>
      <c r="F2437" s="242">
        <f>F2436</f>
        <v>9</v>
      </c>
      <c r="G2437" s="242" t="str">
        <f>IF(B2437="SEPLAG",VLOOKUP(CONCATENATE("MEDIANA - ",C2437),COTAÇÃO,5,FALSE),VLOOKUP($C2437,'NAO DESO'!$A:$D,4,))</f>
        <v>16,83</v>
      </c>
      <c r="H2437" s="242">
        <f t="shared" si="192"/>
        <v>151.47</v>
      </c>
      <c r="I2437" s="54" t="str">
        <f>IF(B2437="SEPLAG",VLOOKUP(CONCATENATE("MEDIANA - ",C2437),COTAÇÃO,5,FALSE),VLOOKUP($C2437,DESON!$A:$D,4,))</f>
        <v>15,16</v>
      </c>
      <c r="J2437" s="209">
        <f t="shared" si="193"/>
        <v>136.44</v>
      </c>
    </row>
    <row r="2438" spans="1:10" ht="15" customHeight="1">
      <c r="A2438" s="210" t="str">
        <f>CONCATENATE("TOTAL DO ITEM NÃO DESON. - ",C2421)</f>
        <v>TOTAL DO ITEM NÃO DESON. - SEPLAG  ARQ 157</v>
      </c>
      <c r="B2438" s="424"/>
      <c r="C2438" s="424"/>
      <c r="D2438" s="424"/>
      <c r="E2438" s="424"/>
      <c r="F2438" s="425"/>
      <c r="G2438" s="426"/>
      <c r="H2438" s="1182">
        <f>SUM(H2423:H2437)</f>
        <v>3150.51</v>
      </c>
      <c r="I2438" s="214"/>
      <c r="J2438" s="215"/>
    </row>
    <row r="2439" spans="1:10" ht="15.75" customHeight="1" thickBot="1">
      <c r="A2439" s="216" t="str">
        <f>CONCATENATE("TOTAL DO ITEM DESON. - ",C2421)</f>
        <v>TOTAL DO ITEM DESON. - SEPLAG  ARQ 157</v>
      </c>
      <c r="B2439" s="427"/>
      <c r="C2439" s="427"/>
      <c r="D2439" s="427"/>
      <c r="E2439" s="427"/>
      <c r="F2439" s="428"/>
      <c r="G2439" s="429"/>
      <c r="H2439" s="1187"/>
      <c r="I2439" s="229"/>
      <c r="J2439" s="219">
        <f>SUM(J2423:J2437)</f>
        <v>3115.5000000000005</v>
      </c>
    </row>
    <row r="2440" spans="1:10" ht="15" customHeight="1" thickBot="1">
      <c r="A2440" s="253"/>
      <c r="B2440" s="1145"/>
      <c r="C2440" s="1145"/>
      <c r="D2440" s="1145"/>
      <c r="E2440" s="1145"/>
      <c r="F2440" s="1215"/>
      <c r="G2440" s="1215"/>
      <c r="H2440" s="1216"/>
      <c r="I2440" s="254"/>
      <c r="J2440" s="255"/>
    </row>
    <row r="2441" spans="1:10" ht="25.5" customHeight="1">
      <c r="A2441" s="198"/>
      <c r="B2441" s="1175"/>
      <c r="C2441" s="1176" t="s">
        <v>14643</v>
      </c>
      <c r="D2441" s="156" t="s">
        <v>14644</v>
      </c>
      <c r="E2441" s="1176" t="s">
        <v>32</v>
      </c>
      <c r="F2441" s="1177" t="s">
        <v>18</v>
      </c>
      <c r="G2441" s="1178" t="s">
        <v>7017</v>
      </c>
      <c r="H2441" s="1179"/>
      <c r="I2441" s="200" t="s">
        <v>7016</v>
      </c>
      <c r="J2441" s="201"/>
    </row>
    <row r="2442" spans="1:10" ht="15" customHeight="1">
      <c r="A2442" s="233"/>
      <c r="B2442" s="247"/>
      <c r="C2442" s="1155"/>
      <c r="D2442" s="157"/>
      <c r="E2442" s="1155"/>
      <c r="F2442" s="1180"/>
      <c r="G2442" s="1180" t="s">
        <v>19</v>
      </c>
      <c r="H2442" s="1180" t="s">
        <v>20</v>
      </c>
      <c r="I2442" s="205" t="s">
        <v>19</v>
      </c>
      <c r="J2442" s="206" t="s">
        <v>20</v>
      </c>
    </row>
    <row r="2443" spans="1:10" ht="15" customHeight="1">
      <c r="A2443" s="208" t="s">
        <v>39</v>
      </c>
      <c r="B2443" s="241"/>
      <c r="C2443" s="241">
        <v>34360</v>
      </c>
      <c r="D2443" s="161" t="s">
        <v>14634</v>
      </c>
      <c r="E2443" s="1194" t="s">
        <v>133</v>
      </c>
      <c r="F2443" s="242">
        <v>8.73</v>
      </c>
      <c r="G2443" s="242">
        <f>IF(B2443="SEPLAG",VLOOKUP(CONCATENATE("MEDIANA - ",C2443),COTAÇÃO,5,FALSE),VLOOKUP($C2443,'NAO DESO'!$A:$D,4,))</f>
        <v>47.31</v>
      </c>
      <c r="H2443" s="242">
        <f t="shared" ref="H2443:H2457" si="194">TRUNC(F2443*G2443,2)</f>
        <v>413.01</v>
      </c>
      <c r="I2443" s="54" t="str">
        <f>IF(B2443="SEPLAG",VLOOKUP(CONCATENATE("MEDIANA - ",C2443),COTAÇÃO,5,FALSE),VLOOKUP($C2443,DESON!$A:$D,4,))</f>
        <v>47,31</v>
      </c>
      <c r="J2443" s="209">
        <f t="shared" ref="J2443:J2457" si="195">TRUNC(F2443*I2443,2)</f>
        <v>413.01</v>
      </c>
    </row>
    <row r="2444" spans="1:10" ht="15" customHeight="1">
      <c r="A2444" s="208" t="s">
        <v>39</v>
      </c>
      <c r="B2444" s="241" t="s">
        <v>14504</v>
      </c>
      <c r="C2444" s="1181" t="s">
        <v>14307</v>
      </c>
      <c r="D2444" s="161" t="str">
        <f>IF(B2444="SEPLAG",VLOOKUP(COMPOSIÇÕES!C2444,'MAPA COMPARATIVO'!A:B,2,FALSE),VLOOKUP(C2444,'NAO DESO'!A:B,2,0))</f>
        <v xml:space="preserve">Braço de max-ar linha gold de 600mm </v>
      </c>
      <c r="E2444" s="1194" t="s">
        <v>24</v>
      </c>
      <c r="F2444" s="242">
        <v>2</v>
      </c>
      <c r="G2444" s="242">
        <f>IF(B2444="SEPLAG",VLOOKUP(CONCATENATE("MEDIANA - ",C2444),COTAÇÃO,5,FALSE),VLOOKUP($C2444,'NAO DESO'!$A:$D,4,))</f>
        <v>36.575000000000003</v>
      </c>
      <c r="H2444" s="242">
        <f t="shared" si="194"/>
        <v>73.150000000000006</v>
      </c>
      <c r="I2444" s="54">
        <f>IF(B2444="SEPLAG",VLOOKUP(CONCATENATE("MEDIANA - ",C2444),COTAÇÃO,5,FALSE),VLOOKUP($C2444,DESON!$A:$D,4,))</f>
        <v>36.575000000000003</v>
      </c>
      <c r="J2444" s="209">
        <f t="shared" si="195"/>
        <v>73.150000000000006</v>
      </c>
    </row>
    <row r="2445" spans="1:10" ht="15" customHeight="1">
      <c r="A2445" s="208" t="s">
        <v>39</v>
      </c>
      <c r="B2445" s="241" t="s">
        <v>14504</v>
      </c>
      <c r="C2445" s="1181" t="s">
        <v>14308</v>
      </c>
      <c r="D2445" s="161" t="str">
        <f>IF(B2445="SEPLAG",VLOOKUP(COMPOSIÇÕES!C2445,'MAPA COMPARATIVO'!A:B,2,FALSE),VLOOKUP(C2445,'NAO DESO'!A:B,2,0))</f>
        <v>Fecho max-ar linha gold</v>
      </c>
      <c r="E2445" s="1194" t="s">
        <v>24</v>
      </c>
      <c r="F2445" s="242">
        <v>2</v>
      </c>
      <c r="G2445" s="242">
        <f>IF(B2445="SEPLAG",VLOOKUP(CONCATENATE("MEDIANA - ",C2445),COTAÇÃO,5,FALSE),VLOOKUP($C2445,'NAO DESO'!$A:$D,4,))</f>
        <v>47.36</v>
      </c>
      <c r="H2445" s="242">
        <f t="shared" si="194"/>
        <v>94.72</v>
      </c>
      <c r="I2445" s="54">
        <f>IF(B2445="SEPLAG",VLOOKUP(CONCATENATE("MEDIANA - ",C2445),COTAÇÃO,5,FALSE),VLOOKUP($C2445,DESON!$A:$D,4,))</f>
        <v>47.36</v>
      </c>
      <c r="J2445" s="209">
        <f t="shared" si="195"/>
        <v>94.72</v>
      </c>
    </row>
    <row r="2446" spans="1:10" ht="15" customHeight="1">
      <c r="A2446" s="208" t="s">
        <v>39</v>
      </c>
      <c r="B2446" s="241" t="s">
        <v>14504</v>
      </c>
      <c r="C2446" s="1181" t="s">
        <v>14309</v>
      </c>
      <c r="D2446" s="161" t="str">
        <f>IF(B2446="SEPLAG",VLOOKUP(COMPOSIÇÕES!C2446,'MAPA COMPARATIVO'!A:B,2,FALSE),VLOOKUP(C2446,'NAO DESO'!A:B,2,0))</f>
        <v>Guarnição em EPDM p/ pingadeira</v>
      </c>
      <c r="E2446" s="1194" t="s">
        <v>250</v>
      </c>
      <c r="F2446" s="242">
        <v>1.97</v>
      </c>
      <c r="G2446" s="242">
        <f>IF(B2446="SEPLAG",VLOOKUP(CONCATENATE("MEDIANA - ",C2446),COTAÇÃO,5,FALSE),VLOOKUP($C2446,'NAO DESO'!$A:$D,4,))</f>
        <v>4.3849999999999998</v>
      </c>
      <c r="H2446" s="242">
        <f t="shared" si="194"/>
        <v>8.6300000000000008</v>
      </c>
      <c r="I2446" s="54">
        <f>IF(B2446="SEPLAG",VLOOKUP(CONCATENATE("MEDIANA - ",C2446),COTAÇÃO,5,FALSE),VLOOKUP($C2446,DESON!$A:$D,4,))</f>
        <v>4.3849999999999998</v>
      </c>
      <c r="J2446" s="209">
        <f t="shared" si="195"/>
        <v>8.6300000000000008</v>
      </c>
    </row>
    <row r="2447" spans="1:10" ht="15" customHeight="1">
      <c r="A2447" s="208" t="s">
        <v>39</v>
      </c>
      <c r="B2447" s="241" t="s">
        <v>14504</v>
      </c>
      <c r="C2447" s="1181" t="s">
        <v>14310</v>
      </c>
      <c r="D2447" s="161" t="str">
        <f>IF(B2447="SEPLAG",VLOOKUP(COMPOSIÇÕES!C2447,'MAPA COMPARATIVO'!A:B,2,FALSE),VLOOKUP(C2447,'NAO DESO'!A:B,2,0))</f>
        <v>Guarnição em EPDM para vidro</v>
      </c>
      <c r="E2447" s="1194" t="s">
        <v>250</v>
      </c>
      <c r="F2447" s="242">
        <v>6.57</v>
      </c>
      <c r="G2447" s="242">
        <f>IF(B2447="SEPLAG",VLOOKUP(CONCATENATE("MEDIANA - ",C2447),COTAÇÃO,5,FALSE),VLOOKUP($C2447,'NAO DESO'!$A:$D,4,))</f>
        <v>2.4091999999999998</v>
      </c>
      <c r="H2447" s="242">
        <f t="shared" si="194"/>
        <v>15.82</v>
      </c>
      <c r="I2447" s="54">
        <f>IF(B2447="SEPLAG",VLOOKUP(CONCATENATE("MEDIANA - ",C2447),COTAÇÃO,5,FALSE),VLOOKUP($C2447,DESON!$A:$D,4,))</f>
        <v>2.4091999999999998</v>
      </c>
      <c r="J2447" s="209">
        <f t="shared" si="195"/>
        <v>15.82</v>
      </c>
    </row>
    <row r="2448" spans="1:10" ht="15" customHeight="1">
      <c r="A2448" s="208" t="s">
        <v>39</v>
      </c>
      <c r="B2448" s="241" t="s">
        <v>14504</v>
      </c>
      <c r="C2448" s="1181" t="s">
        <v>14311</v>
      </c>
      <c r="D2448" s="161" t="str">
        <f>IF(B2448="SEPLAG",VLOOKUP(COMPOSIÇÕES!C2448,'MAPA COMPARATIVO'!A:B,2,FALSE),VLOOKUP(C2448,'NAO DESO'!A:B,2,0))</f>
        <v>Espuma adesiva 1 face</v>
      </c>
      <c r="E2448" s="1194" t="s">
        <v>250</v>
      </c>
      <c r="F2448" s="242">
        <v>6.57</v>
      </c>
      <c r="G2448" s="242">
        <f>IF(B2448="SEPLAG",VLOOKUP(CONCATENATE("MEDIANA - ",C2448),COTAÇÃO,5,FALSE),VLOOKUP($C2448,'NAO DESO'!$A:$D,4,))</f>
        <v>2.1800000000000002</v>
      </c>
      <c r="H2448" s="242">
        <f t="shared" si="194"/>
        <v>14.32</v>
      </c>
      <c r="I2448" s="54">
        <f>IF(B2448="SEPLAG",VLOOKUP(CONCATENATE("MEDIANA - ",C2448),COTAÇÃO,5,FALSE),VLOOKUP($C2448,DESON!$A:$D,4,))</f>
        <v>2.1800000000000002</v>
      </c>
      <c r="J2448" s="209">
        <f t="shared" si="195"/>
        <v>14.32</v>
      </c>
    </row>
    <row r="2449" spans="1:10" ht="15" customHeight="1">
      <c r="A2449" s="208" t="s">
        <v>39</v>
      </c>
      <c r="B2449" s="241" t="s">
        <v>14504</v>
      </c>
      <c r="C2449" s="1181" t="s">
        <v>14312</v>
      </c>
      <c r="D2449" s="161" t="str">
        <f>IF(B2449="SEPLAG",VLOOKUP(COMPOSIÇÕES!C2449,'MAPA COMPARATIVO'!A:B,2,FALSE),VLOOKUP(C2449,'NAO DESO'!A:B,2,0))</f>
        <v>Guarnição em EPDM p/ marco max-ar</v>
      </c>
      <c r="E2449" s="1194" t="s">
        <v>7388</v>
      </c>
      <c r="F2449" s="242">
        <v>7.54</v>
      </c>
      <c r="G2449" s="242">
        <f>IF(B2449="SEPLAG",VLOOKUP(CONCATENATE("MEDIANA - ",C2449),COTAÇÃO,5,FALSE),VLOOKUP($C2449,'NAO DESO'!$A:$D,4,))</f>
        <v>3.8138999999999998</v>
      </c>
      <c r="H2449" s="242">
        <f t="shared" si="194"/>
        <v>28.75</v>
      </c>
      <c r="I2449" s="54">
        <f>IF(B2449="SEPLAG",VLOOKUP(CONCATENATE("MEDIANA - ",C2449),COTAÇÃO,5,FALSE),VLOOKUP($C2449,DESON!$A:$D,4,))</f>
        <v>3.8138999999999998</v>
      </c>
      <c r="J2449" s="209">
        <f t="shared" si="195"/>
        <v>28.75</v>
      </c>
    </row>
    <row r="2450" spans="1:10" ht="15" customHeight="1">
      <c r="A2450" s="208" t="s">
        <v>39</v>
      </c>
      <c r="B2450" s="241" t="s">
        <v>14504</v>
      </c>
      <c r="C2450" s="1181" t="s">
        <v>14313</v>
      </c>
      <c r="D2450" s="161" t="str">
        <f>IF(B2450="SEPLAG",VLOOKUP(COMPOSIÇÕES!C2450,'MAPA COMPARATIVO'!A:B,2,FALSE),VLOOKUP(C2450,'NAO DESO'!A:B,2,0))</f>
        <v>PRESILHA DE FIXAÇÃO DO ARREMATE MP-347</v>
      </c>
      <c r="E2450" s="1194" t="s">
        <v>24</v>
      </c>
      <c r="F2450" s="242">
        <v>16</v>
      </c>
      <c r="G2450" s="242">
        <f>IF(B2450="SEPLAG",VLOOKUP(CONCATENATE("MEDIANA - ",C2450),COTAÇÃO,5,FALSE),VLOOKUP($C2450,'NAO DESO'!$A:$D,4,))</f>
        <v>0.34</v>
      </c>
      <c r="H2450" s="242">
        <f t="shared" si="194"/>
        <v>5.44</v>
      </c>
      <c r="I2450" s="54">
        <f>IF(B2450="SEPLAG",VLOOKUP(CONCATENATE("MEDIANA - ",C2450),COTAÇÃO,5,FALSE),VLOOKUP($C2450,DESON!$A:$D,4,))</f>
        <v>0.34</v>
      </c>
      <c r="J2450" s="209">
        <f t="shared" si="195"/>
        <v>5.44</v>
      </c>
    </row>
    <row r="2451" spans="1:10" ht="15" customHeight="1">
      <c r="A2451" s="208" t="s">
        <v>39</v>
      </c>
      <c r="B2451" s="241" t="s">
        <v>14504</v>
      </c>
      <c r="C2451" s="1181" t="s">
        <v>14314</v>
      </c>
      <c r="D2451" s="161" t="str">
        <f>IF(B2451="SEPLAG",VLOOKUP(COMPOSIÇÕES!C2451,'MAPA COMPARATIVO'!A:B,2,FALSE),VLOOKUP(C2451,'NAO DESO'!A:B,2,0))</f>
        <v>Parafuso zincado phillips flangeado autobrocante 4,2 x 16mm</v>
      </c>
      <c r="E2451" s="1194" t="s">
        <v>24</v>
      </c>
      <c r="F2451" s="242">
        <v>16</v>
      </c>
      <c r="G2451" s="242">
        <f>IF(B2451="SEPLAG",VLOOKUP(CONCATENATE("MEDIANA - ",C2451),COTAÇÃO,5,FALSE),VLOOKUP($C2451,'NAO DESO'!$A:$D,4,))</f>
        <v>0.28000000000000003</v>
      </c>
      <c r="H2451" s="242">
        <f t="shared" si="194"/>
        <v>4.4800000000000004</v>
      </c>
      <c r="I2451" s="54">
        <f>IF(B2451="SEPLAG",VLOOKUP(CONCATENATE("MEDIANA - ",C2451),COTAÇÃO,5,FALSE),VLOOKUP($C2451,DESON!$A:$D,4,))</f>
        <v>0.28000000000000003</v>
      </c>
      <c r="J2451" s="209">
        <f t="shared" si="195"/>
        <v>4.4800000000000004</v>
      </c>
    </row>
    <row r="2452" spans="1:10" ht="15" customHeight="1">
      <c r="A2452" s="208" t="s">
        <v>39</v>
      </c>
      <c r="B2452" s="241" t="s">
        <v>14504</v>
      </c>
      <c r="C2452" s="1181" t="s">
        <v>14315</v>
      </c>
      <c r="D2452" s="161" t="str">
        <f>IF(B2452="SEPLAG",VLOOKUP(COMPOSIÇÕES!C2452,'MAPA COMPARATIVO'!A:B,2,FALSE),VLOOKUP(C2452,'NAO DESO'!A:B,2,0))</f>
        <v>PARAF. PANELA PHILIPS INOX 4,8 X32 PONTA PILOTO</v>
      </c>
      <c r="E2452" s="1194" t="s">
        <v>24</v>
      </c>
      <c r="F2452" s="242">
        <v>4</v>
      </c>
      <c r="G2452" s="242">
        <f>IF(B2452="SEPLAG",VLOOKUP(CONCATENATE("MEDIANA - ",C2452),COTAÇÃO,5,FALSE),VLOOKUP($C2452,'NAO DESO'!$A:$D,4,))</f>
        <v>0.95</v>
      </c>
      <c r="H2452" s="242">
        <f t="shared" si="194"/>
        <v>3.8</v>
      </c>
      <c r="I2452" s="54">
        <f>IF(B2452="SEPLAG",VLOOKUP(CONCATENATE("MEDIANA - ",C2452),COTAÇÃO,5,FALSE),VLOOKUP($C2452,DESON!$A:$D,4,))</f>
        <v>0.95</v>
      </c>
      <c r="J2452" s="209">
        <f t="shared" si="195"/>
        <v>3.8</v>
      </c>
    </row>
    <row r="2453" spans="1:10" ht="15" customHeight="1">
      <c r="A2453" s="208" t="s">
        <v>39</v>
      </c>
      <c r="B2453" s="241" t="s">
        <v>14504</v>
      </c>
      <c r="C2453" s="1181" t="s">
        <v>14316</v>
      </c>
      <c r="D2453" s="161" t="str">
        <f>IF(B2453="SEPLAG",VLOOKUP(COMPOSIÇÕES!C2453,'MAPA COMPARATIVO'!A:B,2,FALSE),VLOOKUP(C2453,'NAO DESO'!A:B,2,0))</f>
        <v>CHUMBADOR DE CM-063/060</v>
      </c>
      <c r="E2453" s="1194" t="s">
        <v>24</v>
      </c>
      <c r="F2453" s="242">
        <v>16</v>
      </c>
      <c r="G2453" s="242">
        <f>IF(B2453="SEPLAG",VLOOKUP(CONCATENATE("MEDIANA - ",C2453),COTAÇÃO,5,FALSE),VLOOKUP($C2453,'NAO DESO'!$A:$D,4,))</f>
        <v>0.86</v>
      </c>
      <c r="H2453" s="242">
        <f t="shared" si="194"/>
        <v>13.76</v>
      </c>
      <c r="I2453" s="54">
        <f>IF(B2453="SEPLAG",VLOOKUP(CONCATENATE("MEDIANA - ",C2453),COTAÇÃO,5,FALSE),VLOOKUP($C2453,DESON!$A:$D,4,))</f>
        <v>0.86</v>
      </c>
      <c r="J2453" s="209">
        <f t="shared" si="195"/>
        <v>13.76</v>
      </c>
    </row>
    <row r="2454" spans="1:10" ht="15" customHeight="1">
      <c r="A2454" s="208" t="s">
        <v>39</v>
      </c>
      <c r="B2454" s="241" t="s">
        <v>14504</v>
      </c>
      <c r="C2454" s="1181" t="s">
        <v>14317</v>
      </c>
      <c r="D2454" s="161" t="str">
        <f>IF(B2454="SEPLAG",VLOOKUP(COMPOSIÇÕES!C2454,'MAPA COMPARATIVO'!A:B,2,FALSE),VLOOKUP(C2454,'NAO DESO'!A:B,2,0))</f>
        <v>Silicone neutro incolor 280 g</v>
      </c>
      <c r="E2454" s="1194" t="s">
        <v>24</v>
      </c>
      <c r="F2454" s="242">
        <v>2</v>
      </c>
      <c r="G2454" s="242">
        <f>IF(B2454="SEPLAG",VLOOKUP(CONCATENATE("MEDIANA - ",C2454),COTAÇÃO,5,FALSE),VLOOKUP($C2454,'NAO DESO'!$A:$D,4,))</f>
        <v>43.9</v>
      </c>
      <c r="H2454" s="242">
        <f t="shared" si="194"/>
        <v>87.8</v>
      </c>
      <c r="I2454" s="54">
        <f>IF(B2454="SEPLAG",VLOOKUP(CONCATENATE("MEDIANA - ",C2454),COTAÇÃO,5,FALSE),VLOOKUP($C2454,DESON!$A:$D,4,))</f>
        <v>43.9</v>
      </c>
      <c r="J2454" s="209">
        <f t="shared" si="195"/>
        <v>87.8</v>
      </c>
    </row>
    <row r="2455" spans="1:10" ht="15" customHeight="1">
      <c r="A2455" s="208" t="s">
        <v>245</v>
      </c>
      <c r="B2455" s="241"/>
      <c r="C2455" s="1181">
        <v>10505</v>
      </c>
      <c r="D2455" s="161" t="str">
        <f>IF(B2455="SEPLAG",VLOOKUP(COMPOSIÇÕES!C2455,'MAPA COMPARATIVO'!A:B,2,FALSE),VLOOKUP(C2455,'NAO DESO'!A:B,2,0))</f>
        <v>VIDRO TEMPERADO INCOLOR E = 6 MM, SEM COLOCACAO</v>
      </c>
      <c r="E2455" s="241" t="str">
        <f>VLOOKUP($C2455,'NAO DESO'!$A:$D,3,)</f>
        <v xml:space="preserve">M2    </v>
      </c>
      <c r="F2455" s="242">
        <v>1.83</v>
      </c>
      <c r="G2455" s="242">
        <f>IF(B2455="SEPLAG",VLOOKUP(CONCATENATE("MEDIANA - ",C2455),COTAÇÃO,5,FALSE),VLOOKUP($C2455,'NAO DESO'!$A:$D,4,))</f>
        <v>272.77</v>
      </c>
      <c r="H2455" s="242">
        <f t="shared" si="194"/>
        <v>499.16</v>
      </c>
      <c r="I2455" s="54" t="str">
        <f>IF(B2455="SEPLAG",VLOOKUP(CONCATENATE("MEDIANA - ",C2455),COTAÇÃO,5,FALSE),VLOOKUP($C2455,DESON!$A:$D,4,))</f>
        <v>272,77</v>
      </c>
      <c r="J2455" s="209">
        <f t="shared" si="195"/>
        <v>499.16</v>
      </c>
    </row>
    <row r="2456" spans="1:10" ht="15" customHeight="1">
      <c r="A2456" s="208" t="s">
        <v>245</v>
      </c>
      <c r="B2456" s="241"/>
      <c r="C2456" s="1181">
        <v>88315</v>
      </c>
      <c r="D2456" s="161" t="str">
        <f>IF(B2456="SEPLAG",VLOOKUP(COMPOSIÇÕES!C2456,'MAPA COMPARATIVO'!A:B,2,FALSE),VLOOKUP(C2456,'NAO DESO'!A:B,2,0))</f>
        <v>SERRALHEIRO COM ENCARGOS COMPLEMENTARES</v>
      </c>
      <c r="E2456" s="241" t="str">
        <f>VLOOKUP($C2456,'NAO DESO'!$A:$D,3,)</f>
        <v>H</v>
      </c>
      <c r="F2456" s="242">
        <v>4</v>
      </c>
      <c r="G2456" s="242" t="str">
        <f>IF(B2456="SEPLAG",VLOOKUP(CONCATENATE("MEDIANA - ",C2456),COTAÇÃO,5,FALSE),VLOOKUP($C2456,'NAO DESO'!$A:$D,4,))</f>
        <v>20,97</v>
      </c>
      <c r="H2456" s="242">
        <f t="shared" si="194"/>
        <v>83.88</v>
      </c>
      <c r="I2456" s="54" t="str">
        <f>IF(B2456="SEPLAG",VLOOKUP(CONCATENATE("MEDIANA - ",C2456),COTAÇÃO,5,FALSE),VLOOKUP($C2456,DESON!$A:$D,4,))</f>
        <v>18,75</v>
      </c>
      <c r="J2456" s="209">
        <f t="shared" si="195"/>
        <v>75</v>
      </c>
    </row>
    <row r="2457" spans="1:10" ht="15" customHeight="1">
      <c r="A2457" s="208" t="s">
        <v>245</v>
      </c>
      <c r="B2457" s="241"/>
      <c r="C2457" s="1181">
        <v>88316</v>
      </c>
      <c r="D2457" s="161" t="str">
        <f>IF(B2457="SEPLAG",VLOOKUP(COMPOSIÇÕES!C2457,'MAPA COMPARATIVO'!A:B,2,FALSE),VLOOKUP(C2457,'NAO DESO'!A:B,2,0))</f>
        <v>SERVENTE COM ENCARGOS COMPLEMENTARES</v>
      </c>
      <c r="E2457" s="241" t="str">
        <f>VLOOKUP($C2457,'NAO DESO'!$A:$D,3,)</f>
        <v>H</v>
      </c>
      <c r="F2457" s="242">
        <f>F2456</f>
        <v>4</v>
      </c>
      <c r="G2457" s="242" t="str">
        <f>IF(B2457="SEPLAG",VLOOKUP(CONCATENATE("MEDIANA - ",C2457),COTAÇÃO,5,FALSE),VLOOKUP($C2457,'NAO DESO'!$A:$D,4,))</f>
        <v>16,83</v>
      </c>
      <c r="H2457" s="242">
        <f t="shared" si="194"/>
        <v>67.319999999999993</v>
      </c>
      <c r="I2457" s="54" t="str">
        <f>IF(B2457="SEPLAG",VLOOKUP(CONCATENATE("MEDIANA - ",C2457),COTAÇÃO,5,FALSE),VLOOKUP($C2457,DESON!$A:$D,4,))</f>
        <v>15,16</v>
      </c>
      <c r="J2457" s="209">
        <f t="shared" si="195"/>
        <v>60.64</v>
      </c>
    </row>
    <row r="2458" spans="1:10" ht="15" customHeight="1">
      <c r="A2458" s="210" t="str">
        <f>CONCATENATE("TOTAL DO ITEM NÃO DESON. - ",C2441)</f>
        <v>TOTAL DO ITEM NÃO DESON. - SEPLAG  ARQ 158</v>
      </c>
      <c r="B2458" s="424"/>
      <c r="C2458" s="424"/>
      <c r="D2458" s="424"/>
      <c r="E2458" s="424"/>
      <c r="F2458" s="425"/>
      <c r="G2458" s="426"/>
      <c r="H2458" s="1182">
        <f>SUM(H2443:H2457)</f>
        <v>1414.0400000000002</v>
      </c>
      <c r="I2458" s="214"/>
      <c r="J2458" s="215"/>
    </row>
    <row r="2459" spans="1:10" ht="15.75" customHeight="1" thickBot="1">
      <c r="A2459" s="216" t="str">
        <f>CONCATENATE("TOTAL DO ITEM DESON. - ",C2441)</f>
        <v>TOTAL DO ITEM DESON. - SEPLAG  ARQ 158</v>
      </c>
      <c r="B2459" s="427"/>
      <c r="C2459" s="427"/>
      <c r="D2459" s="427"/>
      <c r="E2459" s="427"/>
      <c r="F2459" s="428"/>
      <c r="G2459" s="429"/>
      <c r="H2459" s="1187"/>
      <c r="I2459" s="229"/>
      <c r="J2459" s="219">
        <f>SUM(J2443:J2457)</f>
        <v>1398.4800000000002</v>
      </c>
    </row>
    <row r="2460" spans="1:10" ht="15" customHeight="1" thickBot="1">
      <c r="A2460" s="253"/>
      <c r="B2460" s="1145"/>
      <c r="C2460" s="1145"/>
      <c r="D2460" s="1145"/>
      <c r="E2460" s="1145"/>
      <c r="F2460" s="1215"/>
      <c r="G2460" s="1215"/>
      <c r="H2460" s="1216"/>
      <c r="I2460" s="254"/>
      <c r="J2460" s="255"/>
    </row>
    <row r="2461" spans="1:10" ht="15" customHeight="1">
      <c r="A2461" s="198"/>
      <c r="B2461" s="1175"/>
      <c r="C2461" s="1176" t="s">
        <v>14645</v>
      </c>
      <c r="D2461" s="156" t="s">
        <v>14646</v>
      </c>
      <c r="E2461" s="1176" t="s">
        <v>32</v>
      </c>
      <c r="F2461" s="1177" t="s">
        <v>18</v>
      </c>
      <c r="G2461" s="1178" t="s">
        <v>7017</v>
      </c>
      <c r="H2461" s="1179"/>
      <c r="I2461" s="200" t="s">
        <v>7016</v>
      </c>
      <c r="J2461" s="201"/>
    </row>
    <row r="2462" spans="1:10" ht="15" customHeight="1">
      <c r="A2462" s="233"/>
      <c r="B2462" s="247"/>
      <c r="C2462" s="1155"/>
      <c r="D2462" s="157"/>
      <c r="E2462" s="1155"/>
      <c r="F2462" s="1180"/>
      <c r="G2462" s="1180" t="s">
        <v>19</v>
      </c>
      <c r="H2462" s="1180" t="s">
        <v>20</v>
      </c>
      <c r="I2462" s="205" t="s">
        <v>19</v>
      </c>
      <c r="J2462" s="206" t="s">
        <v>20</v>
      </c>
    </row>
    <row r="2463" spans="1:10" ht="15" customHeight="1">
      <c r="A2463" s="208" t="s">
        <v>39</v>
      </c>
      <c r="B2463" s="241"/>
      <c r="C2463" s="241">
        <v>34360</v>
      </c>
      <c r="D2463" s="161" t="s">
        <v>14634</v>
      </c>
      <c r="E2463" s="1194" t="s">
        <v>133</v>
      </c>
      <c r="F2463" s="242">
        <v>6.47</v>
      </c>
      <c r="G2463" s="242">
        <f>IF(B2463="SEPLAG",VLOOKUP(CONCATENATE("MEDIANA - ",C2463),COTAÇÃO,5,FALSE),VLOOKUP($C2463,'NAO DESO'!$A:$D,4,))</f>
        <v>47.31</v>
      </c>
      <c r="H2463" s="242">
        <f t="shared" ref="H2463:H2477" si="196">TRUNC(F2463*G2463,2)</f>
        <v>306.08999999999997</v>
      </c>
      <c r="I2463" s="54" t="str">
        <f>IF(B2463="SEPLAG",VLOOKUP(CONCATENATE("MEDIANA - ",C2463),COTAÇÃO,5,FALSE),VLOOKUP($C2463,DESON!$A:$D,4,))</f>
        <v>47,31</v>
      </c>
      <c r="J2463" s="209">
        <f t="shared" ref="J2463:J2477" si="197">TRUNC(F2463*I2463,2)</f>
        <v>306.08999999999997</v>
      </c>
    </row>
    <row r="2464" spans="1:10" ht="15" customHeight="1">
      <c r="A2464" s="208" t="s">
        <v>39</v>
      </c>
      <c r="B2464" s="241" t="s">
        <v>14504</v>
      </c>
      <c r="C2464" s="1181" t="s">
        <v>14307</v>
      </c>
      <c r="D2464" s="161" t="str">
        <f>IF(B2464="SEPLAG",VLOOKUP(COMPOSIÇÕES!C2464,'MAPA COMPARATIVO'!A:B,2,FALSE),VLOOKUP(C2464,'NAO DESO'!A:B,2,0))</f>
        <v xml:space="preserve">Braço de max-ar linha gold de 600mm </v>
      </c>
      <c r="E2464" s="1194" t="s">
        <v>24</v>
      </c>
      <c r="F2464" s="242">
        <v>1</v>
      </c>
      <c r="G2464" s="242">
        <f>IF(B2464="SEPLAG",VLOOKUP(CONCATENATE("MEDIANA - ",C2464),COTAÇÃO,5,FALSE),VLOOKUP($C2464,'NAO DESO'!$A:$D,4,))</f>
        <v>36.575000000000003</v>
      </c>
      <c r="H2464" s="242">
        <f t="shared" si="196"/>
        <v>36.57</v>
      </c>
      <c r="I2464" s="54">
        <f>IF(B2464="SEPLAG",VLOOKUP(CONCATENATE("MEDIANA - ",C2464),COTAÇÃO,5,FALSE),VLOOKUP($C2464,DESON!$A:$D,4,))</f>
        <v>36.575000000000003</v>
      </c>
      <c r="J2464" s="209">
        <f t="shared" si="197"/>
        <v>36.57</v>
      </c>
    </row>
    <row r="2465" spans="1:10" ht="15" customHeight="1">
      <c r="A2465" s="208" t="s">
        <v>39</v>
      </c>
      <c r="B2465" s="241" t="s">
        <v>14504</v>
      </c>
      <c r="C2465" s="1181" t="s">
        <v>14308</v>
      </c>
      <c r="D2465" s="161" t="str">
        <f>IF(B2465="SEPLAG",VLOOKUP(COMPOSIÇÕES!C2465,'MAPA COMPARATIVO'!A:B,2,FALSE),VLOOKUP(C2465,'NAO DESO'!A:B,2,0))</f>
        <v>Fecho max-ar linha gold</v>
      </c>
      <c r="E2465" s="1194" t="s">
        <v>24</v>
      </c>
      <c r="F2465" s="242">
        <v>1</v>
      </c>
      <c r="G2465" s="242">
        <f>IF(B2465="SEPLAG",VLOOKUP(CONCATENATE("MEDIANA - ",C2465),COTAÇÃO,5,FALSE),VLOOKUP($C2465,'NAO DESO'!$A:$D,4,))</f>
        <v>47.36</v>
      </c>
      <c r="H2465" s="242">
        <f t="shared" si="196"/>
        <v>47.36</v>
      </c>
      <c r="I2465" s="54">
        <f>IF(B2465="SEPLAG",VLOOKUP(CONCATENATE("MEDIANA - ",C2465),COTAÇÃO,5,FALSE),VLOOKUP($C2465,DESON!$A:$D,4,))</f>
        <v>47.36</v>
      </c>
      <c r="J2465" s="209">
        <f t="shared" si="197"/>
        <v>47.36</v>
      </c>
    </row>
    <row r="2466" spans="1:10" ht="15" customHeight="1">
      <c r="A2466" s="208" t="s">
        <v>39</v>
      </c>
      <c r="B2466" s="241" t="s">
        <v>14504</v>
      </c>
      <c r="C2466" s="1181" t="s">
        <v>14309</v>
      </c>
      <c r="D2466" s="161" t="str">
        <f>IF(B2466="SEPLAG",VLOOKUP(COMPOSIÇÕES!C2466,'MAPA COMPARATIVO'!A:B,2,FALSE),VLOOKUP(C2466,'NAO DESO'!A:B,2,0))</f>
        <v>Guarnição em EPDM p/ pingadeira</v>
      </c>
      <c r="E2466" s="1194" t="s">
        <v>250</v>
      </c>
      <c r="F2466" s="242">
        <v>1.5</v>
      </c>
      <c r="G2466" s="242">
        <f>IF(B2466="SEPLAG",VLOOKUP(CONCATENATE("MEDIANA - ",C2466),COTAÇÃO,5,FALSE),VLOOKUP($C2466,'NAO DESO'!$A:$D,4,))</f>
        <v>4.3849999999999998</v>
      </c>
      <c r="H2466" s="242">
        <f t="shared" si="196"/>
        <v>6.57</v>
      </c>
      <c r="I2466" s="54">
        <f>IF(B2466="SEPLAG",VLOOKUP(CONCATENATE("MEDIANA - ",C2466),COTAÇÃO,5,FALSE),VLOOKUP($C2466,DESON!$A:$D,4,))</f>
        <v>4.3849999999999998</v>
      </c>
      <c r="J2466" s="209">
        <f t="shared" si="197"/>
        <v>6.57</v>
      </c>
    </row>
    <row r="2467" spans="1:10" ht="15" customHeight="1">
      <c r="A2467" s="208" t="s">
        <v>39</v>
      </c>
      <c r="B2467" s="241" t="s">
        <v>14504</v>
      </c>
      <c r="C2467" s="1181" t="s">
        <v>14310</v>
      </c>
      <c r="D2467" s="161" t="str">
        <f>IF(B2467="SEPLAG",VLOOKUP(COMPOSIÇÕES!C2467,'MAPA COMPARATIVO'!A:B,2,FALSE),VLOOKUP(C2467,'NAO DESO'!A:B,2,0))</f>
        <v>Guarnição em EPDM para vidro</v>
      </c>
      <c r="E2467" s="1194" t="s">
        <v>250</v>
      </c>
      <c r="F2467" s="242">
        <v>4.47</v>
      </c>
      <c r="G2467" s="242">
        <f>IF(B2467="SEPLAG",VLOOKUP(CONCATENATE("MEDIANA - ",C2467),COTAÇÃO,5,FALSE),VLOOKUP($C2467,'NAO DESO'!$A:$D,4,))</f>
        <v>2.4091999999999998</v>
      </c>
      <c r="H2467" s="242">
        <f t="shared" si="196"/>
        <v>10.76</v>
      </c>
      <c r="I2467" s="54">
        <f>IF(B2467="SEPLAG",VLOOKUP(CONCATENATE("MEDIANA - ",C2467),COTAÇÃO,5,FALSE),VLOOKUP($C2467,DESON!$A:$D,4,))</f>
        <v>2.4091999999999998</v>
      </c>
      <c r="J2467" s="209">
        <f t="shared" si="197"/>
        <v>10.76</v>
      </c>
    </row>
    <row r="2468" spans="1:10" ht="15" customHeight="1">
      <c r="A2468" s="208" t="s">
        <v>39</v>
      </c>
      <c r="B2468" s="241" t="s">
        <v>14504</v>
      </c>
      <c r="C2468" s="1181" t="s">
        <v>14311</v>
      </c>
      <c r="D2468" s="161" t="str">
        <f>IF(B2468="SEPLAG",VLOOKUP(COMPOSIÇÕES!C2468,'MAPA COMPARATIVO'!A:B,2,FALSE),VLOOKUP(C2468,'NAO DESO'!A:B,2,0))</f>
        <v>Espuma adesiva 1 face</v>
      </c>
      <c r="E2468" s="1194" t="s">
        <v>250</v>
      </c>
      <c r="F2468" s="242">
        <v>4.47</v>
      </c>
      <c r="G2468" s="242">
        <f>IF(B2468="SEPLAG",VLOOKUP(CONCATENATE("MEDIANA - ",C2468),COTAÇÃO,5,FALSE),VLOOKUP($C2468,'NAO DESO'!$A:$D,4,))</f>
        <v>2.1800000000000002</v>
      </c>
      <c r="H2468" s="242">
        <f t="shared" si="196"/>
        <v>9.74</v>
      </c>
      <c r="I2468" s="54">
        <f>IF(B2468="SEPLAG",VLOOKUP(CONCATENATE("MEDIANA - ",C2468),COTAÇÃO,5,FALSE),VLOOKUP($C2468,DESON!$A:$D,4,))</f>
        <v>2.1800000000000002</v>
      </c>
      <c r="J2468" s="209">
        <f t="shared" si="197"/>
        <v>9.74</v>
      </c>
    </row>
    <row r="2469" spans="1:10" ht="15" customHeight="1">
      <c r="A2469" s="208" t="s">
        <v>39</v>
      </c>
      <c r="B2469" s="241" t="s">
        <v>14504</v>
      </c>
      <c r="C2469" s="1181" t="s">
        <v>14312</v>
      </c>
      <c r="D2469" s="161" t="str">
        <f>IF(B2469="SEPLAG",VLOOKUP(COMPOSIÇÕES!C2469,'MAPA COMPARATIVO'!A:B,2,FALSE),VLOOKUP(C2469,'NAO DESO'!A:B,2,0))</f>
        <v>Guarnição em EPDM p/ marco max-ar</v>
      </c>
      <c r="E2469" s="1194" t="s">
        <v>7388</v>
      </c>
      <c r="F2469" s="242">
        <v>5</v>
      </c>
      <c r="G2469" s="242">
        <f>IF(B2469="SEPLAG",VLOOKUP(CONCATENATE("MEDIANA - ",C2469),COTAÇÃO,5,FALSE),VLOOKUP($C2469,'NAO DESO'!$A:$D,4,))</f>
        <v>3.8138999999999998</v>
      </c>
      <c r="H2469" s="242">
        <f t="shared" si="196"/>
        <v>19.059999999999999</v>
      </c>
      <c r="I2469" s="54">
        <f>IF(B2469="SEPLAG",VLOOKUP(CONCATENATE("MEDIANA - ",C2469),COTAÇÃO,5,FALSE),VLOOKUP($C2469,DESON!$A:$D,4,))</f>
        <v>3.8138999999999998</v>
      </c>
      <c r="J2469" s="209">
        <f t="shared" si="197"/>
        <v>19.059999999999999</v>
      </c>
    </row>
    <row r="2470" spans="1:10" ht="15" customHeight="1">
      <c r="A2470" s="208" t="s">
        <v>39</v>
      </c>
      <c r="B2470" s="241" t="s">
        <v>14504</v>
      </c>
      <c r="C2470" s="1181" t="s">
        <v>14313</v>
      </c>
      <c r="D2470" s="161" t="str">
        <f>IF(B2470="SEPLAG",VLOOKUP(COMPOSIÇÕES!C2470,'MAPA COMPARATIVO'!A:B,2,FALSE),VLOOKUP(C2470,'NAO DESO'!A:B,2,0))</f>
        <v>PRESILHA DE FIXAÇÃO DO ARREMATE MP-347</v>
      </c>
      <c r="E2470" s="1194" t="s">
        <v>24</v>
      </c>
      <c r="F2470" s="242">
        <v>14</v>
      </c>
      <c r="G2470" s="242">
        <f>IF(B2470="SEPLAG",VLOOKUP(CONCATENATE("MEDIANA - ",C2470),COTAÇÃO,5,FALSE),VLOOKUP($C2470,'NAO DESO'!$A:$D,4,))</f>
        <v>0.34</v>
      </c>
      <c r="H2470" s="242">
        <f t="shared" si="196"/>
        <v>4.76</v>
      </c>
      <c r="I2470" s="54">
        <f>IF(B2470="SEPLAG",VLOOKUP(CONCATENATE("MEDIANA - ",C2470),COTAÇÃO,5,FALSE),VLOOKUP($C2470,DESON!$A:$D,4,))</f>
        <v>0.34</v>
      </c>
      <c r="J2470" s="209">
        <f t="shared" si="197"/>
        <v>4.76</v>
      </c>
    </row>
    <row r="2471" spans="1:10" ht="15" customHeight="1">
      <c r="A2471" s="208" t="s">
        <v>39</v>
      </c>
      <c r="B2471" s="241" t="s">
        <v>14504</v>
      </c>
      <c r="C2471" s="1181" t="s">
        <v>14314</v>
      </c>
      <c r="D2471" s="161" t="str">
        <f>IF(B2471="SEPLAG",VLOOKUP(COMPOSIÇÕES!C2471,'MAPA COMPARATIVO'!A:B,2,FALSE),VLOOKUP(C2471,'NAO DESO'!A:B,2,0))</f>
        <v>Parafuso zincado phillips flangeado autobrocante 4,2 x 16mm</v>
      </c>
      <c r="E2471" s="1194" t="s">
        <v>24</v>
      </c>
      <c r="F2471" s="242">
        <v>14</v>
      </c>
      <c r="G2471" s="242">
        <f>IF(B2471="SEPLAG",VLOOKUP(CONCATENATE("MEDIANA - ",C2471),COTAÇÃO,5,FALSE),VLOOKUP($C2471,'NAO DESO'!$A:$D,4,))</f>
        <v>0.28000000000000003</v>
      </c>
      <c r="H2471" s="242">
        <f t="shared" si="196"/>
        <v>3.92</v>
      </c>
      <c r="I2471" s="54">
        <f>IF(B2471="SEPLAG",VLOOKUP(CONCATENATE("MEDIANA - ",C2471),COTAÇÃO,5,FALSE),VLOOKUP($C2471,DESON!$A:$D,4,))</f>
        <v>0.28000000000000003</v>
      </c>
      <c r="J2471" s="209">
        <f t="shared" si="197"/>
        <v>3.92</v>
      </c>
    </row>
    <row r="2472" spans="1:10" ht="15" customHeight="1">
      <c r="A2472" s="208" t="s">
        <v>39</v>
      </c>
      <c r="B2472" s="241" t="s">
        <v>14504</v>
      </c>
      <c r="C2472" s="1181" t="s">
        <v>14315</v>
      </c>
      <c r="D2472" s="161" t="str">
        <f>IF(B2472="SEPLAG",VLOOKUP(COMPOSIÇÕES!C2472,'MAPA COMPARATIVO'!A:B,2,FALSE),VLOOKUP(C2472,'NAO DESO'!A:B,2,0))</f>
        <v>PARAF. PANELA PHILIPS INOX 4,8 X32 PONTA PILOTO</v>
      </c>
      <c r="E2472" s="1194" t="s">
        <v>24</v>
      </c>
      <c r="F2472" s="242">
        <v>4</v>
      </c>
      <c r="G2472" s="242">
        <f>IF(B2472="SEPLAG",VLOOKUP(CONCATENATE("MEDIANA - ",C2472),COTAÇÃO,5,FALSE),VLOOKUP($C2472,'NAO DESO'!$A:$D,4,))</f>
        <v>0.95</v>
      </c>
      <c r="H2472" s="242">
        <f t="shared" si="196"/>
        <v>3.8</v>
      </c>
      <c r="I2472" s="54">
        <f>IF(B2472="SEPLAG",VLOOKUP(CONCATENATE("MEDIANA - ",C2472),COTAÇÃO,5,FALSE),VLOOKUP($C2472,DESON!$A:$D,4,))</f>
        <v>0.95</v>
      </c>
      <c r="J2472" s="209">
        <f t="shared" si="197"/>
        <v>3.8</v>
      </c>
    </row>
    <row r="2473" spans="1:10" ht="15" customHeight="1">
      <c r="A2473" s="208" t="s">
        <v>39</v>
      </c>
      <c r="B2473" s="241" t="s">
        <v>14504</v>
      </c>
      <c r="C2473" s="1181" t="s">
        <v>14316</v>
      </c>
      <c r="D2473" s="161" t="str">
        <f>IF(B2473="SEPLAG",VLOOKUP(COMPOSIÇÕES!C2473,'MAPA COMPARATIVO'!A:B,2,FALSE),VLOOKUP(C2473,'NAO DESO'!A:B,2,0))</f>
        <v>CHUMBADOR DE CM-063/060</v>
      </c>
      <c r="E2473" s="1194" t="s">
        <v>24</v>
      </c>
      <c r="F2473" s="242">
        <v>14</v>
      </c>
      <c r="G2473" s="242">
        <f>IF(B2473="SEPLAG",VLOOKUP(CONCATENATE("MEDIANA - ",C2473),COTAÇÃO,5,FALSE),VLOOKUP($C2473,'NAO DESO'!$A:$D,4,))</f>
        <v>0.86</v>
      </c>
      <c r="H2473" s="242">
        <f t="shared" si="196"/>
        <v>12.04</v>
      </c>
      <c r="I2473" s="54">
        <f>IF(B2473="SEPLAG",VLOOKUP(CONCATENATE("MEDIANA - ",C2473),COTAÇÃO,5,FALSE),VLOOKUP($C2473,DESON!$A:$D,4,))</f>
        <v>0.86</v>
      </c>
      <c r="J2473" s="209">
        <f t="shared" si="197"/>
        <v>12.04</v>
      </c>
    </row>
    <row r="2474" spans="1:10" ht="15" customHeight="1">
      <c r="A2474" s="208" t="s">
        <v>39</v>
      </c>
      <c r="B2474" s="241" t="s">
        <v>14504</v>
      </c>
      <c r="C2474" s="1181" t="s">
        <v>14317</v>
      </c>
      <c r="D2474" s="161" t="str">
        <f>IF(B2474="SEPLAG",VLOOKUP(COMPOSIÇÕES!C2474,'MAPA COMPARATIVO'!A:B,2,FALSE),VLOOKUP(C2474,'NAO DESO'!A:B,2,0))</f>
        <v>Silicone neutro incolor 280 g</v>
      </c>
      <c r="E2474" s="1194" t="s">
        <v>24</v>
      </c>
      <c r="F2474" s="242">
        <v>2</v>
      </c>
      <c r="G2474" s="242">
        <f>IF(B2474="SEPLAG",VLOOKUP(CONCATENATE("MEDIANA - ",C2474),COTAÇÃO,5,FALSE),VLOOKUP($C2474,'NAO DESO'!$A:$D,4,))</f>
        <v>43.9</v>
      </c>
      <c r="H2474" s="242">
        <f t="shared" si="196"/>
        <v>87.8</v>
      </c>
      <c r="I2474" s="54">
        <f>IF(B2474="SEPLAG",VLOOKUP(CONCATENATE("MEDIANA - ",C2474),COTAÇÃO,5,FALSE),VLOOKUP($C2474,DESON!$A:$D,4,))</f>
        <v>43.9</v>
      </c>
      <c r="J2474" s="209">
        <f t="shared" si="197"/>
        <v>87.8</v>
      </c>
    </row>
    <row r="2475" spans="1:10" ht="15" customHeight="1">
      <c r="A2475" s="208" t="s">
        <v>245</v>
      </c>
      <c r="B2475" s="241"/>
      <c r="C2475" s="1181">
        <v>10505</v>
      </c>
      <c r="D2475" s="161" t="str">
        <f>IF(B2475="SEPLAG",VLOOKUP(COMPOSIÇÕES!C2475,'MAPA COMPARATIVO'!A:B,2,FALSE),VLOOKUP(C2475,'NAO DESO'!A:B,2,0))</f>
        <v>VIDRO TEMPERADO INCOLOR E = 6 MM, SEM COLOCACAO</v>
      </c>
      <c r="E2475" s="241" t="str">
        <f>VLOOKUP($C2475,'NAO DESO'!$A:$D,3,)</f>
        <v xml:space="preserve">M2    </v>
      </c>
      <c r="F2475" s="242">
        <v>1.5</v>
      </c>
      <c r="G2475" s="242">
        <f>IF(B2475="SEPLAG",VLOOKUP(CONCATENATE("MEDIANA - ",C2475),COTAÇÃO,5,FALSE),VLOOKUP($C2475,'NAO DESO'!$A:$D,4,))</f>
        <v>272.77</v>
      </c>
      <c r="H2475" s="242">
        <f t="shared" si="196"/>
        <v>409.15</v>
      </c>
      <c r="I2475" s="54" t="str">
        <f>IF(B2475="SEPLAG",VLOOKUP(CONCATENATE("MEDIANA - ",C2475),COTAÇÃO,5,FALSE),VLOOKUP($C2475,DESON!$A:$D,4,))</f>
        <v>272,77</v>
      </c>
      <c r="J2475" s="209">
        <f t="shared" si="197"/>
        <v>409.15</v>
      </c>
    </row>
    <row r="2476" spans="1:10" ht="15" customHeight="1">
      <c r="A2476" s="208" t="s">
        <v>245</v>
      </c>
      <c r="B2476" s="241"/>
      <c r="C2476" s="1181">
        <v>88315</v>
      </c>
      <c r="D2476" s="161" t="str">
        <f>IF(B2476="SEPLAG",VLOOKUP(COMPOSIÇÕES!C2476,'MAPA COMPARATIVO'!A:B,2,FALSE),VLOOKUP(C2476,'NAO DESO'!A:B,2,0))</f>
        <v>SERRALHEIRO COM ENCARGOS COMPLEMENTARES</v>
      </c>
      <c r="E2476" s="241" t="str">
        <f>VLOOKUP($C2476,'NAO DESO'!$A:$D,3,)</f>
        <v>H</v>
      </c>
      <c r="F2476" s="242">
        <v>3</v>
      </c>
      <c r="G2476" s="242" t="str">
        <f>IF(B2476="SEPLAG",VLOOKUP(CONCATENATE("MEDIANA - ",C2476),COTAÇÃO,5,FALSE),VLOOKUP($C2476,'NAO DESO'!$A:$D,4,))</f>
        <v>20,97</v>
      </c>
      <c r="H2476" s="242">
        <f t="shared" si="196"/>
        <v>62.91</v>
      </c>
      <c r="I2476" s="54" t="str">
        <f>IF(B2476="SEPLAG",VLOOKUP(CONCATENATE("MEDIANA - ",C2476),COTAÇÃO,5,FALSE),VLOOKUP($C2476,DESON!$A:$D,4,))</f>
        <v>18,75</v>
      </c>
      <c r="J2476" s="209">
        <f t="shared" si="197"/>
        <v>56.25</v>
      </c>
    </row>
    <row r="2477" spans="1:10" ht="15" customHeight="1">
      <c r="A2477" s="208" t="s">
        <v>245</v>
      </c>
      <c r="B2477" s="241"/>
      <c r="C2477" s="1181">
        <v>88316</v>
      </c>
      <c r="D2477" s="161" t="str">
        <f>IF(B2477="SEPLAG",VLOOKUP(COMPOSIÇÕES!C2477,'MAPA COMPARATIVO'!A:B,2,FALSE),VLOOKUP(C2477,'NAO DESO'!A:B,2,0))</f>
        <v>SERVENTE COM ENCARGOS COMPLEMENTARES</v>
      </c>
      <c r="E2477" s="241" t="str">
        <f>VLOOKUP($C2477,'NAO DESO'!$A:$D,3,)</f>
        <v>H</v>
      </c>
      <c r="F2477" s="242">
        <f>F2476</f>
        <v>3</v>
      </c>
      <c r="G2477" s="242" t="str">
        <f>IF(B2477="SEPLAG",VLOOKUP(CONCATENATE("MEDIANA - ",C2477),COTAÇÃO,5,FALSE),VLOOKUP($C2477,'NAO DESO'!$A:$D,4,))</f>
        <v>16,83</v>
      </c>
      <c r="H2477" s="242">
        <f t="shared" si="196"/>
        <v>50.49</v>
      </c>
      <c r="I2477" s="54" t="str">
        <f>IF(B2477="SEPLAG",VLOOKUP(CONCATENATE("MEDIANA - ",C2477),COTAÇÃO,5,FALSE),VLOOKUP($C2477,DESON!$A:$D,4,))</f>
        <v>15,16</v>
      </c>
      <c r="J2477" s="209">
        <f t="shared" si="197"/>
        <v>45.48</v>
      </c>
    </row>
    <row r="2478" spans="1:10" ht="15" customHeight="1">
      <c r="A2478" s="210" t="str">
        <f>CONCATENATE("TOTAL DO ITEM NÃO DESON. - ",C2461)</f>
        <v>TOTAL DO ITEM NÃO DESON. - SEPLAG  ARQ 159</v>
      </c>
      <c r="B2478" s="424"/>
      <c r="C2478" s="424"/>
      <c r="D2478" s="424"/>
      <c r="E2478" s="424"/>
      <c r="F2478" s="425"/>
      <c r="G2478" s="426"/>
      <c r="H2478" s="1182">
        <f>SUM(H2463:H2477)</f>
        <v>1071.02</v>
      </c>
      <c r="I2478" s="214"/>
      <c r="J2478" s="215"/>
    </row>
    <row r="2479" spans="1:10" ht="15.75" customHeight="1" thickBot="1">
      <c r="A2479" s="216" t="str">
        <f>CONCATENATE("TOTAL DO ITEM DESON. - ",C2461)</f>
        <v>TOTAL DO ITEM DESON. - SEPLAG  ARQ 159</v>
      </c>
      <c r="B2479" s="427"/>
      <c r="C2479" s="427"/>
      <c r="D2479" s="427"/>
      <c r="E2479" s="427"/>
      <c r="F2479" s="428"/>
      <c r="G2479" s="429"/>
      <c r="H2479" s="1187"/>
      <c r="I2479" s="229"/>
      <c r="J2479" s="219">
        <f>SUM(J2463:J2477)</f>
        <v>1059.3499999999999</v>
      </c>
    </row>
    <row r="2480" spans="1:10" ht="15" customHeight="1" thickBot="1">
      <c r="A2480" s="253"/>
      <c r="B2480" s="1145"/>
      <c r="C2480" s="1145"/>
      <c r="D2480" s="1145"/>
      <c r="E2480" s="1145"/>
      <c r="F2480" s="1215"/>
      <c r="G2480" s="1215"/>
      <c r="H2480" s="1216"/>
      <c r="I2480" s="254"/>
      <c r="J2480" s="255"/>
    </row>
    <row r="2481" spans="1:10" ht="15" customHeight="1">
      <c r="A2481" s="198"/>
      <c r="B2481" s="1175"/>
      <c r="C2481" s="1176" t="s">
        <v>14647</v>
      </c>
      <c r="D2481" s="156" t="s">
        <v>14648</v>
      </c>
      <c r="E2481" s="1176" t="s">
        <v>32</v>
      </c>
      <c r="F2481" s="1177" t="s">
        <v>18</v>
      </c>
      <c r="G2481" s="1178" t="s">
        <v>7017</v>
      </c>
      <c r="H2481" s="1179"/>
      <c r="I2481" s="200" t="s">
        <v>7016</v>
      </c>
      <c r="J2481" s="201"/>
    </row>
    <row r="2482" spans="1:10" ht="15" customHeight="1">
      <c r="A2482" s="233"/>
      <c r="B2482" s="247"/>
      <c r="C2482" s="1155"/>
      <c r="D2482" s="157"/>
      <c r="E2482" s="1155"/>
      <c r="F2482" s="1180"/>
      <c r="G2482" s="1180" t="s">
        <v>19</v>
      </c>
      <c r="H2482" s="1180" t="s">
        <v>20</v>
      </c>
      <c r="I2482" s="205" t="s">
        <v>19</v>
      </c>
      <c r="J2482" s="206" t="s">
        <v>20</v>
      </c>
    </row>
    <row r="2483" spans="1:10" ht="15" customHeight="1">
      <c r="A2483" s="208" t="s">
        <v>39</v>
      </c>
      <c r="B2483" s="241"/>
      <c r="C2483" s="241">
        <v>34360</v>
      </c>
      <c r="D2483" s="161" t="s">
        <v>14634</v>
      </c>
      <c r="E2483" s="1194" t="s">
        <v>133</v>
      </c>
      <c r="F2483" s="242">
        <v>4.6399999999999997</v>
      </c>
      <c r="G2483" s="242">
        <f>IF(B2483="SEPLAG",VLOOKUP(CONCATENATE("MEDIANA - ",C2483),COTAÇÃO,5,FALSE),VLOOKUP($C2483,'NAO DESO'!$A:$D,4,))</f>
        <v>47.31</v>
      </c>
      <c r="H2483" s="242">
        <f t="shared" ref="H2483:H2497" si="198">TRUNC(F2483*G2483,2)</f>
        <v>219.51</v>
      </c>
      <c r="I2483" s="54" t="str">
        <f>IF(B2483="SEPLAG",VLOOKUP(CONCATENATE("MEDIANA - ",C2483),COTAÇÃO,5,FALSE),VLOOKUP($C2483,DESON!$A:$D,4,))</f>
        <v>47,31</v>
      </c>
      <c r="J2483" s="209">
        <f t="shared" ref="J2483:J2497" si="199">TRUNC(F2483*I2483,2)</f>
        <v>219.51</v>
      </c>
    </row>
    <row r="2484" spans="1:10" ht="15" customHeight="1">
      <c r="A2484" s="208" t="s">
        <v>39</v>
      </c>
      <c r="B2484" s="241" t="s">
        <v>14504</v>
      </c>
      <c r="C2484" s="1181" t="s">
        <v>14307</v>
      </c>
      <c r="D2484" s="161" t="str">
        <f>IF(B2484="SEPLAG",VLOOKUP(COMPOSIÇÕES!C2484,'MAPA COMPARATIVO'!A:B,2,FALSE),VLOOKUP(C2484,'NAO DESO'!A:B,2,0))</f>
        <v xml:space="preserve">Braço de max-ar linha gold de 600mm </v>
      </c>
      <c r="E2484" s="1194" t="s">
        <v>24</v>
      </c>
      <c r="F2484" s="242">
        <v>1</v>
      </c>
      <c r="G2484" s="242">
        <f>IF(B2484="SEPLAG",VLOOKUP(CONCATENATE("MEDIANA - ",C2484),COTAÇÃO,5,FALSE),VLOOKUP($C2484,'NAO DESO'!$A:$D,4,))</f>
        <v>36.575000000000003</v>
      </c>
      <c r="H2484" s="242">
        <f t="shared" si="198"/>
        <v>36.57</v>
      </c>
      <c r="I2484" s="54">
        <f>IF(B2484="SEPLAG",VLOOKUP(CONCATENATE("MEDIANA - ",C2484),COTAÇÃO,5,FALSE),VLOOKUP($C2484,DESON!$A:$D,4,))</f>
        <v>36.575000000000003</v>
      </c>
      <c r="J2484" s="209">
        <f t="shared" si="199"/>
        <v>36.57</v>
      </c>
    </row>
    <row r="2485" spans="1:10" ht="15" customHeight="1">
      <c r="A2485" s="208" t="s">
        <v>39</v>
      </c>
      <c r="B2485" s="241" t="s">
        <v>14504</v>
      </c>
      <c r="C2485" s="1181" t="s">
        <v>14308</v>
      </c>
      <c r="D2485" s="161" t="str">
        <f>IF(B2485="SEPLAG",VLOOKUP(COMPOSIÇÕES!C2485,'MAPA COMPARATIVO'!A:B,2,FALSE),VLOOKUP(C2485,'NAO DESO'!A:B,2,0))</f>
        <v>Fecho max-ar linha gold</v>
      </c>
      <c r="E2485" s="1194" t="s">
        <v>24</v>
      </c>
      <c r="F2485" s="242">
        <v>1</v>
      </c>
      <c r="G2485" s="242">
        <f>IF(B2485="SEPLAG",VLOOKUP(CONCATENATE("MEDIANA - ",C2485),COTAÇÃO,5,FALSE),VLOOKUP($C2485,'NAO DESO'!$A:$D,4,))</f>
        <v>47.36</v>
      </c>
      <c r="H2485" s="242">
        <f t="shared" si="198"/>
        <v>47.36</v>
      </c>
      <c r="I2485" s="54">
        <f>IF(B2485="SEPLAG",VLOOKUP(CONCATENATE("MEDIANA - ",C2485),COTAÇÃO,5,FALSE),VLOOKUP($C2485,DESON!$A:$D,4,))</f>
        <v>47.36</v>
      </c>
      <c r="J2485" s="209">
        <f t="shared" si="199"/>
        <v>47.36</v>
      </c>
    </row>
    <row r="2486" spans="1:10" ht="15" customHeight="1">
      <c r="A2486" s="208" t="s">
        <v>39</v>
      </c>
      <c r="B2486" s="241" t="s">
        <v>14504</v>
      </c>
      <c r="C2486" s="1181" t="s">
        <v>14309</v>
      </c>
      <c r="D2486" s="161" t="str">
        <f>IF(B2486="SEPLAG",VLOOKUP(COMPOSIÇÕES!C2486,'MAPA COMPARATIVO'!A:B,2,FALSE),VLOOKUP(C2486,'NAO DESO'!A:B,2,0))</f>
        <v>Guarnição em EPDM p/ pingadeira</v>
      </c>
      <c r="E2486" s="1194" t="s">
        <v>250</v>
      </c>
      <c r="F2486" s="242">
        <v>1</v>
      </c>
      <c r="G2486" s="242">
        <f>IF(B2486="SEPLAG",VLOOKUP(CONCATENATE("MEDIANA - ",C2486),COTAÇÃO,5,FALSE),VLOOKUP($C2486,'NAO DESO'!$A:$D,4,))</f>
        <v>4.3849999999999998</v>
      </c>
      <c r="H2486" s="242">
        <f t="shared" si="198"/>
        <v>4.38</v>
      </c>
      <c r="I2486" s="54">
        <f>IF(B2486="SEPLAG",VLOOKUP(CONCATENATE("MEDIANA - ",C2486),COTAÇÃO,5,FALSE),VLOOKUP($C2486,DESON!$A:$D,4,))</f>
        <v>4.3849999999999998</v>
      </c>
      <c r="J2486" s="209">
        <f t="shared" si="199"/>
        <v>4.38</v>
      </c>
    </row>
    <row r="2487" spans="1:10" ht="15" customHeight="1">
      <c r="A2487" s="208" t="s">
        <v>39</v>
      </c>
      <c r="B2487" s="241" t="s">
        <v>14504</v>
      </c>
      <c r="C2487" s="1181" t="s">
        <v>14310</v>
      </c>
      <c r="D2487" s="161" t="str">
        <f>IF(B2487="SEPLAG",VLOOKUP(COMPOSIÇÕES!C2487,'MAPA COMPARATIVO'!A:B,2,FALSE),VLOOKUP(C2487,'NAO DESO'!A:B,2,0))</f>
        <v>Guarnição em EPDM para vidro</v>
      </c>
      <c r="E2487" s="1194" t="s">
        <v>250</v>
      </c>
      <c r="F2487" s="242">
        <v>3.07</v>
      </c>
      <c r="G2487" s="242">
        <f>IF(B2487="SEPLAG",VLOOKUP(CONCATENATE("MEDIANA - ",C2487),COTAÇÃO,5,FALSE),VLOOKUP($C2487,'NAO DESO'!$A:$D,4,))</f>
        <v>2.4091999999999998</v>
      </c>
      <c r="H2487" s="242">
        <f t="shared" si="198"/>
        <v>7.39</v>
      </c>
      <c r="I2487" s="54">
        <f>IF(B2487="SEPLAG",VLOOKUP(CONCATENATE("MEDIANA - ",C2487),COTAÇÃO,5,FALSE),VLOOKUP($C2487,DESON!$A:$D,4,))</f>
        <v>2.4091999999999998</v>
      </c>
      <c r="J2487" s="209">
        <f t="shared" si="199"/>
        <v>7.39</v>
      </c>
    </row>
    <row r="2488" spans="1:10" ht="15" customHeight="1">
      <c r="A2488" s="208" t="s">
        <v>39</v>
      </c>
      <c r="B2488" s="241" t="s">
        <v>14504</v>
      </c>
      <c r="C2488" s="1181" t="s">
        <v>14311</v>
      </c>
      <c r="D2488" s="161" t="str">
        <f>IF(B2488="SEPLAG",VLOOKUP(COMPOSIÇÕES!C2488,'MAPA COMPARATIVO'!A:B,2,FALSE),VLOOKUP(C2488,'NAO DESO'!A:B,2,0))</f>
        <v>Espuma adesiva 1 face</v>
      </c>
      <c r="E2488" s="1194" t="s">
        <v>250</v>
      </c>
      <c r="F2488" s="242">
        <v>3.07</v>
      </c>
      <c r="G2488" s="242">
        <f>IF(B2488="SEPLAG",VLOOKUP(CONCATENATE("MEDIANA - ",C2488),COTAÇÃO,5,FALSE),VLOOKUP($C2488,'NAO DESO'!$A:$D,4,))</f>
        <v>2.1800000000000002</v>
      </c>
      <c r="H2488" s="242">
        <f t="shared" si="198"/>
        <v>6.69</v>
      </c>
      <c r="I2488" s="54">
        <f>IF(B2488="SEPLAG",VLOOKUP(CONCATENATE("MEDIANA - ",C2488),COTAÇÃO,5,FALSE),VLOOKUP($C2488,DESON!$A:$D,4,))</f>
        <v>2.1800000000000002</v>
      </c>
      <c r="J2488" s="209">
        <f t="shared" si="199"/>
        <v>6.69</v>
      </c>
    </row>
    <row r="2489" spans="1:10" ht="15" customHeight="1">
      <c r="A2489" s="208" t="s">
        <v>39</v>
      </c>
      <c r="B2489" s="241" t="s">
        <v>14504</v>
      </c>
      <c r="C2489" s="1181" t="s">
        <v>14312</v>
      </c>
      <c r="D2489" s="161" t="str">
        <f>IF(B2489="SEPLAG",VLOOKUP(COMPOSIÇÕES!C2489,'MAPA COMPARATIVO'!A:B,2,FALSE),VLOOKUP(C2489,'NAO DESO'!A:B,2,0))</f>
        <v>Guarnição em EPDM p/ marco max-ar</v>
      </c>
      <c r="E2489" s="1194" t="s">
        <v>7388</v>
      </c>
      <c r="F2489" s="242">
        <v>3.6</v>
      </c>
      <c r="G2489" s="242">
        <f>IF(B2489="SEPLAG",VLOOKUP(CONCATENATE("MEDIANA - ",C2489),COTAÇÃO,5,FALSE),VLOOKUP($C2489,'NAO DESO'!$A:$D,4,))</f>
        <v>3.8138999999999998</v>
      </c>
      <c r="H2489" s="242">
        <f t="shared" si="198"/>
        <v>13.73</v>
      </c>
      <c r="I2489" s="54">
        <f>IF(B2489="SEPLAG",VLOOKUP(CONCATENATE("MEDIANA - ",C2489),COTAÇÃO,5,FALSE),VLOOKUP($C2489,DESON!$A:$D,4,))</f>
        <v>3.8138999999999998</v>
      </c>
      <c r="J2489" s="209">
        <f t="shared" si="199"/>
        <v>13.73</v>
      </c>
    </row>
    <row r="2490" spans="1:10" ht="15" customHeight="1">
      <c r="A2490" s="208" t="s">
        <v>39</v>
      </c>
      <c r="B2490" s="241" t="s">
        <v>14504</v>
      </c>
      <c r="C2490" s="1181" t="s">
        <v>14313</v>
      </c>
      <c r="D2490" s="161" t="str">
        <f>IF(B2490="SEPLAG",VLOOKUP(COMPOSIÇÕES!C2490,'MAPA COMPARATIVO'!A:B,2,FALSE),VLOOKUP(C2490,'NAO DESO'!A:B,2,0))</f>
        <v>PRESILHA DE FIXAÇÃO DO ARREMATE MP-347</v>
      </c>
      <c r="E2490" s="1194" t="s">
        <v>24</v>
      </c>
      <c r="F2490" s="242">
        <v>12</v>
      </c>
      <c r="G2490" s="242">
        <f>IF(B2490="SEPLAG",VLOOKUP(CONCATENATE("MEDIANA - ",C2490),COTAÇÃO,5,FALSE),VLOOKUP($C2490,'NAO DESO'!$A:$D,4,))</f>
        <v>0.34</v>
      </c>
      <c r="H2490" s="242">
        <f t="shared" si="198"/>
        <v>4.08</v>
      </c>
      <c r="I2490" s="54">
        <f>IF(B2490="SEPLAG",VLOOKUP(CONCATENATE("MEDIANA - ",C2490),COTAÇÃO,5,FALSE),VLOOKUP($C2490,DESON!$A:$D,4,))</f>
        <v>0.34</v>
      </c>
      <c r="J2490" s="209">
        <f t="shared" si="199"/>
        <v>4.08</v>
      </c>
    </row>
    <row r="2491" spans="1:10" ht="15" customHeight="1">
      <c r="A2491" s="208" t="s">
        <v>39</v>
      </c>
      <c r="B2491" s="241" t="s">
        <v>14504</v>
      </c>
      <c r="C2491" s="1181" t="s">
        <v>14314</v>
      </c>
      <c r="D2491" s="161" t="str">
        <f>IF(B2491="SEPLAG",VLOOKUP(COMPOSIÇÕES!C2491,'MAPA COMPARATIVO'!A:B,2,FALSE),VLOOKUP(C2491,'NAO DESO'!A:B,2,0))</f>
        <v>Parafuso zincado phillips flangeado autobrocante 4,2 x 16mm</v>
      </c>
      <c r="E2491" s="1194" t="s">
        <v>24</v>
      </c>
      <c r="F2491" s="242">
        <v>12</v>
      </c>
      <c r="G2491" s="242">
        <f>IF(B2491="SEPLAG",VLOOKUP(CONCATENATE("MEDIANA - ",C2491),COTAÇÃO,5,FALSE),VLOOKUP($C2491,'NAO DESO'!$A:$D,4,))</f>
        <v>0.28000000000000003</v>
      </c>
      <c r="H2491" s="242">
        <f t="shared" si="198"/>
        <v>3.36</v>
      </c>
      <c r="I2491" s="54">
        <f>IF(B2491="SEPLAG",VLOOKUP(CONCATENATE("MEDIANA - ",C2491),COTAÇÃO,5,FALSE),VLOOKUP($C2491,DESON!$A:$D,4,))</f>
        <v>0.28000000000000003</v>
      </c>
      <c r="J2491" s="209">
        <f t="shared" si="199"/>
        <v>3.36</v>
      </c>
    </row>
    <row r="2492" spans="1:10" ht="15" customHeight="1">
      <c r="A2492" s="208" t="s">
        <v>39</v>
      </c>
      <c r="B2492" s="241" t="s">
        <v>14504</v>
      </c>
      <c r="C2492" s="1181" t="s">
        <v>14315</v>
      </c>
      <c r="D2492" s="161" t="str">
        <f>IF(B2492="SEPLAG",VLOOKUP(COMPOSIÇÕES!C2492,'MAPA COMPARATIVO'!A:B,2,FALSE),VLOOKUP(C2492,'NAO DESO'!A:B,2,0))</f>
        <v>PARAF. PANELA PHILIPS INOX 4,8 X32 PONTA PILOTO</v>
      </c>
      <c r="E2492" s="1194" t="s">
        <v>24</v>
      </c>
      <c r="F2492" s="242">
        <v>4</v>
      </c>
      <c r="G2492" s="242">
        <f>IF(B2492="SEPLAG",VLOOKUP(CONCATENATE("MEDIANA - ",C2492),COTAÇÃO,5,FALSE),VLOOKUP($C2492,'NAO DESO'!$A:$D,4,))</f>
        <v>0.95</v>
      </c>
      <c r="H2492" s="242">
        <f t="shared" si="198"/>
        <v>3.8</v>
      </c>
      <c r="I2492" s="54">
        <f>IF(B2492="SEPLAG",VLOOKUP(CONCATENATE("MEDIANA - ",C2492),COTAÇÃO,5,FALSE),VLOOKUP($C2492,DESON!$A:$D,4,))</f>
        <v>0.95</v>
      </c>
      <c r="J2492" s="209">
        <f t="shared" si="199"/>
        <v>3.8</v>
      </c>
    </row>
    <row r="2493" spans="1:10" ht="15" customHeight="1">
      <c r="A2493" s="208" t="s">
        <v>39</v>
      </c>
      <c r="B2493" s="241" t="s">
        <v>14504</v>
      </c>
      <c r="C2493" s="1181" t="s">
        <v>14316</v>
      </c>
      <c r="D2493" s="161" t="str">
        <f>IF(B2493="SEPLAG",VLOOKUP(COMPOSIÇÕES!C2493,'MAPA COMPARATIVO'!A:B,2,FALSE),VLOOKUP(C2493,'NAO DESO'!A:B,2,0))</f>
        <v>CHUMBADOR DE CM-063/060</v>
      </c>
      <c r="E2493" s="1194" t="s">
        <v>24</v>
      </c>
      <c r="F2493" s="242">
        <v>12</v>
      </c>
      <c r="G2493" s="242">
        <f>IF(B2493="SEPLAG",VLOOKUP(CONCATENATE("MEDIANA - ",C2493),COTAÇÃO,5,FALSE),VLOOKUP($C2493,'NAO DESO'!$A:$D,4,))</f>
        <v>0.86</v>
      </c>
      <c r="H2493" s="242">
        <f t="shared" si="198"/>
        <v>10.32</v>
      </c>
      <c r="I2493" s="54">
        <f>IF(B2493="SEPLAG",VLOOKUP(CONCATENATE("MEDIANA - ",C2493),COTAÇÃO,5,FALSE),VLOOKUP($C2493,DESON!$A:$D,4,))</f>
        <v>0.86</v>
      </c>
      <c r="J2493" s="209">
        <f t="shared" si="199"/>
        <v>10.32</v>
      </c>
    </row>
    <row r="2494" spans="1:10" ht="15" customHeight="1">
      <c r="A2494" s="208" t="s">
        <v>39</v>
      </c>
      <c r="B2494" s="241" t="s">
        <v>14504</v>
      </c>
      <c r="C2494" s="1181" t="s">
        <v>14317</v>
      </c>
      <c r="D2494" s="161" t="str">
        <f>IF(B2494="SEPLAG",VLOOKUP(COMPOSIÇÕES!C2494,'MAPA COMPARATIVO'!A:B,2,FALSE),VLOOKUP(C2494,'NAO DESO'!A:B,2,0))</f>
        <v>Silicone neutro incolor 280 g</v>
      </c>
      <c r="E2494" s="1194" t="s">
        <v>24</v>
      </c>
      <c r="F2494" s="242">
        <v>1</v>
      </c>
      <c r="G2494" s="242">
        <f>IF(B2494="SEPLAG",VLOOKUP(CONCATENATE("MEDIANA - ",C2494),COTAÇÃO,5,FALSE),VLOOKUP($C2494,'NAO DESO'!$A:$D,4,))</f>
        <v>43.9</v>
      </c>
      <c r="H2494" s="242">
        <f t="shared" si="198"/>
        <v>43.9</v>
      </c>
      <c r="I2494" s="54">
        <f>IF(B2494="SEPLAG",VLOOKUP(CONCATENATE("MEDIANA - ",C2494),COTAÇÃO,5,FALSE),VLOOKUP($C2494,DESON!$A:$D,4,))</f>
        <v>43.9</v>
      </c>
      <c r="J2494" s="209">
        <f t="shared" si="199"/>
        <v>43.9</v>
      </c>
    </row>
    <row r="2495" spans="1:10" ht="15" customHeight="1">
      <c r="A2495" s="208" t="s">
        <v>245</v>
      </c>
      <c r="B2495" s="241"/>
      <c r="C2495" s="1181">
        <v>10505</v>
      </c>
      <c r="D2495" s="161" t="str">
        <f>IF(B2495="SEPLAG",VLOOKUP(COMPOSIÇÕES!C2495,'MAPA COMPARATIVO'!A:B,2,FALSE),VLOOKUP(C2495,'NAO DESO'!A:B,2,0))</f>
        <v>VIDRO TEMPERADO INCOLOR E = 6 MM, SEM COLOCACAO</v>
      </c>
      <c r="E2495" s="241" t="str">
        <f>VLOOKUP($C2495,'NAO DESO'!$A:$D,3,)</f>
        <v xml:space="preserve">M2    </v>
      </c>
      <c r="F2495" s="242">
        <v>0.81</v>
      </c>
      <c r="G2495" s="242">
        <f>IF(B2495="SEPLAG",VLOOKUP(CONCATENATE("MEDIANA - ",C2495),COTAÇÃO,5,FALSE),VLOOKUP($C2495,'NAO DESO'!$A:$D,4,))</f>
        <v>272.77</v>
      </c>
      <c r="H2495" s="242">
        <f t="shared" si="198"/>
        <v>220.94</v>
      </c>
      <c r="I2495" s="54" t="str">
        <f>IF(B2495="SEPLAG",VLOOKUP(CONCATENATE("MEDIANA - ",C2495),COTAÇÃO,5,FALSE),VLOOKUP($C2495,DESON!$A:$D,4,))</f>
        <v>272,77</v>
      </c>
      <c r="J2495" s="209">
        <f t="shared" si="199"/>
        <v>220.94</v>
      </c>
    </row>
    <row r="2496" spans="1:10" ht="15" customHeight="1">
      <c r="A2496" s="208" t="s">
        <v>245</v>
      </c>
      <c r="B2496" s="241"/>
      <c r="C2496" s="1181">
        <v>88315</v>
      </c>
      <c r="D2496" s="161" t="str">
        <f>IF(B2496="SEPLAG",VLOOKUP(COMPOSIÇÕES!C2496,'MAPA COMPARATIVO'!A:B,2,FALSE),VLOOKUP(C2496,'NAO DESO'!A:B,2,0))</f>
        <v>SERRALHEIRO COM ENCARGOS COMPLEMENTARES</v>
      </c>
      <c r="E2496" s="241" t="str">
        <f>VLOOKUP($C2496,'NAO DESO'!$A:$D,3,)</f>
        <v>H</v>
      </c>
      <c r="F2496" s="242">
        <v>3</v>
      </c>
      <c r="G2496" s="242" t="str">
        <f>IF(B2496="SEPLAG",VLOOKUP(CONCATENATE("MEDIANA - ",C2496),COTAÇÃO,5,FALSE),VLOOKUP($C2496,'NAO DESO'!$A:$D,4,))</f>
        <v>20,97</v>
      </c>
      <c r="H2496" s="242">
        <f t="shared" si="198"/>
        <v>62.91</v>
      </c>
      <c r="I2496" s="54" t="str">
        <f>IF(B2496="SEPLAG",VLOOKUP(CONCATENATE("MEDIANA - ",C2496),COTAÇÃO,5,FALSE),VLOOKUP($C2496,DESON!$A:$D,4,))</f>
        <v>18,75</v>
      </c>
      <c r="J2496" s="209">
        <f t="shared" si="199"/>
        <v>56.25</v>
      </c>
    </row>
    <row r="2497" spans="1:10" ht="15" customHeight="1">
      <c r="A2497" s="208" t="s">
        <v>245</v>
      </c>
      <c r="B2497" s="241"/>
      <c r="C2497" s="1181">
        <v>88316</v>
      </c>
      <c r="D2497" s="161" t="str">
        <f>IF(B2497="SEPLAG",VLOOKUP(COMPOSIÇÕES!C2497,'MAPA COMPARATIVO'!A:B,2,FALSE),VLOOKUP(C2497,'NAO DESO'!A:B,2,0))</f>
        <v>SERVENTE COM ENCARGOS COMPLEMENTARES</v>
      </c>
      <c r="E2497" s="241" t="str">
        <f>VLOOKUP($C2497,'NAO DESO'!$A:$D,3,)</f>
        <v>H</v>
      </c>
      <c r="F2497" s="242">
        <f>F2496</f>
        <v>3</v>
      </c>
      <c r="G2497" s="242" t="str">
        <f>IF(B2497="SEPLAG",VLOOKUP(CONCATENATE("MEDIANA - ",C2497),COTAÇÃO,5,FALSE),VLOOKUP($C2497,'NAO DESO'!$A:$D,4,))</f>
        <v>16,83</v>
      </c>
      <c r="H2497" s="242">
        <f t="shared" si="198"/>
        <v>50.49</v>
      </c>
      <c r="I2497" s="54" t="str">
        <f>IF(B2497="SEPLAG",VLOOKUP(CONCATENATE("MEDIANA - ",C2497),COTAÇÃO,5,FALSE),VLOOKUP($C2497,DESON!$A:$D,4,))</f>
        <v>15,16</v>
      </c>
      <c r="J2497" s="209">
        <f t="shared" si="199"/>
        <v>45.48</v>
      </c>
    </row>
    <row r="2498" spans="1:10" ht="15" customHeight="1">
      <c r="A2498" s="210" t="str">
        <f>CONCATENATE("TOTAL DO ITEM NÃO DESON. - ",C2481)</f>
        <v>TOTAL DO ITEM NÃO DESON. - SEPLAG  ARQ 160</v>
      </c>
      <c r="B2498" s="424"/>
      <c r="C2498" s="424"/>
      <c r="D2498" s="424"/>
      <c r="E2498" s="424"/>
      <c r="F2498" s="425"/>
      <c r="G2498" s="426"/>
      <c r="H2498" s="1182">
        <f>SUM(H2483:H2497)</f>
        <v>735.43</v>
      </c>
      <c r="I2498" s="214"/>
      <c r="J2498" s="215"/>
    </row>
    <row r="2499" spans="1:10" ht="15.75" customHeight="1" thickBot="1">
      <c r="A2499" s="216" t="str">
        <f>CONCATENATE("TOTAL DO ITEM DESON. - ",C2481)</f>
        <v>TOTAL DO ITEM DESON. - SEPLAG  ARQ 160</v>
      </c>
      <c r="B2499" s="427"/>
      <c r="C2499" s="427"/>
      <c r="D2499" s="427"/>
      <c r="E2499" s="427"/>
      <c r="F2499" s="428"/>
      <c r="G2499" s="429"/>
      <c r="H2499" s="1187"/>
      <c r="I2499" s="229"/>
      <c r="J2499" s="219">
        <f>SUM(J2483:J2497)</f>
        <v>723.76</v>
      </c>
    </row>
    <row r="2500" spans="1:10" ht="15" customHeight="1" thickBot="1">
      <c r="A2500" s="253"/>
      <c r="B2500" s="1145"/>
      <c r="C2500" s="1145"/>
      <c r="D2500" s="1145"/>
      <c r="E2500" s="1145"/>
      <c r="F2500" s="1215"/>
      <c r="G2500" s="1215"/>
      <c r="H2500" s="1216"/>
      <c r="I2500" s="254"/>
      <c r="J2500" s="255"/>
    </row>
    <row r="2501" spans="1:10" ht="15" customHeight="1">
      <c r="A2501" s="198"/>
      <c r="B2501" s="1175"/>
      <c r="C2501" s="1176" t="s">
        <v>14649</v>
      </c>
      <c r="D2501" s="156" t="s">
        <v>14650</v>
      </c>
      <c r="E2501" s="1176" t="s">
        <v>32</v>
      </c>
      <c r="F2501" s="1177" t="s">
        <v>18</v>
      </c>
      <c r="G2501" s="1178" t="s">
        <v>7017</v>
      </c>
      <c r="H2501" s="1179"/>
      <c r="I2501" s="200" t="s">
        <v>7016</v>
      </c>
      <c r="J2501" s="201"/>
    </row>
    <row r="2502" spans="1:10" ht="15" customHeight="1">
      <c r="A2502" s="233"/>
      <c r="B2502" s="247"/>
      <c r="C2502" s="1155"/>
      <c r="D2502" s="157"/>
      <c r="E2502" s="1155"/>
      <c r="F2502" s="1180"/>
      <c r="G2502" s="1180" t="s">
        <v>19</v>
      </c>
      <c r="H2502" s="1180" t="s">
        <v>20</v>
      </c>
      <c r="I2502" s="205" t="s">
        <v>19</v>
      </c>
      <c r="J2502" s="206" t="s">
        <v>20</v>
      </c>
    </row>
    <row r="2503" spans="1:10" ht="15" customHeight="1">
      <c r="A2503" s="208" t="s">
        <v>39</v>
      </c>
      <c r="B2503" s="241"/>
      <c r="C2503" s="241">
        <v>34360</v>
      </c>
      <c r="D2503" s="161" t="s">
        <v>14634</v>
      </c>
      <c r="E2503" s="1194" t="s">
        <v>133</v>
      </c>
      <c r="F2503" s="242">
        <v>6.11</v>
      </c>
      <c r="G2503" s="242">
        <f>IF(B2503="SEPLAG",VLOOKUP(CONCATENATE("MEDIANA - ",C2503),COTAÇÃO,5,FALSE),VLOOKUP($C2503,'NAO DESO'!$A:$D,4,))</f>
        <v>47.31</v>
      </c>
      <c r="H2503" s="242">
        <f t="shared" ref="H2503:H2517" si="200">TRUNC(F2503*G2503,2)</f>
        <v>289.06</v>
      </c>
      <c r="I2503" s="54" t="str">
        <f>IF(B2503="SEPLAG",VLOOKUP(CONCATENATE("MEDIANA - ",C2503),COTAÇÃO,5,FALSE),VLOOKUP($C2503,DESON!$A:$D,4,))</f>
        <v>47,31</v>
      </c>
      <c r="J2503" s="209">
        <f t="shared" ref="J2503:J2517" si="201">TRUNC(F2503*I2503,2)</f>
        <v>289.06</v>
      </c>
    </row>
    <row r="2504" spans="1:10" ht="15" customHeight="1">
      <c r="A2504" s="208" t="s">
        <v>39</v>
      </c>
      <c r="B2504" s="241" t="s">
        <v>14504</v>
      </c>
      <c r="C2504" s="1181" t="s">
        <v>14307</v>
      </c>
      <c r="D2504" s="161" t="str">
        <f>IF(B2504="SEPLAG",VLOOKUP(COMPOSIÇÕES!C2504,'MAPA COMPARATIVO'!A:B,2,FALSE),VLOOKUP(C2504,'NAO DESO'!A:B,2,0))</f>
        <v xml:space="preserve">Braço de max-ar linha gold de 600mm </v>
      </c>
      <c r="E2504" s="1194" t="s">
        <v>24</v>
      </c>
      <c r="F2504" s="242">
        <v>1</v>
      </c>
      <c r="G2504" s="242">
        <f>IF(B2504="SEPLAG",VLOOKUP(CONCATENATE("MEDIANA - ",C2504),COTAÇÃO,5,FALSE),VLOOKUP($C2504,'NAO DESO'!$A:$D,4,))</f>
        <v>36.575000000000003</v>
      </c>
      <c r="H2504" s="242">
        <f t="shared" si="200"/>
        <v>36.57</v>
      </c>
      <c r="I2504" s="54">
        <f>IF(B2504="SEPLAG",VLOOKUP(CONCATENATE("MEDIANA - ",C2504),COTAÇÃO,5,FALSE),VLOOKUP($C2504,DESON!$A:$D,4,))</f>
        <v>36.575000000000003</v>
      </c>
      <c r="J2504" s="209">
        <f t="shared" si="201"/>
        <v>36.57</v>
      </c>
    </row>
    <row r="2505" spans="1:10" ht="15" customHeight="1">
      <c r="A2505" s="208" t="s">
        <v>39</v>
      </c>
      <c r="B2505" s="241" t="s">
        <v>14504</v>
      </c>
      <c r="C2505" s="1181" t="s">
        <v>14308</v>
      </c>
      <c r="D2505" s="161" t="str">
        <f>IF(B2505="SEPLAG",VLOOKUP(COMPOSIÇÕES!C2505,'MAPA COMPARATIVO'!A:B,2,FALSE),VLOOKUP(C2505,'NAO DESO'!A:B,2,0))</f>
        <v>Fecho max-ar linha gold</v>
      </c>
      <c r="E2505" s="1194" t="s">
        <v>24</v>
      </c>
      <c r="F2505" s="242">
        <v>1</v>
      </c>
      <c r="G2505" s="242">
        <f>IF(B2505="SEPLAG",VLOOKUP(CONCATENATE("MEDIANA - ",C2505),COTAÇÃO,5,FALSE),VLOOKUP($C2505,'NAO DESO'!$A:$D,4,))</f>
        <v>47.36</v>
      </c>
      <c r="H2505" s="242">
        <f t="shared" si="200"/>
        <v>47.36</v>
      </c>
      <c r="I2505" s="54">
        <f>IF(B2505="SEPLAG",VLOOKUP(CONCATENATE("MEDIANA - ",C2505),COTAÇÃO,5,FALSE),VLOOKUP($C2505,DESON!$A:$D,4,))</f>
        <v>47.36</v>
      </c>
      <c r="J2505" s="209">
        <f t="shared" si="201"/>
        <v>47.36</v>
      </c>
    </row>
    <row r="2506" spans="1:10" ht="15" customHeight="1">
      <c r="A2506" s="208" t="s">
        <v>39</v>
      </c>
      <c r="B2506" s="241" t="s">
        <v>14504</v>
      </c>
      <c r="C2506" s="1181" t="s">
        <v>14309</v>
      </c>
      <c r="D2506" s="161" t="str">
        <f>IF(B2506="SEPLAG",VLOOKUP(COMPOSIÇÕES!C2506,'MAPA COMPARATIVO'!A:B,2,FALSE),VLOOKUP(C2506,'NAO DESO'!A:B,2,0))</f>
        <v>Guarnição em EPDM p/ pingadeira</v>
      </c>
      <c r="E2506" s="1194" t="s">
        <v>250</v>
      </c>
      <c r="F2506" s="242">
        <v>1.04</v>
      </c>
      <c r="G2506" s="242">
        <f>IF(B2506="SEPLAG",VLOOKUP(CONCATENATE("MEDIANA - ",C2506),COTAÇÃO,5,FALSE),VLOOKUP($C2506,'NAO DESO'!$A:$D,4,))</f>
        <v>4.3849999999999998</v>
      </c>
      <c r="H2506" s="242">
        <f t="shared" si="200"/>
        <v>4.5599999999999996</v>
      </c>
      <c r="I2506" s="54">
        <f>IF(B2506="SEPLAG",VLOOKUP(CONCATENATE("MEDIANA - ",C2506),COTAÇÃO,5,FALSE),VLOOKUP($C2506,DESON!$A:$D,4,))</f>
        <v>4.3849999999999998</v>
      </c>
      <c r="J2506" s="209">
        <f t="shared" si="201"/>
        <v>4.5599999999999996</v>
      </c>
    </row>
    <row r="2507" spans="1:10" ht="15" customHeight="1">
      <c r="A2507" s="208" t="s">
        <v>39</v>
      </c>
      <c r="B2507" s="241" t="s">
        <v>14504</v>
      </c>
      <c r="C2507" s="1181" t="s">
        <v>14310</v>
      </c>
      <c r="D2507" s="161" t="str">
        <f>IF(B2507="SEPLAG",VLOOKUP(COMPOSIÇÕES!C2507,'MAPA COMPARATIVO'!A:B,2,FALSE),VLOOKUP(C2507,'NAO DESO'!A:B,2,0))</f>
        <v>Guarnição em EPDM para vidro</v>
      </c>
      <c r="E2507" s="1194" t="s">
        <v>250</v>
      </c>
      <c r="F2507" s="242">
        <v>4.25</v>
      </c>
      <c r="G2507" s="242">
        <f>IF(B2507="SEPLAG",VLOOKUP(CONCATENATE("MEDIANA - ",C2507),COTAÇÃO,5,FALSE),VLOOKUP($C2507,'NAO DESO'!$A:$D,4,))</f>
        <v>2.4091999999999998</v>
      </c>
      <c r="H2507" s="242">
        <f t="shared" si="200"/>
        <v>10.23</v>
      </c>
      <c r="I2507" s="54">
        <f>IF(B2507="SEPLAG",VLOOKUP(CONCATENATE("MEDIANA - ",C2507),COTAÇÃO,5,FALSE),VLOOKUP($C2507,DESON!$A:$D,4,))</f>
        <v>2.4091999999999998</v>
      </c>
      <c r="J2507" s="209">
        <f t="shared" si="201"/>
        <v>10.23</v>
      </c>
    </row>
    <row r="2508" spans="1:10" ht="15" customHeight="1">
      <c r="A2508" s="208" t="s">
        <v>39</v>
      </c>
      <c r="B2508" s="241" t="s">
        <v>14504</v>
      </c>
      <c r="C2508" s="1181" t="s">
        <v>14311</v>
      </c>
      <c r="D2508" s="161" t="str">
        <f>IF(B2508="SEPLAG",VLOOKUP(COMPOSIÇÕES!C2508,'MAPA COMPARATIVO'!A:B,2,FALSE),VLOOKUP(C2508,'NAO DESO'!A:B,2,0))</f>
        <v>Espuma adesiva 1 face</v>
      </c>
      <c r="E2508" s="1194" t="s">
        <v>250</v>
      </c>
      <c r="F2508" s="242">
        <v>4.25</v>
      </c>
      <c r="G2508" s="242">
        <f>IF(B2508="SEPLAG",VLOOKUP(CONCATENATE("MEDIANA - ",C2508),COTAÇÃO,5,FALSE),VLOOKUP($C2508,'NAO DESO'!$A:$D,4,))</f>
        <v>2.1800000000000002</v>
      </c>
      <c r="H2508" s="242">
        <f t="shared" si="200"/>
        <v>9.26</v>
      </c>
      <c r="I2508" s="54">
        <f>IF(B2508="SEPLAG",VLOOKUP(CONCATENATE("MEDIANA - ",C2508),COTAÇÃO,5,FALSE),VLOOKUP($C2508,DESON!$A:$D,4,))</f>
        <v>2.1800000000000002</v>
      </c>
      <c r="J2508" s="209">
        <f t="shared" si="201"/>
        <v>9.26</v>
      </c>
    </row>
    <row r="2509" spans="1:10" ht="15" customHeight="1">
      <c r="A2509" s="208" t="s">
        <v>39</v>
      </c>
      <c r="B2509" s="241" t="s">
        <v>14504</v>
      </c>
      <c r="C2509" s="1181" t="s">
        <v>14312</v>
      </c>
      <c r="D2509" s="161" t="str">
        <f>IF(B2509="SEPLAG",VLOOKUP(COMPOSIÇÕES!C2509,'MAPA COMPARATIVO'!A:B,2,FALSE),VLOOKUP(C2509,'NAO DESO'!A:B,2,0))</f>
        <v>Guarnição em EPDM p/ marco max-ar</v>
      </c>
      <c r="E2509" s="1194" t="s">
        <v>7388</v>
      </c>
      <c r="F2509" s="242">
        <v>4.78</v>
      </c>
      <c r="G2509" s="242">
        <f>IF(B2509="SEPLAG",VLOOKUP(CONCATENATE("MEDIANA - ",C2509),COTAÇÃO,5,FALSE),VLOOKUP($C2509,'NAO DESO'!$A:$D,4,))</f>
        <v>3.8138999999999998</v>
      </c>
      <c r="H2509" s="242">
        <f t="shared" si="200"/>
        <v>18.23</v>
      </c>
      <c r="I2509" s="54">
        <f>IF(B2509="SEPLAG",VLOOKUP(CONCATENATE("MEDIANA - ",C2509),COTAÇÃO,5,FALSE),VLOOKUP($C2509,DESON!$A:$D,4,))</f>
        <v>3.8138999999999998</v>
      </c>
      <c r="J2509" s="209">
        <f t="shared" si="201"/>
        <v>18.23</v>
      </c>
    </row>
    <row r="2510" spans="1:10" ht="15" customHeight="1">
      <c r="A2510" s="208" t="s">
        <v>39</v>
      </c>
      <c r="B2510" s="241" t="s">
        <v>14504</v>
      </c>
      <c r="C2510" s="1181" t="s">
        <v>14313</v>
      </c>
      <c r="D2510" s="161" t="str">
        <f>IF(B2510="SEPLAG",VLOOKUP(COMPOSIÇÕES!C2510,'MAPA COMPARATIVO'!A:B,2,FALSE),VLOOKUP(C2510,'NAO DESO'!A:B,2,0))</f>
        <v>PRESILHA DE FIXAÇÃO DO ARREMATE MP-347</v>
      </c>
      <c r="E2510" s="1194" t="s">
        <v>24</v>
      </c>
      <c r="F2510" s="242">
        <v>14</v>
      </c>
      <c r="G2510" s="242">
        <f>IF(B2510="SEPLAG",VLOOKUP(CONCATENATE("MEDIANA - ",C2510),COTAÇÃO,5,FALSE),VLOOKUP($C2510,'NAO DESO'!$A:$D,4,))</f>
        <v>0.34</v>
      </c>
      <c r="H2510" s="242">
        <f t="shared" si="200"/>
        <v>4.76</v>
      </c>
      <c r="I2510" s="54">
        <f>IF(B2510="SEPLAG",VLOOKUP(CONCATENATE("MEDIANA - ",C2510),COTAÇÃO,5,FALSE),VLOOKUP($C2510,DESON!$A:$D,4,))</f>
        <v>0.34</v>
      </c>
      <c r="J2510" s="209">
        <f t="shared" si="201"/>
        <v>4.76</v>
      </c>
    </row>
    <row r="2511" spans="1:10" ht="15" customHeight="1">
      <c r="A2511" s="208" t="s">
        <v>39</v>
      </c>
      <c r="B2511" s="241" t="s">
        <v>14504</v>
      </c>
      <c r="C2511" s="1181" t="s">
        <v>14314</v>
      </c>
      <c r="D2511" s="161" t="str">
        <f>IF(B2511="SEPLAG",VLOOKUP(COMPOSIÇÕES!C2511,'MAPA COMPARATIVO'!A:B,2,FALSE),VLOOKUP(C2511,'NAO DESO'!A:B,2,0))</f>
        <v>Parafuso zincado phillips flangeado autobrocante 4,2 x 16mm</v>
      </c>
      <c r="E2511" s="1194" t="s">
        <v>24</v>
      </c>
      <c r="F2511" s="242">
        <v>14</v>
      </c>
      <c r="G2511" s="242">
        <f>IF(B2511="SEPLAG",VLOOKUP(CONCATENATE("MEDIANA - ",C2511),COTAÇÃO,5,FALSE),VLOOKUP($C2511,'NAO DESO'!$A:$D,4,))</f>
        <v>0.28000000000000003</v>
      </c>
      <c r="H2511" s="242">
        <f t="shared" si="200"/>
        <v>3.92</v>
      </c>
      <c r="I2511" s="54">
        <f>IF(B2511="SEPLAG",VLOOKUP(CONCATENATE("MEDIANA - ",C2511),COTAÇÃO,5,FALSE),VLOOKUP($C2511,DESON!$A:$D,4,))</f>
        <v>0.28000000000000003</v>
      </c>
      <c r="J2511" s="209">
        <f t="shared" si="201"/>
        <v>3.92</v>
      </c>
    </row>
    <row r="2512" spans="1:10" ht="15" customHeight="1">
      <c r="A2512" s="208" t="s">
        <v>39</v>
      </c>
      <c r="B2512" s="241" t="s">
        <v>14504</v>
      </c>
      <c r="C2512" s="1181" t="s">
        <v>14315</v>
      </c>
      <c r="D2512" s="161" t="str">
        <f>IF(B2512="SEPLAG",VLOOKUP(COMPOSIÇÕES!C2512,'MAPA COMPARATIVO'!A:B,2,FALSE),VLOOKUP(C2512,'NAO DESO'!A:B,2,0))</f>
        <v>PARAF. PANELA PHILIPS INOX 4,8 X32 PONTA PILOTO</v>
      </c>
      <c r="E2512" s="1194" t="s">
        <v>24</v>
      </c>
      <c r="F2512" s="242">
        <v>4</v>
      </c>
      <c r="G2512" s="242">
        <f>IF(B2512="SEPLAG",VLOOKUP(CONCATENATE("MEDIANA - ",C2512),COTAÇÃO,5,FALSE),VLOOKUP($C2512,'NAO DESO'!$A:$D,4,))</f>
        <v>0.95</v>
      </c>
      <c r="H2512" s="242">
        <f t="shared" si="200"/>
        <v>3.8</v>
      </c>
      <c r="I2512" s="54">
        <f>IF(B2512="SEPLAG",VLOOKUP(CONCATENATE("MEDIANA - ",C2512),COTAÇÃO,5,FALSE),VLOOKUP($C2512,DESON!$A:$D,4,))</f>
        <v>0.95</v>
      </c>
      <c r="J2512" s="209">
        <f t="shared" si="201"/>
        <v>3.8</v>
      </c>
    </row>
    <row r="2513" spans="1:10" ht="15" customHeight="1">
      <c r="A2513" s="208" t="s">
        <v>39</v>
      </c>
      <c r="B2513" s="241" t="s">
        <v>14504</v>
      </c>
      <c r="C2513" s="1181" t="s">
        <v>14316</v>
      </c>
      <c r="D2513" s="161" t="str">
        <f>IF(B2513="SEPLAG",VLOOKUP(COMPOSIÇÕES!C2513,'MAPA COMPARATIVO'!A:B,2,FALSE),VLOOKUP(C2513,'NAO DESO'!A:B,2,0))</f>
        <v>CHUMBADOR DE CM-063/060</v>
      </c>
      <c r="E2513" s="1194" t="s">
        <v>24</v>
      </c>
      <c r="F2513" s="242">
        <v>14</v>
      </c>
      <c r="G2513" s="242">
        <f>IF(B2513="SEPLAG",VLOOKUP(CONCATENATE("MEDIANA - ",C2513),COTAÇÃO,5,FALSE),VLOOKUP($C2513,'NAO DESO'!$A:$D,4,))</f>
        <v>0.86</v>
      </c>
      <c r="H2513" s="242">
        <f t="shared" si="200"/>
        <v>12.04</v>
      </c>
      <c r="I2513" s="54">
        <f>IF(B2513="SEPLAG",VLOOKUP(CONCATENATE("MEDIANA - ",C2513),COTAÇÃO,5,FALSE),VLOOKUP($C2513,DESON!$A:$D,4,))</f>
        <v>0.86</v>
      </c>
      <c r="J2513" s="209">
        <f t="shared" si="201"/>
        <v>12.04</v>
      </c>
    </row>
    <row r="2514" spans="1:10" ht="15" customHeight="1">
      <c r="A2514" s="208" t="s">
        <v>39</v>
      </c>
      <c r="B2514" s="241" t="s">
        <v>14504</v>
      </c>
      <c r="C2514" s="1181" t="s">
        <v>14317</v>
      </c>
      <c r="D2514" s="161" t="str">
        <f>IF(B2514="SEPLAG",VLOOKUP(COMPOSIÇÕES!C2514,'MAPA COMPARATIVO'!A:B,2,FALSE),VLOOKUP(C2514,'NAO DESO'!A:B,2,0))</f>
        <v>Silicone neutro incolor 280 g</v>
      </c>
      <c r="E2514" s="1194" t="s">
        <v>24</v>
      </c>
      <c r="F2514" s="242">
        <v>1</v>
      </c>
      <c r="G2514" s="242">
        <f>IF(B2514="SEPLAG",VLOOKUP(CONCATENATE("MEDIANA - ",C2514),COTAÇÃO,5,FALSE),VLOOKUP($C2514,'NAO DESO'!$A:$D,4,))</f>
        <v>43.9</v>
      </c>
      <c r="H2514" s="242">
        <f t="shared" si="200"/>
        <v>43.9</v>
      </c>
      <c r="I2514" s="54">
        <f>IF(B2514="SEPLAG",VLOOKUP(CONCATENATE("MEDIANA - ",C2514),COTAÇÃO,5,FALSE),VLOOKUP($C2514,DESON!$A:$D,4,))</f>
        <v>43.9</v>
      </c>
      <c r="J2514" s="209">
        <f t="shared" si="201"/>
        <v>43.9</v>
      </c>
    </row>
    <row r="2515" spans="1:10" ht="15" customHeight="1">
      <c r="A2515" s="208" t="s">
        <v>245</v>
      </c>
      <c r="B2515" s="241"/>
      <c r="C2515" s="1181">
        <v>10505</v>
      </c>
      <c r="D2515" s="161" t="str">
        <f>IF(B2515="SEPLAG",VLOOKUP(COMPOSIÇÕES!C2515,'MAPA COMPARATIVO'!A:B,2,FALSE),VLOOKUP(C2515,'NAO DESO'!A:B,2,0))</f>
        <v>VIDRO TEMPERADO INCOLOR E = 6 MM, SEM COLOCACAO</v>
      </c>
      <c r="E2515" s="241" t="str">
        <f>VLOOKUP($C2515,'NAO DESO'!$A:$D,3,)</f>
        <v xml:space="preserve">M2    </v>
      </c>
      <c r="F2515" s="242">
        <v>1.4</v>
      </c>
      <c r="G2515" s="242">
        <f>IF(B2515="SEPLAG",VLOOKUP(CONCATENATE("MEDIANA - ",C2515),COTAÇÃO,5,FALSE),VLOOKUP($C2515,'NAO DESO'!$A:$D,4,))</f>
        <v>272.77</v>
      </c>
      <c r="H2515" s="242">
        <f t="shared" si="200"/>
        <v>381.87</v>
      </c>
      <c r="I2515" s="54" t="str">
        <f>IF(B2515="SEPLAG",VLOOKUP(CONCATENATE("MEDIANA - ",C2515),COTAÇÃO,5,FALSE),VLOOKUP($C2515,DESON!$A:$D,4,))</f>
        <v>272,77</v>
      </c>
      <c r="J2515" s="209">
        <f t="shared" si="201"/>
        <v>381.87</v>
      </c>
    </row>
    <row r="2516" spans="1:10" ht="15" customHeight="1">
      <c r="A2516" s="208" t="s">
        <v>245</v>
      </c>
      <c r="B2516" s="241"/>
      <c r="C2516" s="1181">
        <v>88315</v>
      </c>
      <c r="D2516" s="161" t="str">
        <f>IF(B2516="SEPLAG",VLOOKUP(COMPOSIÇÕES!C2516,'MAPA COMPARATIVO'!A:B,2,FALSE),VLOOKUP(C2516,'NAO DESO'!A:B,2,0))</f>
        <v>SERRALHEIRO COM ENCARGOS COMPLEMENTARES</v>
      </c>
      <c r="E2516" s="241" t="str">
        <f>VLOOKUP($C2516,'NAO DESO'!$A:$D,3,)</f>
        <v>H</v>
      </c>
      <c r="F2516" s="242">
        <v>4</v>
      </c>
      <c r="G2516" s="242" t="str">
        <f>IF(B2516="SEPLAG",VLOOKUP(CONCATENATE("MEDIANA - ",C2516),COTAÇÃO,5,FALSE),VLOOKUP($C2516,'NAO DESO'!$A:$D,4,))</f>
        <v>20,97</v>
      </c>
      <c r="H2516" s="242">
        <f t="shared" si="200"/>
        <v>83.88</v>
      </c>
      <c r="I2516" s="54" t="str">
        <f>IF(B2516="SEPLAG",VLOOKUP(CONCATENATE("MEDIANA - ",C2516),COTAÇÃO,5,FALSE),VLOOKUP($C2516,DESON!$A:$D,4,))</f>
        <v>18,75</v>
      </c>
      <c r="J2516" s="209">
        <f t="shared" si="201"/>
        <v>75</v>
      </c>
    </row>
    <row r="2517" spans="1:10" ht="15" customHeight="1">
      <c r="A2517" s="208" t="s">
        <v>245</v>
      </c>
      <c r="B2517" s="241"/>
      <c r="C2517" s="1181">
        <v>88316</v>
      </c>
      <c r="D2517" s="161" t="str">
        <f>IF(B2517="SEPLAG",VLOOKUP(COMPOSIÇÕES!C2517,'MAPA COMPARATIVO'!A:B,2,FALSE),VLOOKUP(C2517,'NAO DESO'!A:B,2,0))</f>
        <v>SERVENTE COM ENCARGOS COMPLEMENTARES</v>
      </c>
      <c r="E2517" s="241" t="str">
        <f>VLOOKUP($C2517,'NAO DESO'!$A:$D,3,)</f>
        <v>H</v>
      </c>
      <c r="F2517" s="242">
        <f>F2516</f>
        <v>4</v>
      </c>
      <c r="G2517" s="242" t="str">
        <f>IF(B2517="SEPLAG",VLOOKUP(CONCATENATE("MEDIANA - ",C2517),COTAÇÃO,5,FALSE),VLOOKUP($C2517,'NAO DESO'!$A:$D,4,))</f>
        <v>16,83</v>
      </c>
      <c r="H2517" s="242">
        <f t="shared" si="200"/>
        <v>67.319999999999993</v>
      </c>
      <c r="I2517" s="54" t="str">
        <f>IF(B2517="SEPLAG",VLOOKUP(CONCATENATE("MEDIANA - ",C2517),COTAÇÃO,5,FALSE),VLOOKUP($C2517,DESON!$A:$D,4,))</f>
        <v>15,16</v>
      </c>
      <c r="J2517" s="209">
        <f t="shared" si="201"/>
        <v>60.64</v>
      </c>
    </row>
    <row r="2518" spans="1:10" ht="15" customHeight="1">
      <c r="A2518" s="210" t="str">
        <f>CONCATENATE("TOTAL DO ITEM NÃO DESON. - ",C2501)</f>
        <v>TOTAL DO ITEM NÃO DESON. - SEPLAG  ARQ 161</v>
      </c>
      <c r="B2518" s="424"/>
      <c r="C2518" s="424"/>
      <c r="D2518" s="424"/>
      <c r="E2518" s="424"/>
      <c r="F2518" s="425"/>
      <c r="G2518" s="426"/>
      <c r="H2518" s="1182">
        <f>SUM(H2503:H2517)</f>
        <v>1016.76</v>
      </c>
      <c r="I2518" s="214"/>
      <c r="J2518" s="215"/>
    </row>
    <row r="2519" spans="1:10" ht="15.75" customHeight="1" thickBot="1">
      <c r="A2519" s="216" t="str">
        <f>CONCATENATE("TOTAL DO ITEM DESON. - ",C2501)</f>
        <v>TOTAL DO ITEM DESON. - SEPLAG  ARQ 161</v>
      </c>
      <c r="B2519" s="427"/>
      <c r="C2519" s="427"/>
      <c r="D2519" s="427"/>
      <c r="E2519" s="427"/>
      <c r="F2519" s="428"/>
      <c r="G2519" s="429"/>
      <c r="H2519" s="1187"/>
      <c r="I2519" s="229"/>
      <c r="J2519" s="219">
        <f>SUM(J2503:J2517)</f>
        <v>1001.2</v>
      </c>
    </row>
    <row r="2520" spans="1:10" ht="15" customHeight="1" thickBot="1">
      <c r="A2520" s="253"/>
      <c r="B2520" s="1145"/>
      <c r="C2520" s="1145"/>
      <c r="D2520" s="1145"/>
      <c r="E2520" s="1145"/>
      <c r="F2520" s="1215"/>
      <c r="G2520" s="1215"/>
      <c r="H2520" s="1216"/>
      <c r="I2520" s="254"/>
      <c r="J2520" s="255"/>
    </row>
    <row r="2521" spans="1:10" ht="15" customHeight="1">
      <c r="A2521" s="198"/>
      <c r="B2521" s="1175"/>
      <c r="C2521" s="1176" t="s">
        <v>14676</v>
      </c>
      <c r="D2521" s="156" t="s">
        <v>14677</v>
      </c>
      <c r="E2521" s="1176" t="s">
        <v>32</v>
      </c>
      <c r="F2521" s="1177" t="s">
        <v>18</v>
      </c>
      <c r="G2521" s="1178" t="s">
        <v>7017</v>
      </c>
      <c r="H2521" s="1179"/>
      <c r="I2521" s="200" t="s">
        <v>7016</v>
      </c>
      <c r="J2521" s="201"/>
    </row>
    <row r="2522" spans="1:10" ht="15" customHeight="1">
      <c r="A2522" s="233"/>
      <c r="B2522" s="247"/>
      <c r="C2522" s="1155"/>
      <c r="D2522" s="157"/>
      <c r="E2522" s="1155"/>
      <c r="F2522" s="1180"/>
      <c r="G2522" s="1180" t="s">
        <v>19</v>
      </c>
      <c r="H2522" s="1180" t="s">
        <v>20</v>
      </c>
      <c r="I2522" s="205" t="s">
        <v>19</v>
      </c>
      <c r="J2522" s="206" t="s">
        <v>20</v>
      </c>
    </row>
    <row r="2523" spans="1:10" ht="26.25" customHeight="1">
      <c r="A2523" s="208" t="s">
        <v>39</v>
      </c>
      <c r="B2523" s="241"/>
      <c r="C2523" s="241">
        <v>11299</v>
      </c>
      <c r="D2523" s="161" t="str">
        <f>IF(B2523="SEPLAG",VLOOKUP(COMPOSIÇÕES!C2523,'MAPA COMPARATIVO'!A:B,2,FALSE),VLOOKUP(C2523,'NAO DESO'!A:B,2,0))</f>
        <v>TAMPAO FOFO SIMPLES, CLASSE A15 CARGA MAX 1,5 T, 550 X 1100 MM (COM INSCRICAO EM RELEVO DO TIPO DE REDE)</v>
      </c>
      <c r="E2523" s="241" t="str">
        <f>VLOOKUP($C2523,'NAO DESO'!$A:$D,3,)</f>
        <v xml:space="preserve">UN    </v>
      </c>
      <c r="F2523" s="242">
        <v>1</v>
      </c>
      <c r="G2523" s="242">
        <f>IF(B2523="SEPLAG",VLOOKUP(CONCATENATE("MEDIANA - ",C2523),COTAÇÃO,5,FALSE),VLOOKUP($C2523,'NAO DESO'!$A:$D,4,))</f>
        <v>856.74</v>
      </c>
      <c r="H2523" s="242">
        <f>TRUNC(F2523*G2523,2)</f>
        <v>856.74</v>
      </c>
      <c r="I2523" s="54" t="str">
        <f>IF(B2523="SEPLAG",VLOOKUP(CONCATENATE("MEDIANA - ",C2523),COTAÇÃO,5,FALSE),VLOOKUP($C2523,DESON!$A:$D,4,))</f>
        <v>856,74</v>
      </c>
      <c r="J2523" s="209">
        <f>TRUNC(F2523*I2523,2)</f>
        <v>856.74</v>
      </c>
    </row>
    <row r="2524" spans="1:10" ht="15" customHeight="1">
      <c r="A2524" s="208" t="s">
        <v>245</v>
      </c>
      <c r="B2524" s="241"/>
      <c r="C2524" s="1181">
        <v>88309</v>
      </c>
      <c r="D2524" s="161" t="str">
        <f>IF(B2524="SEPLAG",VLOOKUP(COMPOSIÇÕES!C2524,'MAPA COMPARATIVO'!A:B,2,FALSE),VLOOKUP(C2524,'NAO DESO'!A:B,2,0))</f>
        <v>PEDREIRO COM ENCARGOS COMPLEMENTARES</v>
      </c>
      <c r="E2524" s="241" t="str">
        <f>VLOOKUP($C2524,'NAO DESO'!$A:$D,3,)</f>
        <v>H</v>
      </c>
      <c r="F2524" s="242">
        <v>1</v>
      </c>
      <c r="G2524" s="242" t="str">
        <f>IF(B2524="SEPLAG",VLOOKUP(CONCATENATE("MEDIANA - ",C2524),COTAÇÃO,5,FALSE),VLOOKUP($C2524,'NAO DESO'!$A:$D,4,))</f>
        <v>21,10</v>
      </c>
      <c r="H2524" s="242">
        <f>TRUNC(F2524*G2524,2)</f>
        <v>21.1</v>
      </c>
      <c r="I2524" s="54" t="str">
        <f>IF(B2524="SEPLAG",VLOOKUP(CONCATENATE("MEDIANA - ",C2524),COTAÇÃO,5,FALSE),VLOOKUP($C2524,DESON!$A:$D,4,))</f>
        <v>18,86</v>
      </c>
      <c r="J2524" s="209">
        <f>TRUNC(F2524*I2524,2)</f>
        <v>18.86</v>
      </c>
    </row>
    <row r="2525" spans="1:10" ht="15" customHeight="1">
      <c r="A2525" s="208" t="s">
        <v>245</v>
      </c>
      <c r="B2525" s="241"/>
      <c r="C2525" s="1181">
        <v>88316</v>
      </c>
      <c r="D2525" s="161" t="str">
        <f>IF(B2525="SEPLAG",VLOOKUP(COMPOSIÇÕES!C2525,'MAPA COMPARATIVO'!A:B,2,FALSE),VLOOKUP(C2525,'NAO DESO'!A:B,2,0))</f>
        <v>SERVENTE COM ENCARGOS COMPLEMENTARES</v>
      </c>
      <c r="E2525" s="241" t="str">
        <f>VLOOKUP($C2525,'NAO DESO'!$A:$D,3,)</f>
        <v>H</v>
      </c>
      <c r="F2525" s="242">
        <v>1</v>
      </c>
      <c r="G2525" s="242" t="str">
        <f>IF(B2525="SEPLAG",VLOOKUP(CONCATENATE("MEDIANA - ",C2525),COTAÇÃO,5,FALSE),VLOOKUP($C2525,'NAO DESO'!$A:$D,4,))</f>
        <v>16,83</v>
      </c>
      <c r="H2525" s="242">
        <f>TRUNC(F2525*G2525,2)</f>
        <v>16.829999999999998</v>
      </c>
      <c r="I2525" s="54" t="str">
        <f>IF(B2525="SEPLAG",VLOOKUP(CONCATENATE("MEDIANA - ",C2525),COTAÇÃO,5,FALSE),VLOOKUP($C2525,DESON!$A:$D,4,))</f>
        <v>15,16</v>
      </c>
      <c r="J2525" s="209">
        <f>TRUNC(F2525*I2525,2)</f>
        <v>15.16</v>
      </c>
    </row>
    <row r="2526" spans="1:10" ht="15" customHeight="1">
      <c r="A2526" s="210" t="str">
        <f>CONCATENATE("TOTAL DO ITEM NÃO DESON. - ",C2521)</f>
        <v>TOTAL DO ITEM NÃO DESON. - SEPLAG  ARQ 162</v>
      </c>
      <c r="B2526" s="424"/>
      <c r="C2526" s="424"/>
      <c r="D2526" s="424"/>
      <c r="E2526" s="424"/>
      <c r="F2526" s="425"/>
      <c r="G2526" s="426"/>
      <c r="H2526" s="1182">
        <f>SUM(H2523:H2525)</f>
        <v>894.67000000000007</v>
      </c>
      <c r="I2526" s="214"/>
      <c r="J2526" s="215"/>
    </row>
    <row r="2527" spans="1:10" ht="15.75" customHeight="1" thickBot="1">
      <c r="A2527" s="216" t="str">
        <f>CONCATENATE("TOTAL DO ITEM DESON. - ",C2521)</f>
        <v>TOTAL DO ITEM DESON. - SEPLAG  ARQ 162</v>
      </c>
      <c r="B2527" s="427"/>
      <c r="C2527" s="427"/>
      <c r="D2527" s="427"/>
      <c r="E2527" s="427"/>
      <c r="F2527" s="428"/>
      <c r="G2527" s="429"/>
      <c r="H2527" s="1187"/>
      <c r="I2527" s="229"/>
      <c r="J2527" s="219">
        <f>SUM(J2523:J2525)</f>
        <v>890.76</v>
      </c>
    </row>
    <row r="2528" spans="1:10" ht="15" customHeight="1" thickBot="1">
      <c r="A2528" s="253"/>
      <c r="B2528" s="1145"/>
      <c r="C2528" s="1145"/>
      <c r="D2528" s="1145"/>
      <c r="E2528" s="1145"/>
      <c r="F2528" s="1215"/>
      <c r="G2528" s="1215"/>
      <c r="H2528" s="1216"/>
      <c r="I2528" s="254"/>
      <c r="J2528" s="255"/>
    </row>
    <row r="2529" spans="1:10" ht="25.5" customHeight="1">
      <c r="A2529" s="198"/>
      <c r="B2529" s="1175"/>
      <c r="C2529" s="1176" t="s">
        <v>14681</v>
      </c>
      <c r="D2529" s="156" t="s">
        <v>14682</v>
      </c>
      <c r="E2529" s="1176" t="s">
        <v>32</v>
      </c>
      <c r="F2529" s="1177" t="s">
        <v>18</v>
      </c>
      <c r="G2529" s="1178" t="s">
        <v>7017</v>
      </c>
      <c r="H2529" s="1179"/>
      <c r="I2529" s="200" t="s">
        <v>7016</v>
      </c>
      <c r="J2529" s="201"/>
    </row>
    <row r="2530" spans="1:10" ht="15" customHeight="1">
      <c r="A2530" s="233"/>
      <c r="B2530" s="247"/>
      <c r="C2530" s="1155"/>
      <c r="D2530" s="157"/>
      <c r="E2530" s="1155"/>
      <c r="F2530" s="1180"/>
      <c r="G2530" s="1180" t="s">
        <v>19</v>
      </c>
      <c r="H2530" s="1180" t="s">
        <v>20</v>
      </c>
      <c r="I2530" s="205" t="s">
        <v>19</v>
      </c>
      <c r="J2530" s="206" t="s">
        <v>20</v>
      </c>
    </row>
    <row r="2531" spans="1:10" ht="15" customHeight="1">
      <c r="A2531" s="208" t="s">
        <v>39</v>
      </c>
      <c r="B2531" s="241"/>
      <c r="C2531" s="241">
        <v>11051</v>
      </c>
      <c r="D2531" s="161" t="str">
        <f>IF(B2531="SEPLAG",VLOOKUP(COMPOSIÇÕES!C2531,'MAPA COMPARATIVO'!A:B,2,FALSE),VLOOKUP(C2531,'NAO DESO'!A:B,2,0))</f>
        <v>CHAPA DE ACO GALVANIZADA BITOLA GSG 26, E = 0,50 MM (4,00 KG/M2)</v>
      </c>
      <c r="E2531" s="241" t="str">
        <f>VLOOKUP($C2531,'NAO DESO'!$A:$D,3,)</f>
        <v xml:space="preserve">KG    </v>
      </c>
      <c r="F2531" s="242">
        <v>4</v>
      </c>
      <c r="G2531" s="242">
        <f>IF(B2531="SEPLAG",VLOOKUP(CONCATENATE("MEDIANA - ",C2531),COTAÇÃO,5,FALSE),VLOOKUP($C2531,'NAO DESO'!$A:$D,4,))</f>
        <v>15.75</v>
      </c>
      <c r="H2531" s="242">
        <f>TRUNC(F2531*G2531,2)</f>
        <v>63</v>
      </c>
      <c r="I2531" s="54" t="str">
        <f>IF(B2531="SEPLAG",VLOOKUP(CONCATENATE("MEDIANA - ",C2531),COTAÇÃO,5,FALSE),VLOOKUP($C2531,DESON!$A:$D,4,))</f>
        <v>15,75</v>
      </c>
      <c r="J2531" s="209">
        <f>TRUNC(F2531*I2531,2)</f>
        <v>63</v>
      </c>
    </row>
    <row r="2532" spans="1:10" ht="39" customHeight="1">
      <c r="A2532" s="208" t="s">
        <v>39</v>
      </c>
      <c r="B2532" s="241"/>
      <c r="C2532" s="241">
        <v>4315</v>
      </c>
      <c r="D2532" s="161" t="str">
        <f>IF(B2532="SEPLAG",VLOOKUP(COMPOSIÇÕES!C2532,'MAPA COMPARATIVO'!A:B,2,FALSE),VLOOKUP(C2532,'NAO DESO'!A:B,2,0))</f>
        <v>GANCHO CHATO EM FERRO GALVANIZADO,  L = 110 MM, RECOBRIMENTO = 100MM, SECAO 1/8 X 1/2" (3 MM X 12 MM), PARA FIXAR TELHA DE FIBROCIMENTO ONDULADA</v>
      </c>
      <c r="E2532" s="241" t="str">
        <f>VLOOKUP($C2532,'NAO DESO'!$A:$D,3,)</f>
        <v xml:space="preserve">UN    </v>
      </c>
      <c r="F2532" s="242">
        <v>3</v>
      </c>
      <c r="G2532" s="242">
        <f>IF(B2532="SEPLAG",VLOOKUP(CONCATENATE("MEDIANA - ",C2532),COTAÇÃO,5,FALSE),VLOOKUP($C2532,'NAO DESO'!$A:$D,4,))</f>
        <v>2.19</v>
      </c>
      <c r="H2532" s="242">
        <f>TRUNC(F2532*G2532,2)</f>
        <v>6.57</v>
      </c>
      <c r="I2532" s="54" t="str">
        <f>IF(B2532="SEPLAG",VLOOKUP(CONCATENATE("MEDIANA - ",C2532),COTAÇÃO,5,FALSE),VLOOKUP($C2532,DESON!$A:$D,4,))</f>
        <v>2,19</v>
      </c>
      <c r="J2532" s="209">
        <f>TRUNC(F2532*I2532,2)</f>
        <v>6.57</v>
      </c>
    </row>
    <row r="2533" spans="1:10" ht="15" customHeight="1">
      <c r="A2533" s="208" t="s">
        <v>245</v>
      </c>
      <c r="B2533" s="241"/>
      <c r="C2533" s="1181">
        <v>88309</v>
      </c>
      <c r="D2533" s="161" t="str">
        <f>IF(B2533="SEPLAG",VLOOKUP(COMPOSIÇÕES!C2533,'MAPA COMPARATIVO'!A:B,2,FALSE),VLOOKUP(C2533,'NAO DESO'!A:B,2,0))</f>
        <v>PEDREIRO COM ENCARGOS COMPLEMENTARES</v>
      </c>
      <c r="E2533" s="241" t="str">
        <f>VLOOKUP($C2533,'NAO DESO'!$A:$D,3,)</f>
        <v>H</v>
      </c>
      <c r="F2533" s="242">
        <v>0.2</v>
      </c>
      <c r="G2533" s="242" t="str">
        <f>IF(B2533="SEPLAG",VLOOKUP(CONCATENATE("MEDIANA - ",C2533),COTAÇÃO,5,FALSE),VLOOKUP($C2533,'NAO DESO'!$A:$D,4,))</f>
        <v>21,10</v>
      </c>
      <c r="H2533" s="242">
        <f>TRUNC(F2533*G2533,2)</f>
        <v>4.22</v>
      </c>
      <c r="I2533" s="54" t="str">
        <f>IF(B2533="SEPLAG",VLOOKUP(CONCATENATE("MEDIANA - ",C2533),COTAÇÃO,5,FALSE),VLOOKUP($C2533,DESON!$A:$D,4,))</f>
        <v>18,86</v>
      </c>
      <c r="J2533" s="209">
        <f>TRUNC(F2533*I2533,2)</f>
        <v>3.77</v>
      </c>
    </row>
    <row r="2534" spans="1:10" ht="15" customHeight="1">
      <c r="A2534" s="208" t="s">
        <v>245</v>
      </c>
      <c r="B2534" s="241"/>
      <c r="C2534" s="1181">
        <v>88316</v>
      </c>
      <c r="D2534" s="161" t="str">
        <f>IF(B2534="SEPLAG",VLOOKUP(COMPOSIÇÕES!C2534,'MAPA COMPARATIVO'!A:B,2,FALSE),VLOOKUP(C2534,'NAO DESO'!A:B,2,0))</f>
        <v>SERVENTE COM ENCARGOS COMPLEMENTARES</v>
      </c>
      <c r="E2534" s="241" t="str">
        <f>VLOOKUP($C2534,'NAO DESO'!$A:$D,3,)</f>
        <v>H</v>
      </c>
      <c r="F2534" s="242">
        <v>0.2</v>
      </c>
      <c r="G2534" s="242" t="str">
        <f>IF(B2534="SEPLAG",VLOOKUP(CONCATENATE("MEDIANA - ",C2534),COTAÇÃO,5,FALSE),VLOOKUP($C2534,'NAO DESO'!$A:$D,4,))</f>
        <v>16,83</v>
      </c>
      <c r="H2534" s="242">
        <f>TRUNC(F2534*G2534,2)</f>
        <v>3.36</v>
      </c>
      <c r="I2534" s="54" t="str">
        <f>IF(B2534="SEPLAG",VLOOKUP(CONCATENATE("MEDIANA - ",C2534),COTAÇÃO,5,FALSE),VLOOKUP($C2534,DESON!$A:$D,4,))</f>
        <v>15,16</v>
      </c>
      <c r="J2534" s="209">
        <f>TRUNC(F2534*I2534,2)</f>
        <v>3.03</v>
      </c>
    </row>
    <row r="2535" spans="1:10" ht="15" customHeight="1">
      <c r="A2535" s="210" t="str">
        <f>CONCATENATE("TOTAL DO ITEM NÃO DESON. - ",C2529)</f>
        <v>TOTAL DO ITEM NÃO DESON. - SEPLAG  ARQ 163</v>
      </c>
      <c r="B2535" s="424"/>
      <c r="C2535" s="424"/>
      <c r="D2535" s="424"/>
      <c r="E2535" s="424"/>
      <c r="F2535" s="425"/>
      <c r="G2535" s="426"/>
      <c r="H2535" s="1182">
        <f>SUM(H2531:H2534)</f>
        <v>77.149999999999991</v>
      </c>
      <c r="I2535" s="214"/>
      <c r="J2535" s="215"/>
    </row>
    <row r="2536" spans="1:10" ht="15.75" customHeight="1" thickBot="1">
      <c r="A2536" s="216" t="str">
        <f>CONCATENATE("TOTAL DO ITEM DESON. - ",C2529)</f>
        <v>TOTAL DO ITEM DESON. - SEPLAG  ARQ 163</v>
      </c>
      <c r="B2536" s="427"/>
      <c r="C2536" s="427"/>
      <c r="D2536" s="427"/>
      <c r="E2536" s="427"/>
      <c r="F2536" s="428"/>
      <c r="G2536" s="429"/>
      <c r="H2536" s="1187"/>
      <c r="I2536" s="229"/>
      <c r="J2536" s="219">
        <f>SUM(J2531:J2534)</f>
        <v>76.36999999999999</v>
      </c>
    </row>
    <row r="2537" spans="1:10" ht="15" customHeight="1" thickBot="1">
      <c r="A2537" s="253"/>
      <c r="B2537" s="1145"/>
      <c r="C2537" s="1145"/>
      <c r="D2537" s="1145"/>
      <c r="E2537" s="1145"/>
      <c r="F2537" s="1215"/>
      <c r="G2537" s="1215"/>
      <c r="H2537" s="1216"/>
      <c r="I2537" s="254"/>
      <c r="J2537" s="255"/>
    </row>
    <row r="2538" spans="1:10" ht="25.5" customHeight="1">
      <c r="A2538" s="198"/>
      <c r="B2538" s="1175"/>
      <c r="C2538" s="1176" t="s">
        <v>14685</v>
      </c>
      <c r="D2538" s="156" t="s">
        <v>14686</v>
      </c>
      <c r="E2538" s="1176" t="s">
        <v>7388</v>
      </c>
      <c r="F2538" s="1177" t="s">
        <v>18</v>
      </c>
      <c r="G2538" s="1178" t="s">
        <v>7017</v>
      </c>
      <c r="H2538" s="1179"/>
      <c r="I2538" s="200" t="s">
        <v>7016</v>
      </c>
      <c r="J2538" s="201"/>
    </row>
    <row r="2539" spans="1:10" ht="15" customHeight="1">
      <c r="A2539" s="233"/>
      <c r="B2539" s="247"/>
      <c r="C2539" s="1155" t="s">
        <v>14687</v>
      </c>
      <c r="D2539" s="157"/>
      <c r="E2539" s="1155"/>
      <c r="F2539" s="1180"/>
      <c r="G2539" s="1180" t="s">
        <v>19</v>
      </c>
      <c r="H2539" s="1180" t="s">
        <v>20</v>
      </c>
      <c r="I2539" s="205" t="s">
        <v>19</v>
      </c>
      <c r="J2539" s="206" t="s">
        <v>20</v>
      </c>
    </row>
    <row r="2540" spans="1:10" ht="15" customHeight="1">
      <c r="A2540" s="208" t="s">
        <v>39</v>
      </c>
      <c r="B2540" s="241"/>
      <c r="C2540" s="241">
        <v>11051</v>
      </c>
      <c r="D2540" s="161" t="str">
        <f>IF(B2540="SEPLAG",VLOOKUP(COMPOSIÇÕES!C2540,'MAPA COMPARATIVO'!A:B,2,FALSE),VLOOKUP(C2540,'NAO DESO'!A:B,2,0))</f>
        <v>CHAPA DE ACO GALVANIZADA BITOLA GSG 26, E = 0,50 MM (4,00 KG/M2)</v>
      </c>
      <c r="E2540" s="241" t="str">
        <f>VLOOKUP($C2540,'NAO DESO'!$A:$D,3,)</f>
        <v xml:space="preserve">KG    </v>
      </c>
      <c r="F2540" s="242">
        <v>4</v>
      </c>
      <c r="G2540" s="242">
        <f>IF(B2540="SEPLAG",VLOOKUP(CONCATENATE("MEDIANA - ",C2540),COTAÇÃO,5,FALSE),VLOOKUP($C2540,'NAO DESO'!$A:$D,4,))</f>
        <v>15.75</v>
      </c>
      <c r="H2540" s="242">
        <f>TRUNC(F2540*G2540,2)</f>
        <v>63</v>
      </c>
      <c r="I2540" s="54" t="str">
        <f>IF(B2540="SEPLAG",VLOOKUP(CONCATENATE("MEDIANA - ",C2540),COTAÇÃO,5,FALSE),VLOOKUP($C2540,DESON!$A:$D,4,))</f>
        <v>15,75</v>
      </c>
      <c r="J2540" s="209">
        <f>TRUNC(F2540*I2540,2)</f>
        <v>63</v>
      </c>
    </row>
    <row r="2541" spans="1:10" ht="39" customHeight="1">
      <c r="A2541" s="208" t="s">
        <v>39</v>
      </c>
      <c r="B2541" s="241"/>
      <c r="C2541" s="241">
        <v>87317</v>
      </c>
      <c r="D2541" s="161" t="str">
        <f>IF(B2541="SEPLAG",VLOOKUP(COMPOSIÇÕES!C2541,'MAPA COMPARATIVO'!A:B,2,FALSE),VLOOKUP(C2541,'NAO DESO'!A:B,2,0))</f>
        <v>ARGAMASSA TRAÇO 1:4 (EM VOLUME DE CIMENTO E AREIA GROSSA ÚMIDA) PARA CHAPISCO CONVENCIONAL, PREPARO MECÂNICO COM BETONEIRA 600 L. AF_08/2019</v>
      </c>
      <c r="E2541" s="241" t="str">
        <f>VLOOKUP($C2541,'NAO DESO'!$A:$D,3,)</f>
        <v>M3</v>
      </c>
      <c r="F2541" s="242">
        <v>2E-3</v>
      </c>
      <c r="G2541" s="242" t="str">
        <f>IF(B2541="SEPLAG",VLOOKUP(CONCATENATE("MEDIANA - ",C2541),COTAÇÃO,5,FALSE),VLOOKUP($C2541,'NAO DESO'!$A:$D,4,))</f>
        <v>399,82</v>
      </c>
      <c r="H2541" s="242">
        <f>TRUNC(F2541*G2541,2)</f>
        <v>0.79</v>
      </c>
      <c r="I2541" s="54" t="str">
        <f>IF(B2541="SEPLAG",VLOOKUP(CONCATENATE("MEDIANA - ",C2541),COTAÇÃO,5,FALSE),VLOOKUP($C2541,DESON!$A:$D,4,))</f>
        <v>393,90</v>
      </c>
      <c r="J2541" s="209">
        <f>TRUNC(F2541*I2541,2)</f>
        <v>0.78</v>
      </c>
    </row>
    <row r="2542" spans="1:10" ht="15" customHeight="1">
      <c r="A2542" s="208" t="s">
        <v>245</v>
      </c>
      <c r="B2542" s="241"/>
      <c r="C2542" s="1181">
        <v>88309</v>
      </c>
      <c r="D2542" s="161" t="str">
        <f>IF(B2542="SEPLAG",VLOOKUP(COMPOSIÇÕES!C2542,'MAPA COMPARATIVO'!A:B,2,FALSE),VLOOKUP(C2542,'NAO DESO'!A:B,2,0))</f>
        <v>PEDREIRO COM ENCARGOS COMPLEMENTARES</v>
      </c>
      <c r="E2542" s="241" t="str">
        <f>VLOOKUP($C2542,'NAO DESO'!$A:$D,3,)</f>
        <v>H</v>
      </c>
      <c r="F2542" s="242">
        <v>1</v>
      </c>
      <c r="G2542" s="242" t="str">
        <f>IF(B2542="SEPLAG",VLOOKUP(CONCATENATE("MEDIANA - ",C2542),COTAÇÃO,5,FALSE),VLOOKUP($C2542,'NAO DESO'!$A:$D,4,))</f>
        <v>21,10</v>
      </c>
      <c r="H2542" s="242">
        <f>TRUNC(F2542*G2542,2)</f>
        <v>21.1</v>
      </c>
      <c r="I2542" s="54" t="str">
        <f>IF(B2542="SEPLAG",VLOOKUP(CONCATENATE("MEDIANA - ",C2542),COTAÇÃO,5,FALSE),VLOOKUP($C2542,DESON!$A:$D,4,))</f>
        <v>18,86</v>
      </c>
      <c r="J2542" s="209">
        <f>TRUNC(F2542*I2542,2)</f>
        <v>18.86</v>
      </c>
    </row>
    <row r="2543" spans="1:10" ht="15" customHeight="1">
      <c r="A2543" s="208" t="s">
        <v>245</v>
      </c>
      <c r="B2543" s="241"/>
      <c r="C2543" s="1181">
        <v>88316</v>
      </c>
      <c r="D2543" s="161" t="str">
        <f>IF(B2543="SEPLAG",VLOOKUP(COMPOSIÇÕES!C2543,'MAPA COMPARATIVO'!A:B,2,FALSE),VLOOKUP(C2543,'NAO DESO'!A:B,2,0))</f>
        <v>SERVENTE COM ENCARGOS COMPLEMENTARES</v>
      </c>
      <c r="E2543" s="241" t="str">
        <f>VLOOKUP($C2543,'NAO DESO'!$A:$D,3,)</f>
        <v>H</v>
      </c>
      <c r="F2543" s="242">
        <v>1</v>
      </c>
      <c r="G2543" s="242" t="str">
        <f>IF(B2543="SEPLAG",VLOOKUP(CONCATENATE("MEDIANA - ",C2543),COTAÇÃO,5,FALSE),VLOOKUP($C2543,'NAO DESO'!$A:$D,4,))</f>
        <v>16,83</v>
      </c>
      <c r="H2543" s="242">
        <f>TRUNC(F2543*G2543,2)</f>
        <v>16.829999999999998</v>
      </c>
      <c r="I2543" s="54" t="str">
        <f>IF(B2543="SEPLAG",VLOOKUP(CONCATENATE("MEDIANA - ",C2543),COTAÇÃO,5,FALSE),VLOOKUP($C2543,DESON!$A:$D,4,))</f>
        <v>15,16</v>
      </c>
      <c r="J2543" s="209">
        <f>TRUNC(F2543*I2543,2)</f>
        <v>15.16</v>
      </c>
    </row>
    <row r="2544" spans="1:10" ht="15" customHeight="1">
      <c r="A2544" s="210" t="str">
        <f>CONCATENATE("TOTAL DO ITEM NÃO DESON. - ",C2538)</f>
        <v>TOTAL DO ITEM NÃO DESON. - SEPLAG  ARQ 164</v>
      </c>
      <c r="B2544" s="424"/>
      <c r="C2544" s="424"/>
      <c r="D2544" s="424"/>
      <c r="E2544" s="424"/>
      <c r="F2544" s="425"/>
      <c r="G2544" s="426"/>
      <c r="H2544" s="1182">
        <f>SUM(H2540:H2543)</f>
        <v>101.72</v>
      </c>
      <c r="I2544" s="214"/>
      <c r="J2544" s="215"/>
    </row>
    <row r="2545" spans="1:10" ht="15.75" customHeight="1" thickBot="1">
      <c r="A2545" s="216" t="str">
        <f>CONCATENATE("TOTAL DO ITEM DESON. - ",C2538)</f>
        <v>TOTAL DO ITEM DESON. - SEPLAG  ARQ 164</v>
      </c>
      <c r="B2545" s="427"/>
      <c r="C2545" s="427"/>
      <c r="D2545" s="427"/>
      <c r="E2545" s="427"/>
      <c r="F2545" s="428"/>
      <c r="G2545" s="429"/>
      <c r="H2545" s="1187"/>
      <c r="I2545" s="229"/>
      <c r="J2545" s="219">
        <f>SUM(J2540:J2543)</f>
        <v>97.8</v>
      </c>
    </row>
    <row r="2546" spans="1:10" ht="15" customHeight="1" thickBot="1">
      <c r="A2546" s="253"/>
      <c r="B2546" s="1145"/>
      <c r="C2546" s="1145"/>
      <c r="D2546" s="1145"/>
      <c r="E2546" s="1145"/>
      <c r="F2546" s="1215"/>
      <c r="G2546" s="1215"/>
      <c r="H2546" s="1216"/>
      <c r="I2546" s="254"/>
      <c r="J2546" s="255"/>
    </row>
    <row r="2547" spans="1:10" ht="15" customHeight="1">
      <c r="A2547" s="198"/>
      <c r="B2547" s="1175"/>
      <c r="C2547" s="1176" t="s">
        <v>14698</v>
      </c>
      <c r="D2547" s="156" t="s">
        <v>14699</v>
      </c>
      <c r="E2547" s="1176" t="s">
        <v>8</v>
      </c>
      <c r="F2547" s="1177" t="s">
        <v>18</v>
      </c>
      <c r="G2547" s="1178" t="s">
        <v>7017</v>
      </c>
      <c r="H2547" s="1179"/>
      <c r="I2547" s="200" t="s">
        <v>7016</v>
      </c>
      <c r="J2547" s="201"/>
    </row>
    <row r="2548" spans="1:10" ht="15" customHeight="1">
      <c r="A2548" s="233"/>
      <c r="B2548" s="247"/>
      <c r="C2548" s="1155"/>
      <c r="D2548" s="157"/>
      <c r="E2548" s="1155"/>
      <c r="F2548" s="1180"/>
      <c r="G2548" s="1180" t="s">
        <v>19</v>
      </c>
      <c r="H2548" s="1180" t="s">
        <v>20</v>
      </c>
      <c r="I2548" s="205" t="s">
        <v>19</v>
      </c>
      <c r="J2548" s="206" t="s">
        <v>20</v>
      </c>
    </row>
    <row r="2549" spans="1:10" ht="15" customHeight="1">
      <c r="A2549" s="208" t="s">
        <v>39</v>
      </c>
      <c r="B2549" s="241"/>
      <c r="C2549" s="241">
        <v>34360</v>
      </c>
      <c r="D2549" s="161" t="s">
        <v>14634</v>
      </c>
      <c r="E2549" s="1194" t="s">
        <v>133</v>
      </c>
      <c r="F2549" s="242">
        <v>6.77</v>
      </c>
      <c r="G2549" s="242">
        <f>IF(B2549="SEPLAG",VLOOKUP(CONCATENATE("MEDIANA - ",C2549),COTAÇÃO,5,FALSE),VLOOKUP($C2549,'NAO DESO'!$A:$D,4,))</f>
        <v>47.31</v>
      </c>
      <c r="H2549" s="242">
        <f t="shared" ref="H2549:H2563" si="202">TRUNC(F2549*G2549,2)</f>
        <v>320.27999999999997</v>
      </c>
      <c r="I2549" s="54" t="str">
        <f>IF(B2549="SEPLAG",VLOOKUP(CONCATENATE("MEDIANA - ",C2549),COTAÇÃO,5,FALSE),VLOOKUP($C2549,DESON!$A:$D,4,))</f>
        <v>47,31</v>
      </c>
      <c r="J2549" s="209">
        <f t="shared" ref="J2549:J2563" si="203">TRUNC(F2549*I2549,2)</f>
        <v>320.27999999999997</v>
      </c>
    </row>
    <row r="2550" spans="1:10" ht="15" customHeight="1">
      <c r="A2550" s="208" t="s">
        <v>39</v>
      </c>
      <c r="B2550" s="241" t="s">
        <v>14504</v>
      </c>
      <c r="C2550" s="1181" t="s">
        <v>14307</v>
      </c>
      <c r="D2550" s="161" t="str">
        <f>IF(B2550="SEPLAG",VLOOKUP(COMPOSIÇÕES!C2550,'MAPA COMPARATIVO'!A:B,2,FALSE),VLOOKUP(C2550,'NAO DESO'!A:B,2,0))</f>
        <v xml:space="preserve">Braço de max-ar linha gold de 600mm </v>
      </c>
      <c r="E2550" s="1194" t="s">
        <v>24</v>
      </c>
      <c r="F2550" s="242">
        <v>1</v>
      </c>
      <c r="G2550" s="242">
        <f>IF(B2550="SEPLAG",VLOOKUP(CONCATENATE("MEDIANA - ",C2550),COTAÇÃO,5,FALSE),VLOOKUP($C2550,'NAO DESO'!$A:$D,4,))</f>
        <v>36.575000000000003</v>
      </c>
      <c r="H2550" s="242">
        <f t="shared" si="202"/>
        <v>36.57</v>
      </c>
      <c r="I2550" s="54">
        <f>IF(B2550="SEPLAG",VLOOKUP(CONCATENATE("MEDIANA - ",C2550),COTAÇÃO,5,FALSE),VLOOKUP($C2550,DESON!$A:$D,4,))</f>
        <v>36.575000000000003</v>
      </c>
      <c r="J2550" s="209">
        <f t="shared" si="203"/>
        <v>36.57</v>
      </c>
    </row>
    <row r="2551" spans="1:10" ht="15" customHeight="1">
      <c r="A2551" s="208" t="s">
        <v>39</v>
      </c>
      <c r="B2551" s="241" t="s">
        <v>14504</v>
      </c>
      <c r="C2551" s="1181" t="s">
        <v>14308</v>
      </c>
      <c r="D2551" s="161" t="str">
        <f>IF(B2551="SEPLAG",VLOOKUP(COMPOSIÇÕES!C2551,'MAPA COMPARATIVO'!A:B,2,FALSE),VLOOKUP(C2551,'NAO DESO'!A:B,2,0))</f>
        <v>Fecho max-ar linha gold</v>
      </c>
      <c r="E2551" s="1194" t="s">
        <v>24</v>
      </c>
      <c r="F2551" s="242">
        <v>1</v>
      </c>
      <c r="G2551" s="242">
        <f>IF(B2551="SEPLAG",VLOOKUP(CONCATENATE("MEDIANA - ",C2551),COTAÇÃO,5,FALSE),VLOOKUP($C2551,'NAO DESO'!$A:$D,4,))</f>
        <v>47.36</v>
      </c>
      <c r="H2551" s="242">
        <f t="shared" si="202"/>
        <v>47.36</v>
      </c>
      <c r="I2551" s="54">
        <f>IF(B2551="SEPLAG",VLOOKUP(CONCATENATE("MEDIANA - ",C2551),COTAÇÃO,5,FALSE),VLOOKUP($C2551,DESON!$A:$D,4,))</f>
        <v>47.36</v>
      </c>
      <c r="J2551" s="209">
        <f t="shared" si="203"/>
        <v>47.36</v>
      </c>
    </row>
    <row r="2552" spans="1:10" ht="15" customHeight="1">
      <c r="A2552" s="208" t="s">
        <v>39</v>
      </c>
      <c r="B2552" s="241" t="s">
        <v>14504</v>
      </c>
      <c r="C2552" s="1181" t="s">
        <v>14309</v>
      </c>
      <c r="D2552" s="161" t="str">
        <f>IF(B2552="SEPLAG",VLOOKUP(COMPOSIÇÕES!C2552,'MAPA COMPARATIVO'!A:B,2,FALSE),VLOOKUP(C2552,'NAO DESO'!A:B,2,0))</f>
        <v>Guarnição em EPDM p/ pingadeira</v>
      </c>
      <c r="E2552" s="1194" t="s">
        <v>250</v>
      </c>
      <c r="F2552" s="242">
        <v>1.04</v>
      </c>
      <c r="G2552" s="242">
        <f>IF(B2552="SEPLAG",VLOOKUP(CONCATENATE("MEDIANA - ",C2552),COTAÇÃO,5,FALSE),VLOOKUP($C2552,'NAO DESO'!$A:$D,4,))</f>
        <v>4.3849999999999998</v>
      </c>
      <c r="H2552" s="242">
        <f t="shared" si="202"/>
        <v>4.5599999999999996</v>
      </c>
      <c r="I2552" s="54">
        <f>IF(B2552="SEPLAG",VLOOKUP(CONCATENATE("MEDIANA - ",C2552),COTAÇÃO,5,FALSE),VLOOKUP($C2552,DESON!$A:$D,4,))</f>
        <v>4.3849999999999998</v>
      </c>
      <c r="J2552" s="209">
        <f t="shared" si="203"/>
        <v>4.5599999999999996</v>
      </c>
    </row>
    <row r="2553" spans="1:10" ht="15" customHeight="1">
      <c r="A2553" s="208" t="s">
        <v>39</v>
      </c>
      <c r="B2553" s="241" t="s">
        <v>14504</v>
      </c>
      <c r="C2553" s="1181" t="s">
        <v>14310</v>
      </c>
      <c r="D2553" s="161" t="str">
        <f>IF(B2553="SEPLAG",VLOOKUP(COMPOSIÇÕES!C2553,'MAPA COMPARATIVO'!A:B,2,FALSE),VLOOKUP(C2553,'NAO DESO'!A:B,2,0))</f>
        <v>Guarnição em EPDM para vidro</v>
      </c>
      <c r="E2553" s="1194" t="s">
        <v>250</v>
      </c>
      <c r="F2553" s="242">
        <v>3.77</v>
      </c>
      <c r="G2553" s="242">
        <f>IF(B2553="SEPLAG",VLOOKUP(CONCATENATE("MEDIANA - ",C2553),COTAÇÃO,5,FALSE),VLOOKUP($C2553,'NAO DESO'!$A:$D,4,))</f>
        <v>2.4091999999999998</v>
      </c>
      <c r="H2553" s="242">
        <f t="shared" si="202"/>
        <v>9.08</v>
      </c>
      <c r="I2553" s="54">
        <f>IF(B2553="SEPLAG",VLOOKUP(CONCATENATE("MEDIANA - ",C2553),COTAÇÃO,5,FALSE),VLOOKUP($C2553,DESON!$A:$D,4,))</f>
        <v>2.4091999999999998</v>
      </c>
      <c r="J2553" s="209">
        <f t="shared" si="203"/>
        <v>9.08</v>
      </c>
    </row>
    <row r="2554" spans="1:10" ht="15" customHeight="1">
      <c r="A2554" s="208" t="s">
        <v>39</v>
      </c>
      <c r="B2554" s="241" t="s">
        <v>14504</v>
      </c>
      <c r="C2554" s="1181" t="s">
        <v>14311</v>
      </c>
      <c r="D2554" s="161" t="str">
        <f>IF(B2554="SEPLAG",VLOOKUP(COMPOSIÇÕES!C2554,'MAPA COMPARATIVO'!A:B,2,FALSE),VLOOKUP(C2554,'NAO DESO'!A:B,2,0))</f>
        <v>Espuma adesiva 1 face</v>
      </c>
      <c r="E2554" s="1194" t="s">
        <v>250</v>
      </c>
      <c r="F2554" s="242">
        <v>3.77</v>
      </c>
      <c r="G2554" s="242">
        <f>IF(B2554="SEPLAG",VLOOKUP(CONCATENATE("MEDIANA - ",C2554),COTAÇÃO,5,FALSE),VLOOKUP($C2554,'NAO DESO'!$A:$D,4,))</f>
        <v>2.1800000000000002</v>
      </c>
      <c r="H2554" s="242">
        <f t="shared" si="202"/>
        <v>8.2100000000000009</v>
      </c>
      <c r="I2554" s="54">
        <f>IF(B2554="SEPLAG",VLOOKUP(CONCATENATE("MEDIANA - ",C2554),COTAÇÃO,5,FALSE),VLOOKUP($C2554,DESON!$A:$D,4,))</f>
        <v>2.1800000000000002</v>
      </c>
      <c r="J2554" s="209">
        <f t="shared" si="203"/>
        <v>8.2100000000000009</v>
      </c>
    </row>
    <row r="2555" spans="1:10" ht="15" customHeight="1">
      <c r="A2555" s="208" t="s">
        <v>39</v>
      </c>
      <c r="B2555" s="241" t="s">
        <v>14504</v>
      </c>
      <c r="C2555" s="1181" t="s">
        <v>14312</v>
      </c>
      <c r="D2555" s="161" t="str">
        <f>IF(B2555="SEPLAG",VLOOKUP(COMPOSIÇÕES!C2555,'MAPA COMPARATIVO'!A:B,2,FALSE),VLOOKUP(C2555,'NAO DESO'!A:B,2,0))</f>
        <v>Guarnição em EPDM p/ marco max-ar</v>
      </c>
      <c r="E2555" s="1194" t="s">
        <v>7388</v>
      </c>
      <c r="F2555" s="242">
        <v>1</v>
      </c>
      <c r="G2555" s="242">
        <f>IF(B2555="SEPLAG",VLOOKUP(CONCATENATE("MEDIANA - ",C2555),COTAÇÃO,5,FALSE),VLOOKUP($C2555,'NAO DESO'!$A:$D,4,))</f>
        <v>3.8138999999999998</v>
      </c>
      <c r="H2555" s="242">
        <f t="shared" si="202"/>
        <v>3.81</v>
      </c>
      <c r="I2555" s="54">
        <f>IF(B2555="SEPLAG",VLOOKUP(CONCATENATE("MEDIANA - ",C2555),COTAÇÃO,5,FALSE),VLOOKUP($C2555,DESON!$A:$D,4,))</f>
        <v>3.8138999999999998</v>
      </c>
      <c r="J2555" s="209">
        <f t="shared" si="203"/>
        <v>3.81</v>
      </c>
    </row>
    <row r="2556" spans="1:10" ht="15" customHeight="1">
      <c r="A2556" s="208" t="s">
        <v>39</v>
      </c>
      <c r="B2556" s="241" t="s">
        <v>14504</v>
      </c>
      <c r="C2556" s="1181" t="s">
        <v>14313</v>
      </c>
      <c r="D2556" s="161" t="str">
        <f>IF(B2556="SEPLAG",VLOOKUP(COMPOSIÇÕES!C2556,'MAPA COMPARATIVO'!A:B,2,FALSE),VLOOKUP(C2556,'NAO DESO'!A:B,2,0))</f>
        <v>PRESILHA DE FIXAÇÃO DO ARREMATE MP-347</v>
      </c>
      <c r="E2556" s="1194" t="s">
        <v>24</v>
      </c>
      <c r="F2556" s="242">
        <v>12</v>
      </c>
      <c r="G2556" s="242">
        <f>IF(B2556="SEPLAG",VLOOKUP(CONCATENATE("MEDIANA - ",C2556),COTAÇÃO,5,FALSE),VLOOKUP($C2556,'NAO DESO'!$A:$D,4,))</f>
        <v>0.34</v>
      </c>
      <c r="H2556" s="242">
        <f t="shared" si="202"/>
        <v>4.08</v>
      </c>
      <c r="I2556" s="54">
        <f>IF(B2556="SEPLAG",VLOOKUP(CONCATENATE("MEDIANA - ",C2556),COTAÇÃO,5,FALSE),VLOOKUP($C2556,DESON!$A:$D,4,))</f>
        <v>0.34</v>
      </c>
      <c r="J2556" s="209">
        <f t="shared" si="203"/>
        <v>4.08</v>
      </c>
    </row>
    <row r="2557" spans="1:10" ht="15" customHeight="1">
      <c r="A2557" s="208" t="s">
        <v>39</v>
      </c>
      <c r="B2557" s="241" t="s">
        <v>14504</v>
      </c>
      <c r="C2557" s="1181" t="s">
        <v>14314</v>
      </c>
      <c r="D2557" s="161" t="str">
        <f>IF(B2557="SEPLAG",VLOOKUP(COMPOSIÇÕES!C2557,'MAPA COMPARATIVO'!A:B,2,FALSE),VLOOKUP(C2557,'NAO DESO'!A:B,2,0))</f>
        <v>Parafuso zincado phillips flangeado autobrocante 4,2 x 16mm</v>
      </c>
      <c r="E2557" s="1194" t="s">
        <v>24</v>
      </c>
      <c r="F2557" s="242">
        <v>12</v>
      </c>
      <c r="G2557" s="242">
        <f>IF(B2557="SEPLAG",VLOOKUP(CONCATENATE("MEDIANA - ",C2557),COTAÇÃO,5,FALSE),VLOOKUP($C2557,'NAO DESO'!$A:$D,4,))</f>
        <v>0.28000000000000003</v>
      </c>
      <c r="H2557" s="242">
        <f t="shared" si="202"/>
        <v>3.36</v>
      </c>
      <c r="I2557" s="54">
        <f>IF(B2557="SEPLAG",VLOOKUP(CONCATENATE("MEDIANA - ",C2557),COTAÇÃO,5,FALSE),VLOOKUP($C2557,DESON!$A:$D,4,))</f>
        <v>0.28000000000000003</v>
      </c>
      <c r="J2557" s="209">
        <f t="shared" si="203"/>
        <v>3.36</v>
      </c>
    </row>
    <row r="2558" spans="1:10" ht="15" customHeight="1">
      <c r="A2558" s="208" t="s">
        <v>39</v>
      </c>
      <c r="B2558" s="241" t="s">
        <v>14504</v>
      </c>
      <c r="C2558" s="1181" t="s">
        <v>14315</v>
      </c>
      <c r="D2558" s="161" t="str">
        <f>IF(B2558="SEPLAG",VLOOKUP(COMPOSIÇÕES!C2558,'MAPA COMPARATIVO'!A:B,2,FALSE),VLOOKUP(C2558,'NAO DESO'!A:B,2,0))</f>
        <v>PARAF. PANELA PHILIPS INOX 4,8 X32 PONTA PILOTO</v>
      </c>
      <c r="E2558" s="1194" t="s">
        <v>24</v>
      </c>
      <c r="F2558" s="242">
        <v>4</v>
      </c>
      <c r="G2558" s="242">
        <f>IF(B2558="SEPLAG",VLOOKUP(CONCATENATE("MEDIANA - ",C2558),COTAÇÃO,5,FALSE),VLOOKUP($C2558,'NAO DESO'!$A:$D,4,))</f>
        <v>0.95</v>
      </c>
      <c r="H2558" s="242">
        <f t="shared" si="202"/>
        <v>3.8</v>
      </c>
      <c r="I2558" s="54">
        <f>IF(B2558="SEPLAG",VLOOKUP(CONCATENATE("MEDIANA - ",C2558),COTAÇÃO,5,FALSE),VLOOKUP($C2558,DESON!$A:$D,4,))</f>
        <v>0.95</v>
      </c>
      <c r="J2558" s="209">
        <f t="shared" si="203"/>
        <v>3.8</v>
      </c>
    </row>
    <row r="2559" spans="1:10" ht="15" customHeight="1">
      <c r="A2559" s="208" t="s">
        <v>39</v>
      </c>
      <c r="B2559" s="241" t="s">
        <v>14504</v>
      </c>
      <c r="C2559" s="1181" t="s">
        <v>14316</v>
      </c>
      <c r="D2559" s="161" t="str">
        <f>IF(B2559="SEPLAG",VLOOKUP(COMPOSIÇÕES!C2559,'MAPA COMPARATIVO'!A:B,2,FALSE),VLOOKUP(C2559,'NAO DESO'!A:B,2,0))</f>
        <v>CHUMBADOR DE CM-063/060</v>
      </c>
      <c r="E2559" s="1194" t="s">
        <v>24</v>
      </c>
      <c r="F2559" s="242">
        <v>14</v>
      </c>
      <c r="G2559" s="242">
        <f>IF(B2559="SEPLAG",VLOOKUP(CONCATENATE("MEDIANA - ",C2559),COTAÇÃO,5,FALSE),VLOOKUP($C2559,'NAO DESO'!$A:$D,4,))</f>
        <v>0.86</v>
      </c>
      <c r="H2559" s="242">
        <f t="shared" si="202"/>
        <v>12.04</v>
      </c>
      <c r="I2559" s="54">
        <f>IF(B2559="SEPLAG",VLOOKUP(CONCATENATE("MEDIANA - ",C2559),COTAÇÃO,5,FALSE),VLOOKUP($C2559,DESON!$A:$D,4,))</f>
        <v>0.86</v>
      </c>
      <c r="J2559" s="209">
        <f t="shared" si="203"/>
        <v>12.04</v>
      </c>
    </row>
    <row r="2560" spans="1:10" ht="15" customHeight="1">
      <c r="A2560" s="208" t="s">
        <v>39</v>
      </c>
      <c r="B2560" s="241" t="s">
        <v>14504</v>
      </c>
      <c r="C2560" s="1181" t="s">
        <v>14317</v>
      </c>
      <c r="D2560" s="161" t="str">
        <f>IF(B2560="SEPLAG",VLOOKUP(COMPOSIÇÕES!C2560,'MAPA COMPARATIVO'!A:B,2,FALSE),VLOOKUP(C2560,'NAO DESO'!A:B,2,0))</f>
        <v>Silicone neutro incolor 280 g</v>
      </c>
      <c r="E2560" s="1194" t="s">
        <v>24</v>
      </c>
      <c r="F2560" s="242">
        <v>1</v>
      </c>
      <c r="G2560" s="242">
        <f>IF(B2560="SEPLAG",VLOOKUP(CONCATENATE("MEDIANA - ",C2560),COTAÇÃO,5,FALSE),VLOOKUP($C2560,'NAO DESO'!$A:$D,4,))</f>
        <v>43.9</v>
      </c>
      <c r="H2560" s="242">
        <f t="shared" si="202"/>
        <v>43.9</v>
      </c>
      <c r="I2560" s="54">
        <f>IF(B2560="SEPLAG",VLOOKUP(CONCATENATE("MEDIANA - ",C2560),COTAÇÃO,5,FALSE),VLOOKUP($C2560,DESON!$A:$D,4,))</f>
        <v>43.9</v>
      </c>
      <c r="J2560" s="209">
        <f t="shared" si="203"/>
        <v>43.9</v>
      </c>
    </row>
    <row r="2561" spans="1:10" ht="15" customHeight="1">
      <c r="A2561" s="208" t="s">
        <v>245</v>
      </c>
      <c r="B2561" s="241"/>
      <c r="C2561" s="1181">
        <v>10505</v>
      </c>
      <c r="D2561" s="161" t="str">
        <f>IF(B2561="SEPLAG",VLOOKUP(COMPOSIÇÕES!C2561,'MAPA COMPARATIVO'!A:B,2,FALSE),VLOOKUP(C2561,'NAO DESO'!A:B,2,0))</f>
        <v>VIDRO TEMPERADO INCOLOR E = 6 MM, SEM COLOCACAO</v>
      </c>
      <c r="E2561" s="241" t="str">
        <f>VLOOKUP($C2561,'NAO DESO'!$A:$D,3,)</f>
        <v xml:space="preserve">M2    </v>
      </c>
      <c r="F2561" s="242">
        <v>1</v>
      </c>
      <c r="G2561" s="242">
        <f>IF(B2561="SEPLAG",VLOOKUP(CONCATENATE("MEDIANA - ",C2561),COTAÇÃO,5,FALSE),VLOOKUP($C2561,'NAO DESO'!$A:$D,4,))</f>
        <v>272.77</v>
      </c>
      <c r="H2561" s="242">
        <f t="shared" si="202"/>
        <v>272.77</v>
      </c>
      <c r="I2561" s="54" t="str">
        <f>IF(B2561="SEPLAG",VLOOKUP(CONCATENATE("MEDIANA - ",C2561),COTAÇÃO,5,FALSE),VLOOKUP($C2561,DESON!$A:$D,4,))</f>
        <v>272,77</v>
      </c>
      <c r="J2561" s="209">
        <f t="shared" si="203"/>
        <v>272.77</v>
      </c>
    </row>
    <row r="2562" spans="1:10" ht="15" customHeight="1">
      <c r="A2562" s="208" t="s">
        <v>245</v>
      </c>
      <c r="B2562" s="241"/>
      <c r="C2562" s="1181">
        <v>88315</v>
      </c>
      <c r="D2562" s="161" t="str">
        <f>IF(B2562="SEPLAG",VLOOKUP(COMPOSIÇÕES!C2562,'MAPA COMPARATIVO'!A:B,2,FALSE),VLOOKUP(C2562,'NAO DESO'!A:B,2,0))</f>
        <v>SERRALHEIRO COM ENCARGOS COMPLEMENTARES</v>
      </c>
      <c r="E2562" s="241" t="str">
        <f>VLOOKUP($C2562,'NAO DESO'!$A:$D,3,)</f>
        <v>H</v>
      </c>
      <c r="F2562" s="242">
        <v>3</v>
      </c>
      <c r="G2562" s="242" t="str">
        <f>IF(B2562="SEPLAG",VLOOKUP(CONCATENATE("MEDIANA - ",C2562),COTAÇÃO,5,FALSE),VLOOKUP($C2562,'NAO DESO'!$A:$D,4,))</f>
        <v>20,97</v>
      </c>
      <c r="H2562" s="242">
        <f t="shared" si="202"/>
        <v>62.91</v>
      </c>
      <c r="I2562" s="54" t="str">
        <f>IF(B2562="SEPLAG",VLOOKUP(CONCATENATE("MEDIANA - ",C2562),COTAÇÃO,5,FALSE),VLOOKUP($C2562,DESON!$A:$D,4,))</f>
        <v>18,75</v>
      </c>
      <c r="J2562" s="209">
        <f t="shared" si="203"/>
        <v>56.25</v>
      </c>
    </row>
    <row r="2563" spans="1:10" ht="15" customHeight="1">
      <c r="A2563" s="208" t="s">
        <v>245</v>
      </c>
      <c r="B2563" s="241"/>
      <c r="C2563" s="1181">
        <v>88316</v>
      </c>
      <c r="D2563" s="161" t="str">
        <f>IF(B2563="SEPLAG",VLOOKUP(COMPOSIÇÕES!C2563,'MAPA COMPARATIVO'!A:B,2,FALSE),VLOOKUP(C2563,'NAO DESO'!A:B,2,0))</f>
        <v>SERVENTE COM ENCARGOS COMPLEMENTARES</v>
      </c>
      <c r="E2563" s="241" t="str">
        <f>VLOOKUP($C2563,'NAO DESO'!$A:$D,3,)</f>
        <v>H</v>
      </c>
      <c r="F2563" s="242">
        <f>F2562</f>
        <v>3</v>
      </c>
      <c r="G2563" s="242" t="str">
        <f>IF(B2563="SEPLAG",VLOOKUP(CONCATENATE("MEDIANA - ",C2563),COTAÇÃO,5,FALSE),VLOOKUP($C2563,'NAO DESO'!$A:$D,4,))</f>
        <v>16,83</v>
      </c>
      <c r="H2563" s="242">
        <f t="shared" si="202"/>
        <v>50.49</v>
      </c>
      <c r="I2563" s="54" t="str">
        <f>IF(B2563="SEPLAG",VLOOKUP(CONCATENATE("MEDIANA - ",C2563),COTAÇÃO,5,FALSE),VLOOKUP($C2563,DESON!$A:$D,4,))</f>
        <v>15,16</v>
      </c>
      <c r="J2563" s="209">
        <f t="shared" si="203"/>
        <v>45.48</v>
      </c>
    </row>
    <row r="2564" spans="1:10" ht="15" customHeight="1">
      <c r="A2564" s="210" t="str">
        <f>CONCATENATE("TOTAL DO ITEM NÃO DESON. - ",C2547)</f>
        <v>TOTAL DO ITEM NÃO DESON. - SEPLAG  ARQ 165</v>
      </c>
      <c r="B2564" s="424"/>
      <c r="C2564" s="424"/>
      <c r="D2564" s="424"/>
      <c r="E2564" s="424"/>
      <c r="F2564" s="425"/>
      <c r="G2564" s="426"/>
      <c r="H2564" s="1182">
        <f>SUM(H2549:H2563)</f>
        <v>883.21999999999991</v>
      </c>
      <c r="I2564" s="214"/>
      <c r="J2564" s="215"/>
    </row>
    <row r="2565" spans="1:10" ht="15.75" customHeight="1" thickBot="1">
      <c r="A2565" s="216" t="str">
        <f>CONCATENATE("TOTAL DO ITEM DESON. - ",C2547)</f>
        <v>TOTAL DO ITEM DESON. - SEPLAG  ARQ 165</v>
      </c>
      <c r="B2565" s="427"/>
      <c r="C2565" s="427"/>
      <c r="D2565" s="427"/>
      <c r="E2565" s="427"/>
      <c r="F2565" s="428"/>
      <c r="G2565" s="429"/>
      <c r="H2565" s="1187"/>
      <c r="I2565" s="229"/>
      <c r="J2565" s="219">
        <f>SUM(J2549:J2563)</f>
        <v>871.55</v>
      </c>
    </row>
    <row r="2566" spans="1:10" ht="15" customHeight="1" thickBot="1">
      <c r="A2566" s="253"/>
      <c r="B2566" s="1145"/>
      <c r="C2566" s="1145"/>
      <c r="D2566" s="1145"/>
      <c r="E2566" s="1145"/>
      <c r="F2566" s="1215"/>
      <c r="G2566" s="1215"/>
      <c r="H2566" s="1216"/>
      <c r="I2566" s="254"/>
      <c r="J2566" s="255"/>
    </row>
    <row r="2567" spans="1:10" ht="25.5" customHeight="1">
      <c r="A2567" s="198"/>
      <c r="B2567" s="1175"/>
      <c r="C2567" s="1176" t="s">
        <v>14712</v>
      </c>
      <c r="D2567" s="156" t="s">
        <v>14710</v>
      </c>
      <c r="E2567" s="1176" t="s">
        <v>7388</v>
      </c>
      <c r="F2567" s="1177" t="s">
        <v>18</v>
      </c>
      <c r="G2567" s="1178" t="s">
        <v>7017</v>
      </c>
      <c r="H2567" s="1179"/>
      <c r="I2567" s="200" t="s">
        <v>7016</v>
      </c>
      <c r="J2567" s="201"/>
    </row>
    <row r="2568" spans="1:10" ht="15" customHeight="1">
      <c r="A2568" s="233"/>
      <c r="B2568" s="247"/>
      <c r="C2568" s="1155" t="s">
        <v>14711</v>
      </c>
      <c r="D2568" s="157"/>
      <c r="E2568" s="1155"/>
      <c r="F2568" s="1180"/>
      <c r="G2568" s="1180" t="s">
        <v>19</v>
      </c>
      <c r="H2568" s="1180" t="s">
        <v>20</v>
      </c>
      <c r="I2568" s="205" t="s">
        <v>19</v>
      </c>
      <c r="J2568" s="206" t="s">
        <v>20</v>
      </c>
    </row>
    <row r="2569" spans="1:10" ht="15" customHeight="1">
      <c r="A2569" s="208" t="s">
        <v>245</v>
      </c>
      <c r="B2569" s="241"/>
      <c r="C2569" s="1181">
        <v>88309</v>
      </c>
      <c r="D2569" s="161" t="str">
        <f>IF(B2569="SEPLAG",VLOOKUP(COMPOSIÇÕES!C2569,'MAPA COMPARATIVO'!A:B,2,FALSE),VLOOKUP(C2569,'NAO DESO'!A:B,2,0))</f>
        <v>PEDREIRO COM ENCARGOS COMPLEMENTARES</v>
      </c>
      <c r="E2569" s="241" t="str">
        <f>VLOOKUP($C2569,'NAO DESO'!$A:$D,3,)</f>
        <v>H</v>
      </c>
      <c r="F2569" s="1217">
        <v>0.25</v>
      </c>
      <c r="G2569" s="242" t="str">
        <f>IF(B2569="SEPLAG",VLOOKUP(CONCATENATE("MEDIANA - ",C2569),COTAÇÃO,5,FALSE),VLOOKUP($C2569,'NAO DESO'!$A:$D,4,))</f>
        <v>21,10</v>
      </c>
      <c r="H2569" s="242">
        <f>TRUNC(F2569*G2569,2)</f>
        <v>5.27</v>
      </c>
      <c r="I2569" s="54" t="str">
        <f>IF(B2569="SEPLAG",VLOOKUP(CONCATENATE("MEDIANA - ",C2569),COTAÇÃO,5,FALSE),VLOOKUP($C2569,DESON!$A:$D,4,))</f>
        <v>18,86</v>
      </c>
      <c r="J2569" s="209">
        <f>TRUNC(F2569*I2569,2)</f>
        <v>4.71</v>
      </c>
    </row>
    <row r="2570" spans="1:10" ht="15" customHeight="1">
      <c r="A2570" s="208" t="s">
        <v>245</v>
      </c>
      <c r="B2570" s="241"/>
      <c r="C2570" s="1181">
        <v>88316</v>
      </c>
      <c r="D2570" s="161" t="str">
        <f>IF(B2570="SEPLAG",VLOOKUP(COMPOSIÇÕES!C2570,'MAPA COMPARATIVO'!A:B,2,FALSE),VLOOKUP(C2570,'NAO DESO'!A:B,2,0))</f>
        <v>SERVENTE COM ENCARGOS COMPLEMENTARES</v>
      </c>
      <c r="E2570" s="241" t="str">
        <f>VLOOKUP($C2570,'NAO DESO'!$A:$D,3,)</f>
        <v>H</v>
      </c>
      <c r="F2570" s="242">
        <v>0.25</v>
      </c>
      <c r="G2570" s="242" t="str">
        <f>IF(B2570="SEPLAG",VLOOKUP(CONCATENATE("MEDIANA - ",C2570),COTAÇÃO,5,FALSE),VLOOKUP($C2570,'NAO DESO'!$A:$D,4,))</f>
        <v>16,83</v>
      </c>
      <c r="H2570" s="242">
        <f>TRUNC(F2570*G2570,2)</f>
        <v>4.2</v>
      </c>
      <c r="I2570" s="54" t="str">
        <f>IF(B2570="SEPLAG",VLOOKUP(CONCATENATE("MEDIANA - ",C2570),COTAÇÃO,5,FALSE),VLOOKUP($C2570,DESON!$A:$D,4,))</f>
        <v>15,16</v>
      </c>
      <c r="J2570" s="209">
        <f>TRUNC(F2570*I2570,2)</f>
        <v>3.79</v>
      </c>
    </row>
    <row r="2571" spans="1:10" ht="15" customHeight="1">
      <c r="A2571" s="210" t="str">
        <f>CONCATENATE("TOTAL DO ITEM NÃO DESON. - ",C2567)</f>
        <v>TOTAL DO ITEM NÃO DESON. - SEPLAG  ARQ 166</v>
      </c>
      <c r="B2571" s="424"/>
      <c r="C2571" s="424"/>
      <c r="D2571" s="424"/>
      <c r="E2571" s="424"/>
      <c r="F2571" s="425"/>
      <c r="G2571" s="426"/>
      <c r="H2571" s="1182">
        <f>SUM(H2569:H2570)</f>
        <v>9.4699999999999989</v>
      </c>
      <c r="I2571" s="214"/>
      <c r="J2571" s="215"/>
    </row>
    <row r="2572" spans="1:10" ht="15.75" customHeight="1" thickBot="1">
      <c r="A2572" s="216" t="str">
        <f>CONCATENATE("TOTAL DO ITEM DESON. - ",C2567)</f>
        <v>TOTAL DO ITEM DESON. - SEPLAG  ARQ 166</v>
      </c>
      <c r="B2572" s="427"/>
      <c r="C2572" s="427"/>
      <c r="D2572" s="427"/>
      <c r="E2572" s="427"/>
      <c r="F2572" s="428"/>
      <c r="G2572" s="429"/>
      <c r="H2572" s="1187"/>
      <c r="I2572" s="229"/>
      <c r="J2572" s="219">
        <f>SUM(J2569:J2570)</f>
        <v>8.5</v>
      </c>
    </row>
    <row r="2573" spans="1:10" ht="15" customHeight="1" thickBot="1">
      <c r="A2573" s="253"/>
      <c r="B2573" s="1145"/>
      <c r="C2573" s="1145"/>
      <c r="D2573" s="1145"/>
      <c r="E2573" s="1145"/>
      <c r="F2573" s="1215"/>
      <c r="G2573" s="1215"/>
      <c r="H2573" s="1216"/>
      <c r="I2573" s="254"/>
      <c r="J2573" s="255"/>
    </row>
    <row r="2574" spans="1:10" ht="15" customHeight="1">
      <c r="A2574" s="230"/>
      <c r="B2574" s="1201"/>
      <c r="C2574" s="1176" t="s">
        <v>27197</v>
      </c>
      <c r="D2574" s="152" t="s">
        <v>27196</v>
      </c>
      <c r="E2574" s="1176" t="s">
        <v>24</v>
      </c>
      <c r="F2574" s="1177" t="s">
        <v>18</v>
      </c>
      <c r="G2574" s="1178" t="s">
        <v>7017</v>
      </c>
      <c r="H2574" s="1179"/>
      <c r="I2574" s="200" t="s">
        <v>7016</v>
      </c>
      <c r="J2574" s="201"/>
    </row>
    <row r="2575" spans="1:10" ht="15" customHeight="1">
      <c r="A2575" s="203"/>
      <c r="B2575" s="1202"/>
      <c r="C2575" s="1155"/>
      <c r="D2575" s="158"/>
      <c r="E2575" s="1155"/>
      <c r="F2575" s="1180"/>
      <c r="G2575" s="1180" t="s">
        <v>19</v>
      </c>
      <c r="H2575" s="1180" t="s">
        <v>20</v>
      </c>
      <c r="I2575" s="205" t="s">
        <v>19</v>
      </c>
      <c r="J2575" s="206" t="s">
        <v>20</v>
      </c>
    </row>
    <row r="2576" spans="1:10" ht="15" customHeight="1">
      <c r="A2576" s="208" t="s">
        <v>39</v>
      </c>
      <c r="B2576" s="1203"/>
      <c r="C2576" s="241">
        <v>43082</v>
      </c>
      <c r="D2576" s="161" t="str">
        <f>IF(B2576="SEPLAG",VLOOKUP(COMPOSIÇÕES!C2576,'MAPA COMPARATIVO'!A:B,2,FALSE),VLOOKUP(C2576,'NAO DESO'!A:B,2,0))</f>
        <v>PERFIL "I" DE ACO LAMINADO, ABAS PARALELAS, "W", QUALQUER BITOLA</v>
      </c>
      <c r="E2576" s="241" t="str">
        <f>VLOOKUP($C2576,'NAO DESO'!$A:$D,3,)</f>
        <v xml:space="preserve">KG    </v>
      </c>
      <c r="F2576" s="1186">
        <f>1.97*2*25.3</f>
        <v>99.682000000000002</v>
      </c>
      <c r="G2576" s="242">
        <f>IF(B2576="SEPLAG",VLOOKUP(CONCATENATE("MEDIANA - ",C2576),COTAÇÃO,5,FALSE),VLOOKUP($C2576,'NAO DESO'!$A:$D,4,))</f>
        <v>12.8</v>
      </c>
      <c r="H2576" s="242">
        <f t="shared" ref="H2576:H2582" si="204">TRUNC(F2576*G2576,2)</f>
        <v>1275.92</v>
      </c>
      <c r="I2576" s="54" t="str">
        <f>IF(B2576="SEPLAG",VLOOKUP(CONCATENATE("MEDIANA - ",C2576),COTAÇÃO,5,FALSE),VLOOKUP($C2576,DESON!$A:$D,4,))</f>
        <v>12,80</v>
      </c>
      <c r="J2576" s="209">
        <f t="shared" ref="J2576:J2582" si="205">TRUNC(F2576*I2576,2)</f>
        <v>1275.92</v>
      </c>
    </row>
    <row r="2577" spans="1:10" ht="15" customHeight="1">
      <c r="A2577" s="208" t="s">
        <v>39</v>
      </c>
      <c r="B2577" s="1203"/>
      <c r="C2577" s="241">
        <v>1335</v>
      </c>
      <c r="D2577" s="161" t="str">
        <f>IF(B2577="SEPLAG",VLOOKUP(COMPOSIÇÕES!C2577,'MAPA COMPARATIVO'!A:B,2,FALSE),VLOOKUP(C2577,'NAO DESO'!A:B,2,0))</f>
        <v>CHAPA DE ACO GROSSA, ASTM A36, E = 7/8 " (22,23 MM) 174,28 KG/M2</v>
      </c>
      <c r="E2577" s="241" t="str">
        <f>VLOOKUP($C2577,'NAO DESO'!$A:$D,3,)</f>
        <v xml:space="preserve">KG    </v>
      </c>
      <c r="F2577" s="1186">
        <f>0.4*0.2*22.23*4</f>
        <v>7.1136000000000017</v>
      </c>
      <c r="G2577" s="242">
        <f>IF(B2577="SEPLAG",VLOOKUP(CONCATENATE("MEDIANA - ",C2577),COTAÇÃO,5,FALSE),VLOOKUP($C2577,'NAO DESO'!$A:$D,4,))</f>
        <v>13.31</v>
      </c>
      <c r="H2577" s="242">
        <f t="shared" si="204"/>
        <v>94.68</v>
      </c>
      <c r="I2577" s="54" t="str">
        <f>IF(B2577="SEPLAG",VLOOKUP(CONCATENATE("MEDIANA - ",C2577),COTAÇÃO,5,FALSE),VLOOKUP($C2577,DESON!$A:$D,4,))</f>
        <v>13,31</v>
      </c>
      <c r="J2577" s="209">
        <f t="shared" si="205"/>
        <v>94.68</v>
      </c>
    </row>
    <row r="2578" spans="1:10" ht="15" customHeight="1">
      <c r="A2578" s="208" t="s">
        <v>245</v>
      </c>
      <c r="B2578" s="1203"/>
      <c r="C2578" s="1181">
        <v>11002</v>
      </c>
      <c r="D2578" s="161" t="str">
        <f>IF(B2578="SEPLAG",VLOOKUP(COMPOSIÇÕES!C2578,'MAPA COMPARATIVO'!A:B,2,FALSE),VLOOKUP(C2578,'NAO DESO'!A:B,2,0))</f>
        <v>ELETRODO REVESTIDO AWS - E6013, DIAMETRO IGUAL A 2,50 MM</v>
      </c>
      <c r="E2578" s="241" t="str">
        <f>VLOOKUP($C2578,'NAO DESO'!$A:$D,3,)</f>
        <v xml:space="preserve">KG    </v>
      </c>
      <c r="F2578" s="1186">
        <f>0.015204*F2576</f>
        <v>1.515565128</v>
      </c>
      <c r="G2578" s="242">
        <f>IF(B2578="SEPLAG",VLOOKUP(CONCATENATE("MEDIANA - ",C2578),COTAÇÃO,5,FALSE),VLOOKUP($C2578,'NAO DESO'!$A:$D,4,))</f>
        <v>27.51</v>
      </c>
      <c r="H2578" s="242">
        <f t="shared" si="204"/>
        <v>41.69</v>
      </c>
      <c r="I2578" s="54" t="str">
        <f>IF(B2578="SEPLAG",VLOOKUP(CONCATENATE("MEDIANA - ",C2578),COTAÇÃO,5,FALSE),VLOOKUP($C2578,DESON!$A:$D,4,))</f>
        <v>27,51</v>
      </c>
      <c r="J2578" s="209">
        <f t="shared" si="205"/>
        <v>41.69</v>
      </c>
    </row>
    <row r="2579" spans="1:10" ht="15" customHeight="1">
      <c r="A2579" s="208" t="s">
        <v>245</v>
      </c>
      <c r="B2579" s="1203"/>
      <c r="C2579" s="1181">
        <v>88251</v>
      </c>
      <c r="D2579" s="161" t="str">
        <f>IF(B2579="SEPLAG",VLOOKUP(COMPOSIÇÕES!C2579,'MAPA COMPARATIVO'!A:B,2,FALSE),VLOOKUP(C2579,'NAO DESO'!A:B,2,0))</f>
        <v>AUXILIAR DE SERRALHEIRO COM ENCARGOS COMPLEMENTARES</v>
      </c>
      <c r="E2579" s="241" t="str">
        <f>VLOOKUP($C2579,'NAO DESO'!$A:$D,3,)</f>
        <v>H</v>
      </c>
      <c r="F2579" s="1186">
        <f>2*8</f>
        <v>16</v>
      </c>
      <c r="G2579" s="242" t="str">
        <f>IF(B2579="SEPLAG",VLOOKUP(CONCATENATE("MEDIANA - ",C2579),COTAÇÃO,5,FALSE),VLOOKUP($C2579,'NAO DESO'!$A:$D,4,))</f>
        <v>17,84</v>
      </c>
      <c r="H2579" s="242">
        <f t="shared" si="204"/>
        <v>285.44</v>
      </c>
      <c r="I2579" s="54" t="str">
        <f>IF(B2579="SEPLAG",VLOOKUP(CONCATENATE("MEDIANA - ",C2579),COTAÇÃO,5,FALSE),VLOOKUP($C2579,DESON!$A:$D,4,))</f>
        <v>16,05</v>
      </c>
      <c r="J2579" s="209">
        <f t="shared" si="205"/>
        <v>256.8</v>
      </c>
    </row>
    <row r="2580" spans="1:10" ht="15" customHeight="1">
      <c r="A2580" s="208" t="s">
        <v>39</v>
      </c>
      <c r="B2580" s="1203"/>
      <c r="C2580" s="1181">
        <v>88315</v>
      </c>
      <c r="D2580" s="161" t="str">
        <f>IF(B2580="SEPLAG",VLOOKUP(COMPOSIÇÕES!C2580,'MAPA COMPARATIVO'!A:B,2,FALSE),VLOOKUP(C2580,'NAO DESO'!A:B,2,0))</f>
        <v>SERRALHEIRO COM ENCARGOS COMPLEMENTARES</v>
      </c>
      <c r="E2580" s="241" t="str">
        <f>VLOOKUP($C2580,'NAO DESO'!$A:$D,3,)</f>
        <v>H</v>
      </c>
      <c r="F2580" s="1186">
        <f>F2579</f>
        <v>16</v>
      </c>
      <c r="G2580" s="242" t="str">
        <f>IF(B2580="SEPLAG",VLOOKUP(CONCATENATE("MEDIANA - ",C2580),COTAÇÃO,5,FALSE),VLOOKUP($C2580,'NAO DESO'!$A:$D,4,))</f>
        <v>20,97</v>
      </c>
      <c r="H2580" s="242">
        <f t="shared" si="204"/>
        <v>335.52</v>
      </c>
      <c r="I2580" s="54" t="str">
        <f>IF(B2580="SEPLAG",VLOOKUP(CONCATENATE("MEDIANA - ",C2580),COTAÇÃO,5,FALSE),VLOOKUP($C2580,DESON!$A:$D,4,))</f>
        <v>18,75</v>
      </c>
      <c r="J2580" s="209">
        <f t="shared" si="205"/>
        <v>300</v>
      </c>
    </row>
    <row r="2581" spans="1:10" ht="26.25" customHeight="1">
      <c r="A2581" s="208" t="s">
        <v>39</v>
      </c>
      <c r="B2581" s="1203"/>
      <c r="C2581" s="241">
        <v>11963</v>
      </c>
      <c r="D2581" s="161" t="str">
        <f>IF(B2581="SEPLAG",VLOOKUP(COMPOSIÇÕES!C2581,'MAPA COMPARATIVO'!A:B,2,FALSE),VLOOKUP(C2581,'NAO DESO'!A:B,2,0))</f>
        <v>PARAFUSO DE ACO TIPO CHUMBADOR PARABOLT, DIAMETRO 1/2", COMPRIMENTO 75 MM</v>
      </c>
      <c r="E2581" s="241" t="str">
        <f>VLOOKUP($C2581,'NAO DESO'!$A:$D,3,)</f>
        <v xml:space="preserve">UN    </v>
      </c>
      <c r="F2581" s="1186">
        <v>16</v>
      </c>
      <c r="G2581" s="242">
        <f>IF(B2581="SEPLAG",VLOOKUP(CONCATENATE("MEDIANA - ",C2581),COTAÇÃO,5,FALSE),VLOOKUP($C2581,'NAO DESO'!$A:$D,4,))</f>
        <v>10.8</v>
      </c>
      <c r="H2581" s="242">
        <f t="shared" si="204"/>
        <v>172.8</v>
      </c>
      <c r="I2581" s="54" t="str">
        <f>IF(B2581="SEPLAG",VLOOKUP(CONCATENATE("MEDIANA - ",C2581),COTAÇÃO,5,FALSE),VLOOKUP($C2581,DESON!$A:$D,4,))</f>
        <v>10,80</v>
      </c>
      <c r="J2581" s="209">
        <f t="shared" si="205"/>
        <v>172.8</v>
      </c>
    </row>
    <row r="2582" spans="1:10" ht="51.75" customHeight="1">
      <c r="A2582" s="208" t="s">
        <v>39</v>
      </c>
      <c r="B2582" s="241"/>
      <c r="C2582" s="247">
        <v>5928</v>
      </c>
      <c r="D2582" s="161" t="str">
        <f>IF(B2582="SEPLAG",VLOOKUP(COMPOSIÇÕES!C2582,'MAPA COMPARATIVO'!A:B,2,FALSE),VLOOKUP(C2582,'NAO DESO'!A:B,2,0))</f>
        <v>GUINDAUTO HIDRÁULICO, CAPACIDADE MÁXIMA DE CARGA 6200 KG, MOMENTO MÁXIMO DE CARGA 11,7 TM, ALCANCE MÁXIMO HORIZONTAL 9,70 M, INCLUSIVE CAMINHÃO TOCO PBT 16.000 KG, POTÊNCIA DE 189 CV - CHP DIURNO. AF_06/2014</v>
      </c>
      <c r="E2582" s="241" t="str">
        <f>VLOOKUP($C2582,'NAO DESO'!$A:$D,3,)</f>
        <v>CHP</v>
      </c>
      <c r="F2582" s="248">
        <v>2</v>
      </c>
      <c r="G2582" s="242" t="str">
        <f>IF(B2582="SEPLAG",VLOOKUP(CONCATENATE("MEDIANA - ",C2582),COTAÇÃO,5,FALSE),VLOOKUP($C2582,'NAO DESO'!$A:$D,4,))</f>
        <v>231,97</v>
      </c>
      <c r="H2582" s="242">
        <f t="shared" si="204"/>
        <v>463.94</v>
      </c>
      <c r="I2582" s="54" t="str">
        <f>IF(B2582="SEPLAG",VLOOKUP(CONCATENATE("MEDIANA - ",C2582),COTAÇÃO,5,FALSE),VLOOKUP($C2582,DESON!$A:$D,4,))</f>
        <v>229,82</v>
      </c>
      <c r="J2582" s="209">
        <f t="shared" si="205"/>
        <v>459.64</v>
      </c>
    </row>
    <row r="2583" spans="1:10" ht="15" customHeight="1">
      <c r="A2583" s="210" t="str">
        <f>CONCATENATE("TOTAL DO ITEM NÃO DESON. - ",C2574)</f>
        <v>TOTAL DO ITEM NÃO DESON. - SEPLAG ARQ 167</v>
      </c>
      <c r="B2583" s="424"/>
      <c r="C2583" s="424"/>
      <c r="D2583" s="424"/>
      <c r="E2583" s="424"/>
      <c r="F2583" s="425"/>
      <c r="G2583" s="426"/>
      <c r="H2583" s="1182">
        <f>SUM(H2576:H2582)</f>
        <v>2669.9900000000002</v>
      </c>
      <c r="I2583" s="214"/>
      <c r="J2583" s="215"/>
    </row>
    <row r="2584" spans="1:10" ht="15.75" customHeight="1" thickBot="1">
      <c r="A2584" s="216" t="str">
        <f>CONCATENATE("TOTAL DO ITEM DESON. - ",C2574)</f>
        <v>TOTAL DO ITEM DESON. - SEPLAG ARQ 167</v>
      </c>
      <c r="B2584" s="427"/>
      <c r="C2584" s="427"/>
      <c r="D2584" s="427"/>
      <c r="E2584" s="427"/>
      <c r="F2584" s="428"/>
      <c r="G2584" s="429"/>
      <c r="H2584" s="1187"/>
      <c r="I2584" s="229"/>
      <c r="J2584" s="219">
        <f>SUM(J2576:J2582)</f>
        <v>2601.5300000000002</v>
      </c>
    </row>
    <row r="2585" spans="1:10" ht="15" customHeight="1" thickBot="1">
      <c r="A2585" s="253"/>
      <c r="B2585" s="1145"/>
      <c r="C2585" s="1145"/>
      <c r="D2585" s="1145"/>
      <c r="E2585" s="1145"/>
      <c r="F2585" s="1215"/>
      <c r="G2585" s="1215"/>
      <c r="H2585" s="1216"/>
      <c r="I2585" s="254"/>
      <c r="J2585" s="255"/>
    </row>
    <row r="2586" spans="1:10" ht="25.5" customHeight="1">
      <c r="A2586" s="230"/>
      <c r="B2586" s="1201"/>
      <c r="C2586" s="1176" t="s">
        <v>27199</v>
      </c>
      <c r="D2586" s="152" t="s">
        <v>27198</v>
      </c>
      <c r="E2586" s="1176" t="s">
        <v>24</v>
      </c>
      <c r="F2586" s="1177" t="s">
        <v>18</v>
      </c>
      <c r="G2586" s="1178" t="s">
        <v>7017</v>
      </c>
      <c r="H2586" s="1179"/>
      <c r="I2586" s="200" t="s">
        <v>7016</v>
      </c>
      <c r="J2586" s="201"/>
    </row>
    <row r="2587" spans="1:10" ht="15" customHeight="1">
      <c r="A2587" s="203"/>
      <c r="B2587" s="1202"/>
      <c r="C2587" s="1155"/>
      <c r="D2587" s="158"/>
      <c r="E2587" s="1155"/>
      <c r="F2587" s="1180"/>
      <c r="G2587" s="1180" t="s">
        <v>19</v>
      </c>
      <c r="H2587" s="1180" t="s">
        <v>20</v>
      </c>
      <c r="I2587" s="205" t="s">
        <v>19</v>
      </c>
      <c r="J2587" s="206" t="s">
        <v>20</v>
      </c>
    </row>
    <row r="2588" spans="1:10" ht="15" customHeight="1">
      <c r="A2588" s="208" t="s">
        <v>39</v>
      </c>
      <c r="B2588" s="1203"/>
      <c r="C2588" s="241">
        <v>43082</v>
      </c>
      <c r="D2588" s="161" t="str">
        <f>IF(B2588="SEPLAG",VLOOKUP(COMPOSIÇÕES!C2588,'MAPA COMPARATIVO'!A:B,2,FALSE),VLOOKUP(C2588,'NAO DESO'!A:B,2,0))</f>
        <v>PERFIL "I" DE ACO LAMINADO, ABAS PARALELAS, "W", QUALQUER BITOLA</v>
      </c>
      <c r="E2588" s="241" t="str">
        <f>VLOOKUP($C2588,'NAO DESO'!$A:$D,3,)</f>
        <v xml:space="preserve">KG    </v>
      </c>
      <c r="F2588" s="1186">
        <f>1.9*2*17.9</f>
        <v>68.02</v>
      </c>
      <c r="G2588" s="242">
        <f>IF(B2588="SEPLAG",VLOOKUP(CONCATENATE("MEDIANA - ",C2588),COTAÇÃO,5,FALSE),VLOOKUP($C2588,'NAO DESO'!$A:$D,4,))</f>
        <v>12.8</v>
      </c>
      <c r="H2588" s="242">
        <f t="shared" ref="H2588:H2595" si="206">TRUNC(F2588*G2588,2)</f>
        <v>870.65</v>
      </c>
      <c r="I2588" s="54" t="str">
        <f>IF(B2588="SEPLAG",VLOOKUP(CONCATENATE("MEDIANA - ",C2588),COTAÇÃO,5,FALSE),VLOOKUP($C2588,DESON!$A:$D,4,))</f>
        <v>12,80</v>
      </c>
      <c r="J2588" s="209">
        <f t="shared" ref="J2588:J2595" si="207">TRUNC(F2588*I2588,2)</f>
        <v>870.65</v>
      </c>
    </row>
    <row r="2589" spans="1:10" ht="15" customHeight="1">
      <c r="A2589" s="208" t="s">
        <v>39</v>
      </c>
      <c r="B2589" s="1203"/>
      <c r="C2589" s="241">
        <v>1335</v>
      </c>
      <c r="D2589" s="161" t="str">
        <f>IF(B2589="SEPLAG",VLOOKUP(COMPOSIÇÕES!C2589,'MAPA COMPARATIVO'!A:B,2,FALSE),VLOOKUP(C2589,'NAO DESO'!A:B,2,0))</f>
        <v>CHAPA DE ACO GROSSA, ASTM A36, E = 7/8 " (22,23 MM) 174,28 KG/M2</v>
      </c>
      <c r="E2589" s="241" t="str">
        <f>VLOOKUP($C2589,'NAO DESO'!$A:$D,3,)</f>
        <v xml:space="preserve">KG    </v>
      </c>
      <c r="F2589" s="1186">
        <f>0.4*0.2*22.23*8</f>
        <v>14.227200000000003</v>
      </c>
      <c r="G2589" s="242">
        <f>IF(B2589="SEPLAG",VLOOKUP(CONCATENATE("MEDIANA - ",C2589),COTAÇÃO,5,FALSE),VLOOKUP($C2589,'NAO DESO'!$A:$D,4,))</f>
        <v>13.31</v>
      </c>
      <c r="H2589" s="242">
        <f t="shared" si="206"/>
        <v>189.36</v>
      </c>
      <c r="I2589" s="54" t="str">
        <f>IF(B2589="SEPLAG",VLOOKUP(CONCATENATE("MEDIANA - ",C2589),COTAÇÃO,5,FALSE),VLOOKUP($C2589,DESON!$A:$D,4,))</f>
        <v>13,31</v>
      </c>
      <c r="J2589" s="209">
        <f t="shared" si="207"/>
        <v>189.36</v>
      </c>
    </row>
    <row r="2590" spans="1:10" ht="15" customHeight="1">
      <c r="A2590" s="208" t="s">
        <v>245</v>
      </c>
      <c r="B2590" s="1203"/>
      <c r="C2590" s="1181">
        <v>11002</v>
      </c>
      <c r="D2590" s="161" t="str">
        <f>IF(B2590="SEPLAG",VLOOKUP(COMPOSIÇÕES!C2590,'MAPA COMPARATIVO'!A:B,2,FALSE),VLOOKUP(C2590,'NAO DESO'!A:B,2,0))</f>
        <v>ELETRODO REVESTIDO AWS - E6013, DIAMETRO IGUAL A 2,50 MM</v>
      </c>
      <c r="E2590" s="241" t="str">
        <f>VLOOKUP($C2590,'NAO DESO'!$A:$D,3,)</f>
        <v xml:space="preserve">KG    </v>
      </c>
      <c r="F2590" s="1186">
        <f>0.015204*(F2588+F2589)</f>
        <v>1.2504864287999999</v>
      </c>
      <c r="G2590" s="242">
        <f>IF(B2590="SEPLAG",VLOOKUP(CONCATENATE("MEDIANA - ",C2590),COTAÇÃO,5,FALSE),VLOOKUP($C2590,'NAO DESO'!$A:$D,4,))</f>
        <v>27.51</v>
      </c>
      <c r="H2590" s="242">
        <f t="shared" si="206"/>
        <v>34.4</v>
      </c>
      <c r="I2590" s="54" t="str">
        <f>IF(B2590="SEPLAG",VLOOKUP(CONCATENATE("MEDIANA - ",C2590),COTAÇÃO,5,FALSE),VLOOKUP($C2590,DESON!$A:$D,4,))</f>
        <v>27,51</v>
      </c>
      <c r="J2590" s="209">
        <f t="shared" si="207"/>
        <v>34.4</v>
      </c>
    </row>
    <row r="2591" spans="1:10" ht="15" customHeight="1">
      <c r="A2591" s="208" t="s">
        <v>245</v>
      </c>
      <c r="B2591" s="1203"/>
      <c r="C2591" s="1181">
        <v>88251</v>
      </c>
      <c r="D2591" s="161" t="str">
        <f>IF(B2591="SEPLAG",VLOOKUP(COMPOSIÇÕES!C2591,'MAPA COMPARATIVO'!A:B,2,FALSE),VLOOKUP(C2591,'NAO DESO'!A:B,2,0))</f>
        <v>AUXILIAR DE SERRALHEIRO COM ENCARGOS COMPLEMENTARES</v>
      </c>
      <c r="E2591" s="241" t="str">
        <f>VLOOKUP($C2591,'NAO DESO'!$A:$D,3,)</f>
        <v>H</v>
      </c>
      <c r="F2591" s="1186">
        <f>2*8</f>
        <v>16</v>
      </c>
      <c r="G2591" s="242" t="str">
        <f>IF(B2591="SEPLAG",VLOOKUP(CONCATENATE("MEDIANA - ",C2591),COTAÇÃO,5,FALSE),VLOOKUP($C2591,'NAO DESO'!$A:$D,4,))</f>
        <v>17,84</v>
      </c>
      <c r="H2591" s="242">
        <f t="shared" si="206"/>
        <v>285.44</v>
      </c>
      <c r="I2591" s="54" t="str">
        <f>IF(B2591="SEPLAG",VLOOKUP(CONCATENATE("MEDIANA - ",C2591),COTAÇÃO,5,FALSE),VLOOKUP($C2591,DESON!$A:$D,4,))</f>
        <v>16,05</v>
      </c>
      <c r="J2591" s="209">
        <f t="shared" si="207"/>
        <v>256.8</v>
      </c>
    </row>
    <row r="2592" spans="1:10" ht="15" customHeight="1">
      <c r="A2592" s="208" t="s">
        <v>39</v>
      </c>
      <c r="B2592" s="1203"/>
      <c r="C2592" s="1181">
        <v>88315</v>
      </c>
      <c r="D2592" s="161" t="str">
        <f>IF(B2592="SEPLAG",VLOOKUP(COMPOSIÇÕES!C2592,'MAPA COMPARATIVO'!A:B,2,FALSE),VLOOKUP(C2592,'NAO DESO'!A:B,2,0))</f>
        <v>SERRALHEIRO COM ENCARGOS COMPLEMENTARES</v>
      </c>
      <c r="E2592" s="241" t="str">
        <f>VLOOKUP($C2592,'NAO DESO'!$A:$D,3,)</f>
        <v>H</v>
      </c>
      <c r="F2592" s="1186">
        <f>F2591</f>
        <v>16</v>
      </c>
      <c r="G2592" s="242" t="str">
        <f>IF(B2592="SEPLAG",VLOOKUP(CONCATENATE("MEDIANA - ",C2592),COTAÇÃO,5,FALSE),VLOOKUP($C2592,'NAO DESO'!$A:$D,4,))</f>
        <v>20,97</v>
      </c>
      <c r="H2592" s="242">
        <f t="shared" si="206"/>
        <v>335.52</v>
      </c>
      <c r="I2592" s="54" t="str">
        <f>IF(B2592="SEPLAG",VLOOKUP(CONCATENATE("MEDIANA - ",C2592),COTAÇÃO,5,FALSE),VLOOKUP($C2592,DESON!$A:$D,4,))</f>
        <v>18,75</v>
      </c>
      <c r="J2592" s="209">
        <f t="shared" si="207"/>
        <v>300</v>
      </c>
    </row>
    <row r="2593" spans="1:10" ht="15" customHeight="1">
      <c r="A2593" s="208" t="s">
        <v>39</v>
      </c>
      <c r="B2593" s="1203"/>
      <c r="C2593" s="241">
        <v>43056</v>
      </c>
      <c r="D2593" s="161" t="str">
        <f>IF(B2593="SEPLAG",VLOOKUP(COMPOSIÇÕES!C2593,'MAPA COMPARATIVO'!A:B,2,FALSE),VLOOKUP(C2593,'NAO DESO'!A:B,2,0))</f>
        <v>ACO CA-50, 20,0 MM OU 25,0 MM, VERGALHAO</v>
      </c>
      <c r="E2593" s="241" t="str">
        <f>VLOOKUP($C2593,'NAO DESO'!$A:$D,3,)</f>
        <v xml:space="preserve">KG    </v>
      </c>
      <c r="F2593" s="1186">
        <f>0.5*4*2.46</f>
        <v>4.92</v>
      </c>
      <c r="G2593" s="242">
        <f>IF(B2593="SEPLAG",VLOOKUP(CONCATENATE("MEDIANA - ",C2593),COTAÇÃO,5,FALSE),VLOOKUP($C2593,'NAO DESO'!$A:$D,4,))</f>
        <v>10.46</v>
      </c>
      <c r="H2593" s="242">
        <f t="shared" si="206"/>
        <v>51.46</v>
      </c>
      <c r="I2593" s="54" t="str">
        <f>IF(B2593="SEPLAG",VLOOKUP(CONCATENATE("MEDIANA - ",C2593),COTAÇÃO,5,FALSE),VLOOKUP($C2593,DESON!$A:$D,4,))</f>
        <v>10,46</v>
      </c>
      <c r="J2593" s="209">
        <f t="shared" si="207"/>
        <v>51.46</v>
      </c>
    </row>
    <row r="2594" spans="1:10" ht="26.25" customHeight="1">
      <c r="A2594" s="208" t="s">
        <v>39</v>
      </c>
      <c r="B2594" s="1203"/>
      <c r="C2594" s="241">
        <v>43058</v>
      </c>
      <c r="D2594" s="161" t="str">
        <f>IF(B2594="SEPLAG",VLOOKUP(COMPOSIÇÕES!C2594,'MAPA COMPARATIVO'!A:B,2,FALSE),VLOOKUP(C2594,'NAO DESO'!A:B,2,0))</f>
        <v>ACO CA-50, 10,0 MM, OU 12,5 MM, OU 16,0 MM, OU 20,0 MM, DOBRADO E CORTADO</v>
      </c>
      <c r="E2594" s="241" t="str">
        <f>VLOOKUP($C2594,'NAO DESO'!$A:$D,3,)</f>
        <v xml:space="preserve">KG    </v>
      </c>
      <c r="F2594" s="1186">
        <f>16*0.63</f>
        <v>10.08</v>
      </c>
      <c r="G2594" s="242">
        <f>IF(B2594="SEPLAG",VLOOKUP(CONCATENATE("MEDIANA - ",C2594),COTAÇÃO,5,FALSE),VLOOKUP($C2594,'NAO DESO'!$A:$D,4,))</f>
        <v>10.42</v>
      </c>
      <c r="H2594" s="242">
        <f t="shared" si="206"/>
        <v>105.03</v>
      </c>
      <c r="I2594" s="54" t="str">
        <f>IF(B2594="SEPLAG",VLOOKUP(CONCATENATE("MEDIANA - ",C2594),COTAÇÃO,5,FALSE),VLOOKUP($C2594,DESON!$A:$D,4,))</f>
        <v>10,42</v>
      </c>
      <c r="J2594" s="209">
        <f t="shared" si="207"/>
        <v>105.03</v>
      </c>
    </row>
    <row r="2595" spans="1:10" ht="51.75" customHeight="1">
      <c r="A2595" s="208" t="s">
        <v>39</v>
      </c>
      <c r="B2595" s="241"/>
      <c r="C2595" s="247">
        <v>5928</v>
      </c>
      <c r="D2595" s="161" t="str">
        <f>IF(B2595="SEPLAG",VLOOKUP(COMPOSIÇÕES!C2595,'MAPA COMPARATIVO'!A:B,2,FALSE),VLOOKUP(C2595,'NAO DESO'!A:B,2,0))</f>
        <v>GUINDAUTO HIDRÁULICO, CAPACIDADE MÁXIMA DE CARGA 6200 KG, MOMENTO MÁXIMO DE CARGA 11,7 TM, ALCANCE MÁXIMO HORIZONTAL 9,70 M, INCLUSIVE CAMINHÃO TOCO PBT 16.000 KG, POTÊNCIA DE 189 CV - CHP DIURNO. AF_06/2014</v>
      </c>
      <c r="E2595" s="241" t="str">
        <f>VLOOKUP($C2595,'NAO DESO'!$A:$D,3,)</f>
        <v>CHP</v>
      </c>
      <c r="F2595" s="248">
        <v>2</v>
      </c>
      <c r="G2595" s="242" t="str">
        <f>IF(B2595="SEPLAG",VLOOKUP(CONCATENATE("MEDIANA - ",C2595),COTAÇÃO,5,FALSE),VLOOKUP($C2595,'NAO DESO'!$A:$D,4,))</f>
        <v>231,97</v>
      </c>
      <c r="H2595" s="242">
        <f t="shared" si="206"/>
        <v>463.94</v>
      </c>
      <c r="I2595" s="54" t="str">
        <f>IF(B2595="SEPLAG",VLOOKUP(CONCATENATE("MEDIANA - ",C2595),COTAÇÃO,5,FALSE),VLOOKUP($C2595,DESON!$A:$D,4,))</f>
        <v>229,82</v>
      </c>
      <c r="J2595" s="209">
        <f t="shared" si="207"/>
        <v>459.64</v>
      </c>
    </row>
    <row r="2596" spans="1:10" ht="15" customHeight="1">
      <c r="A2596" s="210" t="str">
        <f>CONCATENATE("TOTAL DO ITEM NÃO DESON. - ",C2586)</f>
        <v>TOTAL DO ITEM NÃO DESON. - SEPLAG ARQ 168</v>
      </c>
      <c r="B2596" s="424"/>
      <c r="C2596" s="424"/>
      <c r="D2596" s="424"/>
      <c r="E2596" s="424"/>
      <c r="F2596" s="425"/>
      <c r="G2596" s="426"/>
      <c r="H2596" s="1182">
        <f>SUM(H2588:H2595)</f>
        <v>2335.8000000000002</v>
      </c>
      <c r="I2596" s="214"/>
      <c r="J2596" s="215"/>
    </row>
    <row r="2597" spans="1:10" ht="15.75" customHeight="1" thickBot="1">
      <c r="A2597" s="216" t="str">
        <f>CONCATENATE("TOTAL DO ITEM DESON. - ",C2586)</f>
        <v>TOTAL DO ITEM DESON. - SEPLAG ARQ 168</v>
      </c>
      <c r="B2597" s="427"/>
      <c r="C2597" s="427"/>
      <c r="D2597" s="427"/>
      <c r="E2597" s="427"/>
      <c r="F2597" s="428"/>
      <c r="G2597" s="429"/>
      <c r="H2597" s="1187"/>
      <c r="I2597" s="229"/>
      <c r="J2597" s="219">
        <f>SUM(J2588:J2595)</f>
        <v>2267.34</v>
      </c>
    </row>
    <row r="2598" spans="1:10" ht="15" customHeight="1" thickBot="1">
      <c r="A2598" s="253"/>
      <c r="B2598" s="1145"/>
      <c r="C2598" s="1145"/>
      <c r="D2598" s="1145"/>
      <c r="E2598" s="1145"/>
      <c r="F2598" s="1215"/>
      <c r="G2598" s="1215"/>
      <c r="H2598" s="1216"/>
      <c r="I2598" s="254"/>
      <c r="J2598" s="255"/>
    </row>
    <row r="2599" spans="1:10" ht="38.25" customHeight="1">
      <c r="A2599" s="230"/>
      <c r="B2599" s="1152"/>
      <c r="C2599" s="1176" t="s">
        <v>27259</v>
      </c>
      <c r="D2599" s="156" t="s">
        <v>27260</v>
      </c>
      <c r="E2599" s="1176" t="s">
        <v>8</v>
      </c>
      <c r="F2599" s="1177" t="s">
        <v>18</v>
      </c>
      <c r="G2599" s="1178" t="s">
        <v>7017</v>
      </c>
      <c r="H2599" s="1179"/>
      <c r="I2599" s="200" t="s">
        <v>7016</v>
      </c>
      <c r="J2599" s="201"/>
    </row>
    <row r="2600" spans="1:10" ht="15" customHeight="1">
      <c r="A2600" s="203"/>
      <c r="B2600" s="430"/>
      <c r="C2600" s="1155"/>
      <c r="D2600" s="157"/>
      <c r="E2600" s="1155"/>
      <c r="F2600" s="1180"/>
      <c r="G2600" s="1180" t="s">
        <v>19</v>
      </c>
      <c r="H2600" s="1180" t="s">
        <v>20</v>
      </c>
      <c r="I2600" s="205" t="s">
        <v>19</v>
      </c>
      <c r="J2600" s="206" t="s">
        <v>20</v>
      </c>
    </row>
    <row r="2601" spans="1:10" ht="25.5" customHeight="1">
      <c r="A2601" s="208" t="s">
        <v>188</v>
      </c>
      <c r="B2601" s="241" t="s">
        <v>14504</v>
      </c>
      <c r="C2601" s="241" t="s">
        <v>27258</v>
      </c>
      <c r="D2601" s="163" t="str">
        <f>IF(B2601="SEPLAG",VLOOKUP(COMPOSIÇÕES!C2601,'MAPA COMPARATIVO'!A:B,2,FALSE),VLOOKUP(C2601,'NAO DESO'!A:B,2,0))</f>
        <v>PORCELANATO RETIFICADO 0,90X0,90m ARTSY CEMENT NATURAL, COR CINZA PORTOBELLO OU SIMILAR.</v>
      </c>
      <c r="E2601" s="247" t="s">
        <v>12</v>
      </c>
      <c r="F2601" s="242">
        <v>1.05</v>
      </c>
      <c r="G2601" s="242">
        <f>IF(B2601="SEPLAG",VLOOKUP(CONCATENATE("MEDIANA - ",C2601),COTAÇÃO,5,FALSE),VLOOKUP($C2601,'NAO DESO'!$A:$D,4,))</f>
        <v>144.50800000000001</v>
      </c>
      <c r="H2601" s="242">
        <f>TRUNC(F2601*G2601,2)</f>
        <v>151.72999999999999</v>
      </c>
      <c r="I2601" s="54">
        <f>IF(B2601="SEPLAG",VLOOKUP(CONCATENATE("MEDIANA - ",C2601),COTAÇÃO,5,FALSE),VLOOKUP($C2601,DESON!$A:$D,4,))</f>
        <v>144.50800000000001</v>
      </c>
      <c r="J2601" s="209">
        <f>TRUNC(F2601*I2601,2)</f>
        <v>151.72999999999999</v>
      </c>
    </row>
    <row r="2602" spans="1:10" ht="15" customHeight="1">
      <c r="A2602" s="208" t="s">
        <v>39</v>
      </c>
      <c r="B2602" s="241"/>
      <c r="C2602" s="241">
        <v>34357</v>
      </c>
      <c r="D2602" s="161" t="str">
        <f>IF(B2602="SEPLAG",VLOOKUP(COMPOSIÇÕES!C2602,'MAPA COMPARATIVO'!A:B,2,FALSE),VLOOKUP(C2602,'NAO DESO'!A:B,2,0))</f>
        <v>REJUNTE CIMENTICIO, QUALQUER COR</v>
      </c>
      <c r="E2602" s="241" t="str">
        <f>VLOOKUP($C2602,'NAO DESO'!$A:$D,3,)</f>
        <v xml:space="preserve">KG    </v>
      </c>
      <c r="F2602" s="242">
        <v>0.42</v>
      </c>
      <c r="G2602" s="242">
        <f>IF(B2602="SEPLAG",VLOOKUP(CONCATENATE("MEDIANA - ",C2602),COTAÇÃO,5,FALSE),VLOOKUP($C2602,'NAO DESO'!$A:$D,4,))</f>
        <v>4.8099999999999996</v>
      </c>
      <c r="H2602" s="242">
        <f>TRUNC(F2602*G2602,2)</f>
        <v>2.02</v>
      </c>
      <c r="I2602" s="54" t="str">
        <f>IF(B2602="SEPLAG",VLOOKUP(CONCATENATE("MEDIANA - ",C2602),COTAÇÃO,5,FALSE),VLOOKUP($C2602,DESON!$A:$D,4,))</f>
        <v>4,81</v>
      </c>
      <c r="J2602" s="209">
        <f>TRUNC(F2602*I2602,2)</f>
        <v>2.02</v>
      </c>
    </row>
    <row r="2603" spans="1:10" ht="15" customHeight="1">
      <c r="A2603" s="208" t="s">
        <v>39</v>
      </c>
      <c r="B2603" s="241"/>
      <c r="C2603" s="1181">
        <v>37595</v>
      </c>
      <c r="D2603" s="161" t="str">
        <f>IF(B2603="SEPLAG",VLOOKUP(COMPOSIÇÕES!C2603,'MAPA COMPARATIVO'!A:B,2,FALSE),VLOOKUP(C2603,'NAO DESO'!A:B,2,0))</f>
        <v>ARGAMASSA COLANTE TIPO AC III</v>
      </c>
      <c r="E2603" s="241" t="str">
        <f>VLOOKUP($C2603,'NAO DESO'!$A:$D,3,)</f>
        <v xml:space="preserve">KG    </v>
      </c>
      <c r="F2603" s="242">
        <v>4.8600000000000003</v>
      </c>
      <c r="G2603" s="242">
        <f>IF(B2603="SEPLAG",VLOOKUP(CONCATENATE("MEDIANA - ",C2603),COTAÇÃO,5,FALSE),VLOOKUP($C2603,'NAO DESO'!$A:$D,4,))</f>
        <v>2.52</v>
      </c>
      <c r="H2603" s="242">
        <f>TRUNC(F2603*G2603,2)</f>
        <v>12.24</v>
      </c>
      <c r="I2603" s="54" t="str">
        <f>IF(B2603="SEPLAG",VLOOKUP(CONCATENATE("MEDIANA - ",C2603),COTAÇÃO,5,FALSE),VLOOKUP($C2603,DESON!$A:$D,4,))</f>
        <v>2,52</v>
      </c>
      <c r="J2603" s="209">
        <f>TRUNC(F2603*I2603,2)</f>
        <v>12.24</v>
      </c>
    </row>
    <row r="2604" spans="1:10" ht="15" customHeight="1">
      <c r="A2604" s="208" t="s">
        <v>348</v>
      </c>
      <c r="B2604" s="241"/>
      <c r="C2604" s="241">
        <v>88256</v>
      </c>
      <c r="D2604" s="161" t="str">
        <f>IF(B2604="SEPLAG",VLOOKUP(COMPOSIÇÕES!C2604,'MAPA COMPARATIVO'!A:B,2,FALSE),VLOOKUP(C2604,'NAO DESO'!A:B,2,0))</f>
        <v>AZULEJISTA OU LADRILHISTA COM ENCARGOS COMPLEMENTARES</v>
      </c>
      <c r="E2604" s="241" t="str">
        <f>VLOOKUP($C2604,'NAO DESO'!$A:$D,3,)</f>
        <v>H</v>
      </c>
      <c r="F2604" s="242">
        <v>0.49</v>
      </c>
      <c r="G2604" s="242" t="str">
        <f>IF(B2604="SEPLAG",VLOOKUP(CONCATENATE("MEDIANA - ",C2604),COTAÇÃO,5,FALSE),VLOOKUP($C2604,'NAO DESO'!$A:$D,4,))</f>
        <v>21,02</v>
      </c>
      <c r="H2604" s="242">
        <f>TRUNC(F2604*G2604,2)</f>
        <v>10.29</v>
      </c>
      <c r="I2604" s="54" t="str">
        <f>IF(B2604="SEPLAG",VLOOKUP(CONCATENATE("MEDIANA - ",C2604),COTAÇÃO,5,FALSE),VLOOKUP($C2604,DESON!$A:$D,4,))</f>
        <v>18,79</v>
      </c>
      <c r="J2604" s="209">
        <f>TRUNC(F2604*I2604,2)</f>
        <v>9.1999999999999993</v>
      </c>
    </row>
    <row r="2605" spans="1:10" ht="15" customHeight="1">
      <c r="A2605" s="208" t="s">
        <v>348</v>
      </c>
      <c r="B2605" s="241"/>
      <c r="C2605" s="1181">
        <v>88316</v>
      </c>
      <c r="D2605" s="161" t="str">
        <f>IF(B2605="SEPLAG",VLOOKUP(COMPOSIÇÕES!C2605,'MAPA COMPARATIVO'!A:B,2,FALSE),VLOOKUP(C2605,'NAO DESO'!A:B,2,0))</f>
        <v>SERVENTE COM ENCARGOS COMPLEMENTARES</v>
      </c>
      <c r="E2605" s="241" t="str">
        <f>VLOOKUP($C2605,'NAO DESO'!$A:$D,3,)</f>
        <v>H</v>
      </c>
      <c r="F2605" s="242">
        <v>0.28999999999999998</v>
      </c>
      <c r="G2605" s="242" t="str">
        <f>IF(B2605="SEPLAG",VLOOKUP(CONCATENATE("MEDIANA - ",C2605),COTAÇÃO,5,FALSE),VLOOKUP($C2605,'NAO DESO'!$A:$D,4,))</f>
        <v>16,83</v>
      </c>
      <c r="H2605" s="242">
        <f>TRUNC(F2605*G2605,2)</f>
        <v>4.88</v>
      </c>
      <c r="I2605" s="54" t="str">
        <f>IF(B2605="SEPLAG",VLOOKUP(CONCATENATE("MEDIANA - ",C2605),COTAÇÃO,5,FALSE),VLOOKUP($C2605,DESON!$A:$D,4,))</f>
        <v>15,16</v>
      </c>
      <c r="J2605" s="209">
        <f>TRUNC(F2605*I2605,2)</f>
        <v>4.3899999999999997</v>
      </c>
    </row>
    <row r="2606" spans="1:10" ht="15" customHeight="1">
      <c r="A2606" s="210" t="str">
        <f>CONCATENATE("TOTAL DO ITEM NÃO DESON. - ",C2599)</f>
        <v>TOTAL DO ITEM NÃO DESON. - SEPLAG ARQ 169</v>
      </c>
      <c r="B2606" s="424"/>
      <c r="C2606" s="424"/>
      <c r="D2606" s="424"/>
      <c r="E2606" s="424"/>
      <c r="F2606" s="425"/>
      <c r="G2606" s="426"/>
      <c r="H2606" s="1182">
        <f>SUM(H2601:H2605)</f>
        <v>181.16</v>
      </c>
      <c r="I2606" s="214"/>
      <c r="J2606" s="215"/>
    </row>
    <row r="2607" spans="1:10" ht="15.75" customHeight="1" thickBot="1">
      <c r="A2607" s="216" t="str">
        <f>CONCATENATE("TOTAL DO ITEM DESON. - ",C2599)</f>
        <v>TOTAL DO ITEM DESON. - SEPLAG ARQ 169</v>
      </c>
      <c r="B2607" s="427"/>
      <c r="C2607" s="427"/>
      <c r="D2607" s="427"/>
      <c r="E2607" s="427"/>
      <c r="F2607" s="428"/>
      <c r="G2607" s="429"/>
      <c r="H2607" s="1187"/>
      <c r="I2607" s="229"/>
      <c r="J2607" s="232">
        <f>SUM(J2601:J2605)</f>
        <v>179.57999999999998</v>
      </c>
    </row>
    <row r="2608" spans="1:10" ht="15" customHeight="1" thickBot="1">
      <c r="A2608" s="253"/>
      <c r="B2608" s="1145"/>
      <c r="C2608" s="1145"/>
      <c r="D2608" s="1145"/>
      <c r="E2608" s="1145"/>
      <c r="F2608" s="1215"/>
      <c r="G2608" s="1215"/>
      <c r="H2608" s="1216"/>
      <c r="I2608" s="254"/>
      <c r="J2608" s="255"/>
    </row>
    <row r="2609" spans="1:10" ht="51" customHeight="1">
      <c r="A2609" s="230"/>
      <c r="B2609" s="1152"/>
      <c r="C2609" s="1176" t="s">
        <v>27262</v>
      </c>
      <c r="D2609" s="156" t="s">
        <v>27261</v>
      </c>
      <c r="E2609" s="1176" t="s">
        <v>7388</v>
      </c>
      <c r="F2609" s="1177" t="s">
        <v>18</v>
      </c>
      <c r="G2609" s="1178" t="s">
        <v>7017</v>
      </c>
      <c r="H2609" s="1179"/>
      <c r="I2609" s="200" t="s">
        <v>7016</v>
      </c>
      <c r="J2609" s="201"/>
    </row>
    <row r="2610" spans="1:10" ht="15" customHeight="1">
      <c r="A2610" s="203"/>
      <c r="B2610" s="430"/>
      <c r="C2610" s="1155"/>
      <c r="D2610" s="157"/>
      <c r="E2610" s="1155"/>
      <c r="F2610" s="1180"/>
      <c r="G2610" s="1180" t="s">
        <v>19</v>
      </c>
      <c r="H2610" s="1180" t="s">
        <v>20</v>
      </c>
      <c r="I2610" s="205" t="s">
        <v>19</v>
      </c>
      <c r="J2610" s="206" t="s">
        <v>20</v>
      </c>
    </row>
    <row r="2611" spans="1:10" ht="25.5" customHeight="1">
      <c r="A2611" s="208" t="s">
        <v>188</v>
      </c>
      <c r="B2611" s="241" t="s">
        <v>14504</v>
      </c>
      <c r="C2611" s="241" t="s">
        <v>27258</v>
      </c>
      <c r="D2611" s="163" t="str">
        <f>IF(B2611="SEPLAG",VLOOKUP(COMPOSIÇÕES!C2611,'MAPA COMPARATIVO'!A:B,2,FALSE),VLOOKUP(C2611,'NAO DESO'!A:B,2,0))</f>
        <v>PORCELANATO RETIFICADO 0,90X0,90m ARTSY CEMENT NATURAL, COR CINZA PORTOBELLO OU SIMILAR.</v>
      </c>
      <c r="E2611" s="247" t="s">
        <v>12</v>
      </c>
      <c r="F2611" s="242">
        <v>7.0000000000000007E-2</v>
      </c>
      <c r="G2611" s="242">
        <f>IF(B2611="SEPLAG",VLOOKUP(CONCATENATE("MEDIANA - ",C2611),COTAÇÃO,5,FALSE),VLOOKUP($C2611,'NAO DESO'!$A:$D,4,))</f>
        <v>144.50800000000001</v>
      </c>
      <c r="H2611" s="242">
        <f>TRUNC(F2611*G2611,2)</f>
        <v>10.11</v>
      </c>
      <c r="I2611" s="54">
        <f>IF(B2611="SEPLAG",VLOOKUP(CONCATENATE("MEDIANA - ",C2611),COTAÇÃO,5,FALSE),VLOOKUP($C2611,DESON!$A:$D,4,))</f>
        <v>144.50800000000001</v>
      </c>
      <c r="J2611" s="209">
        <f>TRUNC(F2611*I2611,2)</f>
        <v>10.11</v>
      </c>
    </row>
    <row r="2612" spans="1:10" ht="15" customHeight="1">
      <c r="A2612" s="208" t="s">
        <v>39</v>
      </c>
      <c r="B2612" s="241"/>
      <c r="C2612" s="241">
        <v>34357</v>
      </c>
      <c r="D2612" s="161" t="str">
        <f>IF(B2612="SEPLAG",VLOOKUP(COMPOSIÇÕES!C2612,'MAPA COMPARATIVO'!A:B,2,FALSE),VLOOKUP(C2612,'NAO DESO'!A:B,2,0))</f>
        <v>REJUNTE CIMENTICIO, QUALQUER COR</v>
      </c>
      <c r="E2612" s="241" t="str">
        <f>VLOOKUP($C2612,'NAO DESO'!$A:$D,3,)</f>
        <v xml:space="preserve">KG    </v>
      </c>
      <c r="F2612" s="242">
        <v>8.4000000000000005E-2</v>
      </c>
      <c r="G2612" s="242">
        <f>IF(B2612="SEPLAG",VLOOKUP(CONCATENATE("MEDIANA - ",C2612),COTAÇÃO,5,FALSE),VLOOKUP($C2612,'NAO DESO'!$A:$D,4,))</f>
        <v>4.8099999999999996</v>
      </c>
      <c r="H2612" s="242">
        <f>TRUNC(F2612*G2612,2)</f>
        <v>0.4</v>
      </c>
      <c r="I2612" s="54" t="str">
        <f>IF(B2612="SEPLAG",VLOOKUP(CONCATENATE("MEDIANA - ",C2612),COTAÇÃO,5,FALSE),VLOOKUP($C2612,DESON!$A:$D,4,))</f>
        <v>4,81</v>
      </c>
      <c r="J2612" s="209">
        <f>TRUNC(F2612*I2612,2)</f>
        <v>0.4</v>
      </c>
    </row>
    <row r="2613" spans="1:10" ht="15" customHeight="1">
      <c r="A2613" s="208" t="s">
        <v>39</v>
      </c>
      <c r="B2613" s="241"/>
      <c r="C2613" s="1181">
        <v>37595</v>
      </c>
      <c r="D2613" s="161" t="str">
        <f>IF(B2613="SEPLAG",VLOOKUP(COMPOSIÇÕES!C2613,'MAPA COMPARATIVO'!A:B,2,FALSE),VLOOKUP(C2613,'NAO DESO'!A:B,2,0))</f>
        <v>ARGAMASSA COLANTE TIPO AC III</v>
      </c>
      <c r="E2613" s="241" t="str">
        <f>VLOOKUP($C2613,'NAO DESO'!$A:$D,3,)</f>
        <v xml:space="preserve">KG    </v>
      </c>
      <c r="F2613" s="242">
        <v>0.60299999999999998</v>
      </c>
      <c r="G2613" s="242">
        <f>IF(B2613="SEPLAG",VLOOKUP(CONCATENATE("MEDIANA - ",C2613),COTAÇÃO,5,FALSE),VLOOKUP($C2613,'NAO DESO'!$A:$D,4,))</f>
        <v>2.52</v>
      </c>
      <c r="H2613" s="242">
        <f>TRUNC(F2613*G2613,2)</f>
        <v>1.51</v>
      </c>
      <c r="I2613" s="54" t="str">
        <f>IF(B2613="SEPLAG",VLOOKUP(CONCATENATE("MEDIANA - ",C2613),COTAÇÃO,5,FALSE),VLOOKUP($C2613,DESON!$A:$D,4,))</f>
        <v>2,52</v>
      </c>
      <c r="J2613" s="209">
        <f>TRUNC(F2613*I2613,2)</f>
        <v>1.51</v>
      </c>
    </row>
    <row r="2614" spans="1:10" ht="15" customHeight="1">
      <c r="A2614" s="208" t="s">
        <v>348</v>
      </c>
      <c r="B2614" s="241"/>
      <c r="C2614" s="241">
        <v>88256</v>
      </c>
      <c r="D2614" s="161" t="str">
        <f>IF(B2614="SEPLAG",VLOOKUP(COMPOSIÇÕES!C2614,'MAPA COMPARATIVO'!A:B,2,FALSE),VLOOKUP(C2614,'NAO DESO'!A:B,2,0))</f>
        <v>AZULEJISTA OU LADRILHISTA COM ENCARGOS COMPLEMENTARES</v>
      </c>
      <c r="E2614" s="241" t="str">
        <f>VLOOKUP($C2614,'NAO DESO'!$A:$D,3,)</f>
        <v>H</v>
      </c>
      <c r="F2614" s="242">
        <v>8.5000000000000006E-2</v>
      </c>
      <c r="G2614" s="242" t="str">
        <f>IF(B2614="SEPLAG",VLOOKUP(CONCATENATE("MEDIANA - ",C2614),COTAÇÃO,5,FALSE),VLOOKUP($C2614,'NAO DESO'!$A:$D,4,))</f>
        <v>21,02</v>
      </c>
      <c r="H2614" s="242">
        <f>TRUNC(F2614*G2614,2)</f>
        <v>1.78</v>
      </c>
      <c r="I2614" s="54" t="str">
        <f>IF(B2614="SEPLAG",VLOOKUP(CONCATENATE("MEDIANA - ",C2614),COTAÇÃO,5,FALSE),VLOOKUP($C2614,DESON!$A:$D,4,))</f>
        <v>18,79</v>
      </c>
      <c r="J2614" s="209">
        <f>TRUNC(F2614*I2614,2)</f>
        <v>1.59</v>
      </c>
    </row>
    <row r="2615" spans="1:10" ht="15" customHeight="1">
      <c r="A2615" s="208" t="s">
        <v>348</v>
      </c>
      <c r="B2615" s="241"/>
      <c r="C2615" s="1181">
        <v>88316</v>
      </c>
      <c r="D2615" s="161" t="str">
        <f>IF(B2615="SEPLAG",VLOOKUP(COMPOSIÇÕES!C2615,'MAPA COMPARATIVO'!A:B,2,FALSE),VLOOKUP(C2615,'NAO DESO'!A:B,2,0))</f>
        <v>SERVENTE COM ENCARGOS COMPLEMENTARES</v>
      </c>
      <c r="E2615" s="241" t="str">
        <f>VLOOKUP($C2615,'NAO DESO'!$A:$D,3,)</f>
        <v>H</v>
      </c>
      <c r="F2615" s="242">
        <v>3.1E-2</v>
      </c>
      <c r="G2615" s="242" t="str">
        <f>IF(B2615="SEPLAG",VLOOKUP(CONCATENATE("MEDIANA - ",C2615),COTAÇÃO,5,FALSE),VLOOKUP($C2615,'NAO DESO'!$A:$D,4,))</f>
        <v>16,83</v>
      </c>
      <c r="H2615" s="242">
        <f>TRUNC(F2615*G2615,2)</f>
        <v>0.52</v>
      </c>
      <c r="I2615" s="54" t="str">
        <f>IF(B2615="SEPLAG",VLOOKUP(CONCATENATE("MEDIANA - ",C2615),COTAÇÃO,5,FALSE),VLOOKUP($C2615,DESON!$A:$D,4,))</f>
        <v>15,16</v>
      </c>
      <c r="J2615" s="209">
        <f>TRUNC(F2615*I2615,2)</f>
        <v>0.46</v>
      </c>
    </row>
    <row r="2616" spans="1:10" ht="15" customHeight="1">
      <c r="A2616" s="210" t="str">
        <f>CONCATENATE("TOTAL DO ITEM NÃO DESON. - ",C2609)</f>
        <v>TOTAL DO ITEM NÃO DESON. - SEPLAG ARQ 170</v>
      </c>
      <c r="B2616" s="424"/>
      <c r="C2616" s="424"/>
      <c r="D2616" s="424"/>
      <c r="E2616" s="424"/>
      <c r="F2616" s="425"/>
      <c r="G2616" s="426"/>
      <c r="H2616" s="1182">
        <f>SUM(H2611:H2615)</f>
        <v>14.319999999999999</v>
      </c>
      <c r="I2616" s="214"/>
      <c r="J2616" s="215"/>
    </row>
    <row r="2617" spans="1:10" ht="15.75" customHeight="1" thickBot="1">
      <c r="A2617" s="216" t="str">
        <f>CONCATENATE("TOTAL DO ITEM DESON. - ",C2609)</f>
        <v>TOTAL DO ITEM DESON. - SEPLAG ARQ 170</v>
      </c>
      <c r="B2617" s="427"/>
      <c r="C2617" s="427"/>
      <c r="D2617" s="427"/>
      <c r="E2617" s="427"/>
      <c r="F2617" s="428"/>
      <c r="G2617" s="429"/>
      <c r="H2617" s="1187"/>
      <c r="I2617" s="229"/>
      <c r="J2617" s="232">
        <f>SUM(J2611:J2615)</f>
        <v>14.07</v>
      </c>
    </row>
    <row r="2618" spans="1:10" ht="15" customHeight="1">
      <c r="A2618" s="253"/>
      <c r="B2618" s="1145"/>
      <c r="C2618" s="1145"/>
      <c r="D2618" s="1145"/>
      <c r="E2618" s="1145"/>
      <c r="F2618" s="1215"/>
      <c r="G2618" s="1215"/>
      <c r="H2618" s="1216"/>
      <c r="I2618" s="254"/>
      <c r="J2618" s="255"/>
    </row>
    <row r="2619" spans="1:10" ht="15" customHeight="1">
      <c r="A2619" s="253"/>
      <c r="B2619" s="1145"/>
      <c r="C2619" s="1145"/>
      <c r="D2619" s="1145"/>
      <c r="E2619" s="1145"/>
      <c r="F2619" s="1215"/>
      <c r="G2619" s="1215"/>
      <c r="H2619" s="1216"/>
      <c r="I2619" s="254"/>
      <c r="J2619" s="255"/>
    </row>
    <row r="2620" spans="1:10" ht="15" customHeight="1">
      <c r="A2620" s="253"/>
      <c r="B2620" s="1145"/>
      <c r="C2620" s="1145"/>
      <c r="D2620" s="1145"/>
      <c r="E2620" s="1145"/>
      <c r="F2620" s="1215"/>
      <c r="G2620" s="1215"/>
      <c r="H2620" s="1216"/>
      <c r="I2620" s="254"/>
      <c r="J2620" s="255"/>
    </row>
    <row r="2621" spans="1:10" ht="15" customHeight="1">
      <c r="A2621" s="253"/>
      <c r="B2621" s="1145"/>
      <c r="C2621" s="1145"/>
      <c r="D2621" s="1145"/>
      <c r="E2621" s="1145"/>
      <c r="F2621" s="1215"/>
      <c r="G2621" s="1215"/>
      <c r="H2621" s="1216"/>
      <c r="I2621" s="254"/>
      <c r="J2621" s="255"/>
    </row>
    <row r="2622" spans="1:10" ht="15" customHeight="1">
      <c r="A2622" s="449" t="s">
        <v>122</v>
      </c>
      <c r="B2622" s="424"/>
      <c r="C2622" s="424"/>
      <c r="D2622" s="424"/>
      <c r="E2622" s="424"/>
      <c r="F2622" s="425"/>
      <c r="G2622" s="425"/>
      <c r="H2622" s="425"/>
      <c r="I2622" s="211"/>
      <c r="J2622" s="212"/>
    </row>
    <row r="2623" spans="1:10" ht="15" customHeight="1" thickBot="1">
      <c r="A2623" s="410"/>
      <c r="B2623" s="1129"/>
      <c r="C2623" s="1129"/>
      <c r="D2623" s="1129"/>
      <c r="E2623" s="1129"/>
      <c r="F2623" s="1172"/>
      <c r="G2623" s="1172"/>
      <c r="H2623" s="1172"/>
      <c r="I2623" s="411"/>
      <c r="J2623" s="412"/>
    </row>
    <row r="2624" spans="1:10" ht="39" customHeight="1">
      <c r="A2624" s="230"/>
      <c r="B2624" s="1146"/>
      <c r="C2624" s="1146" t="s">
        <v>264</v>
      </c>
      <c r="D2624" s="1146" t="s">
        <v>7662</v>
      </c>
      <c r="E2624" s="1152" t="s">
        <v>24</v>
      </c>
      <c r="F2624" s="1177" t="s">
        <v>18</v>
      </c>
      <c r="G2624" s="1178" t="s">
        <v>7015</v>
      </c>
      <c r="H2624" s="1179"/>
      <c r="I2624" s="200" t="s">
        <v>7016</v>
      </c>
      <c r="J2624" s="201"/>
    </row>
    <row r="2625" spans="1:10" ht="15" customHeight="1">
      <c r="A2625" s="233"/>
      <c r="B2625" s="161"/>
      <c r="C2625" s="161"/>
      <c r="D2625" s="161"/>
      <c r="E2625" s="247"/>
      <c r="F2625" s="248"/>
      <c r="G2625" s="1189" t="s">
        <v>19</v>
      </c>
      <c r="H2625" s="1189" t="s">
        <v>20</v>
      </c>
      <c r="I2625" s="213" t="s">
        <v>19</v>
      </c>
      <c r="J2625" s="259" t="s">
        <v>20</v>
      </c>
    </row>
    <row r="2626" spans="1:10" ht="15" customHeight="1">
      <c r="A2626" s="233"/>
      <c r="B2626" s="161"/>
      <c r="C2626" s="161"/>
      <c r="D2626" s="161" t="s">
        <v>140</v>
      </c>
      <c r="E2626" s="247"/>
      <c r="F2626" s="248"/>
      <c r="G2626" s="248"/>
      <c r="H2626" s="248"/>
      <c r="I2626" s="214"/>
      <c r="J2626" s="227"/>
    </row>
    <row r="2627" spans="1:10" ht="39" customHeight="1">
      <c r="A2627" s="233" t="s">
        <v>39</v>
      </c>
      <c r="B2627" s="161"/>
      <c r="C2627" s="161">
        <v>738</v>
      </c>
      <c r="D2627" s="161" t="str">
        <f>IF(B2627="SEPLAG",VLOOKUP(COMPOSIÇÕES!C2627,'MAPA COMPARATIVO'!A:B,2,FALSE),VLOOKUP(C2627,'NAO DESO'!A:B,2,0))</f>
        <v>BOMBA CENTRIFUGA MOTOR ELETRICO TRIFASICO 5HP, DIAMETRO DE SUCCAO X ELEVACAO 2" X 1 1/2", DIAMETRO DO ROTOR 155 MM, HM/Q: 40 M / 20,40 M3/H A 46 M / 9,20 M3/H</v>
      </c>
      <c r="E2627" s="247" t="s">
        <v>32</v>
      </c>
      <c r="F2627" s="248">
        <v>1</v>
      </c>
      <c r="G2627" s="242">
        <f>IF(B2627="SEPLAG",VLOOKUP(CONCATENATE("MEDIANA - ",C2627),COTAÇÃO,5,FALSE),VLOOKUP($C2627,'NAO DESO'!$A:$D,4,))</f>
        <v>2986.13</v>
      </c>
      <c r="H2627" s="242">
        <f>TRUNC(F2627*G2627,2)</f>
        <v>2986.13</v>
      </c>
      <c r="I2627" s="54" t="str">
        <f>IF(B2627="SEPLAG",VLOOKUP(CONCATENATE("MEDIANA - ",C2627),COTAÇÃO,5,FALSE),VLOOKUP($C2627,DESON!$A:$D,4,))</f>
        <v>2.986,13</v>
      </c>
      <c r="J2627" s="209">
        <f>TRUNC(F2627*I2627,2)</f>
        <v>2986.13</v>
      </c>
    </row>
    <row r="2628" spans="1:10" ht="15" customHeight="1">
      <c r="A2628" s="233" t="s">
        <v>245</v>
      </c>
      <c r="B2628" s="161"/>
      <c r="C2628" s="161">
        <v>88247</v>
      </c>
      <c r="D2628" s="161" t="str">
        <f>IF(B2628="SEPLAG",VLOOKUP(COMPOSIÇÕES!C2628,'MAPA COMPARATIVO'!A:B,2,FALSE),VLOOKUP(C2628,'NAO DESO'!A:B,2,0))</f>
        <v>AUXILIAR DE ELETRICISTA COM ENCARGOS COMPLEMENTARES</v>
      </c>
      <c r="E2628" s="247" t="s">
        <v>16</v>
      </c>
      <c r="F2628" s="248">
        <v>8</v>
      </c>
      <c r="G2628" s="242" t="str">
        <f>IF(B2628="SEPLAG",VLOOKUP(CONCATENATE("MEDIANA - ",C2628),COTAÇÃO,5,FALSE),VLOOKUP($C2628,'NAO DESO'!$A:$D,4,))</f>
        <v>16,84</v>
      </c>
      <c r="H2628" s="242">
        <f>TRUNC(F2628*G2628,2)</f>
        <v>134.72</v>
      </c>
      <c r="I2628" s="54" t="str">
        <f>IF(B2628="SEPLAG",VLOOKUP(CONCATENATE("MEDIANA - ",C2628),COTAÇÃO,5,FALSE),VLOOKUP($C2628,DESON!$A:$D,4,))</f>
        <v>15,19</v>
      </c>
      <c r="J2628" s="209">
        <f>TRUNC(F2628*I2628,2)</f>
        <v>121.52</v>
      </c>
    </row>
    <row r="2629" spans="1:10" ht="15" customHeight="1">
      <c r="A2629" s="233" t="s">
        <v>245</v>
      </c>
      <c r="B2629" s="161"/>
      <c r="C2629" s="161">
        <v>88264</v>
      </c>
      <c r="D2629" s="161" t="str">
        <f>IF(B2629="SEPLAG",VLOOKUP(COMPOSIÇÕES!C2629,'MAPA COMPARATIVO'!A:B,2,FALSE),VLOOKUP(C2629,'NAO DESO'!A:B,2,0))</f>
        <v>ELETRICISTA COM ENCARGOS COMPLEMENTARES</v>
      </c>
      <c r="E2629" s="247" t="s">
        <v>16</v>
      </c>
      <c r="F2629" s="248">
        <v>8</v>
      </c>
      <c r="G2629" s="242" t="str">
        <f>IF(B2629="SEPLAG",VLOOKUP(CONCATENATE("MEDIANA - ",C2629),COTAÇÃO,5,FALSE),VLOOKUP($C2629,'NAO DESO'!$A:$D,4,))</f>
        <v>21,87</v>
      </c>
      <c r="H2629" s="242">
        <f>TRUNC(F2629*G2629,2)</f>
        <v>174.96</v>
      </c>
      <c r="I2629" s="54" t="str">
        <f>IF(B2629="SEPLAG",VLOOKUP(CONCATENATE("MEDIANA - ",C2629),COTAÇÃO,5,FALSE),VLOOKUP($C2629,DESON!$A:$D,4,))</f>
        <v>19,53</v>
      </c>
      <c r="J2629" s="209">
        <f>TRUNC(F2629*I2629,2)</f>
        <v>156.24</v>
      </c>
    </row>
    <row r="2630" spans="1:10" ht="15" customHeight="1">
      <c r="A2630" s="210" t="str">
        <f>CONCATENATE("TOTAL DO ITEM NÃO DESON. - ",C2624)</f>
        <v>TOTAL DO ITEM NÃO DESON. - SEPLAG INC 01</v>
      </c>
      <c r="B2630" s="161"/>
      <c r="C2630" s="161"/>
      <c r="D2630" s="161"/>
      <c r="E2630" s="247"/>
      <c r="F2630" s="248"/>
      <c r="G2630" s="248"/>
      <c r="H2630" s="1189">
        <f>SUM(H2627:H2629)</f>
        <v>3295.81</v>
      </c>
      <c r="I2630" s="213"/>
      <c r="J2630" s="215"/>
    </row>
    <row r="2631" spans="1:10" ht="15.75" customHeight="1" thickBot="1">
      <c r="A2631" s="216" t="str">
        <f>CONCATENATE("TOTAL DO ITEM DESON. - ",C2624)</f>
        <v>TOTAL DO ITEM DESON. - SEPLAG INC 01</v>
      </c>
      <c r="B2631" s="1147"/>
      <c r="C2631" s="1147"/>
      <c r="D2631" s="1147"/>
      <c r="E2631" s="1218"/>
      <c r="F2631" s="1219"/>
      <c r="G2631" s="1219"/>
      <c r="H2631" s="1219"/>
      <c r="I2631" s="229"/>
      <c r="J2631" s="219">
        <f>SUM(J2627:J2630)</f>
        <v>3263.8900000000003</v>
      </c>
    </row>
    <row r="2632" spans="1:10" ht="15" customHeight="1" thickBot="1">
      <c r="A2632" s="235"/>
      <c r="B2632" s="1135"/>
      <c r="C2632" s="1135"/>
      <c r="D2632" s="1135"/>
      <c r="E2632" s="1135"/>
      <c r="F2632" s="1188"/>
      <c r="G2632" s="1188"/>
      <c r="H2632" s="1188"/>
      <c r="I2632" s="236"/>
      <c r="J2632" s="237"/>
    </row>
    <row r="2633" spans="1:10" ht="26.25" customHeight="1">
      <c r="A2633" s="230"/>
      <c r="B2633" s="1146"/>
      <c r="C2633" s="1146" t="s">
        <v>265</v>
      </c>
      <c r="D2633" s="1146" t="s">
        <v>7661</v>
      </c>
      <c r="E2633" s="1152" t="s">
        <v>24</v>
      </c>
      <c r="F2633" s="1177" t="s">
        <v>18</v>
      </c>
      <c r="G2633" s="1178" t="s">
        <v>7015</v>
      </c>
      <c r="H2633" s="1179"/>
      <c r="I2633" s="200" t="s">
        <v>7016</v>
      </c>
      <c r="J2633" s="201"/>
    </row>
    <row r="2634" spans="1:10" ht="15" customHeight="1">
      <c r="A2634" s="233"/>
      <c r="B2634" s="161"/>
      <c r="C2634" s="161"/>
      <c r="D2634" s="161"/>
      <c r="E2634" s="247"/>
      <c r="F2634" s="248"/>
      <c r="G2634" s="1189" t="s">
        <v>19</v>
      </c>
      <c r="H2634" s="1189" t="s">
        <v>20</v>
      </c>
      <c r="I2634" s="213" t="s">
        <v>19</v>
      </c>
      <c r="J2634" s="259" t="s">
        <v>20</v>
      </c>
    </row>
    <row r="2635" spans="1:10" ht="15" customHeight="1">
      <c r="A2635" s="233"/>
      <c r="B2635" s="161"/>
      <c r="C2635" s="161"/>
      <c r="D2635" s="161" t="s">
        <v>139</v>
      </c>
      <c r="E2635" s="247"/>
      <c r="F2635" s="248"/>
      <c r="G2635" s="248"/>
      <c r="H2635" s="248"/>
      <c r="I2635" s="214"/>
      <c r="J2635" s="227"/>
    </row>
    <row r="2636" spans="1:10" ht="15" customHeight="1">
      <c r="A2636" s="233" t="s">
        <v>39</v>
      </c>
      <c r="B2636" s="161" t="s">
        <v>14504</v>
      </c>
      <c r="C2636" s="161" t="s">
        <v>14350</v>
      </c>
      <c r="D2636" s="161" t="str">
        <f>IF(B2636="SEPLAG",VLOOKUP(COMPOSIÇÕES!C2636,'MAPA COMPARATIVO'!A:B,2,FALSE),VLOOKUP(C2636,'NAO DESO'!A:B,2,0))</f>
        <v>SIRENE PARA ALARME DE BOMBA EM FUNCIONAMENTO, 220V</v>
      </c>
      <c r="E2636" s="247" t="s">
        <v>32</v>
      </c>
      <c r="F2636" s="248">
        <v>1</v>
      </c>
      <c r="G2636" s="242">
        <f>IF(B2636="SEPLAG",VLOOKUP(CONCATENATE("MEDIANA - ",C2636),COTAÇÃO,5,FALSE),VLOOKUP($C2636,'NAO DESO'!$A:$D,4,))</f>
        <v>1109.8599999999999</v>
      </c>
      <c r="H2636" s="242">
        <f>TRUNC(F2636*G2636,2)</f>
        <v>1109.8599999999999</v>
      </c>
      <c r="I2636" s="54">
        <f>IF(B2636="SEPLAG",VLOOKUP(CONCATENATE("MEDIANA - ",C2636),COTAÇÃO,5,FALSE),VLOOKUP($C2636,DESON!$A:$D,4,))</f>
        <v>1109.8599999999999</v>
      </c>
      <c r="J2636" s="209">
        <f>TRUNC(F2636*I2636,2)</f>
        <v>1109.8599999999999</v>
      </c>
    </row>
    <row r="2637" spans="1:10" ht="15" customHeight="1">
      <c r="A2637" s="233" t="s">
        <v>245</v>
      </c>
      <c r="B2637" s="161"/>
      <c r="C2637" s="161">
        <v>88247</v>
      </c>
      <c r="D2637" s="161" t="str">
        <f>IF(B2637="SEPLAG",VLOOKUP(COMPOSIÇÕES!C2637,'MAPA COMPARATIVO'!A:B,2,FALSE),VLOOKUP(C2637,'NAO DESO'!A:B,2,0))</f>
        <v>AUXILIAR DE ELETRICISTA COM ENCARGOS COMPLEMENTARES</v>
      </c>
      <c r="E2637" s="247" t="s">
        <v>16</v>
      </c>
      <c r="F2637" s="248">
        <v>0.61</v>
      </c>
      <c r="G2637" s="242" t="str">
        <f>IF(B2637="SEPLAG",VLOOKUP(CONCATENATE("MEDIANA - ",C2637),COTAÇÃO,5,FALSE),VLOOKUP($C2637,'NAO DESO'!$A:$D,4,))</f>
        <v>16,84</v>
      </c>
      <c r="H2637" s="242">
        <f>TRUNC(F2637*G2637,2)</f>
        <v>10.27</v>
      </c>
      <c r="I2637" s="54" t="str">
        <f>IF(B2637="SEPLAG",VLOOKUP(CONCATENATE("MEDIANA - ",C2637),COTAÇÃO,5,FALSE),VLOOKUP($C2637,DESON!$A:$D,4,))</f>
        <v>15,19</v>
      </c>
      <c r="J2637" s="209">
        <f>TRUNC(F2637*I2637,2)</f>
        <v>9.26</v>
      </c>
    </row>
    <row r="2638" spans="1:10" ht="15" customHeight="1">
      <c r="A2638" s="233" t="s">
        <v>245</v>
      </c>
      <c r="B2638" s="161"/>
      <c r="C2638" s="161">
        <v>88264</v>
      </c>
      <c r="D2638" s="161" t="str">
        <f>IF(B2638="SEPLAG",VLOOKUP(COMPOSIÇÕES!C2638,'MAPA COMPARATIVO'!A:B,2,FALSE),VLOOKUP(C2638,'NAO DESO'!A:B,2,0))</f>
        <v>ELETRICISTA COM ENCARGOS COMPLEMENTARES</v>
      </c>
      <c r="E2638" s="247" t="s">
        <v>16</v>
      </c>
      <c r="F2638" s="248">
        <v>0.61</v>
      </c>
      <c r="G2638" s="242" t="str">
        <f>IF(B2638="SEPLAG",VLOOKUP(CONCATENATE("MEDIANA - ",C2638),COTAÇÃO,5,FALSE),VLOOKUP($C2638,'NAO DESO'!$A:$D,4,))</f>
        <v>21,87</v>
      </c>
      <c r="H2638" s="242">
        <f>TRUNC(F2638*G2638,2)</f>
        <v>13.34</v>
      </c>
      <c r="I2638" s="54" t="str">
        <f>IF(B2638="SEPLAG",VLOOKUP(CONCATENATE("MEDIANA - ",C2638),COTAÇÃO,5,FALSE),VLOOKUP($C2638,DESON!$A:$D,4,))</f>
        <v>19,53</v>
      </c>
      <c r="J2638" s="209">
        <f>TRUNC(F2638*I2638,2)</f>
        <v>11.91</v>
      </c>
    </row>
    <row r="2639" spans="1:10" ht="15" customHeight="1">
      <c r="A2639" s="210" t="str">
        <f>CONCATENATE("TOTAL DO ITEM NÃO DESON. - ",C2633)</f>
        <v>TOTAL DO ITEM NÃO DESON. - SEPLAG INC 02</v>
      </c>
      <c r="B2639" s="161"/>
      <c r="C2639" s="161"/>
      <c r="D2639" s="161"/>
      <c r="E2639" s="247"/>
      <c r="F2639" s="248"/>
      <c r="G2639" s="248"/>
      <c r="H2639" s="1189">
        <f>SUM(H2636:H2638)</f>
        <v>1133.4699999999998</v>
      </c>
      <c r="I2639" s="213"/>
      <c r="J2639" s="215"/>
    </row>
    <row r="2640" spans="1:10" ht="15.75" customHeight="1" thickBot="1">
      <c r="A2640" s="216" t="str">
        <f>CONCATENATE("TOTAL DO ITEM DESON. - ",C2633)</f>
        <v>TOTAL DO ITEM DESON. - SEPLAG INC 02</v>
      </c>
      <c r="B2640" s="1147"/>
      <c r="C2640" s="1147"/>
      <c r="D2640" s="1147"/>
      <c r="E2640" s="1218"/>
      <c r="F2640" s="1219"/>
      <c r="G2640" s="1219"/>
      <c r="H2640" s="1219"/>
      <c r="I2640" s="229"/>
      <c r="J2640" s="219">
        <f>SUM(J2636:J2639)</f>
        <v>1131.03</v>
      </c>
    </row>
    <row r="2641" spans="1:10" ht="15" customHeight="1" thickBot="1">
      <c r="A2641" s="235"/>
      <c r="B2641" s="1135"/>
      <c r="C2641" s="1135"/>
      <c r="D2641" s="1135"/>
      <c r="E2641" s="1135"/>
      <c r="F2641" s="1188"/>
      <c r="G2641" s="1188"/>
      <c r="H2641" s="1188"/>
      <c r="I2641" s="236"/>
      <c r="J2641" s="237"/>
    </row>
    <row r="2642" spans="1:10" ht="26.25" customHeight="1">
      <c r="A2642" s="230"/>
      <c r="B2642" s="1146"/>
      <c r="C2642" s="1146" t="s">
        <v>266</v>
      </c>
      <c r="D2642" s="1146" t="s">
        <v>7663</v>
      </c>
      <c r="E2642" s="1152" t="s">
        <v>24</v>
      </c>
      <c r="F2642" s="1177" t="s">
        <v>18</v>
      </c>
      <c r="G2642" s="1178" t="s">
        <v>7015</v>
      </c>
      <c r="H2642" s="1179"/>
      <c r="I2642" s="200" t="s">
        <v>7016</v>
      </c>
      <c r="J2642" s="201"/>
    </row>
    <row r="2643" spans="1:10" ht="15" customHeight="1">
      <c r="A2643" s="233"/>
      <c r="B2643" s="161"/>
      <c r="C2643" s="161"/>
      <c r="D2643" s="161"/>
      <c r="E2643" s="247"/>
      <c r="F2643" s="248"/>
      <c r="G2643" s="1189" t="s">
        <v>19</v>
      </c>
      <c r="H2643" s="1189" t="s">
        <v>20</v>
      </c>
      <c r="I2643" s="213" t="s">
        <v>19</v>
      </c>
      <c r="J2643" s="259" t="s">
        <v>20</v>
      </c>
    </row>
    <row r="2644" spans="1:10" ht="15" customHeight="1">
      <c r="A2644" s="233"/>
      <c r="B2644" s="161"/>
      <c r="C2644" s="161"/>
      <c r="D2644" s="161" t="s">
        <v>139</v>
      </c>
      <c r="E2644" s="247"/>
      <c r="F2644" s="248"/>
      <c r="G2644" s="248"/>
      <c r="H2644" s="248"/>
      <c r="I2644" s="214"/>
      <c r="J2644" s="227"/>
    </row>
    <row r="2645" spans="1:10" ht="15" customHeight="1">
      <c r="A2645" s="233" t="s">
        <v>39</v>
      </c>
      <c r="B2645" s="161" t="s">
        <v>14504</v>
      </c>
      <c r="C2645" s="161" t="s">
        <v>14351</v>
      </c>
      <c r="D2645" s="161" t="str">
        <f>IF(B2645="SEPLAG",VLOOKUP(COMPOSIÇÕES!C2645,'MAPA COMPARATIVO'!A:B,2,FALSE),VLOOKUP(C2645,'NAO DESO'!A:B,2,0))</f>
        <v>ACIONADOR MANUAL (BOTOEIRA) TIPO QUEBRA-VIDRO, P/INCENDIO</v>
      </c>
      <c r="E2645" s="247" t="s">
        <v>32</v>
      </c>
      <c r="F2645" s="248">
        <v>1</v>
      </c>
      <c r="G2645" s="242">
        <f>IF(B2645="SEPLAG",VLOOKUP(CONCATENATE("MEDIANA - ",C2645),COTAÇÃO,5,FALSE),VLOOKUP($C2645,'NAO DESO'!$A:$D,4,))</f>
        <v>87.7</v>
      </c>
      <c r="H2645" s="242">
        <f>TRUNC(F2645*G2645,2)</f>
        <v>87.7</v>
      </c>
      <c r="I2645" s="54">
        <f>IF(B2645="SEPLAG",VLOOKUP(CONCATENATE("MEDIANA - ",C2645),COTAÇÃO,5,FALSE),VLOOKUP($C2645,DESON!$A:$D,4,))</f>
        <v>87.7</v>
      </c>
      <c r="J2645" s="209">
        <f>TRUNC(F2645*I2645,2)</f>
        <v>87.7</v>
      </c>
    </row>
    <row r="2646" spans="1:10" ht="15" customHeight="1">
      <c r="A2646" s="233" t="s">
        <v>245</v>
      </c>
      <c r="B2646" s="161"/>
      <c r="C2646" s="161">
        <v>88247</v>
      </c>
      <c r="D2646" s="161" t="str">
        <f>IF(B2646="SEPLAG",VLOOKUP(COMPOSIÇÕES!C2646,'MAPA COMPARATIVO'!A:B,2,FALSE),VLOOKUP(C2646,'NAO DESO'!A:B,2,0))</f>
        <v>AUXILIAR DE ELETRICISTA COM ENCARGOS COMPLEMENTARES</v>
      </c>
      <c r="E2646" s="247" t="s">
        <v>16</v>
      </c>
      <c r="F2646" s="248">
        <v>0.61</v>
      </c>
      <c r="G2646" s="242" t="str">
        <f>IF(B2646="SEPLAG",VLOOKUP(CONCATENATE("MEDIANA - ",C2646),COTAÇÃO,5,FALSE),VLOOKUP($C2646,'NAO DESO'!$A:$D,4,))</f>
        <v>16,84</v>
      </c>
      <c r="H2646" s="242">
        <f>TRUNC(F2646*G2646,2)</f>
        <v>10.27</v>
      </c>
      <c r="I2646" s="54" t="str">
        <f>IF(B2646="SEPLAG",VLOOKUP(CONCATENATE("MEDIANA - ",C2646),COTAÇÃO,5,FALSE),VLOOKUP($C2646,DESON!$A:$D,4,))</f>
        <v>15,19</v>
      </c>
      <c r="J2646" s="209">
        <f>TRUNC(F2646*I2646,2)</f>
        <v>9.26</v>
      </c>
    </row>
    <row r="2647" spans="1:10" ht="15" customHeight="1">
      <c r="A2647" s="233" t="s">
        <v>245</v>
      </c>
      <c r="B2647" s="161"/>
      <c r="C2647" s="161">
        <v>88264</v>
      </c>
      <c r="D2647" s="161" t="str">
        <f>IF(B2647="SEPLAG",VLOOKUP(COMPOSIÇÕES!C2647,'MAPA COMPARATIVO'!A:B,2,FALSE),VLOOKUP(C2647,'NAO DESO'!A:B,2,0))</f>
        <v>ELETRICISTA COM ENCARGOS COMPLEMENTARES</v>
      </c>
      <c r="E2647" s="247" t="s">
        <v>16</v>
      </c>
      <c r="F2647" s="248">
        <v>0.61</v>
      </c>
      <c r="G2647" s="242" t="str">
        <f>IF(B2647="SEPLAG",VLOOKUP(CONCATENATE("MEDIANA - ",C2647),COTAÇÃO,5,FALSE),VLOOKUP($C2647,'NAO DESO'!$A:$D,4,))</f>
        <v>21,87</v>
      </c>
      <c r="H2647" s="242">
        <f>TRUNC(F2647*G2647,2)</f>
        <v>13.34</v>
      </c>
      <c r="I2647" s="54" t="str">
        <f>IF(B2647="SEPLAG",VLOOKUP(CONCATENATE("MEDIANA - ",C2647),COTAÇÃO,5,FALSE),VLOOKUP($C2647,DESON!$A:$D,4,))</f>
        <v>19,53</v>
      </c>
      <c r="J2647" s="209">
        <f>TRUNC(F2647*I2647,2)</f>
        <v>11.91</v>
      </c>
    </row>
    <row r="2648" spans="1:10" ht="15" customHeight="1">
      <c r="A2648" s="210" t="str">
        <f>CONCATENATE("TOTAL DO ITEM NÃO DESON. - ",C2642)</f>
        <v>TOTAL DO ITEM NÃO DESON. - SEPLAG INC 03</v>
      </c>
      <c r="B2648" s="161"/>
      <c r="C2648" s="161"/>
      <c r="D2648" s="161"/>
      <c r="E2648" s="247"/>
      <c r="F2648" s="248"/>
      <c r="G2648" s="248"/>
      <c r="H2648" s="1189">
        <f>SUM(H2645:H2647)</f>
        <v>111.31</v>
      </c>
      <c r="I2648" s="213"/>
      <c r="J2648" s="215"/>
    </row>
    <row r="2649" spans="1:10" ht="15.75" customHeight="1" thickBot="1">
      <c r="A2649" s="216" t="str">
        <f>CONCATENATE("TOTAL DO ITEM DESON. - ",C2642)</f>
        <v>TOTAL DO ITEM DESON. - SEPLAG INC 03</v>
      </c>
      <c r="B2649" s="1147"/>
      <c r="C2649" s="1147"/>
      <c r="D2649" s="1147"/>
      <c r="E2649" s="1218"/>
      <c r="F2649" s="1219"/>
      <c r="G2649" s="1219"/>
      <c r="H2649" s="1219"/>
      <c r="I2649" s="229"/>
      <c r="J2649" s="219">
        <f>SUM(J2645:J2648)</f>
        <v>108.87</v>
      </c>
    </row>
    <row r="2650" spans="1:10" ht="15" customHeight="1" thickBot="1">
      <c r="A2650" s="235"/>
      <c r="B2650" s="1135"/>
      <c r="C2650" s="1135"/>
      <c r="D2650" s="1135"/>
      <c r="E2650" s="1135"/>
      <c r="F2650" s="1188"/>
      <c r="G2650" s="1188"/>
      <c r="H2650" s="1188"/>
      <c r="I2650" s="236"/>
      <c r="J2650" s="237"/>
    </row>
    <row r="2651" spans="1:10" ht="26.25" customHeight="1">
      <c r="A2651" s="230"/>
      <c r="B2651" s="1146"/>
      <c r="C2651" s="1146" t="s">
        <v>267</v>
      </c>
      <c r="D2651" s="1146" t="s">
        <v>7664</v>
      </c>
      <c r="E2651" s="1152" t="s">
        <v>24</v>
      </c>
      <c r="F2651" s="1177" t="s">
        <v>18</v>
      </c>
      <c r="G2651" s="1178" t="s">
        <v>7015</v>
      </c>
      <c r="H2651" s="1179"/>
      <c r="I2651" s="200" t="s">
        <v>7016</v>
      </c>
      <c r="J2651" s="201"/>
    </row>
    <row r="2652" spans="1:10" ht="15" customHeight="1">
      <c r="A2652" s="203"/>
      <c r="B2652" s="432"/>
      <c r="C2652" s="432"/>
      <c r="D2652" s="432"/>
      <c r="E2652" s="430"/>
      <c r="F2652" s="1180"/>
      <c r="G2652" s="1180" t="s">
        <v>19</v>
      </c>
      <c r="H2652" s="1180" t="s">
        <v>20</v>
      </c>
      <c r="I2652" s="204" t="s">
        <v>19</v>
      </c>
      <c r="J2652" s="206" t="s">
        <v>20</v>
      </c>
    </row>
    <row r="2653" spans="1:10" ht="15" customHeight="1">
      <c r="A2653" s="233"/>
      <c r="B2653" s="161"/>
      <c r="C2653" s="161"/>
      <c r="D2653" s="161" t="s">
        <v>139</v>
      </c>
      <c r="E2653" s="247"/>
      <c r="F2653" s="248"/>
      <c r="G2653" s="248"/>
      <c r="H2653" s="248"/>
      <c r="I2653" s="214"/>
      <c r="J2653" s="227"/>
    </row>
    <row r="2654" spans="1:10" ht="26.25" customHeight="1">
      <c r="A2654" s="233" t="s">
        <v>39</v>
      </c>
      <c r="B2654" s="161" t="s">
        <v>14504</v>
      </c>
      <c r="C2654" s="161" t="s">
        <v>14352</v>
      </c>
      <c r="D2654" s="161" t="str">
        <f>IF(B2654="SEPLAG",VLOOKUP(COMPOSIÇÕES!C2654,'MAPA COMPARATIVO'!A:B,2,FALSE),VLOOKUP(C2654,'NAO DESO'!A:B,2,0))</f>
        <v>BOTOEIRA LIGA-DESLIGA PARA BOMBA DE INCÊNDIO MODELO BLD-1, MARCA VERIN OU SIMILAR</v>
      </c>
      <c r="E2654" s="247" t="s">
        <v>32</v>
      </c>
      <c r="F2654" s="248">
        <v>1</v>
      </c>
      <c r="G2654" s="242">
        <f>IF(B2654="SEPLAG",VLOOKUP(CONCATENATE("MEDIANA - ",C2654),COTAÇÃO,5,FALSE),VLOOKUP($C2654,'NAO DESO'!$A:$D,4,))</f>
        <v>87.7</v>
      </c>
      <c r="H2654" s="242">
        <f>TRUNC(F2654*G2654,2)</f>
        <v>87.7</v>
      </c>
      <c r="I2654" s="54">
        <f>IF(B2654="SEPLAG",VLOOKUP(CONCATENATE("MEDIANA - ",C2654),COTAÇÃO,5,FALSE),VLOOKUP($C2654,DESON!$A:$D,4,))</f>
        <v>87.7</v>
      </c>
      <c r="J2654" s="209">
        <f>TRUNC(F2654*I2654,2)</f>
        <v>87.7</v>
      </c>
    </row>
    <row r="2655" spans="1:10" ht="15" customHeight="1">
      <c r="A2655" s="233" t="s">
        <v>245</v>
      </c>
      <c r="B2655" s="161"/>
      <c r="C2655" s="161">
        <v>88247</v>
      </c>
      <c r="D2655" s="161" t="str">
        <f>IF(B2655="SEPLAG",VLOOKUP(COMPOSIÇÕES!C2655,'MAPA COMPARATIVO'!A:B,2,FALSE),VLOOKUP(C2655,'NAO DESO'!A:B,2,0))</f>
        <v>AUXILIAR DE ELETRICISTA COM ENCARGOS COMPLEMENTARES</v>
      </c>
      <c r="E2655" s="247" t="s">
        <v>16</v>
      </c>
      <c r="F2655" s="248">
        <v>0.61</v>
      </c>
      <c r="G2655" s="242" t="str">
        <f>IF(B2655="SEPLAG",VLOOKUP(CONCATENATE("MEDIANA - ",C2655),COTAÇÃO,5,FALSE),VLOOKUP($C2655,'NAO DESO'!$A:$D,4,))</f>
        <v>16,84</v>
      </c>
      <c r="H2655" s="242">
        <f>TRUNC(F2655*G2655,2)</f>
        <v>10.27</v>
      </c>
      <c r="I2655" s="54" t="str">
        <f>IF(B2655="SEPLAG",VLOOKUP(CONCATENATE("MEDIANA - ",C2655),COTAÇÃO,5,FALSE),VLOOKUP($C2655,DESON!$A:$D,4,))</f>
        <v>15,19</v>
      </c>
      <c r="J2655" s="209">
        <f>TRUNC(F2655*I2655,2)</f>
        <v>9.26</v>
      </c>
    </row>
    <row r="2656" spans="1:10" ht="15" customHeight="1">
      <c r="A2656" s="233" t="s">
        <v>245</v>
      </c>
      <c r="B2656" s="161"/>
      <c r="C2656" s="161">
        <v>88264</v>
      </c>
      <c r="D2656" s="161" t="str">
        <f>IF(B2656="SEPLAG",VLOOKUP(COMPOSIÇÕES!C2656,'MAPA COMPARATIVO'!A:B,2,FALSE),VLOOKUP(C2656,'NAO DESO'!A:B,2,0))</f>
        <v>ELETRICISTA COM ENCARGOS COMPLEMENTARES</v>
      </c>
      <c r="E2656" s="247" t="s">
        <v>16</v>
      </c>
      <c r="F2656" s="248">
        <v>0.61</v>
      </c>
      <c r="G2656" s="242" t="str">
        <f>IF(B2656="SEPLAG",VLOOKUP(CONCATENATE("MEDIANA - ",C2656),COTAÇÃO,5,FALSE),VLOOKUP($C2656,'NAO DESO'!$A:$D,4,))</f>
        <v>21,87</v>
      </c>
      <c r="H2656" s="242">
        <f>TRUNC(F2656*G2656,2)</f>
        <v>13.34</v>
      </c>
      <c r="I2656" s="54" t="str">
        <f>IF(B2656="SEPLAG",VLOOKUP(CONCATENATE("MEDIANA - ",C2656),COTAÇÃO,5,FALSE),VLOOKUP($C2656,DESON!$A:$D,4,))</f>
        <v>19,53</v>
      </c>
      <c r="J2656" s="209">
        <f>TRUNC(F2656*I2656,2)</f>
        <v>11.91</v>
      </c>
    </row>
    <row r="2657" spans="1:10" ht="15" customHeight="1">
      <c r="A2657" s="210" t="str">
        <f>CONCATENATE("TOTAL DO ITEM NÃO DESON. - ",C2651)</f>
        <v>TOTAL DO ITEM NÃO DESON. - SEPLAG INC 04</v>
      </c>
      <c r="B2657" s="161"/>
      <c r="C2657" s="161"/>
      <c r="D2657" s="161"/>
      <c r="E2657" s="247"/>
      <c r="F2657" s="248"/>
      <c r="G2657" s="248"/>
      <c r="H2657" s="1189">
        <f>SUM(H2654:H2656)</f>
        <v>111.31</v>
      </c>
      <c r="I2657" s="213"/>
      <c r="J2657" s="215"/>
    </row>
    <row r="2658" spans="1:10" ht="15.75" customHeight="1" thickBot="1">
      <c r="A2658" s="216" t="str">
        <f>CONCATENATE("TOTAL DO ITEM DESON. - ",C2651)</f>
        <v>TOTAL DO ITEM DESON. - SEPLAG INC 04</v>
      </c>
      <c r="B2658" s="1147"/>
      <c r="C2658" s="1147"/>
      <c r="D2658" s="1147"/>
      <c r="E2658" s="1218"/>
      <c r="F2658" s="1219"/>
      <c r="G2658" s="1219"/>
      <c r="H2658" s="1219"/>
      <c r="I2658" s="229"/>
      <c r="J2658" s="219">
        <f>SUM(J2654:J2657)</f>
        <v>108.87</v>
      </c>
    </row>
    <row r="2659" spans="1:10" ht="15" customHeight="1" thickBot="1">
      <c r="A2659" s="235"/>
      <c r="B2659" s="1135"/>
      <c r="C2659" s="1135"/>
      <c r="D2659" s="1135"/>
      <c r="E2659" s="1135"/>
      <c r="F2659" s="1188"/>
      <c r="G2659" s="1188"/>
      <c r="H2659" s="1188"/>
      <c r="I2659" s="236"/>
      <c r="J2659" s="237"/>
    </row>
    <row r="2660" spans="1:10" ht="51.75" customHeight="1">
      <c r="A2660" s="230"/>
      <c r="B2660" s="1146"/>
      <c r="C2660" s="1146" t="s">
        <v>268</v>
      </c>
      <c r="D2660" s="1146" t="s">
        <v>7665</v>
      </c>
      <c r="E2660" s="1152" t="s">
        <v>24</v>
      </c>
      <c r="F2660" s="1177" t="s">
        <v>18</v>
      </c>
      <c r="G2660" s="1178" t="s">
        <v>7015</v>
      </c>
      <c r="H2660" s="1179"/>
      <c r="I2660" s="200" t="s">
        <v>7016</v>
      </c>
      <c r="J2660" s="201"/>
    </row>
    <row r="2661" spans="1:10" ht="15" customHeight="1">
      <c r="A2661" s="203"/>
      <c r="B2661" s="432"/>
      <c r="C2661" s="432"/>
      <c r="D2661" s="432"/>
      <c r="E2661" s="430"/>
      <c r="F2661" s="1180"/>
      <c r="G2661" s="1180" t="s">
        <v>19</v>
      </c>
      <c r="H2661" s="1180" t="s">
        <v>20</v>
      </c>
      <c r="I2661" s="204" t="s">
        <v>19</v>
      </c>
      <c r="J2661" s="206" t="s">
        <v>20</v>
      </c>
    </row>
    <row r="2662" spans="1:10" ht="15" customHeight="1">
      <c r="A2662" s="233"/>
      <c r="B2662" s="161"/>
      <c r="C2662" s="161"/>
      <c r="D2662" s="161" t="s">
        <v>156</v>
      </c>
      <c r="E2662" s="247"/>
      <c r="F2662" s="248"/>
      <c r="G2662" s="248"/>
      <c r="H2662" s="248"/>
      <c r="I2662" s="214"/>
      <c r="J2662" s="227"/>
    </row>
    <row r="2663" spans="1:10" ht="51.75" customHeight="1">
      <c r="A2663" s="233" t="s">
        <v>245</v>
      </c>
      <c r="B2663" s="161"/>
      <c r="C2663" s="161">
        <v>20963</v>
      </c>
      <c r="D2663" s="161" t="str">
        <f>IF(B2663="SEPLAG",VLOOKUP(COMPOSIÇÕES!C2663,'MAPA COMPARATIVO'!A:B,2,FALSE),VLOOKUP(C2663,'NAO DESO'!A:B,2,0))</f>
        <v>CAIXA DE INCENDIO/ABRIGO PARA MANGUEIRA, DE SOBREPOR/EXTERNA, COM 90 X 60 X 17 CM, EM CHAPA DE ACO, PORTA COM VENTILACAO, VISOR COM A INSCRICAO "INCENDIO", SUPORTE/CESTA INTERNA PARA A MANGUEIRA, PINTURA ELETROSTATICA VERMELHA</v>
      </c>
      <c r="E2663" s="247" t="s">
        <v>427</v>
      </c>
      <c r="F2663" s="248">
        <v>1</v>
      </c>
      <c r="G2663" s="242">
        <f>IF(B2663="SEPLAG",VLOOKUP(CONCATENATE("MEDIANA - ",C2663),COTAÇÃO,5,FALSE),VLOOKUP($C2663,'NAO DESO'!$A:$D,4,))</f>
        <v>365.25</v>
      </c>
      <c r="H2663" s="242">
        <f>TRUNC(F2663*G2663,2)</f>
        <v>365.25</v>
      </c>
      <c r="I2663" s="54" t="str">
        <f>IF(B2663="SEPLAG",VLOOKUP(CONCATENATE("MEDIANA - ",C2663),COTAÇÃO,5,FALSE),VLOOKUP($C2663,DESON!$A:$D,4,))</f>
        <v>365,25</v>
      </c>
      <c r="J2663" s="209">
        <f>TRUNC(F2663*I2663,2)</f>
        <v>365.25</v>
      </c>
    </row>
    <row r="2664" spans="1:10" ht="39" customHeight="1">
      <c r="A2664" s="233" t="s">
        <v>39</v>
      </c>
      <c r="B2664" s="161"/>
      <c r="C2664" s="161">
        <v>87350</v>
      </c>
      <c r="D2664" s="161" t="str">
        <f>IF(B2664="SEPLAG",VLOOKUP(COMPOSIÇÕES!C2664,'MAPA COMPARATIVO'!A:B,2,FALSE),VLOOKUP(C2664,'NAO DESO'!A:B,2,0))</f>
        <v>ARGAMASSA TRAÇO 1:5 (EM VOLUME DE CIMENTO E AREIA GROSSA ÚMIDA) PARA CHAPISCO CONVENCIONAL, PREPARO MECÂNICO COM MISTURADOR DE EIXO HORIZONTAL DE 300 KG. AF_08/2019</v>
      </c>
      <c r="E2664" s="247" t="s">
        <v>28</v>
      </c>
      <c r="F2664" s="248">
        <v>8.9999999999999993E-3</v>
      </c>
      <c r="G2664" s="242" t="str">
        <f>IF(B2664="SEPLAG",VLOOKUP(CONCATENATE("MEDIANA - ",C2664),COTAÇÃO,5,FALSE),VLOOKUP($C2664,'NAO DESO'!$A:$D,4,))</f>
        <v>399,86</v>
      </c>
      <c r="H2664" s="242">
        <f>TRUNC(F2664*G2664,2)</f>
        <v>3.59</v>
      </c>
      <c r="I2664" s="54" t="str">
        <f>IF(B2664="SEPLAG",VLOOKUP(CONCATENATE("MEDIANA - ",C2664),COTAÇÃO,5,FALSE),VLOOKUP($C2664,DESON!$A:$D,4,))</f>
        <v>389,74</v>
      </c>
      <c r="J2664" s="209">
        <f>TRUNC(F2664*I2664,2)</f>
        <v>3.5</v>
      </c>
    </row>
    <row r="2665" spans="1:10" ht="15" customHeight="1">
      <c r="A2665" s="233" t="s">
        <v>245</v>
      </c>
      <c r="B2665" s="161"/>
      <c r="C2665" s="161">
        <v>88309</v>
      </c>
      <c r="D2665" s="161" t="str">
        <f>IF(B2665="SEPLAG",VLOOKUP(COMPOSIÇÕES!C2665,'MAPA COMPARATIVO'!A:B,2,FALSE),VLOOKUP(C2665,'NAO DESO'!A:B,2,0))</f>
        <v>PEDREIRO COM ENCARGOS COMPLEMENTARES</v>
      </c>
      <c r="E2665" s="247" t="s">
        <v>16</v>
      </c>
      <c r="F2665" s="248">
        <v>3</v>
      </c>
      <c r="G2665" s="242" t="str">
        <f>IF(B2665="SEPLAG",VLOOKUP(CONCATENATE("MEDIANA - ",C2665),COTAÇÃO,5,FALSE),VLOOKUP($C2665,'NAO DESO'!$A:$D,4,))</f>
        <v>21,10</v>
      </c>
      <c r="H2665" s="242">
        <f>TRUNC(F2665*G2665,2)</f>
        <v>63.3</v>
      </c>
      <c r="I2665" s="54" t="str">
        <f>IF(B2665="SEPLAG",VLOOKUP(CONCATENATE("MEDIANA - ",C2665),COTAÇÃO,5,FALSE),VLOOKUP($C2665,DESON!$A:$D,4,))</f>
        <v>18,86</v>
      </c>
      <c r="J2665" s="209">
        <f>TRUNC(F2665*I2665,2)</f>
        <v>56.58</v>
      </c>
    </row>
    <row r="2666" spans="1:10" ht="26.25" customHeight="1">
      <c r="A2666" s="233" t="s">
        <v>245</v>
      </c>
      <c r="B2666" s="161"/>
      <c r="C2666" s="161">
        <v>88248</v>
      </c>
      <c r="D2666" s="161" t="str">
        <f>IF(B2666="SEPLAG",VLOOKUP(COMPOSIÇÕES!C2666,'MAPA COMPARATIVO'!A:B,2,FALSE),VLOOKUP(C2666,'NAO DESO'!A:B,2,0))</f>
        <v>AUXILIAR DE ENCANADOR OU BOMBEIRO HIDRÁULICO COM ENCARGOS COMPLEMENTARES</v>
      </c>
      <c r="E2666" s="247" t="s">
        <v>16</v>
      </c>
      <c r="F2666" s="248">
        <v>3</v>
      </c>
      <c r="G2666" s="242" t="str">
        <f>IF(B2666="SEPLAG",VLOOKUP(CONCATENATE("MEDIANA - ",C2666),COTAÇÃO,5,FALSE),VLOOKUP($C2666,'NAO DESO'!$A:$D,4,))</f>
        <v>17,33</v>
      </c>
      <c r="H2666" s="242">
        <f>TRUNC(F2666*G2666,2)</f>
        <v>51.99</v>
      </c>
      <c r="I2666" s="54" t="str">
        <f>IF(B2666="SEPLAG",VLOOKUP(CONCATENATE("MEDIANA - ",C2666),COTAÇÃO,5,FALSE),VLOOKUP($C2666,DESON!$A:$D,4,))</f>
        <v>15,54</v>
      </c>
      <c r="J2666" s="209">
        <f>TRUNC(F2666*I2666,2)</f>
        <v>46.62</v>
      </c>
    </row>
    <row r="2667" spans="1:10" ht="15" customHeight="1">
      <c r="A2667" s="210" t="str">
        <f>CONCATENATE("TOTAL DO ITEM NÃO DESON. - ",C2660)</f>
        <v>TOTAL DO ITEM NÃO DESON. - SEPLAG INC 05</v>
      </c>
      <c r="B2667" s="161"/>
      <c r="C2667" s="161"/>
      <c r="D2667" s="161"/>
      <c r="E2667" s="247"/>
      <c r="F2667" s="248"/>
      <c r="G2667" s="248"/>
      <c r="H2667" s="1189">
        <f>SUM(H2663:H2666)</f>
        <v>484.13</v>
      </c>
      <c r="I2667" s="213"/>
      <c r="J2667" s="215"/>
    </row>
    <row r="2668" spans="1:10" ht="15.75" customHeight="1" thickBot="1">
      <c r="A2668" s="216" t="str">
        <f>CONCATENATE("TOTAL DO ITEM DESON. - ",C2660)</f>
        <v>TOTAL DO ITEM DESON. - SEPLAG INC 05</v>
      </c>
      <c r="B2668" s="1147"/>
      <c r="C2668" s="1147"/>
      <c r="D2668" s="1147"/>
      <c r="E2668" s="1218"/>
      <c r="F2668" s="1219"/>
      <c r="G2668" s="1219"/>
      <c r="H2668" s="1219"/>
      <c r="I2668" s="229"/>
      <c r="J2668" s="219">
        <f>SUM(J2663:J2667)</f>
        <v>471.95</v>
      </c>
    </row>
    <row r="2669" spans="1:10" ht="15" customHeight="1" thickBot="1">
      <c r="A2669" s="235"/>
      <c r="B2669" s="1135"/>
      <c r="C2669" s="1135"/>
      <c r="D2669" s="1135"/>
      <c r="E2669" s="1135"/>
      <c r="F2669" s="1188"/>
      <c r="G2669" s="1188"/>
      <c r="H2669" s="1188"/>
      <c r="I2669" s="236"/>
      <c r="J2669" s="237"/>
    </row>
    <row r="2670" spans="1:10" ht="39" customHeight="1">
      <c r="A2670" s="230"/>
      <c r="B2670" s="1146"/>
      <c r="C2670" s="1146" t="s">
        <v>269</v>
      </c>
      <c r="D2670" s="1146" t="s">
        <v>7666</v>
      </c>
      <c r="E2670" s="1152" t="s">
        <v>24</v>
      </c>
      <c r="F2670" s="1177" t="s">
        <v>18</v>
      </c>
      <c r="G2670" s="1178" t="s">
        <v>7015</v>
      </c>
      <c r="H2670" s="1179"/>
      <c r="I2670" s="200" t="s">
        <v>7016</v>
      </c>
      <c r="J2670" s="201"/>
    </row>
    <row r="2671" spans="1:10" ht="15" customHeight="1">
      <c r="A2671" s="203"/>
      <c r="B2671" s="432"/>
      <c r="C2671" s="432"/>
      <c r="D2671" s="432"/>
      <c r="E2671" s="430"/>
      <c r="F2671" s="1180"/>
      <c r="G2671" s="1180" t="s">
        <v>19</v>
      </c>
      <c r="H2671" s="1180" t="s">
        <v>20</v>
      </c>
      <c r="I2671" s="204" t="s">
        <v>19</v>
      </c>
      <c r="J2671" s="206" t="s">
        <v>20</v>
      </c>
    </row>
    <row r="2672" spans="1:10" ht="15" customHeight="1">
      <c r="A2672" s="233"/>
      <c r="B2672" s="161"/>
      <c r="C2672" s="161"/>
      <c r="D2672" s="161" t="s">
        <v>127</v>
      </c>
      <c r="E2672" s="247"/>
      <c r="F2672" s="248"/>
      <c r="G2672" s="248"/>
      <c r="H2672" s="248"/>
      <c r="I2672" s="214"/>
      <c r="J2672" s="227"/>
    </row>
    <row r="2673" spans="1:10" ht="26.25" customHeight="1">
      <c r="A2673" s="233"/>
      <c r="B2673" s="161"/>
      <c r="C2673" s="161">
        <v>10900</v>
      </c>
      <c r="D2673" s="161" t="str">
        <f>IF(B2673="SEPLAG",VLOOKUP(COMPOSIÇÕES!C2673,'MAPA COMPARATIVO'!A:B,2,FALSE),VLOOKUP(C2673,'NAO DESO'!A:B,2,0))</f>
        <v>ADAPTADOR, EM LATAO, ENGATE RAPIDO1 1/2" X ROSCA INTERNA 5 FIOS 2 1/2",  PARA INSTALACAO PREDIAL DE COMBATE A INCENDIO</v>
      </c>
      <c r="E2673" s="247" t="s">
        <v>32</v>
      </c>
      <c r="F2673" s="248">
        <v>1</v>
      </c>
      <c r="G2673" s="242">
        <f>IF(B2673="SEPLAG",VLOOKUP(CONCATENATE("MEDIANA - ",C2673),COTAÇÃO,5,FALSE),VLOOKUP($C2673,'NAO DESO'!$A:$D,4,))</f>
        <v>53.31</v>
      </c>
      <c r="H2673" s="242">
        <f>TRUNC(F2673*G2673,2)</f>
        <v>53.31</v>
      </c>
      <c r="I2673" s="54" t="str">
        <f>IF(B2673="SEPLAG",VLOOKUP(CONCATENATE("MEDIANA - ",C2673),COTAÇÃO,5,FALSE),VLOOKUP($C2673,DESON!$A:$D,4,))</f>
        <v>53,31</v>
      </c>
      <c r="J2673" s="209">
        <f>TRUNC(F2673*I2673,2)</f>
        <v>53.31</v>
      </c>
    </row>
    <row r="2674" spans="1:10" ht="26.25" customHeight="1">
      <c r="A2674" s="233" t="s">
        <v>245</v>
      </c>
      <c r="B2674" s="161"/>
      <c r="C2674" s="161">
        <v>88248</v>
      </c>
      <c r="D2674" s="161" t="str">
        <f>IF(B2674="SEPLAG",VLOOKUP(COMPOSIÇÕES!C2674,'MAPA COMPARATIVO'!A:B,2,FALSE),VLOOKUP(C2674,'NAO DESO'!A:B,2,0))</f>
        <v>AUXILIAR DE ENCANADOR OU BOMBEIRO HIDRÁULICO COM ENCARGOS COMPLEMENTARES</v>
      </c>
      <c r="E2674" s="247" t="s">
        <v>16</v>
      </c>
      <c r="F2674" s="248">
        <v>0.5</v>
      </c>
      <c r="G2674" s="242" t="str">
        <f>IF(B2674="SEPLAG",VLOOKUP(CONCATENATE("MEDIANA - ",C2674),COTAÇÃO,5,FALSE),VLOOKUP($C2674,'NAO DESO'!$A:$D,4,))</f>
        <v>17,33</v>
      </c>
      <c r="H2674" s="242">
        <f>TRUNC(F2674*G2674,2)</f>
        <v>8.66</v>
      </c>
      <c r="I2674" s="54" t="str">
        <f>IF(B2674="SEPLAG",VLOOKUP(CONCATENATE("MEDIANA - ",C2674),COTAÇÃO,5,FALSE),VLOOKUP($C2674,DESON!$A:$D,4,))</f>
        <v>15,54</v>
      </c>
      <c r="J2674" s="209">
        <f>TRUNC(F2674*I2674,2)</f>
        <v>7.77</v>
      </c>
    </row>
    <row r="2675" spans="1:10" ht="15" customHeight="1">
      <c r="A2675" s="233" t="s">
        <v>245</v>
      </c>
      <c r="B2675" s="161"/>
      <c r="C2675" s="161">
        <v>88309</v>
      </c>
      <c r="D2675" s="161" t="str">
        <f>IF(B2675="SEPLAG",VLOOKUP(COMPOSIÇÕES!C2675,'MAPA COMPARATIVO'!A:B,2,FALSE),VLOOKUP(C2675,'NAO DESO'!A:B,2,0))</f>
        <v>PEDREIRO COM ENCARGOS COMPLEMENTARES</v>
      </c>
      <c r="E2675" s="247" t="s">
        <v>16</v>
      </c>
      <c r="F2675" s="248">
        <v>0.5</v>
      </c>
      <c r="G2675" s="242" t="str">
        <f>IF(B2675="SEPLAG",VLOOKUP(CONCATENATE("MEDIANA - ",C2675),COTAÇÃO,5,FALSE),VLOOKUP($C2675,'NAO DESO'!$A:$D,4,))</f>
        <v>21,10</v>
      </c>
      <c r="H2675" s="242">
        <f>TRUNC(F2675*G2675,2)</f>
        <v>10.55</v>
      </c>
      <c r="I2675" s="54" t="str">
        <f>IF(B2675="SEPLAG",VLOOKUP(CONCATENATE("MEDIANA - ",C2675),COTAÇÃO,5,FALSE),VLOOKUP($C2675,DESON!$A:$D,4,))</f>
        <v>18,86</v>
      </c>
      <c r="J2675" s="209">
        <f>TRUNC(F2675*I2675,2)</f>
        <v>9.43</v>
      </c>
    </row>
    <row r="2676" spans="1:10" ht="15" customHeight="1">
      <c r="A2676" s="210" t="str">
        <f>CONCATENATE("TOTAL DO ITEM NÃO DESON. - ",C2670)</f>
        <v>TOTAL DO ITEM NÃO DESON. - SEPLAG INC 06</v>
      </c>
      <c r="B2676" s="161"/>
      <c r="C2676" s="161"/>
      <c r="D2676" s="161"/>
      <c r="E2676" s="247"/>
      <c r="F2676" s="248"/>
      <c r="G2676" s="248"/>
      <c r="H2676" s="1189">
        <f>SUM(H2673:H2675)</f>
        <v>72.52</v>
      </c>
      <c r="I2676" s="213"/>
      <c r="J2676" s="215"/>
    </row>
    <row r="2677" spans="1:10" ht="15.75" customHeight="1" thickBot="1">
      <c r="A2677" s="216" t="str">
        <f>CONCATENATE("TOTAL DO ITEM DESON. - ",C2670)</f>
        <v>TOTAL DO ITEM DESON. - SEPLAG INC 06</v>
      </c>
      <c r="B2677" s="1147"/>
      <c r="C2677" s="1147"/>
      <c r="D2677" s="1147"/>
      <c r="E2677" s="1218"/>
      <c r="F2677" s="1219"/>
      <c r="G2677" s="1219"/>
      <c r="H2677" s="1219"/>
      <c r="I2677" s="229"/>
      <c r="J2677" s="219">
        <f>SUM(J2673:J2676)</f>
        <v>70.509999999999991</v>
      </c>
    </row>
    <row r="2678" spans="1:10" ht="15" customHeight="1" thickBot="1">
      <c r="A2678" s="235"/>
      <c r="B2678" s="1135"/>
      <c r="C2678" s="1135"/>
      <c r="D2678" s="1135"/>
      <c r="E2678" s="1135"/>
      <c r="F2678" s="1188"/>
      <c r="G2678" s="1188"/>
      <c r="H2678" s="1188"/>
      <c r="I2678" s="236"/>
      <c r="J2678" s="237"/>
    </row>
    <row r="2679" spans="1:10" ht="26.25" customHeight="1">
      <c r="A2679" s="230"/>
      <c r="B2679" s="1146"/>
      <c r="C2679" s="1146" t="s">
        <v>270</v>
      </c>
      <c r="D2679" s="1146" t="s">
        <v>7667</v>
      </c>
      <c r="E2679" s="1152" t="s">
        <v>24</v>
      </c>
      <c r="F2679" s="1177" t="s">
        <v>18</v>
      </c>
      <c r="G2679" s="1178" t="s">
        <v>7015</v>
      </c>
      <c r="H2679" s="1179"/>
      <c r="I2679" s="200" t="s">
        <v>7016</v>
      </c>
      <c r="J2679" s="201"/>
    </row>
    <row r="2680" spans="1:10" ht="15" customHeight="1">
      <c r="A2680" s="203"/>
      <c r="B2680" s="432"/>
      <c r="C2680" s="432"/>
      <c r="D2680" s="432"/>
      <c r="E2680" s="430"/>
      <c r="F2680" s="1180"/>
      <c r="G2680" s="1180" t="s">
        <v>19</v>
      </c>
      <c r="H2680" s="1180" t="s">
        <v>20</v>
      </c>
      <c r="I2680" s="204" t="s">
        <v>19</v>
      </c>
      <c r="J2680" s="206" t="s">
        <v>20</v>
      </c>
    </row>
    <row r="2681" spans="1:10" ht="15" customHeight="1">
      <c r="A2681" s="233"/>
      <c r="B2681" s="161"/>
      <c r="C2681" s="161"/>
      <c r="D2681" s="161" t="s">
        <v>129</v>
      </c>
      <c r="E2681" s="247"/>
      <c r="F2681" s="248"/>
      <c r="G2681" s="248"/>
      <c r="H2681" s="248"/>
      <c r="I2681" s="214"/>
      <c r="J2681" s="227"/>
    </row>
    <row r="2682" spans="1:10" ht="26.25" customHeight="1">
      <c r="A2682" s="233"/>
      <c r="B2682" s="161"/>
      <c r="C2682" s="161">
        <v>20971</v>
      </c>
      <c r="D2682" s="161" t="str">
        <f>IF(B2682="SEPLAG",VLOOKUP(COMPOSIÇÕES!C2682,'MAPA COMPARATIVO'!A:B,2,FALSE),VLOOKUP(C2682,'NAO DESO'!A:B,2,0))</f>
        <v>CHAVE DUPLA PARA CONEXOES TIPO STORZ, ENGATE RAPIDO 1 1/2" X 2 1/2", EM LATAO, PARA INSTALACAO PREDIAL COMBATE A INCENDIO</v>
      </c>
      <c r="E2682" s="247" t="s">
        <v>32</v>
      </c>
      <c r="F2682" s="248">
        <v>1</v>
      </c>
      <c r="G2682" s="242">
        <f>IF(B2682="SEPLAG",VLOOKUP(CONCATENATE("MEDIANA - ",C2682),COTAÇÃO,5,FALSE),VLOOKUP($C2682,'NAO DESO'!$A:$D,4,))</f>
        <v>14.8</v>
      </c>
      <c r="H2682" s="242">
        <f>TRUNC(F2682*G2682,2)</f>
        <v>14.8</v>
      </c>
      <c r="I2682" s="54" t="str">
        <f>IF(B2682="SEPLAG",VLOOKUP(CONCATENATE("MEDIANA - ",C2682),COTAÇÃO,5,FALSE),VLOOKUP($C2682,DESON!$A:$D,4,))</f>
        <v>14,80</v>
      </c>
      <c r="J2682" s="209">
        <f>TRUNC(F2682*I2682,2)</f>
        <v>14.8</v>
      </c>
    </row>
    <row r="2683" spans="1:10" ht="26.25" customHeight="1">
      <c r="A2683" s="233" t="s">
        <v>245</v>
      </c>
      <c r="B2683" s="161"/>
      <c r="C2683" s="161">
        <v>88248</v>
      </c>
      <c r="D2683" s="161" t="str">
        <f>IF(B2683="SEPLAG",VLOOKUP(COMPOSIÇÕES!C2683,'MAPA COMPARATIVO'!A:B,2,FALSE),VLOOKUP(C2683,'NAO DESO'!A:B,2,0))</f>
        <v>AUXILIAR DE ENCANADOR OU BOMBEIRO HIDRÁULICO COM ENCARGOS COMPLEMENTARES</v>
      </c>
      <c r="E2683" s="247" t="s">
        <v>16</v>
      </c>
      <c r="F2683" s="248">
        <v>0.11</v>
      </c>
      <c r="G2683" s="242" t="str">
        <f>IF(B2683="SEPLAG",VLOOKUP(CONCATENATE("MEDIANA - ",C2683),COTAÇÃO,5,FALSE),VLOOKUP($C2683,'NAO DESO'!$A:$D,4,))</f>
        <v>17,33</v>
      </c>
      <c r="H2683" s="242">
        <f>TRUNC(F2683*G2683,2)</f>
        <v>1.9</v>
      </c>
      <c r="I2683" s="54" t="str">
        <f>IF(B2683="SEPLAG",VLOOKUP(CONCATENATE("MEDIANA - ",C2683),COTAÇÃO,5,FALSE),VLOOKUP($C2683,DESON!$A:$D,4,))</f>
        <v>15,54</v>
      </c>
      <c r="J2683" s="209">
        <f>TRUNC(F2683*I2683,2)</f>
        <v>1.7</v>
      </c>
    </row>
    <row r="2684" spans="1:10" ht="15" customHeight="1">
      <c r="A2684" s="233" t="s">
        <v>245</v>
      </c>
      <c r="B2684" s="161"/>
      <c r="C2684" s="161">
        <v>88309</v>
      </c>
      <c r="D2684" s="161" t="str">
        <f>IF(B2684="SEPLAG",VLOOKUP(COMPOSIÇÕES!C2684,'MAPA COMPARATIVO'!A:B,2,FALSE),VLOOKUP(C2684,'NAO DESO'!A:B,2,0))</f>
        <v>PEDREIRO COM ENCARGOS COMPLEMENTARES</v>
      </c>
      <c r="E2684" s="247" t="s">
        <v>16</v>
      </c>
      <c r="F2684" s="248">
        <v>0.11</v>
      </c>
      <c r="G2684" s="242" t="str">
        <f>IF(B2684="SEPLAG",VLOOKUP(CONCATENATE("MEDIANA - ",C2684),COTAÇÃO,5,FALSE),VLOOKUP($C2684,'NAO DESO'!$A:$D,4,))</f>
        <v>21,10</v>
      </c>
      <c r="H2684" s="242">
        <f>TRUNC(F2684*G2684,2)</f>
        <v>2.3199999999999998</v>
      </c>
      <c r="I2684" s="54" t="str">
        <f>IF(B2684="SEPLAG",VLOOKUP(CONCATENATE("MEDIANA - ",C2684),COTAÇÃO,5,FALSE),VLOOKUP($C2684,DESON!$A:$D,4,))</f>
        <v>18,86</v>
      </c>
      <c r="J2684" s="209">
        <f>TRUNC(F2684*I2684,2)</f>
        <v>2.0699999999999998</v>
      </c>
    </row>
    <row r="2685" spans="1:10" ht="15" customHeight="1">
      <c r="A2685" s="210" t="str">
        <f>CONCATENATE("TOTAL DO ITEM NÃO DESON. - ",C2679)</f>
        <v>TOTAL DO ITEM NÃO DESON. - SEPLAG INC 07</v>
      </c>
      <c r="B2685" s="161"/>
      <c r="C2685" s="161"/>
      <c r="D2685" s="161"/>
      <c r="E2685" s="247"/>
      <c r="F2685" s="248"/>
      <c r="G2685" s="248"/>
      <c r="H2685" s="1189">
        <f>SUM(H2682:H2684)</f>
        <v>19.02</v>
      </c>
      <c r="I2685" s="213"/>
      <c r="J2685" s="215"/>
    </row>
    <row r="2686" spans="1:10" ht="15.75" customHeight="1" thickBot="1">
      <c r="A2686" s="216" t="str">
        <f>CONCATENATE("TOTAL DO ITEM DESON. - ",C2679)</f>
        <v>TOTAL DO ITEM DESON. - SEPLAG INC 07</v>
      </c>
      <c r="B2686" s="1147"/>
      <c r="C2686" s="1147"/>
      <c r="D2686" s="1147"/>
      <c r="E2686" s="1218"/>
      <c r="F2686" s="1219"/>
      <c r="G2686" s="1219"/>
      <c r="H2686" s="1219"/>
      <c r="I2686" s="229"/>
      <c r="J2686" s="219">
        <f>SUM(J2682:J2685)</f>
        <v>18.57</v>
      </c>
    </row>
    <row r="2687" spans="1:10" ht="15" customHeight="1" thickBot="1">
      <c r="A2687" s="235"/>
      <c r="B2687" s="1135"/>
      <c r="C2687" s="1135"/>
      <c r="D2687" s="1135"/>
      <c r="E2687" s="1135"/>
      <c r="F2687" s="1188"/>
      <c r="G2687" s="1188"/>
      <c r="H2687" s="1188"/>
      <c r="I2687" s="236"/>
      <c r="J2687" s="237"/>
    </row>
    <row r="2688" spans="1:10" ht="26.25" customHeight="1">
      <c r="A2688" s="230"/>
      <c r="B2688" s="1146"/>
      <c r="C2688" s="1146" t="s">
        <v>271</v>
      </c>
      <c r="D2688" s="1146" t="s">
        <v>14670</v>
      </c>
      <c r="E2688" s="1152" t="s">
        <v>24</v>
      </c>
      <c r="F2688" s="1177" t="s">
        <v>18</v>
      </c>
      <c r="G2688" s="1178" t="s">
        <v>7015</v>
      </c>
      <c r="H2688" s="1179"/>
      <c r="I2688" s="200" t="s">
        <v>7016</v>
      </c>
      <c r="J2688" s="201"/>
    </row>
    <row r="2689" spans="1:10" ht="15" customHeight="1">
      <c r="A2689" s="233"/>
      <c r="B2689" s="161"/>
      <c r="C2689" s="161"/>
      <c r="D2689" s="161"/>
      <c r="E2689" s="247"/>
      <c r="F2689" s="1186"/>
      <c r="G2689" s="1180" t="s">
        <v>19</v>
      </c>
      <c r="H2689" s="1180" t="s">
        <v>20</v>
      </c>
      <c r="I2689" s="204" t="s">
        <v>19</v>
      </c>
      <c r="J2689" s="206" t="s">
        <v>20</v>
      </c>
    </row>
    <row r="2690" spans="1:10" ht="15" customHeight="1">
      <c r="A2690" s="233"/>
      <c r="B2690" s="161"/>
      <c r="C2690" s="161"/>
      <c r="D2690" s="161" t="s">
        <v>130</v>
      </c>
      <c r="E2690" s="247"/>
      <c r="F2690" s="248"/>
      <c r="G2690" s="248"/>
      <c r="H2690" s="248"/>
      <c r="I2690" s="214"/>
      <c r="J2690" s="227"/>
    </row>
    <row r="2691" spans="1:10" ht="26.25" customHeight="1">
      <c r="A2691" s="233" t="s">
        <v>245</v>
      </c>
      <c r="B2691" s="161"/>
      <c r="C2691" s="161">
        <v>37555</v>
      </c>
      <c r="D2691" s="161" t="str">
        <f>IF(B2691="SEPLAG",VLOOKUP(COMPOSIÇÕES!C2691,'MAPA COMPARATIVO'!A:B,2,FALSE),VLOOKUP(C2691,'NAO DESO'!A:B,2,0))</f>
        <v>ESGUICHO JATO REGULAVEL, TIPO ELKHART, ENGATE RAPIDO 2 1/2", PARA COMBATE A INCENDIO</v>
      </c>
      <c r="E2691" s="247" t="s">
        <v>427</v>
      </c>
      <c r="F2691" s="248">
        <v>1</v>
      </c>
      <c r="G2691" s="242">
        <f>IF(B2691="SEPLAG",VLOOKUP(CONCATENATE("MEDIANA - ",C2691),COTAÇÃO,5,FALSE),VLOOKUP($C2691,'NAO DESO'!$A:$D,4,))</f>
        <v>222.14</v>
      </c>
      <c r="H2691" s="242">
        <f>TRUNC(F2691*G2691,2)</f>
        <v>222.14</v>
      </c>
      <c r="I2691" s="54" t="str">
        <f>IF(B2691="SEPLAG",VLOOKUP(CONCATENATE("MEDIANA - ",C2691),COTAÇÃO,5,FALSE),VLOOKUP($C2691,DESON!$A:$D,4,))</f>
        <v>222,14</v>
      </c>
      <c r="J2691" s="209">
        <f>TRUNC(F2691*I2691,2)</f>
        <v>222.14</v>
      </c>
    </row>
    <row r="2692" spans="1:10" ht="26.25" customHeight="1">
      <c r="A2692" s="233" t="s">
        <v>245</v>
      </c>
      <c r="B2692" s="161"/>
      <c r="C2692" s="161">
        <v>88248</v>
      </c>
      <c r="D2692" s="161" t="str">
        <f>IF(B2692="SEPLAG",VLOOKUP(COMPOSIÇÕES!C2692,'MAPA COMPARATIVO'!A:B,2,FALSE),VLOOKUP(C2692,'NAO DESO'!A:B,2,0))</f>
        <v>AUXILIAR DE ENCANADOR OU BOMBEIRO HIDRÁULICO COM ENCARGOS COMPLEMENTARES</v>
      </c>
      <c r="E2692" s="247" t="s">
        <v>16</v>
      </c>
      <c r="F2692" s="248">
        <v>0.5</v>
      </c>
      <c r="G2692" s="242" t="str">
        <f>IF(B2692="SEPLAG",VLOOKUP(CONCATENATE("MEDIANA - ",C2692),COTAÇÃO,5,FALSE),VLOOKUP($C2692,'NAO DESO'!$A:$D,4,))</f>
        <v>17,33</v>
      </c>
      <c r="H2692" s="242">
        <f>TRUNC(F2692*G2692,2)</f>
        <v>8.66</v>
      </c>
      <c r="I2692" s="54" t="str">
        <f>IF(B2692="SEPLAG",VLOOKUP(CONCATENATE("MEDIANA - ",C2692),COTAÇÃO,5,FALSE),VLOOKUP($C2692,DESON!$A:$D,4,))</f>
        <v>15,54</v>
      </c>
      <c r="J2692" s="209">
        <f>TRUNC(F2692*I2692,2)</f>
        <v>7.77</v>
      </c>
    </row>
    <row r="2693" spans="1:10" ht="15" customHeight="1">
      <c r="A2693" s="233" t="s">
        <v>245</v>
      </c>
      <c r="B2693" s="161"/>
      <c r="C2693" s="161">
        <v>88309</v>
      </c>
      <c r="D2693" s="161" t="str">
        <f>IF(B2693="SEPLAG",VLOOKUP(COMPOSIÇÕES!C2693,'MAPA COMPARATIVO'!A:B,2,FALSE),VLOOKUP(C2693,'NAO DESO'!A:B,2,0))</f>
        <v>PEDREIRO COM ENCARGOS COMPLEMENTARES</v>
      </c>
      <c r="E2693" s="247" t="s">
        <v>16</v>
      </c>
      <c r="F2693" s="248">
        <v>0.5</v>
      </c>
      <c r="G2693" s="242" t="str">
        <f>IF(B2693="SEPLAG",VLOOKUP(CONCATENATE("MEDIANA - ",C2693),COTAÇÃO,5,FALSE),VLOOKUP($C2693,'NAO DESO'!$A:$D,4,))</f>
        <v>21,10</v>
      </c>
      <c r="H2693" s="242">
        <f>TRUNC(F2693*G2693,2)</f>
        <v>10.55</v>
      </c>
      <c r="I2693" s="54" t="str">
        <f>IF(B2693="SEPLAG",VLOOKUP(CONCATENATE("MEDIANA - ",C2693),COTAÇÃO,5,FALSE),VLOOKUP($C2693,DESON!$A:$D,4,))</f>
        <v>18,86</v>
      </c>
      <c r="J2693" s="209">
        <f>TRUNC(F2693*I2693,2)</f>
        <v>9.43</v>
      </c>
    </row>
    <row r="2694" spans="1:10" ht="15" customHeight="1">
      <c r="A2694" s="210" t="str">
        <f>CONCATENATE("TOTAL DO ITEM NÃO DESON. - ",C2688)</f>
        <v>TOTAL DO ITEM NÃO DESON. - SEPLAG INC 08</v>
      </c>
      <c r="B2694" s="161"/>
      <c r="C2694" s="161"/>
      <c r="D2694" s="161"/>
      <c r="E2694" s="247"/>
      <c r="F2694" s="248"/>
      <c r="G2694" s="248"/>
      <c r="H2694" s="1189">
        <f>SUM(H2691:H2693)</f>
        <v>241.35</v>
      </c>
      <c r="I2694" s="213"/>
      <c r="J2694" s="215"/>
    </row>
    <row r="2695" spans="1:10" ht="15.75" customHeight="1" thickBot="1">
      <c r="A2695" s="216" t="str">
        <f>CONCATENATE("TOTAL DO ITEM DESON. - ",C2688)</f>
        <v>TOTAL DO ITEM DESON. - SEPLAG INC 08</v>
      </c>
      <c r="B2695" s="1147"/>
      <c r="C2695" s="1147"/>
      <c r="D2695" s="1147"/>
      <c r="E2695" s="1218"/>
      <c r="F2695" s="1219"/>
      <c r="G2695" s="1219"/>
      <c r="H2695" s="1219"/>
      <c r="I2695" s="229"/>
      <c r="J2695" s="219">
        <f>SUM(J2691:J2694)</f>
        <v>239.34</v>
      </c>
    </row>
    <row r="2696" spans="1:10" ht="15" customHeight="1" thickBot="1">
      <c r="A2696" s="235"/>
      <c r="B2696" s="1135"/>
      <c r="C2696" s="1135"/>
      <c r="D2696" s="1135"/>
      <c r="E2696" s="1135"/>
      <c r="F2696" s="1188"/>
      <c r="G2696" s="1188"/>
      <c r="H2696" s="1188"/>
      <c r="I2696" s="236"/>
      <c r="J2696" s="237"/>
    </row>
    <row r="2697" spans="1:10" ht="26.25" customHeight="1">
      <c r="A2697" s="230"/>
      <c r="B2697" s="1146"/>
      <c r="C2697" s="1146" t="s">
        <v>272</v>
      </c>
      <c r="D2697" s="1146" t="s">
        <v>7668</v>
      </c>
      <c r="E2697" s="1152" t="s">
        <v>24</v>
      </c>
      <c r="F2697" s="1177" t="s">
        <v>18</v>
      </c>
      <c r="G2697" s="1177" t="s">
        <v>7015</v>
      </c>
      <c r="H2697" s="1177"/>
      <c r="I2697" s="199" t="s">
        <v>7016</v>
      </c>
      <c r="J2697" s="252"/>
    </row>
    <row r="2698" spans="1:10" ht="15" customHeight="1">
      <c r="A2698" s="203"/>
      <c r="B2698" s="432"/>
      <c r="C2698" s="432"/>
      <c r="D2698" s="432"/>
      <c r="E2698" s="430"/>
      <c r="F2698" s="1180"/>
      <c r="G2698" s="1180" t="s">
        <v>19</v>
      </c>
      <c r="H2698" s="1180" t="s">
        <v>20</v>
      </c>
      <c r="I2698" s="204" t="s">
        <v>19</v>
      </c>
      <c r="J2698" s="206" t="s">
        <v>20</v>
      </c>
    </row>
    <row r="2699" spans="1:10" ht="15" customHeight="1">
      <c r="A2699" s="233"/>
      <c r="B2699" s="161"/>
      <c r="C2699" s="161"/>
      <c r="D2699" s="161" t="s">
        <v>131</v>
      </c>
      <c r="E2699" s="247"/>
      <c r="F2699" s="248"/>
      <c r="G2699" s="248"/>
      <c r="H2699" s="248"/>
      <c r="I2699" s="214"/>
      <c r="J2699" s="227"/>
    </row>
    <row r="2700" spans="1:10" ht="26.25" customHeight="1">
      <c r="A2700" s="233" t="s">
        <v>39</v>
      </c>
      <c r="B2700" s="161"/>
      <c r="C2700" s="161">
        <v>10899</v>
      </c>
      <c r="D2700" s="161" t="str">
        <f>IF(B2700="SEPLAG",VLOOKUP(COMPOSIÇÕES!C2700,'MAPA COMPARATIVO'!A:B,2,FALSE),VLOOKUP(C2700,'NAO DESO'!A:B,2,0))</f>
        <v>ADAPTADOR, EM LATAO, ENGATE RAPIDO 2 1/2" X ROSCA INTERNA 5 FIOS 2 1/2",  PARA INSTALACAO PREDIAL DE COMBATE A INCENDIO</v>
      </c>
      <c r="E2700" s="247" t="s">
        <v>427</v>
      </c>
      <c r="F2700" s="248">
        <v>1</v>
      </c>
      <c r="G2700" s="242">
        <f>IF(B2700="SEPLAG",VLOOKUP(CONCATENATE("MEDIANA - ",C2700),COTAÇÃO,5,FALSE),VLOOKUP($C2700,'NAO DESO'!$A:$D,4,))</f>
        <v>68.12</v>
      </c>
      <c r="H2700" s="242">
        <f t="shared" ref="H2700:H2713" si="208">TRUNC(F2700*G2700,2)</f>
        <v>68.12</v>
      </c>
      <c r="I2700" s="54" t="str">
        <f>IF(B2700="SEPLAG",VLOOKUP(CONCATENATE("MEDIANA - ",C2700),COTAÇÃO,5,FALSE),VLOOKUP($C2700,DESON!$A:$D,4,))</f>
        <v>68,12</v>
      </c>
      <c r="J2700" s="209">
        <f t="shared" ref="J2700:J2713" si="209">TRUNC(F2700*I2700,2)</f>
        <v>68.12</v>
      </c>
    </row>
    <row r="2701" spans="1:10" ht="26.25" customHeight="1">
      <c r="A2701" s="233" t="s">
        <v>39</v>
      </c>
      <c r="B2701" s="161"/>
      <c r="C2701" s="161">
        <v>370</v>
      </c>
      <c r="D2701" s="161" t="str">
        <f>IF(B2701="SEPLAG",VLOOKUP(COMPOSIÇÕES!C2701,'MAPA COMPARATIVO'!A:B,2,FALSE),VLOOKUP(C2701,'NAO DESO'!A:B,2,0))</f>
        <v>AREIA MEDIA - POSTO JAZIDA/FORNECEDOR (RETIRADO NA JAZIDA, SEM TRANSPORTE)</v>
      </c>
      <c r="E2701" s="247" t="s">
        <v>431</v>
      </c>
      <c r="F2701" s="248">
        <v>0.08</v>
      </c>
      <c r="G2701" s="242">
        <f>IF(B2701="SEPLAG",VLOOKUP(CONCATENATE("MEDIANA - ",C2701),COTAÇÃO,5,FALSE),VLOOKUP($C2701,'NAO DESO'!$A:$D,4,))</f>
        <v>83.5</v>
      </c>
      <c r="H2701" s="242">
        <f t="shared" si="208"/>
        <v>6.68</v>
      </c>
      <c r="I2701" s="54" t="str">
        <f>IF(B2701="SEPLAG",VLOOKUP(CONCATENATE("MEDIANA - ",C2701),COTAÇÃO,5,FALSE),VLOOKUP($C2701,DESON!$A:$D,4,))</f>
        <v>83,50</v>
      </c>
      <c r="J2701" s="209">
        <f t="shared" si="209"/>
        <v>6.68</v>
      </c>
    </row>
    <row r="2702" spans="1:10" ht="15" customHeight="1">
      <c r="A2702" s="233" t="s">
        <v>39</v>
      </c>
      <c r="B2702" s="161"/>
      <c r="C2702" s="161">
        <v>1106</v>
      </c>
      <c r="D2702" s="161" t="str">
        <f>IF(B2702="SEPLAG",VLOOKUP(COMPOSIÇÕES!C2702,'MAPA COMPARATIVO'!A:B,2,FALSE),VLOOKUP(C2702,'NAO DESO'!A:B,2,0))</f>
        <v>CAL HIDRATADA CH-I PARA ARGAMASSAS</v>
      </c>
      <c r="E2702" s="247" t="s">
        <v>430</v>
      </c>
      <c r="F2702" s="248">
        <v>4.91</v>
      </c>
      <c r="G2702" s="242">
        <f>IF(B2702="SEPLAG",VLOOKUP(CONCATENATE("MEDIANA - ",C2702),COTAÇÃO,5,FALSE),VLOOKUP($C2702,'NAO DESO'!$A:$D,4,))</f>
        <v>0.85</v>
      </c>
      <c r="H2702" s="242">
        <f t="shared" si="208"/>
        <v>4.17</v>
      </c>
      <c r="I2702" s="54" t="str">
        <f>IF(B2702="SEPLAG",VLOOKUP(CONCATENATE("MEDIANA - ",C2702),COTAÇÃO,5,FALSE),VLOOKUP($C2702,DESON!$A:$D,4,))</f>
        <v>0,85</v>
      </c>
      <c r="J2702" s="209">
        <f t="shared" si="209"/>
        <v>4.17</v>
      </c>
    </row>
    <row r="2703" spans="1:10" ht="15" customHeight="1">
      <c r="A2703" s="233" t="s">
        <v>39</v>
      </c>
      <c r="B2703" s="161"/>
      <c r="C2703" s="161">
        <v>1379</v>
      </c>
      <c r="D2703" s="161" t="str">
        <f>IF(B2703="SEPLAG",VLOOKUP(COMPOSIÇÕES!C2703,'MAPA COMPARATIVO'!A:B,2,FALSE),VLOOKUP(C2703,'NAO DESO'!A:B,2,0))</f>
        <v>CIMENTO PORTLAND COMPOSTO CP II-32</v>
      </c>
      <c r="E2703" s="247" t="s">
        <v>430</v>
      </c>
      <c r="F2703" s="248">
        <v>22.3</v>
      </c>
      <c r="G2703" s="242">
        <f>IF(B2703="SEPLAG",VLOOKUP(CONCATENATE("MEDIANA - ",C2703),COTAÇÃO,5,FALSE),VLOOKUP($C2703,'NAO DESO'!$A:$D,4,))</f>
        <v>0.72</v>
      </c>
      <c r="H2703" s="242">
        <f t="shared" si="208"/>
        <v>16.05</v>
      </c>
      <c r="I2703" s="54" t="str">
        <f>IF(B2703="SEPLAG",VLOOKUP(CONCATENATE("MEDIANA - ",C2703),COTAÇÃO,5,FALSE),VLOOKUP($C2703,DESON!$A:$D,4,))</f>
        <v>0,72</v>
      </c>
      <c r="J2703" s="209">
        <f t="shared" si="209"/>
        <v>16.05</v>
      </c>
    </row>
    <row r="2704" spans="1:10" ht="15" customHeight="1">
      <c r="A2704" s="233" t="s">
        <v>39</v>
      </c>
      <c r="B2704" s="161"/>
      <c r="C2704" s="161">
        <v>3146</v>
      </c>
      <c r="D2704" s="161" t="str">
        <f>IF(B2704="SEPLAG",VLOOKUP(COMPOSIÇÕES!C2704,'MAPA COMPARATIVO'!A:B,2,FALSE),VLOOKUP(C2704,'NAO DESO'!A:B,2,0))</f>
        <v>FITA VEDA ROSCA EM ROLOS DE 18 MM X 10 M (L X C)</v>
      </c>
      <c r="E2704" s="247" t="s">
        <v>427</v>
      </c>
      <c r="F2704" s="248">
        <v>1.41</v>
      </c>
      <c r="G2704" s="242">
        <f>IF(B2704="SEPLAG",VLOOKUP(CONCATENATE("MEDIANA - ",C2704),COTAÇÃO,5,FALSE),VLOOKUP($C2704,'NAO DESO'!$A:$D,4,))</f>
        <v>5</v>
      </c>
      <c r="H2704" s="242">
        <f t="shared" si="208"/>
        <v>7.05</v>
      </c>
      <c r="I2704" s="54" t="str">
        <f>IF(B2704="SEPLAG",VLOOKUP(CONCATENATE("MEDIANA - ",C2704),COTAÇÃO,5,FALSE),VLOOKUP($C2704,DESON!$A:$D,4,))</f>
        <v>5,00</v>
      </c>
      <c r="J2704" s="209">
        <f t="shared" si="209"/>
        <v>7.05</v>
      </c>
    </row>
    <row r="2705" spans="1:10" ht="26.25" customHeight="1">
      <c r="A2705" s="233" t="s">
        <v>39</v>
      </c>
      <c r="B2705" s="161"/>
      <c r="C2705" s="161">
        <v>4718</v>
      </c>
      <c r="D2705" s="161" t="str">
        <f>IF(B2705="SEPLAG",VLOOKUP(COMPOSIÇÕES!C2705,'MAPA COMPARATIVO'!A:B,2,FALSE),VLOOKUP(C2705,'NAO DESO'!A:B,2,0))</f>
        <v>PEDRA BRITADA N. 2 (19 A 38 MM) POSTO PEDREIRA/FORNECEDOR, SEM FRETE</v>
      </c>
      <c r="E2705" s="247" t="s">
        <v>431</v>
      </c>
      <c r="F2705" s="248">
        <v>2.1000000000000001E-2</v>
      </c>
      <c r="G2705" s="242">
        <f>IF(B2705="SEPLAG",VLOOKUP(CONCATENATE("MEDIANA - ",C2705),COTAÇÃO,5,FALSE),VLOOKUP($C2705,'NAO DESO'!$A:$D,4,))</f>
        <v>84.85</v>
      </c>
      <c r="H2705" s="242">
        <f t="shared" si="208"/>
        <v>1.78</v>
      </c>
      <c r="I2705" s="54" t="str">
        <f>IF(B2705="SEPLAG",VLOOKUP(CONCATENATE("MEDIANA - ",C2705),COTAÇÃO,5,FALSE),VLOOKUP($C2705,DESON!$A:$D,4,))</f>
        <v>84,85</v>
      </c>
      <c r="J2705" s="209">
        <f t="shared" si="209"/>
        <v>1.78</v>
      </c>
    </row>
    <row r="2706" spans="1:10" ht="39" customHeight="1">
      <c r="A2706" s="233" t="s">
        <v>39</v>
      </c>
      <c r="B2706" s="161"/>
      <c r="C2706" s="161">
        <v>10904</v>
      </c>
      <c r="D2706" s="161" t="str">
        <f>IF(B2706="SEPLAG",VLOOKUP(COMPOSIÇÕES!C2706,'MAPA COMPARATIVO'!A:B,2,FALSE),VLOOKUP(C2706,'NAO DESO'!A:B,2,0))</f>
        <v>REGISTRO OU VALVULA GLOBO ANGULAR EM LATAO, PARA HIDRANTES EM INSTALACAO PREDIAL DE INCENDIO, 45 GRAUS, DIAMETRO DE 2 1/2", COM VOLANTE, CLASSE DE PRESSAO DE ATE 200 PSI</v>
      </c>
      <c r="E2706" s="247" t="s">
        <v>427</v>
      </c>
      <c r="F2706" s="248">
        <v>1</v>
      </c>
      <c r="G2706" s="242">
        <f>IF(B2706="SEPLAG",VLOOKUP(CONCATENATE("MEDIANA - ",C2706),COTAÇÃO,5,FALSE),VLOOKUP($C2706,'NAO DESO'!$A:$D,4,))</f>
        <v>155.5</v>
      </c>
      <c r="H2706" s="242">
        <f t="shared" si="208"/>
        <v>155.5</v>
      </c>
      <c r="I2706" s="54" t="str">
        <f>IF(B2706="SEPLAG",VLOOKUP(CONCATENATE("MEDIANA - ",C2706),COTAÇÃO,5,FALSE),VLOOKUP($C2706,DESON!$A:$D,4,))</f>
        <v>155,50</v>
      </c>
      <c r="J2706" s="209">
        <f t="shared" si="209"/>
        <v>155.5</v>
      </c>
    </row>
    <row r="2707" spans="1:10" ht="15" customHeight="1">
      <c r="A2707" s="233" t="s">
        <v>39</v>
      </c>
      <c r="B2707" s="161" t="s">
        <v>14504</v>
      </c>
      <c r="C2707" s="161" t="s">
        <v>14353</v>
      </c>
      <c r="D2707" s="161" t="str">
        <f>IF(B2707="SEPLAG",VLOOKUP(COMPOSIÇÕES!C2707,'MAPA COMPARATIVO'!A:B,2,FALSE),VLOOKUP(C2707,'NAO DESO'!A:B,2,0))</f>
        <v xml:space="preserve">TAMPA DE FERRO FUNDIDO PARA HIDRANTE DE RECALQUE </v>
      </c>
      <c r="E2707" s="247" t="s">
        <v>32</v>
      </c>
      <c r="F2707" s="248">
        <v>1</v>
      </c>
      <c r="G2707" s="242">
        <f>IF(B2707="SEPLAG",VLOOKUP(CONCATENATE("MEDIANA - ",C2707),COTAÇÃO,5,FALSE),VLOOKUP($C2707,'NAO DESO'!$A:$D,4,))</f>
        <v>444.7</v>
      </c>
      <c r="H2707" s="242">
        <f t="shared" si="208"/>
        <v>444.7</v>
      </c>
      <c r="I2707" s="54">
        <f>IF(B2707="SEPLAG",VLOOKUP(CONCATENATE("MEDIANA - ",C2707),COTAÇÃO,5,FALSE),VLOOKUP($C2707,DESON!$A:$D,4,))</f>
        <v>444.7</v>
      </c>
      <c r="J2707" s="209">
        <f t="shared" si="209"/>
        <v>444.7</v>
      </c>
    </row>
    <row r="2708" spans="1:10" ht="26.25" customHeight="1">
      <c r="A2708" s="233" t="s">
        <v>39</v>
      </c>
      <c r="B2708" s="161"/>
      <c r="C2708" s="161">
        <v>10905</v>
      </c>
      <c r="D2708" s="161" t="str">
        <f>IF(B2708="SEPLAG",VLOOKUP(COMPOSIÇÕES!C2708,'MAPA COMPARATIVO'!A:B,2,FALSE),VLOOKUP(C2708,'NAO DESO'!A:B,2,0))</f>
        <v>TAMPAO COM CORRENTE, EM LATAO, ENGATE RAPIDO 2 1/2", PARA INSTALACAO PREDIAL DE COMBATE A INCENDIO</v>
      </c>
      <c r="E2708" s="247" t="s">
        <v>427</v>
      </c>
      <c r="F2708" s="248">
        <v>1</v>
      </c>
      <c r="G2708" s="242">
        <f>IF(B2708="SEPLAG",VLOOKUP(CONCATENATE("MEDIANA - ",C2708),COTAÇÃO,5,FALSE),VLOOKUP($C2708,'NAO DESO'!$A:$D,4,))</f>
        <v>81.45</v>
      </c>
      <c r="H2708" s="242">
        <f t="shared" si="208"/>
        <v>81.45</v>
      </c>
      <c r="I2708" s="54" t="str">
        <f>IF(B2708="SEPLAG",VLOOKUP(CONCATENATE("MEDIANA - ",C2708),COTAÇÃO,5,FALSE),VLOOKUP($C2708,DESON!$A:$D,4,))</f>
        <v>81,45</v>
      </c>
      <c r="J2708" s="209">
        <f t="shared" si="209"/>
        <v>81.45</v>
      </c>
    </row>
    <row r="2709" spans="1:10" ht="15" customHeight="1">
      <c r="A2709" s="233" t="s">
        <v>39</v>
      </c>
      <c r="B2709" s="161"/>
      <c r="C2709" s="161">
        <v>7258</v>
      </c>
      <c r="D2709" s="161" t="str">
        <f>IF(B2709="SEPLAG",VLOOKUP(COMPOSIÇÕES!C2709,'MAPA COMPARATIVO'!A:B,2,FALSE),VLOOKUP(C2709,'NAO DESO'!A:B,2,0))</f>
        <v>TIJOLO CERAMICO MACICO COMUM *5 X 10 X 20* CM (L X A X C)</v>
      </c>
      <c r="E2709" s="247" t="s">
        <v>427</v>
      </c>
      <c r="F2709" s="248">
        <v>90</v>
      </c>
      <c r="G2709" s="242">
        <f>IF(B2709="SEPLAG",VLOOKUP(CONCATENATE("MEDIANA - ",C2709),COTAÇÃO,5,FALSE),VLOOKUP($C2709,'NAO DESO'!$A:$D,4,))</f>
        <v>0.77</v>
      </c>
      <c r="H2709" s="242">
        <f t="shared" si="208"/>
        <v>69.3</v>
      </c>
      <c r="I2709" s="54" t="str">
        <f>IF(B2709="SEPLAG",VLOOKUP(CONCATENATE("MEDIANA - ",C2709),COTAÇÃO,5,FALSE),VLOOKUP($C2709,DESON!$A:$D,4,))</f>
        <v>0,77</v>
      </c>
      <c r="J2709" s="209">
        <f t="shared" si="209"/>
        <v>69.3</v>
      </c>
    </row>
    <row r="2710" spans="1:10" ht="26.25" customHeight="1">
      <c r="A2710" s="233" t="s">
        <v>245</v>
      </c>
      <c r="B2710" s="161"/>
      <c r="C2710" s="161">
        <v>88248</v>
      </c>
      <c r="D2710" s="161" t="str">
        <f>IF(B2710="SEPLAG",VLOOKUP(COMPOSIÇÕES!C2710,'MAPA COMPARATIVO'!A:B,2,FALSE),VLOOKUP(C2710,'NAO DESO'!A:B,2,0))</f>
        <v>AUXILIAR DE ENCANADOR OU BOMBEIRO HIDRÁULICO COM ENCARGOS COMPLEMENTARES</v>
      </c>
      <c r="E2710" s="247" t="s">
        <v>16</v>
      </c>
      <c r="F2710" s="248">
        <v>1.1499999999999999</v>
      </c>
      <c r="G2710" s="242" t="str">
        <f>IF(B2710="SEPLAG",VLOOKUP(CONCATENATE("MEDIANA - ",C2710),COTAÇÃO,5,FALSE),VLOOKUP($C2710,'NAO DESO'!$A:$D,4,))</f>
        <v>17,33</v>
      </c>
      <c r="H2710" s="242">
        <f t="shared" si="208"/>
        <v>19.920000000000002</v>
      </c>
      <c r="I2710" s="54" t="str">
        <f>IF(B2710="SEPLAG",VLOOKUP(CONCATENATE("MEDIANA - ",C2710),COTAÇÃO,5,FALSE),VLOOKUP($C2710,DESON!$A:$D,4,))</f>
        <v>15,54</v>
      </c>
      <c r="J2710" s="209">
        <f t="shared" si="209"/>
        <v>17.87</v>
      </c>
    </row>
    <row r="2711" spans="1:10" ht="26.25" customHeight="1">
      <c r="A2711" s="233" t="s">
        <v>245</v>
      </c>
      <c r="B2711" s="161"/>
      <c r="C2711" s="161">
        <v>88267</v>
      </c>
      <c r="D2711" s="161" t="str">
        <f>IF(B2711="SEPLAG",VLOOKUP(COMPOSIÇÕES!C2711,'MAPA COMPARATIVO'!A:B,2,FALSE),VLOOKUP(C2711,'NAO DESO'!A:B,2,0))</f>
        <v>ENCANADOR OU BOMBEIRO HIDRÁULICO COM ENCARGOS COMPLEMENTARES</v>
      </c>
      <c r="E2711" s="247" t="s">
        <v>16</v>
      </c>
      <c r="F2711" s="248">
        <v>1.1499999999999999</v>
      </c>
      <c r="G2711" s="242" t="str">
        <f>IF(B2711="SEPLAG",VLOOKUP(CONCATENATE("MEDIANA - ",C2711),COTAÇÃO,5,FALSE),VLOOKUP($C2711,'NAO DESO'!$A:$D,4,))</f>
        <v>21,03</v>
      </c>
      <c r="H2711" s="242">
        <f t="shared" si="208"/>
        <v>24.18</v>
      </c>
      <c r="I2711" s="54" t="str">
        <f>IF(B2711="SEPLAG",VLOOKUP(CONCATENATE("MEDIANA - ",C2711),COTAÇÃO,5,FALSE),VLOOKUP($C2711,DESON!$A:$D,4,))</f>
        <v>18,72</v>
      </c>
      <c r="J2711" s="209">
        <f t="shared" si="209"/>
        <v>21.52</v>
      </c>
    </row>
    <row r="2712" spans="1:10" ht="15" customHeight="1">
      <c r="A2712" s="233" t="s">
        <v>245</v>
      </c>
      <c r="B2712" s="161"/>
      <c r="C2712" s="161">
        <v>88309</v>
      </c>
      <c r="D2712" s="161" t="str">
        <f>IF(B2712="SEPLAG",VLOOKUP(COMPOSIÇÕES!C2712,'MAPA COMPARATIVO'!A:B,2,FALSE),VLOOKUP(C2712,'NAO DESO'!A:B,2,0))</f>
        <v>PEDREIRO COM ENCARGOS COMPLEMENTARES</v>
      </c>
      <c r="E2712" s="247" t="s">
        <v>16</v>
      </c>
      <c r="F2712" s="248">
        <v>3</v>
      </c>
      <c r="G2712" s="242" t="str">
        <f>IF(B2712="SEPLAG",VLOOKUP(CONCATENATE("MEDIANA - ",C2712),COTAÇÃO,5,FALSE),VLOOKUP($C2712,'NAO DESO'!$A:$D,4,))</f>
        <v>21,10</v>
      </c>
      <c r="H2712" s="242">
        <f t="shared" si="208"/>
        <v>63.3</v>
      </c>
      <c r="I2712" s="54" t="str">
        <f>IF(B2712="SEPLAG",VLOOKUP(CONCATENATE("MEDIANA - ",C2712),COTAÇÃO,5,FALSE),VLOOKUP($C2712,DESON!$A:$D,4,))</f>
        <v>18,86</v>
      </c>
      <c r="J2712" s="209">
        <f t="shared" si="209"/>
        <v>56.58</v>
      </c>
    </row>
    <row r="2713" spans="1:10" ht="15" customHeight="1">
      <c r="A2713" s="233" t="s">
        <v>245</v>
      </c>
      <c r="B2713" s="161"/>
      <c r="C2713" s="161">
        <v>88316</v>
      </c>
      <c r="D2713" s="161" t="str">
        <f>IF(B2713="SEPLAG",VLOOKUP(COMPOSIÇÕES!C2713,'MAPA COMPARATIVO'!A:B,2,FALSE),VLOOKUP(C2713,'NAO DESO'!A:B,2,0))</f>
        <v>SERVENTE COM ENCARGOS COMPLEMENTARES</v>
      </c>
      <c r="E2713" s="247" t="s">
        <v>16</v>
      </c>
      <c r="F2713" s="248">
        <v>5.2</v>
      </c>
      <c r="G2713" s="242" t="str">
        <f>IF(B2713="SEPLAG",VLOOKUP(CONCATENATE("MEDIANA - ",C2713),COTAÇÃO,5,FALSE),VLOOKUP($C2713,'NAO DESO'!$A:$D,4,))</f>
        <v>16,83</v>
      </c>
      <c r="H2713" s="242">
        <f t="shared" si="208"/>
        <v>87.51</v>
      </c>
      <c r="I2713" s="54" t="str">
        <f>IF(B2713="SEPLAG",VLOOKUP(CONCATENATE("MEDIANA - ",C2713),COTAÇÃO,5,FALSE),VLOOKUP($C2713,DESON!$A:$D,4,))</f>
        <v>15,16</v>
      </c>
      <c r="J2713" s="209">
        <f t="shared" si="209"/>
        <v>78.83</v>
      </c>
    </row>
    <row r="2714" spans="1:10" ht="15" customHeight="1">
      <c r="A2714" s="210" t="str">
        <f>CONCATENATE("TOTAL DO ITEM NÃO DESON. - ",C2697)</f>
        <v>TOTAL DO ITEM NÃO DESON. - SEPLAG INC 09</v>
      </c>
      <c r="B2714" s="161"/>
      <c r="C2714" s="161"/>
      <c r="D2714" s="161"/>
      <c r="E2714" s="247"/>
      <c r="F2714" s="248"/>
      <c r="G2714" s="248"/>
      <c r="H2714" s="1189">
        <f>SUM(H2700:H2713)</f>
        <v>1049.7099999999998</v>
      </c>
      <c r="I2714" s="213"/>
      <c r="J2714" s="215"/>
    </row>
    <row r="2715" spans="1:10" ht="15.75" customHeight="1" thickBot="1">
      <c r="A2715" s="216" t="str">
        <f>CONCATENATE("TOTAL DO ITEM DESON. - ",C2697)</f>
        <v>TOTAL DO ITEM DESON. - SEPLAG INC 09</v>
      </c>
      <c r="B2715" s="1147"/>
      <c r="C2715" s="1147"/>
      <c r="D2715" s="1147"/>
      <c r="E2715" s="1218"/>
      <c r="F2715" s="1219"/>
      <c r="G2715" s="1219"/>
      <c r="H2715" s="1219"/>
      <c r="I2715" s="229"/>
      <c r="J2715" s="219">
        <f>SUM(J2700:J2714)</f>
        <v>1029.5999999999999</v>
      </c>
    </row>
    <row r="2716" spans="1:10" ht="15" customHeight="1" thickBot="1">
      <c r="A2716" s="235"/>
      <c r="B2716" s="1135"/>
      <c r="C2716" s="1135"/>
      <c r="D2716" s="1135"/>
      <c r="E2716" s="1135"/>
      <c r="F2716" s="1188"/>
      <c r="G2716" s="1188"/>
      <c r="H2716" s="1188"/>
      <c r="I2716" s="236"/>
      <c r="J2716" s="237"/>
    </row>
    <row r="2717" spans="1:10" ht="26.25" customHeight="1">
      <c r="A2717" s="230"/>
      <c r="B2717" s="1146"/>
      <c r="C2717" s="1146" t="s">
        <v>273</v>
      </c>
      <c r="D2717" s="1146" t="s">
        <v>7669</v>
      </c>
      <c r="E2717" s="1152" t="s">
        <v>250</v>
      </c>
      <c r="F2717" s="1177" t="s">
        <v>18</v>
      </c>
      <c r="G2717" s="1178" t="s">
        <v>7015</v>
      </c>
      <c r="H2717" s="1179"/>
      <c r="I2717" s="200" t="s">
        <v>7016</v>
      </c>
      <c r="J2717" s="201"/>
    </row>
    <row r="2718" spans="1:10" ht="15" customHeight="1">
      <c r="A2718" s="203"/>
      <c r="B2718" s="432"/>
      <c r="C2718" s="432"/>
      <c r="D2718" s="432"/>
      <c r="E2718" s="430"/>
      <c r="F2718" s="1180"/>
      <c r="G2718" s="1180" t="s">
        <v>19</v>
      </c>
      <c r="H2718" s="1180" t="s">
        <v>20</v>
      </c>
      <c r="I2718" s="204" t="s">
        <v>19</v>
      </c>
      <c r="J2718" s="206" t="s">
        <v>20</v>
      </c>
    </row>
    <row r="2719" spans="1:10" ht="15" customHeight="1">
      <c r="A2719" s="233"/>
      <c r="B2719" s="161"/>
      <c r="C2719" s="161"/>
      <c r="D2719" s="161" t="s">
        <v>111</v>
      </c>
      <c r="E2719" s="247"/>
      <c r="F2719" s="248"/>
      <c r="G2719" s="248"/>
      <c r="H2719" s="248"/>
      <c r="I2719" s="214"/>
      <c r="J2719" s="227"/>
    </row>
    <row r="2720" spans="1:10" ht="26.25" customHeight="1">
      <c r="A2720" s="233" t="s">
        <v>39</v>
      </c>
      <c r="B2720" s="161" t="s">
        <v>27929</v>
      </c>
      <c r="C2720" s="163">
        <v>21014</v>
      </c>
      <c r="D2720" s="161" t="str">
        <f>IF(B2720="SEPLAG",VLOOKUP(COMPOSIÇÕES!C2720,'MAPA COMPARATIVO'!A:B,2,FALSE),VLOOKUP(C2720,'NAO DESO'!A:B,2,0))</f>
        <v>TUBO ACO GALVANIZADO COM COSTURA, CLASSE LEVE, DN 65 MM ( 2 1/2"),  E = 3,35 MM, * 6,23* KG/M (NBR 5580)</v>
      </c>
      <c r="E2720" s="247" t="s">
        <v>250</v>
      </c>
      <c r="F2720" s="248">
        <v>1</v>
      </c>
      <c r="G2720" s="242">
        <f>IF(B2720="SEPLAG",VLOOKUP(CONCATENATE("MEDIANA - ",C2720),COTAÇÃO,5,FALSE),VLOOKUP($C2720,'NAO DESO'!$A:$D,4,))</f>
        <v>115.34</v>
      </c>
      <c r="H2720" s="242">
        <f>TRUNC(F2720*G2720,2)</f>
        <v>115.34</v>
      </c>
      <c r="I2720" s="54" t="str">
        <f>IF(B2720="SEPLAG",VLOOKUP(CONCATENATE("MEDIANA - ",C2720),COTAÇÃO,5,FALSE),VLOOKUP($C2720,DESON!$A:$D,4,))</f>
        <v>115,34</v>
      </c>
      <c r="J2720" s="209">
        <f>TRUNC(F2720*I2720,2)</f>
        <v>115.34</v>
      </c>
    </row>
    <row r="2721" spans="1:10" ht="26.25" customHeight="1">
      <c r="A2721" s="233" t="s">
        <v>245</v>
      </c>
      <c r="B2721" s="161"/>
      <c r="C2721" s="161">
        <v>88267</v>
      </c>
      <c r="D2721" s="161" t="str">
        <f>IF(B2721="SEPLAG",VLOOKUP(COMPOSIÇÕES!C2721,'MAPA COMPARATIVO'!A:B,2,FALSE),VLOOKUP(C2721,'NAO DESO'!A:B,2,0))</f>
        <v>ENCANADOR OU BOMBEIRO HIDRÁULICO COM ENCARGOS COMPLEMENTARES</v>
      </c>
      <c r="E2721" s="247" t="s">
        <v>16</v>
      </c>
      <c r="F2721" s="248">
        <v>0.7</v>
      </c>
      <c r="G2721" s="242" t="str">
        <f>IF(B2721="SEPLAG",VLOOKUP(CONCATENATE("MEDIANA - ",C2721),COTAÇÃO,5,FALSE),VLOOKUP($C2721,'NAO DESO'!$A:$D,4,))</f>
        <v>21,03</v>
      </c>
      <c r="H2721" s="242">
        <f>TRUNC(F2721*G2721,2)</f>
        <v>14.72</v>
      </c>
      <c r="I2721" s="54" t="str">
        <f>IF(B2721="SEPLAG",VLOOKUP(CONCATENATE("MEDIANA - ",C2721),COTAÇÃO,5,FALSE),VLOOKUP($C2721,DESON!$A:$D,4,))</f>
        <v>18,72</v>
      </c>
      <c r="J2721" s="209">
        <f>TRUNC(F2721*I2721,2)</f>
        <v>13.1</v>
      </c>
    </row>
    <row r="2722" spans="1:10" ht="26.25" customHeight="1">
      <c r="A2722" s="233" t="s">
        <v>245</v>
      </c>
      <c r="B2722" s="161"/>
      <c r="C2722" s="161">
        <v>88248</v>
      </c>
      <c r="D2722" s="161" t="str">
        <f>IF(B2722="SEPLAG",VLOOKUP(COMPOSIÇÕES!C2722,'MAPA COMPARATIVO'!A:B,2,FALSE),VLOOKUP(C2722,'NAO DESO'!A:B,2,0))</f>
        <v>AUXILIAR DE ENCANADOR OU BOMBEIRO HIDRÁULICO COM ENCARGOS COMPLEMENTARES</v>
      </c>
      <c r="E2722" s="247" t="s">
        <v>16</v>
      </c>
      <c r="F2722" s="248">
        <v>0.7</v>
      </c>
      <c r="G2722" s="242" t="str">
        <f>IF(B2722="SEPLAG",VLOOKUP(CONCATENATE("MEDIANA - ",C2722),COTAÇÃO,5,FALSE),VLOOKUP($C2722,'NAO DESO'!$A:$D,4,))</f>
        <v>17,33</v>
      </c>
      <c r="H2722" s="242">
        <f>TRUNC(F2722*G2722,2)</f>
        <v>12.13</v>
      </c>
      <c r="I2722" s="54" t="str">
        <f>IF(B2722="SEPLAG",VLOOKUP(CONCATENATE("MEDIANA - ",C2722),COTAÇÃO,5,FALSE),VLOOKUP($C2722,DESON!$A:$D,4,))</f>
        <v>15,54</v>
      </c>
      <c r="J2722" s="209">
        <f>TRUNC(F2722*I2722,2)</f>
        <v>10.87</v>
      </c>
    </row>
    <row r="2723" spans="1:10" ht="15" customHeight="1">
      <c r="A2723" s="210" t="str">
        <f>CONCATENATE("TOTAL DO ITEM NÃO DESON. - ",C2717)</f>
        <v>TOTAL DO ITEM NÃO DESON. - SEPLAG INC 10</v>
      </c>
      <c r="B2723" s="161"/>
      <c r="C2723" s="161"/>
      <c r="D2723" s="161"/>
      <c r="E2723" s="247"/>
      <c r="F2723" s="248"/>
      <c r="G2723" s="248"/>
      <c r="H2723" s="1189">
        <f>SUM(H2720:H2722)</f>
        <v>142.19</v>
      </c>
      <c r="I2723" s="213"/>
      <c r="J2723" s="215"/>
    </row>
    <row r="2724" spans="1:10" ht="15.75" customHeight="1" thickBot="1">
      <c r="A2724" s="216" t="str">
        <f>CONCATENATE("TOTAL DO ITEM DESON. - ",C2717)</f>
        <v>TOTAL DO ITEM DESON. - SEPLAG INC 10</v>
      </c>
      <c r="B2724" s="1147"/>
      <c r="C2724" s="1147"/>
      <c r="D2724" s="1147"/>
      <c r="E2724" s="1218"/>
      <c r="F2724" s="1219"/>
      <c r="G2724" s="1219"/>
      <c r="H2724" s="1219"/>
      <c r="I2724" s="229"/>
      <c r="J2724" s="219">
        <f>SUM(J2720:J2723)</f>
        <v>139.31</v>
      </c>
    </row>
    <row r="2725" spans="1:10" ht="15" customHeight="1" thickBot="1">
      <c r="A2725" s="235"/>
      <c r="B2725" s="1135"/>
      <c r="C2725" s="1135"/>
      <c r="D2725" s="1135"/>
      <c r="E2725" s="1135"/>
      <c r="F2725" s="1188"/>
      <c r="G2725" s="1188"/>
      <c r="H2725" s="1188"/>
      <c r="I2725" s="236"/>
      <c r="J2725" s="237"/>
    </row>
    <row r="2726" spans="1:10" ht="15" customHeight="1">
      <c r="A2726" s="230"/>
      <c r="B2726" s="1146"/>
      <c r="C2726" s="1146" t="s">
        <v>274</v>
      </c>
      <c r="D2726" s="1146" t="s">
        <v>337</v>
      </c>
      <c r="E2726" s="1152" t="s">
        <v>24</v>
      </c>
      <c r="F2726" s="1177" t="s">
        <v>18</v>
      </c>
      <c r="G2726" s="1178" t="s">
        <v>7015</v>
      </c>
      <c r="H2726" s="1179"/>
      <c r="I2726" s="200" t="s">
        <v>7016</v>
      </c>
      <c r="J2726" s="201"/>
    </row>
    <row r="2727" spans="1:10" ht="15" customHeight="1">
      <c r="A2727" s="203"/>
      <c r="B2727" s="432"/>
      <c r="C2727" s="432"/>
      <c r="D2727" s="432"/>
      <c r="E2727" s="430"/>
      <c r="F2727" s="1180"/>
      <c r="G2727" s="1180" t="s">
        <v>19</v>
      </c>
      <c r="H2727" s="1180" t="s">
        <v>20</v>
      </c>
      <c r="I2727" s="204" t="s">
        <v>19</v>
      </c>
      <c r="J2727" s="206" t="s">
        <v>20</v>
      </c>
    </row>
    <row r="2728" spans="1:10" ht="15" customHeight="1">
      <c r="A2728" s="233"/>
      <c r="B2728" s="161"/>
      <c r="C2728" s="161"/>
      <c r="D2728" s="161" t="s">
        <v>338</v>
      </c>
      <c r="E2728" s="247"/>
      <c r="F2728" s="248"/>
      <c r="G2728" s="248"/>
      <c r="H2728" s="248"/>
      <c r="I2728" s="214"/>
      <c r="J2728" s="227"/>
    </row>
    <row r="2729" spans="1:10" ht="15" customHeight="1">
      <c r="A2729" s="233" t="s">
        <v>39</v>
      </c>
      <c r="B2729" s="161"/>
      <c r="C2729" s="161">
        <v>3143</v>
      </c>
      <c r="D2729" s="161" t="str">
        <f>IF(B2729="SEPLAG",VLOOKUP(COMPOSIÇÕES!C2729,'MAPA COMPARATIVO'!A:B,2,FALSE),VLOOKUP(C2729,'NAO DESO'!A:B,2,0))</f>
        <v>FITA VEDA ROSCA EM ROLOS DE 18 MM X 25 M (L X C)</v>
      </c>
      <c r="E2729" s="247" t="s">
        <v>427</v>
      </c>
      <c r="F2729" s="248">
        <v>0.56000000000000005</v>
      </c>
      <c r="G2729" s="242">
        <f>IF(B2729="SEPLAG",VLOOKUP(CONCATENATE("MEDIANA - ",C2729),COTAÇÃO,5,FALSE),VLOOKUP($C2729,'NAO DESO'!$A:$D,4,))</f>
        <v>11.37</v>
      </c>
      <c r="H2729" s="242">
        <f>TRUNC(F2729*G2729,2)</f>
        <v>6.36</v>
      </c>
      <c r="I2729" s="54" t="str">
        <f>IF(B2729="SEPLAG",VLOOKUP(CONCATENATE("MEDIANA - ",C2729),COTAÇÃO,5,FALSE),VLOOKUP($C2729,DESON!$A:$D,4,))</f>
        <v>11,37</v>
      </c>
      <c r="J2729" s="209">
        <f>TRUNC(F2729*I2729,2)</f>
        <v>6.36</v>
      </c>
    </row>
    <row r="2730" spans="1:10" ht="15" customHeight="1">
      <c r="A2730" s="233" t="s">
        <v>39</v>
      </c>
      <c r="B2730" s="161" t="s">
        <v>14504</v>
      </c>
      <c r="C2730" s="161" t="s">
        <v>14354</v>
      </c>
      <c r="D2730" s="161" t="str">
        <f>IF(B2730="SEPLAG",VLOOKUP(COMPOSIÇÕES!C2730,'MAPA COMPARATIVO'!A:B,2,FALSE),VLOOKUP(C2730,'NAO DESO'!A:B,2,0))</f>
        <v>VALVULA DE SUCÇÃO 2.1/2", FORNECIMENTO E INSTALAÇÃO</v>
      </c>
      <c r="E2730" s="247" t="s">
        <v>32</v>
      </c>
      <c r="F2730" s="248">
        <v>1</v>
      </c>
      <c r="G2730" s="242">
        <f>IF(B2730="SEPLAG",VLOOKUP(CONCATENATE("MEDIANA - ",C2730),COTAÇÃO,5,FALSE),VLOOKUP($C2730,'NAO DESO'!$A:$D,4,))</f>
        <v>242.24</v>
      </c>
      <c r="H2730" s="242">
        <f>TRUNC(F2730*G2730,2)</f>
        <v>242.24</v>
      </c>
      <c r="I2730" s="54">
        <f>IF(B2730="SEPLAG",VLOOKUP(CONCATENATE("MEDIANA - ",C2730),COTAÇÃO,5,FALSE),VLOOKUP($C2730,DESON!$A:$D,4,))</f>
        <v>242.24</v>
      </c>
      <c r="J2730" s="209">
        <f>TRUNC(F2730*I2730,2)</f>
        <v>242.24</v>
      </c>
    </row>
    <row r="2731" spans="1:10" ht="26.25" customHeight="1">
      <c r="A2731" s="233" t="s">
        <v>245</v>
      </c>
      <c r="B2731" s="161"/>
      <c r="C2731" s="161">
        <v>88267</v>
      </c>
      <c r="D2731" s="161" t="str">
        <f>IF(B2731="SEPLAG",VLOOKUP(COMPOSIÇÕES!C2731,'MAPA COMPARATIVO'!A:B,2,FALSE),VLOOKUP(C2731,'NAO DESO'!A:B,2,0))</f>
        <v>ENCANADOR OU BOMBEIRO HIDRÁULICO COM ENCARGOS COMPLEMENTARES</v>
      </c>
      <c r="E2731" s="247" t="s">
        <v>16</v>
      </c>
      <c r="F2731" s="248">
        <v>0.8</v>
      </c>
      <c r="G2731" s="242" t="str">
        <f>IF(B2731="SEPLAG",VLOOKUP(CONCATENATE("MEDIANA - ",C2731),COTAÇÃO,5,FALSE),VLOOKUP($C2731,'NAO DESO'!$A:$D,4,))</f>
        <v>21,03</v>
      </c>
      <c r="H2731" s="242">
        <f>TRUNC(F2731*G2731,2)</f>
        <v>16.82</v>
      </c>
      <c r="I2731" s="54" t="str">
        <f>IF(B2731="SEPLAG",VLOOKUP(CONCATENATE("MEDIANA - ",C2731),COTAÇÃO,5,FALSE),VLOOKUP($C2731,DESON!$A:$D,4,))</f>
        <v>18,72</v>
      </c>
      <c r="J2731" s="209">
        <f>TRUNC(F2731*I2731,2)</f>
        <v>14.97</v>
      </c>
    </row>
    <row r="2732" spans="1:10" ht="26.25" customHeight="1">
      <c r="A2732" s="233" t="s">
        <v>245</v>
      </c>
      <c r="B2732" s="161"/>
      <c r="C2732" s="161">
        <v>88248</v>
      </c>
      <c r="D2732" s="161" t="str">
        <f>IF(B2732="SEPLAG",VLOOKUP(COMPOSIÇÕES!C2732,'MAPA COMPARATIVO'!A:B,2,FALSE),VLOOKUP(C2732,'NAO DESO'!A:B,2,0))</f>
        <v>AUXILIAR DE ENCANADOR OU BOMBEIRO HIDRÁULICO COM ENCARGOS COMPLEMENTARES</v>
      </c>
      <c r="E2732" s="247" t="s">
        <v>16</v>
      </c>
      <c r="F2732" s="248">
        <v>0.8</v>
      </c>
      <c r="G2732" s="242" t="str">
        <f>IF(B2732="SEPLAG",VLOOKUP(CONCATENATE("MEDIANA - ",C2732),COTAÇÃO,5,FALSE),VLOOKUP($C2732,'NAO DESO'!$A:$D,4,))</f>
        <v>17,33</v>
      </c>
      <c r="H2732" s="242">
        <f>TRUNC(F2732*G2732,2)</f>
        <v>13.86</v>
      </c>
      <c r="I2732" s="54" t="str">
        <f>IF(B2732="SEPLAG",VLOOKUP(CONCATENATE("MEDIANA - ",C2732),COTAÇÃO,5,FALSE),VLOOKUP($C2732,DESON!$A:$D,4,))</f>
        <v>15,54</v>
      </c>
      <c r="J2732" s="209">
        <f>TRUNC(F2732*I2732,2)</f>
        <v>12.43</v>
      </c>
    </row>
    <row r="2733" spans="1:10" ht="15" customHeight="1">
      <c r="A2733" s="210" t="str">
        <f>CONCATENATE("TOTAL DO ITEM NÃO DESON. - ",C2726)</f>
        <v>TOTAL DO ITEM NÃO DESON. - SEPLAG INC 11</v>
      </c>
      <c r="B2733" s="161"/>
      <c r="C2733" s="161"/>
      <c r="D2733" s="161"/>
      <c r="E2733" s="247"/>
      <c r="F2733" s="248"/>
      <c r="G2733" s="248"/>
      <c r="H2733" s="1189">
        <f>SUM(H2729:H2732)</f>
        <v>279.28000000000003</v>
      </c>
      <c r="I2733" s="213"/>
      <c r="J2733" s="215"/>
    </row>
    <row r="2734" spans="1:10" ht="15.75" customHeight="1" thickBot="1">
      <c r="A2734" s="216" t="str">
        <f>CONCATENATE("TOTAL DO ITEM DESON. - ",C2726)</f>
        <v>TOTAL DO ITEM DESON. - SEPLAG INC 11</v>
      </c>
      <c r="B2734" s="1147"/>
      <c r="C2734" s="1147"/>
      <c r="D2734" s="1147"/>
      <c r="E2734" s="1218"/>
      <c r="F2734" s="1219"/>
      <c r="G2734" s="1219"/>
      <c r="H2734" s="1219"/>
      <c r="I2734" s="229"/>
      <c r="J2734" s="219">
        <f>SUM(J2729:J2733)</f>
        <v>276.00000000000006</v>
      </c>
    </row>
    <row r="2735" spans="1:10" ht="15" customHeight="1" thickBot="1">
      <c r="A2735" s="235"/>
      <c r="B2735" s="1135"/>
      <c r="C2735" s="1135"/>
      <c r="D2735" s="1135"/>
      <c r="E2735" s="1135"/>
      <c r="F2735" s="1188"/>
      <c r="G2735" s="1188"/>
      <c r="H2735" s="1188"/>
      <c r="I2735" s="236"/>
      <c r="J2735" s="237"/>
    </row>
    <row r="2736" spans="1:10" ht="26.25" customHeight="1">
      <c r="A2736" s="230"/>
      <c r="B2736" s="1146"/>
      <c r="C2736" s="1146" t="s">
        <v>275</v>
      </c>
      <c r="D2736" s="1146" t="s">
        <v>339</v>
      </c>
      <c r="E2736" s="1152" t="s">
        <v>24</v>
      </c>
      <c r="F2736" s="1177" t="s">
        <v>18</v>
      </c>
      <c r="G2736" s="1178" t="s">
        <v>7015</v>
      </c>
      <c r="H2736" s="1179"/>
      <c r="I2736" s="200" t="s">
        <v>7016</v>
      </c>
      <c r="J2736" s="201"/>
    </row>
    <row r="2737" spans="1:10" ht="15" customHeight="1">
      <c r="A2737" s="203"/>
      <c r="B2737" s="432"/>
      <c r="C2737" s="432"/>
      <c r="D2737" s="432"/>
      <c r="E2737" s="430"/>
      <c r="F2737" s="1180"/>
      <c r="G2737" s="1180" t="s">
        <v>19</v>
      </c>
      <c r="H2737" s="1180" t="s">
        <v>20</v>
      </c>
      <c r="I2737" s="204" t="s">
        <v>19</v>
      </c>
      <c r="J2737" s="206" t="s">
        <v>20</v>
      </c>
    </row>
    <row r="2738" spans="1:10" ht="15" customHeight="1">
      <c r="A2738" s="233"/>
      <c r="B2738" s="161"/>
      <c r="C2738" s="161"/>
      <c r="D2738" s="161" t="s">
        <v>338</v>
      </c>
      <c r="E2738" s="247"/>
      <c r="F2738" s="248"/>
      <c r="G2738" s="248"/>
      <c r="H2738" s="248"/>
      <c r="I2738" s="214"/>
      <c r="J2738" s="227"/>
    </row>
    <row r="2739" spans="1:10" ht="15" customHeight="1">
      <c r="A2739" s="233" t="s">
        <v>39</v>
      </c>
      <c r="B2739" s="161"/>
      <c r="C2739" s="161">
        <v>3143</v>
      </c>
      <c r="D2739" s="161" t="str">
        <f>IF(B2739="SEPLAG",VLOOKUP(COMPOSIÇÕES!C2739,'MAPA COMPARATIVO'!A:B,2,FALSE),VLOOKUP(C2739,'NAO DESO'!A:B,2,0))</f>
        <v>FITA VEDA ROSCA EM ROLOS DE 18 MM X 25 M (L X C)</v>
      </c>
      <c r="E2739" s="247" t="s">
        <v>427</v>
      </c>
      <c r="F2739" s="248">
        <v>0.56000000000000005</v>
      </c>
      <c r="G2739" s="242">
        <f>IF(B2739="SEPLAG",VLOOKUP(CONCATENATE("MEDIANA - ",C2739),COTAÇÃO,5,FALSE),VLOOKUP($C2739,'NAO DESO'!$A:$D,4,))</f>
        <v>11.37</v>
      </c>
      <c r="H2739" s="242">
        <f>TRUNC(F2739*G2739,2)</f>
        <v>6.36</v>
      </c>
      <c r="I2739" s="54" t="str">
        <f>IF(B2739="SEPLAG",VLOOKUP(CONCATENATE("MEDIANA - ",C2739),COTAÇÃO,5,FALSE),VLOOKUP($C2739,DESON!$A:$D,4,))</f>
        <v>11,37</v>
      </c>
      <c r="J2739" s="209">
        <f>TRUNC(F2739*I2739,2)</f>
        <v>6.36</v>
      </c>
    </row>
    <row r="2740" spans="1:10" ht="15" customHeight="1">
      <c r="A2740" s="233" t="s">
        <v>39</v>
      </c>
      <c r="B2740" s="161" t="s">
        <v>14504</v>
      </c>
      <c r="C2740" s="161" t="s">
        <v>14355</v>
      </c>
      <c r="D2740" s="161" t="str">
        <f>IF(B2740="SEPLAG",VLOOKUP(COMPOSIÇÕES!C2740,'MAPA COMPARATIVO'!A:B,2,FALSE),VLOOKUP(C2740,'NAO DESO'!A:B,2,0))</f>
        <v>REGISTRO DE GAVETA 2.1/2" COM HASTE ASCENDENTE DE BRONZE</v>
      </c>
      <c r="E2740" s="247" t="s">
        <v>32</v>
      </c>
      <c r="F2740" s="248">
        <v>1</v>
      </c>
      <c r="G2740" s="242">
        <f>IF(B2740="SEPLAG",VLOOKUP(CONCATENATE("MEDIANA - ",C2740),COTAÇÃO,5,FALSE),VLOOKUP($C2740,'NAO DESO'!$A:$D,4,))</f>
        <v>302.25</v>
      </c>
      <c r="H2740" s="242">
        <f>TRUNC(F2740*G2740,2)</f>
        <v>302.25</v>
      </c>
      <c r="I2740" s="54">
        <f>IF(B2740="SEPLAG",VLOOKUP(CONCATENATE("MEDIANA - ",C2740),COTAÇÃO,5,FALSE),VLOOKUP($C2740,DESON!$A:$D,4,))</f>
        <v>302.25</v>
      </c>
      <c r="J2740" s="209">
        <f>TRUNC(F2740*I2740,2)</f>
        <v>302.25</v>
      </c>
    </row>
    <row r="2741" spans="1:10" ht="26.25" customHeight="1">
      <c r="A2741" s="233" t="s">
        <v>245</v>
      </c>
      <c r="B2741" s="161"/>
      <c r="C2741" s="161">
        <v>88267</v>
      </c>
      <c r="D2741" s="161" t="str">
        <f>IF(B2741="SEPLAG",VLOOKUP(COMPOSIÇÕES!C2741,'MAPA COMPARATIVO'!A:B,2,FALSE),VLOOKUP(C2741,'NAO DESO'!A:B,2,0))</f>
        <v>ENCANADOR OU BOMBEIRO HIDRÁULICO COM ENCARGOS COMPLEMENTARES</v>
      </c>
      <c r="E2741" s="247" t="s">
        <v>16</v>
      </c>
      <c r="F2741" s="248">
        <v>0.8</v>
      </c>
      <c r="G2741" s="242" t="str">
        <f>IF(B2741="SEPLAG",VLOOKUP(CONCATENATE("MEDIANA - ",C2741),COTAÇÃO,5,FALSE),VLOOKUP($C2741,'NAO DESO'!$A:$D,4,))</f>
        <v>21,03</v>
      </c>
      <c r="H2741" s="242">
        <f>TRUNC(F2741*G2741,2)</f>
        <v>16.82</v>
      </c>
      <c r="I2741" s="54" t="str">
        <f>IF(B2741="SEPLAG",VLOOKUP(CONCATENATE("MEDIANA - ",C2741),COTAÇÃO,5,FALSE),VLOOKUP($C2741,DESON!$A:$D,4,))</f>
        <v>18,72</v>
      </c>
      <c r="J2741" s="209">
        <f>TRUNC(F2741*I2741,2)</f>
        <v>14.97</v>
      </c>
    </row>
    <row r="2742" spans="1:10" ht="26.25" customHeight="1">
      <c r="A2742" s="233" t="s">
        <v>245</v>
      </c>
      <c r="B2742" s="161"/>
      <c r="C2742" s="161">
        <v>88248</v>
      </c>
      <c r="D2742" s="161" t="str">
        <f>IF(B2742="SEPLAG",VLOOKUP(COMPOSIÇÕES!C2742,'MAPA COMPARATIVO'!A:B,2,FALSE),VLOOKUP(C2742,'NAO DESO'!A:B,2,0))</f>
        <v>AUXILIAR DE ENCANADOR OU BOMBEIRO HIDRÁULICO COM ENCARGOS COMPLEMENTARES</v>
      </c>
      <c r="E2742" s="247" t="s">
        <v>16</v>
      </c>
      <c r="F2742" s="248">
        <v>0.8</v>
      </c>
      <c r="G2742" s="242" t="str">
        <f>IF(B2742="SEPLAG",VLOOKUP(CONCATENATE("MEDIANA - ",C2742),COTAÇÃO,5,FALSE),VLOOKUP($C2742,'NAO DESO'!$A:$D,4,))</f>
        <v>17,33</v>
      </c>
      <c r="H2742" s="242">
        <f>TRUNC(F2742*G2742,2)</f>
        <v>13.86</v>
      </c>
      <c r="I2742" s="54" t="str">
        <f>IF(B2742="SEPLAG",VLOOKUP(CONCATENATE("MEDIANA - ",C2742),COTAÇÃO,5,FALSE),VLOOKUP($C2742,DESON!$A:$D,4,))</f>
        <v>15,54</v>
      </c>
      <c r="J2742" s="209">
        <f>TRUNC(F2742*I2742,2)</f>
        <v>12.43</v>
      </c>
    </row>
    <row r="2743" spans="1:10" ht="15" customHeight="1">
      <c r="A2743" s="210" t="str">
        <f>CONCATENATE("TOTAL DO ITEM NÃO DESON. - ",C2736)</f>
        <v>TOTAL DO ITEM NÃO DESON. - SEPLAG INC 12</v>
      </c>
      <c r="B2743" s="161"/>
      <c r="C2743" s="161"/>
      <c r="D2743" s="161"/>
      <c r="E2743" s="247"/>
      <c r="F2743" s="248"/>
      <c r="G2743" s="248"/>
      <c r="H2743" s="1189">
        <f>SUM(H2739:H2742)</f>
        <v>339.29</v>
      </c>
      <c r="I2743" s="213"/>
      <c r="J2743" s="215"/>
    </row>
    <row r="2744" spans="1:10" ht="15.75" customHeight="1" thickBot="1">
      <c r="A2744" s="216" t="str">
        <f>CONCATENATE("TOTAL DO ITEM DESON. - ",C2736)</f>
        <v>TOTAL DO ITEM DESON. - SEPLAG INC 12</v>
      </c>
      <c r="B2744" s="1147"/>
      <c r="C2744" s="1147"/>
      <c r="D2744" s="1147"/>
      <c r="E2744" s="1218"/>
      <c r="F2744" s="1219"/>
      <c r="G2744" s="1219"/>
      <c r="H2744" s="1219"/>
      <c r="I2744" s="229"/>
      <c r="J2744" s="219">
        <f>SUM(J2739:J2743)</f>
        <v>336.01000000000005</v>
      </c>
    </row>
    <row r="2745" spans="1:10" ht="14.25" customHeight="1" thickBot="1">
      <c r="A2745" s="235"/>
      <c r="B2745" s="1135"/>
      <c r="C2745" s="1135"/>
      <c r="D2745" s="1135"/>
      <c r="E2745" s="1135"/>
      <c r="F2745" s="1188"/>
      <c r="G2745" s="1188"/>
      <c r="H2745" s="1188"/>
      <c r="I2745" s="236"/>
      <c r="J2745" s="237"/>
    </row>
    <row r="2746" spans="1:10" ht="26.25" customHeight="1">
      <c r="A2746" s="230"/>
      <c r="B2746" s="1146"/>
      <c r="C2746" s="1146" t="s">
        <v>276</v>
      </c>
      <c r="D2746" s="1146" t="s">
        <v>7670</v>
      </c>
      <c r="E2746" s="1152" t="s">
        <v>24</v>
      </c>
      <c r="F2746" s="1177" t="s">
        <v>18</v>
      </c>
      <c r="G2746" s="1178" t="s">
        <v>7015</v>
      </c>
      <c r="H2746" s="1179"/>
      <c r="I2746" s="200" t="s">
        <v>7016</v>
      </c>
      <c r="J2746" s="201"/>
    </row>
    <row r="2747" spans="1:10" ht="15" customHeight="1">
      <c r="A2747" s="203"/>
      <c r="B2747" s="432"/>
      <c r="C2747" s="432"/>
      <c r="D2747" s="432"/>
      <c r="E2747" s="430"/>
      <c r="F2747" s="1180"/>
      <c r="G2747" s="1180" t="s">
        <v>19</v>
      </c>
      <c r="H2747" s="1180" t="s">
        <v>20</v>
      </c>
      <c r="I2747" s="204" t="s">
        <v>19</v>
      </c>
      <c r="J2747" s="206" t="s">
        <v>20</v>
      </c>
    </row>
    <row r="2748" spans="1:10" ht="15" customHeight="1">
      <c r="A2748" s="233"/>
      <c r="B2748" s="161"/>
      <c r="C2748" s="161"/>
      <c r="D2748" s="161" t="s">
        <v>111</v>
      </c>
      <c r="E2748" s="247"/>
      <c r="F2748" s="248"/>
      <c r="G2748" s="248"/>
      <c r="H2748" s="248"/>
      <c r="I2748" s="214"/>
      <c r="J2748" s="227"/>
    </row>
    <row r="2749" spans="1:10" ht="26.25" customHeight="1">
      <c r="A2749" s="233" t="s">
        <v>39</v>
      </c>
      <c r="B2749" s="161" t="s">
        <v>14504</v>
      </c>
      <c r="C2749" s="161" t="s">
        <v>14356</v>
      </c>
      <c r="D2749" s="161" t="str">
        <f>IF(B2749="SEPLAG",VLOOKUP(COMPOSIÇÕES!C2749,'MAPA COMPARATIVO'!A:B,2,FALSE),VLOOKUP(C2749,'NAO DESO'!A:B,2,0))</f>
        <v>PLACA FOTOLUMINESCENTE (TIPO : E1 FORMATO: QUADRADO DIMENSÃO: 200MMX200MM INFORMAÇÃO: PICTOGRAMA SEM TEXTO - ALARME SONORO)</v>
      </c>
      <c r="E2749" s="247" t="s">
        <v>32</v>
      </c>
      <c r="F2749" s="248">
        <v>1</v>
      </c>
      <c r="G2749" s="242">
        <f>IF(B2749="SEPLAG",VLOOKUP(CONCATENATE("MEDIANA - ",C2749),COTAÇÃO,5,FALSE),VLOOKUP($C2749,'NAO DESO'!$A:$D,4,))</f>
        <v>10.46</v>
      </c>
      <c r="H2749" s="242">
        <f>TRUNC(F2749*G2749,2)</f>
        <v>10.46</v>
      </c>
      <c r="I2749" s="54">
        <f>IF(B2749="SEPLAG",VLOOKUP(CONCATENATE("MEDIANA - ",C2749),COTAÇÃO,5,FALSE),VLOOKUP($C2749,DESON!$A:$D,4,))</f>
        <v>10.46</v>
      </c>
      <c r="J2749" s="209">
        <f>TRUNC(F2749*I2749,2)</f>
        <v>10.46</v>
      </c>
    </row>
    <row r="2750" spans="1:10" ht="15" customHeight="1">
      <c r="A2750" s="233" t="s">
        <v>245</v>
      </c>
      <c r="B2750" s="161"/>
      <c r="C2750" s="161">
        <v>88309</v>
      </c>
      <c r="D2750" s="161" t="str">
        <f>IF(B2750="SEPLAG",VLOOKUP(COMPOSIÇÕES!C2750,'MAPA COMPARATIVO'!A:B,2,FALSE),VLOOKUP(C2750,'NAO DESO'!A:B,2,0))</f>
        <v>PEDREIRO COM ENCARGOS COMPLEMENTARES</v>
      </c>
      <c r="E2750" s="247" t="s">
        <v>16</v>
      </c>
      <c r="F2750" s="248">
        <v>0.5</v>
      </c>
      <c r="G2750" s="242" t="str">
        <f>IF(B2750="SEPLAG",VLOOKUP(CONCATENATE("MEDIANA - ",C2750),COTAÇÃO,5,FALSE),VLOOKUP($C2750,'NAO DESO'!$A:$D,4,))</f>
        <v>21,10</v>
      </c>
      <c r="H2750" s="242">
        <f>TRUNC(F2750*G2750,2)</f>
        <v>10.55</v>
      </c>
      <c r="I2750" s="54" t="str">
        <f>IF(B2750="SEPLAG",VLOOKUP(CONCATENATE("MEDIANA - ",C2750),COTAÇÃO,5,FALSE),VLOOKUP($C2750,DESON!$A:$D,4,))</f>
        <v>18,86</v>
      </c>
      <c r="J2750" s="209">
        <f>TRUNC(F2750*I2750,2)</f>
        <v>9.43</v>
      </c>
    </row>
    <row r="2751" spans="1:10" ht="15" customHeight="1">
      <c r="A2751" s="210" t="str">
        <f>CONCATENATE("TOTAL DO ITEM NÃO DESON. - ",C2746)</f>
        <v>TOTAL DO ITEM NÃO DESON. - SEPLAG INC 13</v>
      </c>
      <c r="B2751" s="161"/>
      <c r="C2751" s="161"/>
      <c r="D2751" s="161"/>
      <c r="E2751" s="247"/>
      <c r="F2751" s="248"/>
      <c r="G2751" s="248"/>
      <c r="H2751" s="1189">
        <f>SUM(H2749:H2750)</f>
        <v>21.01</v>
      </c>
      <c r="I2751" s="213"/>
      <c r="J2751" s="215"/>
    </row>
    <row r="2752" spans="1:10" ht="15.75" customHeight="1" thickBot="1">
      <c r="A2752" s="216" t="str">
        <f>CONCATENATE("TOTAL DO ITEM DESON. - ",C2746)</f>
        <v>TOTAL DO ITEM DESON. - SEPLAG INC 13</v>
      </c>
      <c r="B2752" s="1147"/>
      <c r="C2752" s="1147"/>
      <c r="D2752" s="1147"/>
      <c r="E2752" s="1218"/>
      <c r="F2752" s="1219"/>
      <c r="G2752" s="1219"/>
      <c r="H2752" s="1219"/>
      <c r="I2752" s="229"/>
      <c r="J2752" s="219">
        <f>SUM(J2749:J2751)</f>
        <v>19.89</v>
      </c>
    </row>
    <row r="2753" spans="1:10" ht="15" customHeight="1" thickBot="1">
      <c r="A2753" s="235"/>
      <c r="B2753" s="1135"/>
      <c r="C2753" s="1135"/>
      <c r="D2753" s="1135"/>
      <c r="E2753" s="1135"/>
      <c r="F2753" s="1188"/>
      <c r="G2753" s="1188"/>
      <c r="H2753" s="1188"/>
      <c r="I2753" s="236"/>
      <c r="J2753" s="237"/>
    </row>
    <row r="2754" spans="1:10" ht="26.25" customHeight="1">
      <c r="A2754" s="230"/>
      <c r="B2754" s="1146"/>
      <c r="C2754" s="1146" t="s">
        <v>277</v>
      </c>
      <c r="D2754" s="1146" t="s">
        <v>7671</v>
      </c>
      <c r="E2754" s="1152" t="s">
        <v>24</v>
      </c>
      <c r="F2754" s="1177" t="s">
        <v>18</v>
      </c>
      <c r="G2754" s="1178" t="s">
        <v>7015</v>
      </c>
      <c r="H2754" s="1179"/>
      <c r="I2754" s="200" t="s">
        <v>7016</v>
      </c>
      <c r="J2754" s="201"/>
    </row>
    <row r="2755" spans="1:10" ht="15" customHeight="1">
      <c r="A2755" s="203"/>
      <c r="B2755" s="432"/>
      <c r="C2755" s="432"/>
      <c r="D2755" s="432"/>
      <c r="E2755" s="430"/>
      <c r="F2755" s="1180"/>
      <c r="G2755" s="1180" t="s">
        <v>19</v>
      </c>
      <c r="H2755" s="1180" t="s">
        <v>20</v>
      </c>
      <c r="I2755" s="204" t="s">
        <v>19</v>
      </c>
      <c r="J2755" s="206" t="s">
        <v>20</v>
      </c>
    </row>
    <row r="2756" spans="1:10" ht="15" customHeight="1">
      <c r="A2756" s="233"/>
      <c r="B2756" s="161"/>
      <c r="C2756" s="161"/>
      <c r="D2756" s="161" t="s">
        <v>111</v>
      </c>
      <c r="E2756" s="247"/>
      <c r="F2756" s="248"/>
      <c r="G2756" s="248"/>
      <c r="H2756" s="248"/>
      <c r="I2756" s="214"/>
      <c r="J2756" s="227"/>
    </row>
    <row r="2757" spans="1:10" ht="26.25" customHeight="1">
      <c r="A2757" s="233" t="s">
        <v>39</v>
      </c>
      <c r="B2757" s="161" t="s">
        <v>14504</v>
      </c>
      <c r="C2757" s="161" t="s">
        <v>14357</v>
      </c>
      <c r="D2757" s="161" t="str">
        <f>IF(B2757="SEPLAG",VLOOKUP(COMPOSIÇÕES!C2757,'MAPA COMPARATIVO'!A:B,2,FALSE),VLOOKUP(C2757,'NAO DESO'!A:B,2,0))</f>
        <v>PLACA FOTOLUMINESCENTE (TIPO : E2 FORMATO: QUADRADO DIMENSÃO: 125MX250MM INFORMAÇÃO: PICTOGRAMA SEM TEXTO - ALARME INCÊNDIO)</v>
      </c>
      <c r="E2757" s="247" t="s">
        <v>32</v>
      </c>
      <c r="F2757" s="248">
        <v>1</v>
      </c>
      <c r="G2757" s="242">
        <f>IF(B2757="SEPLAG",VLOOKUP(CONCATENATE("MEDIANA - ",C2757),COTAÇÃO,5,FALSE),VLOOKUP($C2757,'NAO DESO'!$A:$D,4,))</f>
        <v>10.8</v>
      </c>
      <c r="H2757" s="242">
        <f>TRUNC(F2757*G2757,2)</f>
        <v>10.8</v>
      </c>
      <c r="I2757" s="54">
        <f>IF(B2757="SEPLAG",VLOOKUP(CONCATENATE("MEDIANA - ",C2757),COTAÇÃO,5,FALSE),VLOOKUP($C2757,DESON!$A:$D,4,))</f>
        <v>10.8</v>
      </c>
      <c r="J2757" s="209">
        <f>TRUNC(F2757*I2757,2)</f>
        <v>10.8</v>
      </c>
    </row>
    <row r="2758" spans="1:10" ht="15" customHeight="1">
      <c r="A2758" s="233" t="s">
        <v>245</v>
      </c>
      <c r="B2758" s="161"/>
      <c r="C2758" s="161">
        <v>88309</v>
      </c>
      <c r="D2758" s="161" t="str">
        <f>IF(B2758="SEPLAG",VLOOKUP(COMPOSIÇÕES!C2758,'MAPA COMPARATIVO'!A:B,2,FALSE),VLOOKUP(C2758,'NAO DESO'!A:B,2,0))</f>
        <v>PEDREIRO COM ENCARGOS COMPLEMENTARES</v>
      </c>
      <c r="E2758" s="247" t="s">
        <v>16</v>
      </c>
      <c r="F2758" s="248">
        <v>0.5</v>
      </c>
      <c r="G2758" s="242" t="str">
        <f>IF(B2758="SEPLAG",VLOOKUP(CONCATENATE("MEDIANA - ",C2758),COTAÇÃO,5,FALSE),VLOOKUP($C2758,'NAO DESO'!$A:$D,4,))</f>
        <v>21,10</v>
      </c>
      <c r="H2758" s="242">
        <f>TRUNC(F2758*G2758,2)</f>
        <v>10.55</v>
      </c>
      <c r="I2758" s="54" t="str">
        <f>IF(B2758="SEPLAG",VLOOKUP(CONCATENATE("MEDIANA - ",C2758),COTAÇÃO,5,FALSE),VLOOKUP($C2758,DESON!$A:$D,4,))</f>
        <v>18,86</v>
      </c>
      <c r="J2758" s="209">
        <f>TRUNC(F2758*I2758,2)</f>
        <v>9.43</v>
      </c>
    </row>
    <row r="2759" spans="1:10" ht="15" customHeight="1">
      <c r="A2759" s="210" t="str">
        <f>CONCATENATE("TOTAL DO ITEM NÃO DESON. - ",C2754)</f>
        <v>TOTAL DO ITEM NÃO DESON. - SEPLAG INC 14</v>
      </c>
      <c r="B2759" s="161"/>
      <c r="C2759" s="161"/>
      <c r="D2759" s="161"/>
      <c r="E2759" s="247"/>
      <c r="F2759" s="248"/>
      <c r="G2759" s="248"/>
      <c r="H2759" s="1189">
        <f>SUM(H2757:H2758)</f>
        <v>21.35</v>
      </c>
      <c r="I2759" s="213"/>
      <c r="J2759" s="215"/>
    </row>
    <row r="2760" spans="1:10" ht="15.75" customHeight="1" thickBot="1">
      <c r="A2760" s="216" t="str">
        <f>CONCATENATE("TOTAL DO ITEM DESON. - ",C2754)</f>
        <v>TOTAL DO ITEM DESON. - SEPLAG INC 14</v>
      </c>
      <c r="B2760" s="1147"/>
      <c r="C2760" s="1147"/>
      <c r="D2760" s="1147"/>
      <c r="E2760" s="1218"/>
      <c r="F2760" s="1219"/>
      <c r="G2760" s="1219"/>
      <c r="H2760" s="1219"/>
      <c r="I2760" s="229"/>
      <c r="J2760" s="219">
        <f>SUM(J2757:J2759)</f>
        <v>20.23</v>
      </c>
    </row>
    <row r="2761" spans="1:10" ht="15" customHeight="1" thickBot="1">
      <c r="A2761" s="235"/>
      <c r="B2761" s="1135"/>
      <c r="C2761" s="1135"/>
      <c r="D2761" s="1135"/>
      <c r="E2761" s="1135"/>
      <c r="F2761" s="1188"/>
      <c r="G2761" s="1188"/>
      <c r="H2761" s="1188"/>
      <c r="I2761" s="236"/>
      <c r="J2761" s="237"/>
    </row>
    <row r="2762" spans="1:10" ht="26.25" customHeight="1">
      <c r="A2762" s="230"/>
      <c r="B2762" s="1146"/>
      <c r="C2762" s="1146" t="s">
        <v>278</v>
      </c>
      <c r="D2762" s="1146" t="s">
        <v>7672</v>
      </c>
      <c r="E2762" s="1152" t="s">
        <v>24</v>
      </c>
      <c r="F2762" s="1177" t="s">
        <v>18</v>
      </c>
      <c r="G2762" s="1178" t="s">
        <v>7015</v>
      </c>
      <c r="H2762" s="1179"/>
      <c r="I2762" s="200" t="s">
        <v>7016</v>
      </c>
      <c r="J2762" s="201"/>
    </row>
    <row r="2763" spans="1:10" ht="15" customHeight="1">
      <c r="A2763" s="203"/>
      <c r="B2763" s="432"/>
      <c r="C2763" s="432"/>
      <c r="D2763" s="432"/>
      <c r="E2763" s="430"/>
      <c r="F2763" s="1180"/>
      <c r="G2763" s="1180" t="s">
        <v>19</v>
      </c>
      <c r="H2763" s="1180" t="s">
        <v>20</v>
      </c>
      <c r="I2763" s="204" t="s">
        <v>19</v>
      </c>
      <c r="J2763" s="206" t="s">
        <v>20</v>
      </c>
    </row>
    <row r="2764" spans="1:10" ht="15" customHeight="1">
      <c r="A2764" s="233"/>
      <c r="B2764" s="161"/>
      <c r="C2764" s="161"/>
      <c r="D2764" s="161" t="s">
        <v>111</v>
      </c>
      <c r="E2764" s="247"/>
      <c r="F2764" s="248"/>
      <c r="G2764" s="248"/>
      <c r="H2764" s="248"/>
      <c r="I2764" s="214"/>
      <c r="J2764" s="227"/>
    </row>
    <row r="2765" spans="1:10" ht="39" customHeight="1">
      <c r="A2765" s="233" t="s">
        <v>39</v>
      </c>
      <c r="B2765" s="161" t="s">
        <v>14504</v>
      </c>
      <c r="C2765" s="161" t="s">
        <v>14358</v>
      </c>
      <c r="D2765" s="161" t="str">
        <f>IF(B2765="SEPLAG",VLOOKUP(COMPOSIÇÕES!C2765,'MAPA COMPARATIVO'!A:B,2,FALSE),VLOOKUP(C2765,'NAO DESO'!A:B,2,0))</f>
        <v>PLACA FOTOLUMINESCENTE (TIPO : E3 FORMATO: QUADRADO DIMENSÃO: 125MMX1250MM INFORMAÇÃO: PICTOGRAMA SEM TEXTO - BOMBA DE INCÊNDIO)</v>
      </c>
      <c r="E2765" s="247" t="s">
        <v>32</v>
      </c>
      <c r="F2765" s="248">
        <v>1</v>
      </c>
      <c r="G2765" s="242">
        <f>IF(B2765="SEPLAG",VLOOKUP(CONCATENATE("MEDIANA - ",C2765),COTAÇÃO,5,FALSE),VLOOKUP($C2765,'NAO DESO'!$A:$D,4,))</f>
        <v>7.93</v>
      </c>
      <c r="H2765" s="242">
        <f>TRUNC(F2765*G2765,2)</f>
        <v>7.93</v>
      </c>
      <c r="I2765" s="54">
        <f>IF(B2765="SEPLAG",VLOOKUP(CONCATENATE("MEDIANA - ",C2765),COTAÇÃO,5,FALSE),VLOOKUP($C2765,DESON!$A:$D,4,))</f>
        <v>7.93</v>
      </c>
      <c r="J2765" s="209">
        <f>TRUNC(F2765*I2765,2)</f>
        <v>7.93</v>
      </c>
    </row>
    <row r="2766" spans="1:10" ht="15" customHeight="1">
      <c r="A2766" s="233" t="s">
        <v>245</v>
      </c>
      <c r="B2766" s="161"/>
      <c r="C2766" s="161">
        <v>88309</v>
      </c>
      <c r="D2766" s="161" t="str">
        <f>IF(B2766="SEPLAG",VLOOKUP(COMPOSIÇÕES!C2766,'MAPA COMPARATIVO'!A:B,2,FALSE),VLOOKUP(C2766,'NAO DESO'!A:B,2,0))</f>
        <v>PEDREIRO COM ENCARGOS COMPLEMENTARES</v>
      </c>
      <c r="E2766" s="247" t="s">
        <v>16</v>
      </c>
      <c r="F2766" s="248">
        <v>0.5</v>
      </c>
      <c r="G2766" s="242" t="str">
        <f>IF(B2766="SEPLAG",VLOOKUP(CONCATENATE("MEDIANA - ",C2766),COTAÇÃO,5,FALSE),VLOOKUP($C2766,'NAO DESO'!$A:$D,4,))</f>
        <v>21,10</v>
      </c>
      <c r="H2766" s="242">
        <f>TRUNC(F2766*G2766,2)</f>
        <v>10.55</v>
      </c>
      <c r="I2766" s="54" t="str">
        <f>IF(B2766="SEPLAG",VLOOKUP(CONCATENATE("MEDIANA - ",C2766),COTAÇÃO,5,FALSE),VLOOKUP($C2766,DESON!$A:$D,4,))</f>
        <v>18,86</v>
      </c>
      <c r="J2766" s="209">
        <f>TRUNC(F2766*I2766,2)</f>
        <v>9.43</v>
      </c>
    </row>
    <row r="2767" spans="1:10" ht="15" customHeight="1">
      <c r="A2767" s="210" t="str">
        <f>CONCATENATE("TOTAL DO ITEM NÃO DESON. - ",C2762)</f>
        <v>TOTAL DO ITEM NÃO DESON. - SEPLAG INC 15</v>
      </c>
      <c r="B2767" s="161"/>
      <c r="C2767" s="161"/>
      <c r="D2767" s="161"/>
      <c r="E2767" s="247"/>
      <c r="F2767" s="248"/>
      <c r="G2767" s="248"/>
      <c r="H2767" s="1189">
        <f>SUM(H2765:H2766)</f>
        <v>18.48</v>
      </c>
      <c r="I2767" s="213"/>
      <c r="J2767" s="215"/>
    </row>
    <row r="2768" spans="1:10" ht="15.75" customHeight="1" thickBot="1">
      <c r="A2768" s="216" t="str">
        <f>CONCATENATE("TOTAL DO ITEM DESON. - ",C2762)</f>
        <v>TOTAL DO ITEM DESON. - SEPLAG INC 15</v>
      </c>
      <c r="B2768" s="1147"/>
      <c r="C2768" s="1147"/>
      <c r="D2768" s="1147"/>
      <c r="E2768" s="1218"/>
      <c r="F2768" s="1219"/>
      <c r="G2768" s="1219"/>
      <c r="H2768" s="1219"/>
      <c r="I2768" s="229"/>
      <c r="J2768" s="219">
        <f>SUM(J2765:J2767)</f>
        <v>17.36</v>
      </c>
    </row>
    <row r="2769" spans="1:10" ht="15" customHeight="1" thickBot="1">
      <c r="A2769" s="235"/>
      <c r="B2769" s="1135"/>
      <c r="C2769" s="1135"/>
      <c r="D2769" s="1135"/>
      <c r="E2769" s="1135"/>
      <c r="F2769" s="1188"/>
      <c r="G2769" s="1188"/>
      <c r="H2769" s="1188"/>
      <c r="I2769" s="236"/>
      <c r="J2769" s="237"/>
    </row>
    <row r="2770" spans="1:10" ht="39" customHeight="1">
      <c r="A2770" s="230"/>
      <c r="B2770" s="1146"/>
      <c r="C2770" s="1146" t="s">
        <v>279</v>
      </c>
      <c r="D2770" s="1146" t="s">
        <v>7673</v>
      </c>
      <c r="E2770" s="1152" t="s">
        <v>24</v>
      </c>
      <c r="F2770" s="1177" t="s">
        <v>18</v>
      </c>
      <c r="G2770" s="1178" t="s">
        <v>7015</v>
      </c>
      <c r="H2770" s="1179"/>
      <c r="I2770" s="200" t="s">
        <v>7016</v>
      </c>
      <c r="J2770" s="201"/>
    </row>
    <row r="2771" spans="1:10" ht="15" customHeight="1">
      <c r="A2771" s="203"/>
      <c r="B2771" s="432"/>
      <c r="C2771" s="432"/>
      <c r="D2771" s="432"/>
      <c r="E2771" s="430"/>
      <c r="F2771" s="1180"/>
      <c r="G2771" s="1180" t="s">
        <v>19</v>
      </c>
      <c r="H2771" s="1180" t="s">
        <v>20</v>
      </c>
      <c r="I2771" s="204" t="s">
        <v>19</v>
      </c>
      <c r="J2771" s="206" t="s">
        <v>20</v>
      </c>
    </row>
    <row r="2772" spans="1:10" ht="15" customHeight="1">
      <c r="A2772" s="233"/>
      <c r="B2772" s="161"/>
      <c r="C2772" s="161"/>
      <c r="D2772" s="161" t="s">
        <v>112</v>
      </c>
      <c r="E2772" s="247"/>
      <c r="F2772" s="248"/>
      <c r="G2772" s="248"/>
      <c r="H2772" s="248"/>
      <c r="I2772" s="214"/>
      <c r="J2772" s="227"/>
    </row>
    <row r="2773" spans="1:10" ht="39" customHeight="1">
      <c r="A2773" s="233" t="s">
        <v>39</v>
      </c>
      <c r="B2773" s="161" t="s">
        <v>14504</v>
      </c>
      <c r="C2773" s="161" t="s">
        <v>14359</v>
      </c>
      <c r="D2773" s="161" t="str">
        <f>IF(B2773="SEPLAG",VLOOKUP(COMPOSIÇÕES!C2773,'MAPA COMPARATIVO'!A:B,2,FALSE),VLOOKUP(C2773,'NAO DESO'!A:B,2,0))</f>
        <v xml:space="preserve">PLACA FOTOLUMINESCENTE (TIPO : E5|FORMATO: QUADRADA DIMENSÃO: 300MMX300MM INFORMAÇÃO: PICTOGRAMA SEM TEXTO - EXTINTOR DE INCÊNDIO </v>
      </c>
      <c r="E2773" s="247" t="s">
        <v>32</v>
      </c>
      <c r="F2773" s="248">
        <v>1</v>
      </c>
      <c r="G2773" s="242">
        <f>IF(B2773="SEPLAG",VLOOKUP(CONCATENATE("MEDIANA - ",C2773),COTAÇÃO,5,FALSE),VLOOKUP($C2773,'NAO DESO'!$A:$D,4,))</f>
        <v>9.7100000000000009</v>
      </c>
      <c r="H2773" s="242">
        <f>TRUNC(F2773*G2773,2)</f>
        <v>9.7100000000000009</v>
      </c>
      <c r="I2773" s="54">
        <f>IF(B2773="SEPLAG",VLOOKUP(CONCATENATE("MEDIANA - ",C2773),COTAÇÃO,5,FALSE),VLOOKUP($C2773,DESON!$A:$D,4,))</f>
        <v>9.7100000000000009</v>
      </c>
      <c r="J2773" s="209">
        <f>TRUNC(F2773*I2773,2)</f>
        <v>9.7100000000000009</v>
      </c>
    </row>
    <row r="2774" spans="1:10" ht="15" customHeight="1">
      <c r="A2774" s="233" t="s">
        <v>245</v>
      </c>
      <c r="B2774" s="161"/>
      <c r="C2774" s="161">
        <v>88309</v>
      </c>
      <c r="D2774" s="161" t="str">
        <f>IF(B2774="SEPLAG",VLOOKUP(COMPOSIÇÕES!C2774,'MAPA COMPARATIVO'!A:B,2,FALSE),VLOOKUP(C2774,'NAO DESO'!A:B,2,0))</f>
        <v>PEDREIRO COM ENCARGOS COMPLEMENTARES</v>
      </c>
      <c r="E2774" s="247" t="s">
        <v>16</v>
      </c>
      <c r="F2774" s="248">
        <v>0.5</v>
      </c>
      <c r="G2774" s="242" t="str">
        <f>IF(B2774="SEPLAG",VLOOKUP(CONCATENATE("MEDIANA - ",C2774),COTAÇÃO,5,FALSE),VLOOKUP($C2774,'NAO DESO'!$A:$D,4,))</f>
        <v>21,10</v>
      </c>
      <c r="H2774" s="242">
        <f>TRUNC(F2774*G2774,2)</f>
        <v>10.55</v>
      </c>
      <c r="I2774" s="54" t="str">
        <f>IF(B2774="SEPLAG",VLOOKUP(CONCATENATE("MEDIANA - ",C2774),COTAÇÃO,5,FALSE),VLOOKUP($C2774,DESON!$A:$D,4,))</f>
        <v>18,86</v>
      </c>
      <c r="J2774" s="209">
        <f>TRUNC(F2774*I2774,2)</f>
        <v>9.43</v>
      </c>
    </row>
    <row r="2775" spans="1:10" ht="15" customHeight="1">
      <c r="A2775" s="210" t="str">
        <f>CONCATENATE("TOTAL DO ITEM NÃO DESON. - ",C2770)</f>
        <v>TOTAL DO ITEM NÃO DESON. - SEPLAG INC 16</v>
      </c>
      <c r="B2775" s="161"/>
      <c r="C2775" s="161"/>
      <c r="D2775" s="161"/>
      <c r="E2775" s="247"/>
      <c r="F2775" s="248"/>
      <c r="G2775" s="248"/>
      <c r="H2775" s="1189">
        <f>SUM(H2773:H2774)</f>
        <v>20.260000000000002</v>
      </c>
      <c r="I2775" s="213"/>
      <c r="J2775" s="215"/>
    </row>
    <row r="2776" spans="1:10" ht="15.75" customHeight="1" thickBot="1">
      <c r="A2776" s="216" t="str">
        <f>CONCATENATE("TOTAL DO ITEM DESON. - ",C2770)</f>
        <v>TOTAL DO ITEM DESON. - SEPLAG INC 16</v>
      </c>
      <c r="B2776" s="1147"/>
      <c r="C2776" s="1147"/>
      <c r="D2776" s="1147"/>
      <c r="E2776" s="1218"/>
      <c r="F2776" s="1219"/>
      <c r="G2776" s="1219"/>
      <c r="H2776" s="1219"/>
      <c r="I2776" s="229"/>
      <c r="J2776" s="219">
        <f>SUM(J2773:J2775)</f>
        <v>19.14</v>
      </c>
    </row>
    <row r="2777" spans="1:10" ht="15" customHeight="1" thickBot="1">
      <c r="A2777" s="235"/>
      <c r="B2777" s="1135"/>
      <c r="C2777" s="1135"/>
      <c r="D2777" s="1135"/>
      <c r="E2777" s="1135"/>
      <c r="F2777" s="1188"/>
      <c r="G2777" s="1188"/>
      <c r="H2777" s="1188"/>
      <c r="I2777" s="236"/>
      <c r="J2777" s="237"/>
    </row>
    <row r="2778" spans="1:10" ht="26.25" customHeight="1">
      <c r="A2778" s="230"/>
      <c r="B2778" s="1146"/>
      <c r="C2778" s="1146" t="s">
        <v>280</v>
      </c>
      <c r="D2778" s="1146" t="s">
        <v>13931</v>
      </c>
      <c r="E2778" s="1152" t="s">
        <v>24</v>
      </c>
      <c r="F2778" s="1177" t="s">
        <v>18</v>
      </c>
      <c r="G2778" s="1178" t="s">
        <v>7015</v>
      </c>
      <c r="H2778" s="1179"/>
      <c r="I2778" s="200" t="s">
        <v>7016</v>
      </c>
      <c r="J2778" s="201"/>
    </row>
    <row r="2779" spans="1:10" ht="15" customHeight="1">
      <c r="A2779" s="203"/>
      <c r="B2779" s="432"/>
      <c r="C2779" s="432"/>
      <c r="D2779" s="432"/>
      <c r="E2779" s="430"/>
      <c r="F2779" s="1180"/>
      <c r="G2779" s="1180" t="s">
        <v>19</v>
      </c>
      <c r="H2779" s="1180" t="s">
        <v>20</v>
      </c>
      <c r="I2779" s="204" t="s">
        <v>19</v>
      </c>
      <c r="J2779" s="206" t="s">
        <v>20</v>
      </c>
    </row>
    <row r="2780" spans="1:10" ht="15" customHeight="1">
      <c r="A2780" s="233"/>
      <c r="B2780" s="161"/>
      <c r="C2780" s="161"/>
      <c r="D2780" s="161" t="s">
        <v>110</v>
      </c>
      <c r="E2780" s="247"/>
      <c r="F2780" s="248"/>
      <c r="G2780" s="248"/>
      <c r="H2780" s="248"/>
      <c r="I2780" s="214"/>
      <c r="J2780" s="227"/>
    </row>
    <row r="2781" spans="1:10" ht="39" customHeight="1">
      <c r="A2781" s="233" t="s">
        <v>39</v>
      </c>
      <c r="B2781" s="161" t="s">
        <v>14504</v>
      </c>
      <c r="C2781" s="161" t="s">
        <v>14360</v>
      </c>
      <c r="D2781" s="161" t="str">
        <f>IF(B2781="SEPLAG",VLOOKUP(COMPOSIÇÕES!C2781,'MAPA COMPARATIVO'!A:B,2,FALSE),VLOOKUP(C2781,'NAO DESO'!A:B,2,0))</f>
        <v>PLACA FOTOLUMINESCENTE (TIPO : E8 FORMATO: QUADRADA DIMENSÃO: 300MMX300MM INFORMAÇÃO: PICTOGRAMA SEM TEXTO - ABRIGO DE MANGUEIRA E HIDRANTE)</v>
      </c>
      <c r="E2781" s="247" t="s">
        <v>32</v>
      </c>
      <c r="F2781" s="248">
        <v>1</v>
      </c>
      <c r="G2781" s="242">
        <f>IF(B2781="SEPLAG",VLOOKUP(CONCATENATE("MEDIANA - ",C2781),COTAÇÃO,5,FALSE),VLOOKUP($C2781,'NAO DESO'!$A:$D,4,))</f>
        <v>10.46</v>
      </c>
      <c r="H2781" s="242">
        <f>TRUNC(F2781*G2781,2)</f>
        <v>10.46</v>
      </c>
      <c r="I2781" s="54">
        <f>IF(B2781="SEPLAG",VLOOKUP(CONCATENATE("MEDIANA - ",C2781),COTAÇÃO,5,FALSE),VLOOKUP($C2781,DESON!$A:$D,4,))</f>
        <v>10.46</v>
      </c>
      <c r="J2781" s="209">
        <f>TRUNC(F2781*I2781,2)</f>
        <v>10.46</v>
      </c>
    </row>
    <row r="2782" spans="1:10" ht="15" customHeight="1">
      <c r="A2782" s="233" t="s">
        <v>245</v>
      </c>
      <c r="B2782" s="161"/>
      <c r="C2782" s="161">
        <v>88309</v>
      </c>
      <c r="D2782" s="161" t="str">
        <f>IF(B2782="SEPLAG",VLOOKUP(COMPOSIÇÕES!C2782,'MAPA COMPARATIVO'!A:B,2,FALSE),VLOOKUP(C2782,'NAO DESO'!A:B,2,0))</f>
        <v>PEDREIRO COM ENCARGOS COMPLEMENTARES</v>
      </c>
      <c r="E2782" s="247" t="s">
        <v>16</v>
      </c>
      <c r="F2782" s="248">
        <v>0.5</v>
      </c>
      <c r="G2782" s="242" t="str">
        <f>IF(B2782="SEPLAG",VLOOKUP(CONCATENATE("MEDIANA - ",C2782),COTAÇÃO,5,FALSE),VLOOKUP($C2782,'NAO DESO'!$A:$D,4,))</f>
        <v>21,10</v>
      </c>
      <c r="H2782" s="242">
        <f>TRUNC(F2782*G2782,2)</f>
        <v>10.55</v>
      </c>
      <c r="I2782" s="54" t="str">
        <f>IF(B2782="SEPLAG",VLOOKUP(CONCATENATE("MEDIANA - ",C2782),COTAÇÃO,5,FALSE),VLOOKUP($C2782,DESON!$A:$D,4,))</f>
        <v>18,86</v>
      </c>
      <c r="J2782" s="209">
        <f>TRUNC(F2782*I2782,2)</f>
        <v>9.43</v>
      </c>
    </row>
    <row r="2783" spans="1:10" ht="15" customHeight="1">
      <c r="A2783" s="210" t="str">
        <f>CONCATENATE("TOTAL DO ITEM NÃO DESON. - ",C2778)</f>
        <v>TOTAL DO ITEM NÃO DESON. - SEPLAG INC 17</v>
      </c>
      <c r="B2783" s="161"/>
      <c r="C2783" s="161"/>
      <c r="D2783" s="161"/>
      <c r="E2783" s="247"/>
      <c r="F2783" s="248"/>
      <c r="G2783" s="248"/>
      <c r="H2783" s="1189">
        <f>SUM(H2781:H2782)</f>
        <v>21.01</v>
      </c>
      <c r="I2783" s="213"/>
      <c r="J2783" s="215"/>
    </row>
    <row r="2784" spans="1:10" ht="15.75" customHeight="1" thickBot="1">
      <c r="A2784" s="216" t="str">
        <f>CONCATENATE("TOTAL DO ITEM DESON. - ",C2778)</f>
        <v>TOTAL DO ITEM DESON. - SEPLAG INC 17</v>
      </c>
      <c r="B2784" s="1147"/>
      <c r="C2784" s="1147"/>
      <c r="D2784" s="1147"/>
      <c r="E2784" s="1218"/>
      <c r="F2784" s="1219"/>
      <c r="G2784" s="1219"/>
      <c r="H2784" s="1219"/>
      <c r="I2784" s="229"/>
      <c r="J2784" s="219">
        <f>SUM(J2781:J2783)</f>
        <v>19.89</v>
      </c>
    </row>
    <row r="2785" spans="1:10" ht="15" customHeight="1" thickBot="1">
      <c r="A2785" s="235"/>
      <c r="B2785" s="1135"/>
      <c r="C2785" s="1135"/>
      <c r="D2785" s="1135"/>
      <c r="E2785" s="1135"/>
      <c r="F2785" s="1188"/>
      <c r="G2785" s="1188"/>
      <c r="H2785" s="1188"/>
      <c r="I2785" s="236"/>
      <c r="J2785" s="237"/>
    </row>
    <row r="2786" spans="1:10" ht="26.25" customHeight="1">
      <c r="A2786" s="230"/>
      <c r="B2786" s="1146"/>
      <c r="C2786" s="1146" t="s">
        <v>281</v>
      </c>
      <c r="D2786" s="1146" t="s">
        <v>7674</v>
      </c>
      <c r="E2786" s="1152" t="s">
        <v>24</v>
      </c>
      <c r="F2786" s="1177" t="s">
        <v>18</v>
      </c>
      <c r="G2786" s="1178" t="s">
        <v>7015</v>
      </c>
      <c r="H2786" s="1179"/>
      <c r="I2786" s="200" t="s">
        <v>7016</v>
      </c>
      <c r="J2786" s="201"/>
    </row>
    <row r="2787" spans="1:10" ht="15" customHeight="1">
      <c r="A2787" s="203"/>
      <c r="B2787" s="432"/>
      <c r="C2787" s="432"/>
      <c r="D2787" s="432"/>
      <c r="E2787" s="430"/>
      <c r="F2787" s="1180"/>
      <c r="G2787" s="1180" t="s">
        <v>19</v>
      </c>
      <c r="H2787" s="1180" t="s">
        <v>20</v>
      </c>
      <c r="I2787" s="204" t="s">
        <v>19</v>
      </c>
      <c r="J2787" s="206" t="s">
        <v>20</v>
      </c>
    </row>
    <row r="2788" spans="1:10" ht="15" customHeight="1">
      <c r="A2788" s="233"/>
      <c r="B2788" s="161"/>
      <c r="C2788" s="161"/>
      <c r="D2788" s="161" t="s">
        <v>114</v>
      </c>
      <c r="E2788" s="247"/>
      <c r="F2788" s="248"/>
      <c r="G2788" s="248"/>
      <c r="H2788" s="248"/>
      <c r="I2788" s="214"/>
      <c r="J2788" s="227"/>
    </row>
    <row r="2789" spans="1:10" ht="26.25" customHeight="1">
      <c r="A2789" s="233" t="s">
        <v>39</v>
      </c>
      <c r="B2789" s="161" t="s">
        <v>14504</v>
      </c>
      <c r="C2789" s="161" t="s">
        <v>14361</v>
      </c>
      <c r="D2789" s="161" t="str">
        <f>IF(B2789="SEPLAG",VLOOKUP(COMPOSIÇÕES!C2789,'MAPA COMPARATIVO'!A:B,2,FALSE),VLOOKUP(C2789,'NAO DESO'!A:B,2,0))</f>
        <v>PLACA FOTOLUMINESCENTE (TIPO : P1 FORMATO: CIRCULAR DIÂMETRO: 252MM INFORMAÇÃO: PICTOGRAMA SEM TEXTO - PROIBIDO FUMAR)</v>
      </c>
      <c r="E2789" s="247" t="s">
        <v>32</v>
      </c>
      <c r="F2789" s="248">
        <v>1</v>
      </c>
      <c r="G2789" s="242">
        <f>IF(B2789="SEPLAG",VLOOKUP(CONCATENATE("MEDIANA - ",C2789),COTAÇÃO,5,FALSE),VLOOKUP($C2789,'NAO DESO'!$A:$D,4,))</f>
        <v>14</v>
      </c>
      <c r="H2789" s="242">
        <f>TRUNC(F2789*G2789,2)</f>
        <v>14</v>
      </c>
      <c r="I2789" s="54">
        <f>IF(B2789="SEPLAG",VLOOKUP(CONCATENATE("MEDIANA - ",C2789),COTAÇÃO,5,FALSE),VLOOKUP($C2789,DESON!$A:$D,4,))</f>
        <v>14</v>
      </c>
      <c r="J2789" s="209">
        <f>TRUNC(F2789*I2789,2)</f>
        <v>14</v>
      </c>
    </row>
    <row r="2790" spans="1:10" ht="15" customHeight="1">
      <c r="A2790" s="233" t="s">
        <v>245</v>
      </c>
      <c r="B2790" s="161"/>
      <c r="C2790" s="161">
        <v>88309</v>
      </c>
      <c r="D2790" s="161" t="str">
        <f>IF(B2790="SEPLAG",VLOOKUP(COMPOSIÇÕES!C2790,'MAPA COMPARATIVO'!A:B,2,FALSE),VLOOKUP(C2790,'NAO DESO'!A:B,2,0))</f>
        <v>PEDREIRO COM ENCARGOS COMPLEMENTARES</v>
      </c>
      <c r="E2790" s="247" t="s">
        <v>16</v>
      </c>
      <c r="F2790" s="248">
        <v>0.5</v>
      </c>
      <c r="G2790" s="242" t="str">
        <f>IF(B2790="SEPLAG",VLOOKUP(CONCATENATE("MEDIANA - ",C2790),COTAÇÃO,5,FALSE),VLOOKUP($C2790,'NAO DESO'!$A:$D,4,))</f>
        <v>21,10</v>
      </c>
      <c r="H2790" s="242">
        <f>TRUNC(F2790*G2790,2)</f>
        <v>10.55</v>
      </c>
      <c r="I2790" s="54" t="str">
        <f>IF(B2790="SEPLAG",VLOOKUP(CONCATENATE("MEDIANA - ",C2790),COTAÇÃO,5,FALSE),VLOOKUP($C2790,DESON!$A:$D,4,))</f>
        <v>18,86</v>
      </c>
      <c r="J2790" s="209">
        <f>TRUNC(F2790*I2790,2)</f>
        <v>9.43</v>
      </c>
    </row>
    <row r="2791" spans="1:10" ht="15" customHeight="1">
      <c r="A2791" s="210" t="str">
        <f>CONCATENATE("TOTAL DO ITEM NÃO DESON. - ",C2786)</f>
        <v>TOTAL DO ITEM NÃO DESON. - SEPLAG INC 18</v>
      </c>
      <c r="B2791" s="161"/>
      <c r="C2791" s="161"/>
      <c r="D2791" s="161"/>
      <c r="E2791" s="247"/>
      <c r="F2791" s="248"/>
      <c r="G2791" s="248"/>
      <c r="H2791" s="1189">
        <f>SUM(H2789:H2790)</f>
        <v>24.55</v>
      </c>
      <c r="I2791" s="213"/>
      <c r="J2791" s="215"/>
    </row>
    <row r="2792" spans="1:10" ht="15.75" customHeight="1" thickBot="1">
      <c r="A2792" s="216" t="str">
        <f>CONCATENATE("TOTAL DO ITEM DESON. - ",C2786)</f>
        <v>TOTAL DO ITEM DESON. - SEPLAG INC 18</v>
      </c>
      <c r="B2792" s="1147"/>
      <c r="C2792" s="1147"/>
      <c r="D2792" s="1147"/>
      <c r="E2792" s="1218"/>
      <c r="F2792" s="1219"/>
      <c r="G2792" s="1219"/>
      <c r="H2792" s="1219"/>
      <c r="I2792" s="229"/>
      <c r="J2792" s="219">
        <f>SUM(J2789:J2791)</f>
        <v>23.43</v>
      </c>
    </row>
    <row r="2793" spans="1:10" ht="15" customHeight="1" thickBot="1">
      <c r="A2793" s="235"/>
      <c r="B2793" s="1135"/>
      <c r="C2793" s="1135"/>
      <c r="D2793" s="1135"/>
      <c r="E2793" s="1135"/>
      <c r="F2793" s="1188"/>
      <c r="G2793" s="1188"/>
      <c r="H2793" s="1188"/>
      <c r="I2793" s="236"/>
      <c r="J2793" s="237"/>
    </row>
    <row r="2794" spans="1:10" ht="26.25" customHeight="1">
      <c r="A2794" s="230"/>
      <c r="B2794" s="1146"/>
      <c r="C2794" s="1146" t="s">
        <v>282</v>
      </c>
      <c r="D2794" s="152" t="s">
        <v>7675</v>
      </c>
      <c r="E2794" s="1152" t="s">
        <v>24</v>
      </c>
      <c r="F2794" s="1177" t="s">
        <v>18</v>
      </c>
      <c r="G2794" s="1178" t="s">
        <v>7015</v>
      </c>
      <c r="H2794" s="1179"/>
      <c r="I2794" s="200" t="s">
        <v>7016</v>
      </c>
      <c r="J2794" s="201"/>
    </row>
    <row r="2795" spans="1:10" ht="15" customHeight="1">
      <c r="A2795" s="203"/>
      <c r="B2795" s="432"/>
      <c r="C2795" s="432"/>
      <c r="D2795" s="432"/>
      <c r="E2795" s="430"/>
      <c r="F2795" s="1180"/>
      <c r="G2795" s="1180" t="s">
        <v>19</v>
      </c>
      <c r="H2795" s="1180" t="s">
        <v>20</v>
      </c>
      <c r="I2795" s="204" t="s">
        <v>19</v>
      </c>
      <c r="J2795" s="206" t="s">
        <v>20</v>
      </c>
    </row>
    <row r="2796" spans="1:10" ht="15" customHeight="1">
      <c r="A2796" s="233"/>
      <c r="B2796" s="161"/>
      <c r="C2796" s="161"/>
      <c r="D2796" s="161" t="s">
        <v>114</v>
      </c>
      <c r="E2796" s="247"/>
      <c r="F2796" s="248"/>
      <c r="G2796" s="248"/>
      <c r="H2796" s="248"/>
      <c r="I2796" s="214"/>
      <c r="J2796" s="227"/>
    </row>
    <row r="2797" spans="1:10" ht="39" customHeight="1">
      <c r="A2797" s="233" t="s">
        <v>39</v>
      </c>
      <c r="B2797" s="161" t="s">
        <v>14504</v>
      </c>
      <c r="C2797" s="161" t="s">
        <v>14362</v>
      </c>
      <c r="D2797" s="161" t="str">
        <f>IF(B2797="SEPLAG",VLOOKUP(COMPOSIÇÕES!C2797,'MAPA COMPARATIVO'!A:B,2,FALSE),VLOOKUP(C2797,'NAO DESO'!A:B,2,0))</f>
        <v>PLACA FOTOLUMINESCENTE (TIPO : P4 FORMATO: CIRCULAR DIÂMETRO: 252MM INFORMAÇÃO: PICTOGRAMA SEM TEXTO - EM CASO DE INCÊNDIO NÃO USAR O ELEVADOR)</v>
      </c>
      <c r="E2797" s="247" t="s">
        <v>32</v>
      </c>
      <c r="F2797" s="248">
        <v>1</v>
      </c>
      <c r="G2797" s="242">
        <f>IF(B2797="SEPLAG",VLOOKUP(CONCATENATE("MEDIANA - ",C2797),COTAÇÃO,5,FALSE),VLOOKUP($C2797,'NAO DESO'!$A:$D,4,))</f>
        <v>10.46</v>
      </c>
      <c r="H2797" s="242">
        <f>TRUNC(F2797*G2797,2)</f>
        <v>10.46</v>
      </c>
      <c r="I2797" s="54">
        <f>IF(B2797="SEPLAG",VLOOKUP(CONCATENATE("MEDIANA - ",C2797),COTAÇÃO,5,FALSE),VLOOKUP($C2797,DESON!$A:$D,4,))</f>
        <v>10.46</v>
      </c>
      <c r="J2797" s="209">
        <f>TRUNC(F2797*I2797,2)</f>
        <v>10.46</v>
      </c>
    </row>
    <row r="2798" spans="1:10" ht="15" customHeight="1">
      <c r="A2798" s="233" t="s">
        <v>245</v>
      </c>
      <c r="B2798" s="161"/>
      <c r="C2798" s="161">
        <v>88309</v>
      </c>
      <c r="D2798" s="161" t="str">
        <f>IF(B2798="SEPLAG",VLOOKUP(COMPOSIÇÕES!C2798,'MAPA COMPARATIVO'!A:B,2,FALSE),VLOOKUP(C2798,'NAO DESO'!A:B,2,0))</f>
        <v>PEDREIRO COM ENCARGOS COMPLEMENTARES</v>
      </c>
      <c r="E2798" s="247" t="s">
        <v>16</v>
      </c>
      <c r="F2798" s="248">
        <v>0.5</v>
      </c>
      <c r="G2798" s="242" t="str">
        <f>IF(B2798="SEPLAG",VLOOKUP(CONCATENATE("MEDIANA - ",C2798),COTAÇÃO,5,FALSE),VLOOKUP($C2798,'NAO DESO'!$A:$D,4,))</f>
        <v>21,10</v>
      </c>
      <c r="H2798" s="242">
        <f>TRUNC(F2798*G2798,2)</f>
        <v>10.55</v>
      </c>
      <c r="I2798" s="54" t="str">
        <f>IF(B2798="SEPLAG",VLOOKUP(CONCATENATE("MEDIANA - ",C2798),COTAÇÃO,5,FALSE),VLOOKUP($C2798,DESON!$A:$D,4,))</f>
        <v>18,86</v>
      </c>
      <c r="J2798" s="209">
        <f>TRUNC(F2798*I2798,2)</f>
        <v>9.43</v>
      </c>
    </row>
    <row r="2799" spans="1:10" ht="15" customHeight="1">
      <c r="A2799" s="210" t="str">
        <f>CONCATENATE("TOTAL DO ITEM NÃO DESON. - ",C2794)</f>
        <v>TOTAL DO ITEM NÃO DESON. - SEPLAG INC 19</v>
      </c>
      <c r="B2799" s="161"/>
      <c r="C2799" s="161"/>
      <c r="D2799" s="161"/>
      <c r="E2799" s="247"/>
      <c r="F2799" s="248"/>
      <c r="G2799" s="248"/>
      <c r="H2799" s="1189">
        <f>SUM(H2797:H2798)</f>
        <v>21.01</v>
      </c>
      <c r="I2799" s="213"/>
      <c r="J2799" s="215"/>
    </row>
    <row r="2800" spans="1:10" ht="15.75" customHeight="1" thickBot="1">
      <c r="A2800" s="216" t="str">
        <f>CONCATENATE("TOTAL DO ITEM DESON. - ",C2794)</f>
        <v>TOTAL DO ITEM DESON. - SEPLAG INC 19</v>
      </c>
      <c r="B2800" s="1147"/>
      <c r="C2800" s="1147"/>
      <c r="D2800" s="1147"/>
      <c r="E2800" s="1218"/>
      <c r="F2800" s="1219"/>
      <c r="G2800" s="1219"/>
      <c r="H2800" s="1219"/>
      <c r="I2800" s="229"/>
      <c r="J2800" s="219">
        <f>SUM(J2797:J2799)</f>
        <v>19.89</v>
      </c>
    </row>
    <row r="2801" spans="1:10" ht="15" customHeight="1" thickBot="1">
      <c r="A2801" s="235"/>
      <c r="B2801" s="1135"/>
      <c r="C2801" s="1135"/>
      <c r="D2801" s="1135"/>
      <c r="E2801" s="1135"/>
      <c r="F2801" s="1188"/>
      <c r="G2801" s="1188"/>
      <c r="H2801" s="1188"/>
      <c r="I2801" s="236"/>
      <c r="J2801" s="237"/>
    </row>
    <row r="2802" spans="1:10" ht="26.25" customHeight="1">
      <c r="A2802" s="230"/>
      <c r="B2802" s="1146"/>
      <c r="C2802" s="1146" t="s">
        <v>283</v>
      </c>
      <c r="D2802" s="1146" t="s">
        <v>7676</v>
      </c>
      <c r="E2802" s="1152" t="s">
        <v>24</v>
      </c>
      <c r="F2802" s="1177" t="s">
        <v>18</v>
      </c>
      <c r="G2802" s="1177" t="s">
        <v>7015</v>
      </c>
      <c r="H2802" s="1177"/>
      <c r="I2802" s="199" t="s">
        <v>7016</v>
      </c>
      <c r="J2802" s="252"/>
    </row>
    <row r="2803" spans="1:10" ht="15" customHeight="1">
      <c r="A2803" s="203"/>
      <c r="B2803" s="432"/>
      <c r="C2803" s="432"/>
      <c r="D2803" s="432"/>
      <c r="E2803" s="430"/>
      <c r="F2803" s="1180"/>
      <c r="G2803" s="1180" t="s">
        <v>19</v>
      </c>
      <c r="H2803" s="1180" t="s">
        <v>20</v>
      </c>
      <c r="I2803" s="204" t="s">
        <v>19</v>
      </c>
      <c r="J2803" s="206" t="s">
        <v>20</v>
      </c>
    </row>
    <row r="2804" spans="1:10" ht="15" customHeight="1">
      <c r="A2804" s="233"/>
      <c r="B2804" s="161"/>
      <c r="C2804" s="161"/>
      <c r="D2804" s="161" t="s">
        <v>114</v>
      </c>
      <c r="E2804" s="247"/>
      <c r="F2804" s="248"/>
      <c r="G2804" s="248"/>
      <c r="H2804" s="248"/>
      <c r="I2804" s="214"/>
      <c r="J2804" s="227"/>
    </row>
    <row r="2805" spans="1:10" ht="26.25" customHeight="1">
      <c r="A2805" s="233" t="s">
        <v>39</v>
      </c>
      <c r="B2805" s="161" t="s">
        <v>14504</v>
      </c>
      <c r="C2805" s="161" t="s">
        <v>14363</v>
      </c>
      <c r="D2805" s="161" t="str">
        <f>IF(B2805="SEPLAG",VLOOKUP(COMPOSIÇÕES!C2805,'MAPA COMPARATIVO'!A:B,2,FALSE),VLOOKUP(C2805,'NAO DESO'!A:B,2,0))</f>
        <v>PLACA FOTOLUMINESCENTE (TIPO : P16 FORMATO: RETANGULAR 250MMX350MM INFORMAÇÃO: PICTOGRAMA - PERIGO,NÃO FUME)</v>
      </c>
      <c r="E2805" s="247" t="s">
        <v>32</v>
      </c>
      <c r="F2805" s="248">
        <v>1</v>
      </c>
      <c r="G2805" s="242">
        <f>IF(B2805="SEPLAG",VLOOKUP(CONCATENATE("MEDIANA - ",C2805),COTAÇÃO,5,FALSE),VLOOKUP($C2805,'NAO DESO'!$A:$D,4,))</f>
        <v>14</v>
      </c>
      <c r="H2805" s="242">
        <f>TRUNC(F2805*G2805,2)</f>
        <v>14</v>
      </c>
      <c r="I2805" s="54">
        <f>IF(B2805="SEPLAG",VLOOKUP(CONCATENATE("MEDIANA - ",C2805),COTAÇÃO,5,FALSE),VLOOKUP($C2805,DESON!$A:$D,4,))</f>
        <v>14</v>
      </c>
      <c r="J2805" s="209">
        <f>TRUNC(F2805*I2805,2)</f>
        <v>14</v>
      </c>
    </row>
    <row r="2806" spans="1:10" ht="15" customHeight="1">
      <c r="A2806" s="233" t="s">
        <v>245</v>
      </c>
      <c r="B2806" s="161"/>
      <c r="C2806" s="161">
        <v>88309</v>
      </c>
      <c r="D2806" s="161" t="str">
        <f>IF(B2806="SEPLAG",VLOOKUP(COMPOSIÇÕES!C2806,'MAPA COMPARATIVO'!A:B,2,FALSE),VLOOKUP(C2806,'NAO DESO'!A:B,2,0))</f>
        <v>PEDREIRO COM ENCARGOS COMPLEMENTARES</v>
      </c>
      <c r="E2806" s="247" t="s">
        <v>16</v>
      </c>
      <c r="F2806" s="248">
        <v>0.5</v>
      </c>
      <c r="G2806" s="242" t="str">
        <f>IF(B2806="SEPLAG",VLOOKUP(CONCATENATE("MEDIANA - ",C2806),COTAÇÃO,5,FALSE),VLOOKUP($C2806,'NAO DESO'!$A:$D,4,))</f>
        <v>21,10</v>
      </c>
      <c r="H2806" s="242">
        <f>TRUNC(F2806*G2806,2)</f>
        <v>10.55</v>
      </c>
      <c r="I2806" s="54" t="str">
        <f>IF(B2806="SEPLAG",VLOOKUP(CONCATENATE("MEDIANA - ",C2806),COTAÇÃO,5,FALSE),VLOOKUP($C2806,DESON!$A:$D,4,))</f>
        <v>18,86</v>
      </c>
      <c r="J2806" s="209">
        <f>TRUNC(F2806*I2806,2)</f>
        <v>9.43</v>
      </c>
    </row>
    <row r="2807" spans="1:10" ht="15" customHeight="1">
      <c r="A2807" s="210" t="str">
        <f>CONCATENATE("TOTAL DO ITEM NÃO DESON. - ",C2802)</f>
        <v>TOTAL DO ITEM NÃO DESON. - SEPLAG INC 20</v>
      </c>
      <c r="B2807" s="161"/>
      <c r="C2807" s="161"/>
      <c r="D2807" s="161"/>
      <c r="E2807" s="247"/>
      <c r="F2807" s="248"/>
      <c r="G2807" s="248"/>
      <c r="H2807" s="1189">
        <f>SUM(H2805:H2806)</f>
        <v>24.55</v>
      </c>
      <c r="I2807" s="213"/>
      <c r="J2807" s="215"/>
    </row>
    <row r="2808" spans="1:10" ht="15.75" customHeight="1" thickBot="1">
      <c r="A2808" s="216" t="str">
        <f>CONCATENATE("TOTAL DO ITEM DESON. - ",C2802)</f>
        <v>TOTAL DO ITEM DESON. - SEPLAG INC 20</v>
      </c>
      <c r="B2808" s="1147"/>
      <c r="C2808" s="1147"/>
      <c r="D2808" s="1147"/>
      <c r="E2808" s="1218"/>
      <c r="F2808" s="1219"/>
      <c r="G2808" s="1219"/>
      <c r="H2808" s="1219"/>
      <c r="I2808" s="229"/>
      <c r="J2808" s="219">
        <f>SUM(J2805:J2807)</f>
        <v>23.43</v>
      </c>
    </row>
    <row r="2809" spans="1:10" ht="15" customHeight="1" thickBot="1">
      <c r="A2809" s="235"/>
      <c r="B2809" s="1135"/>
      <c r="C2809" s="1135"/>
      <c r="D2809" s="1135"/>
      <c r="E2809" s="1135"/>
      <c r="F2809" s="1188"/>
      <c r="G2809" s="1188"/>
      <c r="H2809" s="1188"/>
      <c r="I2809" s="236"/>
      <c r="J2809" s="237"/>
    </row>
    <row r="2810" spans="1:10" ht="26.25" customHeight="1">
      <c r="A2810" s="230"/>
      <c r="B2810" s="1146"/>
      <c r="C2810" s="1146" t="s">
        <v>284</v>
      </c>
      <c r="D2810" s="1146" t="s">
        <v>7677</v>
      </c>
      <c r="E2810" s="1152" t="s">
        <v>24</v>
      </c>
      <c r="F2810" s="1177" t="s">
        <v>18</v>
      </c>
      <c r="G2810" s="1178" t="s">
        <v>7015</v>
      </c>
      <c r="H2810" s="1179"/>
      <c r="I2810" s="200" t="s">
        <v>7016</v>
      </c>
      <c r="J2810" s="201"/>
    </row>
    <row r="2811" spans="1:10" ht="15" customHeight="1">
      <c r="A2811" s="203"/>
      <c r="B2811" s="432"/>
      <c r="C2811" s="432"/>
      <c r="D2811" s="432"/>
      <c r="E2811" s="430"/>
      <c r="F2811" s="1180"/>
      <c r="G2811" s="1180" t="s">
        <v>19</v>
      </c>
      <c r="H2811" s="1180" t="s">
        <v>20</v>
      </c>
      <c r="I2811" s="204" t="s">
        <v>19</v>
      </c>
      <c r="J2811" s="206" t="s">
        <v>20</v>
      </c>
    </row>
    <row r="2812" spans="1:10" ht="15" customHeight="1">
      <c r="A2812" s="233"/>
      <c r="B2812" s="161"/>
      <c r="C2812" s="161"/>
      <c r="D2812" s="161" t="s">
        <v>114</v>
      </c>
      <c r="E2812" s="247"/>
      <c r="F2812" s="248"/>
      <c r="G2812" s="248"/>
      <c r="H2812" s="248"/>
      <c r="I2812" s="214"/>
      <c r="J2812" s="227"/>
    </row>
    <row r="2813" spans="1:10" ht="26.25" customHeight="1">
      <c r="A2813" s="233" t="s">
        <v>39</v>
      </c>
      <c r="B2813" s="161" t="s">
        <v>14504</v>
      </c>
      <c r="C2813" s="161" t="s">
        <v>14364</v>
      </c>
      <c r="D2813" s="161" t="str">
        <f>IF(B2813="SEPLAG",VLOOKUP(COMPOSIÇÕES!C2813,'MAPA COMPARATIVO'!A:B,2,FALSE),VLOOKUP(C2813,'NAO DESO'!A:B,2,0))</f>
        <v>PLACA FOTOLUMINESCENTE FORMATO: RETANGULAR 250MMX350MM INFORMAÇÃO: PICTOGRAMA - PERIGO INFLAMÁVEL)</v>
      </c>
      <c r="E2813" s="247" t="s">
        <v>32</v>
      </c>
      <c r="F2813" s="248">
        <v>1</v>
      </c>
      <c r="G2813" s="242">
        <f>IF(B2813="SEPLAG",VLOOKUP(CONCATENATE("MEDIANA - ",C2813),COTAÇÃO,5,FALSE),VLOOKUP($C2813,'NAO DESO'!$A:$D,4,))</f>
        <v>10.46</v>
      </c>
      <c r="H2813" s="242">
        <f>TRUNC(F2813*G2813,2)</f>
        <v>10.46</v>
      </c>
      <c r="I2813" s="54">
        <f>IF(B2813="SEPLAG",VLOOKUP(CONCATENATE("MEDIANA - ",C2813),COTAÇÃO,5,FALSE),VLOOKUP($C2813,DESON!$A:$D,4,))</f>
        <v>10.46</v>
      </c>
      <c r="J2813" s="209">
        <f>TRUNC(F2813*I2813,2)</f>
        <v>10.46</v>
      </c>
    </row>
    <row r="2814" spans="1:10" ht="15" customHeight="1">
      <c r="A2814" s="233" t="s">
        <v>245</v>
      </c>
      <c r="B2814" s="161"/>
      <c r="C2814" s="161">
        <v>88309</v>
      </c>
      <c r="D2814" s="161" t="str">
        <f>IF(B2814="SEPLAG",VLOOKUP(COMPOSIÇÕES!C2814,'MAPA COMPARATIVO'!A:B,2,FALSE),VLOOKUP(C2814,'NAO DESO'!A:B,2,0))</f>
        <v>PEDREIRO COM ENCARGOS COMPLEMENTARES</v>
      </c>
      <c r="E2814" s="247" t="s">
        <v>16</v>
      </c>
      <c r="F2814" s="248">
        <v>0.5</v>
      </c>
      <c r="G2814" s="242" t="str">
        <f>IF(B2814="SEPLAG",VLOOKUP(CONCATENATE("MEDIANA - ",C2814),COTAÇÃO,5,FALSE),VLOOKUP($C2814,'NAO DESO'!$A:$D,4,))</f>
        <v>21,10</v>
      </c>
      <c r="H2814" s="242">
        <f>TRUNC(F2814*G2814,2)</f>
        <v>10.55</v>
      </c>
      <c r="I2814" s="54" t="str">
        <f>IF(B2814="SEPLAG",VLOOKUP(CONCATENATE("MEDIANA - ",C2814),COTAÇÃO,5,FALSE),VLOOKUP($C2814,DESON!$A:$D,4,))</f>
        <v>18,86</v>
      </c>
      <c r="J2814" s="209">
        <f>TRUNC(F2814*I2814,2)</f>
        <v>9.43</v>
      </c>
    </row>
    <row r="2815" spans="1:10" ht="15" customHeight="1">
      <c r="A2815" s="210" t="str">
        <f>CONCATENATE("TOTAL DO ITEM NÃO DESON. - ",C2810)</f>
        <v>TOTAL DO ITEM NÃO DESON. - SEPLAG INC 21</v>
      </c>
      <c r="B2815" s="161"/>
      <c r="C2815" s="161"/>
      <c r="D2815" s="161"/>
      <c r="E2815" s="247"/>
      <c r="F2815" s="248"/>
      <c r="G2815" s="248"/>
      <c r="H2815" s="1189">
        <f>SUM(H2813:H2814)</f>
        <v>21.01</v>
      </c>
      <c r="I2815" s="213"/>
      <c r="J2815" s="215"/>
    </row>
    <row r="2816" spans="1:10" ht="15.75" customHeight="1" thickBot="1">
      <c r="A2816" s="216" t="str">
        <f>CONCATENATE("TOTAL DO ITEM DESON. - ",C2810)</f>
        <v>TOTAL DO ITEM DESON. - SEPLAG INC 21</v>
      </c>
      <c r="B2816" s="1147"/>
      <c r="C2816" s="1147"/>
      <c r="D2816" s="1147"/>
      <c r="E2816" s="1218"/>
      <c r="F2816" s="1219"/>
      <c r="G2816" s="1219"/>
      <c r="H2816" s="1219"/>
      <c r="I2816" s="229"/>
      <c r="J2816" s="219">
        <f>SUM(J2813:J2815)</f>
        <v>19.89</v>
      </c>
    </row>
    <row r="2817" spans="1:10" ht="15" customHeight="1" thickBot="1">
      <c r="A2817" s="235"/>
      <c r="B2817" s="1135"/>
      <c r="C2817" s="1135"/>
      <c r="D2817" s="1135"/>
      <c r="E2817" s="1135"/>
      <c r="F2817" s="1188"/>
      <c r="G2817" s="1188"/>
      <c r="H2817" s="1188"/>
      <c r="I2817" s="236"/>
      <c r="J2817" s="237"/>
    </row>
    <row r="2818" spans="1:10" ht="26.25" customHeight="1">
      <c r="A2818" s="230"/>
      <c r="B2818" s="1146"/>
      <c r="C2818" s="1146" t="s">
        <v>285</v>
      </c>
      <c r="D2818" s="1146" t="s">
        <v>7678</v>
      </c>
      <c r="E2818" s="1152" t="s">
        <v>24</v>
      </c>
      <c r="F2818" s="1177" t="s">
        <v>18</v>
      </c>
      <c r="G2818" s="1178" t="s">
        <v>7015</v>
      </c>
      <c r="H2818" s="1179"/>
      <c r="I2818" s="200" t="s">
        <v>7016</v>
      </c>
      <c r="J2818" s="201"/>
    </row>
    <row r="2819" spans="1:10" ht="15" customHeight="1">
      <c r="A2819" s="203"/>
      <c r="B2819" s="432"/>
      <c r="C2819" s="432"/>
      <c r="D2819" s="432"/>
      <c r="E2819" s="430"/>
      <c r="F2819" s="1180"/>
      <c r="G2819" s="1180" t="s">
        <v>19</v>
      </c>
      <c r="H2819" s="1180" t="s">
        <v>20</v>
      </c>
      <c r="I2819" s="204" t="s">
        <v>19</v>
      </c>
      <c r="J2819" s="206" t="s">
        <v>20</v>
      </c>
    </row>
    <row r="2820" spans="1:10" ht="15" customHeight="1">
      <c r="A2820" s="233"/>
      <c r="B2820" s="161"/>
      <c r="C2820" s="161"/>
      <c r="D2820" s="161" t="s">
        <v>115</v>
      </c>
      <c r="E2820" s="247"/>
      <c r="F2820" s="248"/>
      <c r="G2820" s="248"/>
      <c r="H2820" s="248"/>
      <c r="I2820" s="214"/>
      <c r="J2820" s="227"/>
    </row>
    <row r="2821" spans="1:10" ht="39" customHeight="1">
      <c r="A2821" s="233" t="s">
        <v>39</v>
      </c>
      <c r="B2821" s="161" t="s">
        <v>14504</v>
      </c>
      <c r="C2821" s="161" t="s">
        <v>14365</v>
      </c>
      <c r="D2821" s="161" t="str">
        <f>IF(B2821="SEPLAG",VLOOKUP(COMPOSIÇÕES!C2821,'MAPA COMPARATIVO'!A:B,2,FALSE),VLOOKUP(C2821,'NAO DESO'!A:B,2,0))</f>
        <v>PLACA FOTOLUMINESCENTE (TIPO : S1|FORMATO: RETANGULAR|DIMENSÃO: 380MMX190MM INFORMAÇÃO: PICTOGRAMA SEM TEXTO - SAÍDA DE EMERGÊNCIA DIREITA)</v>
      </c>
      <c r="E2821" s="247" t="s">
        <v>32</v>
      </c>
      <c r="F2821" s="248">
        <v>1</v>
      </c>
      <c r="G2821" s="242">
        <f>IF(B2821="SEPLAG",VLOOKUP(CONCATENATE("MEDIANA - ",C2821),COTAÇÃO,5,FALSE),VLOOKUP($C2821,'NAO DESO'!$A:$D,4,))</f>
        <v>9.9</v>
      </c>
      <c r="H2821" s="242">
        <f>TRUNC(F2821*G2821,2)</f>
        <v>9.9</v>
      </c>
      <c r="I2821" s="54">
        <f>IF(B2821="SEPLAG",VLOOKUP(CONCATENATE("MEDIANA - ",C2821),COTAÇÃO,5,FALSE),VLOOKUP($C2821,DESON!$A:$D,4,))</f>
        <v>9.9</v>
      </c>
      <c r="J2821" s="209">
        <f>TRUNC(F2821*I2821,2)</f>
        <v>9.9</v>
      </c>
    </row>
    <row r="2822" spans="1:10" ht="15" customHeight="1">
      <c r="A2822" s="233" t="s">
        <v>245</v>
      </c>
      <c r="B2822" s="161"/>
      <c r="C2822" s="161">
        <v>88309</v>
      </c>
      <c r="D2822" s="161" t="str">
        <f>IF(B2822="SEPLAG",VLOOKUP(COMPOSIÇÕES!C2822,'MAPA COMPARATIVO'!A:B,2,FALSE),VLOOKUP(C2822,'NAO DESO'!A:B,2,0))</f>
        <v>PEDREIRO COM ENCARGOS COMPLEMENTARES</v>
      </c>
      <c r="E2822" s="247" t="s">
        <v>16</v>
      </c>
      <c r="F2822" s="248">
        <v>0.5</v>
      </c>
      <c r="G2822" s="242" t="str">
        <f>IF(B2822="SEPLAG",VLOOKUP(CONCATENATE("MEDIANA - ",C2822),COTAÇÃO,5,FALSE),VLOOKUP($C2822,'NAO DESO'!$A:$D,4,))</f>
        <v>21,10</v>
      </c>
      <c r="H2822" s="242">
        <f>TRUNC(F2822*G2822,2)</f>
        <v>10.55</v>
      </c>
      <c r="I2822" s="54" t="str">
        <f>IF(B2822="SEPLAG",VLOOKUP(CONCATENATE("MEDIANA - ",C2822),COTAÇÃO,5,FALSE),VLOOKUP($C2822,DESON!$A:$D,4,))</f>
        <v>18,86</v>
      </c>
      <c r="J2822" s="209">
        <f>TRUNC(F2822*I2822,2)</f>
        <v>9.43</v>
      </c>
    </row>
    <row r="2823" spans="1:10" ht="15" customHeight="1">
      <c r="A2823" s="210" t="str">
        <f>CONCATENATE("TOTAL DO ITEM NÃO DESON. - ",C2818)</f>
        <v>TOTAL DO ITEM NÃO DESON. - SEPLAG INC 22</v>
      </c>
      <c r="B2823" s="161"/>
      <c r="C2823" s="161"/>
      <c r="D2823" s="161"/>
      <c r="E2823" s="247"/>
      <c r="F2823" s="248"/>
      <c r="G2823" s="248"/>
      <c r="H2823" s="1189">
        <f>SUM(H2821:H2822)</f>
        <v>20.450000000000003</v>
      </c>
      <c r="I2823" s="213"/>
      <c r="J2823" s="215"/>
    </row>
    <row r="2824" spans="1:10" ht="15.75" customHeight="1" thickBot="1">
      <c r="A2824" s="216" t="str">
        <f>CONCATENATE("TOTAL DO ITEM DESON. - ",C2818)</f>
        <v>TOTAL DO ITEM DESON. - SEPLAG INC 22</v>
      </c>
      <c r="B2824" s="1147"/>
      <c r="C2824" s="1147"/>
      <c r="D2824" s="1147"/>
      <c r="E2824" s="1218"/>
      <c r="F2824" s="1219"/>
      <c r="G2824" s="1219"/>
      <c r="H2824" s="1219"/>
      <c r="I2824" s="229"/>
      <c r="J2824" s="219">
        <f>SUM(J2821:J2823)</f>
        <v>19.329999999999998</v>
      </c>
    </row>
    <row r="2825" spans="1:10" ht="15" customHeight="1" thickBot="1">
      <c r="A2825" s="235"/>
      <c r="B2825" s="1135"/>
      <c r="C2825" s="1135"/>
      <c r="D2825" s="1135"/>
      <c r="E2825" s="1135"/>
      <c r="F2825" s="1188"/>
      <c r="G2825" s="1188"/>
      <c r="H2825" s="1188"/>
      <c r="I2825" s="236"/>
      <c r="J2825" s="237"/>
    </row>
    <row r="2826" spans="1:10" ht="26.25" customHeight="1">
      <c r="A2826" s="230"/>
      <c r="B2826" s="1146"/>
      <c r="C2826" s="1146" t="s">
        <v>286</v>
      </c>
      <c r="D2826" s="1146" t="s">
        <v>7679</v>
      </c>
      <c r="E2826" s="1152" t="s">
        <v>24</v>
      </c>
      <c r="F2826" s="1177" t="s">
        <v>18</v>
      </c>
      <c r="G2826" s="1178" t="s">
        <v>7015</v>
      </c>
      <c r="H2826" s="1179"/>
      <c r="I2826" s="200" t="s">
        <v>7016</v>
      </c>
      <c r="J2826" s="201"/>
    </row>
    <row r="2827" spans="1:10" ht="15" customHeight="1">
      <c r="A2827" s="203"/>
      <c r="B2827" s="432"/>
      <c r="C2827" s="432"/>
      <c r="D2827" s="432"/>
      <c r="E2827" s="430"/>
      <c r="F2827" s="1180"/>
      <c r="G2827" s="1180" t="s">
        <v>19</v>
      </c>
      <c r="H2827" s="1180" t="s">
        <v>20</v>
      </c>
      <c r="I2827" s="204" t="s">
        <v>19</v>
      </c>
      <c r="J2827" s="206" t="s">
        <v>20</v>
      </c>
    </row>
    <row r="2828" spans="1:10" ht="15" customHeight="1">
      <c r="A2828" s="233"/>
      <c r="B2828" s="161"/>
      <c r="C2828" s="161"/>
      <c r="D2828" s="161" t="s">
        <v>117</v>
      </c>
      <c r="E2828" s="247"/>
      <c r="F2828" s="248"/>
      <c r="G2828" s="248"/>
      <c r="H2828" s="248"/>
      <c r="I2828" s="214"/>
      <c r="J2828" s="227"/>
    </row>
    <row r="2829" spans="1:10" ht="39" customHeight="1">
      <c r="A2829" s="233" t="s">
        <v>39</v>
      </c>
      <c r="B2829" s="161" t="s">
        <v>14504</v>
      </c>
      <c r="C2829" s="161" t="s">
        <v>14366</v>
      </c>
      <c r="D2829" s="161" t="str">
        <f>IF(B2829="SEPLAG",VLOOKUP(COMPOSIÇÕES!C2829,'MAPA COMPARATIVO'!A:B,2,FALSE),VLOOKUP(C2829,'NAO DESO'!A:B,2,0))</f>
        <v>PLACA FOTOLUMINESCENTE (TIPO : S1|FORMATO: RETANGULAR|DIMENSÃO: 380MMX190MM INFORMAÇÃO: PICTOGRAMA SEM TEXTO - SAÍDA DE EMERGÊNCIA ESQUERDA)</v>
      </c>
      <c r="E2829" s="247" t="s">
        <v>32</v>
      </c>
      <c r="F2829" s="248">
        <v>1</v>
      </c>
      <c r="G2829" s="242">
        <f>IF(B2829="SEPLAG",VLOOKUP(CONCATENATE("MEDIANA - ",C2829),COTAÇÃO,5,FALSE),VLOOKUP($C2829,'NAO DESO'!$A:$D,4,))</f>
        <v>9.9</v>
      </c>
      <c r="H2829" s="242">
        <f>TRUNC(F2829*G2829,2)</f>
        <v>9.9</v>
      </c>
      <c r="I2829" s="54">
        <f>IF(B2829="SEPLAG",VLOOKUP(CONCATENATE("MEDIANA - ",C2829),COTAÇÃO,5,FALSE),VLOOKUP($C2829,DESON!$A:$D,4,))</f>
        <v>9.9</v>
      </c>
      <c r="J2829" s="209">
        <f>TRUNC(F2829*I2829,2)</f>
        <v>9.9</v>
      </c>
    </row>
    <row r="2830" spans="1:10" ht="15" customHeight="1">
      <c r="A2830" s="233" t="s">
        <v>245</v>
      </c>
      <c r="B2830" s="161"/>
      <c r="C2830" s="161">
        <v>88309</v>
      </c>
      <c r="D2830" s="161" t="str">
        <f>IF(B2830="SEPLAG",VLOOKUP(COMPOSIÇÕES!C2830,'MAPA COMPARATIVO'!A:B,2,FALSE),VLOOKUP(C2830,'NAO DESO'!A:B,2,0))</f>
        <v>PEDREIRO COM ENCARGOS COMPLEMENTARES</v>
      </c>
      <c r="E2830" s="247" t="s">
        <v>16</v>
      </c>
      <c r="F2830" s="248">
        <v>0.5</v>
      </c>
      <c r="G2830" s="242" t="str">
        <f>IF(B2830="SEPLAG",VLOOKUP(CONCATENATE("MEDIANA - ",C2830),COTAÇÃO,5,FALSE),VLOOKUP($C2830,'NAO DESO'!$A:$D,4,))</f>
        <v>21,10</v>
      </c>
      <c r="H2830" s="242">
        <f>TRUNC(F2830*G2830,2)</f>
        <v>10.55</v>
      </c>
      <c r="I2830" s="54" t="str">
        <f>IF(B2830="SEPLAG",VLOOKUP(CONCATENATE("MEDIANA - ",C2830),COTAÇÃO,5,FALSE),VLOOKUP($C2830,DESON!$A:$D,4,))</f>
        <v>18,86</v>
      </c>
      <c r="J2830" s="209">
        <f>TRUNC(F2830*I2830,2)</f>
        <v>9.43</v>
      </c>
    </row>
    <row r="2831" spans="1:10" ht="15" customHeight="1">
      <c r="A2831" s="210" t="str">
        <f>CONCATENATE("TOTAL DO ITEM NÃO DESON. - ",C2826)</f>
        <v>TOTAL DO ITEM NÃO DESON. - SEPLAG INC 23</v>
      </c>
      <c r="B2831" s="161"/>
      <c r="C2831" s="161"/>
      <c r="D2831" s="161"/>
      <c r="E2831" s="247"/>
      <c r="F2831" s="248"/>
      <c r="G2831" s="248"/>
      <c r="H2831" s="1189">
        <f>SUM(H2829:H2830)</f>
        <v>20.450000000000003</v>
      </c>
      <c r="I2831" s="213"/>
      <c r="J2831" s="215"/>
    </row>
    <row r="2832" spans="1:10" ht="15.75" customHeight="1" thickBot="1">
      <c r="A2832" s="216" t="str">
        <f>CONCATENATE("TOTAL DO ITEM DESON. - ",C2826)</f>
        <v>TOTAL DO ITEM DESON. - SEPLAG INC 23</v>
      </c>
      <c r="B2832" s="1147"/>
      <c r="C2832" s="1147"/>
      <c r="D2832" s="1147"/>
      <c r="E2832" s="1218"/>
      <c r="F2832" s="1219"/>
      <c r="G2832" s="1219"/>
      <c r="H2832" s="1219"/>
      <c r="I2832" s="229"/>
      <c r="J2832" s="219">
        <f>SUM(J2829:J2831)</f>
        <v>19.329999999999998</v>
      </c>
    </row>
    <row r="2833" spans="1:10" ht="15" customHeight="1" thickBot="1">
      <c r="A2833" s="235"/>
      <c r="B2833" s="1135"/>
      <c r="C2833" s="1135"/>
      <c r="D2833" s="1135"/>
      <c r="E2833" s="1135"/>
      <c r="F2833" s="1188"/>
      <c r="G2833" s="1188"/>
      <c r="H2833" s="1188"/>
      <c r="I2833" s="236"/>
      <c r="J2833" s="237"/>
    </row>
    <row r="2834" spans="1:10" ht="26.25" customHeight="1">
      <c r="A2834" s="230"/>
      <c r="B2834" s="1146"/>
      <c r="C2834" s="1146" t="s">
        <v>287</v>
      </c>
      <c r="D2834" s="1146" t="s">
        <v>7680</v>
      </c>
      <c r="E2834" s="1152" t="s">
        <v>24</v>
      </c>
      <c r="F2834" s="1220" t="s">
        <v>18</v>
      </c>
      <c r="G2834" s="1178" t="s">
        <v>7015</v>
      </c>
      <c r="H2834" s="1179"/>
      <c r="I2834" s="200" t="s">
        <v>7016</v>
      </c>
      <c r="J2834" s="201"/>
    </row>
    <row r="2835" spans="1:10" ht="15" customHeight="1">
      <c r="A2835" s="203"/>
      <c r="B2835" s="432"/>
      <c r="C2835" s="432"/>
      <c r="D2835" s="432"/>
      <c r="E2835" s="430"/>
      <c r="F2835" s="1221"/>
      <c r="G2835" s="1221" t="s">
        <v>19</v>
      </c>
      <c r="H2835" s="1221" t="s">
        <v>20</v>
      </c>
      <c r="I2835" s="450" t="s">
        <v>19</v>
      </c>
      <c r="J2835" s="451" t="s">
        <v>20</v>
      </c>
    </row>
    <row r="2836" spans="1:10" ht="15" customHeight="1">
      <c r="A2836" s="233"/>
      <c r="B2836" s="161"/>
      <c r="C2836" s="161"/>
      <c r="D2836" s="161" t="s">
        <v>117</v>
      </c>
      <c r="E2836" s="247"/>
      <c r="F2836" s="248"/>
      <c r="G2836" s="248"/>
      <c r="H2836" s="248"/>
      <c r="I2836" s="214"/>
      <c r="J2836" s="227"/>
    </row>
    <row r="2837" spans="1:10" ht="39" customHeight="1">
      <c r="A2837" s="233" t="s">
        <v>39</v>
      </c>
      <c r="B2837" s="161" t="s">
        <v>14504</v>
      </c>
      <c r="C2837" s="161" t="s">
        <v>14367</v>
      </c>
      <c r="D2837" s="161" t="str">
        <f>IF(B2837="SEPLAG",VLOOKUP(COMPOSIÇÕES!C2837,'MAPA COMPARATIVO'!A:B,2,FALSE),VLOOKUP(C2837,'NAO DESO'!A:B,2,0))</f>
        <v>PLACA FOTOLUMINESCENTE (TIPO : S1|FORMATO: RETANGULAR|DIMENSÃO: 380MMX190MM INFORMAÇÃO: PICTOGRAMA SEM TEXTO - SAÍDA DE EMERGÊNCIA)</v>
      </c>
      <c r="E2837" s="247" t="s">
        <v>32</v>
      </c>
      <c r="F2837" s="248">
        <v>1</v>
      </c>
      <c r="G2837" s="242">
        <f>IF(B2837="SEPLAG",VLOOKUP(CONCATENATE("MEDIANA - ",C2837),COTAÇÃO,5,FALSE),VLOOKUP($C2837,'NAO DESO'!$A:$D,4,))</f>
        <v>13.49</v>
      </c>
      <c r="H2837" s="242">
        <f>TRUNC(F2837*G2837,2)</f>
        <v>13.49</v>
      </c>
      <c r="I2837" s="54">
        <f>IF(B2837="SEPLAG",VLOOKUP(CONCATENATE("MEDIANA - ",C2837),COTAÇÃO,5,FALSE),VLOOKUP($C2837,DESON!$A:$D,4,))</f>
        <v>13.49</v>
      </c>
      <c r="J2837" s="209">
        <f>TRUNC(F2837*I2837,2)</f>
        <v>13.49</v>
      </c>
    </row>
    <row r="2838" spans="1:10" ht="15" customHeight="1">
      <c r="A2838" s="233" t="s">
        <v>245</v>
      </c>
      <c r="B2838" s="161"/>
      <c r="C2838" s="161">
        <v>88309</v>
      </c>
      <c r="D2838" s="161" t="str">
        <f>IF(B2838="SEPLAG",VLOOKUP(COMPOSIÇÕES!C2838,'MAPA COMPARATIVO'!A:B,2,FALSE),VLOOKUP(C2838,'NAO DESO'!A:B,2,0))</f>
        <v>PEDREIRO COM ENCARGOS COMPLEMENTARES</v>
      </c>
      <c r="E2838" s="247" t="s">
        <v>16</v>
      </c>
      <c r="F2838" s="248">
        <v>0.5</v>
      </c>
      <c r="G2838" s="242" t="str">
        <f>IF(B2838="SEPLAG",VLOOKUP(CONCATENATE("MEDIANA - ",C2838),COTAÇÃO,5,FALSE),VLOOKUP($C2838,'NAO DESO'!$A:$D,4,))</f>
        <v>21,10</v>
      </c>
      <c r="H2838" s="242">
        <f>TRUNC(F2838*G2838,2)</f>
        <v>10.55</v>
      </c>
      <c r="I2838" s="54" t="str">
        <f>IF(B2838="SEPLAG",VLOOKUP(CONCATENATE("MEDIANA - ",C2838),COTAÇÃO,5,FALSE),VLOOKUP($C2838,DESON!$A:$D,4,))</f>
        <v>18,86</v>
      </c>
      <c r="J2838" s="209">
        <f>TRUNC(F2838*I2838,2)</f>
        <v>9.43</v>
      </c>
    </row>
    <row r="2839" spans="1:10" ht="15" customHeight="1">
      <c r="A2839" s="210" t="str">
        <f>CONCATENATE("TOTAL DO ITEM NÃO DESON. - ",C2834)</f>
        <v>TOTAL DO ITEM NÃO DESON. - SEPLAG INC 24</v>
      </c>
      <c r="B2839" s="161"/>
      <c r="C2839" s="161"/>
      <c r="D2839" s="161"/>
      <c r="E2839" s="247"/>
      <c r="F2839" s="248"/>
      <c r="G2839" s="248"/>
      <c r="H2839" s="1189">
        <f>SUM(H2837:H2838)</f>
        <v>24.04</v>
      </c>
      <c r="I2839" s="213"/>
      <c r="J2839" s="215"/>
    </row>
    <row r="2840" spans="1:10" ht="15.75" customHeight="1" thickBot="1">
      <c r="A2840" s="216" t="str">
        <f>CONCATENATE("TOTAL DO ITEM DESON. - ",C2834)</f>
        <v>TOTAL DO ITEM DESON. - SEPLAG INC 24</v>
      </c>
      <c r="B2840" s="1147"/>
      <c r="C2840" s="1147"/>
      <c r="D2840" s="1147"/>
      <c r="E2840" s="1218"/>
      <c r="F2840" s="1219"/>
      <c r="G2840" s="1219"/>
      <c r="H2840" s="1219"/>
      <c r="I2840" s="229"/>
      <c r="J2840" s="219">
        <f>SUM(J2837:J2839)</f>
        <v>22.92</v>
      </c>
    </row>
    <row r="2841" spans="1:10" ht="15" customHeight="1" thickBot="1">
      <c r="A2841" s="235"/>
      <c r="B2841" s="1135"/>
      <c r="C2841" s="1135"/>
      <c r="D2841" s="1135"/>
      <c r="E2841" s="1135"/>
      <c r="F2841" s="1188"/>
      <c r="G2841" s="1188"/>
      <c r="H2841" s="1188"/>
      <c r="I2841" s="236"/>
      <c r="J2841" s="237"/>
    </row>
    <row r="2842" spans="1:10" ht="26.25" customHeight="1">
      <c r="A2842" s="230"/>
      <c r="B2842" s="1146"/>
      <c r="C2842" s="1146" t="s">
        <v>288</v>
      </c>
      <c r="D2842" s="1146" t="s">
        <v>7681</v>
      </c>
      <c r="E2842" s="1152" t="s">
        <v>24</v>
      </c>
      <c r="F2842" s="1177" t="s">
        <v>18</v>
      </c>
      <c r="G2842" s="1178" t="s">
        <v>7015</v>
      </c>
      <c r="H2842" s="1179"/>
      <c r="I2842" s="200" t="s">
        <v>7016</v>
      </c>
      <c r="J2842" s="201"/>
    </row>
    <row r="2843" spans="1:10" ht="15" customHeight="1">
      <c r="A2843" s="203"/>
      <c r="B2843" s="432"/>
      <c r="C2843" s="432"/>
      <c r="D2843" s="432"/>
      <c r="E2843" s="430"/>
      <c r="F2843" s="1180"/>
      <c r="G2843" s="1180" t="s">
        <v>19</v>
      </c>
      <c r="H2843" s="1180" t="s">
        <v>20</v>
      </c>
      <c r="I2843" s="204" t="s">
        <v>19</v>
      </c>
      <c r="J2843" s="206" t="s">
        <v>20</v>
      </c>
    </row>
    <row r="2844" spans="1:10" ht="15" customHeight="1">
      <c r="A2844" s="233"/>
      <c r="B2844" s="161"/>
      <c r="C2844" s="161"/>
      <c r="D2844" s="161" t="s">
        <v>117</v>
      </c>
      <c r="E2844" s="247"/>
      <c r="F2844" s="248"/>
      <c r="G2844" s="248"/>
      <c r="H2844" s="248"/>
      <c r="I2844" s="214"/>
      <c r="J2844" s="227"/>
    </row>
    <row r="2845" spans="1:10" ht="39" customHeight="1">
      <c r="A2845" s="233" t="s">
        <v>39</v>
      </c>
      <c r="B2845" s="161" t="s">
        <v>14504</v>
      </c>
      <c r="C2845" s="161" t="s">
        <v>14368</v>
      </c>
      <c r="D2845" s="161" t="str">
        <f>IF(B2845="SEPLAG",VLOOKUP(COMPOSIÇÕES!C2845,'MAPA COMPARATIVO'!A:B,2,FALSE),VLOOKUP(C2845,'NAO DESO'!A:B,2,0))</f>
        <v>PLACA FOTOLUMINESCENTE (TIPO : S1|FORMATO: RETANGULAR|DIMENSÃO: 316MMX158MM INFORMAÇÃO: PICTOGRAMA SEM TEXTO - ESCADA DE EMERGÊNCIA)</v>
      </c>
      <c r="E2845" s="247" t="s">
        <v>32</v>
      </c>
      <c r="F2845" s="248">
        <v>1</v>
      </c>
      <c r="G2845" s="242">
        <f>IF(B2845="SEPLAG",VLOOKUP(CONCATENATE("MEDIANA - ",C2845),COTAÇÃO,5,FALSE),VLOOKUP($C2845,'NAO DESO'!$A:$D,4,))</f>
        <v>13.49</v>
      </c>
      <c r="H2845" s="242">
        <f>TRUNC(F2845*G2845,2)</f>
        <v>13.49</v>
      </c>
      <c r="I2845" s="54">
        <f>IF(B2845="SEPLAG",VLOOKUP(CONCATENATE("MEDIANA - ",C2845),COTAÇÃO,5,FALSE),VLOOKUP($C2845,DESON!$A:$D,4,))</f>
        <v>13.49</v>
      </c>
      <c r="J2845" s="209">
        <f>TRUNC(F2845*I2845,2)</f>
        <v>13.49</v>
      </c>
    </row>
    <row r="2846" spans="1:10" ht="15" customHeight="1">
      <c r="A2846" s="233" t="s">
        <v>245</v>
      </c>
      <c r="B2846" s="161"/>
      <c r="C2846" s="161">
        <v>88309</v>
      </c>
      <c r="D2846" s="161" t="str">
        <f>IF(B2846="SEPLAG",VLOOKUP(COMPOSIÇÕES!C2846,'MAPA COMPARATIVO'!A:B,2,FALSE),VLOOKUP(C2846,'NAO DESO'!A:B,2,0))</f>
        <v>PEDREIRO COM ENCARGOS COMPLEMENTARES</v>
      </c>
      <c r="E2846" s="247" t="s">
        <v>16</v>
      </c>
      <c r="F2846" s="248">
        <v>0.5</v>
      </c>
      <c r="G2846" s="242" t="str">
        <f>IF(B2846="SEPLAG",VLOOKUP(CONCATENATE("MEDIANA - ",C2846),COTAÇÃO,5,FALSE),VLOOKUP($C2846,'NAO DESO'!$A:$D,4,))</f>
        <v>21,10</v>
      </c>
      <c r="H2846" s="242">
        <f>TRUNC(F2846*G2846,2)</f>
        <v>10.55</v>
      </c>
      <c r="I2846" s="54" t="str">
        <f>IF(B2846="SEPLAG",VLOOKUP(CONCATENATE("MEDIANA - ",C2846),COTAÇÃO,5,FALSE),VLOOKUP($C2846,DESON!$A:$D,4,))</f>
        <v>18,86</v>
      </c>
      <c r="J2846" s="209">
        <f>TRUNC(F2846*I2846,2)</f>
        <v>9.43</v>
      </c>
    </row>
    <row r="2847" spans="1:10" ht="15" customHeight="1">
      <c r="A2847" s="210" t="str">
        <f>CONCATENATE("TOTAL DO ITEM NÃO DESON. - ",C2842)</f>
        <v>TOTAL DO ITEM NÃO DESON. - SEPLAG INC 25</v>
      </c>
      <c r="B2847" s="161"/>
      <c r="C2847" s="161"/>
      <c r="D2847" s="161"/>
      <c r="E2847" s="247"/>
      <c r="F2847" s="248"/>
      <c r="G2847" s="248"/>
      <c r="H2847" s="1189">
        <f>SUM(H2845:H2846)</f>
        <v>24.04</v>
      </c>
      <c r="I2847" s="213"/>
      <c r="J2847" s="215"/>
    </row>
    <row r="2848" spans="1:10" ht="15.75" customHeight="1" thickBot="1">
      <c r="A2848" s="216" t="str">
        <f>CONCATENATE("TOTAL DO ITEM DESON. - ",C2842)</f>
        <v>TOTAL DO ITEM DESON. - SEPLAG INC 25</v>
      </c>
      <c r="B2848" s="1147"/>
      <c r="C2848" s="1147"/>
      <c r="D2848" s="1147"/>
      <c r="E2848" s="1218"/>
      <c r="F2848" s="1219"/>
      <c r="G2848" s="1219"/>
      <c r="H2848" s="1219"/>
      <c r="I2848" s="229"/>
      <c r="J2848" s="219">
        <f>SUM(J2845:J2847)</f>
        <v>22.92</v>
      </c>
    </row>
    <row r="2849" spans="1:10" ht="15" customHeight="1" thickBot="1">
      <c r="A2849" s="235"/>
      <c r="B2849" s="1135"/>
      <c r="C2849" s="1135"/>
      <c r="D2849" s="1135"/>
      <c r="E2849" s="1135"/>
      <c r="F2849" s="1188"/>
      <c r="G2849" s="1188"/>
      <c r="H2849" s="1188"/>
      <c r="I2849" s="236"/>
      <c r="J2849" s="237"/>
    </row>
    <row r="2850" spans="1:10" ht="26.25" customHeight="1">
      <c r="A2850" s="230"/>
      <c r="B2850" s="1146"/>
      <c r="C2850" s="1146" t="s">
        <v>289</v>
      </c>
      <c r="D2850" s="1146" t="s">
        <v>7682</v>
      </c>
      <c r="E2850" s="1152" t="s">
        <v>24</v>
      </c>
      <c r="F2850" s="1177" t="s">
        <v>18</v>
      </c>
      <c r="G2850" s="1178" t="s">
        <v>7015</v>
      </c>
      <c r="H2850" s="1179"/>
      <c r="I2850" s="200" t="s">
        <v>7016</v>
      </c>
      <c r="J2850" s="201"/>
    </row>
    <row r="2851" spans="1:10" ht="15" customHeight="1">
      <c r="A2851" s="203"/>
      <c r="B2851" s="432"/>
      <c r="C2851" s="432"/>
      <c r="D2851" s="432"/>
      <c r="E2851" s="430"/>
      <c r="F2851" s="1180"/>
      <c r="G2851" s="1180" t="s">
        <v>19</v>
      </c>
      <c r="H2851" s="1180" t="s">
        <v>20</v>
      </c>
      <c r="I2851" s="204" t="s">
        <v>19</v>
      </c>
      <c r="J2851" s="206" t="s">
        <v>20</v>
      </c>
    </row>
    <row r="2852" spans="1:10" ht="15" customHeight="1">
      <c r="A2852" s="233"/>
      <c r="B2852" s="161"/>
      <c r="C2852" s="161"/>
      <c r="D2852" s="161" t="s">
        <v>119</v>
      </c>
      <c r="E2852" s="247"/>
      <c r="F2852" s="248"/>
      <c r="G2852" s="248"/>
      <c r="H2852" s="248"/>
      <c r="I2852" s="214"/>
      <c r="J2852" s="227"/>
    </row>
    <row r="2853" spans="1:10" ht="39" customHeight="1">
      <c r="A2853" s="233" t="s">
        <v>39</v>
      </c>
      <c r="B2853" s="161" t="s">
        <v>14504</v>
      </c>
      <c r="C2853" s="161" t="s">
        <v>14369</v>
      </c>
      <c r="D2853" s="161" t="str">
        <f>IF(B2853="SEPLAG",VLOOKUP(COMPOSIÇÕES!C2853,'MAPA COMPARATIVO'!A:B,2,FALSE),VLOOKUP(C2853,'NAO DESO'!A:B,2,0))</f>
        <v>PLACA FOTOLUMINESCENTE (TIPO : S10 FORMATO: RETANGULAR DIMENSÃO: 380MMX190MM INFORMAÇÃO: PICTOGRAMA SEM TEXTO - SAIDA DE EMERGÊNCIA)</v>
      </c>
      <c r="E2853" s="247" t="s">
        <v>32</v>
      </c>
      <c r="F2853" s="248">
        <v>1</v>
      </c>
      <c r="G2853" s="242">
        <f>IF(B2853="SEPLAG",VLOOKUP(CONCATENATE("MEDIANA - ",C2853),COTAÇÃO,5,FALSE),VLOOKUP($C2853,'NAO DESO'!$A:$D,4,))</f>
        <v>9.9</v>
      </c>
      <c r="H2853" s="242">
        <f>TRUNC(F2853*G2853,2)</f>
        <v>9.9</v>
      </c>
      <c r="I2853" s="54">
        <f>IF(B2853="SEPLAG",VLOOKUP(CONCATENATE("MEDIANA - ",C2853),COTAÇÃO,5,FALSE),VLOOKUP($C2853,DESON!$A:$D,4,))</f>
        <v>9.9</v>
      </c>
      <c r="J2853" s="209">
        <f>TRUNC(F2853*I2853,2)</f>
        <v>9.9</v>
      </c>
    </row>
    <row r="2854" spans="1:10" ht="15" customHeight="1">
      <c r="A2854" s="233" t="s">
        <v>245</v>
      </c>
      <c r="B2854" s="161"/>
      <c r="C2854" s="161">
        <v>88309</v>
      </c>
      <c r="D2854" s="161" t="str">
        <f>IF(B2854="SEPLAG",VLOOKUP(COMPOSIÇÕES!C2854,'MAPA COMPARATIVO'!A:B,2,FALSE),VLOOKUP(C2854,'NAO DESO'!A:B,2,0))</f>
        <v>PEDREIRO COM ENCARGOS COMPLEMENTARES</v>
      </c>
      <c r="E2854" s="247" t="s">
        <v>16</v>
      </c>
      <c r="F2854" s="248">
        <v>0.5</v>
      </c>
      <c r="G2854" s="242" t="str">
        <f>IF(B2854="SEPLAG",VLOOKUP(CONCATENATE("MEDIANA - ",C2854),COTAÇÃO,5,FALSE),VLOOKUP($C2854,'NAO DESO'!$A:$D,4,))</f>
        <v>21,10</v>
      </c>
      <c r="H2854" s="242">
        <f>TRUNC(F2854*G2854,2)</f>
        <v>10.55</v>
      </c>
      <c r="I2854" s="54" t="str">
        <f>IF(B2854="SEPLAG",VLOOKUP(CONCATENATE("MEDIANA - ",C2854),COTAÇÃO,5,FALSE),VLOOKUP($C2854,DESON!$A:$D,4,))</f>
        <v>18,86</v>
      </c>
      <c r="J2854" s="209">
        <f>TRUNC(F2854*I2854,2)</f>
        <v>9.43</v>
      </c>
    </row>
    <row r="2855" spans="1:10" ht="15" customHeight="1">
      <c r="A2855" s="210" t="str">
        <f>CONCATENATE("TOTAL DO ITEM NÃO DESON. - ",C2850)</f>
        <v>TOTAL DO ITEM NÃO DESON. - SEPLAG INC 26</v>
      </c>
      <c r="B2855" s="161"/>
      <c r="C2855" s="161"/>
      <c r="D2855" s="161"/>
      <c r="E2855" s="247"/>
      <c r="F2855" s="248"/>
      <c r="G2855" s="248"/>
      <c r="H2855" s="1189">
        <f>SUM(H2853:H2854)</f>
        <v>20.450000000000003</v>
      </c>
      <c r="I2855" s="213"/>
      <c r="J2855" s="215"/>
    </row>
    <row r="2856" spans="1:10" ht="15.75" customHeight="1" thickBot="1">
      <c r="A2856" s="216" t="str">
        <f>CONCATENATE("TOTAL DO ITEM DESON. - ",C2850)</f>
        <v>TOTAL DO ITEM DESON. - SEPLAG INC 26</v>
      </c>
      <c r="B2856" s="1147"/>
      <c r="C2856" s="1147"/>
      <c r="D2856" s="1147"/>
      <c r="E2856" s="1218"/>
      <c r="F2856" s="1219"/>
      <c r="G2856" s="1219"/>
      <c r="H2856" s="1190"/>
      <c r="I2856" s="228"/>
      <c r="J2856" s="219">
        <f>SUM(J2853:J2855)</f>
        <v>19.329999999999998</v>
      </c>
    </row>
    <row r="2857" spans="1:10" ht="15" customHeight="1" thickBot="1">
      <c r="A2857" s="235"/>
      <c r="B2857" s="1135"/>
      <c r="C2857" s="1135"/>
      <c r="D2857" s="1135"/>
      <c r="E2857" s="1135"/>
      <c r="F2857" s="1188"/>
      <c r="G2857" s="1188"/>
      <c r="H2857" s="1188"/>
      <c r="I2857" s="236"/>
      <c r="J2857" s="237"/>
    </row>
    <row r="2858" spans="1:10" ht="26.25" customHeight="1">
      <c r="A2858" s="230"/>
      <c r="B2858" s="1146"/>
      <c r="C2858" s="1146" t="s">
        <v>290</v>
      </c>
      <c r="D2858" s="1146" t="s">
        <v>7683</v>
      </c>
      <c r="E2858" s="1152" t="s">
        <v>24</v>
      </c>
      <c r="F2858" s="1177" t="s">
        <v>18</v>
      </c>
      <c r="G2858" s="1178" t="s">
        <v>7015</v>
      </c>
      <c r="H2858" s="1179"/>
      <c r="I2858" s="200" t="s">
        <v>7016</v>
      </c>
      <c r="J2858" s="201"/>
    </row>
    <row r="2859" spans="1:10" ht="15" customHeight="1">
      <c r="A2859" s="203"/>
      <c r="B2859" s="432"/>
      <c r="C2859" s="432"/>
      <c r="D2859" s="432"/>
      <c r="E2859" s="430"/>
      <c r="F2859" s="1180"/>
      <c r="G2859" s="1180" t="s">
        <v>19</v>
      </c>
      <c r="H2859" s="1180" t="s">
        <v>20</v>
      </c>
      <c r="I2859" s="204" t="s">
        <v>19</v>
      </c>
      <c r="J2859" s="206" t="s">
        <v>20</v>
      </c>
    </row>
    <row r="2860" spans="1:10" ht="15" customHeight="1">
      <c r="A2860" s="233"/>
      <c r="B2860" s="161"/>
      <c r="C2860" s="161"/>
      <c r="D2860" s="161" t="s">
        <v>120</v>
      </c>
      <c r="E2860" s="247"/>
      <c r="F2860" s="248"/>
      <c r="G2860" s="248"/>
      <c r="H2860" s="248"/>
      <c r="I2860" s="214"/>
      <c r="J2860" s="227"/>
    </row>
    <row r="2861" spans="1:10" ht="26.25" customHeight="1">
      <c r="A2861" s="233" t="s">
        <v>39</v>
      </c>
      <c r="B2861" s="161" t="s">
        <v>14504</v>
      </c>
      <c r="C2861" s="161" t="s">
        <v>14370</v>
      </c>
      <c r="D2861" s="161" t="str">
        <f>IF(B2861="SEPLAG",VLOOKUP(COMPOSIÇÕES!C2861,'MAPA COMPARATIVO'!A:B,2,FALSE),VLOOKUP(C2861,'NAO DESO'!A:B,2,0))</f>
        <v>PLACA FOTOLUMINESCENTE (TIPO : S17 FORMATO: RETANGULAR|DIMENSÃO: 380MMX190MM INFORMAÇÃO: COM TEXTO - (INDICAÇÃO DE PAVIMENTO)</v>
      </c>
      <c r="E2861" s="247" t="s">
        <v>32</v>
      </c>
      <c r="F2861" s="248">
        <v>1</v>
      </c>
      <c r="G2861" s="242">
        <f>IF(B2861="SEPLAG",VLOOKUP(CONCATENATE("MEDIANA - ",C2861),COTAÇÃO,5,FALSE),VLOOKUP($C2861,'NAO DESO'!$A:$D,4,))</f>
        <v>12</v>
      </c>
      <c r="H2861" s="242">
        <f>TRUNC(F2861*G2861,2)</f>
        <v>12</v>
      </c>
      <c r="I2861" s="54">
        <f>IF(B2861="SEPLAG",VLOOKUP(CONCATENATE("MEDIANA - ",C2861),COTAÇÃO,5,FALSE),VLOOKUP($C2861,DESON!$A:$D,4,))</f>
        <v>12</v>
      </c>
      <c r="J2861" s="209">
        <f>TRUNC(F2861*I2861,2)</f>
        <v>12</v>
      </c>
    </row>
    <row r="2862" spans="1:10" ht="15" customHeight="1">
      <c r="A2862" s="233" t="s">
        <v>245</v>
      </c>
      <c r="B2862" s="161"/>
      <c r="C2862" s="161">
        <v>88309</v>
      </c>
      <c r="D2862" s="161" t="str">
        <f>IF(B2862="SEPLAG",VLOOKUP(COMPOSIÇÕES!C2862,'MAPA COMPARATIVO'!A:B,2,FALSE),VLOOKUP(C2862,'NAO DESO'!A:B,2,0))</f>
        <v>PEDREIRO COM ENCARGOS COMPLEMENTARES</v>
      </c>
      <c r="E2862" s="247" t="s">
        <v>16</v>
      </c>
      <c r="F2862" s="248">
        <v>0.5</v>
      </c>
      <c r="G2862" s="242" t="str">
        <f>IF(B2862="SEPLAG",VLOOKUP(CONCATENATE("MEDIANA - ",C2862),COTAÇÃO,5,FALSE),VLOOKUP($C2862,'NAO DESO'!$A:$D,4,))</f>
        <v>21,10</v>
      </c>
      <c r="H2862" s="242">
        <f>TRUNC(F2862*G2862,2)</f>
        <v>10.55</v>
      </c>
      <c r="I2862" s="54" t="str">
        <f>IF(B2862="SEPLAG",VLOOKUP(CONCATENATE("MEDIANA - ",C2862),COTAÇÃO,5,FALSE),VLOOKUP($C2862,DESON!$A:$D,4,))</f>
        <v>18,86</v>
      </c>
      <c r="J2862" s="209">
        <f>TRUNC(F2862*I2862,2)</f>
        <v>9.43</v>
      </c>
    </row>
    <row r="2863" spans="1:10" ht="15" customHeight="1">
      <c r="A2863" s="210" t="str">
        <f>CONCATENATE("TOTAL DO ITEM NÃO DESON. - ",C2858)</f>
        <v>TOTAL DO ITEM NÃO DESON. - SEPLAG INC 27</v>
      </c>
      <c r="B2863" s="161"/>
      <c r="C2863" s="161"/>
      <c r="D2863" s="161"/>
      <c r="E2863" s="247"/>
      <c r="F2863" s="248"/>
      <c r="G2863" s="248"/>
      <c r="H2863" s="1189">
        <f>SUM(H2861:H2862)</f>
        <v>22.55</v>
      </c>
      <c r="I2863" s="213"/>
      <c r="J2863" s="215"/>
    </row>
    <row r="2864" spans="1:10" ht="15.75" customHeight="1" thickBot="1">
      <c r="A2864" s="216" t="str">
        <f>CONCATENATE("TOTAL DO ITEM DESON. - ",C2858)</f>
        <v>TOTAL DO ITEM DESON. - SEPLAG INC 27</v>
      </c>
      <c r="B2864" s="1147"/>
      <c r="C2864" s="1147"/>
      <c r="D2864" s="1147"/>
      <c r="E2864" s="1218"/>
      <c r="F2864" s="1219"/>
      <c r="G2864" s="1219"/>
      <c r="H2864" s="1219"/>
      <c r="I2864" s="229"/>
      <c r="J2864" s="219">
        <f>SUM(J2861:J2863)</f>
        <v>21.43</v>
      </c>
    </row>
    <row r="2865" spans="1:10" ht="15" customHeight="1" thickBot="1">
      <c r="A2865" s="235"/>
      <c r="B2865" s="1135"/>
      <c r="C2865" s="1135"/>
      <c r="D2865" s="1135"/>
      <c r="E2865" s="1135"/>
      <c r="F2865" s="1188"/>
      <c r="G2865" s="1188"/>
      <c r="H2865" s="1188"/>
      <c r="I2865" s="236"/>
      <c r="J2865" s="237"/>
    </row>
    <row r="2866" spans="1:10" ht="26.25" customHeight="1">
      <c r="A2866" s="230"/>
      <c r="B2866" s="1146"/>
      <c r="C2866" s="1146" t="s">
        <v>291</v>
      </c>
      <c r="D2866" s="1146" t="s">
        <v>7684</v>
      </c>
      <c r="E2866" s="1152" t="s">
        <v>24</v>
      </c>
      <c r="F2866" s="1177" t="s">
        <v>18</v>
      </c>
      <c r="G2866" s="1178" t="s">
        <v>7015</v>
      </c>
      <c r="H2866" s="1179"/>
      <c r="I2866" s="200" t="s">
        <v>7016</v>
      </c>
      <c r="J2866" s="201"/>
    </row>
    <row r="2867" spans="1:10" ht="15" customHeight="1">
      <c r="A2867" s="203"/>
      <c r="B2867" s="432"/>
      <c r="C2867" s="432"/>
      <c r="D2867" s="432"/>
      <c r="E2867" s="430"/>
      <c r="F2867" s="1180"/>
      <c r="G2867" s="1180" t="s">
        <v>19</v>
      </c>
      <c r="H2867" s="1180" t="s">
        <v>20</v>
      </c>
      <c r="I2867" s="204" t="s">
        <v>19</v>
      </c>
      <c r="J2867" s="206" t="s">
        <v>20</v>
      </c>
    </row>
    <row r="2868" spans="1:10" ht="15" customHeight="1">
      <c r="A2868" s="233"/>
      <c r="B2868" s="161"/>
      <c r="C2868" s="161"/>
      <c r="D2868" s="161" t="s">
        <v>121</v>
      </c>
      <c r="E2868" s="247"/>
      <c r="F2868" s="1186"/>
      <c r="G2868" s="1186"/>
      <c r="H2868" s="1186"/>
      <c r="I2868" s="226"/>
      <c r="J2868" s="452"/>
    </row>
    <row r="2869" spans="1:10" ht="39" customHeight="1">
      <c r="A2869" s="233" t="s">
        <v>39</v>
      </c>
      <c r="B2869" s="161" t="s">
        <v>14504</v>
      </c>
      <c r="C2869" s="161" t="s">
        <v>14372</v>
      </c>
      <c r="D2869" s="161" t="str">
        <f>IF(B2869="SEPLAG",VLOOKUP(COMPOSIÇÕES!C2869,'MAPA COMPARATIVO'!A:B,2,FALSE),VLOOKUP(C2869,'NAO DESO'!A:B,2,0))</f>
        <v>PLACA FOTOLUMINESCENTE (TIPO : M4 FORMATO: RETANGULAR DIMENSÃO: 240MMX120MM INFORMAÇÃO: PICTOGRAMA SEM TEXTO - ACESSO ESCADA DE EMERGÊNCIA DESCE)</v>
      </c>
      <c r="E2869" s="247" t="s">
        <v>32</v>
      </c>
      <c r="F2869" s="248">
        <v>1</v>
      </c>
      <c r="G2869" s="242">
        <f>IF(B2869="SEPLAG",VLOOKUP(CONCATENATE("MEDIANA - ",C2869),COTAÇÃO,5,FALSE),VLOOKUP($C2869,'NAO DESO'!$A:$D,4,))</f>
        <v>9.9</v>
      </c>
      <c r="H2869" s="242">
        <f>TRUNC(F2869*G2869,2)</f>
        <v>9.9</v>
      </c>
      <c r="I2869" s="54">
        <f>IF(B2869="SEPLAG",VLOOKUP(CONCATENATE("MEDIANA - ",C2869),COTAÇÃO,5,FALSE),VLOOKUP($C2869,DESON!$A:$D,4,))</f>
        <v>9.9</v>
      </c>
      <c r="J2869" s="209">
        <f>TRUNC(F2869*I2869,2)</f>
        <v>9.9</v>
      </c>
    </row>
    <row r="2870" spans="1:10" ht="15" customHeight="1">
      <c r="A2870" s="233" t="s">
        <v>245</v>
      </c>
      <c r="B2870" s="161"/>
      <c r="C2870" s="161">
        <v>88309</v>
      </c>
      <c r="D2870" s="161" t="str">
        <f>IF(B2870="SEPLAG",VLOOKUP(COMPOSIÇÕES!C2870,'MAPA COMPARATIVO'!A:B,2,FALSE),VLOOKUP(C2870,'NAO DESO'!A:B,2,0))</f>
        <v>PEDREIRO COM ENCARGOS COMPLEMENTARES</v>
      </c>
      <c r="E2870" s="247" t="s">
        <v>16</v>
      </c>
      <c r="F2870" s="248">
        <v>0.5</v>
      </c>
      <c r="G2870" s="242" t="str">
        <f>IF(B2870="SEPLAG",VLOOKUP(CONCATENATE("MEDIANA - ",C2870),COTAÇÃO,5,FALSE),VLOOKUP($C2870,'NAO DESO'!$A:$D,4,))</f>
        <v>21,10</v>
      </c>
      <c r="H2870" s="242">
        <f>TRUNC(F2870*G2870,2)</f>
        <v>10.55</v>
      </c>
      <c r="I2870" s="54" t="str">
        <f>IF(B2870="SEPLAG",VLOOKUP(CONCATENATE("MEDIANA - ",C2870),COTAÇÃO,5,FALSE),VLOOKUP($C2870,DESON!$A:$D,4,))</f>
        <v>18,86</v>
      </c>
      <c r="J2870" s="209">
        <f>TRUNC(F2870*I2870,2)</f>
        <v>9.43</v>
      </c>
    </row>
    <row r="2871" spans="1:10" ht="15" customHeight="1">
      <c r="A2871" s="210" t="str">
        <f>CONCATENATE("TOTAL DO ITEM NÃO DESON. - ",C2866)</f>
        <v>TOTAL DO ITEM NÃO DESON. - SEPLAG INC 28</v>
      </c>
      <c r="B2871" s="432"/>
      <c r="C2871" s="432"/>
      <c r="D2871" s="432"/>
      <c r="E2871" s="430"/>
      <c r="F2871" s="1189"/>
      <c r="G2871" s="1189"/>
      <c r="H2871" s="1189">
        <f>SUM(H2869:H2870)</f>
        <v>20.450000000000003</v>
      </c>
      <c r="I2871" s="213"/>
      <c r="J2871" s="215"/>
    </row>
    <row r="2872" spans="1:10" ht="15.75" customHeight="1" thickBot="1">
      <c r="A2872" s="216" t="str">
        <f>CONCATENATE("TOTAL DO ITEM DESON. - ",C2866)</f>
        <v>TOTAL DO ITEM DESON. - SEPLAG INC 28</v>
      </c>
      <c r="B2872" s="1148"/>
      <c r="C2872" s="1148"/>
      <c r="D2872" s="1148"/>
      <c r="E2872" s="1142"/>
      <c r="F2872" s="1190"/>
      <c r="G2872" s="1190"/>
      <c r="H2872" s="1190"/>
      <c r="I2872" s="228"/>
      <c r="J2872" s="219">
        <f>SUM(J2869:J2871)</f>
        <v>19.329999999999998</v>
      </c>
    </row>
    <row r="2873" spans="1:10" ht="15" customHeight="1" thickBot="1">
      <c r="A2873" s="235"/>
      <c r="B2873" s="1135"/>
      <c r="C2873" s="1135"/>
      <c r="D2873" s="1135"/>
      <c r="E2873" s="1135"/>
      <c r="F2873" s="1188"/>
      <c r="G2873" s="1188"/>
      <c r="H2873" s="1188"/>
      <c r="I2873" s="236"/>
      <c r="J2873" s="237"/>
    </row>
    <row r="2874" spans="1:10" ht="26.25" customHeight="1">
      <c r="A2874" s="230"/>
      <c r="B2874" s="1146"/>
      <c r="C2874" s="1146" t="s">
        <v>292</v>
      </c>
      <c r="D2874" s="1146" t="s">
        <v>7685</v>
      </c>
      <c r="E2874" s="1152" t="s">
        <v>24</v>
      </c>
      <c r="F2874" s="1177" t="s">
        <v>18</v>
      </c>
      <c r="G2874" s="1178" t="s">
        <v>7015</v>
      </c>
      <c r="H2874" s="1179"/>
      <c r="I2874" s="200" t="s">
        <v>7016</v>
      </c>
      <c r="J2874" s="201"/>
    </row>
    <row r="2875" spans="1:10" ht="15" customHeight="1">
      <c r="A2875" s="203"/>
      <c r="B2875" s="432"/>
      <c r="C2875" s="432"/>
      <c r="D2875" s="432"/>
      <c r="E2875" s="430"/>
      <c r="F2875" s="1180"/>
      <c r="G2875" s="1180" t="s">
        <v>19</v>
      </c>
      <c r="H2875" s="1180" t="s">
        <v>20</v>
      </c>
      <c r="I2875" s="204" t="s">
        <v>19</v>
      </c>
      <c r="J2875" s="206" t="s">
        <v>20</v>
      </c>
    </row>
    <row r="2876" spans="1:10" ht="15" customHeight="1">
      <c r="A2876" s="233"/>
      <c r="B2876" s="161"/>
      <c r="C2876" s="161"/>
      <c r="D2876" s="161"/>
      <c r="E2876" s="247"/>
      <c r="F2876" s="248"/>
      <c r="G2876" s="248"/>
      <c r="H2876" s="248"/>
      <c r="I2876" s="214"/>
      <c r="J2876" s="227"/>
    </row>
    <row r="2877" spans="1:10" ht="15" customHeight="1">
      <c r="A2877" s="233" t="s">
        <v>188</v>
      </c>
      <c r="B2877" s="161" t="s">
        <v>14504</v>
      </c>
      <c r="C2877" s="161" t="s">
        <v>14373</v>
      </c>
      <c r="D2877" s="161" t="str">
        <f>IF(B2877="SEPLAG",VLOOKUP(COMPOSIÇÕES!C2877,'MAPA COMPARATIVO'!A:B,2,FALSE),VLOOKUP(C2877,'NAO DESO'!A:B,2,0))</f>
        <v>FITA DE DEMARCAÇÃO 50MMX30M - COR VERMELHA</v>
      </c>
      <c r="E2877" s="247" t="s">
        <v>24</v>
      </c>
      <c r="F2877" s="248">
        <v>0.13333333333333333</v>
      </c>
      <c r="G2877" s="242">
        <f>IF(B2877="SEPLAG",VLOOKUP(CONCATENATE("MEDIANA - ",C2877),COTAÇÃO,5,FALSE),VLOOKUP($C2877,'NAO DESO'!$A:$D,4,))</f>
        <v>41.49</v>
      </c>
      <c r="H2877" s="242">
        <f>TRUNC(F2877*G2877,2)</f>
        <v>5.53</v>
      </c>
      <c r="I2877" s="54">
        <f>IF(B2877="SEPLAG",VLOOKUP(CONCATENATE("MEDIANA - ",C2877),COTAÇÃO,5,FALSE),VLOOKUP($C2877,DESON!$A:$D,4,))</f>
        <v>41.49</v>
      </c>
      <c r="J2877" s="209">
        <f>TRUNC(F2877*I2877,2)</f>
        <v>5.53</v>
      </c>
    </row>
    <row r="2878" spans="1:10" ht="15" customHeight="1">
      <c r="A2878" s="233" t="s">
        <v>188</v>
      </c>
      <c r="B2878" s="161" t="s">
        <v>14504</v>
      </c>
      <c r="C2878" s="161" t="s">
        <v>14373</v>
      </c>
      <c r="D2878" s="161" t="s">
        <v>7317</v>
      </c>
      <c r="E2878" s="247" t="s">
        <v>24</v>
      </c>
      <c r="F2878" s="248">
        <v>0.13333333333333333</v>
      </c>
      <c r="G2878" s="242">
        <f>IF(B2878="SEPLAG",VLOOKUP(CONCATENATE("MEDIANA - ",C2878),COTAÇÃO,5,FALSE),VLOOKUP($C2878,'NAO DESO'!$A:$D,4,))</f>
        <v>41.49</v>
      </c>
      <c r="H2878" s="242">
        <f>TRUNC(F2878*G2878,2)</f>
        <v>5.53</v>
      </c>
      <c r="I2878" s="54">
        <f>IF(B2878="SEPLAG",VLOOKUP(CONCATENATE("MEDIANA - ",C2878),COTAÇÃO,5,FALSE),VLOOKUP($C2878,DESON!$A:$D,4,))</f>
        <v>41.49</v>
      </c>
      <c r="J2878" s="209">
        <f>TRUNC(F2878*I2878,2)</f>
        <v>5.53</v>
      </c>
    </row>
    <row r="2879" spans="1:10" ht="24" customHeight="1">
      <c r="A2879" s="233" t="s">
        <v>245</v>
      </c>
      <c r="B2879" s="161"/>
      <c r="C2879" s="161">
        <v>88310</v>
      </c>
      <c r="D2879" s="161" t="str">
        <f>IF(B2879="SEPLAG",VLOOKUP(COMPOSIÇÕES!C2879,'MAPA COMPARATIVO'!A:B,2,FALSE),VLOOKUP(C2879,'NAO DESO'!A:B,2,0))</f>
        <v>PINTOR COM ENCARGOS COMPLEMENTARES</v>
      </c>
      <c r="E2879" s="247" t="s">
        <v>16</v>
      </c>
      <c r="F2879" s="248">
        <v>0.33333333333333331</v>
      </c>
      <c r="G2879" s="242" t="str">
        <f>IF(B2879="SEPLAG",VLOOKUP(CONCATENATE("MEDIANA - ",C2879),COTAÇÃO,5,FALSE),VLOOKUP($C2879,'NAO DESO'!$A:$D,4,))</f>
        <v>22,17</v>
      </c>
      <c r="H2879" s="242">
        <f>TRUNC(F2879*G2879,2)</f>
        <v>7.39</v>
      </c>
      <c r="I2879" s="54" t="str">
        <f>IF(B2879="SEPLAG",VLOOKUP(CONCATENATE("MEDIANA - ",C2879),COTAÇÃO,5,FALSE),VLOOKUP($C2879,DESON!$A:$D,4,))</f>
        <v>19,94</v>
      </c>
      <c r="J2879" s="209">
        <f>TRUNC(F2879*I2879,2)</f>
        <v>6.64</v>
      </c>
    </row>
    <row r="2880" spans="1:10" ht="15" customHeight="1">
      <c r="A2880" s="210" t="str">
        <f>CONCATENATE("TOTAL DO ITEM NÃO DESON. - ",C2874)</f>
        <v>TOTAL DO ITEM NÃO DESON. - SEPLAG INC 29</v>
      </c>
      <c r="B2880" s="432"/>
      <c r="C2880" s="432"/>
      <c r="D2880" s="432"/>
      <c r="E2880" s="430"/>
      <c r="F2880" s="1189"/>
      <c r="G2880" s="1189"/>
      <c r="H2880" s="1189">
        <f>SUM(H2877:H2879)</f>
        <v>18.45</v>
      </c>
      <c r="I2880" s="213"/>
      <c r="J2880" s="215"/>
    </row>
    <row r="2881" spans="1:10" ht="15.75" customHeight="1" thickBot="1">
      <c r="A2881" s="216" t="str">
        <f>CONCATENATE("TOTAL DO ITEM DESON. - ",C2874)</f>
        <v>TOTAL DO ITEM DESON. - SEPLAG INC 29</v>
      </c>
      <c r="B2881" s="1147"/>
      <c r="C2881" s="1147"/>
      <c r="D2881" s="1147"/>
      <c r="E2881" s="1218"/>
      <c r="F2881" s="1219"/>
      <c r="G2881" s="1219"/>
      <c r="H2881" s="1219"/>
      <c r="I2881" s="229"/>
      <c r="J2881" s="219">
        <f>SUM(J2877:J2880)</f>
        <v>17.7</v>
      </c>
    </row>
    <row r="2882" spans="1:10" ht="15" customHeight="1" thickBot="1">
      <c r="A2882" s="235"/>
      <c r="B2882" s="1135"/>
      <c r="C2882" s="1135"/>
      <c r="D2882" s="1135"/>
      <c r="E2882" s="1135"/>
      <c r="F2882" s="1188"/>
      <c r="G2882" s="1188"/>
      <c r="H2882" s="1188"/>
      <c r="I2882" s="236"/>
      <c r="J2882" s="237"/>
    </row>
    <row r="2883" spans="1:10" ht="26.25" customHeight="1">
      <c r="A2883" s="230"/>
      <c r="B2883" s="1146"/>
      <c r="C2883" s="1146" t="s">
        <v>308</v>
      </c>
      <c r="D2883" s="1146" t="s">
        <v>7686</v>
      </c>
      <c r="E2883" s="1152" t="s">
        <v>24</v>
      </c>
      <c r="F2883" s="1177" t="s">
        <v>18</v>
      </c>
      <c r="G2883" s="1178" t="s">
        <v>7015</v>
      </c>
      <c r="H2883" s="1179"/>
      <c r="I2883" s="200" t="s">
        <v>7016</v>
      </c>
      <c r="J2883" s="201"/>
    </row>
    <row r="2884" spans="1:10" ht="15" customHeight="1">
      <c r="A2884" s="203"/>
      <c r="B2884" s="432"/>
      <c r="C2884" s="432"/>
      <c r="D2884" s="432"/>
      <c r="E2884" s="430"/>
      <c r="F2884" s="1180"/>
      <c r="G2884" s="1180" t="s">
        <v>19</v>
      </c>
      <c r="H2884" s="1180" t="s">
        <v>20</v>
      </c>
      <c r="I2884" s="204" t="s">
        <v>19</v>
      </c>
      <c r="J2884" s="206" t="s">
        <v>20</v>
      </c>
    </row>
    <row r="2885" spans="1:10" ht="15" customHeight="1">
      <c r="A2885" s="233"/>
      <c r="B2885" s="161"/>
      <c r="C2885" s="161"/>
      <c r="D2885" s="161" t="s">
        <v>134</v>
      </c>
      <c r="E2885" s="247"/>
      <c r="F2885" s="248"/>
      <c r="G2885" s="248"/>
      <c r="H2885" s="248"/>
      <c r="I2885" s="214"/>
      <c r="J2885" s="227"/>
    </row>
    <row r="2886" spans="1:10" ht="26.25" customHeight="1">
      <c r="A2886" s="233" t="s">
        <v>39</v>
      </c>
      <c r="B2886" s="161" t="s">
        <v>14504</v>
      </c>
      <c r="C2886" s="161" t="s">
        <v>14374</v>
      </c>
      <c r="D2886" s="161" t="str">
        <f>IF(B2886="SEPLAG",VLOOKUP(COMPOSIÇÕES!C2886,'MAPA COMPARATIVO'!A:B,2,FALSE),VLOOKUP(C2886,'NAO DESO'!A:B,2,0))</f>
        <v>LUMINÁRIA DE EMERGÊNCIA (TIPO: FLUORESCENTE QUANTIDADE DE LÂMPADA: 1| POTÊNCIA: 8W)</v>
      </c>
      <c r="E2886" s="247" t="s">
        <v>32</v>
      </c>
      <c r="F2886" s="248">
        <v>1</v>
      </c>
      <c r="G2886" s="242">
        <f>IF(B2886="SEPLAG",VLOOKUP(CONCATENATE("MEDIANA - ",C2886),COTAÇÃO,5,FALSE),VLOOKUP($C2886,'NAO DESO'!$A:$D,4,))</f>
        <v>23.4</v>
      </c>
      <c r="H2886" s="242">
        <f>TRUNC(F2886*G2886,2)</f>
        <v>23.4</v>
      </c>
      <c r="I2886" s="54">
        <f>IF(B2886="SEPLAG",VLOOKUP(CONCATENATE("MEDIANA - ",C2886),COTAÇÃO,5,FALSE),VLOOKUP($C2886,DESON!$A:$D,4,))</f>
        <v>23.4</v>
      </c>
      <c r="J2886" s="209">
        <f>TRUNC(F2886*I2886,2)</f>
        <v>23.4</v>
      </c>
    </row>
    <row r="2887" spans="1:10" ht="15" customHeight="1">
      <c r="A2887" s="233" t="s">
        <v>245</v>
      </c>
      <c r="B2887" s="161"/>
      <c r="C2887" s="161">
        <v>88247</v>
      </c>
      <c r="D2887" s="161" t="str">
        <f>IF(B2887="SEPLAG",VLOOKUP(COMPOSIÇÕES!C2887,'MAPA COMPARATIVO'!A:B,2,FALSE),VLOOKUP(C2887,'NAO DESO'!A:B,2,0))</f>
        <v>AUXILIAR DE ELETRICISTA COM ENCARGOS COMPLEMENTARES</v>
      </c>
      <c r="E2887" s="247" t="s">
        <v>16</v>
      </c>
      <c r="F2887" s="248">
        <v>1.1000000000000001</v>
      </c>
      <c r="G2887" s="242" t="str">
        <f>IF(B2887="SEPLAG",VLOOKUP(CONCATENATE("MEDIANA - ",C2887),COTAÇÃO,5,FALSE),VLOOKUP($C2887,'NAO DESO'!$A:$D,4,))</f>
        <v>16,84</v>
      </c>
      <c r="H2887" s="242">
        <f>TRUNC(F2887*G2887,2)</f>
        <v>18.52</v>
      </c>
      <c r="I2887" s="54" t="str">
        <f>IF(B2887="SEPLAG",VLOOKUP(CONCATENATE("MEDIANA - ",C2887),COTAÇÃO,5,FALSE),VLOOKUP($C2887,DESON!$A:$D,4,))</f>
        <v>15,19</v>
      </c>
      <c r="J2887" s="209">
        <f>TRUNC(F2887*I2887,2)</f>
        <v>16.7</v>
      </c>
    </row>
    <row r="2888" spans="1:10" ht="15" customHeight="1">
      <c r="A2888" s="233" t="s">
        <v>245</v>
      </c>
      <c r="B2888" s="161"/>
      <c r="C2888" s="161">
        <v>88264</v>
      </c>
      <c r="D2888" s="161" t="str">
        <f>IF(B2888="SEPLAG",VLOOKUP(COMPOSIÇÕES!C2888,'MAPA COMPARATIVO'!A:B,2,FALSE),VLOOKUP(C2888,'NAO DESO'!A:B,2,0))</f>
        <v>ELETRICISTA COM ENCARGOS COMPLEMENTARES</v>
      </c>
      <c r="E2888" s="247" t="s">
        <v>16</v>
      </c>
      <c r="F2888" s="248">
        <v>1.1000000000000001</v>
      </c>
      <c r="G2888" s="242" t="str">
        <f>IF(B2888="SEPLAG",VLOOKUP(CONCATENATE("MEDIANA - ",C2888),COTAÇÃO,5,FALSE),VLOOKUP($C2888,'NAO DESO'!$A:$D,4,))</f>
        <v>21,87</v>
      </c>
      <c r="H2888" s="242">
        <f>TRUNC(F2888*G2888,2)</f>
        <v>24.05</v>
      </c>
      <c r="I2888" s="54" t="str">
        <f>IF(B2888="SEPLAG",VLOOKUP(CONCATENATE("MEDIANA - ",C2888),COTAÇÃO,5,FALSE),VLOOKUP($C2888,DESON!$A:$D,4,))</f>
        <v>19,53</v>
      </c>
      <c r="J2888" s="209">
        <f>TRUNC(F2888*I2888,2)</f>
        <v>21.48</v>
      </c>
    </row>
    <row r="2889" spans="1:10" ht="15" customHeight="1">
      <c r="A2889" s="210" t="str">
        <f>CONCATENATE("TOTAL DO ITEM NÃO DESON. - ",C2883)</f>
        <v>TOTAL DO ITEM NÃO DESON. - SEPLAG INC 30</v>
      </c>
      <c r="B2889" s="432"/>
      <c r="C2889" s="432"/>
      <c r="D2889" s="432"/>
      <c r="E2889" s="430"/>
      <c r="F2889" s="1189"/>
      <c r="G2889" s="1189"/>
      <c r="H2889" s="1189">
        <f>SUM(H2886:H2888)</f>
        <v>65.97</v>
      </c>
      <c r="I2889" s="213"/>
      <c r="J2889" s="215"/>
    </row>
    <row r="2890" spans="1:10" ht="15.75" customHeight="1" thickBot="1">
      <c r="A2890" s="216" t="str">
        <f>CONCATENATE("TOTAL DO ITEM DESON. - ",C2883)</f>
        <v>TOTAL DO ITEM DESON. - SEPLAG INC 30</v>
      </c>
      <c r="B2890" s="1147"/>
      <c r="C2890" s="1147"/>
      <c r="D2890" s="1147"/>
      <c r="E2890" s="1218"/>
      <c r="F2890" s="1219"/>
      <c r="G2890" s="1219"/>
      <c r="H2890" s="1219"/>
      <c r="I2890" s="229"/>
      <c r="J2890" s="219">
        <f>SUM(J2886:J2889)</f>
        <v>61.58</v>
      </c>
    </row>
    <row r="2891" spans="1:10" ht="15" customHeight="1" thickBot="1">
      <c r="A2891" s="235"/>
      <c r="B2891" s="1135"/>
      <c r="C2891" s="1135"/>
      <c r="D2891" s="1135"/>
      <c r="E2891" s="1135"/>
      <c r="F2891" s="1188"/>
      <c r="G2891" s="1188"/>
      <c r="H2891" s="1188"/>
      <c r="I2891" s="236"/>
      <c r="J2891" s="237"/>
    </row>
    <row r="2892" spans="1:10" ht="26.25" customHeight="1">
      <c r="A2892" s="230"/>
      <c r="B2892" s="1146"/>
      <c r="C2892" s="1146" t="s">
        <v>310</v>
      </c>
      <c r="D2892" s="1146" t="s">
        <v>7687</v>
      </c>
      <c r="E2892" s="1152" t="s">
        <v>24</v>
      </c>
      <c r="F2892" s="1177" t="s">
        <v>18</v>
      </c>
      <c r="G2892" s="1178" t="s">
        <v>7015</v>
      </c>
      <c r="H2892" s="1179"/>
      <c r="I2892" s="200" t="s">
        <v>7016</v>
      </c>
      <c r="J2892" s="201"/>
    </row>
    <row r="2893" spans="1:10" ht="15" customHeight="1">
      <c r="A2893" s="203"/>
      <c r="B2893" s="432"/>
      <c r="C2893" s="432"/>
      <c r="D2893" s="432"/>
      <c r="E2893" s="430"/>
      <c r="F2893" s="1180"/>
      <c r="G2893" s="1180" t="s">
        <v>19</v>
      </c>
      <c r="H2893" s="1180" t="s">
        <v>20</v>
      </c>
      <c r="I2893" s="204" t="s">
        <v>19</v>
      </c>
      <c r="J2893" s="206" t="s">
        <v>20</v>
      </c>
    </row>
    <row r="2894" spans="1:10" ht="15" customHeight="1">
      <c r="A2894" s="233"/>
      <c r="B2894" s="161"/>
      <c r="C2894" s="161"/>
      <c r="D2894" s="161" t="s">
        <v>134</v>
      </c>
      <c r="E2894" s="247"/>
      <c r="F2894" s="248"/>
      <c r="G2894" s="248"/>
      <c r="H2894" s="248"/>
      <c r="I2894" s="214"/>
      <c r="J2894" s="227"/>
    </row>
    <row r="2895" spans="1:10" ht="15" customHeight="1">
      <c r="A2895" s="233" t="s">
        <v>39</v>
      </c>
      <c r="B2895" s="161" t="s">
        <v>14504</v>
      </c>
      <c r="C2895" s="161" t="s">
        <v>14375</v>
      </c>
      <c r="D2895" s="161" t="str">
        <f>IF(B2895="SEPLAG",VLOOKUP(COMPOSIÇÕES!C2895,'MAPA COMPARATIVO'!A:B,2,FALSE),VLOOKUP(C2895,'NAO DESO'!A:B,2,0))</f>
        <v>BASE DECORATIVA PARA EXTINTORES</v>
      </c>
      <c r="E2895" s="247" t="s">
        <v>32</v>
      </c>
      <c r="F2895" s="248">
        <v>1</v>
      </c>
      <c r="G2895" s="242">
        <f>IF(B2895="SEPLAG",VLOOKUP(CONCATENATE("MEDIANA - ",C2895),COTAÇÃO,5,FALSE),VLOOKUP($C2895,'NAO DESO'!$A:$D,4,))</f>
        <v>69.900000000000006</v>
      </c>
      <c r="H2895" s="242">
        <f>TRUNC(F2895*G2895,2)</f>
        <v>69.900000000000006</v>
      </c>
      <c r="I2895" s="54">
        <f>IF(B2895="SEPLAG",VLOOKUP(CONCATENATE("MEDIANA - ",C2895),COTAÇÃO,5,FALSE),VLOOKUP($C2895,DESON!$A:$D,4,))</f>
        <v>69.900000000000006</v>
      </c>
      <c r="J2895" s="209">
        <f>TRUNC(F2895*I2895,2)</f>
        <v>69.900000000000006</v>
      </c>
    </row>
    <row r="2896" spans="1:10" ht="15" customHeight="1">
      <c r="A2896" s="233" t="s">
        <v>245</v>
      </c>
      <c r="B2896" s="161"/>
      <c r="C2896" s="161">
        <v>88247</v>
      </c>
      <c r="D2896" s="161" t="str">
        <f>IF(B2896="SEPLAG",VLOOKUP(COMPOSIÇÕES!C2896,'MAPA COMPARATIVO'!A:B,2,FALSE),VLOOKUP(C2896,'NAO DESO'!A:B,2,0))</f>
        <v>AUXILIAR DE ELETRICISTA COM ENCARGOS COMPLEMENTARES</v>
      </c>
      <c r="E2896" s="247" t="s">
        <v>16</v>
      </c>
      <c r="F2896" s="248">
        <v>0.2</v>
      </c>
      <c r="G2896" s="242" t="str">
        <f>IF(B2896="SEPLAG",VLOOKUP(CONCATENATE("MEDIANA - ",C2896),COTAÇÃO,5,FALSE),VLOOKUP($C2896,'NAO DESO'!$A:$D,4,))</f>
        <v>16,84</v>
      </c>
      <c r="H2896" s="242">
        <f>TRUNC(F2896*G2896,2)</f>
        <v>3.36</v>
      </c>
      <c r="I2896" s="54" t="str">
        <f>IF(B2896="SEPLAG",VLOOKUP(CONCATENATE("MEDIANA - ",C2896),COTAÇÃO,5,FALSE),VLOOKUP($C2896,DESON!$A:$D,4,))</f>
        <v>15,19</v>
      </c>
      <c r="J2896" s="209">
        <f>TRUNC(F2896*I2896,2)</f>
        <v>3.03</v>
      </c>
    </row>
    <row r="2897" spans="1:10" ht="15" customHeight="1">
      <c r="A2897" s="233" t="s">
        <v>245</v>
      </c>
      <c r="B2897" s="161"/>
      <c r="C2897" s="161">
        <v>88264</v>
      </c>
      <c r="D2897" s="161" t="str">
        <f>IF(B2897="SEPLAG",VLOOKUP(COMPOSIÇÕES!C2897,'MAPA COMPARATIVO'!A:B,2,FALSE),VLOOKUP(C2897,'NAO DESO'!A:B,2,0))</f>
        <v>ELETRICISTA COM ENCARGOS COMPLEMENTARES</v>
      </c>
      <c r="E2897" s="247" t="s">
        <v>16</v>
      </c>
      <c r="F2897" s="248">
        <v>0.2</v>
      </c>
      <c r="G2897" s="242" t="str">
        <f>IF(B2897="SEPLAG",VLOOKUP(CONCATENATE("MEDIANA - ",C2897),COTAÇÃO,5,FALSE),VLOOKUP($C2897,'NAO DESO'!$A:$D,4,))</f>
        <v>21,87</v>
      </c>
      <c r="H2897" s="242">
        <f>TRUNC(F2897*G2897,2)</f>
        <v>4.37</v>
      </c>
      <c r="I2897" s="54" t="str">
        <f>IF(B2897="SEPLAG",VLOOKUP(CONCATENATE("MEDIANA - ",C2897),COTAÇÃO,5,FALSE),VLOOKUP($C2897,DESON!$A:$D,4,))</f>
        <v>19,53</v>
      </c>
      <c r="J2897" s="209">
        <f>TRUNC(F2897*I2897,2)</f>
        <v>3.9</v>
      </c>
    </row>
    <row r="2898" spans="1:10" ht="15" customHeight="1">
      <c r="A2898" s="210" t="str">
        <f>CONCATENATE("TOTAL DO ITEM NÃO DESON. - ",C2892)</f>
        <v>TOTAL DO ITEM NÃO DESON. - SEPLAG INC 31</v>
      </c>
      <c r="B2898" s="432"/>
      <c r="C2898" s="432"/>
      <c r="D2898" s="432"/>
      <c r="E2898" s="430"/>
      <c r="F2898" s="1189"/>
      <c r="G2898" s="1189"/>
      <c r="H2898" s="1189">
        <f>SUM(H2895:H2897)</f>
        <v>77.63000000000001</v>
      </c>
      <c r="I2898" s="213"/>
      <c r="J2898" s="215"/>
    </row>
    <row r="2899" spans="1:10" ht="15.75" customHeight="1" thickBot="1">
      <c r="A2899" s="216" t="str">
        <f>CONCATENATE("TOTAL DO ITEM DESON. - ",C2892)</f>
        <v>TOTAL DO ITEM DESON. - SEPLAG INC 31</v>
      </c>
      <c r="B2899" s="1147"/>
      <c r="C2899" s="1147"/>
      <c r="D2899" s="1147"/>
      <c r="E2899" s="1218"/>
      <c r="F2899" s="1219"/>
      <c r="G2899" s="1219"/>
      <c r="H2899" s="1219"/>
      <c r="I2899" s="229"/>
      <c r="J2899" s="219">
        <f>SUM(J2895:J2898)</f>
        <v>76.830000000000013</v>
      </c>
    </row>
    <row r="2900" spans="1:10" ht="15" customHeight="1" thickBot="1">
      <c r="A2900" s="235"/>
      <c r="B2900" s="1135"/>
      <c r="C2900" s="1135"/>
      <c r="D2900" s="1135"/>
      <c r="E2900" s="1135"/>
      <c r="F2900" s="1188"/>
      <c r="G2900" s="1188"/>
      <c r="H2900" s="1188"/>
      <c r="I2900" s="236"/>
      <c r="J2900" s="237"/>
    </row>
    <row r="2901" spans="1:10" ht="26.25" customHeight="1">
      <c r="A2901" s="230"/>
      <c r="B2901" s="1146"/>
      <c r="C2901" s="1146" t="s">
        <v>341</v>
      </c>
      <c r="D2901" s="1146" t="s">
        <v>7688</v>
      </c>
      <c r="E2901" s="1152" t="s">
        <v>24</v>
      </c>
      <c r="F2901" s="1177" t="s">
        <v>18</v>
      </c>
      <c r="G2901" s="1178" t="s">
        <v>7015</v>
      </c>
      <c r="H2901" s="1179"/>
      <c r="I2901" s="200" t="s">
        <v>7016</v>
      </c>
      <c r="J2901" s="201"/>
    </row>
    <row r="2902" spans="1:10" ht="15" customHeight="1">
      <c r="A2902" s="203"/>
      <c r="B2902" s="432"/>
      <c r="C2902" s="432"/>
      <c r="D2902" s="432"/>
      <c r="E2902" s="430"/>
      <c r="F2902" s="1180"/>
      <c r="G2902" s="1180" t="s">
        <v>19</v>
      </c>
      <c r="H2902" s="1180" t="s">
        <v>20</v>
      </c>
      <c r="I2902" s="204" t="s">
        <v>19</v>
      </c>
      <c r="J2902" s="206" t="s">
        <v>20</v>
      </c>
    </row>
    <row r="2903" spans="1:10" ht="15" customHeight="1">
      <c r="A2903" s="233"/>
      <c r="B2903" s="161"/>
      <c r="C2903" s="161"/>
      <c r="D2903" s="161"/>
      <c r="E2903" s="247"/>
      <c r="F2903" s="248"/>
      <c r="G2903" s="248"/>
      <c r="H2903" s="248"/>
      <c r="I2903" s="214"/>
      <c r="J2903" s="227"/>
    </row>
    <row r="2904" spans="1:10" ht="15" customHeight="1">
      <c r="A2904" s="233" t="s">
        <v>39</v>
      </c>
      <c r="B2904" s="161" t="s">
        <v>14504</v>
      </c>
      <c r="C2904" s="161" t="s">
        <v>14376</v>
      </c>
      <c r="D2904" s="161" t="str">
        <f>IF(B2904="SEPLAG",VLOOKUP(COMPOSIÇÕES!C2904,'MAPA COMPARATIVO'!A:B,2,FALSE),VLOOKUP(C2904,'NAO DESO'!A:B,2,0))</f>
        <v>ABRIGO METALICO PARA EXTINTORES 75X30X25</v>
      </c>
      <c r="E2904" s="247" t="s">
        <v>32</v>
      </c>
      <c r="F2904" s="248">
        <v>1</v>
      </c>
      <c r="G2904" s="242">
        <f>IF(B2904="SEPLAG",VLOOKUP(CONCATENATE("MEDIANA - ",C2904),COTAÇÃO,5,FALSE),VLOOKUP($C2904,'NAO DESO'!$A:$D,4,))</f>
        <v>335</v>
      </c>
      <c r="H2904" s="242">
        <f>TRUNC(F2904*G2904,2)</f>
        <v>335</v>
      </c>
      <c r="I2904" s="54">
        <f>IF(B2904="SEPLAG",VLOOKUP(CONCATENATE("MEDIANA - ",C2904),COTAÇÃO,5,FALSE),VLOOKUP($C2904,DESON!$A:$D,4,))</f>
        <v>335</v>
      </c>
      <c r="J2904" s="209">
        <f>TRUNC(F2904*I2904,2)</f>
        <v>335</v>
      </c>
    </row>
    <row r="2905" spans="1:10" ht="15" customHeight="1">
      <c r="A2905" s="233" t="s">
        <v>245</v>
      </c>
      <c r="B2905" s="161"/>
      <c r="C2905" s="161">
        <v>88247</v>
      </c>
      <c r="D2905" s="161" t="str">
        <f>IF(B2905="SEPLAG",VLOOKUP(COMPOSIÇÕES!C2905,'MAPA COMPARATIVO'!A:B,2,FALSE),VLOOKUP(C2905,'NAO DESO'!A:B,2,0))</f>
        <v>AUXILIAR DE ELETRICISTA COM ENCARGOS COMPLEMENTARES</v>
      </c>
      <c r="E2905" s="247" t="s">
        <v>16</v>
      </c>
      <c r="F2905" s="248">
        <v>0.2</v>
      </c>
      <c r="G2905" s="242" t="str">
        <f>IF(B2905="SEPLAG",VLOOKUP(CONCATENATE("MEDIANA - ",C2905),COTAÇÃO,5,FALSE),VLOOKUP($C2905,'NAO DESO'!$A:$D,4,))</f>
        <v>16,84</v>
      </c>
      <c r="H2905" s="242">
        <f>TRUNC(F2905*G2905,2)</f>
        <v>3.36</v>
      </c>
      <c r="I2905" s="54" t="str">
        <f>IF(B2905="SEPLAG",VLOOKUP(CONCATENATE("MEDIANA - ",C2905),COTAÇÃO,5,FALSE),VLOOKUP($C2905,DESON!$A:$D,4,))</f>
        <v>15,19</v>
      </c>
      <c r="J2905" s="209">
        <f>TRUNC(F2905*I2905,2)</f>
        <v>3.03</v>
      </c>
    </row>
    <row r="2906" spans="1:10" ht="15" customHeight="1">
      <c r="A2906" s="233" t="s">
        <v>245</v>
      </c>
      <c r="B2906" s="161"/>
      <c r="C2906" s="161">
        <v>88264</v>
      </c>
      <c r="D2906" s="161" t="str">
        <f>IF(B2906="SEPLAG",VLOOKUP(COMPOSIÇÕES!C2906,'MAPA COMPARATIVO'!A:B,2,FALSE),VLOOKUP(C2906,'NAO DESO'!A:B,2,0))</f>
        <v>ELETRICISTA COM ENCARGOS COMPLEMENTARES</v>
      </c>
      <c r="E2906" s="247" t="s">
        <v>16</v>
      </c>
      <c r="F2906" s="248">
        <v>0.2</v>
      </c>
      <c r="G2906" s="242" t="str">
        <f>IF(B2906="SEPLAG",VLOOKUP(CONCATENATE("MEDIANA - ",C2906),COTAÇÃO,5,FALSE),VLOOKUP($C2906,'NAO DESO'!$A:$D,4,))</f>
        <v>21,87</v>
      </c>
      <c r="H2906" s="242">
        <f>TRUNC(F2906*G2906,2)</f>
        <v>4.37</v>
      </c>
      <c r="I2906" s="54" t="str">
        <f>IF(B2906="SEPLAG",VLOOKUP(CONCATENATE("MEDIANA - ",C2906),COTAÇÃO,5,FALSE),VLOOKUP($C2906,DESON!$A:$D,4,))</f>
        <v>19,53</v>
      </c>
      <c r="J2906" s="209">
        <f>TRUNC(F2906*I2906,2)</f>
        <v>3.9</v>
      </c>
    </row>
    <row r="2907" spans="1:10" ht="15" customHeight="1">
      <c r="A2907" s="210" t="str">
        <f>CONCATENATE("TOTAL DO ITEM NÃO DESON. - ",C2901)</f>
        <v>TOTAL DO ITEM NÃO DESON. - SEPLAG INC 32</v>
      </c>
      <c r="B2907" s="432"/>
      <c r="C2907" s="432"/>
      <c r="D2907" s="432"/>
      <c r="E2907" s="430"/>
      <c r="F2907" s="1189"/>
      <c r="G2907" s="1189"/>
      <c r="H2907" s="1189">
        <f>SUM(H2904:H2906)</f>
        <v>342.73</v>
      </c>
      <c r="I2907" s="213"/>
      <c r="J2907" s="215"/>
    </row>
    <row r="2908" spans="1:10" ht="15.75" customHeight="1" thickBot="1">
      <c r="A2908" s="216" t="str">
        <f>CONCATENATE("TOTAL DO ITEM DESON. - ",C2901)</f>
        <v>TOTAL DO ITEM DESON. - SEPLAG INC 32</v>
      </c>
      <c r="B2908" s="1147"/>
      <c r="C2908" s="1147"/>
      <c r="D2908" s="1147"/>
      <c r="E2908" s="1218"/>
      <c r="F2908" s="1219"/>
      <c r="G2908" s="1219"/>
      <c r="H2908" s="1219"/>
      <c r="I2908" s="229"/>
      <c r="J2908" s="219">
        <f>SUM(J2904:J2907)</f>
        <v>341.92999999999995</v>
      </c>
    </row>
    <row r="2909" spans="1:10" ht="15" customHeight="1" thickBot="1">
      <c r="A2909" s="235"/>
      <c r="B2909" s="1135"/>
      <c r="C2909" s="1135"/>
      <c r="D2909" s="1135"/>
      <c r="E2909" s="1135"/>
      <c r="F2909" s="1188"/>
      <c r="G2909" s="1188"/>
      <c r="H2909" s="1188"/>
      <c r="I2909" s="236"/>
      <c r="J2909" s="237"/>
    </row>
    <row r="2910" spans="1:10" ht="26.25" customHeight="1">
      <c r="A2910" s="230"/>
      <c r="B2910" s="1146"/>
      <c r="C2910" s="1146" t="s">
        <v>342</v>
      </c>
      <c r="D2910" s="1146" t="s">
        <v>7689</v>
      </c>
      <c r="E2910" s="1152" t="s">
        <v>24</v>
      </c>
      <c r="F2910" s="1177" t="s">
        <v>18</v>
      </c>
      <c r="G2910" s="1178" t="s">
        <v>7015</v>
      </c>
      <c r="H2910" s="1179"/>
      <c r="I2910" s="200" t="s">
        <v>7016</v>
      </c>
      <c r="J2910" s="201"/>
    </row>
    <row r="2911" spans="1:10" ht="15" customHeight="1">
      <c r="A2911" s="203"/>
      <c r="B2911" s="432"/>
      <c r="C2911" s="432"/>
      <c r="D2911" s="432"/>
      <c r="E2911" s="430"/>
      <c r="F2911" s="1180"/>
      <c r="G2911" s="1180" t="s">
        <v>19</v>
      </c>
      <c r="H2911" s="1180" t="s">
        <v>20</v>
      </c>
      <c r="I2911" s="204" t="s">
        <v>19</v>
      </c>
      <c r="J2911" s="206" t="s">
        <v>20</v>
      </c>
    </row>
    <row r="2912" spans="1:10" ht="26.25" customHeight="1">
      <c r="A2912" s="233" t="s">
        <v>245</v>
      </c>
      <c r="B2912" s="161"/>
      <c r="C2912" s="161">
        <v>88267</v>
      </c>
      <c r="D2912" s="161" t="str">
        <f>IF(B2912="SEPLAG",VLOOKUP(COMPOSIÇÕES!C2912,'MAPA COMPARATIVO'!A:B,2,FALSE),VLOOKUP(C2912,'NAO DESO'!A:B,2,0))</f>
        <v>ENCANADOR OU BOMBEIRO HIDRÁULICO COM ENCARGOS COMPLEMENTARES</v>
      </c>
      <c r="E2912" s="247" t="s">
        <v>16</v>
      </c>
      <c r="F2912" s="248">
        <v>0.2</v>
      </c>
      <c r="G2912" s="242" t="str">
        <f>IF(B2912="SEPLAG",VLOOKUP(CONCATENATE("MEDIANA - ",C2912),COTAÇÃO,5,FALSE),VLOOKUP($C2912,'NAO DESO'!$A:$D,4,))</f>
        <v>21,03</v>
      </c>
      <c r="H2912" s="242">
        <f t="shared" ref="H2912:H2917" si="210">TRUNC(F2912*G2912,2)</f>
        <v>4.2</v>
      </c>
      <c r="I2912" s="54" t="str">
        <f>IF(B2912="SEPLAG",VLOOKUP(CONCATENATE("MEDIANA - ",C2912),COTAÇÃO,5,FALSE),VLOOKUP($C2912,DESON!$A:$D,4,))</f>
        <v>18,72</v>
      </c>
      <c r="J2912" s="209">
        <f t="shared" ref="J2912:J2917" si="211">TRUNC(F2912*I2912,2)</f>
        <v>3.74</v>
      </c>
    </row>
    <row r="2913" spans="1:10" ht="26.25" customHeight="1">
      <c r="A2913" s="233" t="s">
        <v>245</v>
      </c>
      <c r="B2913" s="161"/>
      <c r="C2913" s="161">
        <v>88248</v>
      </c>
      <c r="D2913" s="161" t="str">
        <f>IF(B2913="SEPLAG",VLOOKUP(COMPOSIÇÕES!C2913,'MAPA COMPARATIVO'!A:B,2,FALSE),VLOOKUP(C2913,'NAO DESO'!A:B,2,0))</f>
        <v>AUXILIAR DE ENCANADOR OU BOMBEIRO HIDRÁULICO COM ENCARGOS COMPLEMENTARES</v>
      </c>
      <c r="E2913" s="247" t="s">
        <v>16</v>
      </c>
      <c r="F2913" s="248">
        <v>0.2</v>
      </c>
      <c r="G2913" s="242" t="str">
        <f>IF(B2913="SEPLAG",VLOOKUP(CONCATENATE("MEDIANA - ",C2913),COTAÇÃO,5,FALSE),VLOOKUP($C2913,'NAO DESO'!$A:$D,4,))</f>
        <v>17,33</v>
      </c>
      <c r="H2913" s="242">
        <f t="shared" si="210"/>
        <v>3.46</v>
      </c>
      <c r="I2913" s="54" t="str">
        <f>IF(B2913="SEPLAG",VLOOKUP(CONCATENATE("MEDIANA - ",C2913),COTAÇÃO,5,FALSE),VLOOKUP($C2913,DESON!$A:$D,4,))</f>
        <v>15,54</v>
      </c>
      <c r="J2913" s="209">
        <f t="shared" si="211"/>
        <v>3.1</v>
      </c>
    </row>
    <row r="2914" spans="1:10" ht="26.25" customHeight="1">
      <c r="A2914" s="233" t="s">
        <v>39</v>
      </c>
      <c r="B2914" s="161"/>
      <c r="C2914" s="161">
        <v>397</v>
      </c>
      <c r="D2914" s="161" t="str">
        <f>IF(B2914="SEPLAG",VLOOKUP(COMPOSIÇÕES!C2914,'MAPA COMPARATIVO'!A:B,2,FALSE),VLOOKUP(C2914,'NAO DESO'!A:B,2,0))</f>
        <v>ABRACADEIRA EM ACO PARA AMARRACAO DE ELETRODUTOS, TIPO D, COM 2 1/2" E PARAFUSO DE FIXACAO</v>
      </c>
      <c r="E2914" s="247" t="s">
        <v>427</v>
      </c>
      <c r="F2914" s="248">
        <v>1</v>
      </c>
      <c r="G2914" s="242">
        <f>IF(B2914="SEPLAG",VLOOKUP(CONCATENATE("MEDIANA - ",C2914),COTAÇÃO,5,FALSE),VLOOKUP($C2914,'NAO DESO'!$A:$D,4,))</f>
        <v>6.21</v>
      </c>
      <c r="H2914" s="242">
        <f t="shared" si="210"/>
        <v>6.21</v>
      </c>
      <c r="I2914" s="54" t="str">
        <f>IF(B2914="SEPLAG",VLOOKUP(CONCATENATE("MEDIANA - ",C2914),COTAÇÃO,5,FALSE),VLOOKUP($C2914,DESON!$A:$D,4,))</f>
        <v>6,21</v>
      </c>
      <c r="J2914" s="209">
        <f t="shared" si="211"/>
        <v>6.21</v>
      </c>
    </row>
    <row r="2915" spans="1:10" ht="26.25" customHeight="1">
      <c r="A2915" s="233" t="s">
        <v>39</v>
      </c>
      <c r="B2915" s="161"/>
      <c r="C2915" s="161">
        <v>568</v>
      </c>
      <c r="D2915" s="161" t="str">
        <f>IF(B2915="SEPLAG",VLOOKUP(COMPOSIÇÕES!C2915,'MAPA COMPARATIVO'!A:B,2,FALSE),VLOOKUP(C2915,'NAO DESO'!A:B,2,0))</f>
        <v>CANTONEIRA (ABAS IGUAIS) EM FERRO GALVANIZADO, 50,8 MM X 9,53 MM (L X E), 6,99 KG/M</v>
      </c>
      <c r="E2915" s="247" t="s">
        <v>429</v>
      </c>
      <c r="F2915" s="248">
        <v>0.3</v>
      </c>
      <c r="G2915" s="242">
        <f>IF(B2915="SEPLAG",VLOOKUP(CONCATENATE("MEDIANA - ",C2915),COTAÇÃO,5,FALSE),VLOOKUP($C2915,'NAO DESO'!$A:$D,4,))</f>
        <v>85.57</v>
      </c>
      <c r="H2915" s="242">
        <f t="shared" si="210"/>
        <v>25.67</v>
      </c>
      <c r="I2915" s="54" t="str">
        <f>IF(B2915="SEPLAG",VLOOKUP(CONCATENATE("MEDIANA - ",C2915),COTAÇÃO,5,FALSE),VLOOKUP($C2915,DESON!$A:$D,4,))</f>
        <v>85,57</v>
      </c>
      <c r="J2915" s="209">
        <f t="shared" si="211"/>
        <v>25.67</v>
      </c>
    </row>
    <row r="2916" spans="1:10" ht="15" customHeight="1">
      <c r="A2916" s="233" t="s">
        <v>39</v>
      </c>
      <c r="B2916" s="161"/>
      <c r="C2916" s="161">
        <v>4342</v>
      </c>
      <c r="D2916" s="161" t="str">
        <f>IF(B2916="SEPLAG",VLOOKUP(COMPOSIÇÕES!C2916,'MAPA COMPARATIVO'!A:B,2,FALSE),VLOOKUP(C2916,'NAO DESO'!A:B,2,0))</f>
        <v>PORCA ZINCADA, SEXTAVADA, DIAMETRO 3/8"</v>
      </c>
      <c r="E2916" s="247" t="s">
        <v>427</v>
      </c>
      <c r="F2916" s="248">
        <v>2</v>
      </c>
      <c r="G2916" s="242">
        <f>IF(B2916="SEPLAG",VLOOKUP(CONCATENATE("MEDIANA - ",C2916),COTAÇÃO,5,FALSE),VLOOKUP($C2916,'NAO DESO'!$A:$D,4,))</f>
        <v>0.25</v>
      </c>
      <c r="H2916" s="242">
        <f t="shared" si="210"/>
        <v>0.5</v>
      </c>
      <c r="I2916" s="54" t="str">
        <f>IF(B2916="SEPLAG",VLOOKUP(CONCATENATE("MEDIANA - ",C2916),COTAÇÃO,5,FALSE),VLOOKUP($C2916,DESON!$A:$D,4,))</f>
        <v>0,25</v>
      </c>
      <c r="J2916" s="209">
        <f t="shared" si="211"/>
        <v>0.5</v>
      </c>
    </row>
    <row r="2917" spans="1:10" ht="26.25" customHeight="1">
      <c r="A2917" s="233" t="s">
        <v>39</v>
      </c>
      <c r="B2917" s="161"/>
      <c r="C2917" s="161">
        <v>7568</v>
      </c>
      <c r="D2917" s="161" t="str">
        <f>IF(B2917="SEPLAG",VLOOKUP(COMPOSIÇÕES!C2917,'MAPA COMPARATIVO'!A:B,2,FALSE),VLOOKUP(C2917,'NAO DESO'!A:B,2,0))</f>
        <v>BUCHA DE NYLON SEM ABA S10, COM PARAFUSO DE 6,10 X 65 MM EM ACO ZINCADO COM ROSCA SOBERBA, CABECA CHATA E FENDA PHILLIPS</v>
      </c>
      <c r="E2917" s="247" t="s">
        <v>427</v>
      </c>
      <c r="F2917" s="248">
        <v>2</v>
      </c>
      <c r="G2917" s="242">
        <f>IF(B2917="SEPLAG",VLOOKUP(CONCATENATE("MEDIANA - ",C2917),COTAÇÃO,5,FALSE),VLOOKUP($C2917,'NAO DESO'!$A:$D,4,))</f>
        <v>0.61</v>
      </c>
      <c r="H2917" s="242">
        <f t="shared" si="210"/>
        <v>1.22</v>
      </c>
      <c r="I2917" s="54" t="str">
        <f>IF(B2917="SEPLAG",VLOOKUP(CONCATENATE("MEDIANA - ",C2917),COTAÇÃO,5,FALSE),VLOOKUP($C2917,DESON!$A:$D,4,))</f>
        <v>0,61</v>
      </c>
      <c r="J2917" s="209">
        <f t="shared" si="211"/>
        <v>1.22</v>
      </c>
    </row>
    <row r="2918" spans="1:10" ht="15" customHeight="1">
      <c r="A2918" s="210" t="str">
        <f>CONCATENATE("TOTAL DO ITEM NÃO DESON. - ",C2910)</f>
        <v>TOTAL DO ITEM NÃO DESON. - SEPLAG INC 33</v>
      </c>
      <c r="B2918" s="432"/>
      <c r="C2918" s="432"/>
      <c r="D2918" s="432"/>
      <c r="E2918" s="430"/>
      <c r="F2918" s="1189"/>
      <c r="G2918" s="1189"/>
      <c r="H2918" s="1189">
        <f>SUM(H2912:H2917)</f>
        <v>41.260000000000005</v>
      </c>
      <c r="I2918" s="213"/>
      <c r="J2918" s="215"/>
    </row>
    <row r="2919" spans="1:10" ht="15.75" customHeight="1" thickBot="1">
      <c r="A2919" s="216" t="str">
        <f>CONCATENATE("TOTAL DO ITEM DESON. - ",C2910)</f>
        <v>TOTAL DO ITEM DESON. - SEPLAG INC 33</v>
      </c>
      <c r="B2919" s="1147"/>
      <c r="C2919" s="1147"/>
      <c r="D2919" s="1147"/>
      <c r="E2919" s="1218"/>
      <c r="F2919" s="1219"/>
      <c r="G2919" s="1219"/>
      <c r="H2919" s="1219"/>
      <c r="I2919" s="229"/>
      <c r="J2919" s="219">
        <f>SUM(J2912:J2918)</f>
        <v>40.44</v>
      </c>
    </row>
    <row r="2920" spans="1:10" ht="15" customHeight="1" thickBot="1">
      <c r="A2920" s="235"/>
      <c r="B2920" s="1135"/>
      <c r="C2920" s="1135"/>
      <c r="D2920" s="1135"/>
      <c r="E2920" s="1135"/>
      <c r="F2920" s="1188"/>
      <c r="G2920" s="1188"/>
      <c r="H2920" s="1188"/>
      <c r="I2920" s="236"/>
      <c r="J2920" s="237"/>
    </row>
    <row r="2921" spans="1:10" ht="15" customHeight="1">
      <c r="A2921" s="198"/>
      <c r="B2921" s="1222"/>
      <c r="C2921" s="1146" t="s">
        <v>343</v>
      </c>
      <c r="D2921" s="1146" t="s">
        <v>7690</v>
      </c>
      <c r="E2921" s="1152" t="s">
        <v>24</v>
      </c>
      <c r="F2921" s="1177" t="s">
        <v>18</v>
      </c>
      <c r="G2921" s="1178" t="s">
        <v>7015</v>
      </c>
      <c r="H2921" s="1179"/>
      <c r="I2921" s="200" t="s">
        <v>7016</v>
      </c>
      <c r="J2921" s="201"/>
    </row>
    <row r="2922" spans="1:10" ht="15" customHeight="1">
      <c r="A2922" s="233"/>
      <c r="B2922" s="161"/>
      <c r="C2922" s="432"/>
      <c r="D2922" s="432"/>
      <c r="E2922" s="430"/>
      <c r="F2922" s="1180"/>
      <c r="G2922" s="1180" t="s">
        <v>19</v>
      </c>
      <c r="H2922" s="1180" t="s">
        <v>20</v>
      </c>
      <c r="I2922" s="204" t="s">
        <v>19</v>
      </c>
      <c r="J2922" s="206" t="s">
        <v>20</v>
      </c>
    </row>
    <row r="2923" spans="1:10" ht="15" customHeight="1">
      <c r="A2923" s="233"/>
      <c r="B2923" s="161"/>
      <c r="C2923" s="161"/>
      <c r="D2923" s="161"/>
      <c r="E2923" s="247"/>
      <c r="F2923" s="248"/>
      <c r="G2923" s="248"/>
      <c r="H2923" s="248"/>
      <c r="I2923" s="214"/>
      <c r="J2923" s="227"/>
    </row>
    <row r="2924" spans="1:10" ht="15" customHeight="1">
      <c r="A2924" s="233" t="s">
        <v>39</v>
      </c>
      <c r="B2924" s="161" t="s">
        <v>14504</v>
      </c>
      <c r="C2924" s="161" t="s">
        <v>14377</v>
      </c>
      <c r="D2924" s="161" t="str">
        <f>IF(B2924="SEPLAG",VLOOKUP(COMPOSIÇÕES!C2924,'MAPA COMPARATIVO'!A:B,2,FALSE),VLOOKUP(C2924,'NAO DESO'!A:B,2,0))</f>
        <v>SENSOR DE FUMAÇA NC-102 OU SIMILAR</v>
      </c>
      <c r="E2924" s="247" t="s">
        <v>32</v>
      </c>
      <c r="F2924" s="248">
        <v>1</v>
      </c>
      <c r="G2924" s="242">
        <f>IF(B2924="SEPLAG",VLOOKUP(CONCATENATE("MEDIANA - ",C2924),COTAÇÃO,5,FALSE),VLOOKUP($C2924,'NAO DESO'!$A:$D,4,))</f>
        <v>92.27</v>
      </c>
      <c r="H2924" s="242">
        <f>TRUNC(F2924*G2924,2)</f>
        <v>92.27</v>
      </c>
      <c r="I2924" s="54">
        <f>IF(B2924="SEPLAG",VLOOKUP(CONCATENATE("MEDIANA - ",C2924),COTAÇÃO,5,FALSE),VLOOKUP($C2924,DESON!$A:$D,4,))</f>
        <v>92.27</v>
      </c>
      <c r="J2924" s="209">
        <f>TRUNC(F2924*I2924,2)</f>
        <v>92.27</v>
      </c>
    </row>
    <row r="2925" spans="1:10" ht="15" customHeight="1">
      <c r="A2925" s="233" t="s">
        <v>245</v>
      </c>
      <c r="B2925" s="161"/>
      <c r="C2925" s="161">
        <v>88247</v>
      </c>
      <c r="D2925" s="161" t="str">
        <f>IF(B2925="SEPLAG",VLOOKUP(COMPOSIÇÕES!C2925,'MAPA COMPARATIVO'!A:B,2,FALSE),VLOOKUP(C2925,'NAO DESO'!A:B,2,0))</f>
        <v>AUXILIAR DE ELETRICISTA COM ENCARGOS COMPLEMENTARES</v>
      </c>
      <c r="E2925" s="247" t="s">
        <v>16</v>
      </c>
      <c r="F2925" s="248">
        <v>0.23</v>
      </c>
      <c r="G2925" s="242" t="str">
        <f>IF(B2925="SEPLAG",VLOOKUP(CONCATENATE("MEDIANA - ",C2925),COTAÇÃO,5,FALSE),VLOOKUP($C2925,'NAO DESO'!$A:$D,4,))</f>
        <v>16,84</v>
      </c>
      <c r="H2925" s="242">
        <f>TRUNC(F2925*G2925,2)</f>
        <v>3.87</v>
      </c>
      <c r="I2925" s="54" t="str">
        <f>IF(B2925="SEPLAG",VLOOKUP(CONCATENATE("MEDIANA - ",C2925),COTAÇÃO,5,FALSE),VLOOKUP($C2925,DESON!$A:$D,4,))</f>
        <v>15,19</v>
      </c>
      <c r="J2925" s="209">
        <f>TRUNC(F2925*I2925,2)</f>
        <v>3.49</v>
      </c>
    </row>
    <row r="2926" spans="1:10" ht="15" customHeight="1">
      <c r="A2926" s="233" t="s">
        <v>245</v>
      </c>
      <c r="B2926" s="161"/>
      <c r="C2926" s="161">
        <v>88264</v>
      </c>
      <c r="D2926" s="161" t="str">
        <f>IF(B2926="SEPLAG",VLOOKUP(COMPOSIÇÕES!C2926,'MAPA COMPARATIVO'!A:B,2,FALSE),VLOOKUP(C2926,'NAO DESO'!A:B,2,0))</f>
        <v>ELETRICISTA COM ENCARGOS COMPLEMENTARES</v>
      </c>
      <c r="E2926" s="247" t="s">
        <v>16</v>
      </c>
      <c r="F2926" s="248">
        <v>0.56000000000000005</v>
      </c>
      <c r="G2926" s="242" t="str">
        <f>IF(B2926="SEPLAG",VLOOKUP(CONCATENATE("MEDIANA - ",C2926),COTAÇÃO,5,FALSE),VLOOKUP($C2926,'NAO DESO'!$A:$D,4,))</f>
        <v>21,87</v>
      </c>
      <c r="H2926" s="242">
        <f>TRUNC(F2926*G2926,2)</f>
        <v>12.24</v>
      </c>
      <c r="I2926" s="54" t="str">
        <f>IF(B2926="SEPLAG",VLOOKUP(CONCATENATE("MEDIANA - ",C2926),COTAÇÃO,5,FALSE),VLOOKUP($C2926,DESON!$A:$D,4,))</f>
        <v>19,53</v>
      </c>
      <c r="J2926" s="209">
        <f>TRUNC(F2926*I2926,2)</f>
        <v>10.93</v>
      </c>
    </row>
    <row r="2927" spans="1:10" ht="15" customHeight="1">
      <c r="A2927" s="210" t="str">
        <f>CONCATENATE("TOTAL DO ITEM NÃO DESON. - ",C2921)</f>
        <v>TOTAL DO ITEM NÃO DESON. - SEPLAG INC 34</v>
      </c>
      <c r="B2927" s="432"/>
      <c r="C2927" s="432"/>
      <c r="D2927" s="432"/>
      <c r="E2927" s="430"/>
      <c r="F2927" s="1189"/>
      <c r="G2927" s="1189"/>
      <c r="H2927" s="1189">
        <f>SUM(H2924:H2926)</f>
        <v>108.38</v>
      </c>
      <c r="I2927" s="213"/>
      <c r="J2927" s="215"/>
    </row>
    <row r="2928" spans="1:10" ht="15.75" customHeight="1" thickBot="1">
      <c r="A2928" s="216" t="str">
        <f>CONCATENATE("TOTAL DO ITEM DESON. - ",C2921)</f>
        <v>TOTAL DO ITEM DESON. - SEPLAG INC 34</v>
      </c>
      <c r="B2928" s="1148"/>
      <c r="C2928" s="1148"/>
      <c r="D2928" s="1148"/>
      <c r="E2928" s="1142"/>
      <c r="F2928" s="1190"/>
      <c r="G2928" s="1190"/>
      <c r="H2928" s="1190"/>
      <c r="I2928" s="228"/>
      <c r="J2928" s="219">
        <f>SUM(J2924:J2927)</f>
        <v>106.69</v>
      </c>
    </row>
    <row r="2929" spans="1:10" ht="15" customHeight="1" thickBot="1">
      <c r="A2929" s="235"/>
      <c r="B2929" s="1135"/>
      <c r="C2929" s="1135"/>
      <c r="D2929" s="1135"/>
      <c r="E2929" s="1135"/>
      <c r="F2929" s="1188"/>
      <c r="G2929" s="1188"/>
      <c r="H2929" s="1188"/>
      <c r="I2929" s="236"/>
      <c r="J2929" s="237"/>
    </row>
    <row r="2930" spans="1:10" ht="26.25" customHeight="1">
      <c r="A2930" s="230"/>
      <c r="B2930" s="1146"/>
      <c r="C2930" s="1146" t="s">
        <v>344</v>
      </c>
      <c r="D2930" s="1146" t="s">
        <v>7691</v>
      </c>
      <c r="E2930" s="1152" t="s">
        <v>24</v>
      </c>
      <c r="F2930" s="1177" t="s">
        <v>18</v>
      </c>
      <c r="G2930" s="1178" t="s">
        <v>7015</v>
      </c>
      <c r="H2930" s="1179"/>
      <c r="I2930" s="200" t="s">
        <v>7016</v>
      </c>
      <c r="J2930" s="201"/>
    </row>
    <row r="2931" spans="1:10" ht="15" customHeight="1">
      <c r="A2931" s="203"/>
      <c r="B2931" s="432"/>
      <c r="C2931" s="432"/>
      <c r="D2931" s="432"/>
      <c r="E2931" s="430"/>
      <c r="F2931" s="1180"/>
      <c r="G2931" s="1180" t="s">
        <v>19</v>
      </c>
      <c r="H2931" s="1180" t="s">
        <v>20</v>
      </c>
      <c r="I2931" s="204" t="s">
        <v>19</v>
      </c>
      <c r="J2931" s="206" t="s">
        <v>20</v>
      </c>
    </row>
    <row r="2932" spans="1:10" ht="15" customHeight="1">
      <c r="A2932" s="233"/>
      <c r="B2932" s="161"/>
      <c r="C2932" s="161"/>
      <c r="D2932" s="161"/>
      <c r="E2932" s="247"/>
      <c r="F2932" s="248"/>
      <c r="G2932" s="248"/>
      <c r="H2932" s="248"/>
      <c r="I2932" s="214"/>
      <c r="J2932" s="227"/>
    </row>
    <row r="2933" spans="1:10" ht="26.25" customHeight="1">
      <c r="A2933" s="233" t="s">
        <v>39</v>
      </c>
      <c r="B2933" s="161" t="s">
        <v>14504</v>
      </c>
      <c r="C2933" s="161" t="s">
        <v>14378</v>
      </c>
      <c r="D2933" s="161" t="str">
        <f>IF(B2933="SEPLAG",VLOOKUP(COMPOSIÇÕES!C2933,'MAPA COMPARATIVO'!A:B,2,FALSE),VLOOKUP(C2933,'NAO DESO'!A:B,2,0))</f>
        <v>BATERIA SELADA PARA CENTRAL DE ALARME E DETECÇÃO 12V/ 5A  - 08693/ORSE</v>
      </c>
      <c r="E2933" s="247" t="s">
        <v>32</v>
      </c>
      <c r="F2933" s="248">
        <v>1</v>
      </c>
      <c r="G2933" s="242">
        <f>IF(B2933="SEPLAG",VLOOKUP(CONCATENATE("MEDIANA - ",C2933),COTAÇÃO,5,FALSE),VLOOKUP($C2933,'NAO DESO'!$A:$D,4,))</f>
        <v>131.1</v>
      </c>
      <c r="H2933" s="242">
        <f>TRUNC(F2933*G2933,2)</f>
        <v>131.1</v>
      </c>
      <c r="I2933" s="54">
        <f>IF(B2933="SEPLAG",VLOOKUP(CONCATENATE("MEDIANA - ",C2933),COTAÇÃO,5,FALSE),VLOOKUP($C2933,DESON!$A:$D,4,))</f>
        <v>131.1</v>
      </c>
      <c r="J2933" s="209">
        <f>TRUNC(F2933*I2933,2)</f>
        <v>131.1</v>
      </c>
    </row>
    <row r="2934" spans="1:10" ht="15" customHeight="1">
      <c r="A2934" s="233" t="s">
        <v>245</v>
      </c>
      <c r="B2934" s="161"/>
      <c r="C2934" s="161">
        <v>88247</v>
      </c>
      <c r="D2934" s="161" t="str">
        <f>IF(B2934="SEPLAG",VLOOKUP(COMPOSIÇÕES!C2934,'MAPA COMPARATIVO'!A:B,2,FALSE),VLOOKUP(C2934,'NAO DESO'!A:B,2,0))</f>
        <v>AUXILIAR DE ELETRICISTA COM ENCARGOS COMPLEMENTARES</v>
      </c>
      <c r="E2934" s="247" t="s">
        <v>16</v>
      </c>
      <c r="F2934" s="248">
        <v>1</v>
      </c>
      <c r="G2934" s="242" t="str">
        <f>IF(B2934="SEPLAG",VLOOKUP(CONCATENATE("MEDIANA - ",C2934),COTAÇÃO,5,FALSE),VLOOKUP($C2934,'NAO DESO'!$A:$D,4,))</f>
        <v>16,84</v>
      </c>
      <c r="H2934" s="242">
        <f>TRUNC(F2934*G2934,2)</f>
        <v>16.84</v>
      </c>
      <c r="I2934" s="54" t="str">
        <f>IF(B2934="SEPLAG",VLOOKUP(CONCATENATE("MEDIANA - ",C2934),COTAÇÃO,5,FALSE),VLOOKUP($C2934,DESON!$A:$D,4,))</f>
        <v>15,19</v>
      </c>
      <c r="J2934" s="209">
        <f>TRUNC(F2934*I2934,2)</f>
        <v>15.19</v>
      </c>
    </row>
    <row r="2935" spans="1:10" ht="15" customHeight="1">
      <c r="A2935" s="233" t="s">
        <v>245</v>
      </c>
      <c r="B2935" s="161"/>
      <c r="C2935" s="161">
        <v>88264</v>
      </c>
      <c r="D2935" s="161" t="str">
        <f>IF(B2935="SEPLAG",VLOOKUP(COMPOSIÇÕES!C2935,'MAPA COMPARATIVO'!A:B,2,FALSE),VLOOKUP(C2935,'NAO DESO'!A:B,2,0))</f>
        <v>ELETRICISTA COM ENCARGOS COMPLEMENTARES</v>
      </c>
      <c r="E2935" s="247" t="s">
        <v>16</v>
      </c>
      <c r="F2935" s="248">
        <v>1</v>
      </c>
      <c r="G2935" s="242" t="str">
        <f>IF(B2935="SEPLAG",VLOOKUP(CONCATENATE("MEDIANA - ",C2935),COTAÇÃO,5,FALSE),VLOOKUP($C2935,'NAO DESO'!$A:$D,4,))</f>
        <v>21,87</v>
      </c>
      <c r="H2935" s="242">
        <f>TRUNC(F2935*G2935,2)</f>
        <v>21.87</v>
      </c>
      <c r="I2935" s="54" t="str">
        <f>IF(B2935="SEPLAG",VLOOKUP(CONCATENATE("MEDIANA - ",C2935),COTAÇÃO,5,FALSE),VLOOKUP($C2935,DESON!$A:$D,4,))</f>
        <v>19,53</v>
      </c>
      <c r="J2935" s="209">
        <f>TRUNC(F2935*I2935,2)</f>
        <v>19.53</v>
      </c>
    </row>
    <row r="2936" spans="1:10" s="207" customFormat="1" ht="15" customHeight="1">
      <c r="A2936" s="210" t="str">
        <f>CONCATENATE("TOTAL DO ITEM NÃO DESON. - ",C2930)</f>
        <v>TOTAL DO ITEM NÃO DESON. - SEPLAG INC 35</v>
      </c>
      <c r="B2936" s="432"/>
      <c r="C2936" s="432"/>
      <c r="D2936" s="432"/>
      <c r="E2936" s="430"/>
      <c r="F2936" s="1189"/>
      <c r="G2936" s="1189"/>
      <c r="H2936" s="1189">
        <f>SUM(H2933:H2935)</f>
        <v>169.81</v>
      </c>
      <c r="I2936" s="213"/>
      <c r="J2936" s="239"/>
    </row>
    <row r="2937" spans="1:10" s="207" customFormat="1" ht="15.75" customHeight="1" thickBot="1">
      <c r="A2937" s="216" t="str">
        <f>CONCATENATE("TOTAL DO ITEM DESON. - ",C2930)</f>
        <v>TOTAL DO ITEM DESON. - SEPLAG INC 35</v>
      </c>
      <c r="B2937" s="1148"/>
      <c r="C2937" s="1148"/>
      <c r="D2937" s="1148"/>
      <c r="E2937" s="1142"/>
      <c r="F2937" s="1190"/>
      <c r="G2937" s="1190"/>
      <c r="H2937" s="1190"/>
      <c r="I2937" s="228"/>
      <c r="J2937" s="219">
        <f>SUM(J2933:J2936)</f>
        <v>165.82</v>
      </c>
    </row>
    <row r="2938" spans="1:10" ht="15" customHeight="1" thickBot="1">
      <c r="A2938" s="235"/>
      <c r="B2938" s="1135"/>
      <c r="C2938" s="1135"/>
      <c r="D2938" s="1135"/>
      <c r="E2938" s="1135"/>
      <c r="F2938" s="1188"/>
      <c r="G2938" s="1188"/>
      <c r="H2938" s="1188"/>
      <c r="I2938" s="236"/>
      <c r="J2938" s="237"/>
    </row>
    <row r="2939" spans="1:10" ht="39" customHeight="1">
      <c r="A2939" s="230"/>
      <c r="B2939" s="1146"/>
      <c r="C2939" s="1146" t="s">
        <v>7248</v>
      </c>
      <c r="D2939" s="1146" t="s">
        <v>7692</v>
      </c>
      <c r="E2939" s="1152" t="s">
        <v>40</v>
      </c>
      <c r="F2939" s="1177" t="s">
        <v>18</v>
      </c>
      <c r="G2939" s="1178" t="s">
        <v>7015</v>
      </c>
      <c r="H2939" s="1179"/>
      <c r="I2939" s="200" t="s">
        <v>7016</v>
      </c>
      <c r="J2939" s="201"/>
    </row>
    <row r="2940" spans="1:10" ht="15" customHeight="1">
      <c r="A2940" s="203"/>
      <c r="B2940" s="432"/>
      <c r="C2940" s="432"/>
      <c r="D2940" s="432"/>
      <c r="E2940" s="430"/>
      <c r="F2940" s="1180"/>
      <c r="G2940" s="1180" t="s">
        <v>19</v>
      </c>
      <c r="H2940" s="1180" t="s">
        <v>20</v>
      </c>
      <c r="I2940" s="204" t="s">
        <v>19</v>
      </c>
      <c r="J2940" s="206" t="s">
        <v>20</v>
      </c>
    </row>
    <row r="2941" spans="1:10" ht="15" customHeight="1">
      <c r="A2941" s="233"/>
      <c r="B2941" s="161"/>
      <c r="C2941" s="161"/>
      <c r="D2941" s="161"/>
      <c r="E2941" s="247"/>
      <c r="F2941" s="248"/>
      <c r="G2941" s="248"/>
      <c r="H2941" s="248"/>
      <c r="I2941" s="214"/>
      <c r="J2941" s="227"/>
    </row>
    <row r="2942" spans="1:10" ht="26.25" customHeight="1">
      <c r="A2942" s="233" t="s">
        <v>39</v>
      </c>
      <c r="B2942" s="161" t="s">
        <v>14504</v>
      </c>
      <c r="C2942" s="161" t="s">
        <v>14379</v>
      </c>
      <c r="D2942" s="161" t="str">
        <f>IF(B2942="SEPLAG",VLOOKUP(COMPOSIÇÕES!C2942,'MAPA COMPARATIVO'!A:B,2,FALSE),VLOOKUP(C2942,'NAO DESO'!A:B,2,0))</f>
        <v>ELETRODUTO FLEXÍVEL, EM AÇO GALVANIZADO, REVESTIDO EXTERNAMENTE COM PVC PRETO (3/4")</v>
      </c>
      <c r="E2942" s="247" t="s">
        <v>32</v>
      </c>
      <c r="F2942" s="248">
        <v>1.1000000000000001</v>
      </c>
      <c r="G2942" s="242">
        <f>IF(B2942="SEPLAG",VLOOKUP(CONCATENATE("MEDIANA - ",C2942),COTAÇÃO,5,FALSE),VLOOKUP($C2942,'NAO DESO'!$A:$D,4,))</f>
        <v>12.768000000000001</v>
      </c>
      <c r="H2942" s="242">
        <f>TRUNC(F2942*G2942,2)</f>
        <v>14.04</v>
      </c>
      <c r="I2942" s="54">
        <f>IF(B2942="SEPLAG",VLOOKUP(CONCATENATE("MEDIANA - ",C2942),COTAÇÃO,5,FALSE),VLOOKUP($C2942,DESON!$A:$D,4,))</f>
        <v>12.768000000000001</v>
      </c>
      <c r="J2942" s="209">
        <f>TRUNC(F2942*I2942,2)</f>
        <v>14.04</v>
      </c>
    </row>
    <row r="2943" spans="1:10" ht="15" customHeight="1">
      <c r="A2943" s="233" t="s">
        <v>245</v>
      </c>
      <c r="B2943" s="161"/>
      <c r="C2943" s="161">
        <v>88247</v>
      </c>
      <c r="D2943" s="161" t="str">
        <f>IF(B2943="SEPLAG",VLOOKUP(COMPOSIÇÕES!C2943,'MAPA COMPARATIVO'!A:B,2,FALSE),VLOOKUP(C2943,'NAO DESO'!A:B,2,0))</f>
        <v>AUXILIAR DE ELETRICISTA COM ENCARGOS COMPLEMENTARES</v>
      </c>
      <c r="E2943" s="247" t="s">
        <v>16</v>
      </c>
      <c r="F2943" s="248">
        <v>0.11</v>
      </c>
      <c r="G2943" s="242" t="str">
        <f>IF(B2943="SEPLAG",VLOOKUP(CONCATENATE("MEDIANA - ",C2943),COTAÇÃO,5,FALSE),VLOOKUP($C2943,'NAO DESO'!$A:$D,4,))</f>
        <v>16,84</v>
      </c>
      <c r="H2943" s="242">
        <f>TRUNC(F2943*G2943,2)</f>
        <v>1.85</v>
      </c>
      <c r="I2943" s="54" t="str">
        <f>IF(B2943="SEPLAG",VLOOKUP(CONCATENATE("MEDIANA - ",C2943),COTAÇÃO,5,FALSE),VLOOKUP($C2943,DESON!$A:$D,4,))</f>
        <v>15,19</v>
      </c>
      <c r="J2943" s="209">
        <f>TRUNC(F2943*I2943,2)</f>
        <v>1.67</v>
      </c>
    </row>
    <row r="2944" spans="1:10" ht="15" customHeight="1">
      <c r="A2944" s="233" t="s">
        <v>245</v>
      </c>
      <c r="B2944" s="161"/>
      <c r="C2944" s="161">
        <v>88264</v>
      </c>
      <c r="D2944" s="161" t="str">
        <f>IF(B2944="SEPLAG",VLOOKUP(COMPOSIÇÕES!C2944,'MAPA COMPARATIVO'!A:B,2,FALSE),VLOOKUP(C2944,'NAO DESO'!A:B,2,0))</f>
        <v>ELETRICISTA COM ENCARGOS COMPLEMENTARES</v>
      </c>
      <c r="E2944" s="247" t="s">
        <v>16</v>
      </c>
      <c r="F2944" s="248">
        <v>0.11</v>
      </c>
      <c r="G2944" s="242" t="str">
        <f>IF(B2944="SEPLAG",VLOOKUP(CONCATENATE("MEDIANA - ",C2944),COTAÇÃO,5,FALSE),VLOOKUP($C2944,'NAO DESO'!$A:$D,4,))</f>
        <v>21,87</v>
      </c>
      <c r="H2944" s="242">
        <f>TRUNC(F2944*G2944,2)</f>
        <v>2.4</v>
      </c>
      <c r="I2944" s="54" t="str">
        <f>IF(B2944="SEPLAG",VLOOKUP(CONCATENATE("MEDIANA - ",C2944),COTAÇÃO,5,FALSE),VLOOKUP($C2944,DESON!$A:$D,4,))</f>
        <v>19,53</v>
      </c>
      <c r="J2944" s="209">
        <f>TRUNC(F2944*I2944,2)</f>
        <v>2.14</v>
      </c>
    </row>
    <row r="2945" spans="1:10" ht="15" customHeight="1">
      <c r="A2945" s="210" t="str">
        <f>CONCATENATE("TOTAL DO ITEM NÃO DESON. - ",C2939)</f>
        <v>TOTAL DO ITEM NÃO DESON. - SEPLAG INC 36</v>
      </c>
      <c r="B2945" s="432"/>
      <c r="C2945" s="432"/>
      <c r="D2945" s="432"/>
      <c r="E2945" s="430"/>
      <c r="F2945" s="1189"/>
      <c r="G2945" s="1189"/>
      <c r="H2945" s="1189">
        <f>SUM(H2942:H2944)</f>
        <v>18.29</v>
      </c>
      <c r="I2945" s="213"/>
      <c r="J2945" s="215"/>
    </row>
    <row r="2946" spans="1:10" ht="15.75" customHeight="1" thickBot="1">
      <c r="A2946" s="216" t="str">
        <f>CONCATENATE("TOTAL DO ITEM DESON. - ",C2939)</f>
        <v>TOTAL DO ITEM DESON. - SEPLAG INC 36</v>
      </c>
      <c r="B2946" s="1147"/>
      <c r="C2946" s="1147"/>
      <c r="D2946" s="1147"/>
      <c r="E2946" s="1218"/>
      <c r="F2946" s="1219"/>
      <c r="G2946" s="1219"/>
      <c r="H2946" s="1219"/>
      <c r="I2946" s="229"/>
      <c r="J2946" s="219">
        <f>SUM(J2942:J2945)</f>
        <v>17.849999999999998</v>
      </c>
    </row>
    <row r="2947" spans="1:10" ht="15" customHeight="1" thickBot="1">
      <c r="A2947" s="235"/>
      <c r="B2947" s="1135"/>
      <c r="C2947" s="1135"/>
      <c r="D2947" s="1135"/>
      <c r="E2947" s="1135"/>
      <c r="F2947" s="1188"/>
      <c r="G2947" s="1188"/>
      <c r="H2947" s="1188"/>
      <c r="I2947" s="236"/>
      <c r="J2947" s="237"/>
    </row>
    <row r="2948" spans="1:10" ht="26.25" customHeight="1">
      <c r="A2948" s="230"/>
      <c r="B2948" s="1146"/>
      <c r="C2948" s="1146" t="s">
        <v>7249</v>
      </c>
      <c r="D2948" s="1146" t="s">
        <v>7315</v>
      </c>
      <c r="E2948" s="1152" t="s">
        <v>24</v>
      </c>
      <c r="F2948" s="1177" t="s">
        <v>18</v>
      </c>
      <c r="G2948" s="1178" t="s">
        <v>7015</v>
      </c>
      <c r="H2948" s="1179"/>
      <c r="I2948" s="200" t="s">
        <v>7016</v>
      </c>
      <c r="J2948" s="201"/>
    </row>
    <row r="2949" spans="1:10" ht="15" customHeight="1">
      <c r="A2949" s="203"/>
      <c r="B2949" s="432"/>
      <c r="C2949" s="432"/>
      <c r="D2949" s="432"/>
      <c r="E2949" s="430"/>
      <c r="F2949" s="1180"/>
      <c r="G2949" s="1180" t="s">
        <v>19</v>
      </c>
      <c r="H2949" s="1180" t="s">
        <v>20</v>
      </c>
      <c r="I2949" s="204" t="s">
        <v>19</v>
      </c>
      <c r="J2949" s="206" t="s">
        <v>20</v>
      </c>
    </row>
    <row r="2950" spans="1:10" ht="15" customHeight="1">
      <c r="A2950" s="233"/>
      <c r="B2950" s="161"/>
      <c r="C2950" s="161"/>
      <c r="D2950" s="161"/>
      <c r="E2950" s="247"/>
      <c r="F2950" s="248"/>
      <c r="G2950" s="248"/>
      <c r="H2950" s="248"/>
      <c r="I2950" s="214"/>
      <c r="J2950" s="227"/>
    </row>
    <row r="2951" spans="1:10" ht="15" customHeight="1">
      <c r="A2951" s="233" t="s">
        <v>39</v>
      </c>
      <c r="B2951" s="161" t="s">
        <v>14504</v>
      </c>
      <c r="C2951" s="161" t="s">
        <v>14380</v>
      </c>
      <c r="D2951" s="161" t="str">
        <f>IF(B2951="SEPLAG",VLOOKUP(COMPOSIÇÕES!C2951,'MAPA COMPARATIVO'!A:B,2,FALSE),VLOOKUP(C2951,'NAO DESO'!A:B,2,0))</f>
        <v>REDUÇÃO CONDULETE PARA ELETRODUTO METÁLICO DE 1'' PARA 3/4''</v>
      </c>
      <c r="E2951" s="247" t="s">
        <v>32</v>
      </c>
      <c r="F2951" s="248">
        <v>1</v>
      </c>
      <c r="G2951" s="242">
        <f>IF(B2951="SEPLAG",VLOOKUP(CONCATENATE("MEDIANA - ",C2951),COTAÇÃO,5,FALSE),VLOOKUP($C2951,'NAO DESO'!$A:$D,4,))</f>
        <v>7.36</v>
      </c>
      <c r="H2951" s="242">
        <f>TRUNC(F2951*G2951,2)</f>
        <v>7.36</v>
      </c>
      <c r="I2951" s="54">
        <f>IF(B2951="SEPLAG",VLOOKUP(CONCATENATE("MEDIANA - ",C2951),COTAÇÃO,5,FALSE),VLOOKUP($C2951,DESON!$A:$D,4,))</f>
        <v>7.36</v>
      </c>
      <c r="J2951" s="209">
        <f>TRUNC(F2951*I2951,2)</f>
        <v>7.36</v>
      </c>
    </row>
    <row r="2952" spans="1:10" ht="15" customHeight="1">
      <c r="A2952" s="233" t="s">
        <v>245</v>
      </c>
      <c r="B2952" s="161"/>
      <c r="C2952" s="161">
        <v>88247</v>
      </c>
      <c r="D2952" s="161" t="str">
        <f>IF(B2952="SEPLAG",VLOOKUP(COMPOSIÇÕES!C2952,'MAPA COMPARATIVO'!A:B,2,FALSE),VLOOKUP(C2952,'NAO DESO'!A:B,2,0))</f>
        <v>AUXILIAR DE ELETRICISTA COM ENCARGOS COMPLEMENTARES</v>
      </c>
      <c r="E2952" s="247" t="s">
        <v>16</v>
      </c>
      <c r="F2952" s="248">
        <v>0.02</v>
      </c>
      <c r="G2952" s="242" t="str">
        <f>IF(B2952="SEPLAG",VLOOKUP(CONCATENATE("MEDIANA - ",C2952),COTAÇÃO,5,FALSE),VLOOKUP($C2952,'NAO DESO'!$A:$D,4,))</f>
        <v>16,84</v>
      </c>
      <c r="H2952" s="242">
        <f>TRUNC(F2952*G2952,2)</f>
        <v>0.33</v>
      </c>
      <c r="I2952" s="54" t="str">
        <f>IF(B2952="SEPLAG",VLOOKUP(CONCATENATE("MEDIANA - ",C2952),COTAÇÃO,5,FALSE),VLOOKUP($C2952,DESON!$A:$D,4,))</f>
        <v>15,19</v>
      </c>
      <c r="J2952" s="209">
        <f>TRUNC(F2952*I2952,2)</f>
        <v>0.3</v>
      </c>
    </row>
    <row r="2953" spans="1:10" ht="15" customHeight="1">
      <c r="A2953" s="233" t="s">
        <v>245</v>
      </c>
      <c r="B2953" s="161"/>
      <c r="C2953" s="161">
        <v>88264</v>
      </c>
      <c r="D2953" s="161" t="str">
        <f>IF(B2953="SEPLAG",VLOOKUP(COMPOSIÇÕES!C2953,'MAPA COMPARATIVO'!A:B,2,FALSE),VLOOKUP(C2953,'NAO DESO'!A:B,2,0))</f>
        <v>ELETRICISTA COM ENCARGOS COMPLEMENTARES</v>
      </c>
      <c r="E2953" s="247" t="s">
        <v>16</v>
      </c>
      <c r="F2953" s="248">
        <v>7.0000000000000007E-2</v>
      </c>
      <c r="G2953" s="242" t="str">
        <f>IF(B2953="SEPLAG",VLOOKUP(CONCATENATE("MEDIANA - ",C2953),COTAÇÃO,5,FALSE),VLOOKUP($C2953,'NAO DESO'!$A:$D,4,))</f>
        <v>21,87</v>
      </c>
      <c r="H2953" s="242">
        <f>TRUNC(F2953*G2953,2)</f>
        <v>1.53</v>
      </c>
      <c r="I2953" s="54" t="str">
        <f>IF(B2953="SEPLAG",VLOOKUP(CONCATENATE("MEDIANA - ",C2953),COTAÇÃO,5,FALSE),VLOOKUP($C2953,DESON!$A:$D,4,))</f>
        <v>19,53</v>
      </c>
      <c r="J2953" s="209">
        <f>TRUNC(F2953*I2953,2)</f>
        <v>1.36</v>
      </c>
    </row>
    <row r="2954" spans="1:10" s="207" customFormat="1" ht="15" customHeight="1">
      <c r="A2954" s="210" t="str">
        <f>CONCATENATE("TOTAL DO ITEM NÃO DESON. - ",C2948)</f>
        <v>TOTAL DO ITEM NÃO DESON. - SEPLAG INC 37</v>
      </c>
      <c r="B2954" s="432"/>
      <c r="C2954" s="432"/>
      <c r="D2954" s="432"/>
      <c r="E2954" s="430"/>
      <c r="F2954" s="1189"/>
      <c r="G2954" s="1189"/>
      <c r="H2954" s="1189">
        <f>SUM(H2951:H2953)</f>
        <v>9.2200000000000006</v>
      </c>
      <c r="I2954" s="213"/>
      <c r="J2954" s="239"/>
    </row>
    <row r="2955" spans="1:10" s="207" customFormat="1" ht="15.75" customHeight="1" thickBot="1">
      <c r="A2955" s="216" t="str">
        <f>CONCATENATE("TOTAL DO ITEM DESON. - ",C2948)</f>
        <v>TOTAL DO ITEM DESON. - SEPLAG INC 37</v>
      </c>
      <c r="B2955" s="1148"/>
      <c r="C2955" s="1148"/>
      <c r="D2955" s="1148"/>
      <c r="E2955" s="1142"/>
      <c r="F2955" s="1190"/>
      <c r="G2955" s="1190"/>
      <c r="H2955" s="1190"/>
      <c r="I2955" s="228"/>
      <c r="J2955" s="219">
        <f>SUM(J2951:J2954)</f>
        <v>9.02</v>
      </c>
    </row>
    <row r="2956" spans="1:10" ht="15" customHeight="1" thickBot="1">
      <c r="A2956" s="235"/>
      <c r="B2956" s="1135"/>
      <c r="C2956" s="1135"/>
      <c r="D2956" s="1135"/>
      <c r="E2956" s="1135"/>
      <c r="F2956" s="1188"/>
      <c r="G2956" s="1188"/>
      <c r="H2956" s="1188"/>
      <c r="I2956" s="236"/>
      <c r="J2956" s="237"/>
    </row>
    <row r="2957" spans="1:10" ht="26.25" customHeight="1">
      <c r="A2957" s="230"/>
      <c r="B2957" s="1146"/>
      <c r="C2957" s="1146" t="s">
        <v>7314</v>
      </c>
      <c r="D2957" s="1146" t="s">
        <v>7693</v>
      </c>
      <c r="E2957" s="1152" t="s">
        <v>40</v>
      </c>
      <c r="F2957" s="1177" t="s">
        <v>18</v>
      </c>
      <c r="G2957" s="1178" t="s">
        <v>7015</v>
      </c>
      <c r="H2957" s="1179"/>
      <c r="I2957" s="200" t="s">
        <v>7016</v>
      </c>
      <c r="J2957" s="201"/>
    </row>
    <row r="2958" spans="1:10" ht="15" customHeight="1">
      <c r="A2958" s="203"/>
      <c r="B2958" s="432"/>
      <c r="C2958" s="432"/>
      <c r="D2958" s="432"/>
      <c r="E2958" s="430"/>
      <c r="F2958" s="1180"/>
      <c r="G2958" s="1180" t="s">
        <v>19</v>
      </c>
      <c r="H2958" s="1180" t="s">
        <v>20</v>
      </c>
      <c r="I2958" s="204" t="s">
        <v>19</v>
      </c>
      <c r="J2958" s="206" t="s">
        <v>20</v>
      </c>
    </row>
    <row r="2959" spans="1:10" ht="15" customHeight="1">
      <c r="A2959" s="233"/>
      <c r="B2959" s="161"/>
      <c r="C2959" s="161"/>
      <c r="D2959" s="161"/>
      <c r="E2959" s="247"/>
      <c r="F2959" s="248"/>
      <c r="G2959" s="248"/>
      <c r="H2959" s="248"/>
      <c r="I2959" s="214"/>
      <c r="J2959" s="227"/>
    </row>
    <row r="2960" spans="1:10" ht="39" customHeight="1">
      <c r="A2960" s="233" t="s">
        <v>39</v>
      </c>
      <c r="B2960" s="161" t="s">
        <v>27929</v>
      </c>
      <c r="C2960" s="161">
        <v>39258</v>
      </c>
      <c r="D2960" s="161" t="str">
        <f>IF(B2960="SEPLAG",VLOOKUP(COMPOSIÇÕES!C2960,'MAPA COMPARATIVO'!A:B,2,FALSE),VLOOKUP(C2960,'NAO DESO'!A:B,2,0))</f>
        <v>CABO MULTIPOLAR DE COBRE, FLEXIVEL, CLASSE 4 OU 5, ISOLACAO EM HEPR, COBERTURA EM PVC-ST2, ANTICHAMA BWF-B, 0,6/1 KV, 3 CONDUTORES DE 2,5 MM2</v>
      </c>
      <c r="E2960" s="247" t="s">
        <v>32</v>
      </c>
      <c r="F2960" s="248">
        <v>1.1000000000000001</v>
      </c>
      <c r="G2960" s="242">
        <f>IF(B2960="SEPLAG",VLOOKUP(CONCATENATE("MEDIANA - ",C2960),COTAÇÃO,5,FALSE),VLOOKUP($C2960,'NAO DESO'!$A:$D,4,))</f>
        <v>10</v>
      </c>
      <c r="H2960" s="242">
        <f>TRUNC(F2960*G2960,2)</f>
        <v>11</v>
      </c>
      <c r="I2960" s="54" t="str">
        <f>IF(B2960="SEPLAG",VLOOKUP(CONCATENATE("MEDIANA - ",C2960),COTAÇÃO,5,FALSE),VLOOKUP($C2960,DESON!$A:$D,4,))</f>
        <v>10,00</v>
      </c>
      <c r="J2960" s="209">
        <f>TRUNC(F2960*I2960,2)</f>
        <v>11</v>
      </c>
    </row>
    <row r="2961" spans="1:10" ht="26.25" customHeight="1">
      <c r="A2961" s="233" t="s">
        <v>39</v>
      </c>
      <c r="B2961" s="161"/>
      <c r="C2961" s="161">
        <v>21127</v>
      </c>
      <c r="D2961" s="161" t="str">
        <f>IF(B2961="SEPLAG",VLOOKUP(COMPOSIÇÕES!C2961,'MAPA COMPARATIVO'!A:B,2,FALSE),VLOOKUP(C2961,'NAO DESO'!A:B,2,0))</f>
        <v>FITA ISOLANTE ADESIVA ANTICHAMA, USO ATE 750 V, EM ROLO DE 19 MM X 5 M</v>
      </c>
      <c r="E2961" s="247" t="s">
        <v>427</v>
      </c>
      <c r="F2961" s="248">
        <v>0.02</v>
      </c>
      <c r="G2961" s="242">
        <f>IF(B2961="SEPLAG",VLOOKUP(CONCATENATE("MEDIANA - ",C2961),COTAÇÃO,5,FALSE),VLOOKUP($C2961,'NAO DESO'!$A:$D,4,))</f>
        <v>3.95</v>
      </c>
      <c r="H2961" s="242">
        <f>TRUNC(F2961*G2961,2)</f>
        <v>7.0000000000000007E-2</v>
      </c>
      <c r="I2961" s="54" t="str">
        <f>IF(B2961="SEPLAG",VLOOKUP(CONCATENATE("MEDIANA - ",C2961),COTAÇÃO,5,FALSE),VLOOKUP($C2961,DESON!$A:$D,4,))</f>
        <v>3,95</v>
      </c>
      <c r="J2961" s="209">
        <f>TRUNC(F2961*I2961,2)</f>
        <v>7.0000000000000007E-2</v>
      </c>
    </row>
    <row r="2962" spans="1:10" ht="15" customHeight="1">
      <c r="A2962" s="233" t="s">
        <v>245</v>
      </c>
      <c r="B2962" s="161"/>
      <c r="C2962" s="161">
        <v>88247</v>
      </c>
      <c r="D2962" s="161" t="str">
        <f>IF(B2962="SEPLAG",VLOOKUP(COMPOSIÇÕES!C2962,'MAPA COMPARATIVO'!A:B,2,FALSE),VLOOKUP(C2962,'NAO DESO'!A:B,2,0))</f>
        <v>AUXILIAR DE ELETRICISTA COM ENCARGOS COMPLEMENTARES</v>
      </c>
      <c r="E2962" s="247" t="s">
        <v>16</v>
      </c>
      <c r="F2962" s="248">
        <v>0.02</v>
      </c>
      <c r="G2962" s="242" t="str">
        <f>IF(B2962="SEPLAG",VLOOKUP(CONCATENATE("MEDIANA - ",C2962),COTAÇÃO,5,FALSE),VLOOKUP($C2962,'NAO DESO'!$A:$D,4,))</f>
        <v>16,84</v>
      </c>
      <c r="H2962" s="242">
        <f>TRUNC(F2962*G2962,2)</f>
        <v>0.33</v>
      </c>
      <c r="I2962" s="54" t="str">
        <f>IF(B2962="SEPLAG",VLOOKUP(CONCATENATE("MEDIANA - ",C2962),COTAÇÃO,5,FALSE),VLOOKUP($C2962,DESON!$A:$D,4,))</f>
        <v>15,19</v>
      </c>
      <c r="J2962" s="209">
        <f>TRUNC(F2962*I2962,2)</f>
        <v>0.3</v>
      </c>
    </row>
    <row r="2963" spans="1:10" ht="15" customHeight="1">
      <c r="A2963" s="233" t="s">
        <v>245</v>
      </c>
      <c r="B2963" s="161"/>
      <c r="C2963" s="161">
        <v>88264</v>
      </c>
      <c r="D2963" s="161" t="str">
        <f>IF(B2963="SEPLAG",VLOOKUP(COMPOSIÇÕES!C2963,'MAPA COMPARATIVO'!A:B,2,FALSE),VLOOKUP(C2963,'NAO DESO'!A:B,2,0))</f>
        <v>ELETRICISTA COM ENCARGOS COMPLEMENTARES</v>
      </c>
      <c r="E2963" s="247" t="s">
        <v>16</v>
      </c>
      <c r="F2963" s="248">
        <v>7.0000000000000007E-2</v>
      </c>
      <c r="G2963" s="242" t="str">
        <f>IF(B2963="SEPLAG",VLOOKUP(CONCATENATE("MEDIANA - ",C2963),COTAÇÃO,5,FALSE),VLOOKUP($C2963,'NAO DESO'!$A:$D,4,))</f>
        <v>21,87</v>
      </c>
      <c r="H2963" s="242">
        <f>TRUNC(F2963*G2963,2)</f>
        <v>1.53</v>
      </c>
      <c r="I2963" s="54" t="str">
        <f>IF(B2963="SEPLAG",VLOOKUP(CONCATENATE("MEDIANA - ",C2963),COTAÇÃO,5,FALSE),VLOOKUP($C2963,DESON!$A:$D,4,))</f>
        <v>19,53</v>
      </c>
      <c r="J2963" s="209">
        <f>TRUNC(F2963*I2963,2)</f>
        <v>1.36</v>
      </c>
    </row>
    <row r="2964" spans="1:10" s="207" customFormat="1" ht="15" customHeight="1">
      <c r="A2964" s="210" t="str">
        <f>CONCATENATE("TOTAL DO ITEM NÃO DESON. - ",C2957)</f>
        <v>TOTAL DO ITEM NÃO DESON. - SEPLAG INC 38</v>
      </c>
      <c r="B2964" s="432"/>
      <c r="C2964" s="432"/>
      <c r="D2964" s="432"/>
      <c r="E2964" s="430"/>
      <c r="F2964" s="1189"/>
      <c r="G2964" s="1189"/>
      <c r="H2964" s="1189">
        <f>SUM(H2960:H2963)</f>
        <v>12.93</v>
      </c>
      <c r="I2964" s="213"/>
      <c r="J2964" s="239"/>
    </row>
    <row r="2965" spans="1:10" s="207" customFormat="1" ht="15.75" customHeight="1" thickBot="1">
      <c r="A2965" s="216" t="str">
        <f>CONCATENATE("TOTAL DO ITEM DESON. - ",C2957)</f>
        <v>TOTAL DO ITEM DESON. - SEPLAG INC 38</v>
      </c>
      <c r="B2965" s="1148"/>
      <c r="C2965" s="1148"/>
      <c r="D2965" s="1148"/>
      <c r="E2965" s="1142"/>
      <c r="F2965" s="1190"/>
      <c r="G2965" s="1190"/>
      <c r="H2965" s="1190"/>
      <c r="I2965" s="228"/>
      <c r="J2965" s="219">
        <f>SUM(J2960:J2964)</f>
        <v>12.73</v>
      </c>
    </row>
    <row r="2966" spans="1:10" ht="15" customHeight="1" thickBot="1">
      <c r="A2966" s="235"/>
      <c r="B2966" s="1135"/>
      <c r="C2966" s="1135"/>
      <c r="D2966" s="1135"/>
      <c r="E2966" s="1135"/>
      <c r="F2966" s="1188"/>
      <c r="G2966" s="1188"/>
      <c r="H2966" s="1188"/>
      <c r="I2966" s="236"/>
      <c r="J2966" s="237"/>
    </row>
    <row r="2967" spans="1:10" ht="26.25" customHeight="1">
      <c r="A2967" s="230"/>
      <c r="B2967" s="1146"/>
      <c r="C2967" s="1146" t="s">
        <v>7738</v>
      </c>
      <c r="D2967" s="152" t="s">
        <v>7737</v>
      </c>
      <c r="E2967" s="1152" t="s">
        <v>40</v>
      </c>
      <c r="F2967" s="1177" t="s">
        <v>18</v>
      </c>
      <c r="G2967" s="1178" t="s">
        <v>7015</v>
      </c>
      <c r="H2967" s="1179"/>
      <c r="I2967" s="200" t="s">
        <v>7016</v>
      </c>
      <c r="J2967" s="201"/>
    </row>
    <row r="2968" spans="1:10" ht="15" customHeight="1">
      <c r="A2968" s="203"/>
      <c r="B2968" s="432"/>
      <c r="C2968" s="432"/>
      <c r="D2968" s="432"/>
      <c r="E2968" s="430"/>
      <c r="F2968" s="1180"/>
      <c r="G2968" s="1180" t="s">
        <v>19</v>
      </c>
      <c r="H2968" s="1180" t="s">
        <v>20</v>
      </c>
      <c r="I2968" s="204" t="s">
        <v>19</v>
      </c>
      <c r="J2968" s="206" t="s">
        <v>20</v>
      </c>
    </row>
    <row r="2969" spans="1:10" ht="15" customHeight="1">
      <c r="A2969" s="233"/>
      <c r="B2969" s="161"/>
      <c r="C2969" s="161"/>
      <c r="D2969" s="161"/>
      <c r="E2969" s="247"/>
      <c r="F2969" s="248"/>
      <c r="G2969" s="248"/>
      <c r="H2969" s="248"/>
      <c r="I2969" s="214"/>
      <c r="J2969" s="227"/>
    </row>
    <row r="2970" spans="1:10" ht="15" customHeight="1">
      <c r="A2970" s="233" t="s">
        <v>39</v>
      </c>
      <c r="B2970" s="161"/>
      <c r="C2970" s="161">
        <v>5318</v>
      </c>
      <c r="D2970" s="161" t="str">
        <f>IF(B2970="SEPLAG",VLOOKUP(COMPOSIÇÕES!C2970,'MAPA COMPARATIVO'!A:B,2,FALSE),VLOOKUP(C2970,'NAO DESO'!A:B,2,0))</f>
        <v>DILUENTE AGUARRAS</v>
      </c>
      <c r="E2970" s="247" t="s">
        <v>428</v>
      </c>
      <c r="F2970" s="248">
        <v>2.5000000000000001E-2</v>
      </c>
      <c r="G2970" s="242">
        <f>IF(B2970="SEPLAG",VLOOKUP(CONCATENATE("MEDIANA - ",C2970),COTAÇÃO,5,FALSE),VLOOKUP($C2970,'NAO DESO'!$A:$D,4,))</f>
        <v>13.98</v>
      </c>
      <c r="H2970" s="242">
        <f>TRUNC(F2970*G2970,2)</f>
        <v>0.34</v>
      </c>
      <c r="I2970" s="54" t="str">
        <f>IF(B2970="SEPLAG",VLOOKUP(CONCATENATE("MEDIANA - ",C2970),COTAÇÃO,5,FALSE),VLOOKUP($C2970,DESON!$A:$D,4,))</f>
        <v>13,98</v>
      </c>
      <c r="J2970" s="209">
        <f>TRUNC(F2970*I2970,2)</f>
        <v>0.34</v>
      </c>
    </row>
    <row r="2971" spans="1:10" ht="15" customHeight="1">
      <c r="A2971" s="233" t="s">
        <v>39</v>
      </c>
      <c r="B2971" s="161"/>
      <c r="C2971" s="161">
        <v>7307</v>
      </c>
      <c r="D2971" s="161" t="str">
        <f>IF(B2971="SEPLAG",VLOOKUP(COMPOSIÇÕES!C2971,'MAPA COMPARATIVO'!A:B,2,FALSE),VLOOKUP(C2971,'NAO DESO'!A:B,2,0))</f>
        <v>FUNDO ANTICORROSIVO PARA METAIS FERROSOS (ZARCAO)</v>
      </c>
      <c r="E2971" s="247" t="s">
        <v>428</v>
      </c>
      <c r="F2971" s="248">
        <v>0.1</v>
      </c>
      <c r="G2971" s="242">
        <f>IF(B2971="SEPLAG",VLOOKUP(CONCATENATE("MEDIANA - ",C2971),COTAÇÃO,5,FALSE),VLOOKUP($C2971,'NAO DESO'!$A:$D,4,))</f>
        <v>31.43</v>
      </c>
      <c r="H2971" s="242">
        <f>TRUNC(F2971*G2971,2)</f>
        <v>3.14</v>
      </c>
      <c r="I2971" s="54" t="str">
        <f>IF(B2971="SEPLAG",VLOOKUP(CONCATENATE("MEDIANA - ",C2971),COTAÇÃO,5,FALSE),VLOOKUP($C2971,DESON!$A:$D,4,))</f>
        <v>31,43</v>
      </c>
      <c r="J2971" s="209">
        <f>TRUNC(F2971*I2971,2)</f>
        <v>3.14</v>
      </c>
    </row>
    <row r="2972" spans="1:10" ht="15" customHeight="1">
      <c r="A2972" s="233" t="s">
        <v>39</v>
      </c>
      <c r="B2972" s="161"/>
      <c r="C2972" s="161">
        <v>7311</v>
      </c>
      <c r="D2972" s="161" t="str">
        <f>IF(B2972="SEPLAG",VLOOKUP(COMPOSIÇÕES!C2972,'MAPA COMPARATIVO'!A:B,2,FALSE),VLOOKUP(C2972,'NAO DESO'!A:B,2,0))</f>
        <v>TINTA ESMALTE SINTETICO PREMIUM ACETINADO</v>
      </c>
      <c r="E2972" s="247" t="s">
        <v>428</v>
      </c>
      <c r="F2972" s="248">
        <v>0.1</v>
      </c>
      <c r="G2972" s="242">
        <f>IF(B2972="SEPLAG",VLOOKUP(CONCATENATE("MEDIANA - ",C2972),COTAÇÃO,5,FALSE),VLOOKUP($C2972,'NAO DESO'!$A:$D,4,))</f>
        <v>30.1</v>
      </c>
      <c r="H2972" s="242">
        <f>TRUNC(F2972*G2972,2)</f>
        <v>3.01</v>
      </c>
      <c r="I2972" s="54" t="str">
        <f>IF(B2972="SEPLAG",VLOOKUP(CONCATENATE("MEDIANA - ",C2972),COTAÇÃO,5,FALSE),VLOOKUP($C2972,DESON!$A:$D,4,))</f>
        <v>30,10</v>
      </c>
      <c r="J2972" s="209">
        <f>TRUNC(F2972*I2972,2)</f>
        <v>3.01</v>
      </c>
    </row>
    <row r="2973" spans="1:10" ht="15" customHeight="1">
      <c r="A2973" s="233" t="s">
        <v>245</v>
      </c>
      <c r="B2973" s="161"/>
      <c r="C2973" s="161">
        <v>88310</v>
      </c>
      <c r="D2973" s="161" t="str">
        <f>IF(B2973="SEPLAG",VLOOKUP(COMPOSIÇÕES!C2973,'MAPA COMPARATIVO'!A:B,2,FALSE),VLOOKUP(C2973,'NAO DESO'!A:B,2,0))</f>
        <v>PINTOR COM ENCARGOS COMPLEMENTARES</v>
      </c>
      <c r="E2973" s="247" t="s">
        <v>16</v>
      </c>
      <c r="F2973" s="248">
        <v>0.3</v>
      </c>
      <c r="G2973" s="242" t="str">
        <f>IF(B2973="SEPLAG",VLOOKUP(CONCATENATE("MEDIANA - ",C2973),COTAÇÃO,5,FALSE),VLOOKUP($C2973,'NAO DESO'!$A:$D,4,))</f>
        <v>22,17</v>
      </c>
      <c r="H2973" s="242">
        <f>TRUNC(F2973*G2973,2)</f>
        <v>6.65</v>
      </c>
      <c r="I2973" s="54" t="str">
        <f>IF(B2973="SEPLAG",VLOOKUP(CONCATENATE("MEDIANA - ",C2973),COTAÇÃO,5,FALSE),VLOOKUP($C2973,DESON!$A:$D,4,))</f>
        <v>19,94</v>
      </c>
      <c r="J2973" s="209">
        <f>TRUNC(F2973*I2973,2)</f>
        <v>5.98</v>
      </c>
    </row>
    <row r="2974" spans="1:10" ht="15" customHeight="1">
      <c r="A2974" s="233" t="s">
        <v>245</v>
      </c>
      <c r="B2974" s="161"/>
      <c r="C2974" s="161">
        <v>100301</v>
      </c>
      <c r="D2974" s="161" t="str">
        <f>IF(B2974="SEPLAG",VLOOKUP(COMPOSIÇÕES!C2974,'MAPA COMPARATIVO'!A:B,2,FALSE),VLOOKUP(C2974,'NAO DESO'!A:B,2,0))</f>
        <v>AJUDANTE DE PINTOR COM ENCARGOS COMPLEMENTARES</v>
      </c>
      <c r="E2974" s="247" t="s">
        <v>16</v>
      </c>
      <c r="F2974" s="248">
        <v>0.3</v>
      </c>
      <c r="G2974" s="242" t="str">
        <f>IF(B2974="SEPLAG",VLOOKUP(CONCATENATE("MEDIANA - ",C2974),COTAÇÃO,5,FALSE),VLOOKUP($C2974,'NAO DESO'!$A:$D,4,))</f>
        <v>19,02</v>
      </c>
      <c r="H2974" s="242">
        <f>TRUNC(F2974*G2974,2)</f>
        <v>5.7</v>
      </c>
      <c r="I2974" s="54" t="str">
        <f>IF(B2974="SEPLAG",VLOOKUP(CONCATENATE("MEDIANA - ",C2974),COTAÇÃO,5,FALSE),VLOOKUP($C2974,DESON!$A:$D,4,))</f>
        <v>17,23</v>
      </c>
      <c r="J2974" s="209">
        <f>TRUNC(F2974*I2974,2)</f>
        <v>5.16</v>
      </c>
    </row>
    <row r="2975" spans="1:10" ht="15" customHeight="1">
      <c r="A2975" s="210" t="str">
        <f>CONCATENATE("TOTAL DO ITEM NÃO DESON. - ",C2967)</f>
        <v>TOTAL DO ITEM NÃO DESON. - SEPLAG INC 39</v>
      </c>
      <c r="B2975" s="161"/>
      <c r="C2975" s="161"/>
      <c r="D2975" s="161"/>
      <c r="E2975" s="247"/>
      <c r="F2975" s="248"/>
      <c r="G2975" s="248"/>
      <c r="H2975" s="1189">
        <f>SUM(H2970:H2974)</f>
        <v>18.84</v>
      </c>
      <c r="I2975" s="213"/>
      <c r="J2975" s="215"/>
    </row>
    <row r="2976" spans="1:10" ht="15.75" customHeight="1" thickBot="1">
      <c r="A2976" s="216" t="str">
        <f>CONCATENATE("TOTAL DO ITEM DESON. - ",C2967)</f>
        <v>TOTAL DO ITEM DESON. - SEPLAG INC 39</v>
      </c>
      <c r="B2976" s="1147"/>
      <c r="C2976" s="1147"/>
      <c r="D2976" s="1147"/>
      <c r="E2976" s="1218"/>
      <c r="F2976" s="1219"/>
      <c r="G2976" s="1219"/>
      <c r="H2976" s="1219"/>
      <c r="I2976" s="229"/>
      <c r="J2976" s="219">
        <f>SUM(J2970:J2975)</f>
        <v>17.630000000000003</v>
      </c>
    </row>
    <row r="2977" spans="1:10" ht="15" customHeight="1" thickBot="1">
      <c r="A2977" s="235"/>
      <c r="B2977" s="1135"/>
      <c r="C2977" s="1135"/>
      <c r="D2977" s="1135"/>
      <c r="E2977" s="1135"/>
      <c r="F2977" s="1188"/>
      <c r="G2977" s="1188"/>
      <c r="H2977" s="1188"/>
      <c r="I2977" s="236"/>
      <c r="J2977" s="237"/>
    </row>
    <row r="2978" spans="1:10" ht="26.25" customHeight="1">
      <c r="A2978" s="230"/>
      <c r="B2978" s="1146"/>
      <c r="C2978" s="1146" t="s">
        <v>7748</v>
      </c>
      <c r="D2978" s="1146" t="s">
        <v>7749</v>
      </c>
      <c r="E2978" s="1152" t="s">
        <v>24</v>
      </c>
      <c r="F2978" s="1177" t="s">
        <v>18</v>
      </c>
      <c r="G2978" s="1178" t="s">
        <v>7015</v>
      </c>
      <c r="H2978" s="1179"/>
      <c r="I2978" s="200" t="s">
        <v>7016</v>
      </c>
      <c r="J2978" s="201"/>
    </row>
    <row r="2979" spans="1:10" ht="15" customHeight="1">
      <c r="A2979" s="203"/>
      <c r="B2979" s="432"/>
      <c r="C2979" s="432"/>
      <c r="D2979" s="432"/>
      <c r="E2979" s="430"/>
      <c r="F2979" s="1180"/>
      <c r="G2979" s="1180" t="s">
        <v>19</v>
      </c>
      <c r="H2979" s="1180" t="s">
        <v>20</v>
      </c>
      <c r="I2979" s="204" t="s">
        <v>19</v>
      </c>
      <c r="J2979" s="206" t="s">
        <v>20</v>
      </c>
    </row>
    <row r="2980" spans="1:10" ht="15" customHeight="1">
      <c r="A2980" s="233"/>
      <c r="B2980" s="161"/>
      <c r="C2980" s="161"/>
      <c r="D2980" s="161"/>
      <c r="E2980" s="247"/>
      <c r="F2980" s="248"/>
      <c r="G2980" s="248"/>
      <c r="H2980" s="248"/>
      <c r="I2980" s="214"/>
      <c r="J2980" s="227"/>
    </row>
    <row r="2981" spans="1:10" ht="15" customHeight="1">
      <c r="A2981" s="233" t="s">
        <v>39</v>
      </c>
      <c r="B2981" s="161"/>
      <c r="C2981" s="161">
        <v>3148</v>
      </c>
      <c r="D2981" s="161" t="str">
        <f>IF(B2981="SEPLAG",VLOOKUP(COMPOSIÇÕES!C2981,'MAPA COMPARATIVO'!A:B,2,FALSE),VLOOKUP(C2981,'NAO DESO'!A:B,2,0))</f>
        <v>FITA VEDA ROSCA EM ROLOS DE 18 MM X 50 M (L X C)</v>
      </c>
      <c r="E2981" s="247" t="s">
        <v>427</v>
      </c>
      <c r="F2981" s="248">
        <v>0.06</v>
      </c>
      <c r="G2981" s="242">
        <f>IF(B2981="SEPLAG",VLOOKUP(CONCATENATE("MEDIANA - ",C2981),COTAÇÃO,5,FALSE),VLOOKUP($C2981,'NAO DESO'!$A:$D,4,))</f>
        <v>18.440000000000001</v>
      </c>
      <c r="H2981" s="242">
        <f>TRUNC(F2981*G2981,2)</f>
        <v>1.1000000000000001</v>
      </c>
      <c r="I2981" s="54" t="str">
        <f>IF(B2981="SEPLAG",VLOOKUP(CONCATENATE("MEDIANA - ",C2981),COTAÇÃO,5,FALSE),VLOOKUP($C2981,DESON!$A:$D,4,))</f>
        <v>18,44</v>
      </c>
      <c r="J2981" s="209">
        <f>TRUNC(F2981*I2981,2)</f>
        <v>1.1000000000000001</v>
      </c>
    </row>
    <row r="2982" spans="1:10" ht="15" customHeight="1">
      <c r="A2982" s="233" t="s">
        <v>245</v>
      </c>
      <c r="B2982" s="161"/>
      <c r="C2982" s="161">
        <v>1651</v>
      </c>
      <c r="D2982" s="161" t="str">
        <f>IF(B2982="SEPLAG",VLOOKUP(COMPOSIÇÕES!C2982,'MAPA COMPARATIVO'!A:B,2,FALSE),VLOOKUP(C2982,'NAO DESO'!A:B,2,0))</f>
        <v>CRUZETA DE FERRO GALVANIZADO, COM ROSCA BSP, DE 2 1/2"</v>
      </c>
      <c r="E2982" s="247" t="s">
        <v>427</v>
      </c>
      <c r="F2982" s="248">
        <v>1</v>
      </c>
      <c r="G2982" s="242">
        <f>IF(B2982="SEPLAG",VLOOKUP(CONCATENATE("MEDIANA - ",C2982),COTAÇÃO,5,FALSE),VLOOKUP($C2982,'NAO DESO'!$A:$D,4,))</f>
        <v>151.09</v>
      </c>
      <c r="H2982" s="242">
        <f>TRUNC(F2982*G2982,2)</f>
        <v>151.09</v>
      </c>
      <c r="I2982" s="54" t="str">
        <f>IF(B2982="SEPLAG",VLOOKUP(CONCATENATE("MEDIANA - ",C2982),COTAÇÃO,5,FALSE),VLOOKUP($C2982,DESON!$A:$D,4,))</f>
        <v>151,09</v>
      </c>
      <c r="J2982" s="209">
        <f>TRUNC(F2982*I2982,2)</f>
        <v>151.09</v>
      </c>
    </row>
    <row r="2983" spans="1:10" ht="15" customHeight="1">
      <c r="A2983" s="233" t="s">
        <v>245</v>
      </c>
      <c r="B2983" s="161"/>
      <c r="C2983" s="161">
        <v>7307</v>
      </c>
      <c r="D2983" s="161" t="str">
        <f>IF(B2983="SEPLAG",VLOOKUP(COMPOSIÇÕES!C2983,'MAPA COMPARATIVO'!A:B,2,FALSE),VLOOKUP(C2983,'NAO DESO'!A:B,2,0))</f>
        <v>FUNDO ANTICORROSIVO PARA METAIS FERROSOS (ZARCAO)</v>
      </c>
      <c r="E2983" s="247" t="s">
        <v>428</v>
      </c>
      <c r="F2983" s="248">
        <v>0.01</v>
      </c>
      <c r="G2983" s="242">
        <f>IF(B2983="SEPLAG",VLOOKUP(CONCATENATE("MEDIANA - ",C2983),COTAÇÃO,5,FALSE),VLOOKUP($C2983,'NAO DESO'!$A:$D,4,))</f>
        <v>31.43</v>
      </c>
      <c r="H2983" s="242">
        <f>TRUNC(F2983*G2983,2)</f>
        <v>0.31</v>
      </c>
      <c r="I2983" s="54" t="str">
        <f>IF(B2983="SEPLAG",VLOOKUP(CONCATENATE("MEDIANA - ",C2983),COTAÇÃO,5,FALSE),VLOOKUP($C2983,DESON!$A:$D,4,))</f>
        <v>31,43</v>
      </c>
      <c r="J2983" s="209">
        <f>TRUNC(F2983*I2983,2)</f>
        <v>0.31</v>
      </c>
    </row>
    <row r="2984" spans="1:10" ht="26.25" customHeight="1">
      <c r="A2984" s="233" t="s">
        <v>245</v>
      </c>
      <c r="B2984" s="161"/>
      <c r="C2984" s="161">
        <v>88248</v>
      </c>
      <c r="D2984" s="161" t="str">
        <f>IF(B2984="SEPLAG",VLOOKUP(COMPOSIÇÕES!C2984,'MAPA COMPARATIVO'!A:B,2,FALSE),VLOOKUP(C2984,'NAO DESO'!A:B,2,0))</f>
        <v>AUXILIAR DE ENCANADOR OU BOMBEIRO HIDRÁULICO COM ENCARGOS COMPLEMENTARES</v>
      </c>
      <c r="E2984" s="247" t="s">
        <v>16</v>
      </c>
      <c r="F2984" s="248">
        <v>1.86</v>
      </c>
      <c r="G2984" s="242" t="str">
        <f>IF(B2984="SEPLAG",VLOOKUP(CONCATENATE("MEDIANA - ",C2984),COTAÇÃO,5,FALSE),VLOOKUP($C2984,'NAO DESO'!$A:$D,4,))</f>
        <v>17,33</v>
      </c>
      <c r="H2984" s="242">
        <f>TRUNC(F2984*G2984,2)</f>
        <v>32.229999999999997</v>
      </c>
      <c r="I2984" s="54" t="str">
        <f>IF(B2984="SEPLAG",VLOOKUP(CONCATENATE("MEDIANA - ",C2984),COTAÇÃO,5,FALSE),VLOOKUP($C2984,DESON!$A:$D,4,))</f>
        <v>15,54</v>
      </c>
      <c r="J2984" s="209">
        <f>TRUNC(F2984*I2984,2)</f>
        <v>28.9</v>
      </c>
    </row>
    <row r="2985" spans="1:10" ht="26.25" customHeight="1">
      <c r="A2985" s="233" t="s">
        <v>245</v>
      </c>
      <c r="B2985" s="161"/>
      <c r="C2985" s="161">
        <v>88267</v>
      </c>
      <c r="D2985" s="161" t="str">
        <f>IF(B2985="SEPLAG",VLOOKUP(COMPOSIÇÕES!C2985,'MAPA COMPARATIVO'!A:B,2,FALSE),VLOOKUP(C2985,'NAO DESO'!A:B,2,0))</f>
        <v>ENCANADOR OU BOMBEIRO HIDRÁULICO COM ENCARGOS COMPLEMENTARES</v>
      </c>
      <c r="E2985" s="247" t="s">
        <v>16</v>
      </c>
      <c r="F2985" s="248">
        <v>1.86</v>
      </c>
      <c r="G2985" s="242" t="str">
        <f>IF(B2985="SEPLAG",VLOOKUP(CONCATENATE("MEDIANA - ",C2985),COTAÇÃO,5,FALSE),VLOOKUP($C2985,'NAO DESO'!$A:$D,4,))</f>
        <v>21,03</v>
      </c>
      <c r="H2985" s="242">
        <f>TRUNC(F2985*G2985,2)</f>
        <v>39.11</v>
      </c>
      <c r="I2985" s="54" t="str">
        <f>IF(B2985="SEPLAG",VLOOKUP(CONCATENATE("MEDIANA - ",C2985),COTAÇÃO,5,FALSE),VLOOKUP($C2985,DESON!$A:$D,4,))</f>
        <v>18,72</v>
      </c>
      <c r="J2985" s="209">
        <f>TRUNC(F2985*I2985,2)</f>
        <v>34.81</v>
      </c>
    </row>
    <row r="2986" spans="1:10" ht="15" customHeight="1">
      <c r="A2986" s="210" t="str">
        <f>CONCATENATE("TOTAL DO ITEM NÃO DESON. - ",C2978)</f>
        <v>TOTAL DO ITEM NÃO DESON. - SEPLAG INC 40</v>
      </c>
      <c r="B2986" s="161"/>
      <c r="C2986" s="161"/>
      <c r="D2986" s="161"/>
      <c r="E2986" s="247"/>
      <c r="F2986" s="248"/>
      <c r="G2986" s="248"/>
      <c r="H2986" s="1189">
        <f>SUM(H2981:H2985)</f>
        <v>223.83999999999997</v>
      </c>
      <c r="I2986" s="213"/>
      <c r="J2986" s="215"/>
    </row>
    <row r="2987" spans="1:10" ht="15.75" customHeight="1" thickBot="1">
      <c r="A2987" s="216" t="str">
        <f>CONCATENATE("TOTAL DO ITEM DESON. - ",C2978)</f>
        <v>TOTAL DO ITEM DESON. - SEPLAG INC 40</v>
      </c>
      <c r="B2987" s="1147"/>
      <c r="C2987" s="1147"/>
      <c r="D2987" s="1147"/>
      <c r="E2987" s="1218"/>
      <c r="F2987" s="1219"/>
      <c r="G2987" s="1219"/>
      <c r="H2987" s="1219"/>
      <c r="I2987" s="229"/>
      <c r="J2987" s="219">
        <f>SUM(J2981:J2986)</f>
        <v>216.21</v>
      </c>
    </row>
    <row r="2988" spans="1:10" ht="15" customHeight="1" thickBot="1">
      <c r="A2988" s="235"/>
      <c r="B2988" s="1135"/>
      <c r="C2988" s="1135"/>
      <c r="D2988" s="1135"/>
      <c r="E2988" s="1135"/>
      <c r="F2988" s="1188"/>
      <c r="G2988" s="1188"/>
      <c r="H2988" s="1188"/>
      <c r="I2988" s="236"/>
      <c r="J2988" s="237"/>
    </row>
    <row r="2989" spans="1:10" ht="26.25" customHeight="1">
      <c r="A2989" s="230"/>
      <c r="B2989" s="1146"/>
      <c r="C2989" s="1146" t="s">
        <v>13926</v>
      </c>
      <c r="D2989" s="1146" t="s">
        <v>13925</v>
      </c>
      <c r="E2989" s="1152" t="s">
        <v>40</v>
      </c>
      <c r="F2989" s="1177" t="s">
        <v>18</v>
      </c>
      <c r="G2989" s="1178" t="s">
        <v>7015</v>
      </c>
      <c r="H2989" s="1179"/>
      <c r="I2989" s="200" t="s">
        <v>7016</v>
      </c>
      <c r="J2989" s="201"/>
    </row>
    <row r="2990" spans="1:10" ht="15" customHeight="1">
      <c r="A2990" s="203"/>
      <c r="B2990" s="432"/>
      <c r="C2990" s="432"/>
      <c r="D2990" s="432"/>
      <c r="E2990" s="430"/>
      <c r="F2990" s="1180"/>
      <c r="G2990" s="1180" t="s">
        <v>19</v>
      </c>
      <c r="H2990" s="1180" t="s">
        <v>20</v>
      </c>
      <c r="I2990" s="204" t="s">
        <v>19</v>
      </c>
      <c r="J2990" s="206" t="s">
        <v>20</v>
      </c>
    </row>
    <row r="2991" spans="1:10" ht="15" customHeight="1">
      <c r="A2991" s="233"/>
      <c r="B2991" s="161"/>
      <c r="C2991" s="161"/>
      <c r="D2991" s="161"/>
      <c r="E2991" s="247"/>
      <c r="F2991" s="248"/>
      <c r="G2991" s="248"/>
      <c r="H2991" s="248"/>
      <c r="I2991" s="214"/>
      <c r="J2991" s="227"/>
    </row>
    <row r="2992" spans="1:10" ht="25.5">
      <c r="A2992" s="233" t="s">
        <v>39</v>
      </c>
      <c r="B2992" s="161" t="s">
        <v>27929</v>
      </c>
      <c r="C2992" s="161">
        <v>34618</v>
      </c>
      <c r="D2992" s="161" t="str">
        <f>IF(B2992="SEPLAG",VLOOKUP(COMPOSIÇÕES!C2992,'MAPA COMPARATIVO'!A:B,2,FALSE),VLOOKUP(C2992,'NAO DESO'!A:B,2,0))</f>
        <v>CABO FLEXIVEL PVC 750 V, 3 CONDUTORES DE 1,5 MM2</v>
      </c>
      <c r="E2992" s="247" t="s">
        <v>32</v>
      </c>
      <c r="F2992" s="248">
        <v>1.1000000000000001</v>
      </c>
      <c r="G2992" s="242">
        <f>IF(B2992="SEPLAG",VLOOKUP(CONCATENATE("MEDIANA - ",C2992),COTAÇÃO,5,FALSE),VLOOKUP($C2992,'NAO DESO'!$A:$D,4,))</f>
        <v>8</v>
      </c>
      <c r="H2992" s="242">
        <f>TRUNC(F2992*G2992,2)</f>
        <v>8.8000000000000007</v>
      </c>
      <c r="I2992" s="54" t="str">
        <f>IF(B2992="SEPLAG",VLOOKUP(CONCATENATE("MEDIANA - ",C2992),COTAÇÃO,5,FALSE),VLOOKUP($C2992,DESON!$A:$D,4,))</f>
        <v>8,00</v>
      </c>
      <c r="J2992" s="209">
        <f>TRUNC(F2992*I2992,2)</f>
        <v>8.8000000000000007</v>
      </c>
    </row>
    <row r="2993" spans="1:10" ht="26.25" customHeight="1">
      <c r="A2993" s="233" t="s">
        <v>39</v>
      </c>
      <c r="B2993" s="161"/>
      <c r="C2993" s="161">
        <v>21127</v>
      </c>
      <c r="D2993" s="161" t="str">
        <f>IF(B2993="SEPLAG",VLOOKUP(COMPOSIÇÕES!C2993,'MAPA COMPARATIVO'!A:B,2,FALSE),VLOOKUP(C2993,'NAO DESO'!A:B,2,0))</f>
        <v>FITA ISOLANTE ADESIVA ANTICHAMA, USO ATE 750 V, EM ROLO DE 19 MM X 5 M</v>
      </c>
      <c r="E2993" s="247" t="s">
        <v>427</v>
      </c>
      <c r="F2993" s="248">
        <v>0.02</v>
      </c>
      <c r="G2993" s="242">
        <f>IF(B2993="SEPLAG",VLOOKUP(CONCATENATE("MEDIANA - ",C2993),COTAÇÃO,5,FALSE),VLOOKUP($C2993,'NAO DESO'!$A:$D,4,))</f>
        <v>3.95</v>
      </c>
      <c r="H2993" s="242">
        <f>TRUNC(F2993*G2993,2)</f>
        <v>7.0000000000000007E-2</v>
      </c>
      <c r="I2993" s="54" t="str">
        <f>IF(B2993="SEPLAG",VLOOKUP(CONCATENATE("MEDIANA - ",C2993),COTAÇÃO,5,FALSE),VLOOKUP($C2993,DESON!$A:$D,4,))</f>
        <v>3,95</v>
      </c>
      <c r="J2993" s="209">
        <f>TRUNC(F2993*I2993,2)</f>
        <v>7.0000000000000007E-2</v>
      </c>
    </row>
    <row r="2994" spans="1:10" ht="15" customHeight="1">
      <c r="A2994" s="233" t="s">
        <v>245</v>
      </c>
      <c r="B2994" s="161"/>
      <c r="C2994" s="161">
        <v>88247</v>
      </c>
      <c r="D2994" s="161" t="str">
        <f>IF(B2994="SEPLAG",VLOOKUP(COMPOSIÇÕES!C2994,'MAPA COMPARATIVO'!A:B,2,FALSE),VLOOKUP(C2994,'NAO DESO'!A:B,2,0))</f>
        <v>AUXILIAR DE ELETRICISTA COM ENCARGOS COMPLEMENTARES</v>
      </c>
      <c r="E2994" s="247" t="s">
        <v>16</v>
      </c>
      <c r="F2994" s="248">
        <v>0.02</v>
      </c>
      <c r="G2994" s="242" t="str">
        <f>IF(B2994="SEPLAG",VLOOKUP(CONCATENATE("MEDIANA - ",C2994),COTAÇÃO,5,FALSE),VLOOKUP($C2994,'NAO DESO'!$A:$D,4,))</f>
        <v>16,84</v>
      </c>
      <c r="H2994" s="242">
        <f>TRUNC(F2994*G2994,2)</f>
        <v>0.33</v>
      </c>
      <c r="I2994" s="54" t="str">
        <f>IF(B2994="SEPLAG",VLOOKUP(CONCATENATE("MEDIANA - ",C2994),COTAÇÃO,5,FALSE),VLOOKUP($C2994,DESON!$A:$D,4,))</f>
        <v>15,19</v>
      </c>
      <c r="J2994" s="209">
        <f>TRUNC(F2994*I2994,2)</f>
        <v>0.3</v>
      </c>
    </row>
    <row r="2995" spans="1:10" ht="15" customHeight="1">
      <c r="A2995" s="233" t="s">
        <v>245</v>
      </c>
      <c r="B2995" s="161"/>
      <c r="C2995" s="161">
        <v>88264</v>
      </c>
      <c r="D2995" s="161" t="str">
        <f>IF(B2995="SEPLAG",VLOOKUP(COMPOSIÇÕES!C2995,'MAPA COMPARATIVO'!A:B,2,FALSE),VLOOKUP(C2995,'NAO DESO'!A:B,2,0))</f>
        <v>ELETRICISTA COM ENCARGOS COMPLEMENTARES</v>
      </c>
      <c r="E2995" s="247" t="s">
        <v>16</v>
      </c>
      <c r="F2995" s="248">
        <v>7.0000000000000007E-2</v>
      </c>
      <c r="G2995" s="242" t="str">
        <f>IF(B2995="SEPLAG",VLOOKUP(CONCATENATE("MEDIANA - ",C2995),COTAÇÃO,5,FALSE),VLOOKUP($C2995,'NAO DESO'!$A:$D,4,))</f>
        <v>21,87</v>
      </c>
      <c r="H2995" s="242">
        <f>TRUNC(F2995*G2995,2)</f>
        <v>1.53</v>
      </c>
      <c r="I2995" s="54" t="str">
        <f>IF(B2995="SEPLAG",VLOOKUP(CONCATENATE("MEDIANA - ",C2995),COTAÇÃO,5,FALSE),VLOOKUP($C2995,DESON!$A:$D,4,))</f>
        <v>19,53</v>
      </c>
      <c r="J2995" s="209">
        <f>TRUNC(F2995*I2995,2)</f>
        <v>1.36</v>
      </c>
    </row>
    <row r="2996" spans="1:10" ht="15" customHeight="1">
      <c r="A2996" s="210" t="str">
        <f>CONCATENATE("TOTAL DO ITEM NÃO DESON. - ",C2989)</f>
        <v>TOTAL DO ITEM NÃO DESON. - SEPLAG INC 41</v>
      </c>
      <c r="B2996" s="161"/>
      <c r="C2996" s="161"/>
      <c r="D2996" s="161"/>
      <c r="E2996" s="247"/>
      <c r="F2996" s="248"/>
      <c r="G2996" s="248"/>
      <c r="H2996" s="1189">
        <f>SUM(H2992:H2995)</f>
        <v>10.73</v>
      </c>
      <c r="I2996" s="213"/>
      <c r="J2996" s="215"/>
    </row>
    <row r="2997" spans="1:10" ht="15.75" customHeight="1" thickBot="1">
      <c r="A2997" s="216" t="str">
        <f>CONCATENATE("TOTAL DO ITEM DESON. - ",C2989)</f>
        <v>TOTAL DO ITEM DESON. - SEPLAG INC 41</v>
      </c>
      <c r="B2997" s="1147"/>
      <c r="C2997" s="1147"/>
      <c r="D2997" s="1147"/>
      <c r="E2997" s="1218"/>
      <c r="F2997" s="1219"/>
      <c r="G2997" s="1219"/>
      <c r="H2997" s="1219"/>
      <c r="I2997" s="229"/>
      <c r="J2997" s="219">
        <f>SUM(J2992:J2996)</f>
        <v>10.530000000000001</v>
      </c>
    </row>
    <row r="2998" spans="1:10" ht="15" customHeight="1" thickBot="1">
      <c r="A2998" s="235"/>
      <c r="B2998" s="1135"/>
      <c r="C2998" s="1135"/>
      <c r="D2998" s="1135"/>
      <c r="E2998" s="1135"/>
      <c r="F2998" s="1188"/>
      <c r="G2998" s="1188"/>
      <c r="H2998" s="1188"/>
      <c r="I2998" s="236"/>
      <c r="J2998" s="237"/>
    </row>
    <row r="2999" spans="1:10" ht="26.25" customHeight="1">
      <c r="A2999" s="230"/>
      <c r="B2999" s="1146"/>
      <c r="C2999" s="1146" t="s">
        <v>13934</v>
      </c>
      <c r="D2999" s="152" t="s">
        <v>13935</v>
      </c>
      <c r="E2999" s="1152" t="s">
        <v>24</v>
      </c>
      <c r="F2999" s="1177" t="s">
        <v>18</v>
      </c>
      <c r="G2999" s="1178" t="s">
        <v>7015</v>
      </c>
      <c r="H2999" s="1179"/>
      <c r="I2999" s="200" t="s">
        <v>7016</v>
      </c>
      <c r="J2999" s="201"/>
    </row>
    <row r="3000" spans="1:10" ht="15" customHeight="1">
      <c r="A3000" s="203"/>
      <c r="B3000" s="432"/>
      <c r="C3000" s="432"/>
      <c r="D3000" s="432"/>
      <c r="E3000" s="430"/>
      <c r="F3000" s="1180"/>
      <c r="G3000" s="1180" t="s">
        <v>19</v>
      </c>
      <c r="H3000" s="1180" t="s">
        <v>20</v>
      </c>
      <c r="I3000" s="204" t="s">
        <v>19</v>
      </c>
      <c r="J3000" s="206" t="s">
        <v>20</v>
      </c>
    </row>
    <row r="3001" spans="1:10" ht="15" customHeight="1">
      <c r="A3001" s="233"/>
      <c r="B3001" s="161"/>
      <c r="C3001" s="161"/>
      <c r="D3001" s="161"/>
      <c r="E3001" s="247"/>
      <c r="F3001" s="248"/>
      <c r="G3001" s="248"/>
      <c r="H3001" s="248"/>
      <c r="I3001" s="214"/>
      <c r="J3001" s="227"/>
    </row>
    <row r="3002" spans="1:10" ht="15" customHeight="1">
      <c r="A3002" s="233" t="s">
        <v>39</v>
      </c>
      <c r="B3002" s="161"/>
      <c r="C3002" s="161">
        <v>3143</v>
      </c>
      <c r="D3002" s="161" t="str">
        <f>IF(B3002="SEPLAG",VLOOKUP(COMPOSIÇÕES!C3002,'MAPA COMPARATIVO'!A:B,2,FALSE),VLOOKUP(C3002,'NAO DESO'!A:B,2,0))</f>
        <v>FITA VEDA ROSCA EM ROLOS DE 18 MM X 25 M (L X C)</v>
      </c>
      <c r="E3002" s="247" t="s">
        <v>427</v>
      </c>
      <c r="F3002" s="248">
        <v>0.56000000000000005</v>
      </c>
      <c r="G3002" s="242">
        <f>IF(B3002="SEPLAG",VLOOKUP(CONCATENATE("MEDIANA - ",C3002),COTAÇÃO,5,FALSE),VLOOKUP($C3002,'NAO DESO'!$A:$D,4,))</f>
        <v>11.37</v>
      </c>
      <c r="H3002" s="242">
        <f>TRUNC(F3002*G3002,2)</f>
        <v>6.36</v>
      </c>
      <c r="I3002" s="54" t="str">
        <f>IF(B3002="SEPLAG",VLOOKUP(CONCATENATE("MEDIANA - ",C3002),COTAÇÃO,5,FALSE),VLOOKUP($C3002,DESON!$A:$D,4,))</f>
        <v>11,37</v>
      </c>
      <c r="J3002" s="209">
        <f>TRUNC(F3002*I3002,2)</f>
        <v>6.36</v>
      </c>
    </row>
    <row r="3003" spans="1:10" ht="39" customHeight="1">
      <c r="A3003" s="233" t="s">
        <v>39</v>
      </c>
      <c r="B3003" s="161"/>
      <c r="C3003" s="161">
        <v>10904</v>
      </c>
      <c r="D3003" s="161" t="str">
        <f>IF(B3003="SEPLAG",VLOOKUP(COMPOSIÇÕES!C3003,'MAPA COMPARATIVO'!A:B,2,FALSE),VLOOKUP(C3003,'NAO DESO'!A:B,2,0))</f>
        <v>REGISTRO OU VALVULA GLOBO ANGULAR EM LATAO, PARA HIDRANTES EM INSTALACAO PREDIAL DE INCENDIO, 45 GRAUS, DIAMETRO DE 2 1/2", COM VOLANTE, CLASSE DE PRESSAO DE ATE 200 PSI</v>
      </c>
      <c r="E3003" s="247" t="s">
        <v>427</v>
      </c>
      <c r="F3003" s="248">
        <v>1</v>
      </c>
      <c r="G3003" s="242">
        <f>IF(B3003="SEPLAG",VLOOKUP(CONCATENATE("MEDIANA - ",C3003),COTAÇÃO,5,FALSE),VLOOKUP($C3003,'NAO DESO'!$A:$D,4,))</f>
        <v>155.5</v>
      </c>
      <c r="H3003" s="242">
        <f>TRUNC(F3003*G3003,2)</f>
        <v>155.5</v>
      </c>
      <c r="I3003" s="54" t="str">
        <f>IF(B3003="SEPLAG",VLOOKUP(CONCATENATE("MEDIANA - ",C3003),COTAÇÃO,5,FALSE),VLOOKUP($C3003,DESON!$A:$D,4,))</f>
        <v>155,50</v>
      </c>
      <c r="J3003" s="209">
        <f>TRUNC(F3003*I3003,2)</f>
        <v>155.5</v>
      </c>
    </row>
    <row r="3004" spans="1:10" ht="26.25" customHeight="1">
      <c r="A3004" s="233" t="s">
        <v>245</v>
      </c>
      <c r="B3004" s="161"/>
      <c r="C3004" s="161">
        <v>88267</v>
      </c>
      <c r="D3004" s="161" t="str">
        <f>IF(B3004="SEPLAG",VLOOKUP(COMPOSIÇÕES!C3004,'MAPA COMPARATIVO'!A:B,2,FALSE),VLOOKUP(C3004,'NAO DESO'!A:B,2,0))</f>
        <v>ENCANADOR OU BOMBEIRO HIDRÁULICO COM ENCARGOS COMPLEMENTARES</v>
      </c>
      <c r="E3004" s="247" t="s">
        <v>16</v>
      </c>
      <c r="F3004" s="248">
        <v>0.8</v>
      </c>
      <c r="G3004" s="242" t="str">
        <f>IF(B3004="SEPLAG",VLOOKUP(CONCATENATE("MEDIANA - ",C3004),COTAÇÃO,5,FALSE),VLOOKUP($C3004,'NAO DESO'!$A:$D,4,))</f>
        <v>21,03</v>
      </c>
      <c r="H3004" s="242">
        <f>TRUNC(F3004*G3004,2)</f>
        <v>16.82</v>
      </c>
      <c r="I3004" s="54" t="str">
        <f>IF(B3004="SEPLAG",VLOOKUP(CONCATENATE("MEDIANA - ",C3004),COTAÇÃO,5,FALSE),VLOOKUP($C3004,DESON!$A:$D,4,))</f>
        <v>18,72</v>
      </c>
      <c r="J3004" s="209">
        <f>TRUNC(F3004*I3004,2)</f>
        <v>14.97</v>
      </c>
    </row>
    <row r="3005" spans="1:10" ht="26.25" customHeight="1">
      <c r="A3005" s="233" t="s">
        <v>245</v>
      </c>
      <c r="B3005" s="161"/>
      <c r="C3005" s="161">
        <v>88248</v>
      </c>
      <c r="D3005" s="161" t="str">
        <f>IF(B3005="SEPLAG",VLOOKUP(COMPOSIÇÕES!C3005,'MAPA COMPARATIVO'!A:B,2,FALSE),VLOOKUP(C3005,'NAO DESO'!A:B,2,0))</f>
        <v>AUXILIAR DE ENCANADOR OU BOMBEIRO HIDRÁULICO COM ENCARGOS COMPLEMENTARES</v>
      </c>
      <c r="E3005" s="247" t="s">
        <v>16</v>
      </c>
      <c r="F3005" s="248">
        <v>0.8</v>
      </c>
      <c r="G3005" s="242" t="str">
        <f>IF(B3005="SEPLAG",VLOOKUP(CONCATENATE("MEDIANA - ",C3005),COTAÇÃO,5,FALSE),VLOOKUP($C3005,'NAO DESO'!$A:$D,4,))</f>
        <v>17,33</v>
      </c>
      <c r="H3005" s="242">
        <f>TRUNC(F3005*G3005,2)</f>
        <v>13.86</v>
      </c>
      <c r="I3005" s="54" t="str">
        <f>IF(B3005="SEPLAG",VLOOKUP(CONCATENATE("MEDIANA - ",C3005),COTAÇÃO,5,FALSE),VLOOKUP($C3005,DESON!$A:$D,4,))</f>
        <v>15,54</v>
      </c>
      <c r="J3005" s="209">
        <f>TRUNC(F3005*I3005,2)</f>
        <v>12.43</v>
      </c>
    </row>
    <row r="3006" spans="1:10" ht="15" customHeight="1">
      <c r="A3006" s="210" t="str">
        <f>CONCATENATE("TOTAL DO ITEM NÃO DESON. - ",C2999)</f>
        <v>TOTAL DO ITEM NÃO DESON. - SEPLAG INC 42</v>
      </c>
      <c r="B3006" s="161"/>
      <c r="C3006" s="161"/>
      <c r="D3006" s="161"/>
      <c r="E3006" s="247"/>
      <c r="F3006" s="248"/>
      <c r="G3006" s="248"/>
      <c r="H3006" s="1189">
        <f>SUM(H3002:H3005)</f>
        <v>192.54000000000002</v>
      </c>
      <c r="I3006" s="213"/>
      <c r="J3006" s="215"/>
    </row>
    <row r="3007" spans="1:10" ht="15.75" customHeight="1" thickBot="1">
      <c r="A3007" s="216" t="str">
        <f>CONCATENATE("TOTAL DO ITEM DESON. - ",C2999)</f>
        <v>TOTAL DO ITEM DESON. - SEPLAG INC 42</v>
      </c>
      <c r="B3007" s="1147"/>
      <c r="C3007" s="1147"/>
      <c r="D3007" s="1147"/>
      <c r="E3007" s="1218"/>
      <c r="F3007" s="1219"/>
      <c r="G3007" s="1219"/>
      <c r="H3007" s="1219"/>
      <c r="I3007" s="229"/>
      <c r="J3007" s="219">
        <f>SUM(J3002:J3006)</f>
        <v>189.26000000000002</v>
      </c>
    </row>
    <row r="3008" spans="1:10" ht="15" customHeight="1" thickBot="1">
      <c r="A3008" s="235"/>
      <c r="B3008" s="1135"/>
      <c r="C3008" s="1135"/>
      <c r="D3008" s="1135"/>
      <c r="E3008" s="1135"/>
      <c r="F3008" s="1188"/>
      <c r="G3008" s="1188"/>
      <c r="H3008" s="1188"/>
      <c r="I3008" s="236"/>
      <c r="J3008" s="237"/>
    </row>
    <row r="3009" spans="1:10" ht="26.25" customHeight="1">
      <c r="A3009" s="230"/>
      <c r="B3009" s="1146"/>
      <c r="C3009" s="1146" t="s">
        <v>13937</v>
      </c>
      <c r="D3009" s="1146" t="s">
        <v>13936</v>
      </c>
      <c r="E3009" s="1152" t="s">
        <v>24</v>
      </c>
      <c r="F3009" s="1177" t="s">
        <v>18</v>
      </c>
      <c r="G3009" s="1178" t="s">
        <v>7015</v>
      </c>
      <c r="H3009" s="1179"/>
      <c r="I3009" s="200" t="s">
        <v>7016</v>
      </c>
      <c r="J3009" s="201"/>
    </row>
    <row r="3010" spans="1:10" ht="15" customHeight="1">
      <c r="A3010" s="203"/>
      <c r="B3010" s="432"/>
      <c r="C3010" s="432"/>
      <c r="D3010" s="432"/>
      <c r="E3010" s="430"/>
      <c r="F3010" s="1180"/>
      <c r="G3010" s="1180" t="s">
        <v>19</v>
      </c>
      <c r="H3010" s="1180" t="s">
        <v>20</v>
      </c>
      <c r="I3010" s="204" t="s">
        <v>19</v>
      </c>
      <c r="J3010" s="206" t="s">
        <v>20</v>
      </c>
    </row>
    <row r="3011" spans="1:10" ht="15" customHeight="1">
      <c r="A3011" s="233"/>
      <c r="B3011" s="161"/>
      <c r="C3011" s="161"/>
      <c r="D3011" s="161"/>
      <c r="E3011" s="247"/>
      <c r="F3011" s="248"/>
      <c r="G3011" s="248"/>
      <c r="H3011" s="248"/>
      <c r="I3011" s="214"/>
      <c r="J3011" s="227"/>
    </row>
    <row r="3012" spans="1:10" ht="15" customHeight="1">
      <c r="A3012" s="233" t="s">
        <v>39</v>
      </c>
      <c r="B3012" s="161"/>
      <c r="C3012" s="161">
        <v>3143</v>
      </c>
      <c r="D3012" s="161" t="str">
        <f>IF(B3012="SEPLAG",VLOOKUP(COMPOSIÇÕES!C3012,'MAPA COMPARATIVO'!A:B,2,FALSE),VLOOKUP(C3012,'NAO DESO'!A:B,2,0))</f>
        <v>FITA VEDA ROSCA EM ROLOS DE 18 MM X 25 M (L X C)</v>
      </c>
      <c r="E3012" s="247" t="s">
        <v>427</v>
      </c>
      <c r="F3012" s="248">
        <v>0.56000000000000005</v>
      </c>
      <c r="G3012" s="242">
        <f>IF(B3012="SEPLAG",VLOOKUP(CONCATENATE("MEDIANA - ",C3012),COTAÇÃO,5,FALSE),VLOOKUP($C3012,'NAO DESO'!$A:$D,4,))</f>
        <v>11.37</v>
      </c>
      <c r="H3012" s="242">
        <f>TRUNC(F3012*G3012,2)</f>
        <v>6.36</v>
      </c>
      <c r="I3012" s="54" t="str">
        <f>IF(B3012="SEPLAG",VLOOKUP(CONCATENATE("MEDIANA - ",C3012),COTAÇÃO,5,FALSE),VLOOKUP($C3012,DESON!$A:$D,4,))</f>
        <v>11,37</v>
      </c>
      <c r="J3012" s="209">
        <f>TRUNC(F3012*I3012,2)</f>
        <v>6.36</v>
      </c>
    </row>
    <row r="3013" spans="1:10" ht="26.25" customHeight="1">
      <c r="A3013" s="233" t="s">
        <v>39</v>
      </c>
      <c r="B3013" s="161"/>
      <c r="C3013" s="161">
        <v>20964</v>
      </c>
      <c r="D3013" s="161" t="str">
        <f>IF(B3013="SEPLAG",VLOOKUP(COMPOSIÇÕES!C3013,'MAPA COMPARATIVO'!A:B,2,FALSE),VLOOKUP(C3013,'NAO DESO'!A:B,2,0))</f>
        <v>TAMPAO COM CORRENTE, EM LATAO, ENGATE RAPIDO 1 1/2", PARA INSTALACAO PREDIAL DE COMBATE A INCENDIO</v>
      </c>
      <c r="E3013" s="247" t="s">
        <v>427</v>
      </c>
      <c r="F3013" s="248">
        <v>1</v>
      </c>
      <c r="G3013" s="242">
        <f>IF(B3013="SEPLAG",VLOOKUP(CONCATENATE("MEDIANA - ",C3013),COTAÇÃO,5,FALSE),VLOOKUP($C3013,'NAO DESO'!$A:$D,4,))</f>
        <v>60.71</v>
      </c>
      <c r="H3013" s="242">
        <f>TRUNC(F3013*G3013,2)</f>
        <v>60.71</v>
      </c>
      <c r="I3013" s="54" t="str">
        <f>IF(B3013="SEPLAG",VLOOKUP(CONCATENATE("MEDIANA - ",C3013),COTAÇÃO,5,FALSE),VLOOKUP($C3013,DESON!$A:$D,4,))</f>
        <v>60,71</v>
      </c>
      <c r="J3013" s="209">
        <f>TRUNC(F3013*I3013,2)</f>
        <v>60.71</v>
      </c>
    </row>
    <row r="3014" spans="1:10" ht="26.25" customHeight="1">
      <c r="A3014" s="233" t="s">
        <v>245</v>
      </c>
      <c r="B3014" s="161"/>
      <c r="C3014" s="161">
        <v>88267</v>
      </c>
      <c r="D3014" s="161" t="str">
        <f>IF(B3014="SEPLAG",VLOOKUP(COMPOSIÇÕES!C3014,'MAPA COMPARATIVO'!A:B,2,FALSE),VLOOKUP(C3014,'NAO DESO'!A:B,2,0))</f>
        <v>ENCANADOR OU BOMBEIRO HIDRÁULICO COM ENCARGOS COMPLEMENTARES</v>
      </c>
      <c r="E3014" s="247" t="s">
        <v>16</v>
      </c>
      <c r="F3014" s="248">
        <v>0.8</v>
      </c>
      <c r="G3014" s="242" t="str">
        <f>IF(B3014="SEPLAG",VLOOKUP(CONCATENATE("MEDIANA - ",C3014),COTAÇÃO,5,FALSE),VLOOKUP($C3014,'NAO DESO'!$A:$D,4,))</f>
        <v>21,03</v>
      </c>
      <c r="H3014" s="242">
        <f>TRUNC(F3014*G3014,2)</f>
        <v>16.82</v>
      </c>
      <c r="I3014" s="54" t="str">
        <f>IF(B3014="SEPLAG",VLOOKUP(CONCATENATE("MEDIANA - ",C3014),COTAÇÃO,5,FALSE),VLOOKUP($C3014,DESON!$A:$D,4,))</f>
        <v>18,72</v>
      </c>
      <c r="J3014" s="209">
        <f>TRUNC(F3014*I3014,2)</f>
        <v>14.97</v>
      </c>
    </row>
    <row r="3015" spans="1:10" ht="26.25" customHeight="1">
      <c r="A3015" s="233" t="s">
        <v>245</v>
      </c>
      <c r="B3015" s="161"/>
      <c r="C3015" s="161">
        <v>88248</v>
      </c>
      <c r="D3015" s="161" t="str">
        <f>IF(B3015="SEPLAG",VLOOKUP(COMPOSIÇÕES!C3015,'MAPA COMPARATIVO'!A:B,2,FALSE),VLOOKUP(C3015,'NAO DESO'!A:B,2,0))</f>
        <v>AUXILIAR DE ENCANADOR OU BOMBEIRO HIDRÁULICO COM ENCARGOS COMPLEMENTARES</v>
      </c>
      <c r="E3015" s="247" t="s">
        <v>16</v>
      </c>
      <c r="F3015" s="248">
        <v>0.8</v>
      </c>
      <c r="G3015" s="242" t="str">
        <f>IF(B3015="SEPLAG",VLOOKUP(CONCATENATE("MEDIANA - ",C3015),COTAÇÃO,5,FALSE),VLOOKUP($C3015,'NAO DESO'!$A:$D,4,))</f>
        <v>17,33</v>
      </c>
      <c r="H3015" s="242">
        <f>TRUNC(F3015*G3015,2)</f>
        <v>13.86</v>
      </c>
      <c r="I3015" s="54" t="str">
        <f>IF(B3015="SEPLAG",VLOOKUP(CONCATENATE("MEDIANA - ",C3015),COTAÇÃO,5,FALSE),VLOOKUP($C3015,DESON!$A:$D,4,))</f>
        <v>15,54</v>
      </c>
      <c r="J3015" s="209">
        <f>TRUNC(F3015*I3015,2)</f>
        <v>12.43</v>
      </c>
    </row>
    <row r="3016" spans="1:10" ht="15" customHeight="1">
      <c r="A3016" s="210" t="str">
        <f>CONCATENATE("TOTAL DO ITEM NÃO DESON. - ",C3009)</f>
        <v>TOTAL DO ITEM NÃO DESON. - SEPLAG INC 43</v>
      </c>
      <c r="B3016" s="432"/>
      <c r="C3016" s="432"/>
      <c r="D3016" s="432"/>
      <c r="E3016" s="430"/>
      <c r="F3016" s="1189"/>
      <c r="G3016" s="1189"/>
      <c r="H3016" s="1189">
        <f>SUM(H3012:H3015)</f>
        <v>97.750000000000014</v>
      </c>
      <c r="I3016" s="213"/>
      <c r="J3016" s="215"/>
    </row>
    <row r="3017" spans="1:10" ht="15.75" customHeight="1" thickBot="1">
      <c r="A3017" s="216" t="str">
        <f>CONCATENATE("TOTAL DO ITEM DESON. - ",C3009)</f>
        <v>TOTAL DO ITEM DESON. - SEPLAG INC 43</v>
      </c>
      <c r="B3017" s="1147"/>
      <c r="C3017" s="1147"/>
      <c r="D3017" s="1147"/>
      <c r="E3017" s="1218"/>
      <c r="F3017" s="1219"/>
      <c r="G3017" s="1219"/>
      <c r="H3017" s="1219"/>
      <c r="I3017" s="229"/>
      <c r="J3017" s="219">
        <f>SUM(J3012:J3016)</f>
        <v>94.47</v>
      </c>
    </row>
    <row r="3018" spans="1:10" ht="15" customHeight="1" thickBot="1">
      <c r="A3018" s="235"/>
      <c r="B3018" s="1135"/>
      <c r="C3018" s="1135"/>
      <c r="D3018" s="1135"/>
      <c r="E3018" s="1135"/>
      <c r="F3018" s="1188"/>
      <c r="G3018" s="1188"/>
      <c r="H3018" s="1188"/>
      <c r="I3018" s="236"/>
      <c r="J3018" s="237"/>
    </row>
    <row r="3019" spans="1:10" ht="26.25" customHeight="1">
      <c r="A3019" s="230"/>
      <c r="B3019" s="1146"/>
      <c r="C3019" s="1146" t="s">
        <v>13938</v>
      </c>
      <c r="D3019" s="1146" t="s">
        <v>13939</v>
      </c>
      <c r="E3019" s="1152" t="s">
        <v>24</v>
      </c>
      <c r="F3019" s="1177" t="s">
        <v>18</v>
      </c>
      <c r="G3019" s="1178" t="s">
        <v>7015</v>
      </c>
      <c r="H3019" s="1179"/>
      <c r="I3019" s="200" t="s">
        <v>7016</v>
      </c>
      <c r="J3019" s="201"/>
    </row>
    <row r="3020" spans="1:10" ht="15" customHeight="1">
      <c r="A3020" s="203"/>
      <c r="B3020" s="432"/>
      <c r="C3020" s="432"/>
      <c r="D3020" s="432"/>
      <c r="E3020" s="430"/>
      <c r="F3020" s="1180"/>
      <c r="G3020" s="1180" t="s">
        <v>19</v>
      </c>
      <c r="H3020" s="1180" t="s">
        <v>20</v>
      </c>
      <c r="I3020" s="204" t="s">
        <v>19</v>
      </c>
      <c r="J3020" s="206" t="s">
        <v>20</v>
      </c>
    </row>
    <row r="3021" spans="1:10" ht="15" customHeight="1">
      <c r="A3021" s="233"/>
      <c r="B3021" s="161"/>
      <c r="C3021" s="161"/>
      <c r="D3021" s="161"/>
      <c r="E3021" s="247"/>
      <c r="F3021" s="248"/>
      <c r="G3021" s="248"/>
      <c r="H3021" s="248"/>
      <c r="I3021" s="214"/>
      <c r="J3021" s="227"/>
    </row>
    <row r="3022" spans="1:10" ht="15" customHeight="1">
      <c r="A3022" s="233" t="s">
        <v>39</v>
      </c>
      <c r="B3022" s="161"/>
      <c r="C3022" s="161">
        <v>3143</v>
      </c>
      <c r="D3022" s="161" t="str">
        <f>IF(B3022="SEPLAG",VLOOKUP(COMPOSIÇÕES!C3022,'MAPA COMPARATIVO'!A:B,2,FALSE),VLOOKUP(C3022,'NAO DESO'!A:B,2,0))</f>
        <v>FITA VEDA ROSCA EM ROLOS DE 18 MM X 25 M (L X C)</v>
      </c>
      <c r="E3022" s="247" t="s">
        <v>427</v>
      </c>
      <c r="F3022" s="248">
        <v>0.56000000000000005</v>
      </c>
      <c r="G3022" s="242">
        <f>IF(B3022="SEPLAG",VLOOKUP(CONCATENATE("MEDIANA - ",C3022),COTAÇÃO,5,FALSE),VLOOKUP($C3022,'NAO DESO'!$A:$D,4,))</f>
        <v>11.37</v>
      </c>
      <c r="H3022" s="242">
        <f>TRUNC(F3022*G3022,2)</f>
        <v>6.36</v>
      </c>
      <c r="I3022" s="54" t="str">
        <f>IF(B3022="SEPLAG",VLOOKUP(CONCATENATE("MEDIANA - ",C3022),COTAÇÃO,5,FALSE),VLOOKUP($C3022,DESON!$A:$D,4,))</f>
        <v>11,37</v>
      </c>
      <c r="J3022" s="209">
        <f>TRUNC(F3022*I3022,2)</f>
        <v>6.36</v>
      </c>
    </row>
    <row r="3023" spans="1:10" ht="26.25" customHeight="1">
      <c r="A3023" s="233" t="s">
        <v>39</v>
      </c>
      <c r="B3023" s="161"/>
      <c r="C3023" s="161">
        <v>10905</v>
      </c>
      <c r="D3023" s="161" t="str">
        <f>IF(B3023="SEPLAG",VLOOKUP(COMPOSIÇÕES!C3023,'MAPA COMPARATIVO'!A:B,2,FALSE),VLOOKUP(C3023,'NAO DESO'!A:B,2,0))</f>
        <v>TAMPAO COM CORRENTE, EM LATAO, ENGATE RAPIDO 2 1/2", PARA INSTALACAO PREDIAL DE COMBATE A INCENDIO</v>
      </c>
      <c r="E3023" s="247" t="s">
        <v>427</v>
      </c>
      <c r="F3023" s="248">
        <v>1</v>
      </c>
      <c r="G3023" s="242">
        <f>IF(B3023="SEPLAG",VLOOKUP(CONCATENATE("MEDIANA - ",C3023),COTAÇÃO,5,FALSE),VLOOKUP($C3023,'NAO DESO'!$A:$D,4,))</f>
        <v>81.45</v>
      </c>
      <c r="H3023" s="242">
        <f>TRUNC(F3023*G3023,2)</f>
        <v>81.45</v>
      </c>
      <c r="I3023" s="54" t="str">
        <f>IF(B3023="SEPLAG",VLOOKUP(CONCATENATE("MEDIANA - ",C3023),COTAÇÃO,5,FALSE),VLOOKUP($C3023,DESON!$A:$D,4,))</f>
        <v>81,45</v>
      </c>
      <c r="J3023" s="209">
        <f>TRUNC(F3023*I3023,2)</f>
        <v>81.45</v>
      </c>
    </row>
    <row r="3024" spans="1:10" ht="26.25" customHeight="1">
      <c r="A3024" s="233" t="s">
        <v>245</v>
      </c>
      <c r="B3024" s="161"/>
      <c r="C3024" s="161">
        <v>88267</v>
      </c>
      <c r="D3024" s="161" t="str">
        <f>IF(B3024="SEPLAG",VLOOKUP(COMPOSIÇÕES!C3024,'MAPA COMPARATIVO'!A:B,2,FALSE),VLOOKUP(C3024,'NAO DESO'!A:B,2,0))</f>
        <v>ENCANADOR OU BOMBEIRO HIDRÁULICO COM ENCARGOS COMPLEMENTARES</v>
      </c>
      <c r="E3024" s="247" t="s">
        <v>16</v>
      </c>
      <c r="F3024" s="248">
        <v>0.8</v>
      </c>
      <c r="G3024" s="242" t="str">
        <f>IF(B3024="SEPLAG",VLOOKUP(CONCATENATE("MEDIANA - ",C3024),COTAÇÃO,5,FALSE),VLOOKUP($C3024,'NAO DESO'!$A:$D,4,))</f>
        <v>21,03</v>
      </c>
      <c r="H3024" s="242">
        <f>TRUNC(F3024*G3024,2)</f>
        <v>16.82</v>
      </c>
      <c r="I3024" s="54" t="str">
        <f>IF(B3024="SEPLAG",VLOOKUP(CONCATENATE("MEDIANA - ",C3024),COTAÇÃO,5,FALSE),VLOOKUP($C3024,DESON!$A:$D,4,))</f>
        <v>18,72</v>
      </c>
      <c r="J3024" s="209">
        <f>TRUNC(F3024*I3024,2)</f>
        <v>14.97</v>
      </c>
    </row>
    <row r="3025" spans="1:10" ht="26.25" customHeight="1">
      <c r="A3025" s="233" t="s">
        <v>245</v>
      </c>
      <c r="B3025" s="161"/>
      <c r="C3025" s="161">
        <v>88248</v>
      </c>
      <c r="D3025" s="161" t="str">
        <f>IF(B3025="SEPLAG",VLOOKUP(COMPOSIÇÕES!C3025,'MAPA COMPARATIVO'!A:B,2,FALSE),VLOOKUP(C3025,'NAO DESO'!A:B,2,0))</f>
        <v>AUXILIAR DE ENCANADOR OU BOMBEIRO HIDRÁULICO COM ENCARGOS COMPLEMENTARES</v>
      </c>
      <c r="E3025" s="247" t="s">
        <v>16</v>
      </c>
      <c r="F3025" s="248">
        <v>0.8</v>
      </c>
      <c r="G3025" s="242" t="str">
        <f>IF(B3025="SEPLAG",VLOOKUP(CONCATENATE("MEDIANA - ",C3025),COTAÇÃO,5,FALSE),VLOOKUP($C3025,'NAO DESO'!$A:$D,4,))</f>
        <v>17,33</v>
      </c>
      <c r="H3025" s="242">
        <f>TRUNC(F3025*G3025,2)</f>
        <v>13.86</v>
      </c>
      <c r="I3025" s="54" t="str">
        <f>IF(B3025="SEPLAG",VLOOKUP(CONCATENATE("MEDIANA - ",C3025),COTAÇÃO,5,FALSE),VLOOKUP($C3025,DESON!$A:$D,4,))</f>
        <v>15,54</v>
      </c>
      <c r="J3025" s="209">
        <f>TRUNC(F3025*I3025,2)</f>
        <v>12.43</v>
      </c>
    </row>
    <row r="3026" spans="1:10" ht="15" customHeight="1">
      <c r="A3026" s="210" t="str">
        <f>CONCATENATE("TOTAL DO ITEM NÃO DESON. - ",C3019)</f>
        <v>TOTAL DO ITEM NÃO DESON. - SEPLAG INC 44</v>
      </c>
      <c r="B3026" s="432"/>
      <c r="C3026" s="432"/>
      <c r="D3026" s="432"/>
      <c r="E3026" s="430"/>
      <c r="F3026" s="1189"/>
      <c r="G3026" s="1189"/>
      <c r="H3026" s="1189">
        <f>SUM(H3022:H3025)</f>
        <v>118.49</v>
      </c>
      <c r="I3026" s="213"/>
      <c r="J3026" s="215"/>
    </row>
    <row r="3027" spans="1:10" ht="15.75" customHeight="1" thickBot="1">
      <c r="A3027" s="216" t="str">
        <f>CONCATENATE("TOTAL DO ITEM DESON. - ",C3019)</f>
        <v>TOTAL DO ITEM DESON. - SEPLAG INC 44</v>
      </c>
      <c r="B3027" s="1147"/>
      <c r="C3027" s="1147"/>
      <c r="D3027" s="1147"/>
      <c r="E3027" s="1218"/>
      <c r="F3027" s="1219"/>
      <c r="G3027" s="1219"/>
      <c r="H3027" s="1219"/>
      <c r="I3027" s="229"/>
      <c r="J3027" s="219">
        <f>SUM(J3022:J3026)</f>
        <v>115.21000000000001</v>
      </c>
    </row>
    <row r="3028" spans="1:10" ht="15" customHeight="1" thickBot="1">
      <c r="A3028" s="418"/>
      <c r="B3028" s="1136"/>
      <c r="C3028" s="1136"/>
      <c r="D3028" s="1136"/>
      <c r="F3028" s="1195"/>
      <c r="G3028" s="1195"/>
      <c r="H3028" s="1195"/>
      <c r="I3028" s="419"/>
      <c r="J3028" s="420"/>
    </row>
    <row r="3029" spans="1:10" ht="26.25" customHeight="1">
      <c r="A3029" s="230"/>
      <c r="B3029" s="1146"/>
      <c r="C3029" s="1146" t="s">
        <v>14157</v>
      </c>
      <c r="D3029" s="1146" t="s">
        <v>14158</v>
      </c>
      <c r="E3029" s="1152" t="s">
        <v>24</v>
      </c>
      <c r="F3029" s="1177" t="s">
        <v>18</v>
      </c>
      <c r="G3029" s="1178" t="s">
        <v>7015</v>
      </c>
      <c r="H3029" s="1179"/>
      <c r="I3029" s="200" t="s">
        <v>7016</v>
      </c>
      <c r="J3029" s="201"/>
    </row>
    <row r="3030" spans="1:10" ht="15" customHeight="1">
      <c r="A3030" s="203"/>
      <c r="B3030" s="432"/>
      <c r="C3030" s="432"/>
      <c r="D3030" s="432"/>
      <c r="E3030" s="430"/>
      <c r="F3030" s="1180"/>
      <c r="G3030" s="1180" t="s">
        <v>19</v>
      </c>
      <c r="H3030" s="1180" t="s">
        <v>20</v>
      </c>
      <c r="I3030" s="204" t="s">
        <v>19</v>
      </c>
      <c r="J3030" s="206" t="s">
        <v>20</v>
      </c>
    </row>
    <row r="3031" spans="1:10" ht="15" customHeight="1">
      <c r="A3031" s="233"/>
      <c r="B3031" s="161"/>
      <c r="C3031" s="161"/>
      <c r="D3031" s="161"/>
      <c r="E3031" s="247"/>
      <c r="F3031" s="248"/>
      <c r="G3031" s="248"/>
      <c r="H3031" s="248"/>
      <c r="I3031" s="214"/>
      <c r="J3031" s="227"/>
    </row>
    <row r="3032" spans="1:10" ht="15" customHeight="1">
      <c r="A3032" s="233" t="s">
        <v>245</v>
      </c>
      <c r="B3032" s="161"/>
      <c r="C3032" s="161">
        <v>88264</v>
      </c>
      <c r="D3032" s="161" t="str">
        <f>IF(B3032="SEPLAG",VLOOKUP(COMPOSIÇÕES!C3032,'MAPA COMPARATIVO'!A:B,2,FALSE),VLOOKUP(C3032,'NAO DESO'!A:B,2,0))</f>
        <v>ELETRICISTA COM ENCARGOS COMPLEMENTARES</v>
      </c>
      <c r="E3032" s="247" t="s">
        <v>16</v>
      </c>
      <c r="F3032" s="248">
        <v>1</v>
      </c>
      <c r="G3032" s="242" t="str">
        <f>IF(B3032="SEPLAG",VLOOKUP(CONCATENATE("MEDIANA - ",C3032),COTAÇÃO,5,FALSE),VLOOKUP($C3032,'NAO DESO'!$A:$D,4,))</f>
        <v>21,87</v>
      </c>
      <c r="H3032" s="242">
        <f>TRUNC(F3032*G3032,2)</f>
        <v>21.87</v>
      </c>
      <c r="I3032" s="54" t="str">
        <f>IF(B3032="SEPLAG",VLOOKUP(CONCATENATE("MEDIANA - ",C3032),COTAÇÃO,5,FALSE),VLOOKUP($C3032,DESON!$A:$D,4,))</f>
        <v>19,53</v>
      </c>
      <c r="J3032" s="209">
        <f>TRUNC(F3032*I3032,2)</f>
        <v>19.53</v>
      </c>
    </row>
    <row r="3033" spans="1:10" ht="15" customHeight="1">
      <c r="A3033" s="233" t="s">
        <v>39</v>
      </c>
      <c r="B3033" s="161" t="s">
        <v>14504</v>
      </c>
      <c r="C3033" s="161" t="s">
        <v>14381</v>
      </c>
      <c r="D3033" s="161" t="str">
        <f>IF(B3033="SEPLAG",VLOOKUP(COMPOSIÇÕES!C3033,'MAPA COMPARATIVO'!A:B,2,FALSE),VLOOKUP(C3033,'NAO DESO'!A:B,2,0))</f>
        <v>CENTRAL DE ALARME ENDEREÇÁVEL 125 ENDEREÇOS</v>
      </c>
      <c r="E3033" s="247" t="s">
        <v>24</v>
      </c>
      <c r="F3033" s="248">
        <v>1</v>
      </c>
      <c r="G3033" s="242">
        <f>IF(B3033="SEPLAG",VLOOKUP(CONCATENATE("MEDIANA - ",C3033),COTAÇÃO,5,FALSE),VLOOKUP($C3033,'NAO DESO'!$A:$D,4,))</f>
        <v>1446.59</v>
      </c>
      <c r="H3033" s="242">
        <f>TRUNC(F3033*G3033,2)</f>
        <v>1446.59</v>
      </c>
      <c r="I3033" s="54">
        <f>IF(B3033="SEPLAG",VLOOKUP(CONCATENATE("MEDIANA - ",C3033),COTAÇÃO,5,FALSE),VLOOKUP($C3033,DESON!$A:$D,4,))</f>
        <v>1446.59</v>
      </c>
      <c r="J3033" s="209">
        <f>TRUNC(F3033*I3033,2)</f>
        <v>1446.59</v>
      </c>
    </row>
    <row r="3034" spans="1:10" ht="26.25" customHeight="1">
      <c r="A3034" s="233" t="s">
        <v>39</v>
      </c>
      <c r="B3034" s="161" t="s">
        <v>14504</v>
      </c>
      <c r="C3034" s="161" t="s">
        <v>14378</v>
      </c>
      <c r="D3034" s="161" t="str">
        <f>IF(B3034="SEPLAG",VLOOKUP(COMPOSIÇÕES!C3034,'MAPA COMPARATIVO'!A:B,2,FALSE),VLOOKUP(C3034,'NAO DESO'!A:B,2,0))</f>
        <v>BATERIA SELADA PARA CENTRAL DE ALARME E DETECÇÃO 12V/ 5A  - 08693/ORSE</v>
      </c>
      <c r="E3034" s="247" t="s">
        <v>24</v>
      </c>
      <c r="F3034" s="248">
        <v>2</v>
      </c>
      <c r="G3034" s="242">
        <f>IF(B3034="SEPLAG",VLOOKUP(CONCATENATE("MEDIANA - ",C3034),COTAÇÃO,5,FALSE),VLOOKUP($C3034,'NAO DESO'!$A:$D,4,))</f>
        <v>131.1</v>
      </c>
      <c r="H3034" s="242">
        <f>TRUNC(F3034*G3034,2)</f>
        <v>262.2</v>
      </c>
      <c r="I3034" s="54">
        <f>IF(B3034="SEPLAG",VLOOKUP(CONCATENATE("MEDIANA - ",C3034),COTAÇÃO,5,FALSE),VLOOKUP($C3034,DESON!$A:$D,4,))</f>
        <v>131.1</v>
      </c>
      <c r="J3034" s="209">
        <f>TRUNC(F3034*I3034,2)</f>
        <v>262.2</v>
      </c>
    </row>
    <row r="3035" spans="1:10" ht="15" customHeight="1">
      <c r="A3035" s="210" t="str">
        <f>CONCATENATE("TOTAL DO ITEM NÃO DESON. - ",C3029)</f>
        <v>TOTAL DO ITEM NÃO DESON. - SEPLAG INC 45</v>
      </c>
      <c r="B3035" s="432"/>
      <c r="C3035" s="432"/>
      <c r="D3035" s="432"/>
      <c r="E3035" s="430"/>
      <c r="F3035" s="1189"/>
      <c r="G3035" s="1189"/>
      <c r="H3035" s="1189">
        <f>SUM(H3032:H3034)</f>
        <v>1730.6599999999999</v>
      </c>
      <c r="I3035" s="213"/>
      <c r="J3035" s="215"/>
    </row>
    <row r="3036" spans="1:10" ht="15.75" customHeight="1" thickBot="1">
      <c r="A3036" s="216" t="str">
        <f>CONCATENATE("TOTAL DO ITEM DESON. - ",C3029)</f>
        <v>TOTAL DO ITEM DESON. - SEPLAG INC 45</v>
      </c>
      <c r="B3036" s="1148"/>
      <c r="C3036" s="1148"/>
      <c r="D3036" s="1148"/>
      <c r="E3036" s="1142"/>
      <c r="F3036" s="1190"/>
      <c r="G3036" s="1190"/>
      <c r="H3036" s="1190"/>
      <c r="I3036" s="228"/>
      <c r="J3036" s="219">
        <f>SUM(J3032:J3035)</f>
        <v>1728.32</v>
      </c>
    </row>
    <row r="3037" spans="1:10" ht="15" customHeight="1" thickBot="1">
      <c r="A3037" s="441"/>
      <c r="B3037" s="1143"/>
      <c r="C3037" s="1143"/>
      <c r="D3037" s="1143"/>
      <c r="E3037" s="1143"/>
      <c r="F3037" s="1212"/>
      <c r="G3037" s="1212"/>
      <c r="H3037" s="1212"/>
      <c r="I3037" s="442"/>
      <c r="J3037" s="442"/>
    </row>
    <row r="3038" spans="1:10" ht="26.25" customHeight="1">
      <c r="A3038" s="230"/>
      <c r="B3038" s="1146"/>
      <c r="C3038" s="1146" t="s">
        <v>14665</v>
      </c>
      <c r="D3038" s="1146" t="s">
        <v>14666</v>
      </c>
      <c r="E3038" s="1152" t="s">
        <v>24</v>
      </c>
      <c r="F3038" s="1177" t="s">
        <v>18</v>
      </c>
      <c r="G3038" s="1178" t="s">
        <v>7015</v>
      </c>
      <c r="H3038" s="1179"/>
      <c r="I3038" s="200" t="s">
        <v>7016</v>
      </c>
      <c r="J3038" s="201"/>
    </row>
    <row r="3039" spans="1:10" ht="15" customHeight="1">
      <c r="A3039" s="203"/>
      <c r="B3039" s="432"/>
      <c r="C3039" s="432"/>
      <c r="D3039" s="432"/>
      <c r="E3039" s="430"/>
      <c r="F3039" s="1180"/>
      <c r="G3039" s="1180" t="s">
        <v>19</v>
      </c>
      <c r="H3039" s="1180" t="s">
        <v>20</v>
      </c>
      <c r="I3039" s="204" t="s">
        <v>19</v>
      </c>
      <c r="J3039" s="206" t="s">
        <v>20</v>
      </c>
    </row>
    <row r="3040" spans="1:10" ht="15" customHeight="1">
      <c r="A3040" s="233"/>
      <c r="B3040" s="161"/>
      <c r="C3040" s="161"/>
      <c r="D3040" s="161"/>
      <c r="E3040" s="247"/>
      <c r="F3040" s="248"/>
      <c r="G3040" s="248"/>
      <c r="H3040" s="248"/>
      <c r="I3040" s="214"/>
      <c r="J3040" s="227"/>
    </row>
    <row r="3041" spans="1:10" ht="38.25" customHeight="1">
      <c r="A3041" s="233" t="s">
        <v>39</v>
      </c>
      <c r="B3041" s="161"/>
      <c r="C3041" s="161">
        <v>21037</v>
      </c>
      <c r="D3041" s="163" t="str">
        <f>IF(B3041="SEPLAG",VLOOKUP(COMPOSIÇÕES!C3041,'MAPA COMPARATIVO'!A:B,2,FALSE),VLOOKUP(C3041,'NAO DESO'!A:B,2,0))</f>
        <v>MANGUEIRA DE INCENDIO, TIPO 2, DE 2 1/2", COMPRIMENTO = 30 M, TECIDO EM FIO DE POLIESTER E TUBO INTERNO EM BORRACHA SINTETICA, COM UNIOES ENGATE RAPIDO</v>
      </c>
      <c r="E3041" s="247" t="s">
        <v>427</v>
      </c>
      <c r="F3041" s="248">
        <v>1</v>
      </c>
      <c r="G3041" s="242">
        <f>IF(B3041="SEPLAG",VLOOKUP(CONCATENATE("MEDIANA - ",C3041),COTAÇÃO,5,FALSE),VLOOKUP($C3041,'NAO DESO'!$A:$D,4,))</f>
        <v>1292.05</v>
      </c>
      <c r="H3041" s="242">
        <f>TRUNC(F3041*G3041,2)</f>
        <v>1292.05</v>
      </c>
      <c r="I3041" s="54" t="str">
        <f>IF(B3041="SEPLAG",VLOOKUP(CONCATENATE("MEDIANA - ",C3041),COTAÇÃO,5,FALSE),VLOOKUP($C3041,DESON!$A:$D,4,))</f>
        <v>1.292,05</v>
      </c>
      <c r="J3041" s="209">
        <f>TRUNC(F3041*I3041,2)</f>
        <v>1292.05</v>
      </c>
    </row>
    <row r="3042" spans="1:10" ht="26.25" customHeight="1">
      <c r="A3042" s="233" t="s">
        <v>245</v>
      </c>
      <c r="B3042" s="161"/>
      <c r="C3042" s="161">
        <v>88267</v>
      </c>
      <c r="D3042" s="161" t="str">
        <f>IF(B3042="SEPLAG",VLOOKUP(COMPOSIÇÕES!C3042,'MAPA COMPARATIVO'!A:B,2,FALSE),VLOOKUP(C3042,'NAO DESO'!A:B,2,0))</f>
        <v>ENCANADOR OU BOMBEIRO HIDRÁULICO COM ENCARGOS COMPLEMENTARES</v>
      </c>
      <c r="E3042" s="247" t="s">
        <v>16</v>
      </c>
      <c r="F3042" s="248">
        <v>0.5</v>
      </c>
      <c r="G3042" s="242" t="str">
        <f>IF(B3042="SEPLAG",VLOOKUP(CONCATENATE("MEDIANA - ",C3042),COTAÇÃO,5,FALSE),VLOOKUP($C3042,'NAO DESO'!$A:$D,4,))</f>
        <v>21,03</v>
      </c>
      <c r="H3042" s="242">
        <f>TRUNC(F3042*G3042,2)</f>
        <v>10.51</v>
      </c>
      <c r="I3042" s="54" t="str">
        <f>IF(B3042="SEPLAG",VLOOKUP(CONCATENATE("MEDIANA - ",C3042),COTAÇÃO,5,FALSE),VLOOKUP($C3042,DESON!$A:$D,4,))</f>
        <v>18,72</v>
      </c>
      <c r="J3042" s="209">
        <f>TRUNC(F3042*I3042,2)</f>
        <v>9.36</v>
      </c>
    </row>
    <row r="3043" spans="1:10" ht="26.25" customHeight="1">
      <c r="A3043" s="233" t="s">
        <v>245</v>
      </c>
      <c r="B3043" s="161"/>
      <c r="C3043" s="161">
        <v>88248</v>
      </c>
      <c r="D3043" s="161" t="str">
        <f>IF(B3043="SEPLAG",VLOOKUP(COMPOSIÇÕES!C3043,'MAPA COMPARATIVO'!A:B,2,FALSE),VLOOKUP(C3043,'NAO DESO'!A:B,2,0))</f>
        <v>AUXILIAR DE ENCANADOR OU BOMBEIRO HIDRÁULICO COM ENCARGOS COMPLEMENTARES</v>
      </c>
      <c r="E3043" s="247" t="s">
        <v>16</v>
      </c>
      <c r="F3043" s="248">
        <v>0.5</v>
      </c>
      <c r="G3043" s="242" t="str">
        <f>IF(B3043="SEPLAG",VLOOKUP(CONCATENATE("MEDIANA - ",C3043),COTAÇÃO,5,FALSE),VLOOKUP($C3043,'NAO DESO'!$A:$D,4,))</f>
        <v>17,33</v>
      </c>
      <c r="H3043" s="242">
        <f>TRUNC(F3043*G3043,2)</f>
        <v>8.66</v>
      </c>
      <c r="I3043" s="54" t="str">
        <f>IF(B3043="SEPLAG",VLOOKUP(CONCATENATE("MEDIANA - ",C3043),COTAÇÃO,5,FALSE),VLOOKUP($C3043,DESON!$A:$D,4,))</f>
        <v>15,54</v>
      </c>
      <c r="J3043" s="209">
        <f>TRUNC(F3043*I3043,2)</f>
        <v>7.77</v>
      </c>
    </row>
    <row r="3044" spans="1:10" ht="15" customHeight="1">
      <c r="A3044" s="210" t="str">
        <f>CONCATENATE("TOTAL DO ITEM NÃO DESON. - ",C3038)</f>
        <v>TOTAL DO ITEM NÃO DESON. - SEPLAG INC 46</v>
      </c>
      <c r="B3044" s="432"/>
      <c r="C3044" s="432"/>
      <c r="D3044" s="432"/>
      <c r="E3044" s="430"/>
      <c r="F3044" s="1189"/>
      <c r="G3044" s="1189"/>
      <c r="H3044" s="1189">
        <f>SUM(H3041:H3043)</f>
        <v>1311.22</v>
      </c>
      <c r="I3044" s="213"/>
      <c r="J3044" s="215"/>
    </row>
    <row r="3045" spans="1:10" ht="15.75" customHeight="1" thickBot="1">
      <c r="A3045" s="216" t="str">
        <f>CONCATENATE("TOTAL DO ITEM DESON. - ",C3038)</f>
        <v>TOTAL DO ITEM DESON. - SEPLAG INC 46</v>
      </c>
      <c r="B3045" s="1147"/>
      <c r="C3045" s="1147"/>
      <c r="D3045" s="1147"/>
      <c r="E3045" s="1218"/>
      <c r="F3045" s="1219"/>
      <c r="G3045" s="1219"/>
      <c r="H3045" s="1219"/>
      <c r="I3045" s="229"/>
      <c r="J3045" s="219">
        <f>SUM(J3041:J3044)</f>
        <v>1309.1799999999998</v>
      </c>
    </row>
    <row r="3046" spans="1:10" ht="15" customHeight="1" thickBot="1">
      <c r="A3046" s="446"/>
      <c r="B3046" s="1144"/>
      <c r="C3046" s="1144"/>
      <c r="D3046" s="1144"/>
      <c r="E3046" s="1144"/>
      <c r="F3046" s="1214"/>
      <c r="G3046" s="1214"/>
      <c r="H3046" s="1214"/>
      <c r="I3046" s="447"/>
      <c r="J3046" s="447"/>
    </row>
    <row r="3047" spans="1:10" ht="26.25" customHeight="1">
      <c r="A3047" s="230"/>
      <c r="B3047" s="1146"/>
      <c r="C3047" s="1146" t="s">
        <v>14669</v>
      </c>
      <c r="D3047" s="1146" t="s">
        <v>14667</v>
      </c>
      <c r="E3047" s="1152" t="s">
        <v>24</v>
      </c>
      <c r="F3047" s="1177" t="s">
        <v>18</v>
      </c>
      <c r="G3047" s="1178" t="s">
        <v>7015</v>
      </c>
      <c r="H3047" s="1179"/>
      <c r="I3047" s="200" t="s">
        <v>7016</v>
      </c>
      <c r="J3047" s="201"/>
    </row>
    <row r="3048" spans="1:10" ht="15" customHeight="1">
      <c r="A3048" s="203"/>
      <c r="B3048" s="432"/>
      <c r="C3048" s="432"/>
      <c r="D3048" s="432"/>
      <c r="E3048" s="430"/>
      <c r="F3048" s="1180"/>
      <c r="G3048" s="1180" t="s">
        <v>19</v>
      </c>
      <c r="H3048" s="1180" t="s">
        <v>20</v>
      </c>
      <c r="I3048" s="204" t="s">
        <v>19</v>
      </c>
      <c r="J3048" s="206" t="s">
        <v>20</v>
      </c>
    </row>
    <row r="3049" spans="1:10" ht="15" customHeight="1">
      <c r="A3049" s="233"/>
      <c r="B3049" s="161"/>
      <c r="C3049" s="161"/>
      <c r="D3049" s="161"/>
      <c r="E3049" s="247"/>
      <c r="F3049" s="248"/>
      <c r="G3049" s="248"/>
      <c r="H3049" s="248"/>
      <c r="I3049" s="214"/>
      <c r="J3049" s="227"/>
    </row>
    <row r="3050" spans="1:10" ht="38.25" customHeight="1">
      <c r="A3050" s="233" t="s">
        <v>39</v>
      </c>
      <c r="B3050" s="161"/>
      <c r="C3050" s="161">
        <v>21032</v>
      </c>
      <c r="D3050" s="163" t="str">
        <f>IF(B3050="SEPLAG",VLOOKUP(COMPOSIÇÕES!C3050,'MAPA COMPARATIVO'!A:B,2,FALSE),VLOOKUP(C3050,'NAO DESO'!A:B,2,0))</f>
        <v>MANGUEIRA DE INCENDIO, TIPO 1, DE 1 1/2", COMPRIMENTO = 30 M, TECIDO EM FIO DE POLIESTER E TUBO INTERNO EM BORRACHA SINTETICA, COM UNIOES ENGATE RAPIDO</v>
      </c>
      <c r="E3050" s="247" t="s">
        <v>427</v>
      </c>
      <c r="F3050" s="248">
        <v>1</v>
      </c>
      <c r="G3050" s="242">
        <f>IF(B3050="SEPLAG",VLOOKUP(CONCATENATE("MEDIANA - ",C3050),COTAÇÃO,5,FALSE),VLOOKUP($C3050,'NAO DESO'!$A:$D,4,))</f>
        <v>610.95000000000005</v>
      </c>
      <c r="H3050" s="242">
        <f>TRUNC(F3050*G3050,2)</f>
        <v>610.95000000000005</v>
      </c>
      <c r="I3050" s="54" t="str">
        <f>IF(B3050="SEPLAG",VLOOKUP(CONCATENATE("MEDIANA - ",C3050),COTAÇÃO,5,FALSE),VLOOKUP($C3050,DESON!$A:$D,4,))</f>
        <v>610,95</v>
      </c>
      <c r="J3050" s="209">
        <f>TRUNC(F3050*I3050,2)</f>
        <v>610.95000000000005</v>
      </c>
    </row>
    <row r="3051" spans="1:10" ht="26.25" customHeight="1">
      <c r="A3051" s="233" t="s">
        <v>245</v>
      </c>
      <c r="B3051" s="161"/>
      <c r="C3051" s="161">
        <v>88267</v>
      </c>
      <c r="D3051" s="161" t="str">
        <f>IF(B3051="SEPLAG",VLOOKUP(COMPOSIÇÕES!C3051,'MAPA COMPARATIVO'!A:B,2,FALSE),VLOOKUP(C3051,'NAO DESO'!A:B,2,0))</f>
        <v>ENCANADOR OU BOMBEIRO HIDRÁULICO COM ENCARGOS COMPLEMENTARES</v>
      </c>
      <c r="E3051" s="247" t="s">
        <v>16</v>
      </c>
      <c r="F3051" s="248">
        <v>0.5</v>
      </c>
      <c r="G3051" s="242" t="str">
        <f>IF(B3051="SEPLAG",VLOOKUP(CONCATENATE("MEDIANA - ",C3051),COTAÇÃO,5,FALSE),VLOOKUP($C3051,'NAO DESO'!$A:$D,4,))</f>
        <v>21,03</v>
      </c>
      <c r="H3051" s="242">
        <f>TRUNC(F3051*G3051,2)</f>
        <v>10.51</v>
      </c>
      <c r="I3051" s="54" t="str">
        <f>IF(B3051="SEPLAG",VLOOKUP(CONCATENATE("MEDIANA - ",C3051),COTAÇÃO,5,FALSE),VLOOKUP($C3051,DESON!$A:$D,4,))</f>
        <v>18,72</v>
      </c>
      <c r="J3051" s="209">
        <f>TRUNC(F3051*I3051,2)</f>
        <v>9.36</v>
      </c>
    </row>
    <row r="3052" spans="1:10" ht="26.25" customHeight="1">
      <c r="A3052" s="233" t="s">
        <v>245</v>
      </c>
      <c r="B3052" s="161"/>
      <c r="C3052" s="161">
        <v>88248</v>
      </c>
      <c r="D3052" s="161" t="str">
        <f>IF(B3052="SEPLAG",VLOOKUP(COMPOSIÇÕES!C3052,'MAPA COMPARATIVO'!A:B,2,FALSE),VLOOKUP(C3052,'NAO DESO'!A:B,2,0))</f>
        <v>AUXILIAR DE ENCANADOR OU BOMBEIRO HIDRÁULICO COM ENCARGOS COMPLEMENTARES</v>
      </c>
      <c r="E3052" s="247" t="s">
        <v>16</v>
      </c>
      <c r="F3052" s="248">
        <v>0.5</v>
      </c>
      <c r="G3052" s="242" t="str">
        <f>IF(B3052="SEPLAG",VLOOKUP(CONCATENATE("MEDIANA - ",C3052),COTAÇÃO,5,FALSE),VLOOKUP($C3052,'NAO DESO'!$A:$D,4,))</f>
        <v>17,33</v>
      </c>
      <c r="H3052" s="242">
        <f>TRUNC(F3052*G3052,2)</f>
        <v>8.66</v>
      </c>
      <c r="I3052" s="54" t="str">
        <f>IF(B3052="SEPLAG",VLOOKUP(CONCATENATE("MEDIANA - ",C3052),COTAÇÃO,5,FALSE),VLOOKUP($C3052,DESON!$A:$D,4,))</f>
        <v>15,54</v>
      </c>
      <c r="J3052" s="209">
        <f>TRUNC(F3052*I3052,2)</f>
        <v>7.77</v>
      </c>
    </row>
    <row r="3053" spans="1:10" ht="15" customHeight="1">
      <c r="A3053" s="210" t="str">
        <f>CONCATENATE("TOTAL DO ITEM NÃO DESON. - ",C3047)</f>
        <v>TOTAL DO ITEM NÃO DESON. - SEPLAG INC 47</v>
      </c>
      <c r="B3053" s="432"/>
      <c r="C3053" s="432"/>
      <c r="D3053" s="432"/>
      <c r="E3053" s="430"/>
      <c r="F3053" s="1189"/>
      <c r="G3053" s="1189"/>
      <c r="H3053" s="1189">
        <f>SUM(H3050:H3052)</f>
        <v>630.12</v>
      </c>
      <c r="I3053" s="213"/>
      <c r="J3053" s="215"/>
    </row>
    <row r="3054" spans="1:10" ht="15.75" customHeight="1" thickBot="1">
      <c r="A3054" s="216" t="str">
        <f>CONCATENATE("TOTAL DO ITEM DESON. - ",C3047)</f>
        <v>TOTAL DO ITEM DESON. - SEPLAG INC 47</v>
      </c>
      <c r="B3054" s="1147"/>
      <c r="C3054" s="1147"/>
      <c r="D3054" s="1147"/>
      <c r="E3054" s="1218"/>
      <c r="F3054" s="1219"/>
      <c r="G3054" s="1219"/>
      <c r="H3054" s="1219"/>
      <c r="I3054" s="229"/>
      <c r="J3054" s="219">
        <f>SUM(J3050:J3053)</f>
        <v>628.08000000000004</v>
      </c>
    </row>
    <row r="3055" spans="1:10" ht="15" customHeight="1" thickBot="1">
      <c r="A3055" s="446"/>
      <c r="B3055" s="1144"/>
      <c r="C3055" s="1144"/>
      <c r="D3055" s="1144"/>
      <c r="E3055" s="1144"/>
      <c r="F3055" s="1214"/>
      <c r="G3055" s="1214"/>
      <c r="H3055" s="1214"/>
      <c r="I3055" s="447"/>
      <c r="J3055" s="447"/>
    </row>
    <row r="3056" spans="1:10" ht="26.25" customHeight="1">
      <c r="A3056" s="230"/>
      <c r="B3056" s="1146"/>
      <c r="C3056" s="1146" t="s">
        <v>14671</v>
      </c>
      <c r="D3056" s="1146" t="s">
        <v>14672</v>
      </c>
      <c r="E3056" s="1152" t="s">
        <v>24</v>
      </c>
      <c r="F3056" s="1177" t="s">
        <v>18</v>
      </c>
      <c r="G3056" s="1178" t="s">
        <v>7015</v>
      </c>
      <c r="H3056" s="1179"/>
      <c r="I3056" s="200" t="s">
        <v>7016</v>
      </c>
      <c r="J3056" s="201"/>
    </row>
    <row r="3057" spans="1:10" ht="15" customHeight="1">
      <c r="A3057" s="233"/>
      <c r="B3057" s="161"/>
      <c r="C3057" s="161"/>
      <c r="D3057" s="161"/>
      <c r="E3057" s="247"/>
      <c r="F3057" s="1186"/>
      <c r="G3057" s="1180" t="s">
        <v>19</v>
      </c>
      <c r="H3057" s="1180" t="s">
        <v>20</v>
      </c>
      <c r="I3057" s="204" t="s">
        <v>19</v>
      </c>
      <c r="J3057" s="206" t="s">
        <v>20</v>
      </c>
    </row>
    <row r="3058" spans="1:10" ht="15" customHeight="1">
      <c r="A3058" s="233"/>
      <c r="B3058" s="161"/>
      <c r="C3058" s="161"/>
      <c r="D3058" s="161" t="s">
        <v>130</v>
      </c>
      <c r="E3058" s="247"/>
      <c r="F3058" s="248"/>
      <c r="G3058" s="248"/>
      <c r="H3058" s="248"/>
      <c r="I3058" s="214"/>
      <c r="J3058" s="227"/>
    </row>
    <row r="3059" spans="1:10" ht="26.25" customHeight="1">
      <c r="A3059" s="233" t="s">
        <v>245</v>
      </c>
      <c r="B3059" s="161"/>
      <c r="C3059" s="161">
        <v>37554</v>
      </c>
      <c r="D3059" s="161" t="str">
        <f>IF(B3059="SEPLAG",VLOOKUP(COMPOSIÇÕES!C3059,'MAPA COMPARATIVO'!A:B,2,FALSE),VLOOKUP(C3059,'NAO DESO'!A:B,2,0))</f>
        <v>ESGUICHO JATO REGULAVEL, TIPO ELKHART, ENGATE RAPIDO 1 1/2", PARA COMBATE A INCENDIO</v>
      </c>
      <c r="E3059" s="247" t="s">
        <v>427</v>
      </c>
      <c r="F3059" s="248">
        <v>1</v>
      </c>
      <c r="G3059" s="242">
        <f>IF(B3059="SEPLAG",VLOOKUP(CONCATENATE("MEDIANA - ",C3059),COTAÇÃO,5,FALSE),VLOOKUP($C3059,'NAO DESO'!$A:$D,4,))</f>
        <v>182.61</v>
      </c>
      <c r="H3059" s="242">
        <f>TRUNC(F3059*G3059,2)</f>
        <v>182.61</v>
      </c>
      <c r="I3059" s="54" t="str">
        <f>IF(B3059="SEPLAG",VLOOKUP(CONCATENATE("MEDIANA - ",C3059),COTAÇÃO,5,FALSE),VLOOKUP($C3059,DESON!$A:$D,4,))</f>
        <v>182,61</v>
      </c>
      <c r="J3059" s="209">
        <f>TRUNC(F3059*I3059,2)</f>
        <v>182.61</v>
      </c>
    </row>
    <row r="3060" spans="1:10" ht="26.25" customHeight="1">
      <c r="A3060" s="233" t="s">
        <v>245</v>
      </c>
      <c r="B3060" s="161"/>
      <c r="C3060" s="161">
        <v>88248</v>
      </c>
      <c r="D3060" s="161" t="str">
        <f>IF(B3060="SEPLAG",VLOOKUP(COMPOSIÇÕES!C3060,'MAPA COMPARATIVO'!A:B,2,FALSE),VLOOKUP(C3060,'NAO DESO'!A:B,2,0))</f>
        <v>AUXILIAR DE ENCANADOR OU BOMBEIRO HIDRÁULICO COM ENCARGOS COMPLEMENTARES</v>
      </c>
      <c r="E3060" s="247" t="s">
        <v>16</v>
      </c>
      <c r="F3060" s="248">
        <v>0.5</v>
      </c>
      <c r="G3060" s="242" t="str">
        <f>IF(B3060="SEPLAG",VLOOKUP(CONCATENATE("MEDIANA - ",C3060),COTAÇÃO,5,FALSE),VLOOKUP($C3060,'NAO DESO'!$A:$D,4,))</f>
        <v>17,33</v>
      </c>
      <c r="H3060" s="242">
        <f>TRUNC(F3060*G3060,2)</f>
        <v>8.66</v>
      </c>
      <c r="I3060" s="54" t="str">
        <f>IF(B3060="SEPLAG",VLOOKUP(CONCATENATE("MEDIANA - ",C3060),COTAÇÃO,5,FALSE),VLOOKUP($C3060,DESON!$A:$D,4,))</f>
        <v>15,54</v>
      </c>
      <c r="J3060" s="209">
        <f>TRUNC(F3060*I3060,2)</f>
        <v>7.77</v>
      </c>
    </row>
    <row r="3061" spans="1:10" ht="15" customHeight="1">
      <c r="A3061" s="233" t="s">
        <v>245</v>
      </c>
      <c r="B3061" s="161"/>
      <c r="C3061" s="161">
        <v>88309</v>
      </c>
      <c r="D3061" s="161" t="str">
        <f>IF(B3061="SEPLAG",VLOOKUP(COMPOSIÇÕES!C3061,'MAPA COMPARATIVO'!A:B,2,FALSE),VLOOKUP(C3061,'NAO DESO'!A:B,2,0))</f>
        <v>PEDREIRO COM ENCARGOS COMPLEMENTARES</v>
      </c>
      <c r="E3061" s="247" t="s">
        <v>16</v>
      </c>
      <c r="F3061" s="248">
        <v>0.5</v>
      </c>
      <c r="G3061" s="242" t="str">
        <f>IF(B3061="SEPLAG",VLOOKUP(CONCATENATE("MEDIANA - ",C3061),COTAÇÃO,5,FALSE),VLOOKUP($C3061,'NAO DESO'!$A:$D,4,))</f>
        <v>21,10</v>
      </c>
      <c r="H3061" s="242">
        <f>TRUNC(F3061*G3061,2)</f>
        <v>10.55</v>
      </c>
      <c r="I3061" s="54" t="str">
        <f>IF(B3061="SEPLAG",VLOOKUP(CONCATENATE("MEDIANA - ",C3061),COTAÇÃO,5,FALSE),VLOOKUP($C3061,DESON!$A:$D,4,))</f>
        <v>18,86</v>
      </c>
      <c r="J3061" s="209">
        <f>TRUNC(F3061*I3061,2)</f>
        <v>9.43</v>
      </c>
    </row>
    <row r="3062" spans="1:10" ht="15" customHeight="1">
      <c r="A3062" s="210" t="str">
        <f>CONCATENATE("TOTAL DO ITEM NÃO DESON. - ",C3056)</f>
        <v>TOTAL DO ITEM NÃO DESON. - SEPLAG INC 48</v>
      </c>
      <c r="B3062" s="161"/>
      <c r="C3062" s="161"/>
      <c r="D3062" s="161"/>
      <c r="E3062" s="247"/>
      <c r="F3062" s="248"/>
      <c r="G3062" s="248"/>
      <c r="H3062" s="1189">
        <f>SUM(H3059:H3061)</f>
        <v>201.82000000000002</v>
      </c>
      <c r="I3062" s="213"/>
      <c r="J3062" s="215"/>
    </row>
    <row r="3063" spans="1:10" ht="15.75" customHeight="1" thickBot="1">
      <c r="A3063" s="216" t="str">
        <f>CONCATENATE("TOTAL DO ITEM DESON. - ",C3056)</f>
        <v>TOTAL DO ITEM DESON. - SEPLAG INC 48</v>
      </c>
      <c r="B3063" s="1147"/>
      <c r="C3063" s="1147"/>
      <c r="D3063" s="1147"/>
      <c r="E3063" s="1218"/>
      <c r="F3063" s="1219"/>
      <c r="G3063" s="1219"/>
      <c r="H3063" s="1219"/>
      <c r="I3063" s="229"/>
      <c r="J3063" s="219">
        <f>SUM(J3059:J3062)</f>
        <v>199.81000000000003</v>
      </c>
    </row>
    <row r="3064" spans="1:10" ht="15" customHeight="1" thickBot="1">
      <c r="A3064" s="446"/>
      <c r="B3064" s="1144"/>
      <c r="C3064" s="1144"/>
      <c r="D3064" s="1144"/>
      <c r="E3064" s="1144"/>
      <c r="F3064" s="1214"/>
      <c r="G3064" s="1214"/>
      <c r="H3064" s="1214"/>
      <c r="I3064" s="447"/>
      <c r="J3064" s="447"/>
    </row>
    <row r="3065" spans="1:10" ht="26.25" customHeight="1">
      <c r="A3065" s="230"/>
      <c r="B3065" s="1146"/>
      <c r="C3065" s="1146" t="s">
        <v>14674</v>
      </c>
      <c r="D3065" s="1146" t="s">
        <v>14675</v>
      </c>
      <c r="E3065" s="1152" t="s">
        <v>24</v>
      </c>
      <c r="F3065" s="1177" t="s">
        <v>18</v>
      </c>
      <c r="G3065" s="1178" t="s">
        <v>7015</v>
      </c>
      <c r="H3065" s="1179"/>
      <c r="I3065" s="200" t="s">
        <v>7016</v>
      </c>
      <c r="J3065" s="201"/>
    </row>
    <row r="3066" spans="1:10" ht="15" customHeight="1">
      <c r="A3066" s="233"/>
      <c r="B3066" s="161"/>
      <c r="C3066" s="161"/>
      <c r="D3066" s="161"/>
      <c r="E3066" s="247"/>
      <c r="F3066" s="1186"/>
      <c r="G3066" s="1180" t="s">
        <v>19</v>
      </c>
      <c r="H3066" s="1180" t="s">
        <v>20</v>
      </c>
      <c r="I3066" s="204" t="s">
        <v>19</v>
      </c>
      <c r="J3066" s="206" t="s">
        <v>20</v>
      </c>
    </row>
    <row r="3067" spans="1:10" ht="15" customHeight="1">
      <c r="A3067" s="233"/>
      <c r="B3067" s="161"/>
      <c r="C3067" s="161"/>
      <c r="D3067" s="161"/>
      <c r="E3067" s="247"/>
      <c r="F3067" s="248"/>
      <c r="G3067" s="248"/>
      <c r="H3067" s="248"/>
      <c r="I3067" s="214"/>
      <c r="J3067" s="227"/>
    </row>
    <row r="3068" spans="1:10" ht="26.25" customHeight="1">
      <c r="A3068" s="233" t="s">
        <v>245</v>
      </c>
      <c r="B3068" s="161"/>
      <c r="C3068" s="161">
        <v>20972</v>
      </c>
      <c r="D3068" s="161" t="str">
        <f>IF(B3068="SEPLAG",VLOOKUP(COMPOSIÇÕES!C3068,'MAPA COMPARATIVO'!A:B,2,FALSE),VLOOKUP(C3068,'NAO DESO'!A:B,2,0))</f>
        <v>REDUCAO FIXA TIPO STORZ, ENGATE RAPIDO 2.1/2" X 1.1/2", EM LATAO, PARA INSTALACAO PREDIAL COMBATE A INCENDIO PREDIAL</v>
      </c>
      <c r="E3068" s="247" t="s">
        <v>427</v>
      </c>
      <c r="F3068" s="248">
        <v>1</v>
      </c>
      <c r="G3068" s="242">
        <f>IF(B3068="SEPLAG",VLOOKUP(CONCATENATE("MEDIANA - ",C3068),COTAÇÃO,5,FALSE),VLOOKUP($C3068,'NAO DESO'!$A:$D,4,))</f>
        <v>111.07</v>
      </c>
      <c r="H3068" s="242">
        <f>TRUNC(F3068*G3068,2)</f>
        <v>111.07</v>
      </c>
      <c r="I3068" s="54" t="str">
        <f>IF(B3068="SEPLAG",VLOOKUP(CONCATENATE("MEDIANA - ",C3068),COTAÇÃO,5,FALSE),VLOOKUP($C3068,DESON!$A:$D,4,))</f>
        <v>111,07</v>
      </c>
      <c r="J3068" s="209">
        <f>TRUNC(F3068*I3068,2)</f>
        <v>111.07</v>
      </c>
    </row>
    <row r="3069" spans="1:10" ht="26.25" customHeight="1">
      <c r="A3069" s="233" t="s">
        <v>245</v>
      </c>
      <c r="B3069" s="161"/>
      <c r="C3069" s="161">
        <v>88248</v>
      </c>
      <c r="D3069" s="161" t="str">
        <f>IF(B3069="SEPLAG",VLOOKUP(COMPOSIÇÕES!C3069,'MAPA COMPARATIVO'!A:B,2,FALSE),VLOOKUP(C3069,'NAO DESO'!A:B,2,0))</f>
        <v>AUXILIAR DE ENCANADOR OU BOMBEIRO HIDRÁULICO COM ENCARGOS COMPLEMENTARES</v>
      </c>
      <c r="E3069" s="247" t="s">
        <v>16</v>
      </c>
      <c r="F3069" s="248">
        <v>0.5</v>
      </c>
      <c r="G3069" s="242" t="str">
        <f>IF(B3069="SEPLAG",VLOOKUP(CONCATENATE("MEDIANA - ",C3069),COTAÇÃO,5,FALSE),VLOOKUP($C3069,'NAO DESO'!$A:$D,4,))</f>
        <v>17,33</v>
      </c>
      <c r="H3069" s="242">
        <f>TRUNC(F3069*G3069,2)</f>
        <v>8.66</v>
      </c>
      <c r="I3069" s="54" t="str">
        <f>IF(B3069="SEPLAG",VLOOKUP(CONCATENATE("MEDIANA - ",C3069),COTAÇÃO,5,FALSE),VLOOKUP($C3069,DESON!$A:$D,4,))</f>
        <v>15,54</v>
      </c>
      <c r="J3069" s="209">
        <f>TRUNC(F3069*I3069,2)</f>
        <v>7.77</v>
      </c>
    </row>
    <row r="3070" spans="1:10" ht="15" customHeight="1">
      <c r="A3070" s="233" t="s">
        <v>245</v>
      </c>
      <c r="B3070" s="161"/>
      <c r="C3070" s="161">
        <v>88309</v>
      </c>
      <c r="D3070" s="161" t="str">
        <f>IF(B3070="SEPLAG",VLOOKUP(COMPOSIÇÕES!C3070,'MAPA COMPARATIVO'!A:B,2,FALSE),VLOOKUP(C3070,'NAO DESO'!A:B,2,0))</f>
        <v>PEDREIRO COM ENCARGOS COMPLEMENTARES</v>
      </c>
      <c r="E3070" s="247" t="s">
        <v>16</v>
      </c>
      <c r="F3070" s="248">
        <v>0.5</v>
      </c>
      <c r="G3070" s="242" t="str">
        <f>IF(B3070="SEPLAG",VLOOKUP(CONCATENATE("MEDIANA - ",C3070),COTAÇÃO,5,FALSE),VLOOKUP($C3070,'NAO DESO'!$A:$D,4,))</f>
        <v>21,10</v>
      </c>
      <c r="H3070" s="242">
        <f>TRUNC(F3070*G3070,2)</f>
        <v>10.55</v>
      </c>
      <c r="I3070" s="54" t="str">
        <f>IF(B3070="SEPLAG",VLOOKUP(CONCATENATE("MEDIANA - ",C3070),COTAÇÃO,5,FALSE),VLOOKUP($C3070,DESON!$A:$D,4,))</f>
        <v>18,86</v>
      </c>
      <c r="J3070" s="209">
        <f>TRUNC(F3070*I3070,2)</f>
        <v>9.43</v>
      </c>
    </row>
    <row r="3071" spans="1:10" ht="15" customHeight="1">
      <c r="A3071" s="210" t="str">
        <f>CONCATENATE("TOTAL DO ITEM NÃO DESON. - ",C3065)</f>
        <v>TOTAL DO ITEM NÃO DESON. - SEPLAG INC 49</v>
      </c>
      <c r="B3071" s="161"/>
      <c r="C3071" s="161"/>
      <c r="D3071" s="161"/>
      <c r="E3071" s="247"/>
      <c r="F3071" s="248"/>
      <c r="G3071" s="248"/>
      <c r="H3071" s="1189">
        <f>SUM(H3068:H3070)</f>
        <v>130.28</v>
      </c>
      <c r="I3071" s="213"/>
      <c r="J3071" s="215"/>
    </row>
    <row r="3072" spans="1:10" ht="15.75" customHeight="1" thickBot="1">
      <c r="A3072" s="216" t="str">
        <f>CONCATENATE("TOTAL DO ITEM DESON. - ",C3065)</f>
        <v>TOTAL DO ITEM DESON. - SEPLAG INC 49</v>
      </c>
      <c r="B3072" s="1147"/>
      <c r="C3072" s="1147"/>
      <c r="D3072" s="1147"/>
      <c r="E3072" s="1218"/>
      <c r="F3072" s="1219"/>
      <c r="G3072" s="1219"/>
      <c r="H3072" s="1219"/>
      <c r="I3072" s="229"/>
      <c r="J3072" s="219">
        <f>SUM(J3068:J3071)</f>
        <v>128.26999999999998</v>
      </c>
    </row>
    <row r="3073" spans="1:10" ht="15" customHeight="1" thickBot="1">
      <c r="A3073" s="244"/>
      <c r="J3073" s="453"/>
    </row>
    <row r="3074" spans="1:10" ht="15" customHeight="1">
      <c r="A3074" s="230"/>
      <c r="B3074" s="1146"/>
      <c r="C3074" s="1146" t="s">
        <v>27186</v>
      </c>
      <c r="D3074" s="1146" t="s">
        <v>27188</v>
      </c>
      <c r="E3074" s="1152" t="s">
        <v>24</v>
      </c>
      <c r="F3074" s="1177" t="s">
        <v>18</v>
      </c>
      <c r="G3074" s="1178" t="s">
        <v>7015</v>
      </c>
      <c r="H3074" s="1179"/>
      <c r="I3074" s="200" t="s">
        <v>7016</v>
      </c>
      <c r="J3074" s="201"/>
    </row>
    <row r="3075" spans="1:10" ht="15" customHeight="1">
      <c r="A3075" s="233"/>
      <c r="B3075" s="161"/>
      <c r="C3075" s="161"/>
      <c r="D3075" s="161"/>
      <c r="E3075" s="247"/>
      <c r="F3075" s="1186"/>
      <c r="G3075" s="1180" t="s">
        <v>19</v>
      </c>
      <c r="H3075" s="1180" t="s">
        <v>20</v>
      </c>
      <c r="I3075" s="204" t="s">
        <v>19</v>
      </c>
      <c r="J3075" s="206" t="s">
        <v>20</v>
      </c>
    </row>
    <row r="3076" spans="1:10" ht="15" customHeight="1">
      <c r="A3076" s="233"/>
      <c r="B3076" s="161"/>
      <c r="C3076" s="161" t="s">
        <v>27189</v>
      </c>
      <c r="D3076" s="161"/>
      <c r="E3076" s="247"/>
      <c r="F3076" s="248"/>
      <c r="G3076" s="248"/>
      <c r="H3076" s="248"/>
      <c r="I3076" s="214"/>
      <c r="J3076" s="227"/>
    </row>
    <row r="3077" spans="1:10" ht="15" customHeight="1">
      <c r="A3077" s="233" t="s">
        <v>245</v>
      </c>
      <c r="B3077" s="161" t="s">
        <v>14504</v>
      </c>
      <c r="C3077" s="161" t="s">
        <v>27179</v>
      </c>
      <c r="D3077" s="161" t="str">
        <f>IF(B3077="SEPLAG",VLOOKUP(COMPOSIÇÕES!C3077,'MAPA COMPARATIVO'!A:B,2,FALSE),VLOOKUP(C3077,'NAO DESO'!A:B,2,0))</f>
        <v>DETECTOR DE FUMAÇA</v>
      </c>
      <c r="E3077" s="247" t="s">
        <v>427</v>
      </c>
      <c r="F3077" s="248">
        <v>1</v>
      </c>
      <c r="G3077" s="242">
        <f>IF(B3077="SEPLAG",VLOOKUP(CONCATENATE("MEDIANA - ",C3077),COTAÇÃO,5,FALSE),VLOOKUP($C3077,'NAO DESO'!$A:$D,4,))</f>
        <v>92.27</v>
      </c>
      <c r="H3077" s="242">
        <f>TRUNC(F3077*G3077,2)</f>
        <v>92.27</v>
      </c>
      <c r="I3077" s="54">
        <f>IF(B3077="SEPLAG",VLOOKUP(CONCATENATE("MEDIANA - ",C3077),COTAÇÃO,5,FALSE),VLOOKUP($C3077,DESON!$A:$D,4,))</f>
        <v>92.27</v>
      </c>
      <c r="J3077" s="209">
        <f>TRUNC(F3077*I3077,2)</f>
        <v>92.27</v>
      </c>
    </row>
    <row r="3078" spans="1:10" ht="15" customHeight="1">
      <c r="A3078" s="233" t="s">
        <v>245</v>
      </c>
      <c r="B3078" s="161"/>
      <c r="C3078" s="161">
        <v>2436</v>
      </c>
      <c r="D3078" s="161" t="str">
        <f>IF(B3078="SEPLAG",VLOOKUP(COMPOSIÇÕES!C3078,'MAPA COMPARATIVO'!A:B,2,FALSE),VLOOKUP(C3078,'NAO DESO'!A:B,2,0))</f>
        <v>ELETRICISTA</v>
      </c>
      <c r="E3078" s="247" t="s">
        <v>16</v>
      </c>
      <c r="F3078" s="248">
        <v>0.5</v>
      </c>
      <c r="G3078" s="242">
        <f>IF(B3078="SEPLAG",VLOOKUP(CONCATENATE("MEDIANA - ",C3078),COTAÇÃO,5,FALSE),VLOOKUP($C3078,'NAO DESO'!$A:$D,4,))</f>
        <v>16.46</v>
      </c>
      <c r="H3078" s="242">
        <f>TRUNC(F3078*G3078,2)</f>
        <v>8.23</v>
      </c>
      <c r="I3078" s="54" t="str">
        <f>IF(B3078="SEPLAG",VLOOKUP(CONCATENATE("MEDIANA - ",C3078),COTAÇÃO,5,FALSE),VLOOKUP($C3078,DESON!$A:$D,4,))</f>
        <v>14,19</v>
      </c>
      <c r="J3078" s="209">
        <f>TRUNC(F3078*I3078,2)</f>
        <v>7.09</v>
      </c>
    </row>
    <row r="3079" spans="1:10" ht="15" customHeight="1">
      <c r="A3079" s="233" t="s">
        <v>245</v>
      </c>
      <c r="B3079" s="161"/>
      <c r="C3079" s="161">
        <v>6111</v>
      </c>
      <c r="D3079" s="161" t="str">
        <f>IF(B3079="SEPLAG",VLOOKUP(COMPOSIÇÕES!C3079,'MAPA COMPARATIVO'!A:B,2,FALSE),VLOOKUP(C3079,'NAO DESO'!A:B,2,0))</f>
        <v>SERVENTE DE OBRAS</v>
      </c>
      <c r="E3079" s="247" t="s">
        <v>16</v>
      </c>
      <c r="F3079" s="248">
        <v>0.5</v>
      </c>
      <c r="G3079" s="242">
        <f>IF(B3079="SEPLAG",VLOOKUP(CONCATENATE("MEDIANA - ",C3079),COTAÇÃO,5,FALSE),VLOOKUP($C3079,'NAO DESO'!$A:$D,4,))</f>
        <v>11.85</v>
      </c>
      <c r="H3079" s="242">
        <f>TRUNC(F3079*G3079,2)</f>
        <v>5.92</v>
      </c>
      <c r="I3079" s="54" t="str">
        <f>IF(B3079="SEPLAG",VLOOKUP(CONCATENATE("MEDIANA - ",C3079),COTAÇÃO,5,FALSE),VLOOKUP($C3079,DESON!$A:$D,4,))</f>
        <v>10,21</v>
      </c>
      <c r="J3079" s="209">
        <f>TRUNC(F3079*I3079,2)</f>
        <v>5.0999999999999996</v>
      </c>
    </row>
    <row r="3080" spans="1:10" ht="15" customHeight="1">
      <c r="A3080" s="210" t="str">
        <f>CONCATENATE("TOTAL DO ITEM NÃO DESON. - ",C3074)</f>
        <v>TOTAL DO ITEM NÃO DESON. - SEPLAG INC 50</v>
      </c>
      <c r="B3080" s="161"/>
      <c r="C3080" s="161"/>
      <c r="D3080" s="161"/>
      <c r="E3080" s="247"/>
      <c r="F3080" s="248"/>
      <c r="G3080" s="248"/>
      <c r="H3080" s="1189">
        <f>SUM(H3077:H3079)</f>
        <v>106.42</v>
      </c>
      <c r="I3080" s="213"/>
      <c r="J3080" s="215"/>
    </row>
    <row r="3081" spans="1:10" ht="15.75" customHeight="1" thickBot="1">
      <c r="A3081" s="216" t="str">
        <f>CONCATENATE("TOTAL DO ITEM DESON. - ",C3074)</f>
        <v>TOTAL DO ITEM DESON. - SEPLAG INC 50</v>
      </c>
      <c r="B3081" s="1147"/>
      <c r="C3081" s="1147"/>
      <c r="D3081" s="1147"/>
      <c r="E3081" s="1218"/>
      <c r="F3081" s="1219"/>
      <c r="G3081" s="1219"/>
      <c r="H3081" s="1219"/>
      <c r="I3081" s="229"/>
      <c r="J3081" s="219">
        <f>SUM(J3077:J3080)</f>
        <v>104.46</v>
      </c>
    </row>
    <row r="3082" spans="1:10" ht="15" customHeight="1" thickBot="1">
      <c r="A3082" s="244"/>
      <c r="J3082" s="453"/>
    </row>
    <row r="3083" spans="1:10" ht="15" customHeight="1">
      <c r="A3083" s="230"/>
      <c r="B3083" s="1146"/>
      <c r="C3083" s="1146" t="s">
        <v>27187</v>
      </c>
      <c r="D3083" s="1146" t="s">
        <v>27181</v>
      </c>
      <c r="E3083" s="1152" t="s">
        <v>24</v>
      </c>
      <c r="F3083" s="1177" t="s">
        <v>18</v>
      </c>
      <c r="G3083" s="1178" t="s">
        <v>7015</v>
      </c>
      <c r="H3083" s="1179"/>
      <c r="I3083" s="200" t="s">
        <v>7016</v>
      </c>
      <c r="J3083" s="201"/>
    </row>
    <row r="3084" spans="1:10" ht="15" customHeight="1">
      <c r="A3084" s="233"/>
      <c r="B3084" s="161"/>
      <c r="C3084" s="161"/>
      <c r="D3084" s="161"/>
      <c r="E3084" s="247"/>
      <c r="F3084" s="1186"/>
      <c r="G3084" s="1180" t="s">
        <v>19</v>
      </c>
      <c r="H3084" s="1180" t="s">
        <v>20</v>
      </c>
      <c r="I3084" s="204" t="s">
        <v>19</v>
      </c>
      <c r="J3084" s="206" t="s">
        <v>20</v>
      </c>
    </row>
    <row r="3085" spans="1:10" ht="15" customHeight="1">
      <c r="A3085" s="233"/>
      <c r="B3085" s="161"/>
      <c r="C3085" s="161" t="s">
        <v>27189</v>
      </c>
      <c r="D3085" s="161"/>
      <c r="E3085" s="247"/>
      <c r="F3085" s="248"/>
      <c r="G3085" s="248"/>
      <c r="H3085" s="248"/>
      <c r="I3085" s="214"/>
      <c r="J3085" s="227"/>
    </row>
    <row r="3086" spans="1:10" ht="15" customHeight="1">
      <c r="A3086" s="233" t="s">
        <v>245</v>
      </c>
      <c r="B3086" s="161" t="s">
        <v>14504</v>
      </c>
      <c r="C3086" s="161" t="s">
        <v>27180</v>
      </c>
      <c r="D3086" s="161" t="str">
        <f>IF(B3086="SEPLAG",VLOOKUP(COMPOSIÇÕES!C3086,'MAPA COMPARATIVO'!A:B,2,FALSE),VLOOKUP(C3086,'NAO DESO'!A:B,2,0))</f>
        <v>DETECÇÃO DE CALOR</v>
      </c>
      <c r="E3086" s="247" t="s">
        <v>427</v>
      </c>
      <c r="F3086" s="248">
        <v>1</v>
      </c>
      <c r="G3086" s="242">
        <f>IF(B3086="SEPLAG",VLOOKUP(CONCATENATE("MEDIANA - ",C3086),COTAÇÃO,5,FALSE),VLOOKUP($C3086,'NAO DESO'!$A:$D,4,))</f>
        <v>261.3</v>
      </c>
      <c r="H3086" s="242">
        <f>TRUNC(F3086*G3086,2)</f>
        <v>261.3</v>
      </c>
      <c r="I3086" s="54">
        <f>IF(B3086="SEPLAG",VLOOKUP(CONCATENATE("MEDIANA - ",C3086),COTAÇÃO,5,FALSE),VLOOKUP($C3086,DESON!$A:$D,4,))</f>
        <v>261.3</v>
      </c>
      <c r="J3086" s="209">
        <f>TRUNC(F3086*I3086,2)</f>
        <v>261.3</v>
      </c>
    </row>
    <row r="3087" spans="1:10" ht="15" customHeight="1">
      <c r="A3087" s="233" t="s">
        <v>245</v>
      </c>
      <c r="B3087" s="161"/>
      <c r="C3087" s="161">
        <v>2436</v>
      </c>
      <c r="D3087" s="161" t="str">
        <f>IF(B3087="SEPLAG",VLOOKUP(COMPOSIÇÕES!C3087,'MAPA COMPARATIVO'!A:B,2,FALSE),VLOOKUP(C3087,'NAO DESO'!A:B,2,0))</f>
        <v>ELETRICISTA</v>
      </c>
      <c r="E3087" s="247" t="s">
        <v>16</v>
      </c>
      <c r="F3087" s="248">
        <v>0.5</v>
      </c>
      <c r="G3087" s="242">
        <f>IF(B3087="SEPLAG",VLOOKUP(CONCATENATE("MEDIANA - ",C3087),COTAÇÃO,5,FALSE),VLOOKUP($C3087,'NAO DESO'!$A:$D,4,))</f>
        <v>16.46</v>
      </c>
      <c r="H3087" s="242">
        <f>TRUNC(F3087*G3087,2)</f>
        <v>8.23</v>
      </c>
      <c r="I3087" s="54" t="str">
        <f>IF(B3087="SEPLAG",VLOOKUP(CONCATENATE("MEDIANA - ",C3087),COTAÇÃO,5,FALSE),VLOOKUP($C3087,DESON!$A:$D,4,))</f>
        <v>14,19</v>
      </c>
      <c r="J3087" s="209">
        <f>TRUNC(F3087*I3087,2)</f>
        <v>7.09</v>
      </c>
    </row>
    <row r="3088" spans="1:10" ht="15" customHeight="1">
      <c r="A3088" s="233" t="s">
        <v>245</v>
      </c>
      <c r="B3088" s="161"/>
      <c r="C3088" s="161">
        <v>6111</v>
      </c>
      <c r="D3088" s="161" t="str">
        <f>IF(B3088="SEPLAG",VLOOKUP(COMPOSIÇÕES!C3088,'MAPA COMPARATIVO'!A:B,2,FALSE),VLOOKUP(C3088,'NAO DESO'!A:B,2,0))</f>
        <v>SERVENTE DE OBRAS</v>
      </c>
      <c r="E3088" s="247" t="s">
        <v>16</v>
      </c>
      <c r="F3088" s="248">
        <v>0.5</v>
      </c>
      <c r="G3088" s="242">
        <f>IF(B3088="SEPLAG",VLOOKUP(CONCATENATE("MEDIANA - ",C3088),COTAÇÃO,5,FALSE),VLOOKUP($C3088,'NAO DESO'!$A:$D,4,))</f>
        <v>11.85</v>
      </c>
      <c r="H3088" s="242">
        <f>TRUNC(F3088*G3088,2)</f>
        <v>5.92</v>
      </c>
      <c r="I3088" s="54" t="str">
        <f>IF(B3088="SEPLAG",VLOOKUP(CONCATENATE("MEDIANA - ",C3088),COTAÇÃO,5,FALSE),VLOOKUP($C3088,DESON!$A:$D,4,))</f>
        <v>10,21</v>
      </c>
      <c r="J3088" s="209">
        <f>TRUNC(F3088*I3088,2)</f>
        <v>5.0999999999999996</v>
      </c>
    </row>
    <row r="3089" spans="1:10" ht="15" customHeight="1">
      <c r="A3089" s="210" t="str">
        <f>CONCATENATE("TOTAL DO ITEM NÃO DESON. - ",C3083)</f>
        <v>TOTAL DO ITEM NÃO DESON. - SEPLAG INC 51</v>
      </c>
      <c r="B3089" s="161"/>
      <c r="C3089" s="161"/>
      <c r="D3089" s="161"/>
      <c r="E3089" s="247"/>
      <c r="F3089" s="248"/>
      <c r="G3089" s="248"/>
      <c r="H3089" s="1189">
        <f>SUM(H3086:H3088)</f>
        <v>275.45000000000005</v>
      </c>
      <c r="I3089" s="213"/>
      <c r="J3089" s="215"/>
    </row>
    <row r="3090" spans="1:10" ht="15.75" customHeight="1" thickBot="1">
      <c r="A3090" s="216" t="str">
        <f>CONCATENATE("TOTAL DO ITEM DESON. - ",C3083)</f>
        <v>TOTAL DO ITEM DESON. - SEPLAG INC 51</v>
      </c>
      <c r="B3090" s="1147"/>
      <c r="C3090" s="1147"/>
      <c r="D3090" s="1147"/>
      <c r="E3090" s="1218"/>
      <c r="F3090" s="1219"/>
      <c r="G3090" s="1219"/>
      <c r="H3090" s="1219"/>
      <c r="I3090" s="229"/>
      <c r="J3090" s="219">
        <f>SUM(J3086:J3089)</f>
        <v>273.49</v>
      </c>
    </row>
    <row r="3091" spans="1:10" ht="15" customHeight="1">
      <c r="A3091" s="244"/>
      <c r="J3091" s="453"/>
    </row>
    <row r="3092" spans="1:10" ht="15" customHeight="1">
      <c r="A3092" s="449" t="s">
        <v>312</v>
      </c>
      <c r="B3092" s="424"/>
      <c r="C3092" s="424"/>
      <c r="D3092" s="424"/>
      <c r="E3092" s="424"/>
      <c r="F3092" s="425"/>
      <c r="G3092" s="425"/>
      <c r="H3092" s="425"/>
      <c r="I3092" s="211"/>
      <c r="J3092" s="212"/>
    </row>
    <row r="3093" spans="1:10" ht="15" customHeight="1" thickBot="1">
      <c r="A3093" s="454"/>
      <c r="B3093" s="1149"/>
      <c r="C3093" s="1149"/>
      <c r="D3093" s="1149"/>
      <c r="E3093" s="1205"/>
      <c r="F3093" s="1207"/>
      <c r="G3093" s="1207"/>
      <c r="H3093" s="1207"/>
      <c r="I3093" s="456"/>
      <c r="J3093" s="455"/>
    </row>
    <row r="3094" spans="1:10" ht="38.25" customHeight="1">
      <c r="A3094" s="256"/>
      <c r="B3094" s="1152"/>
      <c r="C3094" s="1152" t="s">
        <v>325</v>
      </c>
      <c r="D3094" s="152" t="s">
        <v>402</v>
      </c>
      <c r="E3094" s="1152" t="s">
        <v>24</v>
      </c>
      <c r="F3094" s="1177" t="s">
        <v>25</v>
      </c>
      <c r="G3094" s="1178" t="s">
        <v>7011</v>
      </c>
      <c r="H3094" s="1179"/>
      <c r="I3094" s="200" t="s">
        <v>7012</v>
      </c>
      <c r="J3094" s="201"/>
    </row>
    <row r="3095" spans="1:10" ht="15" customHeight="1">
      <c r="A3095" s="257"/>
      <c r="B3095" s="430"/>
      <c r="C3095" s="430"/>
      <c r="D3095" s="430"/>
      <c r="E3095" s="430"/>
      <c r="F3095" s="1180"/>
      <c r="G3095" s="1180" t="s">
        <v>19</v>
      </c>
      <c r="H3095" s="1180" t="s">
        <v>20</v>
      </c>
      <c r="I3095" s="204" t="s">
        <v>19</v>
      </c>
      <c r="J3095" s="206" t="s">
        <v>20</v>
      </c>
    </row>
    <row r="3096" spans="1:10" ht="15" customHeight="1">
      <c r="A3096" s="233"/>
      <c r="B3096" s="161"/>
      <c r="C3096" s="161"/>
      <c r="D3096" s="161"/>
      <c r="E3096" s="247"/>
      <c r="F3096" s="248"/>
      <c r="G3096" s="248"/>
      <c r="H3096" s="248"/>
      <c r="I3096" s="214"/>
      <c r="J3096" s="227"/>
    </row>
    <row r="3097" spans="1:10" ht="15" customHeight="1">
      <c r="A3097" s="233" t="s">
        <v>245</v>
      </c>
      <c r="B3097" s="161"/>
      <c r="C3097" s="161">
        <v>88264</v>
      </c>
      <c r="D3097" s="161" t="str">
        <f>IF(B3097="SEPLAG",VLOOKUP(COMPOSIÇÕES!C3097,'MAPA COMPARATIVO'!A:B,2,FALSE),VLOOKUP(C3097,'NAO DESO'!A:B,2,0))</f>
        <v>ELETRICISTA COM ENCARGOS COMPLEMENTARES</v>
      </c>
      <c r="E3097" s="247" t="s">
        <v>16</v>
      </c>
      <c r="F3097" s="248">
        <v>0.1</v>
      </c>
      <c r="G3097" s="242" t="str">
        <f>IF(B3097="SEPLAG",VLOOKUP(CONCATENATE("MEDIANA - ",C3097),COTAÇÃO,5,FALSE),VLOOKUP($C3097,'NAO DESO'!$A:$D,4,))</f>
        <v>21,87</v>
      </c>
      <c r="H3097" s="242">
        <f>TRUNC(F3097*G3097,2)</f>
        <v>2.1800000000000002</v>
      </c>
      <c r="I3097" s="54" t="str">
        <f>IF(B3097="SEPLAG",VLOOKUP(CONCATENATE("MEDIANA - ",C3097),COTAÇÃO,5,FALSE),VLOOKUP($C3097,DESON!$A:$D,4,))</f>
        <v>19,53</v>
      </c>
      <c r="J3097" s="209">
        <f>TRUNC(F3097*I3097,2)</f>
        <v>1.95</v>
      </c>
    </row>
    <row r="3098" spans="1:10" ht="15" customHeight="1">
      <c r="A3098" s="233" t="s">
        <v>245</v>
      </c>
      <c r="B3098" s="161"/>
      <c r="C3098" s="161">
        <v>88247</v>
      </c>
      <c r="D3098" s="161" t="str">
        <f>IF(B3098="SEPLAG",VLOOKUP(COMPOSIÇÕES!C3098,'MAPA COMPARATIVO'!A:B,2,FALSE),VLOOKUP(C3098,'NAO DESO'!A:B,2,0))</f>
        <v>AUXILIAR DE ELETRICISTA COM ENCARGOS COMPLEMENTARES</v>
      </c>
      <c r="E3098" s="247" t="s">
        <v>16</v>
      </c>
      <c r="F3098" s="248">
        <v>0.1</v>
      </c>
      <c r="G3098" s="242" t="str">
        <f>IF(B3098="SEPLAG",VLOOKUP(CONCATENATE("MEDIANA - ",C3098),COTAÇÃO,5,FALSE),VLOOKUP($C3098,'NAO DESO'!$A:$D,4,))</f>
        <v>16,84</v>
      </c>
      <c r="H3098" s="242">
        <f>TRUNC(F3098*G3098,2)</f>
        <v>1.68</v>
      </c>
      <c r="I3098" s="54" t="str">
        <f>IF(B3098="SEPLAG",VLOOKUP(CONCATENATE("MEDIANA - ",C3098),COTAÇÃO,5,FALSE),VLOOKUP($C3098,DESON!$A:$D,4,))</f>
        <v>15,19</v>
      </c>
      <c r="J3098" s="209">
        <f>TRUNC(F3098*I3098,2)</f>
        <v>1.51</v>
      </c>
    </row>
    <row r="3099" spans="1:10" ht="26.25" customHeight="1">
      <c r="A3099" s="233" t="s">
        <v>39</v>
      </c>
      <c r="B3099" s="161"/>
      <c r="C3099" s="161">
        <v>1578</v>
      </c>
      <c r="D3099" s="161" t="str">
        <f>IF(B3099="SEPLAG",VLOOKUP(COMPOSIÇÕES!C3099,'MAPA COMPARATIVO'!A:B,2,FALSE),VLOOKUP(C3099,'NAO DESO'!A:B,2,0))</f>
        <v>TERMINAL A COMPRESSAO EM COBRE ESTANHADO PARA CABO 50 MM2, 1 FURO E 1 COMPRESSAO, PARA PARAFUSO DE FIXACAO M8</v>
      </c>
      <c r="E3099" s="247" t="s">
        <v>427</v>
      </c>
      <c r="F3099" s="248">
        <v>1</v>
      </c>
      <c r="G3099" s="242">
        <f>IF(B3099="SEPLAG",VLOOKUP(CONCATENATE("MEDIANA - ",C3099),COTAÇÃO,5,FALSE),VLOOKUP($C3099,'NAO DESO'!$A:$D,4,))</f>
        <v>4.09</v>
      </c>
      <c r="H3099" s="242">
        <f>TRUNC(F3099*G3099,2)</f>
        <v>4.09</v>
      </c>
      <c r="I3099" s="54" t="str">
        <f>IF(B3099="SEPLAG",VLOOKUP(CONCATENATE("MEDIANA - ",C3099),COTAÇÃO,5,FALSE),VLOOKUP($C3099,DESON!$A:$D,4,))</f>
        <v>4,09</v>
      </c>
      <c r="J3099" s="209">
        <f>TRUNC(F3099*I3099,2)</f>
        <v>4.09</v>
      </c>
    </row>
    <row r="3100" spans="1:10" ht="15" customHeight="1">
      <c r="A3100" s="210" t="str">
        <f>CONCATENATE("TOTAL DO ITEM NÃO DESON. - ",C3094)</f>
        <v>TOTAL DO ITEM NÃO DESON. - SEPLAG SPDA 01</v>
      </c>
      <c r="B3100" s="432"/>
      <c r="C3100" s="432"/>
      <c r="D3100" s="432"/>
      <c r="E3100" s="430"/>
      <c r="F3100" s="1189"/>
      <c r="G3100" s="1189"/>
      <c r="H3100" s="1189">
        <f>SUM(H3097:H3099)</f>
        <v>7.95</v>
      </c>
      <c r="I3100" s="213"/>
      <c r="J3100" s="215"/>
    </row>
    <row r="3101" spans="1:10" ht="15.75" customHeight="1" thickBot="1">
      <c r="A3101" s="216" t="str">
        <f>CONCATENATE("TOTAL DO ITEM DESON. - ",C3094)</f>
        <v>TOTAL DO ITEM DESON. - SEPLAG SPDA 01</v>
      </c>
      <c r="B3101" s="1148"/>
      <c r="C3101" s="1148"/>
      <c r="D3101" s="1148"/>
      <c r="E3101" s="1142"/>
      <c r="F3101" s="1190"/>
      <c r="G3101" s="1190"/>
      <c r="H3101" s="1190"/>
      <c r="I3101" s="228"/>
      <c r="J3101" s="219">
        <f>SUM(J3097:J3100)</f>
        <v>7.55</v>
      </c>
    </row>
    <row r="3102" spans="1:10" ht="15" customHeight="1" thickBot="1">
      <c r="A3102" s="421"/>
      <c r="B3102" s="1138"/>
      <c r="C3102" s="1138"/>
      <c r="D3102" s="1138"/>
      <c r="E3102" s="1154"/>
      <c r="F3102" s="1196"/>
      <c r="G3102" s="1196"/>
      <c r="H3102" s="1196"/>
      <c r="I3102" s="423"/>
      <c r="J3102" s="422"/>
    </row>
    <row r="3103" spans="1:10" ht="38.25" customHeight="1">
      <c r="A3103" s="256"/>
      <c r="B3103" s="1152"/>
      <c r="C3103" s="1152" t="s">
        <v>326</v>
      </c>
      <c r="D3103" s="152" t="s">
        <v>403</v>
      </c>
      <c r="E3103" s="1152" t="s">
        <v>24</v>
      </c>
      <c r="F3103" s="1177" t="s">
        <v>25</v>
      </c>
      <c r="G3103" s="1178" t="s">
        <v>7011</v>
      </c>
      <c r="H3103" s="1179"/>
      <c r="I3103" s="200" t="s">
        <v>7012</v>
      </c>
      <c r="J3103" s="201"/>
    </row>
    <row r="3104" spans="1:10" ht="15" customHeight="1">
      <c r="A3104" s="257"/>
      <c r="B3104" s="430"/>
      <c r="C3104" s="430"/>
      <c r="D3104" s="430"/>
      <c r="E3104" s="430"/>
      <c r="F3104" s="1180"/>
      <c r="G3104" s="1180" t="s">
        <v>19</v>
      </c>
      <c r="H3104" s="1180" t="s">
        <v>20</v>
      </c>
      <c r="I3104" s="204" t="s">
        <v>19</v>
      </c>
      <c r="J3104" s="206" t="s">
        <v>20</v>
      </c>
    </row>
    <row r="3105" spans="1:10" ht="15" customHeight="1">
      <c r="A3105" s="233"/>
      <c r="B3105" s="161"/>
      <c r="C3105" s="161"/>
      <c r="D3105" s="161"/>
      <c r="E3105" s="247"/>
      <c r="F3105" s="248"/>
      <c r="G3105" s="248"/>
      <c r="H3105" s="248"/>
      <c r="I3105" s="214"/>
      <c r="J3105" s="227"/>
    </row>
    <row r="3106" spans="1:10" ht="15" customHeight="1">
      <c r="A3106" s="233" t="s">
        <v>245</v>
      </c>
      <c r="B3106" s="161"/>
      <c r="C3106" s="161">
        <v>88264</v>
      </c>
      <c r="D3106" s="161" t="str">
        <f>IF(B3106="SEPLAG",VLOOKUP(COMPOSIÇÕES!C3106,'MAPA COMPARATIVO'!A:B,2,FALSE),VLOOKUP(C3106,'NAO DESO'!A:B,2,0))</f>
        <v>ELETRICISTA COM ENCARGOS COMPLEMENTARES</v>
      </c>
      <c r="E3106" s="247" t="s">
        <v>16</v>
      </c>
      <c r="F3106" s="248">
        <v>0.1</v>
      </c>
      <c r="G3106" s="242" t="str">
        <f>IF(B3106="SEPLAG",VLOOKUP(CONCATENATE("MEDIANA - ",C3106),COTAÇÃO,5,FALSE),VLOOKUP($C3106,'NAO DESO'!$A:$D,4,))</f>
        <v>21,87</v>
      </c>
      <c r="H3106" s="242">
        <f>TRUNC(F3106*G3106,2)</f>
        <v>2.1800000000000002</v>
      </c>
      <c r="I3106" s="54" t="str">
        <f>IF(B3106="SEPLAG",VLOOKUP(CONCATENATE("MEDIANA - ",C3106),COTAÇÃO,5,FALSE),VLOOKUP($C3106,DESON!$A:$D,4,))</f>
        <v>19,53</v>
      </c>
      <c r="J3106" s="209">
        <f>TRUNC(F3106*I3106,2)</f>
        <v>1.95</v>
      </c>
    </row>
    <row r="3107" spans="1:10" ht="15" customHeight="1">
      <c r="A3107" s="233" t="s">
        <v>245</v>
      </c>
      <c r="B3107" s="161"/>
      <c r="C3107" s="161">
        <v>88247</v>
      </c>
      <c r="D3107" s="161" t="str">
        <f>IF(B3107="SEPLAG",VLOOKUP(COMPOSIÇÕES!C3107,'MAPA COMPARATIVO'!A:B,2,FALSE),VLOOKUP(C3107,'NAO DESO'!A:B,2,0))</f>
        <v>AUXILIAR DE ELETRICISTA COM ENCARGOS COMPLEMENTARES</v>
      </c>
      <c r="E3107" s="247" t="s">
        <v>16</v>
      </c>
      <c r="F3107" s="248">
        <v>0.1</v>
      </c>
      <c r="G3107" s="242" t="str">
        <f>IF(B3107="SEPLAG",VLOOKUP(CONCATENATE("MEDIANA - ",C3107),COTAÇÃO,5,FALSE),VLOOKUP($C3107,'NAO DESO'!$A:$D,4,))</f>
        <v>16,84</v>
      </c>
      <c r="H3107" s="242">
        <f>TRUNC(F3107*G3107,2)</f>
        <v>1.68</v>
      </c>
      <c r="I3107" s="54" t="str">
        <f>IF(B3107="SEPLAG",VLOOKUP(CONCATENATE("MEDIANA - ",C3107),COTAÇÃO,5,FALSE),VLOOKUP($C3107,DESON!$A:$D,4,))</f>
        <v>15,19</v>
      </c>
      <c r="J3107" s="209">
        <f>TRUNC(F3107*I3107,2)</f>
        <v>1.51</v>
      </c>
    </row>
    <row r="3108" spans="1:10" ht="26.25" customHeight="1">
      <c r="A3108" s="233" t="s">
        <v>39</v>
      </c>
      <c r="B3108" s="161"/>
      <c r="C3108" s="161">
        <v>39129</v>
      </c>
      <c r="D3108" s="161" t="str">
        <f>IF(B3108="SEPLAG",VLOOKUP(COMPOSIÇÕES!C3108,'MAPA COMPARATIVO'!A:B,2,FALSE),VLOOKUP(C3108,'NAO DESO'!A:B,2,0))</f>
        <v>ABRACADEIRA EM ACO PARA AMARRACAO DE ELETRODUTOS, TIPO D, COM 1" E CUNHA DE FIXACAO</v>
      </c>
      <c r="E3108" s="247" t="s">
        <v>427</v>
      </c>
      <c r="F3108" s="248">
        <v>1</v>
      </c>
      <c r="G3108" s="242">
        <f>IF(B3108="SEPLAG",VLOOKUP(CONCATENATE("MEDIANA - ",C3108),COTAÇÃO,5,FALSE),VLOOKUP($C3108,'NAO DESO'!$A:$D,4,))</f>
        <v>2.41</v>
      </c>
      <c r="H3108" s="242">
        <f>TRUNC(F3108*G3108,2)</f>
        <v>2.41</v>
      </c>
      <c r="I3108" s="54" t="str">
        <f>IF(B3108="SEPLAG",VLOOKUP(CONCATENATE("MEDIANA - ",C3108),COTAÇÃO,5,FALSE),VLOOKUP($C3108,DESON!$A:$D,4,))</f>
        <v>2,41</v>
      </c>
      <c r="J3108" s="209">
        <f>TRUNC(F3108*I3108,2)</f>
        <v>2.41</v>
      </c>
    </row>
    <row r="3109" spans="1:10" ht="26.25" customHeight="1">
      <c r="A3109" s="233" t="s">
        <v>39</v>
      </c>
      <c r="B3109" s="161"/>
      <c r="C3109" s="161">
        <v>7583</v>
      </c>
      <c r="D3109" s="161" t="str">
        <f>IF(B3109="SEPLAG",VLOOKUP(COMPOSIÇÕES!C3109,'MAPA COMPARATIVO'!A:B,2,FALSE),VLOOKUP(C3109,'NAO DESO'!A:B,2,0))</f>
        <v>BUCHA DE NYLON SEM ABA S8, COM PARAFUSO DE 4,80 X 50 MM EM ACO ZINCADO COM ROSCA SOBERBA, CABECA CHATA E FENDA PHILLIPS</v>
      </c>
      <c r="E3109" s="247" t="s">
        <v>427</v>
      </c>
      <c r="F3109" s="248">
        <v>1</v>
      </c>
      <c r="G3109" s="242">
        <f>IF(B3109="SEPLAG",VLOOKUP(CONCATENATE("MEDIANA - ",C3109),COTAÇÃO,5,FALSE),VLOOKUP($C3109,'NAO DESO'!$A:$D,4,))</f>
        <v>0.41</v>
      </c>
      <c r="H3109" s="242">
        <f>TRUNC(F3109*G3109,2)</f>
        <v>0.41</v>
      </c>
      <c r="I3109" s="54" t="str">
        <f>IF(B3109="SEPLAG",VLOOKUP(CONCATENATE("MEDIANA - ",C3109),COTAÇÃO,5,FALSE),VLOOKUP($C3109,DESON!$A:$D,4,))</f>
        <v>0,41</v>
      </c>
      <c r="J3109" s="209">
        <f>TRUNC(F3109*I3109,2)</f>
        <v>0.41</v>
      </c>
    </row>
    <row r="3110" spans="1:10" ht="15" customHeight="1">
      <c r="A3110" s="210" t="str">
        <f>CONCATENATE("TOTAL DO ITEM NÃO DESON. - ",C3103)</f>
        <v>TOTAL DO ITEM NÃO DESON. - SEPLAG SPDA 02</v>
      </c>
      <c r="B3110" s="432"/>
      <c r="C3110" s="432"/>
      <c r="D3110" s="432"/>
      <c r="E3110" s="430"/>
      <c r="F3110" s="1189"/>
      <c r="G3110" s="1189"/>
      <c r="H3110" s="1189">
        <f>SUM(H3106:H3109)</f>
        <v>6.6800000000000006</v>
      </c>
      <c r="I3110" s="213"/>
      <c r="J3110" s="215"/>
    </row>
    <row r="3111" spans="1:10" ht="15.75" customHeight="1" thickBot="1">
      <c r="A3111" s="216" t="str">
        <f>CONCATENATE("TOTAL DO ITEM DESON. - ",C3103)</f>
        <v>TOTAL DO ITEM DESON. - SEPLAG SPDA 02</v>
      </c>
      <c r="B3111" s="1147"/>
      <c r="C3111" s="1147"/>
      <c r="D3111" s="1147"/>
      <c r="E3111" s="1218"/>
      <c r="F3111" s="1219"/>
      <c r="G3111" s="1219"/>
      <c r="H3111" s="1219"/>
      <c r="I3111" s="229"/>
      <c r="J3111" s="219">
        <f>SUM(J3106:J3110)</f>
        <v>6.28</v>
      </c>
    </row>
    <row r="3112" spans="1:10" ht="15" customHeight="1" thickBot="1">
      <c r="A3112" s="421"/>
      <c r="B3112" s="1138"/>
      <c r="C3112" s="1138"/>
      <c r="D3112" s="1138"/>
      <c r="E3112" s="1154"/>
      <c r="F3112" s="1196"/>
      <c r="G3112" s="1196"/>
      <c r="H3112" s="1196"/>
      <c r="I3112" s="423"/>
      <c r="J3112" s="422"/>
    </row>
    <row r="3113" spans="1:10" ht="21" customHeight="1">
      <c r="A3113" s="256"/>
      <c r="B3113" s="1152"/>
      <c r="C3113" s="1152" t="s">
        <v>313</v>
      </c>
      <c r="D3113" s="152" t="s">
        <v>404</v>
      </c>
      <c r="E3113" s="1152" t="s">
        <v>24</v>
      </c>
      <c r="F3113" s="1177" t="s">
        <v>25</v>
      </c>
      <c r="G3113" s="1178" t="s">
        <v>7011</v>
      </c>
      <c r="H3113" s="1179"/>
      <c r="I3113" s="200" t="s">
        <v>7012</v>
      </c>
      <c r="J3113" s="201"/>
    </row>
    <row r="3114" spans="1:10" ht="30.75" customHeight="1">
      <c r="A3114" s="257"/>
      <c r="B3114" s="430"/>
      <c r="C3114" s="430"/>
      <c r="D3114" s="430"/>
      <c r="E3114" s="430"/>
      <c r="F3114" s="1180"/>
      <c r="G3114" s="1180" t="s">
        <v>19</v>
      </c>
      <c r="H3114" s="1180" t="s">
        <v>20</v>
      </c>
      <c r="I3114" s="204" t="s">
        <v>19</v>
      </c>
      <c r="J3114" s="206" t="s">
        <v>20</v>
      </c>
    </row>
    <row r="3115" spans="1:10" ht="14.25" customHeight="1">
      <c r="A3115" s="233"/>
      <c r="B3115" s="161"/>
      <c r="C3115" s="161"/>
      <c r="D3115" s="161"/>
      <c r="E3115" s="247"/>
      <c r="F3115" s="248"/>
      <c r="G3115" s="248"/>
      <c r="H3115" s="248"/>
      <c r="I3115" s="214"/>
      <c r="J3115" s="227"/>
    </row>
    <row r="3116" spans="1:10" ht="18" customHeight="1">
      <c r="A3116" s="233" t="s">
        <v>245</v>
      </c>
      <c r="B3116" s="161"/>
      <c r="C3116" s="161">
        <v>88264</v>
      </c>
      <c r="D3116" s="161" t="str">
        <f>IF(B3116="SEPLAG",VLOOKUP(COMPOSIÇÕES!C3116,'MAPA COMPARATIVO'!A:B,2,FALSE),VLOOKUP(C3116,'NAO DESO'!A:B,2,0))</f>
        <v>ELETRICISTA COM ENCARGOS COMPLEMENTARES</v>
      </c>
      <c r="E3116" s="247" t="s">
        <v>16</v>
      </c>
      <c r="F3116" s="248">
        <v>1</v>
      </c>
      <c r="G3116" s="242" t="str">
        <f>IF(B3116="SEPLAG",VLOOKUP(CONCATENATE("MEDIANA - ",C3116),COTAÇÃO,5,FALSE),VLOOKUP($C3116,'NAO DESO'!$A:$D,4,))</f>
        <v>21,87</v>
      </c>
      <c r="H3116" s="242">
        <f>TRUNC(F3116*G3116,2)</f>
        <v>21.87</v>
      </c>
      <c r="I3116" s="54" t="str">
        <f>IF(B3116="SEPLAG",VLOOKUP(CONCATENATE("MEDIANA - ",C3116),COTAÇÃO,5,FALSE),VLOOKUP($C3116,DESON!$A:$D,4,))</f>
        <v>19,53</v>
      </c>
      <c r="J3116" s="209">
        <f>TRUNC(F3116*I3116,2)</f>
        <v>19.53</v>
      </c>
    </row>
    <row r="3117" spans="1:10" ht="11.25" customHeight="1">
      <c r="A3117" s="233" t="s">
        <v>245</v>
      </c>
      <c r="B3117" s="161"/>
      <c r="C3117" s="161">
        <v>88247</v>
      </c>
      <c r="D3117" s="161" t="str">
        <f>IF(B3117="SEPLAG",VLOOKUP(COMPOSIÇÕES!C3117,'MAPA COMPARATIVO'!A:B,2,FALSE),VLOOKUP(C3117,'NAO DESO'!A:B,2,0))</f>
        <v>AUXILIAR DE ELETRICISTA COM ENCARGOS COMPLEMENTARES</v>
      </c>
      <c r="E3117" s="247" t="s">
        <v>16</v>
      </c>
      <c r="F3117" s="248">
        <v>1</v>
      </c>
      <c r="G3117" s="242" t="str">
        <f>IF(B3117="SEPLAG",VLOOKUP(CONCATENATE("MEDIANA - ",C3117),COTAÇÃO,5,FALSE),VLOOKUP($C3117,'NAO DESO'!$A:$D,4,))</f>
        <v>16,84</v>
      </c>
      <c r="H3117" s="242">
        <f>TRUNC(F3117*G3117,2)</f>
        <v>16.84</v>
      </c>
      <c r="I3117" s="54" t="str">
        <f>IF(B3117="SEPLAG",VLOOKUP(CONCATENATE("MEDIANA - ",C3117),COTAÇÃO,5,FALSE),VLOOKUP($C3117,DESON!$A:$D,4,))</f>
        <v>15,19</v>
      </c>
      <c r="J3117" s="209">
        <f>TRUNC(F3117*I3117,2)</f>
        <v>15.19</v>
      </c>
    </row>
    <row r="3118" spans="1:10" ht="15" customHeight="1">
      <c r="A3118" s="233" t="s">
        <v>188</v>
      </c>
      <c r="B3118" s="161" t="s">
        <v>14504</v>
      </c>
      <c r="C3118" s="161" t="s">
        <v>14382</v>
      </c>
      <c r="D3118" s="161" t="str">
        <f>IF(B3118="SEPLAG",VLOOKUP(COMPOSIÇÕES!C3118,'MAPA COMPARATIVO'!A:B,2,FALSE),VLOOKUP(C3118,'NAO DESO'!A:B,2,0))</f>
        <v>MOLDE PARA SOLDA EXOTÊRMICA</v>
      </c>
      <c r="E3118" s="247" t="s">
        <v>183</v>
      </c>
      <c r="F3118" s="248">
        <v>1</v>
      </c>
      <c r="G3118" s="242">
        <f>IF(B3118="SEPLAG",VLOOKUP(CONCATENATE("MEDIANA - ",C3118),COTAÇÃO,5,FALSE),VLOOKUP($C3118,'NAO DESO'!$A:$D,4,))</f>
        <v>239.4</v>
      </c>
      <c r="H3118" s="242">
        <f>TRUNC(F3118*G3118,2)</f>
        <v>239.4</v>
      </c>
      <c r="I3118" s="54">
        <f>IF(B3118="SEPLAG",VLOOKUP(CONCATENATE("MEDIANA - ",C3118),COTAÇÃO,5,FALSE),VLOOKUP($C3118,DESON!$A:$D,4,))</f>
        <v>239.4</v>
      </c>
      <c r="J3118" s="209">
        <f>TRUNC(F3118*I3118,2)</f>
        <v>239.4</v>
      </c>
    </row>
    <row r="3119" spans="1:10" ht="15" customHeight="1">
      <c r="A3119" s="210" t="str">
        <f>CONCATENATE("TOTAL DO ITEM NÃO DESON. - ",C3113)</f>
        <v>TOTAL DO ITEM NÃO DESON. - SEPLAG SPDA 03</v>
      </c>
      <c r="B3119" s="432"/>
      <c r="C3119" s="432"/>
      <c r="D3119" s="432"/>
      <c r="E3119" s="430"/>
      <c r="F3119" s="1189"/>
      <c r="G3119" s="1189"/>
      <c r="H3119" s="1189">
        <f>SUM(H3116:H3118)</f>
        <v>278.11</v>
      </c>
      <c r="I3119" s="213"/>
      <c r="J3119" s="215"/>
    </row>
    <row r="3120" spans="1:10" ht="15.75" customHeight="1" thickBot="1">
      <c r="A3120" s="216" t="str">
        <f>CONCATENATE("TOTAL DO ITEM DESON. - ",C3113)</f>
        <v>TOTAL DO ITEM DESON. - SEPLAG SPDA 03</v>
      </c>
      <c r="B3120" s="1147"/>
      <c r="C3120" s="1147"/>
      <c r="D3120" s="1147"/>
      <c r="E3120" s="1218"/>
      <c r="F3120" s="1219"/>
      <c r="G3120" s="1219"/>
      <c r="H3120" s="1219"/>
      <c r="I3120" s="229"/>
      <c r="J3120" s="219">
        <f>SUM(J3116:J3119)</f>
        <v>274.12</v>
      </c>
    </row>
    <row r="3121" spans="1:10" ht="15" customHeight="1" thickBot="1">
      <c r="A3121" s="421"/>
      <c r="B3121" s="1138"/>
      <c r="C3121" s="1138"/>
      <c r="D3121" s="1138"/>
      <c r="E3121" s="1154"/>
      <c r="F3121" s="1196"/>
      <c r="G3121" s="1196"/>
      <c r="H3121" s="1196"/>
      <c r="I3121" s="423"/>
      <c r="J3121" s="422"/>
    </row>
    <row r="3122" spans="1:10" ht="38.25" customHeight="1">
      <c r="A3122" s="256"/>
      <c r="B3122" s="1152"/>
      <c r="C3122" s="1152" t="s">
        <v>314</v>
      </c>
      <c r="D3122" s="152" t="s">
        <v>405</v>
      </c>
      <c r="E3122" s="1152" t="s">
        <v>24</v>
      </c>
      <c r="F3122" s="1177" t="s">
        <v>25</v>
      </c>
      <c r="G3122" s="1178" t="s">
        <v>7011</v>
      </c>
      <c r="H3122" s="1179"/>
      <c r="I3122" s="200" t="s">
        <v>7012</v>
      </c>
      <c r="J3122" s="201"/>
    </row>
    <row r="3123" spans="1:10" ht="15" customHeight="1">
      <c r="A3123" s="257"/>
      <c r="B3123" s="430"/>
      <c r="C3123" s="430"/>
      <c r="D3123" s="430"/>
      <c r="E3123" s="430"/>
      <c r="F3123" s="1180"/>
      <c r="G3123" s="1180" t="s">
        <v>19</v>
      </c>
      <c r="H3123" s="1180" t="s">
        <v>20</v>
      </c>
      <c r="I3123" s="204" t="s">
        <v>19</v>
      </c>
      <c r="J3123" s="206" t="s">
        <v>20</v>
      </c>
    </row>
    <row r="3124" spans="1:10" ht="15" customHeight="1">
      <c r="A3124" s="233"/>
      <c r="B3124" s="161"/>
      <c r="C3124" s="161"/>
      <c r="D3124" s="161"/>
      <c r="E3124" s="247"/>
      <c r="F3124" s="248"/>
      <c r="G3124" s="248"/>
      <c r="H3124" s="248"/>
      <c r="I3124" s="214"/>
      <c r="J3124" s="227"/>
    </row>
    <row r="3125" spans="1:10" ht="15" customHeight="1">
      <c r="A3125" s="233" t="s">
        <v>245</v>
      </c>
      <c r="B3125" s="161"/>
      <c r="C3125" s="161">
        <v>88264</v>
      </c>
      <c r="D3125" s="161" t="str">
        <f>IF(B3125="SEPLAG",VLOOKUP(COMPOSIÇÕES!C3125,'MAPA COMPARATIVO'!A:B,2,FALSE),VLOOKUP(C3125,'NAO DESO'!A:B,2,0))</f>
        <v>ELETRICISTA COM ENCARGOS COMPLEMENTARES</v>
      </c>
      <c r="E3125" s="247" t="s">
        <v>16</v>
      </c>
      <c r="F3125" s="248">
        <v>0.3</v>
      </c>
      <c r="G3125" s="242" t="str">
        <f>IF(B3125="SEPLAG",VLOOKUP(CONCATENATE("MEDIANA - ",C3125),COTAÇÃO,5,FALSE),VLOOKUP($C3125,'NAO DESO'!$A:$D,4,))</f>
        <v>21,87</v>
      </c>
      <c r="H3125" s="242">
        <f>TRUNC(F3125*G3125,2)</f>
        <v>6.56</v>
      </c>
      <c r="I3125" s="54" t="str">
        <f>IF(B3125="SEPLAG",VLOOKUP(CONCATENATE("MEDIANA - ",C3125),COTAÇÃO,5,FALSE),VLOOKUP($C3125,DESON!$A:$D,4,))</f>
        <v>19,53</v>
      </c>
      <c r="J3125" s="209">
        <f>TRUNC(F3125*I3125,2)</f>
        <v>5.85</v>
      </c>
    </row>
    <row r="3126" spans="1:10" ht="15" customHeight="1">
      <c r="A3126" s="233" t="s">
        <v>245</v>
      </c>
      <c r="B3126" s="161"/>
      <c r="C3126" s="161">
        <v>88247</v>
      </c>
      <c r="D3126" s="161" t="str">
        <f>IF(B3126="SEPLAG",VLOOKUP(COMPOSIÇÕES!C3126,'MAPA COMPARATIVO'!A:B,2,FALSE),VLOOKUP(C3126,'NAO DESO'!A:B,2,0))</f>
        <v>AUXILIAR DE ELETRICISTA COM ENCARGOS COMPLEMENTARES</v>
      </c>
      <c r="E3126" s="247" t="s">
        <v>16</v>
      </c>
      <c r="F3126" s="248">
        <v>0.3</v>
      </c>
      <c r="G3126" s="242" t="str">
        <f>IF(B3126="SEPLAG",VLOOKUP(CONCATENATE("MEDIANA - ",C3126),COTAÇÃO,5,FALSE),VLOOKUP($C3126,'NAO DESO'!$A:$D,4,))</f>
        <v>16,84</v>
      </c>
      <c r="H3126" s="242">
        <f>TRUNC(F3126*G3126,2)</f>
        <v>5.05</v>
      </c>
      <c r="I3126" s="54" t="str">
        <f>IF(B3126="SEPLAG",VLOOKUP(CONCATENATE("MEDIANA - ",C3126),COTAÇÃO,5,FALSE),VLOOKUP($C3126,DESON!$A:$D,4,))</f>
        <v>15,19</v>
      </c>
      <c r="J3126" s="209">
        <f>TRUNC(F3126*I3126,2)</f>
        <v>4.55</v>
      </c>
    </row>
    <row r="3127" spans="1:10" ht="15" customHeight="1">
      <c r="A3127" s="233" t="s">
        <v>188</v>
      </c>
      <c r="B3127" s="161" t="s">
        <v>14504</v>
      </c>
      <c r="C3127" s="161" t="s">
        <v>14383</v>
      </c>
      <c r="D3127" s="161" t="str">
        <f>IF(B3127="SEPLAG",VLOOKUP(COMPOSIÇÕES!C3127,'MAPA COMPARATIVO'!A:B,2,FALSE),VLOOKUP(C3127,'NAO DESO'!A:B,2,0))</f>
        <v>CARTUCHO PARA SOLDA EXOTÊRMICA Nº 115</v>
      </c>
      <c r="E3127" s="247" t="s">
        <v>183</v>
      </c>
      <c r="F3127" s="248">
        <v>1</v>
      </c>
      <c r="G3127" s="242">
        <f>IF(B3127="SEPLAG",VLOOKUP(CONCATENATE("MEDIANA - ",C3127),COTAÇÃO,5,FALSE),VLOOKUP($C3127,'NAO DESO'!$A:$D,4,))</f>
        <v>19.52</v>
      </c>
      <c r="H3127" s="242">
        <f>TRUNC(F3127*G3127,2)</f>
        <v>19.52</v>
      </c>
      <c r="I3127" s="54">
        <f>IF(B3127="SEPLAG",VLOOKUP(CONCATENATE("MEDIANA - ",C3127),COTAÇÃO,5,FALSE),VLOOKUP($C3127,DESON!$A:$D,4,))</f>
        <v>19.52</v>
      </c>
      <c r="J3127" s="209">
        <f>TRUNC(F3127*I3127,2)</f>
        <v>19.52</v>
      </c>
    </row>
    <row r="3128" spans="1:10" ht="15" customHeight="1">
      <c r="A3128" s="210" t="str">
        <f>CONCATENATE("TOTAL DO ITEM NÃO DESON. - ",C3122)</f>
        <v>TOTAL DO ITEM NÃO DESON. - SEPLAG SPDA 04</v>
      </c>
      <c r="B3128" s="432"/>
      <c r="C3128" s="432"/>
      <c r="D3128" s="432"/>
      <c r="E3128" s="430"/>
      <c r="F3128" s="1189"/>
      <c r="G3128" s="1189"/>
      <c r="H3128" s="1189">
        <f>SUM(H3125:H3127)</f>
        <v>31.13</v>
      </c>
      <c r="I3128" s="213"/>
      <c r="J3128" s="215"/>
    </row>
    <row r="3129" spans="1:10" ht="15.75" customHeight="1" thickBot="1">
      <c r="A3129" s="216" t="str">
        <f>CONCATENATE("TOTAL DO ITEM DESON. - ",C3122)</f>
        <v>TOTAL DO ITEM DESON. - SEPLAG SPDA 04</v>
      </c>
      <c r="B3129" s="1148"/>
      <c r="C3129" s="1148"/>
      <c r="D3129" s="1148"/>
      <c r="E3129" s="1142"/>
      <c r="F3129" s="1190"/>
      <c r="G3129" s="1190"/>
      <c r="H3129" s="1190"/>
      <c r="I3129" s="228"/>
      <c r="J3129" s="219">
        <f>SUM(J3125:J3128)</f>
        <v>29.919999999999998</v>
      </c>
    </row>
    <row r="3130" spans="1:10" ht="15" customHeight="1" thickBot="1">
      <c r="A3130" s="421"/>
      <c r="B3130" s="1138"/>
      <c r="C3130" s="1138"/>
      <c r="D3130" s="1138"/>
      <c r="E3130" s="1154"/>
      <c r="F3130" s="1196"/>
      <c r="G3130" s="1196"/>
      <c r="H3130" s="1196"/>
      <c r="I3130" s="423"/>
      <c r="J3130" s="422"/>
    </row>
    <row r="3131" spans="1:10" ht="38.25" customHeight="1">
      <c r="A3131" s="256"/>
      <c r="B3131" s="1152"/>
      <c r="C3131" s="1152" t="s">
        <v>315</v>
      </c>
      <c r="D3131" s="152" t="s">
        <v>406</v>
      </c>
      <c r="E3131" s="1152" t="s">
        <v>24</v>
      </c>
      <c r="F3131" s="1177" t="s">
        <v>25</v>
      </c>
      <c r="G3131" s="1178" t="s">
        <v>7011</v>
      </c>
      <c r="H3131" s="1179"/>
      <c r="I3131" s="200" t="s">
        <v>7012</v>
      </c>
      <c r="J3131" s="201"/>
    </row>
    <row r="3132" spans="1:10" ht="15" customHeight="1">
      <c r="A3132" s="257"/>
      <c r="B3132" s="430"/>
      <c r="C3132" s="430"/>
      <c r="D3132" s="430"/>
      <c r="E3132" s="430"/>
      <c r="F3132" s="1180"/>
      <c r="G3132" s="1180" t="s">
        <v>19</v>
      </c>
      <c r="H3132" s="1180" t="s">
        <v>20</v>
      </c>
      <c r="I3132" s="204" t="s">
        <v>19</v>
      </c>
      <c r="J3132" s="206" t="s">
        <v>20</v>
      </c>
    </row>
    <row r="3133" spans="1:10" ht="15" customHeight="1">
      <c r="A3133" s="233"/>
      <c r="B3133" s="161"/>
      <c r="C3133" s="161"/>
      <c r="D3133" s="161"/>
      <c r="E3133" s="247"/>
      <c r="F3133" s="248"/>
      <c r="G3133" s="248"/>
      <c r="H3133" s="248"/>
      <c r="I3133" s="214"/>
      <c r="J3133" s="227"/>
    </row>
    <row r="3134" spans="1:10" ht="15" customHeight="1">
      <c r="A3134" s="233" t="s">
        <v>245</v>
      </c>
      <c r="B3134" s="161"/>
      <c r="C3134" s="161">
        <v>88264</v>
      </c>
      <c r="D3134" s="161" t="str">
        <f>IF(B3134="SEPLAG",VLOOKUP(COMPOSIÇÕES!C3134,'MAPA COMPARATIVO'!A:B,2,FALSE),VLOOKUP(C3134,'NAO DESO'!A:B,2,0))</f>
        <v>ELETRICISTA COM ENCARGOS COMPLEMENTARES</v>
      </c>
      <c r="E3134" s="247" t="s">
        <v>16</v>
      </c>
      <c r="F3134" s="248">
        <v>0.3</v>
      </c>
      <c r="G3134" s="242" t="str">
        <f>IF(B3134="SEPLAG",VLOOKUP(CONCATENATE("MEDIANA - ",C3134),COTAÇÃO,5,FALSE),VLOOKUP($C3134,'NAO DESO'!$A:$D,4,))</f>
        <v>21,87</v>
      </c>
      <c r="H3134" s="242">
        <f>TRUNC(F3134*G3134,2)</f>
        <v>6.56</v>
      </c>
      <c r="I3134" s="54" t="str">
        <f>IF(B3134="SEPLAG",VLOOKUP(CONCATENATE("MEDIANA - ",C3134),COTAÇÃO,5,FALSE),VLOOKUP($C3134,DESON!$A:$D,4,))</f>
        <v>19,53</v>
      </c>
      <c r="J3134" s="209">
        <f>TRUNC(F3134*I3134,2)</f>
        <v>5.85</v>
      </c>
    </row>
    <row r="3135" spans="1:10" ht="15" customHeight="1">
      <c r="A3135" s="233" t="s">
        <v>245</v>
      </c>
      <c r="B3135" s="161"/>
      <c r="C3135" s="161">
        <v>88247</v>
      </c>
      <c r="D3135" s="161" t="str">
        <f>IF(B3135="SEPLAG",VLOOKUP(COMPOSIÇÕES!C3135,'MAPA COMPARATIVO'!A:B,2,FALSE),VLOOKUP(C3135,'NAO DESO'!A:B,2,0))</f>
        <v>AUXILIAR DE ELETRICISTA COM ENCARGOS COMPLEMENTARES</v>
      </c>
      <c r="E3135" s="247" t="s">
        <v>16</v>
      </c>
      <c r="F3135" s="248">
        <v>0.3</v>
      </c>
      <c r="G3135" s="242" t="str">
        <f>IF(B3135="SEPLAG",VLOOKUP(CONCATENATE("MEDIANA - ",C3135),COTAÇÃO,5,FALSE),VLOOKUP($C3135,'NAO DESO'!$A:$D,4,))</f>
        <v>16,84</v>
      </c>
      <c r="H3135" s="242">
        <f>TRUNC(F3135*G3135,2)</f>
        <v>5.05</v>
      </c>
      <c r="I3135" s="54" t="str">
        <f>IF(B3135="SEPLAG",VLOOKUP(CONCATENATE("MEDIANA - ",C3135),COTAÇÃO,5,FALSE),VLOOKUP($C3135,DESON!$A:$D,4,))</f>
        <v>15,19</v>
      </c>
      <c r="J3135" s="209">
        <f>TRUNC(F3135*I3135,2)</f>
        <v>4.55</v>
      </c>
    </row>
    <row r="3136" spans="1:10" ht="15" customHeight="1">
      <c r="A3136" s="233" t="s">
        <v>188</v>
      </c>
      <c r="B3136" s="161" t="s">
        <v>14504</v>
      </c>
      <c r="C3136" s="161" t="s">
        <v>14384</v>
      </c>
      <c r="D3136" s="161" t="str">
        <f>IF(B3136="SEPLAG",VLOOKUP(COMPOSIÇÕES!C3136,'MAPA COMPARATIVO'!A:B,2,FALSE),VLOOKUP(C3136,'NAO DESO'!A:B,2,0))</f>
        <v>CARTUCHO PARA SOLDA EXOTÊRMICA Nº 90</v>
      </c>
      <c r="E3136" s="247" t="s">
        <v>183</v>
      </c>
      <c r="F3136" s="248">
        <v>1</v>
      </c>
      <c r="G3136" s="242">
        <f>IF(B3136="SEPLAG",VLOOKUP(CONCATENATE("MEDIANA - ",C3136),COTAÇÃO,5,FALSE),VLOOKUP($C3136,'NAO DESO'!$A:$D,4,))</f>
        <v>20.239999999999998</v>
      </c>
      <c r="H3136" s="242">
        <f>TRUNC(F3136*G3136,2)</f>
        <v>20.239999999999998</v>
      </c>
      <c r="I3136" s="54">
        <f>IF(B3136="SEPLAG",VLOOKUP(CONCATENATE("MEDIANA - ",C3136),COTAÇÃO,5,FALSE),VLOOKUP($C3136,DESON!$A:$D,4,))</f>
        <v>20.239999999999998</v>
      </c>
      <c r="J3136" s="209">
        <f>TRUNC(F3136*I3136,2)</f>
        <v>20.239999999999998</v>
      </c>
    </row>
    <row r="3137" spans="1:10" ht="15" customHeight="1">
      <c r="A3137" s="210" t="str">
        <f>CONCATENATE("TOTAL DO ITEM NÃO DESON. - ",C3131)</f>
        <v>TOTAL DO ITEM NÃO DESON. - SEPLAG SPDA 05</v>
      </c>
      <c r="B3137" s="432"/>
      <c r="C3137" s="432"/>
      <c r="D3137" s="432"/>
      <c r="E3137" s="430"/>
      <c r="F3137" s="1189"/>
      <c r="G3137" s="1189"/>
      <c r="H3137" s="1189">
        <f>SUM(H3134:H3136)</f>
        <v>31.849999999999998</v>
      </c>
      <c r="I3137" s="213"/>
      <c r="J3137" s="215"/>
    </row>
    <row r="3138" spans="1:10" ht="15.75" customHeight="1" thickBot="1">
      <c r="A3138" s="216" t="str">
        <f>CONCATENATE("TOTAL DO ITEM DESON. - ",C3131)</f>
        <v>TOTAL DO ITEM DESON. - SEPLAG SPDA 05</v>
      </c>
      <c r="B3138" s="1148"/>
      <c r="C3138" s="1148"/>
      <c r="D3138" s="1148"/>
      <c r="E3138" s="1142"/>
      <c r="F3138" s="1190"/>
      <c r="G3138" s="1190"/>
      <c r="H3138" s="1190"/>
      <c r="I3138" s="228"/>
      <c r="J3138" s="219">
        <f>SUM(J3134:J3137)</f>
        <v>30.639999999999997</v>
      </c>
    </row>
    <row r="3139" spans="1:10" ht="15" customHeight="1" thickBot="1">
      <c r="A3139" s="421"/>
      <c r="B3139" s="1138"/>
      <c r="C3139" s="1138"/>
      <c r="D3139" s="1138"/>
      <c r="E3139" s="1154"/>
      <c r="F3139" s="1196"/>
      <c r="G3139" s="1196"/>
      <c r="H3139" s="1196"/>
      <c r="I3139" s="423"/>
      <c r="J3139" s="422"/>
    </row>
    <row r="3140" spans="1:10" ht="38.25" customHeight="1">
      <c r="A3140" s="256"/>
      <c r="B3140" s="1152"/>
      <c r="C3140" s="1152" t="s">
        <v>327</v>
      </c>
      <c r="D3140" s="152" t="s">
        <v>7742</v>
      </c>
      <c r="E3140" s="1152" t="s">
        <v>24</v>
      </c>
      <c r="F3140" s="1177" t="s">
        <v>25</v>
      </c>
      <c r="G3140" s="1178" t="s">
        <v>7011</v>
      </c>
      <c r="H3140" s="1179"/>
      <c r="I3140" s="200" t="s">
        <v>7012</v>
      </c>
      <c r="J3140" s="201"/>
    </row>
    <row r="3141" spans="1:10" ht="15" customHeight="1">
      <c r="A3141" s="257"/>
      <c r="B3141" s="430"/>
      <c r="C3141" s="430"/>
      <c r="D3141" s="430"/>
      <c r="E3141" s="430"/>
      <c r="F3141" s="1180"/>
      <c r="G3141" s="1180" t="s">
        <v>19</v>
      </c>
      <c r="H3141" s="1180" t="s">
        <v>20</v>
      </c>
      <c r="I3141" s="204" t="s">
        <v>19</v>
      </c>
      <c r="J3141" s="206" t="s">
        <v>20</v>
      </c>
    </row>
    <row r="3142" spans="1:10" ht="15" customHeight="1">
      <c r="A3142" s="233"/>
      <c r="B3142" s="161"/>
      <c r="C3142" s="161"/>
      <c r="D3142" s="161"/>
      <c r="E3142" s="247"/>
      <c r="F3142" s="248"/>
      <c r="G3142" s="248"/>
      <c r="H3142" s="248"/>
      <c r="I3142" s="214"/>
      <c r="J3142" s="227"/>
    </row>
    <row r="3143" spans="1:10" ht="15" customHeight="1">
      <c r="A3143" s="233" t="s">
        <v>245</v>
      </c>
      <c r="B3143" s="161"/>
      <c r="C3143" s="161">
        <v>88264</v>
      </c>
      <c r="D3143" s="161" t="str">
        <f>IF(B3143="SEPLAG",VLOOKUP(COMPOSIÇÕES!C3143,'MAPA COMPARATIVO'!A:B,2,FALSE),VLOOKUP(C3143,'NAO DESO'!A:B,2,0))</f>
        <v>ELETRICISTA COM ENCARGOS COMPLEMENTARES</v>
      </c>
      <c r="E3143" s="247" t="s">
        <v>16</v>
      </c>
      <c r="F3143" s="248">
        <v>0.6</v>
      </c>
      <c r="G3143" s="242" t="str">
        <f>IF(B3143="SEPLAG",VLOOKUP(CONCATENATE("MEDIANA - ",C3143),COTAÇÃO,5,FALSE),VLOOKUP($C3143,'NAO DESO'!$A:$D,4,))</f>
        <v>21,87</v>
      </c>
      <c r="H3143" s="242">
        <f>TRUNC(F3143*G3143,2)</f>
        <v>13.12</v>
      </c>
      <c r="I3143" s="54" t="str">
        <f>IF(B3143="SEPLAG",VLOOKUP(CONCATENATE("MEDIANA - ",C3143),COTAÇÃO,5,FALSE),VLOOKUP($C3143,DESON!$A:$D,4,))</f>
        <v>19,53</v>
      </c>
      <c r="J3143" s="209">
        <f>TRUNC(F3143*I3143,2)</f>
        <v>11.71</v>
      </c>
    </row>
    <row r="3144" spans="1:10" ht="15" customHeight="1">
      <c r="A3144" s="233" t="s">
        <v>245</v>
      </c>
      <c r="B3144" s="161"/>
      <c r="C3144" s="161">
        <v>88247</v>
      </c>
      <c r="D3144" s="161" t="str">
        <f>IF(B3144="SEPLAG",VLOOKUP(COMPOSIÇÕES!C3144,'MAPA COMPARATIVO'!A:B,2,FALSE),VLOOKUP(C3144,'NAO DESO'!A:B,2,0))</f>
        <v>AUXILIAR DE ELETRICISTA COM ENCARGOS COMPLEMENTARES</v>
      </c>
      <c r="E3144" s="247" t="s">
        <v>16</v>
      </c>
      <c r="F3144" s="248">
        <v>0.6</v>
      </c>
      <c r="G3144" s="242" t="str">
        <f>IF(B3144="SEPLAG",VLOOKUP(CONCATENATE("MEDIANA - ",C3144),COTAÇÃO,5,FALSE),VLOOKUP($C3144,'NAO DESO'!$A:$D,4,))</f>
        <v>16,84</v>
      </c>
      <c r="H3144" s="242">
        <f>TRUNC(F3144*G3144,2)</f>
        <v>10.1</v>
      </c>
      <c r="I3144" s="54" t="str">
        <f>IF(B3144="SEPLAG",VLOOKUP(CONCATENATE("MEDIANA - ",C3144),COTAÇÃO,5,FALSE),VLOOKUP($C3144,DESON!$A:$D,4,))</f>
        <v>15,19</v>
      </c>
      <c r="J3144" s="209">
        <f>TRUNC(F3144*I3144,2)</f>
        <v>9.11</v>
      </c>
    </row>
    <row r="3145" spans="1:10" ht="15" customHeight="1">
      <c r="A3145" s="233" t="s">
        <v>188</v>
      </c>
      <c r="B3145" s="161" t="s">
        <v>14504</v>
      </c>
      <c r="C3145" s="161" t="s">
        <v>14385</v>
      </c>
      <c r="D3145" s="161" t="str">
        <f>IF(B3145="SEPLAG",VLOOKUP(COMPOSIÇÕES!C3145,'MAPA COMPARATIVO'!A:B,2,FALSE),VLOOKUP(C3145,'NAO DESO'!A:B,2,0))</f>
        <v>BARRA CHATA DE ALUMINIO 1/4"X3/4" BARRA DE 6M</v>
      </c>
      <c r="E3145" s="247" t="s">
        <v>183</v>
      </c>
      <c r="F3145" s="248">
        <v>1</v>
      </c>
      <c r="G3145" s="242">
        <f>IF(B3145="SEPLAG",VLOOKUP(CONCATENATE("MEDIANA - ",C3145),COTAÇÃO,5,FALSE),VLOOKUP($C3145,'NAO DESO'!$A:$D,4,))</f>
        <v>79.64</v>
      </c>
      <c r="H3145" s="242">
        <f>TRUNC(F3145*G3145,2)</f>
        <v>79.64</v>
      </c>
      <c r="I3145" s="54">
        <f>IF(B3145="SEPLAG",VLOOKUP(CONCATENATE("MEDIANA - ",C3145),COTAÇÃO,5,FALSE),VLOOKUP($C3145,DESON!$A:$D,4,))</f>
        <v>79.64</v>
      </c>
      <c r="J3145" s="209">
        <f>TRUNC(F3145*I3145,2)</f>
        <v>79.64</v>
      </c>
    </row>
    <row r="3146" spans="1:10" ht="15" customHeight="1">
      <c r="A3146" s="210" t="str">
        <f>CONCATENATE("TOTAL DO ITEM NÃO DESON. - ",C3140)</f>
        <v>TOTAL DO ITEM NÃO DESON. - SEPLAG SPDA 06</v>
      </c>
      <c r="B3146" s="432"/>
      <c r="C3146" s="432"/>
      <c r="D3146" s="432"/>
      <c r="E3146" s="430"/>
      <c r="F3146" s="1189"/>
      <c r="G3146" s="1189"/>
      <c r="H3146" s="1189">
        <f>SUM(H3143:H3145)</f>
        <v>102.86</v>
      </c>
      <c r="I3146" s="213"/>
      <c r="J3146" s="215"/>
    </row>
    <row r="3147" spans="1:10" ht="15.75" customHeight="1" thickBot="1">
      <c r="A3147" s="216" t="str">
        <f>CONCATENATE("TOTAL DO ITEM DESON. - ",C3140)</f>
        <v>TOTAL DO ITEM DESON. - SEPLAG SPDA 06</v>
      </c>
      <c r="B3147" s="1147"/>
      <c r="C3147" s="1147"/>
      <c r="D3147" s="1147"/>
      <c r="E3147" s="1218"/>
      <c r="F3147" s="1219"/>
      <c r="G3147" s="1219"/>
      <c r="H3147" s="1219"/>
      <c r="I3147" s="229"/>
      <c r="J3147" s="219">
        <f>SUM(J3143:J3146)</f>
        <v>100.46000000000001</v>
      </c>
    </row>
    <row r="3148" spans="1:10" ht="15" customHeight="1" thickBot="1">
      <c r="A3148" s="421"/>
      <c r="B3148" s="1138"/>
      <c r="C3148" s="1138"/>
      <c r="D3148" s="1138"/>
      <c r="E3148" s="1154"/>
      <c r="F3148" s="1196"/>
      <c r="G3148" s="1196"/>
      <c r="H3148" s="1196"/>
      <c r="I3148" s="423"/>
      <c r="J3148" s="422"/>
    </row>
    <row r="3149" spans="1:10" ht="38.25" customHeight="1">
      <c r="A3149" s="256"/>
      <c r="B3149" s="1152"/>
      <c r="C3149" s="1152" t="s">
        <v>328</v>
      </c>
      <c r="D3149" s="152" t="s">
        <v>7744</v>
      </c>
      <c r="E3149" s="1152" t="s">
        <v>24</v>
      </c>
      <c r="F3149" s="1177" t="s">
        <v>25</v>
      </c>
      <c r="G3149" s="1178" t="s">
        <v>7011</v>
      </c>
      <c r="H3149" s="1179"/>
      <c r="I3149" s="200" t="s">
        <v>7012</v>
      </c>
      <c r="J3149" s="201"/>
    </row>
    <row r="3150" spans="1:10" ht="15" customHeight="1">
      <c r="A3150" s="257"/>
      <c r="B3150" s="430"/>
      <c r="C3150" s="430"/>
      <c r="D3150" s="430"/>
      <c r="E3150" s="430"/>
      <c r="F3150" s="1180"/>
      <c r="G3150" s="1180" t="s">
        <v>19</v>
      </c>
      <c r="H3150" s="1180" t="s">
        <v>20</v>
      </c>
      <c r="I3150" s="204" t="s">
        <v>19</v>
      </c>
      <c r="J3150" s="206" t="s">
        <v>20</v>
      </c>
    </row>
    <row r="3151" spans="1:10" ht="15" customHeight="1">
      <c r="A3151" s="233"/>
      <c r="B3151" s="161"/>
      <c r="C3151" s="161"/>
      <c r="D3151" s="161"/>
      <c r="E3151" s="247"/>
      <c r="F3151" s="248"/>
      <c r="G3151" s="248"/>
      <c r="H3151" s="248"/>
      <c r="I3151" s="214"/>
      <c r="J3151" s="227"/>
    </row>
    <row r="3152" spans="1:10" ht="15" customHeight="1">
      <c r="A3152" s="233" t="s">
        <v>245</v>
      </c>
      <c r="B3152" s="161"/>
      <c r="C3152" s="161">
        <v>88264</v>
      </c>
      <c r="D3152" s="161" t="str">
        <f>IF(B3152="SEPLAG",VLOOKUP(COMPOSIÇÕES!C3152,'MAPA COMPARATIVO'!A:B,2,FALSE),VLOOKUP(C3152,'NAO DESO'!A:B,2,0))</f>
        <v>ELETRICISTA COM ENCARGOS COMPLEMENTARES</v>
      </c>
      <c r="E3152" s="247" t="s">
        <v>16</v>
      </c>
      <c r="F3152" s="248">
        <v>0.6</v>
      </c>
      <c r="G3152" s="242" t="str">
        <f>IF(B3152="SEPLAG",VLOOKUP(CONCATENATE("MEDIANA - ",C3152),COTAÇÃO,5,FALSE),VLOOKUP($C3152,'NAO DESO'!$A:$D,4,))</f>
        <v>21,87</v>
      </c>
      <c r="H3152" s="242">
        <f>TRUNC(F3152*G3152,2)</f>
        <v>13.12</v>
      </c>
      <c r="I3152" s="54" t="str">
        <f>IF(B3152="SEPLAG",VLOOKUP(CONCATENATE("MEDIANA - ",C3152),COTAÇÃO,5,FALSE),VLOOKUP($C3152,DESON!$A:$D,4,))</f>
        <v>19,53</v>
      </c>
      <c r="J3152" s="209">
        <f>TRUNC(F3152*I3152,2)</f>
        <v>11.71</v>
      </c>
    </row>
    <row r="3153" spans="1:10" ht="15" customHeight="1">
      <c r="A3153" s="233" t="s">
        <v>245</v>
      </c>
      <c r="B3153" s="161"/>
      <c r="C3153" s="161">
        <v>88247</v>
      </c>
      <c r="D3153" s="161" t="str">
        <f>IF(B3153="SEPLAG",VLOOKUP(COMPOSIÇÕES!C3153,'MAPA COMPARATIVO'!A:B,2,FALSE),VLOOKUP(C3153,'NAO DESO'!A:B,2,0))</f>
        <v>AUXILIAR DE ELETRICISTA COM ENCARGOS COMPLEMENTARES</v>
      </c>
      <c r="E3153" s="247" t="s">
        <v>16</v>
      </c>
      <c r="F3153" s="248">
        <v>0.6</v>
      </c>
      <c r="G3153" s="242" t="str">
        <f>IF(B3153="SEPLAG",VLOOKUP(CONCATENATE("MEDIANA - ",C3153),COTAÇÃO,5,FALSE),VLOOKUP($C3153,'NAO DESO'!$A:$D,4,))</f>
        <v>16,84</v>
      </c>
      <c r="H3153" s="242">
        <f>TRUNC(F3153*G3153,2)</f>
        <v>10.1</v>
      </c>
      <c r="I3153" s="54" t="str">
        <f>IF(B3153="SEPLAG",VLOOKUP(CONCATENATE("MEDIANA - ",C3153),COTAÇÃO,5,FALSE),VLOOKUP($C3153,DESON!$A:$D,4,))</f>
        <v>15,19</v>
      </c>
      <c r="J3153" s="209">
        <f>TRUNC(F3153*I3153,2)</f>
        <v>9.11</v>
      </c>
    </row>
    <row r="3154" spans="1:10" ht="26.25" customHeight="1">
      <c r="A3154" s="233" t="s">
        <v>188</v>
      </c>
      <c r="B3154" s="161" t="s">
        <v>14504</v>
      </c>
      <c r="C3154" s="161" t="s">
        <v>14386</v>
      </c>
      <c r="D3154" s="161" t="str">
        <f>IF(B3154="SEPLAG",VLOOKUP(COMPOSIÇÕES!C3154,'MAPA COMPARATIVO'!A:B,2,FALSE),VLOOKUP(C3154,'NAO DESO'!A:B,2,0))</f>
        <v>BASE ( SUPORTE GUIA) PARA BARRA CHATA DE ALUMINIO 1/4" X 3/4", BARRA DE 6M</v>
      </c>
      <c r="E3154" s="247" t="s">
        <v>183</v>
      </c>
      <c r="F3154" s="248">
        <v>1</v>
      </c>
      <c r="G3154" s="242">
        <f>IF(B3154="SEPLAG",VLOOKUP(CONCATENATE("MEDIANA - ",C3154),COTAÇÃO,5,FALSE),VLOOKUP($C3154,'NAO DESO'!$A:$D,4,))</f>
        <v>5.6589999999999998</v>
      </c>
      <c r="H3154" s="242">
        <f>TRUNC(F3154*G3154,2)</f>
        <v>5.65</v>
      </c>
      <c r="I3154" s="54">
        <f>IF(B3154="SEPLAG",VLOOKUP(CONCATENATE("MEDIANA - ",C3154),COTAÇÃO,5,FALSE),VLOOKUP($C3154,DESON!$A:$D,4,))</f>
        <v>5.6589999999999998</v>
      </c>
      <c r="J3154" s="209">
        <f>TRUNC(F3154*I3154,2)</f>
        <v>5.65</v>
      </c>
    </row>
    <row r="3155" spans="1:10" ht="15" customHeight="1">
      <c r="A3155" s="210" t="str">
        <f>CONCATENATE("TOTAL DO ITEM NÃO DESON. - ",C3149)</f>
        <v>TOTAL DO ITEM NÃO DESON. - SEPLAG SPDA 07</v>
      </c>
      <c r="B3155" s="432"/>
      <c r="C3155" s="432"/>
      <c r="D3155" s="432"/>
      <c r="E3155" s="430"/>
      <c r="F3155" s="1189"/>
      <c r="G3155" s="1189"/>
      <c r="H3155" s="1189">
        <f>SUM(H3152:H3154)</f>
        <v>28.869999999999997</v>
      </c>
      <c r="I3155" s="213"/>
      <c r="J3155" s="215"/>
    </row>
    <row r="3156" spans="1:10" ht="15.75" customHeight="1" thickBot="1">
      <c r="A3156" s="216" t="str">
        <f>CONCATENATE("TOTAL DO ITEM DESON. - ",C3149)</f>
        <v>TOTAL DO ITEM DESON. - SEPLAG SPDA 07</v>
      </c>
      <c r="B3156" s="1147"/>
      <c r="C3156" s="1147"/>
      <c r="D3156" s="1147"/>
      <c r="E3156" s="1218"/>
      <c r="F3156" s="1219"/>
      <c r="G3156" s="1219"/>
      <c r="H3156" s="1219"/>
      <c r="I3156" s="229"/>
      <c r="J3156" s="219">
        <f>SUM(J3152:J3155)</f>
        <v>26.47</v>
      </c>
    </row>
    <row r="3157" spans="1:10" ht="15" customHeight="1" thickBot="1">
      <c r="A3157" s="421"/>
      <c r="B3157" s="1138"/>
      <c r="C3157" s="1138"/>
      <c r="D3157" s="1138"/>
      <c r="E3157" s="1154"/>
      <c r="F3157" s="1196"/>
      <c r="G3157" s="1196"/>
      <c r="H3157" s="1196"/>
      <c r="I3157" s="423"/>
      <c r="J3157" s="422"/>
    </row>
    <row r="3158" spans="1:10" ht="38.25" customHeight="1">
      <c r="A3158" s="256"/>
      <c r="B3158" s="1152"/>
      <c r="C3158" s="1152" t="s">
        <v>329</v>
      </c>
      <c r="D3158" s="152" t="s">
        <v>407</v>
      </c>
      <c r="E3158" s="1152" t="s">
        <v>24</v>
      </c>
      <c r="F3158" s="1177" t="s">
        <v>25</v>
      </c>
      <c r="G3158" s="1178" t="s">
        <v>7011</v>
      </c>
      <c r="H3158" s="1179"/>
      <c r="I3158" s="200" t="s">
        <v>7012</v>
      </c>
      <c r="J3158" s="201"/>
    </row>
    <row r="3159" spans="1:10" ht="15" customHeight="1">
      <c r="A3159" s="257"/>
      <c r="B3159" s="430"/>
      <c r="C3159" s="430"/>
      <c r="D3159" s="430"/>
      <c r="E3159" s="430"/>
      <c r="F3159" s="1180"/>
      <c r="G3159" s="1180" t="s">
        <v>19</v>
      </c>
      <c r="H3159" s="1180" t="s">
        <v>20</v>
      </c>
      <c r="I3159" s="204" t="s">
        <v>19</v>
      </c>
      <c r="J3159" s="206" t="s">
        <v>20</v>
      </c>
    </row>
    <row r="3160" spans="1:10" ht="15" customHeight="1">
      <c r="A3160" s="233"/>
      <c r="B3160" s="161"/>
      <c r="C3160" s="161"/>
      <c r="D3160" s="161"/>
      <c r="E3160" s="247"/>
      <c r="F3160" s="248"/>
      <c r="G3160" s="248"/>
      <c r="H3160" s="248"/>
      <c r="I3160" s="214"/>
      <c r="J3160" s="227"/>
    </row>
    <row r="3161" spans="1:10" ht="15" customHeight="1">
      <c r="A3161" s="233" t="s">
        <v>245</v>
      </c>
      <c r="B3161" s="161"/>
      <c r="C3161" s="161">
        <v>88264</v>
      </c>
      <c r="D3161" s="161" t="str">
        <f>IF(B3161="SEPLAG",VLOOKUP(COMPOSIÇÕES!C3161,'MAPA COMPARATIVO'!A:B,2,FALSE),VLOOKUP(C3161,'NAO DESO'!A:B,2,0))</f>
        <v>ELETRICISTA COM ENCARGOS COMPLEMENTARES</v>
      </c>
      <c r="E3161" s="247" t="s">
        <v>16</v>
      </c>
      <c r="F3161" s="248">
        <v>0.14000000000000001</v>
      </c>
      <c r="G3161" s="242" t="str">
        <f>IF(B3161="SEPLAG",VLOOKUP(CONCATENATE("MEDIANA - ",C3161),COTAÇÃO,5,FALSE),VLOOKUP($C3161,'NAO DESO'!$A:$D,4,))</f>
        <v>21,87</v>
      </c>
      <c r="H3161" s="242">
        <f>TRUNC(F3161*G3161,2)</f>
        <v>3.06</v>
      </c>
      <c r="I3161" s="54" t="str">
        <f>IF(B3161="SEPLAG",VLOOKUP(CONCATENATE("MEDIANA - ",C3161),COTAÇÃO,5,FALSE),VLOOKUP($C3161,DESON!$A:$D,4,))</f>
        <v>19,53</v>
      </c>
      <c r="J3161" s="209">
        <f>TRUNC(F3161*I3161,2)</f>
        <v>2.73</v>
      </c>
    </row>
    <row r="3162" spans="1:10" ht="15" customHeight="1">
      <c r="A3162" s="233" t="s">
        <v>245</v>
      </c>
      <c r="B3162" s="161"/>
      <c r="C3162" s="161">
        <v>88247</v>
      </c>
      <c r="D3162" s="161" t="str">
        <f>IF(B3162="SEPLAG",VLOOKUP(COMPOSIÇÕES!C3162,'MAPA COMPARATIVO'!A:B,2,FALSE),VLOOKUP(C3162,'NAO DESO'!A:B,2,0))</f>
        <v>AUXILIAR DE ELETRICISTA COM ENCARGOS COMPLEMENTARES</v>
      </c>
      <c r="E3162" s="247" t="s">
        <v>16</v>
      </c>
      <c r="F3162" s="248">
        <v>0.14000000000000001</v>
      </c>
      <c r="G3162" s="242" t="str">
        <f>IF(B3162="SEPLAG",VLOOKUP(CONCATENATE("MEDIANA - ",C3162),COTAÇÃO,5,FALSE),VLOOKUP($C3162,'NAO DESO'!$A:$D,4,))</f>
        <v>16,84</v>
      </c>
      <c r="H3162" s="242">
        <f>TRUNC(F3162*G3162,2)</f>
        <v>2.35</v>
      </c>
      <c r="I3162" s="54" t="str">
        <f>IF(B3162="SEPLAG",VLOOKUP(CONCATENATE("MEDIANA - ",C3162),COTAÇÃO,5,FALSE),VLOOKUP($C3162,DESON!$A:$D,4,))</f>
        <v>15,19</v>
      </c>
      <c r="J3162" s="209">
        <f>TRUNC(F3162*I3162,2)</f>
        <v>2.12</v>
      </c>
    </row>
    <row r="3163" spans="1:10" ht="26.25" customHeight="1">
      <c r="A3163" s="233" t="s">
        <v>188</v>
      </c>
      <c r="B3163" s="161" t="s">
        <v>14504</v>
      </c>
      <c r="C3163" s="161" t="s">
        <v>14387</v>
      </c>
      <c r="D3163" s="161" t="str">
        <f>IF(B3163="SEPLAG",VLOOKUP(COMPOSIÇÕES!C3163,'MAPA COMPARATIVO'!A:B,2,FALSE),VLOOKUP(C3163,'NAO DESO'!A:B,2,0))</f>
        <v>TAMPA DE FERRO FUNDIDO 300MM PARA CAIXA DE INSPEÇÃO DE ATERRAMENTO</v>
      </c>
      <c r="E3163" s="247" t="s">
        <v>183</v>
      </c>
      <c r="F3163" s="248">
        <v>1</v>
      </c>
      <c r="G3163" s="242">
        <f>IF(B3163="SEPLAG",VLOOKUP(CONCATENATE("MEDIANA - ",C3163),COTAÇÃO,5,FALSE),VLOOKUP($C3163,'NAO DESO'!$A:$D,4,))</f>
        <v>94.38</v>
      </c>
      <c r="H3163" s="242">
        <f>TRUNC(F3163*G3163,2)</f>
        <v>94.38</v>
      </c>
      <c r="I3163" s="54">
        <f>IF(B3163="SEPLAG",VLOOKUP(CONCATENATE("MEDIANA - ",C3163),COTAÇÃO,5,FALSE),VLOOKUP($C3163,DESON!$A:$D,4,))</f>
        <v>94.38</v>
      </c>
      <c r="J3163" s="209">
        <f>TRUNC(F3163*I3163,2)</f>
        <v>94.38</v>
      </c>
    </row>
    <row r="3164" spans="1:10" ht="15" customHeight="1">
      <c r="A3164" s="210" t="str">
        <f>CONCATENATE("TOTAL DO ITEM NÃO DESON. - ",C3158)</f>
        <v>TOTAL DO ITEM NÃO DESON. - SEPLAG SPDA 08</v>
      </c>
      <c r="B3164" s="432"/>
      <c r="C3164" s="432"/>
      <c r="D3164" s="432"/>
      <c r="E3164" s="430"/>
      <c r="F3164" s="1189"/>
      <c r="G3164" s="1189"/>
      <c r="H3164" s="1189">
        <f>SUM(H3161:H3163)</f>
        <v>99.789999999999992</v>
      </c>
      <c r="I3164" s="213"/>
      <c r="J3164" s="215"/>
    </row>
    <row r="3165" spans="1:10" ht="15.75" customHeight="1" thickBot="1">
      <c r="A3165" s="216" t="str">
        <f>CONCATENATE("TOTAL DO ITEM DESON. - ",C3158)</f>
        <v>TOTAL DO ITEM DESON. - SEPLAG SPDA 08</v>
      </c>
      <c r="B3165" s="1147"/>
      <c r="C3165" s="1147"/>
      <c r="D3165" s="1147"/>
      <c r="E3165" s="1218"/>
      <c r="F3165" s="1219"/>
      <c r="G3165" s="1219"/>
      <c r="H3165" s="1219"/>
      <c r="I3165" s="229"/>
      <c r="J3165" s="219">
        <f>SUM(J3161:J3164)</f>
        <v>99.22999999999999</v>
      </c>
    </row>
    <row r="3166" spans="1:10" ht="15" customHeight="1" thickBot="1">
      <c r="A3166" s="421"/>
      <c r="B3166" s="1138"/>
      <c r="C3166" s="1138"/>
      <c r="D3166" s="1138"/>
      <c r="E3166" s="1154"/>
      <c r="F3166" s="1196"/>
      <c r="G3166" s="1196"/>
      <c r="H3166" s="1196"/>
      <c r="I3166" s="423"/>
      <c r="J3166" s="422"/>
    </row>
    <row r="3167" spans="1:10" ht="38.25" customHeight="1">
      <c r="A3167" s="256"/>
      <c r="B3167" s="1152"/>
      <c r="C3167" s="1152" t="s">
        <v>330</v>
      </c>
      <c r="D3167" s="152" t="s">
        <v>408</v>
      </c>
      <c r="E3167" s="1152" t="s">
        <v>24</v>
      </c>
      <c r="F3167" s="1177" t="s">
        <v>25</v>
      </c>
      <c r="G3167" s="1178" t="s">
        <v>7011</v>
      </c>
      <c r="H3167" s="1179"/>
      <c r="I3167" s="200" t="s">
        <v>7012</v>
      </c>
      <c r="J3167" s="201"/>
    </row>
    <row r="3168" spans="1:10" ht="15" customHeight="1">
      <c r="A3168" s="257"/>
      <c r="B3168" s="430"/>
      <c r="C3168" s="430"/>
      <c r="D3168" s="430"/>
      <c r="E3168" s="430"/>
      <c r="F3168" s="1180"/>
      <c r="G3168" s="1180" t="s">
        <v>19</v>
      </c>
      <c r="H3168" s="1180" t="s">
        <v>20</v>
      </c>
      <c r="I3168" s="204" t="s">
        <v>19</v>
      </c>
      <c r="J3168" s="206" t="s">
        <v>20</v>
      </c>
    </row>
    <row r="3169" spans="1:10" ht="15" customHeight="1">
      <c r="A3169" s="233"/>
      <c r="B3169" s="161"/>
      <c r="C3169" s="161"/>
      <c r="D3169" s="161"/>
      <c r="E3169" s="247"/>
      <c r="F3169" s="248"/>
      <c r="G3169" s="248"/>
      <c r="H3169" s="248"/>
      <c r="I3169" s="214"/>
      <c r="J3169" s="227"/>
    </row>
    <row r="3170" spans="1:10" ht="15" customHeight="1">
      <c r="A3170" s="233" t="s">
        <v>245</v>
      </c>
      <c r="B3170" s="161"/>
      <c r="C3170" s="161">
        <v>88264</v>
      </c>
      <c r="D3170" s="161" t="str">
        <f>IF(B3170="SEPLAG",VLOOKUP(COMPOSIÇÕES!C3170,'MAPA COMPARATIVO'!A:B,2,FALSE),VLOOKUP(C3170,'NAO DESO'!A:B,2,0))</f>
        <v>ELETRICISTA COM ENCARGOS COMPLEMENTARES</v>
      </c>
      <c r="E3170" s="247" t="s">
        <v>16</v>
      </c>
      <c r="F3170" s="248">
        <v>0.13</v>
      </c>
      <c r="G3170" s="242" t="str">
        <f>IF(B3170="SEPLAG",VLOOKUP(CONCATENATE("MEDIANA - ",C3170),COTAÇÃO,5,FALSE),VLOOKUP($C3170,'NAO DESO'!$A:$D,4,))</f>
        <v>21,87</v>
      </c>
      <c r="H3170" s="242">
        <f>TRUNC(F3170*G3170,2)</f>
        <v>2.84</v>
      </c>
      <c r="I3170" s="54" t="str">
        <f>IF(B3170="SEPLAG",VLOOKUP(CONCATENATE("MEDIANA - ",C3170),COTAÇÃO,5,FALSE),VLOOKUP($C3170,DESON!$A:$D,4,))</f>
        <v>19,53</v>
      </c>
      <c r="J3170" s="209">
        <f>TRUNC(F3170*I3170,2)</f>
        <v>2.5299999999999998</v>
      </c>
    </row>
    <row r="3171" spans="1:10" ht="15" customHeight="1">
      <c r="A3171" s="233" t="s">
        <v>245</v>
      </c>
      <c r="B3171" s="161"/>
      <c r="C3171" s="161">
        <v>88247</v>
      </c>
      <c r="D3171" s="161" t="str">
        <f>IF(B3171="SEPLAG",VLOOKUP(COMPOSIÇÕES!C3171,'MAPA COMPARATIVO'!A:B,2,FALSE),VLOOKUP(C3171,'NAO DESO'!A:B,2,0))</f>
        <v>AUXILIAR DE ELETRICISTA COM ENCARGOS COMPLEMENTARES</v>
      </c>
      <c r="E3171" s="247" t="s">
        <v>16</v>
      </c>
      <c r="F3171" s="248">
        <v>0.13</v>
      </c>
      <c r="G3171" s="242" t="str">
        <f>IF(B3171="SEPLAG",VLOOKUP(CONCATENATE("MEDIANA - ",C3171),COTAÇÃO,5,FALSE),VLOOKUP($C3171,'NAO DESO'!$A:$D,4,))</f>
        <v>16,84</v>
      </c>
      <c r="H3171" s="242">
        <f>TRUNC(F3171*G3171,2)</f>
        <v>2.1800000000000002</v>
      </c>
      <c r="I3171" s="54" t="str">
        <f>IF(B3171="SEPLAG",VLOOKUP(CONCATENATE("MEDIANA - ",C3171),COTAÇÃO,5,FALSE),VLOOKUP($C3171,DESON!$A:$D,4,))</f>
        <v>15,19</v>
      </c>
      <c r="J3171" s="209">
        <f>TRUNC(F3171*I3171,2)</f>
        <v>1.97</v>
      </c>
    </row>
    <row r="3172" spans="1:10" ht="15" customHeight="1">
      <c r="A3172" s="233" t="s">
        <v>188</v>
      </c>
      <c r="B3172" s="161" t="s">
        <v>14504</v>
      </c>
      <c r="C3172" s="161" t="s">
        <v>14388</v>
      </c>
      <c r="D3172" s="161" t="str">
        <f>IF(B3172="SEPLAG",VLOOKUP(COMPOSIÇÕES!C3172,'MAPA COMPARATIVO'!A:B,2,FALSE),VLOOKUP(C3172,'NAO DESO'!A:B,2,0))</f>
        <v>CONECTOR DE MEDIÇÃO BIMETÁLICO TEL-565</v>
      </c>
      <c r="E3172" s="247" t="s">
        <v>183</v>
      </c>
      <c r="F3172" s="248">
        <v>1</v>
      </c>
      <c r="G3172" s="242">
        <f>IF(B3172="SEPLAG",VLOOKUP(CONCATENATE("MEDIANA - ",C3172),COTAÇÃO,5,FALSE),VLOOKUP($C3172,'NAO DESO'!$A:$D,4,))</f>
        <v>38.11</v>
      </c>
      <c r="H3172" s="242">
        <f>TRUNC(F3172*G3172,2)</f>
        <v>38.11</v>
      </c>
      <c r="I3172" s="54">
        <f>IF(B3172="SEPLAG",VLOOKUP(CONCATENATE("MEDIANA - ",C3172),COTAÇÃO,5,FALSE),VLOOKUP($C3172,DESON!$A:$D,4,))</f>
        <v>38.11</v>
      </c>
      <c r="J3172" s="209">
        <f>TRUNC(F3172*I3172,2)</f>
        <v>38.11</v>
      </c>
    </row>
    <row r="3173" spans="1:10" ht="15" customHeight="1">
      <c r="A3173" s="210" t="str">
        <f>CONCATENATE("TOTAL DO ITEM NÃO DESON. - ",C3167)</f>
        <v>TOTAL DO ITEM NÃO DESON. - SEPLAG SPDA 09</v>
      </c>
      <c r="B3173" s="432"/>
      <c r="C3173" s="432"/>
      <c r="D3173" s="432"/>
      <c r="E3173" s="430"/>
      <c r="F3173" s="1189"/>
      <c r="G3173" s="1189"/>
      <c r="H3173" s="1189">
        <f>SUM(H3170:H3172)</f>
        <v>43.129999999999995</v>
      </c>
      <c r="I3173" s="213"/>
      <c r="J3173" s="215"/>
    </row>
    <row r="3174" spans="1:10" ht="15.75" customHeight="1" thickBot="1">
      <c r="A3174" s="216" t="str">
        <f>CONCATENATE("TOTAL DO ITEM DESON. - ",C3167)</f>
        <v>TOTAL DO ITEM DESON. - SEPLAG SPDA 09</v>
      </c>
      <c r="B3174" s="1148"/>
      <c r="C3174" s="1148"/>
      <c r="D3174" s="1148"/>
      <c r="E3174" s="1142"/>
      <c r="F3174" s="1190"/>
      <c r="G3174" s="1190"/>
      <c r="H3174" s="1190"/>
      <c r="I3174" s="228"/>
      <c r="J3174" s="219">
        <f>SUM(J3170:J3173)</f>
        <v>42.61</v>
      </c>
    </row>
    <row r="3175" spans="1:10" ht="15" customHeight="1" thickBot="1">
      <c r="A3175" s="421"/>
      <c r="B3175" s="1138"/>
      <c r="C3175" s="1138"/>
      <c r="D3175" s="1138"/>
      <c r="E3175" s="1154"/>
      <c r="F3175" s="1196"/>
      <c r="G3175" s="1196"/>
      <c r="H3175" s="1196"/>
      <c r="I3175" s="423"/>
      <c r="J3175" s="422"/>
    </row>
    <row r="3176" spans="1:10" ht="38.25" customHeight="1">
      <c r="A3176" s="256"/>
      <c r="B3176" s="1152"/>
      <c r="C3176" s="1152" t="s">
        <v>331</v>
      </c>
      <c r="D3176" s="152" t="s">
        <v>409</v>
      </c>
      <c r="E3176" s="1152" t="s">
        <v>24</v>
      </c>
      <c r="F3176" s="1177" t="s">
        <v>25</v>
      </c>
      <c r="G3176" s="1178" t="s">
        <v>7011</v>
      </c>
      <c r="H3176" s="1179"/>
      <c r="I3176" s="200" t="s">
        <v>7012</v>
      </c>
      <c r="J3176" s="201"/>
    </row>
    <row r="3177" spans="1:10" ht="15" customHeight="1">
      <c r="A3177" s="257"/>
      <c r="B3177" s="430"/>
      <c r="C3177" s="430"/>
      <c r="D3177" s="430"/>
      <c r="E3177" s="430"/>
      <c r="F3177" s="1180"/>
      <c r="G3177" s="1180" t="s">
        <v>19</v>
      </c>
      <c r="H3177" s="1180" t="s">
        <v>20</v>
      </c>
      <c r="I3177" s="204" t="s">
        <v>19</v>
      </c>
      <c r="J3177" s="206" t="s">
        <v>20</v>
      </c>
    </row>
    <row r="3178" spans="1:10" ht="15" customHeight="1">
      <c r="A3178" s="233"/>
      <c r="B3178" s="161"/>
      <c r="C3178" s="161"/>
      <c r="D3178" s="161"/>
      <c r="E3178" s="247"/>
      <c r="F3178" s="248"/>
      <c r="G3178" s="248"/>
      <c r="H3178" s="248"/>
      <c r="I3178" s="214"/>
      <c r="J3178" s="227"/>
    </row>
    <row r="3179" spans="1:10" ht="15" customHeight="1">
      <c r="A3179" s="233" t="s">
        <v>245</v>
      </c>
      <c r="B3179" s="161"/>
      <c r="C3179" s="161">
        <v>88264</v>
      </c>
      <c r="D3179" s="161" t="str">
        <f>IF(B3179="SEPLAG",VLOOKUP(COMPOSIÇÕES!C3179,'MAPA COMPARATIVO'!A:B,2,FALSE),VLOOKUP(C3179,'NAO DESO'!A:B,2,0))</f>
        <v>ELETRICISTA COM ENCARGOS COMPLEMENTARES</v>
      </c>
      <c r="E3179" s="247" t="s">
        <v>16</v>
      </c>
      <c r="F3179" s="248">
        <v>0.3</v>
      </c>
      <c r="G3179" s="242" t="str">
        <f>IF(B3179="SEPLAG",VLOOKUP(CONCATENATE("MEDIANA - ",C3179),COTAÇÃO,5,FALSE),VLOOKUP($C3179,'NAO DESO'!$A:$D,4,))</f>
        <v>21,87</v>
      </c>
      <c r="H3179" s="242">
        <f>TRUNC(F3179*G3179,2)</f>
        <v>6.56</v>
      </c>
      <c r="I3179" s="54" t="str">
        <f>IF(B3179="SEPLAG",VLOOKUP(CONCATENATE("MEDIANA - ",C3179),COTAÇÃO,5,FALSE),VLOOKUP($C3179,DESON!$A:$D,4,))</f>
        <v>19,53</v>
      </c>
      <c r="J3179" s="209">
        <f>TRUNC(F3179*I3179,2)</f>
        <v>5.85</v>
      </c>
    </row>
    <row r="3180" spans="1:10" ht="15" customHeight="1">
      <c r="A3180" s="233" t="s">
        <v>245</v>
      </c>
      <c r="B3180" s="161"/>
      <c r="C3180" s="161">
        <v>88247</v>
      </c>
      <c r="D3180" s="161" t="str">
        <f>IF(B3180="SEPLAG",VLOOKUP(COMPOSIÇÕES!C3180,'MAPA COMPARATIVO'!A:B,2,FALSE),VLOOKUP(C3180,'NAO DESO'!A:B,2,0))</f>
        <v>AUXILIAR DE ELETRICISTA COM ENCARGOS COMPLEMENTARES</v>
      </c>
      <c r="E3180" s="247" t="s">
        <v>16</v>
      </c>
      <c r="F3180" s="248">
        <v>0.3</v>
      </c>
      <c r="G3180" s="242" t="str">
        <f>IF(B3180="SEPLAG",VLOOKUP(CONCATENATE("MEDIANA - ",C3180),COTAÇÃO,5,FALSE),VLOOKUP($C3180,'NAO DESO'!$A:$D,4,))</f>
        <v>16,84</v>
      </c>
      <c r="H3180" s="242">
        <f>TRUNC(F3180*G3180,2)</f>
        <v>5.05</v>
      </c>
      <c r="I3180" s="54" t="str">
        <f>IF(B3180="SEPLAG",VLOOKUP(CONCATENATE("MEDIANA - ",C3180),COTAÇÃO,5,FALSE),VLOOKUP($C3180,DESON!$A:$D,4,))</f>
        <v>15,19</v>
      </c>
      <c r="J3180" s="209">
        <f>TRUNC(F3180*I3180,2)</f>
        <v>4.55</v>
      </c>
    </row>
    <row r="3181" spans="1:10" ht="15" customHeight="1">
      <c r="A3181" s="233" t="s">
        <v>188</v>
      </c>
      <c r="B3181" s="161" t="s">
        <v>14504</v>
      </c>
      <c r="C3181" s="161" t="s">
        <v>14389</v>
      </c>
      <c r="D3181" s="161" t="str">
        <f>IF(B3181="SEPLAG",VLOOKUP(COMPOSIÇÕES!C3181,'MAPA COMPARATIVO'!A:B,2,FALSE),VLOOKUP(C3181,'NAO DESO'!A:B,2,0))</f>
        <v>CAIXA DE INSPEÇÃO SUSPENSA PVC TEL-541</v>
      </c>
      <c r="E3181" s="247" t="s">
        <v>183</v>
      </c>
      <c r="F3181" s="248">
        <v>1</v>
      </c>
      <c r="G3181" s="242">
        <f>IF(B3181="SEPLAG",VLOOKUP(CONCATENATE("MEDIANA - ",C3181),COTAÇÃO,5,FALSE),VLOOKUP($C3181,'NAO DESO'!$A:$D,4,))</f>
        <v>26.78</v>
      </c>
      <c r="H3181" s="242">
        <f>TRUNC(F3181*G3181,2)</f>
        <v>26.78</v>
      </c>
      <c r="I3181" s="54">
        <f>IF(B3181="SEPLAG",VLOOKUP(CONCATENATE("MEDIANA - ",C3181),COTAÇÃO,5,FALSE),VLOOKUP($C3181,DESON!$A:$D,4,))</f>
        <v>26.78</v>
      </c>
      <c r="J3181" s="209">
        <f>TRUNC(F3181*I3181,2)</f>
        <v>26.78</v>
      </c>
    </row>
    <row r="3182" spans="1:10" ht="15" customHeight="1">
      <c r="A3182" s="210" t="str">
        <f>CONCATENATE("TOTAL DO ITEM NÃO DESON. - ",C3176)</f>
        <v>TOTAL DO ITEM NÃO DESON. - SEPLAG SPDA 10</v>
      </c>
      <c r="B3182" s="432"/>
      <c r="C3182" s="432"/>
      <c r="D3182" s="432"/>
      <c r="E3182" s="430"/>
      <c r="F3182" s="1189"/>
      <c r="G3182" s="1189"/>
      <c r="H3182" s="1189">
        <f>SUM(H3179:H3181)</f>
        <v>38.39</v>
      </c>
      <c r="I3182" s="213"/>
      <c r="J3182" s="215"/>
    </row>
    <row r="3183" spans="1:10" ht="15.75" customHeight="1" thickBot="1">
      <c r="A3183" s="216" t="str">
        <f>CONCATENATE("TOTAL DO ITEM DESON. - ",C3176)</f>
        <v>TOTAL DO ITEM DESON. - SEPLAG SPDA 10</v>
      </c>
      <c r="B3183" s="1147"/>
      <c r="C3183" s="1147"/>
      <c r="D3183" s="1147"/>
      <c r="E3183" s="1218"/>
      <c r="F3183" s="1219"/>
      <c r="G3183" s="1219"/>
      <c r="H3183" s="1219"/>
      <c r="I3183" s="229"/>
      <c r="J3183" s="219">
        <f>SUM(J3179:J3182)</f>
        <v>37.18</v>
      </c>
    </row>
    <row r="3184" spans="1:10" ht="15" customHeight="1" thickBot="1">
      <c r="A3184" s="421"/>
      <c r="B3184" s="1138"/>
      <c r="C3184" s="1138"/>
      <c r="D3184" s="1138"/>
      <c r="E3184" s="1154"/>
      <c r="F3184" s="1196"/>
      <c r="G3184" s="1196"/>
      <c r="H3184" s="1196"/>
      <c r="I3184" s="423"/>
      <c r="J3184" s="422"/>
    </row>
    <row r="3185" spans="1:10" ht="38.25" customHeight="1">
      <c r="A3185" s="256"/>
      <c r="B3185" s="1152"/>
      <c r="C3185" s="1152" t="s">
        <v>332</v>
      </c>
      <c r="D3185" s="152" t="s">
        <v>410</v>
      </c>
      <c r="E3185" s="1152" t="s">
        <v>24</v>
      </c>
      <c r="F3185" s="1177" t="s">
        <v>25</v>
      </c>
      <c r="G3185" s="1178" t="s">
        <v>7011</v>
      </c>
      <c r="H3185" s="1179"/>
      <c r="I3185" s="200" t="s">
        <v>7012</v>
      </c>
      <c r="J3185" s="201"/>
    </row>
    <row r="3186" spans="1:10" ht="15" customHeight="1">
      <c r="A3186" s="257"/>
      <c r="B3186" s="430"/>
      <c r="C3186" s="430"/>
      <c r="D3186" s="430"/>
      <c r="E3186" s="430"/>
      <c r="F3186" s="1180"/>
      <c r="G3186" s="1180" t="s">
        <v>19</v>
      </c>
      <c r="H3186" s="1180" t="s">
        <v>20</v>
      </c>
      <c r="I3186" s="204" t="s">
        <v>19</v>
      </c>
      <c r="J3186" s="206" t="s">
        <v>20</v>
      </c>
    </row>
    <row r="3187" spans="1:10" ht="15" customHeight="1">
      <c r="A3187" s="233"/>
      <c r="B3187" s="161"/>
      <c r="C3187" s="161"/>
      <c r="D3187" s="161"/>
      <c r="E3187" s="247"/>
      <c r="F3187" s="248"/>
      <c r="G3187" s="248"/>
      <c r="H3187" s="248"/>
      <c r="I3187" s="214"/>
      <c r="J3187" s="227"/>
    </row>
    <row r="3188" spans="1:10" ht="15" customHeight="1">
      <c r="A3188" s="233" t="s">
        <v>245</v>
      </c>
      <c r="B3188" s="161"/>
      <c r="C3188" s="161">
        <v>88264</v>
      </c>
      <c r="D3188" s="161" t="str">
        <f>IF(B3188="SEPLAG",VLOOKUP(COMPOSIÇÕES!C3188,'MAPA COMPARATIVO'!A:B,2,FALSE),VLOOKUP(C3188,'NAO DESO'!A:B,2,0))</f>
        <v>ELETRICISTA COM ENCARGOS COMPLEMENTARES</v>
      </c>
      <c r="E3188" s="247" t="s">
        <v>16</v>
      </c>
      <c r="F3188" s="248">
        <v>0.2</v>
      </c>
      <c r="G3188" s="242" t="str">
        <f>IF(B3188="SEPLAG",VLOOKUP(CONCATENATE("MEDIANA - ",C3188),COTAÇÃO,5,FALSE),VLOOKUP($C3188,'NAO DESO'!$A:$D,4,))</f>
        <v>21,87</v>
      </c>
      <c r="H3188" s="242">
        <f>TRUNC(F3188*G3188,2)</f>
        <v>4.37</v>
      </c>
      <c r="I3188" s="54" t="str">
        <f>IF(B3188="SEPLAG",VLOOKUP(CONCATENATE("MEDIANA - ",C3188),COTAÇÃO,5,FALSE),VLOOKUP($C3188,DESON!$A:$D,4,))</f>
        <v>19,53</v>
      </c>
      <c r="J3188" s="209">
        <f>TRUNC(F3188*I3188,2)</f>
        <v>3.9</v>
      </c>
    </row>
    <row r="3189" spans="1:10" ht="15" customHeight="1">
      <c r="A3189" s="233" t="s">
        <v>245</v>
      </c>
      <c r="B3189" s="161"/>
      <c r="C3189" s="161">
        <v>88247</v>
      </c>
      <c r="D3189" s="161" t="str">
        <f>IF(B3189="SEPLAG",VLOOKUP(COMPOSIÇÕES!C3189,'MAPA COMPARATIVO'!A:B,2,FALSE),VLOOKUP(C3189,'NAO DESO'!A:B,2,0))</f>
        <v>AUXILIAR DE ELETRICISTA COM ENCARGOS COMPLEMENTARES</v>
      </c>
      <c r="E3189" s="247" t="s">
        <v>16</v>
      </c>
      <c r="F3189" s="248">
        <v>0.2</v>
      </c>
      <c r="G3189" s="242" t="str">
        <f>IF(B3189="SEPLAG",VLOOKUP(CONCATENATE("MEDIANA - ",C3189),COTAÇÃO,5,FALSE),VLOOKUP($C3189,'NAO DESO'!$A:$D,4,))</f>
        <v>16,84</v>
      </c>
      <c r="H3189" s="242">
        <f>TRUNC(F3189*G3189,2)</f>
        <v>3.36</v>
      </c>
      <c r="I3189" s="54" t="str">
        <f>IF(B3189="SEPLAG",VLOOKUP(CONCATENATE("MEDIANA - ",C3189),COTAÇÃO,5,FALSE),VLOOKUP($C3189,DESON!$A:$D,4,))</f>
        <v>15,19</v>
      </c>
      <c r="J3189" s="209">
        <f>TRUNC(F3189*I3189,2)</f>
        <v>3.03</v>
      </c>
    </row>
    <row r="3190" spans="1:10" ht="26.25" customHeight="1">
      <c r="A3190" s="233" t="s">
        <v>39</v>
      </c>
      <c r="B3190" s="161"/>
      <c r="C3190" s="161">
        <v>11270</v>
      </c>
      <c r="D3190" s="161" t="str">
        <f>IF(B3190="SEPLAG",VLOOKUP(COMPOSIÇÕES!C3190,'MAPA COMPARATIVO'!A:B,2,FALSE),VLOOKUP(C3190,'NAO DESO'!A:B,2,0))</f>
        <v>ABRACADEIRA DE LATAO PARA FIXACAO DE CABO PARA-RAIO, DIMENSOES 32 X 24 X 24 MM</v>
      </c>
      <c r="E3190" s="247" t="s">
        <v>427</v>
      </c>
      <c r="F3190" s="248">
        <v>1</v>
      </c>
      <c r="G3190" s="242">
        <f>IF(B3190="SEPLAG",VLOOKUP(CONCATENATE("MEDIANA - ",C3190),COTAÇÃO,5,FALSE),VLOOKUP($C3190,'NAO DESO'!$A:$D,4,))</f>
        <v>2.96</v>
      </c>
      <c r="H3190" s="242">
        <f>TRUNC(F3190*G3190,2)</f>
        <v>2.96</v>
      </c>
      <c r="I3190" s="54" t="str">
        <f>IF(B3190="SEPLAG",VLOOKUP(CONCATENATE("MEDIANA - ",C3190),COTAÇÃO,5,FALSE),VLOOKUP($C3190,DESON!$A:$D,4,))</f>
        <v>2,96</v>
      </c>
      <c r="J3190" s="209">
        <f>TRUNC(F3190*I3190,2)</f>
        <v>2.96</v>
      </c>
    </row>
    <row r="3191" spans="1:10" ht="15" customHeight="1">
      <c r="A3191" s="210" t="str">
        <f>CONCATENATE("TOTAL DO ITEM NÃO DESON. - ",C3185)</f>
        <v>TOTAL DO ITEM NÃO DESON. - SEPLAG SPDA 11</v>
      </c>
      <c r="B3191" s="432"/>
      <c r="C3191" s="432"/>
      <c r="D3191" s="432"/>
      <c r="E3191" s="430"/>
      <c r="F3191" s="1189"/>
      <c r="G3191" s="1189"/>
      <c r="H3191" s="1189">
        <f>SUM(H3188:H3190)</f>
        <v>10.690000000000001</v>
      </c>
      <c r="I3191" s="213"/>
      <c r="J3191" s="215"/>
    </row>
    <row r="3192" spans="1:10" ht="15.75" customHeight="1" thickBot="1">
      <c r="A3192" s="216" t="str">
        <f>CONCATENATE("TOTAL DO ITEM DESON. - ",C3185)</f>
        <v>TOTAL DO ITEM DESON. - SEPLAG SPDA 11</v>
      </c>
      <c r="B3192" s="1147"/>
      <c r="C3192" s="1147"/>
      <c r="D3192" s="1147"/>
      <c r="E3192" s="1218"/>
      <c r="F3192" s="1219"/>
      <c r="G3192" s="1219"/>
      <c r="H3192" s="1219"/>
      <c r="I3192" s="229"/>
      <c r="J3192" s="219">
        <f>SUM(J3188:J3191)</f>
        <v>9.89</v>
      </c>
    </row>
    <row r="3193" spans="1:10" ht="15" customHeight="1" thickBot="1">
      <c r="A3193" s="421"/>
      <c r="B3193" s="1138"/>
      <c r="C3193" s="1138"/>
      <c r="D3193" s="1138"/>
      <c r="E3193" s="1154"/>
      <c r="F3193" s="1196"/>
      <c r="G3193" s="1196"/>
      <c r="H3193" s="1196"/>
      <c r="I3193" s="423"/>
      <c r="J3193" s="422"/>
    </row>
    <row r="3194" spans="1:10" ht="38.25" customHeight="1">
      <c r="A3194" s="256"/>
      <c r="B3194" s="1152"/>
      <c r="C3194" s="1152" t="s">
        <v>333</v>
      </c>
      <c r="D3194" s="152" t="s">
        <v>411</v>
      </c>
      <c r="E3194" s="1152" t="s">
        <v>24</v>
      </c>
      <c r="F3194" s="1177" t="s">
        <v>25</v>
      </c>
      <c r="G3194" s="1178" t="s">
        <v>7011</v>
      </c>
      <c r="H3194" s="1179"/>
      <c r="I3194" s="200" t="s">
        <v>7012</v>
      </c>
      <c r="J3194" s="201"/>
    </row>
    <row r="3195" spans="1:10" ht="15" customHeight="1">
      <c r="A3195" s="257"/>
      <c r="B3195" s="430"/>
      <c r="C3195" s="430"/>
      <c r="D3195" s="430"/>
      <c r="E3195" s="430"/>
      <c r="F3195" s="1180"/>
      <c r="G3195" s="1180" t="s">
        <v>19</v>
      </c>
      <c r="H3195" s="1180" t="s">
        <v>20</v>
      </c>
      <c r="I3195" s="204" t="s">
        <v>19</v>
      </c>
      <c r="J3195" s="206" t="s">
        <v>20</v>
      </c>
    </row>
    <row r="3196" spans="1:10" ht="15" customHeight="1">
      <c r="A3196" s="233"/>
      <c r="B3196" s="161"/>
      <c r="C3196" s="161"/>
      <c r="D3196" s="161"/>
      <c r="E3196" s="247"/>
      <c r="F3196" s="248"/>
      <c r="G3196" s="248"/>
      <c r="H3196" s="248"/>
      <c r="I3196" s="214"/>
      <c r="J3196" s="227"/>
    </row>
    <row r="3197" spans="1:10" ht="15" customHeight="1">
      <c r="A3197" s="233" t="s">
        <v>245</v>
      </c>
      <c r="B3197" s="161"/>
      <c r="C3197" s="161">
        <v>88264</v>
      </c>
      <c r="D3197" s="161" t="str">
        <f>IF(B3197="SEPLAG",VLOOKUP(COMPOSIÇÕES!C3197,'MAPA COMPARATIVO'!A:B,2,FALSE),VLOOKUP(C3197,'NAO DESO'!A:B,2,0))</f>
        <v>ELETRICISTA COM ENCARGOS COMPLEMENTARES</v>
      </c>
      <c r="E3197" s="247" t="s">
        <v>16</v>
      </c>
      <c r="F3197" s="248">
        <v>0.1</v>
      </c>
      <c r="G3197" s="242" t="str">
        <f>IF(B3197="SEPLAG",VLOOKUP(CONCATENATE("MEDIANA - ",C3197),COTAÇÃO,5,FALSE),VLOOKUP($C3197,'NAO DESO'!$A:$D,4,))</f>
        <v>21,87</v>
      </c>
      <c r="H3197" s="242">
        <f>TRUNC(F3197*G3197,2)</f>
        <v>2.1800000000000002</v>
      </c>
      <c r="I3197" s="54" t="str">
        <f>IF(B3197="SEPLAG",VLOOKUP(CONCATENATE("MEDIANA - ",C3197),COTAÇÃO,5,FALSE),VLOOKUP($C3197,DESON!$A:$D,4,))</f>
        <v>19,53</v>
      </c>
      <c r="J3197" s="209">
        <f>TRUNC(F3197*I3197,2)</f>
        <v>1.95</v>
      </c>
    </row>
    <row r="3198" spans="1:10" ht="15" customHeight="1">
      <c r="A3198" s="233" t="s">
        <v>245</v>
      </c>
      <c r="B3198" s="161"/>
      <c r="C3198" s="161">
        <v>88247</v>
      </c>
      <c r="D3198" s="161" t="str">
        <f>IF(B3198="SEPLAG",VLOOKUP(COMPOSIÇÕES!C3198,'MAPA COMPARATIVO'!A:B,2,FALSE),VLOOKUP(C3198,'NAO DESO'!A:B,2,0))</f>
        <v>AUXILIAR DE ELETRICISTA COM ENCARGOS COMPLEMENTARES</v>
      </c>
      <c r="E3198" s="247" t="s">
        <v>16</v>
      </c>
      <c r="F3198" s="248">
        <v>0.1</v>
      </c>
      <c r="G3198" s="242" t="str">
        <f>IF(B3198="SEPLAG",VLOOKUP(CONCATENATE("MEDIANA - ",C3198),COTAÇÃO,5,FALSE),VLOOKUP($C3198,'NAO DESO'!$A:$D,4,))</f>
        <v>16,84</v>
      </c>
      <c r="H3198" s="242">
        <f>TRUNC(F3198*G3198,2)</f>
        <v>1.68</v>
      </c>
      <c r="I3198" s="54" t="str">
        <f>IF(B3198="SEPLAG",VLOOKUP(CONCATENATE("MEDIANA - ",C3198),COTAÇÃO,5,FALSE),VLOOKUP($C3198,DESON!$A:$D,4,))</f>
        <v>15,19</v>
      </c>
      <c r="J3198" s="209">
        <f>TRUNC(F3198*I3198,2)</f>
        <v>1.51</v>
      </c>
    </row>
    <row r="3199" spans="1:10" ht="15" customHeight="1">
      <c r="A3199" s="233" t="s">
        <v>188</v>
      </c>
      <c r="B3199" s="161" t="s">
        <v>14504</v>
      </c>
      <c r="C3199" s="161" t="s">
        <v>14390</v>
      </c>
      <c r="D3199" s="161" t="str">
        <f>IF(B3199="SEPLAG",VLOOKUP(COMPOSIÇÕES!C3199,'MAPA COMPARATIVO'!A:B,2,FALSE),VLOOKUP(C3199,'NAO DESO'!A:B,2,0))</f>
        <v>TERMINAL AEREO BASE PLANA GALVANIZADO A QUENTE - BARRA CHATA</v>
      </c>
      <c r="E3199" s="247" t="s">
        <v>183</v>
      </c>
      <c r="F3199" s="248">
        <v>1</v>
      </c>
      <c r="G3199" s="242">
        <f>IF(B3199="SEPLAG",VLOOKUP(CONCATENATE("MEDIANA - ",C3199),COTAÇÃO,5,FALSE),VLOOKUP($C3199,'NAO DESO'!$A:$D,4,))</f>
        <v>11.47</v>
      </c>
      <c r="H3199" s="242">
        <f>TRUNC(F3199*G3199,2)</f>
        <v>11.47</v>
      </c>
      <c r="I3199" s="54">
        <f>IF(B3199="SEPLAG",VLOOKUP(CONCATENATE("MEDIANA - ",C3199),COTAÇÃO,5,FALSE),VLOOKUP($C3199,DESON!$A:$D,4,))</f>
        <v>11.47</v>
      </c>
      <c r="J3199" s="209">
        <f>TRUNC(F3199*I3199,2)</f>
        <v>11.47</v>
      </c>
    </row>
    <row r="3200" spans="1:10" ht="15" customHeight="1">
      <c r="A3200" s="210" t="str">
        <f>CONCATENATE("TOTAL DO ITEM NÃO DESON. - ",C3194)</f>
        <v>TOTAL DO ITEM NÃO DESON. - SEPLAG SPDA 12</v>
      </c>
      <c r="B3200" s="432"/>
      <c r="C3200" s="432"/>
      <c r="D3200" s="432"/>
      <c r="E3200" s="430"/>
      <c r="F3200" s="1189"/>
      <c r="G3200" s="1189"/>
      <c r="H3200" s="1189">
        <f>SUM(H3197:H3199)</f>
        <v>15.330000000000002</v>
      </c>
      <c r="I3200" s="213"/>
      <c r="J3200" s="215"/>
    </row>
    <row r="3201" spans="1:10" ht="15.75" customHeight="1" thickBot="1">
      <c r="A3201" s="216" t="str">
        <f>CONCATENATE("TOTAL DO ITEM DESON. - ",C3194)</f>
        <v>TOTAL DO ITEM DESON. - SEPLAG SPDA 12</v>
      </c>
      <c r="B3201" s="1148"/>
      <c r="C3201" s="1148"/>
      <c r="D3201" s="1148"/>
      <c r="E3201" s="1142"/>
      <c r="F3201" s="1190"/>
      <c r="G3201" s="1190"/>
      <c r="H3201" s="1190"/>
      <c r="I3201" s="228"/>
      <c r="J3201" s="219">
        <f>SUM(J3197:J3200)</f>
        <v>14.93</v>
      </c>
    </row>
    <row r="3202" spans="1:10" ht="15" customHeight="1" thickBot="1">
      <c r="A3202" s="421"/>
      <c r="B3202" s="1138"/>
      <c r="C3202" s="1138"/>
      <c r="D3202" s="1138"/>
      <c r="E3202" s="1154"/>
      <c r="F3202" s="1196"/>
      <c r="G3202" s="1196"/>
      <c r="H3202" s="1196"/>
      <c r="I3202" s="423"/>
      <c r="J3202" s="422"/>
    </row>
    <row r="3203" spans="1:10" ht="38.25" customHeight="1">
      <c r="A3203" s="256"/>
      <c r="B3203" s="1152"/>
      <c r="C3203" s="1152" t="s">
        <v>334</v>
      </c>
      <c r="D3203" s="152" t="s">
        <v>7746</v>
      </c>
      <c r="E3203" s="1152" t="s">
        <v>24</v>
      </c>
      <c r="F3203" s="1177" t="s">
        <v>25</v>
      </c>
      <c r="G3203" s="1178" t="s">
        <v>7011</v>
      </c>
      <c r="H3203" s="1179"/>
      <c r="I3203" s="200" t="s">
        <v>7012</v>
      </c>
      <c r="J3203" s="201"/>
    </row>
    <row r="3204" spans="1:10" ht="15" customHeight="1">
      <c r="A3204" s="257"/>
      <c r="B3204" s="430"/>
      <c r="C3204" s="430"/>
      <c r="D3204" s="430"/>
      <c r="E3204" s="430"/>
      <c r="F3204" s="1180"/>
      <c r="G3204" s="1180" t="s">
        <v>19</v>
      </c>
      <c r="H3204" s="1180" t="s">
        <v>20</v>
      </c>
      <c r="I3204" s="204" t="s">
        <v>19</v>
      </c>
      <c r="J3204" s="206" t="s">
        <v>20</v>
      </c>
    </row>
    <row r="3205" spans="1:10" ht="15" customHeight="1">
      <c r="A3205" s="233"/>
      <c r="B3205" s="161"/>
      <c r="C3205" s="161"/>
      <c r="D3205" s="161"/>
      <c r="E3205" s="247"/>
      <c r="F3205" s="248"/>
      <c r="G3205" s="248"/>
      <c r="H3205" s="248"/>
      <c r="I3205" s="214"/>
      <c r="J3205" s="227"/>
    </row>
    <row r="3206" spans="1:10" ht="15" customHeight="1">
      <c r="A3206" s="233" t="s">
        <v>245</v>
      </c>
      <c r="B3206" s="161"/>
      <c r="C3206" s="161">
        <v>88264</v>
      </c>
      <c r="D3206" s="161" t="str">
        <f>IF(B3206="SEPLAG",VLOOKUP(COMPOSIÇÕES!C3206,'MAPA COMPARATIVO'!A:B,2,FALSE),VLOOKUP(C3206,'NAO DESO'!A:B,2,0))</f>
        <v>ELETRICISTA COM ENCARGOS COMPLEMENTARES</v>
      </c>
      <c r="E3206" s="247" t="s">
        <v>16</v>
      </c>
      <c r="F3206" s="248">
        <v>1</v>
      </c>
      <c r="G3206" s="242" t="str">
        <f>IF(B3206="SEPLAG",VLOOKUP(CONCATENATE("MEDIANA - ",C3206),COTAÇÃO,5,FALSE),VLOOKUP($C3206,'NAO DESO'!$A:$D,4,))</f>
        <v>21,87</v>
      </c>
      <c r="H3206" s="242">
        <f>TRUNC(F3206*G3206,2)</f>
        <v>21.87</v>
      </c>
      <c r="I3206" s="54" t="str">
        <f>IF(B3206="SEPLAG",VLOOKUP(CONCATENATE("MEDIANA - ",C3206),COTAÇÃO,5,FALSE),VLOOKUP($C3206,DESON!$A:$D,4,))</f>
        <v>19,53</v>
      </c>
      <c r="J3206" s="209">
        <f>TRUNC(F3206*I3206,2)</f>
        <v>19.53</v>
      </c>
    </row>
    <row r="3207" spans="1:10" ht="15" customHeight="1">
      <c r="A3207" s="233" t="s">
        <v>245</v>
      </c>
      <c r="B3207" s="161"/>
      <c r="C3207" s="161">
        <v>88247</v>
      </c>
      <c r="D3207" s="161" t="str">
        <f>IF(B3207="SEPLAG",VLOOKUP(COMPOSIÇÕES!C3207,'MAPA COMPARATIVO'!A:B,2,FALSE),VLOOKUP(C3207,'NAO DESO'!A:B,2,0))</f>
        <v>AUXILIAR DE ELETRICISTA COM ENCARGOS COMPLEMENTARES</v>
      </c>
      <c r="E3207" s="247" t="s">
        <v>16</v>
      </c>
      <c r="F3207" s="248">
        <v>1</v>
      </c>
      <c r="G3207" s="242" t="str">
        <f>IF(B3207="SEPLAG",VLOOKUP(CONCATENATE("MEDIANA - ",C3207),COTAÇÃO,5,FALSE),VLOOKUP($C3207,'NAO DESO'!$A:$D,4,))</f>
        <v>16,84</v>
      </c>
      <c r="H3207" s="242">
        <f>TRUNC(F3207*G3207,2)</f>
        <v>16.84</v>
      </c>
      <c r="I3207" s="54" t="str">
        <f>IF(B3207="SEPLAG",VLOOKUP(CONCATENATE("MEDIANA - ",C3207),COTAÇÃO,5,FALSE),VLOOKUP($C3207,DESON!$A:$D,4,))</f>
        <v>15,19</v>
      </c>
      <c r="J3207" s="209">
        <f>TRUNC(F3207*I3207,2)</f>
        <v>15.19</v>
      </c>
    </row>
    <row r="3208" spans="1:10" ht="15" customHeight="1">
      <c r="A3208" s="233" t="s">
        <v>188</v>
      </c>
      <c r="B3208" s="161" t="s">
        <v>14504</v>
      </c>
      <c r="C3208" s="161" t="s">
        <v>14391</v>
      </c>
      <c r="D3208" s="161" t="str">
        <f>IF(B3208="SEPLAG",VLOOKUP(COMPOSIÇÕES!C3208,'MAPA COMPARATIVO'!A:B,2,FALSE),VLOOKUP(C3208,'NAO DESO'!A:B,2,0))</f>
        <v>CAIXA DE EQUIPOTENCIALIZAÇÃO 40X40X10 CM</v>
      </c>
      <c r="E3208" s="247" t="s">
        <v>183</v>
      </c>
      <c r="F3208" s="248">
        <v>1</v>
      </c>
      <c r="G3208" s="242">
        <f>IF(B3208="SEPLAG",VLOOKUP(CONCATENATE("MEDIANA - ",C3208),COTAÇÃO,5,FALSE),VLOOKUP($C3208,'NAO DESO'!$A:$D,4,))</f>
        <v>647.41</v>
      </c>
      <c r="H3208" s="242">
        <f>TRUNC(F3208*G3208,2)</f>
        <v>647.41</v>
      </c>
      <c r="I3208" s="54">
        <f>IF(B3208="SEPLAG",VLOOKUP(CONCATENATE("MEDIANA - ",C3208),COTAÇÃO,5,FALSE),VLOOKUP($C3208,DESON!$A:$D,4,))</f>
        <v>647.41</v>
      </c>
      <c r="J3208" s="209">
        <f>TRUNC(F3208*I3208,2)</f>
        <v>647.41</v>
      </c>
    </row>
    <row r="3209" spans="1:10" ht="15" customHeight="1">
      <c r="A3209" s="210" t="str">
        <f>CONCATENATE("TOTAL DO ITEM NÃO DESON. - ",C3203)</f>
        <v>TOTAL DO ITEM NÃO DESON. - SEPLAG SPDA 13</v>
      </c>
      <c r="B3209" s="432"/>
      <c r="C3209" s="432"/>
      <c r="D3209" s="432"/>
      <c r="E3209" s="430"/>
      <c r="F3209" s="1189"/>
      <c r="G3209" s="1189"/>
      <c r="H3209" s="1189">
        <f>SUM(H3206:H3208)</f>
        <v>686.12</v>
      </c>
      <c r="I3209" s="213"/>
      <c r="J3209" s="215"/>
    </row>
    <row r="3210" spans="1:10" ht="15.75" customHeight="1" thickBot="1">
      <c r="A3210" s="216" t="str">
        <f>CONCATENATE("TOTAL DO ITEM DESON. - ",C3203)</f>
        <v>TOTAL DO ITEM DESON. - SEPLAG SPDA 13</v>
      </c>
      <c r="B3210" s="1147"/>
      <c r="C3210" s="1147"/>
      <c r="D3210" s="1147"/>
      <c r="E3210" s="1218"/>
      <c r="F3210" s="1219"/>
      <c r="G3210" s="1219"/>
      <c r="H3210" s="1219"/>
      <c r="I3210" s="229"/>
      <c r="J3210" s="219">
        <f>SUM(J3206:J3209)</f>
        <v>682.13</v>
      </c>
    </row>
    <row r="3211" spans="1:10" ht="15" customHeight="1" thickBot="1">
      <c r="A3211" s="421"/>
      <c r="B3211" s="1138"/>
      <c r="C3211" s="1138"/>
      <c r="D3211" s="1138"/>
      <c r="E3211" s="1154"/>
      <c r="F3211" s="1196"/>
      <c r="G3211" s="1196"/>
      <c r="H3211" s="1196"/>
      <c r="I3211" s="423"/>
      <c r="J3211" s="422"/>
    </row>
    <row r="3212" spans="1:10" ht="38.25" customHeight="1">
      <c r="A3212" s="256"/>
      <c r="B3212" s="1152"/>
      <c r="C3212" s="1152" t="s">
        <v>336</v>
      </c>
      <c r="D3212" s="152" t="s">
        <v>412</v>
      </c>
      <c r="E3212" s="1152" t="s">
        <v>24</v>
      </c>
      <c r="F3212" s="1177" t="s">
        <v>25</v>
      </c>
      <c r="G3212" s="1178" t="s">
        <v>7011</v>
      </c>
      <c r="H3212" s="1179"/>
      <c r="I3212" s="200" t="s">
        <v>7012</v>
      </c>
      <c r="J3212" s="201"/>
    </row>
    <row r="3213" spans="1:10" ht="15" customHeight="1">
      <c r="A3213" s="257"/>
      <c r="B3213" s="430"/>
      <c r="C3213" s="430"/>
      <c r="D3213" s="430"/>
      <c r="E3213" s="430"/>
      <c r="F3213" s="1180"/>
      <c r="G3213" s="1180" t="s">
        <v>19</v>
      </c>
      <c r="H3213" s="1180" t="s">
        <v>20</v>
      </c>
      <c r="I3213" s="204" t="s">
        <v>19</v>
      </c>
      <c r="J3213" s="206" t="s">
        <v>20</v>
      </c>
    </row>
    <row r="3214" spans="1:10" ht="15" customHeight="1">
      <c r="A3214" s="233"/>
      <c r="B3214" s="161"/>
      <c r="C3214" s="161"/>
      <c r="D3214" s="161"/>
      <c r="E3214" s="247"/>
      <c r="F3214" s="248"/>
      <c r="G3214" s="248"/>
      <c r="H3214" s="248"/>
      <c r="I3214" s="214"/>
      <c r="J3214" s="227"/>
    </row>
    <row r="3215" spans="1:10" ht="15" customHeight="1">
      <c r="A3215" s="233" t="s">
        <v>245</v>
      </c>
      <c r="B3215" s="161"/>
      <c r="C3215" s="161">
        <v>88264</v>
      </c>
      <c r="D3215" s="161" t="str">
        <f>IF(B3215="SEPLAG",VLOOKUP(COMPOSIÇÕES!C3215,'MAPA COMPARATIVO'!A:B,2,FALSE),VLOOKUP(C3215,'NAO DESO'!A:B,2,0))</f>
        <v>ELETRICISTA COM ENCARGOS COMPLEMENTARES</v>
      </c>
      <c r="E3215" s="247" t="s">
        <v>16</v>
      </c>
      <c r="F3215" s="248">
        <v>0.1</v>
      </c>
      <c r="G3215" s="242" t="str">
        <f>IF(B3215="SEPLAG",VLOOKUP(CONCATENATE("MEDIANA - ",C3215),COTAÇÃO,5,FALSE),VLOOKUP($C3215,'NAO DESO'!$A:$D,4,))</f>
        <v>21,87</v>
      </c>
      <c r="H3215" s="242">
        <f>TRUNC(F3215*G3215,2)</f>
        <v>2.1800000000000002</v>
      </c>
      <c r="I3215" s="54" t="str">
        <f>IF(B3215="SEPLAG",VLOOKUP(CONCATENATE("MEDIANA - ",C3215),COTAÇÃO,5,FALSE),VLOOKUP($C3215,DESON!$A:$D,4,))</f>
        <v>19,53</v>
      </c>
      <c r="J3215" s="209">
        <f>TRUNC(F3215*I3215,2)</f>
        <v>1.95</v>
      </c>
    </row>
    <row r="3216" spans="1:10" ht="15" customHeight="1">
      <c r="A3216" s="233" t="s">
        <v>245</v>
      </c>
      <c r="B3216" s="161"/>
      <c r="C3216" s="161">
        <v>88247</v>
      </c>
      <c r="D3216" s="161" t="str">
        <f>IF(B3216="SEPLAG",VLOOKUP(COMPOSIÇÕES!C3216,'MAPA COMPARATIVO'!A:B,2,FALSE),VLOOKUP(C3216,'NAO DESO'!A:B,2,0))</f>
        <v>AUXILIAR DE ELETRICISTA COM ENCARGOS COMPLEMENTARES</v>
      </c>
      <c r="E3216" s="247" t="s">
        <v>16</v>
      </c>
      <c r="F3216" s="248">
        <v>0.1</v>
      </c>
      <c r="G3216" s="242" t="str">
        <f>IF(B3216="SEPLAG",VLOOKUP(CONCATENATE("MEDIANA - ",C3216),COTAÇÃO,5,FALSE),VLOOKUP($C3216,'NAO DESO'!$A:$D,4,))</f>
        <v>16,84</v>
      </c>
      <c r="H3216" s="242">
        <f>TRUNC(F3216*G3216,2)</f>
        <v>1.68</v>
      </c>
      <c r="I3216" s="54" t="str">
        <f>IF(B3216="SEPLAG",VLOOKUP(CONCATENATE("MEDIANA - ",C3216),COTAÇÃO,5,FALSE),VLOOKUP($C3216,DESON!$A:$D,4,))</f>
        <v>15,19</v>
      </c>
      <c r="J3216" s="209">
        <f>TRUNC(F3216*I3216,2)</f>
        <v>1.51</v>
      </c>
    </row>
    <row r="3217" spans="1:10" ht="15" customHeight="1">
      <c r="A3217" s="233" t="s">
        <v>188</v>
      </c>
      <c r="B3217" s="161" t="s">
        <v>14504</v>
      </c>
      <c r="C3217" s="161" t="s">
        <v>14392</v>
      </c>
      <c r="D3217" s="161" t="str">
        <f>IF(B3217="SEPLAG",VLOOKUP(COMPOSIÇÕES!C3217,'MAPA COMPARATIVO'!A:B,2,FALSE),VLOOKUP(C3217,'NAO DESO'!A:B,2,0))</f>
        <v>SILICONE ESTRUTURAL CARTUCHO BRANCA 420GR</v>
      </c>
      <c r="E3217" s="247" t="s">
        <v>183</v>
      </c>
      <c r="F3217" s="248">
        <v>1</v>
      </c>
      <c r="G3217" s="242">
        <f>IF(B3217="SEPLAG",VLOOKUP(CONCATENATE("MEDIANA - ",C3217),COTAÇÃO,5,FALSE),VLOOKUP($C3217,'NAO DESO'!$A:$D,4,))</f>
        <v>63.13</v>
      </c>
      <c r="H3217" s="242">
        <f>TRUNC(F3217*G3217,2)</f>
        <v>63.13</v>
      </c>
      <c r="I3217" s="54">
        <f>IF(B3217="SEPLAG",VLOOKUP(CONCATENATE("MEDIANA - ",C3217),COTAÇÃO,5,FALSE),VLOOKUP($C3217,DESON!$A:$D,4,))</f>
        <v>63.13</v>
      </c>
      <c r="J3217" s="209">
        <f>TRUNC(F3217*I3217,2)</f>
        <v>63.13</v>
      </c>
    </row>
    <row r="3218" spans="1:10" ht="15" customHeight="1">
      <c r="A3218" s="210" t="str">
        <f>CONCATENATE("TOTAL DO ITEM NÃO DESON. - ",C3212)</f>
        <v>TOTAL DO ITEM NÃO DESON. - SEPLAG SPDA 14</v>
      </c>
      <c r="B3218" s="432"/>
      <c r="C3218" s="432"/>
      <c r="D3218" s="432"/>
      <c r="E3218" s="430"/>
      <c r="F3218" s="1189"/>
      <c r="G3218" s="1189"/>
      <c r="H3218" s="1189">
        <f>SUM(H3215:H3217)</f>
        <v>66.990000000000009</v>
      </c>
      <c r="I3218" s="213"/>
      <c r="J3218" s="215"/>
    </row>
    <row r="3219" spans="1:10" ht="15.75" customHeight="1" thickBot="1">
      <c r="A3219" s="216" t="str">
        <f>CONCATENATE("TOTAL DO ITEM DESON. - ",C3212)</f>
        <v>TOTAL DO ITEM DESON. - SEPLAG SPDA 14</v>
      </c>
      <c r="B3219" s="1147"/>
      <c r="C3219" s="1147"/>
      <c r="D3219" s="1147"/>
      <c r="E3219" s="1218"/>
      <c r="F3219" s="1219"/>
      <c r="G3219" s="1219"/>
      <c r="H3219" s="1219"/>
      <c r="I3219" s="229"/>
      <c r="J3219" s="219">
        <f>SUM(J3215:J3218)</f>
        <v>66.59</v>
      </c>
    </row>
    <row r="3220" spans="1:10" ht="15" customHeight="1" thickBot="1">
      <c r="A3220" s="421"/>
      <c r="B3220" s="1138"/>
      <c r="C3220" s="1138"/>
      <c r="D3220" s="1138"/>
      <c r="E3220" s="1154"/>
      <c r="F3220" s="1196"/>
      <c r="G3220" s="1196"/>
      <c r="H3220" s="1196"/>
      <c r="I3220" s="423"/>
      <c r="J3220" s="422"/>
    </row>
    <row r="3221" spans="1:10" ht="38.25" customHeight="1">
      <c r="A3221" s="256"/>
      <c r="B3221" s="1152"/>
      <c r="C3221" s="1152" t="s">
        <v>7739</v>
      </c>
      <c r="D3221" s="152" t="s">
        <v>7740</v>
      </c>
      <c r="E3221" s="1152" t="s">
        <v>40</v>
      </c>
      <c r="F3221" s="1177" t="s">
        <v>25</v>
      </c>
      <c r="G3221" s="1178" t="s">
        <v>7011</v>
      </c>
      <c r="H3221" s="1179"/>
      <c r="I3221" s="200" t="s">
        <v>7012</v>
      </c>
      <c r="J3221" s="201"/>
    </row>
    <row r="3222" spans="1:10" ht="15" customHeight="1">
      <c r="A3222" s="257"/>
      <c r="B3222" s="430"/>
      <c r="C3222" s="430"/>
      <c r="D3222" s="430"/>
      <c r="E3222" s="430"/>
      <c r="F3222" s="1180"/>
      <c r="G3222" s="1180" t="s">
        <v>19</v>
      </c>
      <c r="H3222" s="1180" t="s">
        <v>20</v>
      </c>
      <c r="I3222" s="204" t="s">
        <v>19</v>
      </c>
      <c r="J3222" s="206" t="s">
        <v>20</v>
      </c>
    </row>
    <row r="3223" spans="1:10" ht="15" customHeight="1">
      <c r="A3223" s="233"/>
      <c r="B3223" s="161"/>
      <c r="C3223" s="161"/>
      <c r="D3223" s="161"/>
      <c r="E3223" s="247"/>
      <c r="F3223" s="248"/>
      <c r="G3223" s="248"/>
      <c r="H3223" s="248"/>
      <c r="I3223" s="214"/>
      <c r="J3223" s="227"/>
    </row>
    <row r="3224" spans="1:10" ht="15" customHeight="1">
      <c r="A3224" s="233" t="s">
        <v>39</v>
      </c>
      <c r="B3224" s="161"/>
      <c r="C3224" s="161">
        <v>867</v>
      </c>
      <c r="D3224" s="161" t="str">
        <f>IF(B3224="SEPLAG",VLOOKUP(COMPOSIÇÕES!C3224,'MAPA COMPARATIVO'!A:B,2,FALSE),VLOOKUP(C3224,'NAO DESO'!A:B,2,0))</f>
        <v>CABO DE COBRE NU 50 MM2 MEIO-DURO</v>
      </c>
      <c r="E3224" s="247" t="s">
        <v>429</v>
      </c>
      <c r="F3224" s="248">
        <v>1.05</v>
      </c>
      <c r="G3224" s="242">
        <f>IF(B3224="SEPLAG",VLOOKUP(CONCATENATE("MEDIANA - ",C3224),COTAÇÃO,5,FALSE),VLOOKUP($C3224,'NAO DESO'!$A:$D,4,))</f>
        <v>41.42</v>
      </c>
      <c r="H3224" s="242">
        <f>TRUNC(F3224*G3224,2)</f>
        <v>43.49</v>
      </c>
      <c r="I3224" s="54" t="str">
        <f>IF(B3224="SEPLAG",VLOOKUP(CONCATENATE("MEDIANA - ",C3224),COTAÇÃO,5,FALSE),VLOOKUP($C3224,DESON!$A:$D,4,))</f>
        <v>41,42</v>
      </c>
      <c r="J3224" s="209">
        <f>TRUNC(F3224*I3224,2)</f>
        <v>43.49</v>
      </c>
    </row>
    <row r="3225" spans="1:10" ht="15" customHeight="1">
      <c r="A3225" s="233" t="s">
        <v>245</v>
      </c>
      <c r="B3225" s="161"/>
      <c r="C3225" s="161">
        <v>88247</v>
      </c>
      <c r="D3225" s="161" t="str">
        <f>IF(B3225="SEPLAG",VLOOKUP(COMPOSIÇÕES!C3225,'MAPA COMPARATIVO'!A:B,2,FALSE),VLOOKUP(C3225,'NAO DESO'!A:B,2,0))</f>
        <v>AUXILIAR DE ELETRICISTA COM ENCARGOS COMPLEMENTARES</v>
      </c>
      <c r="E3225" s="247" t="s">
        <v>16</v>
      </c>
      <c r="F3225" s="248">
        <v>0.3251</v>
      </c>
      <c r="G3225" s="242" t="str">
        <f>IF(B3225="SEPLAG",VLOOKUP(CONCATENATE("MEDIANA - ",C3225),COTAÇÃO,5,FALSE),VLOOKUP($C3225,'NAO DESO'!$A:$D,4,))</f>
        <v>16,84</v>
      </c>
      <c r="H3225" s="242">
        <f>TRUNC(F3225*G3225,2)</f>
        <v>5.47</v>
      </c>
      <c r="I3225" s="54" t="str">
        <f>IF(B3225="SEPLAG",VLOOKUP(CONCATENATE("MEDIANA - ",C3225),COTAÇÃO,5,FALSE),VLOOKUP($C3225,DESON!$A:$D,4,))</f>
        <v>15,19</v>
      </c>
      <c r="J3225" s="209">
        <f>TRUNC(F3225*I3225,2)</f>
        <v>4.93</v>
      </c>
    </row>
    <row r="3226" spans="1:10" ht="15" customHeight="1">
      <c r="A3226" s="233" t="s">
        <v>245</v>
      </c>
      <c r="B3226" s="161"/>
      <c r="C3226" s="161">
        <v>88264</v>
      </c>
      <c r="D3226" s="161" t="str">
        <f>IF(B3226="SEPLAG",VLOOKUP(COMPOSIÇÕES!C3226,'MAPA COMPARATIVO'!A:B,2,FALSE),VLOOKUP(C3226,'NAO DESO'!A:B,2,0))</f>
        <v>ELETRICISTA COM ENCARGOS COMPLEMENTARES</v>
      </c>
      <c r="E3226" s="247" t="s">
        <v>16</v>
      </c>
      <c r="F3226" s="248">
        <v>0.3251</v>
      </c>
      <c r="G3226" s="242" t="str">
        <f>IF(B3226="SEPLAG",VLOOKUP(CONCATENATE("MEDIANA - ",C3226),COTAÇÃO,5,FALSE),VLOOKUP($C3226,'NAO DESO'!$A:$D,4,))</f>
        <v>21,87</v>
      </c>
      <c r="H3226" s="242">
        <f>TRUNC(F3226*G3226,2)</f>
        <v>7.1</v>
      </c>
      <c r="I3226" s="54" t="str">
        <f>IF(B3226="SEPLAG",VLOOKUP(CONCATENATE("MEDIANA - ",C3226),COTAÇÃO,5,FALSE),VLOOKUP($C3226,DESON!$A:$D,4,))</f>
        <v>19,53</v>
      </c>
      <c r="J3226" s="209">
        <f>TRUNC(F3226*I3226,2)</f>
        <v>6.34</v>
      </c>
    </row>
    <row r="3227" spans="1:10" ht="15" customHeight="1">
      <c r="A3227" s="210" t="str">
        <f>CONCATENATE("TOTAL DO ITEM NÃO DESON. - ",C3221)</f>
        <v>TOTAL DO ITEM NÃO DESON. - SEPLAG SPDA 15</v>
      </c>
      <c r="B3227" s="432"/>
      <c r="C3227" s="432"/>
      <c r="D3227" s="432"/>
      <c r="E3227" s="430"/>
      <c r="F3227" s="1189"/>
      <c r="G3227" s="1189"/>
      <c r="H3227" s="1189">
        <f>SUM(H3224:H3226)</f>
        <v>56.06</v>
      </c>
      <c r="I3227" s="213"/>
      <c r="J3227" s="215"/>
    </row>
    <row r="3228" spans="1:10" ht="15.75" customHeight="1" thickBot="1">
      <c r="A3228" s="216" t="str">
        <f>CONCATENATE("TOTAL DO ITEM DESON. - ",C3221)</f>
        <v>TOTAL DO ITEM DESON. - SEPLAG SPDA 15</v>
      </c>
      <c r="B3228" s="1147"/>
      <c r="C3228" s="1147"/>
      <c r="D3228" s="1147"/>
      <c r="E3228" s="1218"/>
      <c r="F3228" s="1219"/>
      <c r="G3228" s="1219"/>
      <c r="H3228" s="1219"/>
      <c r="I3228" s="229"/>
      <c r="J3228" s="219">
        <f>SUM(J3224:J3227)</f>
        <v>54.760000000000005</v>
      </c>
    </row>
    <row r="3229" spans="1:10" ht="15" customHeight="1" thickBot="1">
      <c r="A3229" s="421"/>
      <c r="B3229" s="1138"/>
      <c r="C3229" s="1138"/>
      <c r="D3229" s="1138"/>
      <c r="E3229" s="1154"/>
      <c r="F3229" s="1196"/>
      <c r="G3229" s="1196"/>
      <c r="H3229" s="1196"/>
      <c r="I3229" s="423"/>
      <c r="J3229" s="422"/>
    </row>
    <row r="3230" spans="1:10" ht="38.25" customHeight="1">
      <c r="A3230" s="256"/>
      <c r="B3230" s="1152"/>
      <c r="C3230" s="1152" t="s">
        <v>14163</v>
      </c>
      <c r="D3230" s="152" t="s">
        <v>14162</v>
      </c>
      <c r="E3230" s="1152" t="s">
        <v>24</v>
      </c>
      <c r="F3230" s="1177" t="s">
        <v>25</v>
      </c>
      <c r="G3230" s="1178" t="s">
        <v>7011</v>
      </c>
      <c r="H3230" s="1179"/>
      <c r="I3230" s="200" t="s">
        <v>7012</v>
      </c>
      <c r="J3230" s="201"/>
    </row>
    <row r="3231" spans="1:10" ht="15" customHeight="1">
      <c r="A3231" s="257"/>
      <c r="B3231" s="430"/>
      <c r="C3231" s="430"/>
      <c r="D3231" s="430"/>
      <c r="E3231" s="430"/>
      <c r="F3231" s="1180"/>
      <c r="G3231" s="1180" t="s">
        <v>19</v>
      </c>
      <c r="H3231" s="1180" t="s">
        <v>20</v>
      </c>
      <c r="I3231" s="204" t="s">
        <v>19</v>
      </c>
      <c r="J3231" s="206" t="s">
        <v>20</v>
      </c>
    </row>
    <row r="3232" spans="1:10" ht="15" customHeight="1">
      <c r="A3232" s="233"/>
      <c r="B3232" s="161"/>
      <c r="C3232" s="161"/>
      <c r="D3232" s="161"/>
      <c r="E3232" s="247"/>
      <c r="F3232" s="248"/>
      <c r="G3232" s="248"/>
      <c r="H3232" s="248"/>
      <c r="I3232" s="214"/>
      <c r="J3232" s="227"/>
    </row>
    <row r="3233" spans="1:10" ht="15" customHeight="1">
      <c r="A3233" s="233" t="s">
        <v>245</v>
      </c>
      <c r="B3233" s="161"/>
      <c r="C3233" s="161">
        <v>88264</v>
      </c>
      <c r="D3233" s="161" t="str">
        <f>IF(B3233="SEPLAG",VLOOKUP(COMPOSIÇÕES!C3233,'MAPA COMPARATIVO'!A:B,2,FALSE),VLOOKUP(C3233,'NAO DESO'!A:B,2,0))</f>
        <v>ELETRICISTA COM ENCARGOS COMPLEMENTARES</v>
      </c>
      <c r="E3233" s="247" t="s">
        <v>16</v>
      </c>
      <c r="F3233" s="248">
        <v>0.1</v>
      </c>
      <c r="G3233" s="242" t="str">
        <f>IF(B3233="SEPLAG",VLOOKUP(CONCATENATE("MEDIANA - ",C3233),COTAÇÃO,5,FALSE),VLOOKUP($C3233,'NAO DESO'!$A:$D,4,))</f>
        <v>21,87</v>
      </c>
      <c r="H3233" s="242">
        <f>TRUNC(F3233*G3233,2)</f>
        <v>2.1800000000000002</v>
      </c>
      <c r="I3233" s="54" t="str">
        <f>IF(B3233="SEPLAG",VLOOKUP(CONCATENATE("MEDIANA - ",C3233),COTAÇÃO,5,FALSE),VLOOKUP($C3233,DESON!$A:$D,4,))</f>
        <v>19,53</v>
      </c>
      <c r="J3233" s="209">
        <f>TRUNC(F3233*I3233,2)</f>
        <v>1.95</v>
      </c>
    </row>
    <row r="3234" spans="1:10" ht="15" customHeight="1">
      <c r="A3234" s="233" t="s">
        <v>245</v>
      </c>
      <c r="B3234" s="161"/>
      <c r="C3234" s="161">
        <v>88247</v>
      </c>
      <c r="D3234" s="161" t="str">
        <f>IF(B3234="SEPLAG",VLOOKUP(COMPOSIÇÕES!C3234,'MAPA COMPARATIVO'!A:B,2,FALSE),VLOOKUP(C3234,'NAO DESO'!A:B,2,0))</f>
        <v>AUXILIAR DE ELETRICISTA COM ENCARGOS COMPLEMENTARES</v>
      </c>
      <c r="E3234" s="247" t="s">
        <v>16</v>
      </c>
      <c r="F3234" s="248">
        <v>0.1</v>
      </c>
      <c r="G3234" s="242" t="str">
        <f>IF(B3234="SEPLAG",VLOOKUP(CONCATENATE("MEDIANA - ",C3234),COTAÇÃO,5,FALSE),VLOOKUP($C3234,'NAO DESO'!$A:$D,4,))</f>
        <v>16,84</v>
      </c>
      <c r="H3234" s="242">
        <f>TRUNC(F3234*G3234,2)</f>
        <v>1.68</v>
      </c>
      <c r="I3234" s="54" t="str">
        <f>IF(B3234="SEPLAG",VLOOKUP(CONCATENATE("MEDIANA - ",C3234),COTAÇÃO,5,FALSE),VLOOKUP($C3234,DESON!$A:$D,4,))</f>
        <v>15,19</v>
      </c>
      <c r="J3234" s="209">
        <f>TRUNC(F3234*I3234,2)</f>
        <v>1.51</v>
      </c>
    </row>
    <row r="3235" spans="1:10" ht="26.25" customHeight="1">
      <c r="A3235" s="233" t="s">
        <v>39</v>
      </c>
      <c r="B3235" s="161"/>
      <c r="C3235" s="161">
        <v>1577</v>
      </c>
      <c r="D3235" s="161" t="str">
        <f>IF(B3235="SEPLAG",VLOOKUP(COMPOSIÇÕES!C3235,'MAPA COMPARATIVO'!A:B,2,FALSE),VLOOKUP(C3235,'NAO DESO'!A:B,2,0))</f>
        <v>TERMINAL A COMPRESSAO EM COBRE ESTANHADO PARA CABO 35 MM2, 1 FURO E 1 COMPRESSAO, PARA PARAFUSO DE FIXACAO M8</v>
      </c>
      <c r="E3235" s="247" t="s">
        <v>427</v>
      </c>
      <c r="F3235" s="248">
        <v>1</v>
      </c>
      <c r="G3235" s="242">
        <f>IF(B3235="SEPLAG",VLOOKUP(CONCATENATE("MEDIANA - ",C3235),COTAÇÃO,5,FALSE),VLOOKUP($C3235,'NAO DESO'!$A:$D,4,))</f>
        <v>2.36</v>
      </c>
      <c r="H3235" s="242">
        <f>TRUNC(F3235*G3235,2)</f>
        <v>2.36</v>
      </c>
      <c r="I3235" s="54" t="str">
        <f>IF(B3235="SEPLAG",VLOOKUP(CONCATENATE("MEDIANA - ",C3235),COTAÇÃO,5,FALSE),VLOOKUP($C3235,DESON!$A:$D,4,))</f>
        <v>2,36</v>
      </c>
      <c r="J3235" s="209">
        <f>TRUNC(F3235*I3235,2)</f>
        <v>2.36</v>
      </c>
    </row>
    <row r="3236" spans="1:10" ht="15" customHeight="1">
      <c r="A3236" s="210" t="str">
        <f>CONCATENATE("TOTAL DO ITEM NÃO DESON. - ",C3230)</f>
        <v>TOTAL DO ITEM NÃO DESON. - SEPLAG SPDA 16</v>
      </c>
      <c r="B3236" s="432"/>
      <c r="C3236" s="432"/>
      <c r="D3236" s="432"/>
      <c r="E3236" s="430"/>
      <c r="F3236" s="1189"/>
      <c r="G3236" s="1189"/>
      <c r="H3236" s="1189">
        <f>SUM(H3233:H3235)</f>
        <v>6.2200000000000006</v>
      </c>
      <c r="I3236" s="213"/>
      <c r="J3236" s="215"/>
    </row>
    <row r="3237" spans="1:10" ht="15.75" customHeight="1" thickBot="1">
      <c r="A3237" s="216" t="str">
        <f>CONCATENATE("TOTAL DO ITEM DESON. - ",C3230)</f>
        <v>TOTAL DO ITEM DESON. - SEPLAG SPDA 16</v>
      </c>
      <c r="B3237" s="1148"/>
      <c r="C3237" s="1148"/>
      <c r="D3237" s="1148"/>
      <c r="E3237" s="1142"/>
      <c r="F3237" s="1190"/>
      <c r="G3237" s="1190"/>
      <c r="H3237" s="1190"/>
      <c r="I3237" s="228"/>
      <c r="J3237" s="219">
        <f>SUM(J3233:J3236)</f>
        <v>5.82</v>
      </c>
    </row>
    <row r="3238" spans="1:10" ht="15" customHeight="1" thickBot="1">
      <c r="A3238" s="421"/>
      <c r="B3238" s="1138"/>
      <c r="C3238" s="1138"/>
      <c r="D3238" s="1138"/>
      <c r="E3238" s="1154"/>
      <c r="F3238" s="1196"/>
      <c r="G3238" s="1196"/>
      <c r="H3238" s="1196"/>
      <c r="I3238" s="423"/>
      <c r="J3238" s="422"/>
    </row>
    <row r="3239" spans="1:10" ht="38.25" customHeight="1">
      <c r="A3239" s="256"/>
      <c r="B3239" s="1152"/>
      <c r="C3239" s="1152" t="s">
        <v>14167</v>
      </c>
      <c r="D3239" s="152" t="s">
        <v>14166</v>
      </c>
      <c r="E3239" s="1152" t="s">
        <v>40</v>
      </c>
      <c r="F3239" s="1177" t="s">
        <v>25</v>
      </c>
      <c r="G3239" s="1178" t="s">
        <v>7011</v>
      </c>
      <c r="H3239" s="1179"/>
      <c r="I3239" s="200" t="s">
        <v>7012</v>
      </c>
      <c r="J3239" s="201"/>
    </row>
    <row r="3240" spans="1:10" ht="15" customHeight="1">
      <c r="A3240" s="257"/>
      <c r="B3240" s="430"/>
      <c r="C3240" s="430"/>
      <c r="D3240" s="430"/>
      <c r="E3240" s="430"/>
      <c r="F3240" s="1180"/>
      <c r="G3240" s="1180" t="s">
        <v>19</v>
      </c>
      <c r="H3240" s="1180" t="s">
        <v>20</v>
      </c>
      <c r="I3240" s="204" t="s">
        <v>19</v>
      </c>
      <c r="J3240" s="206" t="s">
        <v>20</v>
      </c>
    </row>
    <row r="3241" spans="1:10" ht="15" customHeight="1">
      <c r="A3241" s="257"/>
      <c r="B3241" s="430"/>
      <c r="C3241" s="430"/>
      <c r="D3241" s="430"/>
      <c r="E3241" s="430"/>
      <c r="F3241" s="1180"/>
      <c r="G3241" s="1180"/>
      <c r="H3241" s="1180"/>
      <c r="I3241" s="204"/>
      <c r="J3241" s="206"/>
    </row>
    <row r="3242" spans="1:10" ht="15" customHeight="1">
      <c r="A3242" s="233" t="s">
        <v>39</v>
      </c>
      <c r="B3242" s="161"/>
      <c r="C3242" s="161">
        <v>863</v>
      </c>
      <c r="D3242" s="161" t="str">
        <f>IF(B3242="SEPLAG",VLOOKUP(COMPOSIÇÕES!C3242,'MAPA COMPARATIVO'!A:B,2,FALSE),VLOOKUP(C3242,'NAO DESO'!A:B,2,0))</f>
        <v>CABO DE COBRE NU 35 MM2 MEIO-DURO</v>
      </c>
      <c r="E3242" s="247" t="s">
        <v>429</v>
      </c>
      <c r="F3242" s="248">
        <v>1</v>
      </c>
      <c r="G3242" s="242">
        <f>IF(B3242="SEPLAG",VLOOKUP(CONCATENATE("MEDIANA - ",C3242),COTAÇÃO,5,FALSE),VLOOKUP($C3242,'NAO DESO'!$A:$D,4,))</f>
        <v>29.74</v>
      </c>
      <c r="H3242" s="242">
        <f>TRUNC(F3242*G3242,2)</f>
        <v>29.74</v>
      </c>
      <c r="I3242" s="54" t="str">
        <f>IF(B3242="SEPLAG",VLOOKUP(CONCATENATE("MEDIANA - ",C3242),COTAÇÃO,5,FALSE),VLOOKUP($C3242,DESON!$A:$D,4,))</f>
        <v>29,74</v>
      </c>
      <c r="J3242" s="209">
        <f>TRUNC(F3242*I3242,2)</f>
        <v>29.74</v>
      </c>
    </row>
    <row r="3243" spans="1:10" ht="15" customHeight="1">
      <c r="A3243" s="233" t="s">
        <v>245</v>
      </c>
      <c r="B3243" s="161"/>
      <c r="C3243" s="161">
        <v>88247</v>
      </c>
      <c r="D3243" s="161" t="str">
        <f>IF(B3243="SEPLAG",VLOOKUP(COMPOSIÇÕES!C3243,'MAPA COMPARATIVO'!A:B,2,FALSE),VLOOKUP(C3243,'NAO DESO'!A:B,2,0))</f>
        <v>AUXILIAR DE ELETRICISTA COM ENCARGOS COMPLEMENTARES</v>
      </c>
      <c r="E3243" s="247" t="s">
        <v>16</v>
      </c>
      <c r="F3243" s="248">
        <v>0.3251</v>
      </c>
      <c r="G3243" s="242" t="str">
        <f>IF(B3243="SEPLAG",VLOOKUP(CONCATENATE("MEDIANA - ",C3243),COTAÇÃO,5,FALSE),VLOOKUP($C3243,'NAO DESO'!$A:$D,4,))</f>
        <v>16,84</v>
      </c>
      <c r="H3243" s="242">
        <f>TRUNC(F3243*G3243,2)</f>
        <v>5.47</v>
      </c>
      <c r="I3243" s="54" t="str">
        <f>IF(B3243="SEPLAG",VLOOKUP(CONCATENATE("MEDIANA - ",C3243),COTAÇÃO,5,FALSE),VLOOKUP($C3243,DESON!$A:$D,4,))</f>
        <v>15,19</v>
      </c>
      <c r="J3243" s="209">
        <f>TRUNC(F3243*I3243,2)</f>
        <v>4.93</v>
      </c>
    </row>
    <row r="3244" spans="1:10" ht="15" customHeight="1">
      <c r="A3244" s="233" t="s">
        <v>245</v>
      </c>
      <c r="B3244" s="161"/>
      <c r="C3244" s="161">
        <v>88264</v>
      </c>
      <c r="D3244" s="161" t="str">
        <f>IF(B3244="SEPLAG",VLOOKUP(COMPOSIÇÕES!C3244,'MAPA COMPARATIVO'!A:B,2,FALSE),VLOOKUP(C3244,'NAO DESO'!A:B,2,0))</f>
        <v>ELETRICISTA COM ENCARGOS COMPLEMENTARES</v>
      </c>
      <c r="E3244" s="247" t="s">
        <v>16</v>
      </c>
      <c r="F3244" s="248">
        <v>0.3251</v>
      </c>
      <c r="G3244" s="242" t="str">
        <f>IF(B3244="SEPLAG",VLOOKUP(CONCATENATE("MEDIANA - ",C3244),COTAÇÃO,5,FALSE),VLOOKUP($C3244,'NAO DESO'!$A:$D,4,))</f>
        <v>21,87</v>
      </c>
      <c r="H3244" s="242">
        <f>TRUNC(F3244*G3244,2)</f>
        <v>7.1</v>
      </c>
      <c r="I3244" s="54" t="str">
        <f>IF(B3244="SEPLAG",VLOOKUP(CONCATENATE("MEDIANA - ",C3244),COTAÇÃO,5,FALSE),VLOOKUP($C3244,DESON!$A:$D,4,))</f>
        <v>19,53</v>
      </c>
      <c r="J3244" s="209">
        <f>TRUNC(F3244*I3244,2)</f>
        <v>6.34</v>
      </c>
    </row>
    <row r="3245" spans="1:10" ht="15" customHeight="1">
      <c r="A3245" s="210" t="str">
        <f>CONCATENATE("TOTAL DO ITEM NÃO DESON. - ",C3239)</f>
        <v>TOTAL DO ITEM NÃO DESON. - SEPLAG SPDA 17</v>
      </c>
      <c r="B3245" s="432"/>
      <c r="C3245" s="432"/>
      <c r="D3245" s="432"/>
      <c r="E3245" s="430"/>
      <c r="F3245" s="1189"/>
      <c r="G3245" s="1189"/>
      <c r="H3245" s="1189">
        <f>SUM(H3242:H3244)</f>
        <v>42.31</v>
      </c>
      <c r="I3245" s="213"/>
      <c r="J3245" s="215"/>
    </row>
    <row r="3246" spans="1:10" ht="15.75" customHeight="1" thickBot="1">
      <c r="A3246" s="216" t="str">
        <f>CONCATENATE("TOTAL DO ITEM DESON. - ",C3239)</f>
        <v>TOTAL DO ITEM DESON. - SEPLAG SPDA 17</v>
      </c>
      <c r="B3246" s="1147"/>
      <c r="C3246" s="1147"/>
      <c r="D3246" s="1147"/>
      <c r="E3246" s="1218"/>
      <c r="F3246" s="1219"/>
      <c r="G3246" s="1219"/>
      <c r="H3246" s="1219"/>
      <c r="I3246" s="229"/>
      <c r="J3246" s="219">
        <f>SUM(J3242:J3245)</f>
        <v>41.010000000000005</v>
      </c>
    </row>
    <row r="3247" spans="1:10" ht="15" customHeight="1">
      <c r="A3247" s="457"/>
      <c r="B3247" s="1150"/>
      <c r="C3247" s="1150"/>
      <c r="D3247" s="1150"/>
      <c r="E3247" s="1223"/>
      <c r="F3247" s="1224"/>
      <c r="G3247" s="1224"/>
      <c r="H3247" s="1224"/>
      <c r="I3247" s="459"/>
      <c r="J3247" s="458"/>
    </row>
    <row r="3248" spans="1:10" ht="15" customHeight="1">
      <c r="A3248" s="449" t="s">
        <v>7104</v>
      </c>
      <c r="B3248" s="424"/>
      <c r="C3248" s="424"/>
      <c r="D3248" s="424"/>
      <c r="E3248" s="424"/>
      <c r="F3248" s="425"/>
      <c r="G3248" s="425"/>
      <c r="H3248" s="425"/>
      <c r="I3248" s="211"/>
      <c r="J3248" s="212"/>
    </row>
    <row r="3249" spans="1:10" ht="15" customHeight="1" thickBot="1">
      <c r="A3249" s="454"/>
      <c r="B3249" s="1149"/>
      <c r="C3249" s="1149"/>
      <c r="D3249" s="1149"/>
      <c r="E3249" s="1205"/>
      <c r="F3249" s="1207"/>
      <c r="G3249" s="1207"/>
      <c r="H3249" s="1207"/>
      <c r="I3249" s="456"/>
      <c r="J3249" s="455"/>
    </row>
    <row r="3250" spans="1:10" ht="38.25" customHeight="1">
      <c r="A3250" s="256"/>
      <c r="B3250" s="1152"/>
      <c r="C3250" s="1152" t="s">
        <v>7105</v>
      </c>
      <c r="D3250" s="152" t="s">
        <v>7694</v>
      </c>
      <c r="E3250" s="1152" t="s">
        <v>24</v>
      </c>
      <c r="F3250" s="1177" t="s">
        <v>18</v>
      </c>
      <c r="G3250" s="1178" t="s">
        <v>7015</v>
      </c>
      <c r="H3250" s="1179"/>
      <c r="I3250" s="200" t="s">
        <v>7016</v>
      </c>
      <c r="J3250" s="201"/>
    </row>
    <row r="3251" spans="1:10" ht="15" customHeight="1">
      <c r="A3251" s="257"/>
      <c r="B3251" s="430"/>
      <c r="C3251" s="430"/>
      <c r="D3251" s="430"/>
      <c r="E3251" s="430"/>
      <c r="F3251" s="1180"/>
      <c r="G3251" s="1180" t="s">
        <v>19</v>
      </c>
      <c r="H3251" s="1180" t="s">
        <v>20</v>
      </c>
      <c r="I3251" s="204" t="s">
        <v>19</v>
      </c>
      <c r="J3251" s="206" t="s">
        <v>20</v>
      </c>
    </row>
    <row r="3252" spans="1:10" ht="15" customHeight="1">
      <c r="A3252" s="233"/>
      <c r="B3252" s="161"/>
      <c r="C3252" s="161"/>
      <c r="D3252" s="161"/>
      <c r="E3252" s="247"/>
      <c r="F3252" s="248"/>
      <c r="G3252" s="248"/>
      <c r="H3252" s="248"/>
      <c r="I3252" s="214"/>
      <c r="J3252" s="227"/>
    </row>
    <row r="3253" spans="1:10" ht="15" customHeight="1">
      <c r="A3253" s="233" t="s">
        <v>188</v>
      </c>
      <c r="B3253" s="161" t="s">
        <v>14504</v>
      </c>
      <c r="C3253" s="161" t="s">
        <v>14393</v>
      </c>
      <c r="D3253" s="161" t="str">
        <f>IF(B3253="SEPLAG",VLOOKUP(COMPOSIÇÕES!C3253,'MAPA COMPARATIVO'!A:B,2,FALSE),VLOOKUP(C3253,'NAO DESO'!A:B,2,0))</f>
        <v>ARRUELA LISA REDONDA (DIÂMETRO 6,35MM (1/4") PESO/100PÇ: 0,204 KG)</v>
      </c>
      <c r="E3253" s="247" t="s">
        <v>24</v>
      </c>
      <c r="F3253" s="248">
        <v>2.66</v>
      </c>
      <c r="G3253" s="242">
        <f>IF(B3253="SEPLAG",VLOOKUP(CONCATENATE("MEDIANA - ",C3253),COTAÇÃO,5,FALSE),VLOOKUP($C3253,'NAO DESO'!$A:$D,4,))</f>
        <v>0.23</v>
      </c>
      <c r="H3253" s="242">
        <f t="shared" ref="H3253:H3262" si="212">TRUNC(F3253*G3253,2)</f>
        <v>0.61</v>
      </c>
      <c r="I3253" s="54">
        <f>IF(B3253="SEPLAG",VLOOKUP(CONCATENATE("MEDIANA - ",C3253),COTAÇÃO,5,FALSE),VLOOKUP($C3253,DESON!$A:$D,4,))</f>
        <v>0.23</v>
      </c>
      <c r="J3253" s="209">
        <f t="shared" ref="J3253:J3262" si="213">TRUNC(F3253*I3253,2)</f>
        <v>0.61</v>
      </c>
    </row>
    <row r="3254" spans="1:10" ht="26.25" customHeight="1">
      <c r="A3254" s="233" t="s">
        <v>188</v>
      </c>
      <c r="B3254" s="161" t="s">
        <v>14504</v>
      </c>
      <c r="C3254" s="161" t="s">
        <v>14394</v>
      </c>
      <c r="D3254" s="161" t="str">
        <f>IF(B3254="SEPLAG",VLOOKUP(COMPOSIÇÕES!C3254,'MAPA COMPARATIVO'!A:B,2,FALSE),VLOOKUP(C3254,'NAO DESO'!A:B,2,0))</f>
        <v>ELETROCALHA METÁLICA (TIPO: LISA SEM VIROLA TRATAMENTO: PRÉ-ZINCADO CHAPA: N°18 MEDIDAS: 50X50X300MM)</v>
      </c>
      <c r="E3254" s="247" t="s">
        <v>250</v>
      </c>
      <c r="F3254" s="248">
        <v>1</v>
      </c>
      <c r="G3254" s="242">
        <f>IF(B3254="SEPLAG",VLOOKUP(CONCATENATE("MEDIANA - ",C3254),COTAÇÃO,5,FALSE),VLOOKUP($C3254,'NAO DESO'!$A:$D,4,))</f>
        <v>87.01</v>
      </c>
      <c r="H3254" s="242">
        <f t="shared" si="212"/>
        <v>87.01</v>
      </c>
      <c r="I3254" s="54">
        <f>IF(B3254="SEPLAG",VLOOKUP(CONCATENATE("MEDIANA - ",C3254),COTAÇÃO,5,FALSE),VLOOKUP($C3254,DESON!$A:$D,4,))</f>
        <v>87.01</v>
      </c>
      <c r="J3254" s="209">
        <f t="shared" si="213"/>
        <v>87.01</v>
      </c>
    </row>
    <row r="3255" spans="1:10" ht="39" customHeight="1">
      <c r="A3255" s="233" t="s">
        <v>188</v>
      </c>
      <c r="B3255" s="161" t="s">
        <v>14504</v>
      </c>
      <c r="C3255" s="161" t="s">
        <v>14395</v>
      </c>
      <c r="D3255" s="161" t="str">
        <f>IF(B3255="SEPLAG",VLOOKUP(COMPOSIÇÕES!C3255,'MAPA COMPARATIVO'!A:B,2,FALSE),VLOOKUP(C3255,'NAO DESO'!A:B,2,0))</f>
        <v>PARAFUSO (ROSCA: INTEIRA APLICAÇÃO: ELETROCALHA E PERFILADO CABEÇA: LENTILHA MATERIAL: INOX ACABAMENTO: CROMADO BITOLA: 1/4" [6,35MM] X1/2" [12,7MM]  PESO/100PÇ: 0,541KG)</v>
      </c>
      <c r="E3255" s="247" t="s">
        <v>24</v>
      </c>
      <c r="F3255" s="248">
        <v>2.66</v>
      </c>
      <c r="G3255" s="242">
        <f>IF(B3255="SEPLAG",VLOOKUP(CONCATENATE("MEDIANA - ",C3255),COTAÇÃO,5,FALSE),VLOOKUP($C3255,'NAO DESO'!$A:$D,4,))</f>
        <v>0.46</v>
      </c>
      <c r="H3255" s="242">
        <f t="shared" si="212"/>
        <v>1.22</v>
      </c>
      <c r="I3255" s="54">
        <f>IF(B3255="SEPLAG",VLOOKUP(CONCATENATE("MEDIANA - ",C3255),COTAÇÃO,5,FALSE),VLOOKUP($C3255,DESON!$A:$D,4,))</f>
        <v>0.46</v>
      </c>
      <c r="J3255" s="209">
        <f t="shared" si="213"/>
        <v>1.22</v>
      </c>
    </row>
    <row r="3256" spans="1:10" ht="26.25" customHeight="1">
      <c r="A3256" s="233" t="s">
        <v>188</v>
      </c>
      <c r="B3256" s="161" t="s">
        <v>14504</v>
      </c>
      <c r="C3256" s="161" t="s">
        <v>14396</v>
      </c>
      <c r="D3256" s="161" t="str">
        <f>IF(B3256="SEPLAG",VLOOKUP(COMPOSIÇÕES!C3256,'MAPA COMPARATIVO'!A:B,2,FALSE),VLOOKUP(C3256,'NAO DESO'!A:B,2,0))</f>
        <v>PORCA SEXTAVADA ( MATERIAL: AÇO|  DIÂMETRO : 6,35MM [1/4"] PESO/100 PÇ : 0,320 KG)</v>
      </c>
      <c r="E3256" s="247" t="s">
        <v>24</v>
      </c>
      <c r="F3256" s="248">
        <v>2.66</v>
      </c>
      <c r="G3256" s="242">
        <f>IF(B3256="SEPLAG",VLOOKUP(CONCATENATE("MEDIANA - ",C3256),COTAÇÃO,5,FALSE),VLOOKUP($C3256,'NAO DESO'!$A:$D,4,))</f>
        <v>0.32</v>
      </c>
      <c r="H3256" s="242">
        <f t="shared" si="212"/>
        <v>0.85</v>
      </c>
      <c r="I3256" s="54">
        <f>IF(B3256="SEPLAG",VLOOKUP(CONCATENATE("MEDIANA - ",C3256),COTAÇÃO,5,FALSE),VLOOKUP($C3256,DESON!$A:$D,4,))</f>
        <v>0.32</v>
      </c>
      <c r="J3256" s="209">
        <f t="shared" si="213"/>
        <v>0.85</v>
      </c>
    </row>
    <row r="3257" spans="1:10" ht="26.25" customHeight="1">
      <c r="A3257" s="233" t="s">
        <v>188</v>
      </c>
      <c r="B3257" s="161" t="s">
        <v>14504</v>
      </c>
      <c r="C3257" s="161" t="s">
        <v>14397</v>
      </c>
      <c r="D3257" s="161" t="str">
        <f>IF(B3257="SEPLAG",VLOOKUP(COMPOSIÇÕES!C3257,'MAPA COMPARATIVO'!A:B,2,FALSE),VLOOKUP(C3257,'NAO DESO'!A:B,2,0))</f>
        <v>TALA RETA (TIPO: AUTOPORTANTE TRATAMENTO: PRÉ-ZINCADO CHAPA: N°18 MEDIDA: 50MM APLICAÇÃO: EMENDA PARA ELETROCALHA)</v>
      </c>
      <c r="E3257" s="247" t="s">
        <v>32</v>
      </c>
      <c r="F3257" s="248">
        <v>2.66</v>
      </c>
      <c r="G3257" s="242">
        <f>IF(B3257="SEPLAG",VLOOKUP(CONCATENATE("MEDIANA - ",C3257),COTAÇÃO,5,FALSE),VLOOKUP($C3257,'NAO DESO'!$A:$D,4,))</f>
        <v>3.3</v>
      </c>
      <c r="H3257" s="242">
        <f t="shared" si="212"/>
        <v>8.77</v>
      </c>
      <c r="I3257" s="54">
        <f>IF(B3257="SEPLAG",VLOOKUP(CONCATENATE("MEDIANA - ",C3257),COTAÇÃO,5,FALSE),VLOOKUP($C3257,DESON!$A:$D,4,))</f>
        <v>3.3</v>
      </c>
      <c r="J3257" s="209">
        <f t="shared" si="213"/>
        <v>8.77</v>
      </c>
    </row>
    <row r="3258" spans="1:10" ht="26.25" customHeight="1">
      <c r="A3258" s="233" t="s">
        <v>188</v>
      </c>
      <c r="B3258" s="161" t="s">
        <v>14504</v>
      </c>
      <c r="C3258" s="161" t="s">
        <v>14398</v>
      </c>
      <c r="D3258" s="161" t="str">
        <f>IF(B3258="SEPLAG",VLOOKUP(COMPOSIÇÕES!C3258,'MAPA COMPARATIVO'!A:B,2,FALSE),VLOOKUP(C3258,'NAO DESO'!A:B,2,0))</f>
        <v>TAMPA PARA ELETROCALHA METÁLICA ( TIPO: ENCAIXE TRATAMENTO: PRÉ- ZINCADO|CHAPA: N°24 MEDIDA: 50MM)</v>
      </c>
      <c r="E3258" s="247" t="s">
        <v>250</v>
      </c>
      <c r="F3258" s="248">
        <v>1</v>
      </c>
      <c r="G3258" s="242">
        <f>IF(B3258="SEPLAG",VLOOKUP(CONCATENATE("MEDIANA - ",C3258),COTAÇÃO,5,FALSE),VLOOKUP($C3258,'NAO DESO'!$A:$D,4,))</f>
        <v>34.92</v>
      </c>
      <c r="H3258" s="242">
        <f t="shared" si="212"/>
        <v>34.92</v>
      </c>
      <c r="I3258" s="54">
        <f>IF(B3258="SEPLAG",VLOOKUP(CONCATENATE("MEDIANA - ",C3258),COTAÇÃO,5,FALSE),VLOOKUP($C3258,DESON!$A:$D,4,))</f>
        <v>34.92</v>
      </c>
      <c r="J3258" s="209">
        <f t="shared" si="213"/>
        <v>34.92</v>
      </c>
    </row>
    <row r="3259" spans="1:10" ht="39" customHeight="1">
      <c r="A3259" s="233" t="s">
        <v>188</v>
      </c>
      <c r="B3259" s="161" t="s">
        <v>14504</v>
      </c>
      <c r="C3259" s="161" t="s">
        <v>14399</v>
      </c>
      <c r="D3259" s="161" t="str">
        <f>IF(B3259="SEPLAG",VLOOKUP(COMPOSIÇÕES!C3259,'MAPA COMPARATIVO'!A:B,2,FALSE),VLOOKUP(C3259,'NAO DESO'!A:B,2,0))</f>
        <v xml:space="preserve">FIXAÇÃO DE ELETROCALHA/LEITO HORIZONTAL COM LARGURA MENOR OU IGUAL A 200 MM EM LAJE, COM SUPORTE EM PERFILADO, INCLUSIVE PERFILADO, VERGALHÃO E ACESSÓRIOS, </v>
      </c>
      <c r="E3259" s="247" t="s">
        <v>250</v>
      </c>
      <c r="F3259" s="248">
        <v>1</v>
      </c>
      <c r="G3259" s="242">
        <f>IF(B3259="SEPLAG",VLOOKUP(CONCATENATE("MEDIANA - ",C3259),COTAÇÃO,5,FALSE),VLOOKUP($C3259,'NAO DESO'!$A:$D,4,))</f>
        <v>10.59</v>
      </c>
      <c r="H3259" s="242">
        <f t="shared" si="212"/>
        <v>10.59</v>
      </c>
      <c r="I3259" s="54">
        <f>IF(B3259="SEPLAG",VLOOKUP(CONCATENATE("MEDIANA - ",C3259),COTAÇÃO,5,FALSE),VLOOKUP($C3259,DESON!$A:$D,4,))</f>
        <v>10.59</v>
      </c>
      <c r="J3259" s="209">
        <f t="shared" si="213"/>
        <v>10.59</v>
      </c>
    </row>
    <row r="3260" spans="1:10" ht="15" customHeight="1">
      <c r="A3260" s="233" t="s">
        <v>245</v>
      </c>
      <c r="B3260" s="161"/>
      <c r="C3260" s="161">
        <v>88247</v>
      </c>
      <c r="D3260" s="161" t="str">
        <f>IF(B3260="SEPLAG",VLOOKUP(COMPOSIÇÕES!C3260,'MAPA COMPARATIVO'!A:B,2,FALSE),VLOOKUP(C3260,'NAO DESO'!A:B,2,0))</f>
        <v>AUXILIAR DE ELETRICISTA COM ENCARGOS COMPLEMENTARES</v>
      </c>
      <c r="E3260" s="247" t="s">
        <v>16</v>
      </c>
      <c r="F3260" s="248">
        <v>0.54</v>
      </c>
      <c r="G3260" s="242" t="str">
        <f>IF(B3260="SEPLAG",VLOOKUP(CONCATENATE("MEDIANA - ",C3260),COTAÇÃO,5,FALSE),VLOOKUP($C3260,'NAO DESO'!$A:$D,4,))</f>
        <v>16,84</v>
      </c>
      <c r="H3260" s="242">
        <f t="shared" si="212"/>
        <v>9.09</v>
      </c>
      <c r="I3260" s="54" t="str">
        <f>IF(B3260="SEPLAG",VLOOKUP(CONCATENATE("MEDIANA - ",C3260),COTAÇÃO,5,FALSE),VLOOKUP($C3260,DESON!$A:$D,4,))</f>
        <v>15,19</v>
      </c>
      <c r="J3260" s="209">
        <f t="shared" si="213"/>
        <v>8.1999999999999993</v>
      </c>
    </row>
    <row r="3261" spans="1:10" ht="15" customHeight="1">
      <c r="A3261" s="233" t="s">
        <v>245</v>
      </c>
      <c r="B3261" s="161"/>
      <c r="C3261" s="161">
        <v>88264</v>
      </c>
      <c r="D3261" s="161" t="str">
        <f>IF(B3261="SEPLAG",VLOOKUP(COMPOSIÇÕES!C3261,'MAPA COMPARATIVO'!A:B,2,FALSE),VLOOKUP(C3261,'NAO DESO'!A:B,2,0))</f>
        <v>ELETRICISTA COM ENCARGOS COMPLEMENTARES</v>
      </c>
      <c r="E3261" s="247" t="s">
        <v>16</v>
      </c>
      <c r="F3261" s="248">
        <v>0.54</v>
      </c>
      <c r="G3261" s="242" t="str">
        <f>IF(B3261="SEPLAG",VLOOKUP(CONCATENATE("MEDIANA - ",C3261),COTAÇÃO,5,FALSE),VLOOKUP($C3261,'NAO DESO'!$A:$D,4,))</f>
        <v>21,87</v>
      </c>
      <c r="H3261" s="242">
        <f t="shared" si="212"/>
        <v>11.8</v>
      </c>
      <c r="I3261" s="54" t="str">
        <f>IF(B3261="SEPLAG",VLOOKUP(CONCATENATE("MEDIANA - ",C3261),COTAÇÃO,5,FALSE),VLOOKUP($C3261,DESON!$A:$D,4,))</f>
        <v>19,53</v>
      </c>
      <c r="J3261" s="209">
        <f t="shared" si="213"/>
        <v>10.54</v>
      </c>
    </row>
    <row r="3262" spans="1:10" ht="39" customHeight="1">
      <c r="A3262" s="233" t="s">
        <v>245</v>
      </c>
      <c r="B3262" s="161"/>
      <c r="C3262" s="161">
        <v>100761</v>
      </c>
      <c r="D3262" s="161" t="str">
        <f>IF(B3262="SEPLAG",VLOOKUP(COMPOSIÇÕES!C3262,'MAPA COMPARATIVO'!A:B,2,FALSE),VLOOKUP(C3262,'NAO DESO'!A:B,2,0))</f>
        <v>PINTURA COM TINTA ALQUÍDICA DE ACABAMENTO (ESMALTE SINTÉTICO FOSCO) PULVERIZADA SOBRE SUPERFÍCIES METÁLICAS (EXCETO PERFIL) EXECUTADO EM OBRA (02 DEMÃOS). AF_01/2020_P</v>
      </c>
      <c r="E3262" s="247" t="s">
        <v>12</v>
      </c>
      <c r="F3262" s="248">
        <v>0.3</v>
      </c>
      <c r="G3262" s="242" t="str">
        <f>IF(B3262="SEPLAG",VLOOKUP(CONCATENATE("MEDIANA - ",C3262),COTAÇÃO,5,FALSE),VLOOKUP($C3262,'NAO DESO'!$A:$D,4,))</f>
        <v>37,28</v>
      </c>
      <c r="H3262" s="242">
        <f t="shared" si="212"/>
        <v>11.18</v>
      </c>
      <c r="I3262" s="54" t="str">
        <f>IF(B3262="SEPLAG",VLOOKUP(CONCATENATE("MEDIANA - ",C3262),COTAÇÃO,5,FALSE),VLOOKUP($C3262,DESON!$A:$D,4,))</f>
        <v>34,93</v>
      </c>
      <c r="J3262" s="209">
        <f t="shared" si="213"/>
        <v>10.47</v>
      </c>
    </row>
    <row r="3263" spans="1:10" ht="15" customHeight="1">
      <c r="A3263" s="210" t="str">
        <f>CONCATENATE("TOTAL DO ITEM NÃO DESON. - ",C3250)</f>
        <v>TOTAL DO ITEM NÃO DESON. - SEPLAG ELE 01</v>
      </c>
      <c r="B3263" s="432"/>
      <c r="C3263" s="432"/>
      <c r="D3263" s="432"/>
      <c r="E3263" s="430"/>
      <c r="F3263" s="1189"/>
      <c r="G3263" s="1189"/>
      <c r="H3263" s="1189">
        <f>SUM(H3253:H3262)</f>
        <v>176.04000000000002</v>
      </c>
      <c r="I3263" s="213"/>
      <c r="J3263" s="215"/>
    </row>
    <row r="3264" spans="1:10" ht="15.75" customHeight="1" thickBot="1">
      <c r="A3264" s="216" t="str">
        <f>CONCATENATE("TOTAL DO ITEM DESON. - ",C3250)</f>
        <v>TOTAL DO ITEM DESON. - SEPLAG ELE 01</v>
      </c>
      <c r="B3264" s="1147"/>
      <c r="C3264" s="1147"/>
      <c r="D3264" s="1147"/>
      <c r="E3264" s="1218"/>
      <c r="F3264" s="1219"/>
      <c r="G3264" s="1219"/>
      <c r="H3264" s="1219"/>
      <c r="I3264" s="229"/>
      <c r="J3264" s="219">
        <f>SUM(J3253:J3263)</f>
        <v>173.17999999999998</v>
      </c>
    </row>
    <row r="3265" spans="1:10" ht="15" customHeight="1" thickBot="1">
      <c r="A3265" s="421"/>
      <c r="B3265" s="1138"/>
      <c r="C3265" s="1138"/>
      <c r="D3265" s="1138"/>
      <c r="E3265" s="1154"/>
      <c r="F3265" s="1196"/>
      <c r="G3265" s="1196"/>
      <c r="H3265" s="1196"/>
      <c r="I3265" s="423"/>
      <c r="J3265" s="422"/>
    </row>
    <row r="3266" spans="1:10" ht="38.25" customHeight="1">
      <c r="A3266" s="256"/>
      <c r="B3266" s="1152"/>
      <c r="C3266" s="1152" t="s">
        <v>7112</v>
      </c>
      <c r="D3266" s="152" t="s">
        <v>7695</v>
      </c>
      <c r="E3266" s="1152" t="s">
        <v>24</v>
      </c>
      <c r="F3266" s="1177" t="s">
        <v>18</v>
      </c>
      <c r="G3266" s="1178" t="s">
        <v>7015</v>
      </c>
      <c r="H3266" s="1179"/>
      <c r="I3266" s="200" t="s">
        <v>7016</v>
      </c>
      <c r="J3266" s="201"/>
    </row>
    <row r="3267" spans="1:10" ht="15" customHeight="1">
      <c r="A3267" s="257"/>
      <c r="B3267" s="430"/>
      <c r="C3267" s="430"/>
      <c r="D3267" s="430"/>
      <c r="E3267" s="430"/>
      <c r="F3267" s="1180"/>
      <c r="G3267" s="1180" t="s">
        <v>19</v>
      </c>
      <c r="H3267" s="1180" t="s">
        <v>20</v>
      </c>
      <c r="I3267" s="204" t="s">
        <v>19</v>
      </c>
      <c r="J3267" s="206" t="s">
        <v>20</v>
      </c>
    </row>
    <row r="3268" spans="1:10" ht="15" customHeight="1">
      <c r="A3268" s="233"/>
      <c r="B3268" s="161"/>
      <c r="C3268" s="161"/>
      <c r="D3268" s="161"/>
      <c r="E3268" s="247"/>
      <c r="F3268" s="248"/>
      <c r="G3268" s="248"/>
      <c r="H3268" s="248"/>
      <c r="I3268" s="214"/>
      <c r="J3268" s="227"/>
    </row>
    <row r="3269" spans="1:10" ht="15" customHeight="1">
      <c r="A3269" s="233" t="s">
        <v>188</v>
      </c>
      <c r="B3269" s="161" t="s">
        <v>14504</v>
      </c>
      <c r="C3269" s="161" t="s">
        <v>14393</v>
      </c>
      <c r="D3269" s="161" t="str">
        <f>IF(B3269="SEPLAG",VLOOKUP(COMPOSIÇÕES!C3269,'MAPA COMPARATIVO'!A:B,2,FALSE),VLOOKUP(C3269,'NAO DESO'!A:B,2,0))</f>
        <v>ARRUELA LISA REDONDA (DIÂMETRO 6,35MM (1/4") PESO/100PÇ: 0,204 KG)</v>
      </c>
      <c r="E3269" s="247" t="s">
        <v>24</v>
      </c>
      <c r="F3269" s="248">
        <v>2.66</v>
      </c>
      <c r="G3269" s="242">
        <f>IF(B3269="SEPLAG",VLOOKUP(CONCATENATE("MEDIANA - ",C3269),COTAÇÃO,5,FALSE),VLOOKUP($C3269,'NAO DESO'!$A:$D,4,))</f>
        <v>0.23</v>
      </c>
      <c r="H3269" s="242">
        <f t="shared" ref="H3269:H3278" si="214">TRUNC(F3269*G3269,2)</f>
        <v>0.61</v>
      </c>
      <c r="I3269" s="54">
        <f>IF(B3269="SEPLAG",VLOOKUP(CONCATENATE("MEDIANA - ",C3269),COTAÇÃO,5,FALSE),VLOOKUP($C3269,DESON!$A:$D,4,))</f>
        <v>0.23</v>
      </c>
      <c r="J3269" s="209">
        <f t="shared" ref="J3269:J3278" si="215">TRUNC(F3269*I3269,2)</f>
        <v>0.61</v>
      </c>
    </row>
    <row r="3270" spans="1:10" ht="26.25" customHeight="1">
      <c r="A3270" s="233" t="s">
        <v>188</v>
      </c>
      <c r="B3270" s="161" t="s">
        <v>14504</v>
      </c>
      <c r="C3270" s="161" t="s">
        <v>14400</v>
      </c>
      <c r="D3270" s="161" t="str">
        <f>IF(B3270="SEPLAG",VLOOKUP(COMPOSIÇÕES!C3270,'MAPA COMPARATIVO'!A:B,2,FALSE),VLOOKUP(C3270,'NAO DESO'!A:B,2,0))</f>
        <v>ELETROCALHA METÁLICA (TIPO: LISA SEM VIROLA TRATAMENTO: PRÉ-ZINCADO CHAPA: N°18 MEDIDAS: 100X50X300MM)</v>
      </c>
      <c r="E3270" s="247" t="s">
        <v>250</v>
      </c>
      <c r="F3270" s="248">
        <v>1</v>
      </c>
      <c r="G3270" s="242">
        <f>IF(B3270="SEPLAG",VLOOKUP(CONCATENATE("MEDIANA - ",C3270),COTAÇÃO,5,FALSE),VLOOKUP($C3270,'NAO DESO'!$A:$D,4,))</f>
        <v>111.13</v>
      </c>
      <c r="H3270" s="242">
        <f t="shared" si="214"/>
        <v>111.13</v>
      </c>
      <c r="I3270" s="54">
        <f>IF(B3270="SEPLAG",VLOOKUP(CONCATENATE("MEDIANA - ",C3270),COTAÇÃO,5,FALSE),VLOOKUP($C3270,DESON!$A:$D,4,))</f>
        <v>111.13</v>
      </c>
      <c r="J3270" s="209">
        <f t="shared" si="215"/>
        <v>111.13</v>
      </c>
    </row>
    <row r="3271" spans="1:10" ht="39" customHeight="1">
      <c r="A3271" s="233" t="s">
        <v>188</v>
      </c>
      <c r="B3271" s="161" t="s">
        <v>14504</v>
      </c>
      <c r="C3271" s="161" t="s">
        <v>14395</v>
      </c>
      <c r="D3271" s="161" t="str">
        <f>IF(B3271="SEPLAG",VLOOKUP(COMPOSIÇÕES!C3271,'MAPA COMPARATIVO'!A:B,2,FALSE),VLOOKUP(C3271,'NAO DESO'!A:B,2,0))</f>
        <v>PARAFUSO (ROSCA: INTEIRA APLICAÇÃO: ELETROCALHA E PERFILADO CABEÇA: LENTILHA MATERIAL: INOX ACABAMENTO: CROMADO BITOLA: 1/4" [6,35MM] X1/2" [12,7MM]  PESO/100PÇ: 0,541KG)</v>
      </c>
      <c r="E3271" s="247" t="s">
        <v>24</v>
      </c>
      <c r="F3271" s="248">
        <v>2.66</v>
      </c>
      <c r="G3271" s="242">
        <f>IF(B3271="SEPLAG",VLOOKUP(CONCATENATE("MEDIANA - ",C3271),COTAÇÃO,5,FALSE),VLOOKUP($C3271,'NAO DESO'!$A:$D,4,))</f>
        <v>0.46</v>
      </c>
      <c r="H3271" s="242">
        <f t="shared" si="214"/>
        <v>1.22</v>
      </c>
      <c r="I3271" s="54">
        <f>IF(B3271="SEPLAG",VLOOKUP(CONCATENATE("MEDIANA - ",C3271),COTAÇÃO,5,FALSE),VLOOKUP($C3271,DESON!$A:$D,4,))</f>
        <v>0.46</v>
      </c>
      <c r="J3271" s="209">
        <f t="shared" si="215"/>
        <v>1.22</v>
      </c>
    </row>
    <row r="3272" spans="1:10" ht="26.25" customHeight="1">
      <c r="A3272" s="233" t="s">
        <v>188</v>
      </c>
      <c r="B3272" s="161" t="s">
        <v>14504</v>
      </c>
      <c r="C3272" s="161" t="s">
        <v>14396</v>
      </c>
      <c r="D3272" s="161" t="str">
        <f>IF(B3272="SEPLAG",VLOOKUP(COMPOSIÇÕES!C3272,'MAPA COMPARATIVO'!A:B,2,FALSE),VLOOKUP(C3272,'NAO DESO'!A:B,2,0))</f>
        <v>PORCA SEXTAVADA ( MATERIAL: AÇO|  DIÂMETRO : 6,35MM [1/4"] PESO/100 PÇ : 0,320 KG)</v>
      </c>
      <c r="E3272" s="247" t="s">
        <v>24</v>
      </c>
      <c r="F3272" s="248">
        <v>2.66</v>
      </c>
      <c r="G3272" s="242">
        <f>IF(B3272="SEPLAG",VLOOKUP(CONCATENATE("MEDIANA - ",C3272),COTAÇÃO,5,FALSE),VLOOKUP($C3272,'NAO DESO'!$A:$D,4,))</f>
        <v>0.32</v>
      </c>
      <c r="H3272" s="242">
        <f t="shared" si="214"/>
        <v>0.85</v>
      </c>
      <c r="I3272" s="54">
        <f>IF(B3272="SEPLAG",VLOOKUP(CONCATENATE("MEDIANA - ",C3272),COTAÇÃO,5,FALSE),VLOOKUP($C3272,DESON!$A:$D,4,))</f>
        <v>0.32</v>
      </c>
      <c r="J3272" s="209">
        <f t="shared" si="215"/>
        <v>0.85</v>
      </c>
    </row>
    <row r="3273" spans="1:10" ht="26.25" customHeight="1">
      <c r="A3273" s="233" t="s">
        <v>188</v>
      </c>
      <c r="B3273" s="161" t="s">
        <v>14504</v>
      </c>
      <c r="C3273" s="161" t="s">
        <v>14397</v>
      </c>
      <c r="D3273" s="161" t="str">
        <f>IF(B3273="SEPLAG",VLOOKUP(COMPOSIÇÕES!C3273,'MAPA COMPARATIVO'!A:B,2,FALSE),VLOOKUP(C3273,'NAO DESO'!A:B,2,0))</f>
        <v>TALA RETA (TIPO: AUTOPORTANTE TRATAMENTO: PRÉ-ZINCADO CHAPA: N°18 MEDIDA: 50MM APLICAÇÃO: EMENDA PARA ELETROCALHA)</v>
      </c>
      <c r="E3273" s="247" t="s">
        <v>32</v>
      </c>
      <c r="F3273" s="248">
        <v>2.66</v>
      </c>
      <c r="G3273" s="242">
        <f>IF(B3273="SEPLAG",VLOOKUP(CONCATENATE("MEDIANA - ",C3273),COTAÇÃO,5,FALSE),VLOOKUP($C3273,'NAO DESO'!$A:$D,4,))</f>
        <v>3.3</v>
      </c>
      <c r="H3273" s="242">
        <f t="shared" si="214"/>
        <v>8.77</v>
      </c>
      <c r="I3273" s="54">
        <f>IF(B3273="SEPLAG",VLOOKUP(CONCATENATE("MEDIANA - ",C3273),COTAÇÃO,5,FALSE),VLOOKUP($C3273,DESON!$A:$D,4,))</f>
        <v>3.3</v>
      </c>
      <c r="J3273" s="209">
        <f t="shared" si="215"/>
        <v>8.77</v>
      </c>
    </row>
    <row r="3274" spans="1:10" ht="26.25" customHeight="1">
      <c r="A3274" s="233" t="s">
        <v>188</v>
      </c>
      <c r="B3274" s="161" t="s">
        <v>14504</v>
      </c>
      <c r="C3274" s="161" t="s">
        <v>14401</v>
      </c>
      <c r="D3274" s="161" t="str">
        <f>IF(B3274="SEPLAG",VLOOKUP(COMPOSIÇÕES!C3274,'MAPA COMPARATIVO'!A:B,2,FALSE),VLOOKUP(C3274,'NAO DESO'!A:B,2,0))</f>
        <v>TAMPA PARA ELETROCALHA METÁLICA ( TIPO: ENCAIXE TRATAMENTO: PRÉ- ZINCADO|CHAPA: N°24 MEDIDA: 100MM)</v>
      </c>
      <c r="E3274" s="247" t="s">
        <v>32</v>
      </c>
      <c r="F3274" s="248">
        <v>1</v>
      </c>
      <c r="G3274" s="242">
        <f>IF(B3274="SEPLAG",VLOOKUP(CONCATENATE("MEDIANA - ",C3274),COTAÇÃO,5,FALSE),VLOOKUP($C3274,'NAO DESO'!$A:$D,4,))</f>
        <v>60.88</v>
      </c>
      <c r="H3274" s="242">
        <f t="shared" si="214"/>
        <v>60.88</v>
      </c>
      <c r="I3274" s="54">
        <f>IF(B3274="SEPLAG",VLOOKUP(CONCATENATE("MEDIANA - ",C3274),COTAÇÃO,5,FALSE),VLOOKUP($C3274,DESON!$A:$D,4,))</f>
        <v>60.88</v>
      </c>
      <c r="J3274" s="209">
        <f t="shared" si="215"/>
        <v>60.88</v>
      </c>
    </row>
    <row r="3275" spans="1:10" ht="15" customHeight="1">
      <c r="A3275" s="233" t="s">
        <v>245</v>
      </c>
      <c r="B3275" s="161"/>
      <c r="C3275" s="161">
        <v>88247</v>
      </c>
      <c r="D3275" s="161" t="str">
        <f>IF(B3275="SEPLAG",VLOOKUP(COMPOSIÇÕES!C3275,'MAPA COMPARATIVO'!A:B,2,FALSE),VLOOKUP(C3275,'NAO DESO'!A:B,2,0))</f>
        <v>AUXILIAR DE ELETRICISTA COM ENCARGOS COMPLEMENTARES</v>
      </c>
      <c r="E3275" s="247" t="s">
        <v>16</v>
      </c>
      <c r="F3275" s="248">
        <v>0.54</v>
      </c>
      <c r="G3275" s="242" t="str">
        <f>IF(B3275="SEPLAG",VLOOKUP(CONCATENATE("MEDIANA - ",C3275),COTAÇÃO,5,FALSE),VLOOKUP($C3275,'NAO DESO'!$A:$D,4,))</f>
        <v>16,84</v>
      </c>
      <c r="H3275" s="242">
        <f t="shared" si="214"/>
        <v>9.09</v>
      </c>
      <c r="I3275" s="54" t="str">
        <f>IF(B3275="SEPLAG",VLOOKUP(CONCATENATE("MEDIANA - ",C3275),COTAÇÃO,5,FALSE),VLOOKUP($C3275,DESON!$A:$D,4,))</f>
        <v>15,19</v>
      </c>
      <c r="J3275" s="209">
        <f t="shared" si="215"/>
        <v>8.1999999999999993</v>
      </c>
    </row>
    <row r="3276" spans="1:10" ht="15" customHeight="1">
      <c r="A3276" s="233" t="s">
        <v>245</v>
      </c>
      <c r="B3276" s="161"/>
      <c r="C3276" s="161">
        <v>88264</v>
      </c>
      <c r="D3276" s="161" t="str">
        <f>IF(B3276="SEPLAG",VLOOKUP(COMPOSIÇÕES!C3276,'MAPA COMPARATIVO'!A:B,2,FALSE),VLOOKUP(C3276,'NAO DESO'!A:B,2,0))</f>
        <v>ELETRICISTA COM ENCARGOS COMPLEMENTARES</v>
      </c>
      <c r="E3276" s="247" t="s">
        <v>16</v>
      </c>
      <c r="F3276" s="248">
        <v>0.54</v>
      </c>
      <c r="G3276" s="242" t="str">
        <f>IF(B3276="SEPLAG",VLOOKUP(CONCATENATE("MEDIANA - ",C3276),COTAÇÃO,5,FALSE),VLOOKUP($C3276,'NAO DESO'!$A:$D,4,))</f>
        <v>21,87</v>
      </c>
      <c r="H3276" s="242">
        <f t="shared" si="214"/>
        <v>11.8</v>
      </c>
      <c r="I3276" s="54" t="str">
        <f>IF(B3276="SEPLAG",VLOOKUP(CONCATENATE("MEDIANA - ",C3276),COTAÇÃO,5,FALSE),VLOOKUP($C3276,DESON!$A:$D,4,))</f>
        <v>19,53</v>
      </c>
      <c r="J3276" s="209">
        <f t="shared" si="215"/>
        <v>10.54</v>
      </c>
    </row>
    <row r="3277" spans="1:10" ht="39" customHeight="1">
      <c r="A3277" s="233" t="s">
        <v>245</v>
      </c>
      <c r="B3277" s="161" t="s">
        <v>14504</v>
      </c>
      <c r="C3277" s="161" t="s">
        <v>14399</v>
      </c>
      <c r="D3277" s="161" t="str">
        <f>IF(B3277="SEPLAG",VLOOKUP(COMPOSIÇÕES!C3277,'MAPA COMPARATIVO'!A:B,2,FALSE),VLOOKUP(C3277,'NAO DESO'!A:B,2,0))</f>
        <v xml:space="preserve">FIXAÇÃO DE ELETROCALHA/LEITO HORIZONTAL COM LARGURA MENOR OU IGUAL A 200 MM EM LAJE, COM SUPORTE EM PERFILADO, INCLUSIVE PERFILADO, VERGALHÃO E ACESSÓRIOS, </v>
      </c>
      <c r="E3277" s="247" t="s">
        <v>250</v>
      </c>
      <c r="F3277" s="248">
        <v>1</v>
      </c>
      <c r="G3277" s="242">
        <f>IF(B3277="SEPLAG",VLOOKUP(CONCATENATE("MEDIANA - ",C3277),COTAÇÃO,5,FALSE),VLOOKUP($C3277,'NAO DESO'!$A:$D,4,))</f>
        <v>10.59</v>
      </c>
      <c r="H3277" s="242">
        <f t="shared" si="214"/>
        <v>10.59</v>
      </c>
      <c r="I3277" s="54">
        <f>IF(B3277="SEPLAG",VLOOKUP(CONCATENATE("MEDIANA - ",C3277),COTAÇÃO,5,FALSE),VLOOKUP($C3277,DESON!$A:$D,4,))</f>
        <v>10.59</v>
      </c>
      <c r="J3277" s="209">
        <f t="shared" si="215"/>
        <v>10.59</v>
      </c>
    </row>
    <row r="3278" spans="1:10" ht="39" customHeight="1">
      <c r="A3278" s="233" t="s">
        <v>245</v>
      </c>
      <c r="B3278" s="161"/>
      <c r="C3278" s="161">
        <v>100761</v>
      </c>
      <c r="D3278" s="161" t="str">
        <f>IF(B3278="SEPLAG",VLOOKUP(COMPOSIÇÕES!C3278,'MAPA COMPARATIVO'!A:B,2,FALSE),VLOOKUP(C3278,'NAO DESO'!A:B,2,0))</f>
        <v>PINTURA COM TINTA ALQUÍDICA DE ACABAMENTO (ESMALTE SINTÉTICO FOSCO) PULVERIZADA SOBRE SUPERFÍCIES METÁLICAS (EXCETO PERFIL) EXECUTADO EM OBRA (02 DEMÃOS). AF_01/2020_P</v>
      </c>
      <c r="E3278" s="247" t="s">
        <v>12</v>
      </c>
      <c r="F3278" s="248">
        <v>0.3</v>
      </c>
      <c r="G3278" s="242" t="str">
        <f>IF(B3278="SEPLAG",VLOOKUP(CONCATENATE("MEDIANA - ",C3278),COTAÇÃO,5,FALSE),VLOOKUP($C3278,'NAO DESO'!$A:$D,4,))</f>
        <v>37,28</v>
      </c>
      <c r="H3278" s="242">
        <f t="shared" si="214"/>
        <v>11.18</v>
      </c>
      <c r="I3278" s="54" t="str">
        <f>IF(B3278="SEPLAG",VLOOKUP(CONCATENATE("MEDIANA - ",C3278),COTAÇÃO,5,FALSE),VLOOKUP($C3278,DESON!$A:$D,4,))</f>
        <v>34,93</v>
      </c>
      <c r="J3278" s="209">
        <f t="shared" si="215"/>
        <v>10.47</v>
      </c>
    </row>
    <row r="3279" spans="1:10" ht="15" customHeight="1">
      <c r="A3279" s="210" t="str">
        <f>CONCATENATE("TOTAL DO ITEM NÃO DESON. - ",C3266)</f>
        <v>TOTAL DO ITEM NÃO DESON. - SEPLAG ELE 02</v>
      </c>
      <c r="B3279" s="432"/>
      <c r="C3279" s="432"/>
      <c r="D3279" s="432"/>
      <c r="E3279" s="430"/>
      <c r="F3279" s="1189"/>
      <c r="G3279" s="1189"/>
      <c r="H3279" s="1189">
        <f>SUM(H3269:H3278)</f>
        <v>226.12</v>
      </c>
      <c r="I3279" s="213"/>
      <c r="J3279" s="215"/>
    </row>
    <row r="3280" spans="1:10" ht="15.75" customHeight="1" thickBot="1">
      <c r="A3280" s="216" t="str">
        <f>CONCATENATE("TOTAL DO ITEM DESON. - ",C3266)</f>
        <v>TOTAL DO ITEM DESON. - SEPLAG ELE 02</v>
      </c>
      <c r="B3280" s="1147"/>
      <c r="C3280" s="1147"/>
      <c r="D3280" s="1147"/>
      <c r="E3280" s="1218"/>
      <c r="F3280" s="1219"/>
      <c r="G3280" s="1219"/>
      <c r="H3280" s="1219"/>
      <c r="I3280" s="229"/>
      <c r="J3280" s="219">
        <f>SUM(J3269:J3279)</f>
        <v>223.25999999999996</v>
      </c>
    </row>
    <row r="3281" spans="1:10" ht="15" customHeight="1" thickBot="1">
      <c r="A3281" s="421"/>
      <c r="B3281" s="1138"/>
      <c r="C3281" s="1138"/>
      <c r="D3281" s="1138"/>
      <c r="E3281" s="1154"/>
      <c r="F3281" s="1196"/>
      <c r="G3281" s="1196"/>
      <c r="H3281" s="1196"/>
      <c r="I3281" s="423"/>
      <c r="J3281" s="422"/>
    </row>
    <row r="3282" spans="1:10" ht="38.25" customHeight="1">
      <c r="A3282" s="256"/>
      <c r="B3282" s="1152"/>
      <c r="C3282" s="1152" t="s">
        <v>7115</v>
      </c>
      <c r="D3282" s="152" t="s">
        <v>7696</v>
      </c>
      <c r="E3282" s="1152" t="s">
        <v>24</v>
      </c>
      <c r="F3282" s="1177" t="s">
        <v>18</v>
      </c>
      <c r="G3282" s="1178" t="s">
        <v>7015</v>
      </c>
      <c r="H3282" s="1179"/>
      <c r="I3282" s="200" t="s">
        <v>7016</v>
      </c>
      <c r="J3282" s="201"/>
    </row>
    <row r="3283" spans="1:10" ht="15" customHeight="1">
      <c r="A3283" s="257"/>
      <c r="B3283" s="430"/>
      <c r="C3283" s="430"/>
      <c r="D3283" s="430"/>
      <c r="E3283" s="430"/>
      <c r="F3283" s="1180"/>
      <c r="G3283" s="1180" t="s">
        <v>19</v>
      </c>
      <c r="H3283" s="1180" t="s">
        <v>20</v>
      </c>
      <c r="I3283" s="204" t="s">
        <v>19</v>
      </c>
      <c r="J3283" s="206" t="s">
        <v>20</v>
      </c>
    </row>
    <row r="3284" spans="1:10" ht="15" customHeight="1">
      <c r="A3284" s="233"/>
      <c r="B3284" s="161"/>
      <c r="C3284" s="161"/>
      <c r="D3284" s="161" t="s">
        <v>7117</v>
      </c>
      <c r="E3284" s="247"/>
      <c r="F3284" s="248"/>
      <c r="G3284" s="248"/>
      <c r="H3284" s="248"/>
      <c r="I3284" s="214"/>
      <c r="J3284" s="227"/>
    </row>
    <row r="3285" spans="1:10" ht="15" customHeight="1">
      <c r="A3285" s="233" t="s">
        <v>188</v>
      </c>
      <c r="B3285" s="161" t="s">
        <v>14504</v>
      </c>
      <c r="C3285" s="161" t="s">
        <v>14393</v>
      </c>
      <c r="D3285" s="161" t="str">
        <f>IF(B3285="SEPLAG",VLOOKUP(COMPOSIÇÕES!C3285,'MAPA COMPARATIVO'!A:B,2,FALSE),VLOOKUP(C3285,'NAO DESO'!A:B,2,0))</f>
        <v>ARRUELA LISA REDONDA (DIÂMETRO 6,35MM (1/4") PESO/100PÇ: 0,204 KG)</v>
      </c>
      <c r="E3285" s="247" t="s">
        <v>24</v>
      </c>
      <c r="F3285" s="248">
        <v>2.66</v>
      </c>
      <c r="G3285" s="242">
        <f>IF(B3285="SEPLAG",VLOOKUP(CONCATENATE("MEDIANA - ",C3285),COTAÇÃO,5,FALSE),VLOOKUP($C3285,'NAO DESO'!$A:$D,4,))</f>
        <v>0.23</v>
      </c>
      <c r="H3285" s="242">
        <f t="shared" ref="H3285:H3294" si="216">TRUNC(F3285*G3285,2)</f>
        <v>0.61</v>
      </c>
      <c r="I3285" s="54">
        <f>IF(B3285="SEPLAG",VLOOKUP(CONCATENATE("MEDIANA - ",C3285),COTAÇÃO,5,FALSE),VLOOKUP($C3285,DESON!$A:$D,4,))</f>
        <v>0.23</v>
      </c>
      <c r="J3285" s="209">
        <f t="shared" ref="J3285:J3294" si="217">TRUNC(F3285*I3285,2)</f>
        <v>0.61</v>
      </c>
    </row>
    <row r="3286" spans="1:10" ht="15" customHeight="1">
      <c r="A3286" s="233" t="s">
        <v>188</v>
      </c>
      <c r="B3286" s="161" t="s">
        <v>14504</v>
      </c>
      <c r="C3286" s="161" t="s">
        <v>14402</v>
      </c>
      <c r="D3286" s="161" t="str">
        <f>IF(B3286="SEPLAG",VLOOKUP(COMPOSIÇÕES!C3286,'MAPA COMPARATIVO'!A:B,2,FALSE),VLOOKUP(C3286,'NAO DESO'!A:B,2,0))</f>
        <v>ELETROCALHA METÁLICA  N°22 MEDIDAS: 200X50X300MM OU SIMILAR</v>
      </c>
      <c r="E3286" s="247" t="s">
        <v>250</v>
      </c>
      <c r="F3286" s="248">
        <v>1</v>
      </c>
      <c r="G3286" s="242">
        <f>IF(B3286="SEPLAG",VLOOKUP(CONCATENATE("MEDIANA - ",C3286),COTAÇÃO,5,FALSE),VLOOKUP($C3286,'NAO DESO'!$A:$D,4,))</f>
        <v>234.23</v>
      </c>
      <c r="H3286" s="242">
        <f t="shared" si="216"/>
        <v>234.23</v>
      </c>
      <c r="I3286" s="54">
        <f>IF(B3286="SEPLAG",VLOOKUP(CONCATENATE("MEDIANA - ",C3286),COTAÇÃO,5,FALSE),VLOOKUP($C3286,DESON!$A:$D,4,))</f>
        <v>234.23</v>
      </c>
      <c r="J3286" s="209">
        <f t="shared" si="217"/>
        <v>234.23</v>
      </c>
    </row>
    <row r="3287" spans="1:10" ht="39" customHeight="1">
      <c r="A3287" s="233" t="s">
        <v>188</v>
      </c>
      <c r="B3287" s="161" t="s">
        <v>14504</v>
      </c>
      <c r="C3287" s="161" t="s">
        <v>14395</v>
      </c>
      <c r="D3287" s="161" t="str">
        <f>IF(B3287="SEPLAG",VLOOKUP(COMPOSIÇÕES!C3287,'MAPA COMPARATIVO'!A:B,2,FALSE),VLOOKUP(C3287,'NAO DESO'!A:B,2,0))</f>
        <v>PARAFUSO (ROSCA: INTEIRA APLICAÇÃO: ELETROCALHA E PERFILADO CABEÇA: LENTILHA MATERIAL: INOX ACABAMENTO: CROMADO BITOLA: 1/4" [6,35MM] X1/2" [12,7MM]  PESO/100PÇ: 0,541KG)</v>
      </c>
      <c r="E3287" s="247" t="s">
        <v>24</v>
      </c>
      <c r="F3287" s="248">
        <v>2.66</v>
      </c>
      <c r="G3287" s="242">
        <f>IF(B3287="SEPLAG",VLOOKUP(CONCATENATE("MEDIANA - ",C3287),COTAÇÃO,5,FALSE),VLOOKUP($C3287,'NAO DESO'!$A:$D,4,))</f>
        <v>0.46</v>
      </c>
      <c r="H3287" s="242">
        <f t="shared" si="216"/>
        <v>1.22</v>
      </c>
      <c r="I3287" s="54">
        <f>IF(B3287="SEPLAG",VLOOKUP(CONCATENATE("MEDIANA - ",C3287),COTAÇÃO,5,FALSE),VLOOKUP($C3287,DESON!$A:$D,4,))</f>
        <v>0.46</v>
      </c>
      <c r="J3287" s="209">
        <f t="shared" si="217"/>
        <v>1.22</v>
      </c>
    </row>
    <row r="3288" spans="1:10" ht="26.25" customHeight="1">
      <c r="A3288" s="233" t="s">
        <v>188</v>
      </c>
      <c r="B3288" s="161" t="s">
        <v>14504</v>
      </c>
      <c r="C3288" s="161" t="s">
        <v>14396</v>
      </c>
      <c r="D3288" s="161" t="str">
        <f>IF(B3288="SEPLAG",VLOOKUP(COMPOSIÇÕES!C3288,'MAPA COMPARATIVO'!A:B,2,FALSE),VLOOKUP(C3288,'NAO DESO'!A:B,2,0))</f>
        <v>PORCA SEXTAVADA ( MATERIAL: AÇO|  DIÂMETRO : 6,35MM [1/4"] PESO/100 PÇ : 0,320 KG)</v>
      </c>
      <c r="E3288" s="247" t="s">
        <v>24</v>
      </c>
      <c r="F3288" s="248">
        <v>2.66</v>
      </c>
      <c r="G3288" s="242">
        <f>IF(B3288="SEPLAG",VLOOKUP(CONCATENATE("MEDIANA - ",C3288),COTAÇÃO,5,FALSE),VLOOKUP($C3288,'NAO DESO'!$A:$D,4,))</f>
        <v>0.32</v>
      </c>
      <c r="H3288" s="242">
        <f t="shared" si="216"/>
        <v>0.85</v>
      </c>
      <c r="I3288" s="54">
        <f>IF(B3288="SEPLAG",VLOOKUP(CONCATENATE("MEDIANA - ",C3288),COTAÇÃO,5,FALSE),VLOOKUP($C3288,DESON!$A:$D,4,))</f>
        <v>0.32</v>
      </c>
      <c r="J3288" s="209">
        <f t="shared" si="217"/>
        <v>0.85</v>
      </c>
    </row>
    <row r="3289" spans="1:10" ht="26.25" customHeight="1">
      <c r="A3289" s="233" t="s">
        <v>188</v>
      </c>
      <c r="B3289" s="161" t="s">
        <v>14504</v>
      </c>
      <c r="C3289" s="161" t="s">
        <v>14397</v>
      </c>
      <c r="D3289" s="161" t="str">
        <f>IF(B3289="SEPLAG",VLOOKUP(COMPOSIÇÕES!C3289,'MAPA COMPARATIVO'!A:B,2,FALSE),VLOOKUP(C3289,'NAO DESO'!A:B,2,0))</f>
        <v>TALA RETA (TIPO: AUTOPORTANTE TRATAMENTO: PRÉ-ZINCADO CHAPA: N°18 MEDIDA: 50MM APLICAÇÃO: EMENDA PARA ELETROCALHA)</v>
      </c>
      <c r="E3289" s="247" t="s">
        <v>32</v>
      </c>
      <c r="F3289" s="248">
        <v>2.66</v>
      </c>
      <c r="G3289" s="242">
        <f>IF(B3289="SEPLAG",VLOOKUP(CONCATENATE("MEDIANA - ",C3289),COTAÇÃO,5,FALSE),VLOOKUP($C3289,'NAO DESO'!$A:$D,4,))</f>
        <v>3.3</v>
      </c>
      <c r="H3289" s="242">
        <f t="shared" si="216"/>
        <v>8.77</v>
      </c>
      <c r="I3289" s="54">
        <f>IF(B3289="SEPLAG",VLOOKUP(CONCATENATE("MEDIANA - ",C3289),COTAÇÃO,5,FALSE),VLOOKUP($C3289,DESON!$A:$D,4,))</f>
        <v>3.3</v>
      </c>
      <c r="J3289" s="209">
        <f t="shared" si="217"/>
        <v>8.77</v>
      </c>
    </row>
    <row r="3290" spans="1:10" ht="26.25" customHeight="1">
      <c r="A3290" s="233" t="s">
        <v>188</v>
      </c>
      <c r="B3290" s="161" t="s">
        <v>14504</v>
      </c>
      <c r="C3290" s="161" t="s">
        <v>14403</v>
      </c>
      <c r="D3290" s="161" t="str">
        <f>IF(B3290="SEPLAG",VLOOKUP(COMPOSIÇÕES!C3290,'MAPA COMPARATIVO'!A:B,2,FALSE),VLOOKUP(C3290,'NAO DESO'!A:B,2,0))</f>
        <v>TAMPA PARA ELETROCALHA METÁLICA ( TIPO: ENCAIXE TRATAMENTO: PRÉ- ZINCADO|CHAPA: N°24 MEDIDA: 200MM)</v>
      </c>
      <c r="E3290" s="247" t="s">
        <v>250</v>
      </c>
      <c r="F3290" s="248">
        <v>1</v>
      </c>
      <c r="G3290" s="242">
        <f>IF(B3290="SEPLAG",VLOOKUP(CONCATENATE("MEDIANA - ",C3290),COTAÇÃO,5,FALSE),VLOOKUP($C3290,'NAO DESO'!$A:$D,4,))</f>
        <v>105.6</v>
      </c>
      <c r="H3290" s="242">
        <f t="shared" si="216"/>
        <v>105.6</v>
      </c>
      <c r="I3290" s="54">
        <f>IF(B3290="SEPLAG",VLOOKUP(CONCATENATE("MEDIANA - ",C3290),COTAÇÃO,5,FALSE),VLOOKUP($C3290,DESON!$A:$D,4,))</f>
        <v>105.6</v>
      </c>
      <c r="J3290" s="209">
        <f t="shared" si="217"/>
        <v>105.6</v>
      </c>
    </row>
    <row r="3291" spans="1:10" ht="15" customHeight="1">
      <c r="A3291" s="233" t="s">
        <v>245</v>
      </c>
      <c r="B3291" s="161"/>
      <c r="C3291" s="161">
        <v>88247</v>
      </c>
      <c r="D3291" s="161" t="str">
        <f>IF(B3291="SEPLAG",VLOOKUP(COMPOSIÇÕES!C3291,'MAPA COMPARATIVO'!A:B,2,FALSE),VLOOKUP(C3291,'NAO DESO'!A:B,2,0))</f>
        <v>AUXILIAR DE ELETRICISTA COM ENCARGOS COMPLEMENTARES</v>
      </c>
      <c r="E3291" s="247" t="s">
        <v>16</v>
      </c>
      <c r="F3291" s="248">
        <v>0.54</v>
      </c>
      <c r="G3291" s="242" t="str">
        <f>IF(B3291="SEPLAG",VLOOKUP(CONCATENATE("MEDIANA - ",C3291),COTAÇÃO,5,FALSE),VLOOKUP($C3291,'NAO DESO'!$A:$D,4,))</f>
        <v>16,84</v>
      </c>
      <c r="H3291" s="242">
        <f t="shared" si="216"/>
        <v>9.09</v>
      </c>
      <c r="I3291" s="54" t="str">
        <f>IF(B3291="SEPLAG",VLOOKUP(CONCATENATE("MEDIANA - ",C3291),COTAÇÃO,5,FALSE),VLOOKUP($C3291,DESON!$A:$D,4,))</f>
        <v>15,19</v>
      </c>
      <c r="J3291" s="209">
        <f t="shared" si="217"/>
        <v>8.1999999999999993</v>
      </c>
    </row>
    <row r="3292" spans="1:10" ht="15" customHeight="1">
      <c r="A3292" s="233" t="s">
        <v>245</v>
      </c>
      <c r="B3292" s="161"/>
      <c r="C3292" s="161">
        <v>88264</v>
      </c>
      <c r="D3292" s="161" t="str">
        <f>IF(B3292="SEPLAG",VLOOKUP(COMPOSIÇÕES!C3292,'MAPA COMPARATIVO'!A:B,2,FALSE),VLOOKUP(C3292,'NAO DESO'!A:B,2,0))</f>
        <v>ELETRICISTA COM ENCARGOS COMPLEMENTARES</v>
      </c>
      <c r="E3292" s="247" t="s">
        <v>16</v>
      </c>
      <c r="F3292" s="248">
        <v>0.54</v>
      </c>
      <c r="G3292" s="242" t="str">
        <f>IF(B3292="SEPLAG",VLOOKUP(CONCATENATE("MEDIANA - ",C3292),COTAÇÃO,5,FALSE),VLOOKUP($C3292,'NAO DESO'!$A:$D,4,))</f>
        <v>21,87</v>
      </c>
      <c r="H3292" s="242">
        <f t="shared" si="216"/>
        <v>11.8</v>
      </c>
      <c r="I3292" s="54" t="str">
        <f>IF(B3292="SEPLAG",VLOOKUP(CONCATENATE("MEDIANA - ",C3292),COTAÇÃO,5,FALSE),VLOOKUP($C3292,DESON!$A:$D,4,))</f>
        <v>19,53</v>
      </c>
      <c r="J3292" s="209">
        <f t="shared" si="217"/>
        <v>10.54</v>
      </c>
    </row>
    <row r="3293" spans="1:10" ht="39" customHeight="1">
      <c r="A3293" s="233" t="s">
        <v>188</v>
      </c>
      <c r="B3293" s="161" t="s">
        <v>14504</v>
      </c>
      <c r="C3293" s="161" t="s">
        <v>14399</v>
      </c>
      <c r="D3293" s="161" t="str">
        <f>IF(B3293="SEPLAG",VLOOKUP(COMPOSIÇÕES!C3293,'MAPA COMPARATIVO'!A:B,2,FALSE),VLOOKUP(C3293,'NAO DESO'!A:B,2,0))</f>
        <v xml:space="preserve">FIXAÇÃO DE ELETROCALHA/LEITO HORIZONTAL COM LARGURA MENOR OU IGUAL A 200 MM EM LAJE, COM SUPORTE EM PERFILADO, INCLUSIVE PERFILADO, VERGALHÃO E ACESSÓRIOS, </v>
      </c>
      <c r="E3293" s="247" t="s">
        <v>250</v>
      </c>
      <c r="F3293" s="248">
        <v>1</v>
      </c>
      <c r="G3293" s="242">
        <f>IF(B3293="SEPLAG",VLOOKUP(CONCATENATE("MEDIANA - ",C3293),COTAÇÃO,5,FALSE),VLOOKUP($C3293,'NAO DESO'!$A:$D,4,))</f>
        <v>10.59</v>
      </c>
      <c r="H3293" s="242">
        <f t="shared" si="216"/>
        <v>10.59</v>
      </c>
      <c r="I3293" s="54">
        <f>IF(B3293="SEPLAG",VLOOKUP(CONCATENATE("MEDIANA - ",C3293),COTAÇÃO,5,FALSE),VLOOKUP($C3293,DESON!$A:$D,4,))</f>
        <v>10.59</v>
      </c>
      <c r="J3293" s="209">
        <f t="shared" si="217"/>
        <v>10.59</v>
      </c>
    </row>
    <row r="3294" spans="1:10" ht="39" customHeight="1">
      <c r="A3294" s="233" t="s">
        <v>245</v>
      </c>
      <c r="B3294" s="161"/>
      <c r="C3294" s="161">
        <v>100761</v>
      </c>
      <c r="D3294" s="161" t="str">
        <f>IF(B3294="SEPLAG",VLOOKUP(COMPOSIÇÕES!C3294,'MAPA COMPARATIVO'!A:B,2,FALSE),VLOOKUP(C3294,'NAO DESO'!A:B,2,0))</f>
        <v>PINTURA COM TINTA ALQUÍDICA DE ACABAMENTO (ESMALTE SINTÉTICO FOSCO) PULVERIZADA SOBRE SUPERFÍCIES METÁLICAS (EXCETO PERFIL) EXECUTADO EM OBRA (02 DEMÃOS). AF_01/2020_P</v>
      </c>
      <c r="E3294" s="247" t="s">
        <v>12</v>
      </c>
      <c r="F3294" s="248">
        <v>0.3</v>
      </c>
      <c r="G3294" s="242" t="str">
        <f>IF(B3294="SEPLAG",VLOOKUP(CONCATENATE("MEDIANA - ",C3294),COTAÇÃO,5,FALSE),VLOOKUP($C3294,'NAO DESO'!$A:$D,4,))</f>
        <v>37,28</v>
      </c>
      <c r="H3294" s="242">
        <f t="shared" si="216"/>
        <v>11.18</v>
      </c>
      <c r="I3294" s="54" t="str">
        <f>IF(B3294="SEPLAG",VLOOKUP(CONCATENATE("MEDIANA - ",C3294),COTAÇÃO,5,FALSE),VLOOKUP($C3294,DESON!$A:$D,4,))</f>
        <v>34,93</v>
      </c>
      <c r="J3294" s="209">
        <f t="shared" si="217"/>
        <v>10.47</v>
      </c>
    </row>
    <row r="3295" spans="1:10" ht="15" customHeight="1">
      <c r="A3295" s="210" t="str">
        <f>CONCATENATE("TOTAL DO ITEM NÃO DESON. - ",C3282)</f>
        <v>TOTAL DO ITEM NÃO DESON. - SEPLAG ELE 03</v>
      </c>
      <c r="B3295" s="432"/>
      <c r="C3295" s="432"/>
      <c r="D3295" s="432"/>
      <c r="E3295" s="430"/>
      <c r="F3295" s="1189"/>
      <c r="G3295" s="1189"/>
      <c r="H3295" s="1189">
        <f>SUM(H3285:H3294)</f>
        <v>393.93999999999994</v>
      </c>
      <c r="I3295" s="205"/>
      <c r="J3295" s="215"/>
    </row>
    <row r="3296" spans="1:10" ht="15.75" customHeight="1" thickBot="1">
      <c r="A3296" s="216" t="str">
        <f>CONCATENATE("TOTAL DO ITEM DESON. - ",C3282)</f>
        <v>TOTAL DO ITEM DESON. - SEPLAG ELE 03</v>
      </c>
      <c r="B3296" s="1147"/>
      <c r="C3296" s="1147"/>
      <c r="D3296" s="1147"/>
      <c r="E3296" s="1218"/>
      <c r="F3296" s="1219"/>
      <c r="G3296" s="1219"/>
      <c r="H3296" s="1219"/>
      <c r="I3296" s="229"/>
      <c r="J3296" s="460">
        <f>SUM(J3285:J3295)</f>
        <v>391.08</v>
      </c>
    </row>
    <row r="3297" spans="1:10" ht="15" customHeight="1" thickBot="1">
      <c r="A3297" s="421"/>
      <c r="B3297" s="1138"/>
      <c r="C3297" s="1138"/>
      <c r="D3297" s="1138"/>
      <c r="E3297" s="1154"/>
      <c r="F3297" s="1196"/>
      <c r="G3297" s="1196"/>
      <c r="H3297" s="1196"/>
      <c r="I3297" s="423"/>
      <c r="J3297" s="422"/>
    </row>
    <row r="3298" spans="1:10" ht="38.25" customHeight="1">
      <c r="A3298" s="256"/>
      <c r="B3298" s="1152"/>
      <c r="C3298" s="1152" t="s">
        <v>7118</v>
      </c>
      <c r="D3298" s="152" t="s">
        <v>7697</v>
      </c>
      <c r="E3298" s="1152" t="s">
        <v>24</v>
      </c>
      <c r="F3298" s="1177" t="s">
        <v>18</v>
      </c>
      <c r="G3298" s="1178" t="s">
        <v>7015</v>
      </c>
      <c r="H3298" s="1179"/>
      <c r="I3298" s="200" t="s">
        <v>7016</v>
      </c>
      <c r="J3298" s="201"/>
    </row>
    <row r="3299" spans="1:10" ht="15" customHeight="1">
      <c r="A3299" s="257"/>
      <c r="B3299" s="430"/>
      <c r="C3299" s="430"/>
      <c r="D3299" s="430"/>
      <c r="E3299" s="430"/>
      <c r="F3299" s="1180"/>
      <c r="G3299" s="1180" t="s">
        <v>19</v>
      </c>
      <c r="H3299" s="1180" t="s">
        <v>20</v>
      </c>
      <c r="I3299" s="204" t="s">
        <v>19</v>
      </c>
      <c r="J3299" s="206" t="s">
        <v>20</v>
      </c>
    </row>
    <row r="3300" spans="1:10" ht="15" customHeight="1">
      <c r="A3300" s="233"/>
      <c r="B3300" s="161"/>
      <c r="C3300" s="161"/>
      <c r="D3300" s="161" t="s">
        <v>7117</v>
      </c>
      <c r="E3300" s="247"/>
      <c r="F3300" s="248"/>
      <c r="G3300" s="248"/>
      <c r="H3300" s="248"/>
      <c r="I3300" s="214"/>
      <c r="J3300" s="227"/>
    </row>
    <row r="3301" spans="1:10" ht="15" customHeight="1">
      <c r="A3301" s="233" t="s">
        <v>188</v>
      </c>
      <c r="B3301" s="161" t="s">
        <v>14504</v>
      </c>
      <c r="C3301" s="161" t="s">
        <v>14393</v>
      </c>
      <c r="D3301" s="161" t="str">
        <f>IF(B3301="SEPLAG",VLOOKUP(COMPOSIÇÕES!C3301,'MAPA COMPARATIVO'!A:B,2,FALSE),VLOOKUP(C3301,'NAO DESO'!A:B,2,0))</f>
        <v>ARRUELA LISA REDONDA (DIÂMETRO 6,35MM (1/4") PESO/100PÇ: 0,204 KG)</v>
      </c>
      <c r="E3301" s="247" t="s">
        <v>24</v>
      </c>
      <c r="F3301" s="248">
        <v>2.66</v>
      </c>
      <c r="G3301" s="242">
        <f>IF(B3301="SEPLAG",VLOOKUP(CONCATENATE("MEDIANA - ",C3301),COTAÇÃO,5,FALSE),VLOOKUP($C3301,'NAO DESO'!$A:$D,4,))</f>
        <v>0.23</v>
      </c>
      <c r="H3301" s="242">
        <f t="shared" ref="H3301:H3310" si="218">TRUNC(F3301*G3301,2)</f>
        <v>0.61</v>
      </c>
      <c r="I3301" s="54">
        <f>IF(B3301="SEPLAG",VLOOKUP(CONCATENATE("MEDIANA - ",C3301),COTAÇÃO,5,FALSE),VLOOKUP($C3301,DESON!$A:$D,4,))</f>
        <v>0.23</v>
      </c>
      <c r="J3301" s="209">
        <f t="shared" ref="J3301:J3310" si="219">TRUNC(F3301*I3301,2)</f>
        <v>0.61</v>
      </c>
    </row>
    <row r="3302" spans="1:10" ht="15" customHeight="1">
      <c r="A3302" s="233" t="s">
        <v>188</v>
      </c>
      <c r="B3302" s="161" t="s">
        <v>14504</v>
      </c>
      <c r="C3302" s="161" t="s">
        <v>14404</v>
      </c>
      <c r="D3302" s="161" t="str">
        <f>IF(B3302="SEPLAG",VLOOKUP(COMPOSIÇÕES!C3302,'MAPA COMPARATIVO'!A:B,2,FALSE),VLOOKUP(C3302,'NAO DESO'!A:B,2,0))</f>
        <v>ELETROCALHA METÁLICAN22 MEDIDAS: 200X50X300MM) OU SIMILAR</v>
      </c>
      <c r="E3302" s="247" t="s">
        <v>250</v>
      </c>
      <c r="F3302" s="248">
        <v>1</v>
      </c>
      <c r="G3302" s="242">
        <f>IF(B3302="SEPLAG",VLOOKUP(CONCATENATE("MEDIANA - ",C3302),COTAÇÃO,5,FALSE),VLOOKUP($C3302,'NAO DESO'!$A:$D,4,))</f>
        <v>234.23</v>
      </c>
      <c r="H3302" s="242">
        <f t="shared" si="218"/>
        <v>234.23</v>
      </c>
      <c r="I3302" s="54">
        <f>IF(B3302="SEPLAG",VLOOKUP(CONCATENATE("MEDIANA - ",C3302),COTAÇÃO,5,FALSE),VLOOKUP($C3302,DESON!$A:$D,4,))</f>
        <v>234.23</v>
      </c>
      <c r="J3302" s="209">
        <f t="shared" si="219"/>
        <v>234.23</v>
      </c>
    </row>
    <row r="3303" spans="1:10" ht="39" customHeight="1">
      <c r="A3303" s="233" t="s">
        <v>188</v>
      </c>
      <c r="B3303" s="161" t="s">
        <v>14504</v>
      </c>
      <c r="C3303" s="161" t="s">
        <v>14395</v>
      </c>
      <c r="D3303" s="161" t="str">
        <f>IF(B3303="SEPLAG",VLOOKUP(COMPOSIÇÕES!C3303,'MAPA COMPARATIVO'!A:B,2,FALSE),VLOOKUP(C3303,'NAO DESO'!A:B,2,0))</f>
        <v>PARAFUSO (ROSCA: INTEIRA APLICAÇÃO: ELETROCALHA E PERFILADO CABEÇA: LENTILHA MATERIAL: INOX ACABAMENTO: CROMADO BITOLA: 1/4" [6,35MM] X1/2" [12,7MM]  PESO/100PÇ: 0,541KG)</v>
      </c>
      <c r="E3303" s="247" t="s">
        <v>24</v>
      </c>
      <c r="F3303" s="248">
        <v>2.66</v>
      </c>
      <c r="G3303" s="242">
        <f>IF(B3303="SEPLAG",VLOOKUP(CONCATENATE("MEDIANA - ",C3303),COTAÇÃO,5,FALSE),VLOOKUP($C3303,'NAO DESO'!$A:$D,4,))</f>
        <v>0.46</v>
      </c>
      <c r="H3303" s="242">
        <f t="shared" si="218"/>
        <v>1.22</v>
      </c>
      <c r="I3303" s="54">
        <f>IF(B3303="SEPLAG",VLOOKUP(CONCATENATE("MEDIANA - ",C3303),COTAÇÃO,5,FALSE),VLOOKUP($C3303,DESON!$A:$D,4,))</f>
        <v>0.46</v>
      </c>
      <c r="J3303" s="209">
        <f t="shared" si="219"/>
        <v>1.22</v>
      </c>
    </row>
    <row r="3304" spans="1:10" ht="26.25" customHeight="1">
      <c r="A3304" s="233" t="s">
        <v>188</v>
      </c>
      <c r="B3304" s="161" t="s">
        <v>14504</v>
      </c>
      <c r="C3304" s="161" t="s">
        <v>14396</v>
      </c>
      <c r="D3304" s="161" t="str">
        <f>IF(B3304="SEPLAG",VLOOKUP(COMPOSIÇÕES!C3304,'MAPA COMPARATIVO'!A:B,2,FALSE),VLOOKUP(C3304,'NAO DESO'!A:B,2,0))</f>
        <v>PORCA SEXTAVADA ( MATERIAL: AÇO|  DIÂMETRO : 6,35MM [1/4"] PESO/100 PÇ : 0,320 KG)</v>
      </c>
      <c r="E3304" s="247" t="s">
        <v>24</v>
      </c>
      <c r="F3304" s="248">
        <v>2.66</v>
      </c>
      <c r="G3304" s="242">
        <f>IF(B3304="SEPLAG",VLOOKUP(CONCATENATE("MEDIANA - ",C3304),COTAÇÃO,5,FALSE),VLOOKUP($C3304,'NAO DESO'!$A:$D,4,))</f>
        <v>0.32</v>
      </c>
      <c r="H3304" s="242">
        <f t="shared" si="218"/>
        <v>0.85</v>
      </c>
      <c r="I3304" s="54">
        <f>IF(B3304="SEPLAG",VLOOKUP(CONCATENATE("MEDIANA - ",C3304),COTAÇÃO,5,FALSE),VLOOKUP($C3304,DESON!$A:$D,4,))</f>
        <v>0.32</v>
      </c>
      <c r="J3304" s="209">
        <f t="shared" si="219"/>
        <v>0.85</v>
      </c>
    </row>
    <row r="3305" spans="1:10" ht="26.25" customHeight="1">
      <c r="A3305" s="233" t="s">
        <v>188</v>
      </c>
      <c r="B3305" s="161" t="s">
        <v>14504</v>
      </c>
      <c r="C3305" s="161" t="s">
        <v>14397</v>
      </c>
      <c r="D3305" s="161" t="str">
        <f>IF(B3305="SEPLAG",VLOOKUP(COMPOSIÇÕES!C3305,'MAPA COMPARATIVO'!A:B,2,FALSE),VLOOKUP(C3305,'NAO DESO'!A:B,2,0))</f>
        <v>TALA RETA (TIPO: AUTOPORTANTE TRATAMENTO: PRÉ-ZINCADO CHAPA: N°18 MEDIDA: 50MM APLICAÇÃO: EMENDA PARA ELETROCALHA)</v>
      </c>
      <c r="E3305" s="247" t="s">
        <v>32</v>
      </c>
      <c r="F3305" s="248">
        <v>2.66</v>
      </c>
      <c r="G3305" s="242">
        <f>IF(B3305="SEPLAG",VLOOKUP(CONCATENATE("MEDIANA - ",C3305),COTAÇÃO,5,FALSE),VLOOKUP($C3305,'NAO DESO'!$A:$D,4,))</f>
        <v>3.3</v>
      </c>
      <c r="H3305" s="242">
        <f t="shared" si="218"/>
        <v>8.77</v>
      </c>
      <c r="I3305" s="54">
        <f>IF(B3305="SEPLAG",VLOOKUP(CONCATENATE("MEDIANA - ",C3305),COTAÇÃO,5,FALSE),VLOOKUP($C3305,DESON!$A:$D,4,))</f>
        <v>3.3</v>
      </c>
      <c r="J3305" s="209">
        <f t="shared" si="219"/>
        <v>8.77</v>
      </c>
    </row>
    <row r="3306" spans="1:10" ht="26.25" customHeight="1">
      <c r="A3306" s="233" t="s">
        <v>188</v>
      </c>
      <c r="B3306" s="161" t="s">
        <v>14504</v>
      </c>
      <c r="C3306" s="161" t="s">
        <v>14405</v>
      </c>
      <c r="D3306" s="161" t="str">
        <f>IF(B3306="SEPLAG",VLOOKUP(COMPOSIÇÕES!C3306,'MAPA COMPARATIVO'!A:B,2,FALSE),VLOOKUP(C3306,'NAO DESO'!A:B,2,0))</f>
        <v>TAMPA PARA ELETROCALHA METÁLICA ( TIPO: ENCAIXE TRATAMENTO: PRÉ- ZINCADO|CHAPA: N°24 MEDIDA: 300MM)</v>
      </c>
      <c r="E3306" s="247" t="s">
        <v>250</v>
      </c>
      <c r="F3306" s="248">
        <v>1</v>
      </c>
      <c r="G3306" s="242">
        <f>IF(B3306="SEPLAG",VLOOKUP(CONCATENATE("MEDIANA - ",C3306),COTAÇÃO,5,FALSE),VLOOKUP($C3306,'NAO DESO'!$A:$D,4,))</f>
        <v>137.96</v>
      </c>
      <c r="H3306" s="242">
        <f t="shared" si="218"/>
        <v>137.96</v>
      </c>
      <c r="I3306" s="54">
        <f>IF(B3306="SEPLAG",VLOOKUP(CONCATENATE("MEDIANA - ",C3306),COTAÇÃO,5,FALSE),VLOOKUP($C3306,DESON!$A:$D,4,))</f>
        <v>137.96</v>
      </c>
      <c r="J3306" s="209">
        <f t="shared" si="219"/>
        <v>137.96</v>
      </c>
    </row>
    <row r="3307" spans="1:10" ht="15" customHeight="1">
      <c r="A3307" s="233" t="s">
        <v>245</v>
      </c>
      <c r="B3307" s="161"/>
      <c r="C3307" s="161">
        <v>88247</v>
      </c>
      <c r="D3307" s="161" t="str">
        <f>IF(B3307="SEPLAG",VLOOKUP(COMPOSIÇÕES!C3307,'MAPA COMPARATIVO'!A:B,2,FALSE),VLOOKUP(C3307,'NAO DESO'!A:B,2,0))</f>
        <v>AUXILIAR DE ELETRICISTA COM ENCARGOS COMPLEMENTARES</v>
      </c>
      <c r="E3307" s="247" t="s">
        <v>16</v>
      </c>
      <c r="F3307" s="248">
        <v>0.54</v>
      </c>
      <c r="G3307" s="242" t="str">
        <f>IF(B3307="SEPLAG",VLOOKUP(CONCATENATE("MEDIANA - ",C3307),COTAÇÃO,5,FALSE),VLOOKUP($C3307,'NAO DESO'!$A:$D,4,))</f>
        <v>16,84</v>
      </c>
      <c r="H3307" s="242">
        <f t="shared" si="218"/>
        <v>9.09</v>
      </c>
      <c r="I3307" s="54" t="str">
        <f>IF(B3307="SEPLAG",VLOOKUP(CONCATENATE("MEDIANA - ",C3307),COTAÇÃO,5,FALSE),VLOOKUP($C3307,DESON!$A:$D,4,))</f>
        <v>15,19</v>
      </c>
      <c r="J3307" s="209">
        <f t="shared" si="219"/>
        <v>8.1999999999999993</v>
      </c>
    </row>
    <row r="3308" spans="1:10" ht="15" customHeight="1">
      <c r="A3308" s="233" t="s">
        <v>245</v>
      </c>
      <c r="B3308" s="161"/>
      <c r="C3308" s="161">
        <v>88264</v>
      </c>
      <c r="D3308" s="161" t="str">
        <f>IF(B3308="SEPLAG",VLOOKUP(COMPOSIÇÕES!C3308,'MAPA COMPARATIVO'!A:B,2,FALSE),VLOOKUP(C3308,'NAO DESO'!A:B,2,0))</f>
        <v>ELETRICISTA COM ENCARGOS COMPLEMENTARES</v>
      </c>
      <c r="E3308" s="247" t="s">
        <v>16</v>
      </c>
      <c r="F3308" s="248">
        <v>0.54</v>
      </c>
      <c r="G3308" s="242" t="str">
        <f>IF(B3308="SEPLAG",VLOOKUP(CONCATENATE("MEDIANA - ",C3308),COTAÇÃO,5,FALSE),VLOOKUP($C3308,'NAO DESO'!$A:$D,4,))</f>
        <v>21,87</v>
      </c>
      <c r="H3308" s="242">
        <f t="shared" si="218"/>
        <v>11.8</v>
      </c>
      <c r="I3308" s="54" t="str">
        <f>IF(B3308="SEPLAG",VLOOKUP(CONCATENATE("MEDIANA - ",C3308),COTAÇÃO,5,FALSE),VLOOKUP($C3308,DESON!$A:$D,4,))</f>
        <v>19,53</v>
      </c>
      <c r="J3308" s="209">
        <f t="shared" si="219"/>
        <v>10.54</v>
      </c>
    </row>
    <row r="3309" spans="1:10" ht="39" customHeight="1">
      <c r="A3309" s="233" t="s">
        <v>245</v>
      </c>
      <c r="B3309" s="161" t="s">
        <v>14504</v>
      </c>
      <c r="C3309" s="161" t="s">
        <v>14399</v>
      </c>
      <c r="D3309" s="161" t="str">
        <f>IF(B3309="SEPLAG",VLOOKUP(COMPOSIÇÕES!C3309,'MAPA COMPARATIVO'!A:B,2,FALSE),VLOOKUP(C3309,'NAO DESO'!A:B,2,0))</f>
        <v xml:space="preserve">FIXAÇÃO DE ELETROCALHA/LEITO HORIZONTAL COM LARGURA MENOR OU IGUAL A 200 MM EM LAJE, COM SUPORTE EM PERFILADO, INCLUSIVE PERFILADO, VERGALHÃO E ACESSÓRIOS, </v>
      </c>
      <c r="E3309" s="247" t="s">
        <v>250</v>
      </c>
      <c r="F3309" s="248">
        <v>1</v>
      </c>
      <c r="G3309" s="242">
        <f>IF(B3309="SEPLAG",VLOOKUP(CONCATENATE("MEDIANA - ",C3309),COTAÇÃO,5,FALSE),VLOOKUP($C3309,'NAO DESO'!$A:$D,4,))</f>
        <v>10.59</v>
      </c>
      <c r="H3309" s="242">
        <f t="shared" si="218"/>
        <v>10.59</v>
      </c>
      <c r="I3309" s="54">
        <f>IF(B3309="SEPLAG",VLOOKUP(CONCATENATE("MEDIANA - ",C3309),COTAÇÃO,5,FALSE),VLOOKUP($C3309,DESON!$A:$D,4,))</f>
        <v>10.59</v>
      </c>
      <c r="J3309" s="209">
        <f t="shared" si="219"/>
        <v>10.59</v>
      </c>
    </row>
    <row r="3310" spans="1:10" ht="39" customHeight="1">
      <c r="A3310" s="233" t="s">
        <v>245</v>
      </c>
      <c r="B3310" s="161"/>
      <c r="C3310" s="161">
        <v>100761</v>
      </c>
      <c r="D3310" s="161" t="str">
        <f>IF(B3310="SEPLAG",VLOOKUP(COMPOSIÇÕES!C3310,'MAPA COMPARATIVO'!A:B,2,FALSE),VLOOKUP(C3310,'NAO DESO'!A:B,2,0))</f>
        <v>PINTURA COM TINTA ALQUÍDICA DE ACABAMENTO (ESMALTE SINTÉTICO FOSCO) PULVERIZADA SOBRE SUPERFÍCIES METÁLICAS (EXCETO PERFIL) EXECUTADO EM OBRA (02 DEMÃOS). AF_01/2020_P</v>
      </c>
      <c r="E3310" s="247" t="s">
        <v>12</v>
      </c>
      <c r="F3310" s="248">
        <v>0.3</v>
      </c>
      <c r="G3310" s="242" t="str">
        <f>IF(B3310="SEPLAG",VLOOKUP(CONCATENATE("MEDIANA - ",C3310),COTAÇÃO,5,FALSE),VLOOKUP($C3310,'NAO DESO'!$A:$D,4,))</f>
        <v>37,28</v>
      </c>
      <c r="H3310" s="242">
        <f t="shared" si="218"/>
        <v>11.18</v>
      </c>
      <c r="I3310" s="54" t="str">
        <f>IF(B3310="SEPLAG",VLOOKUP(CONCATENATE("MEDIANA - ",C3310),COTAÇÃO,5,FALSE),VLOOKUP($C3310,DESON!$A:$D,4,))</f>
        <v>34,93</v>
      </c>
      <c r="J3310" s="209">
        <f t="shared" si="219"/>
        <v>10.47</v>
      </c>
    </row>
    <row r="3311" spans="1:10" ht="15" customHeight="1">
      <c r="A3311" s="210" t="str">
        <f>CONCATENATE("TOTAL DO ITEM NÃO DESON. - ",C3298)</f>
        <v>TOTAL DO ITEM NÃO DESON. - SEPLAG ELE 04</v>
      </c>
      <c r="B3311" s="432"/>
      <c r="C3311" s="432"/>
      <c r="D3311" s="432"/>
      <c r="E3311" s="430"/>
      <c r="F3311" s="1189"/>
      <c r="G3311" s="1189"/>
      <c r="H3311" s="1189">
        <f>SUM(H3301:H3310)</f>
        <v>426.29999999999995</v>
      </c>
      <c r="I3311" s="213"/>
      <c r="J3311" s="215"/>
    </row>
    <row r="3312" spans="1:10" ht="15.75" customHeight="1" thickBot="1">
      <c r="A3312" s="216" t="str">
        <f>CONCATENATE("TOTAL DO ITEM DESON. - ",C3298)</f>
        <v>TOTAL DO ITEM DESON. - SEPLAG ELE 04</v>
      </c>
      <c r="B3312" s="1147"/>
      <c r="C3312" s="1147"/>
      <c r="D3312" s="1147"/>
      <c r="E3312" s="1218"/>
      <c r="F3312" s="1219"/>
      <c r="G3312" s="1219"/>
      <c r="H3312" s="1219"/>
      <c r="I3312" s="229"/>
      <c r="J3312" s="219">
        <f>SUM(J3301:J3311)</f>
        <v>423.44</v>
      </c>
    </row>
    <row r="3313" spans="1:10" ht="15" customHeight="1" thickBot="1">
      <c r="A3313" s="421"/>
      <c r="B3313" s="1138"/>
      <c r="C3313" s="1138"/>
      <c r="D3313" s="1138"/>
      <c r="E3313" s="1154"/>
      <c r="F3313" s="1196"/>
      <c r="G3313" s="1196"/>
      <c r="H3313" s="1196"/>
      <c r="I3313" s="423"/>
      <c r="J3313" s="422"/>
    </row>
    <row r="3314" spans="1:10" ht="51" customHeight="1">
      <c r="A3314" s="256"/>
      <c r="B3314" s="1152"/>
      <c r="C3314" s="1152" t="s">
        <v>7120</v>
      </c>
      <c r="D3314" s="152" t="s">
        <v>7698</v>
      </c>
      <c r="E3314" s="1152" t="s">
        <v>24</v>
      </c>
      <c r="F3314" s="1177" t="s">
        <v>18</v>
      </c>
      <c r="G3314" s="1178" t="s">
        <v>7015</v>
      </c>
      <c r="H3314" s="1179"/>
      <c r="I3314" s="200" t="s">
        <v>7016</v>
      </c>
      <c r="J3314" s="201"/>
    </row>
    <row r="3315" spans="1:10" ht="15" customHeight="1">
      <c r="A3315" s="257"/>
      <c r="B3315" s="430"/>
      <c r="C3315" s="430"/>
      <c r="D3315" s="430"/>
      <c r="E3315" s="430"/>
      <c r="F3315" s="1180"/>
      <c r="G3315" s="1180" t="s">
        <v>19</v>
      </c>
      <c r="H3315" s="1180" t="s">
        <v>20</v>
      </c>
      <c r="I3315" s="204" t="s">
        <v>19</v>
      </c>
      <c r="J3315" s="206" t="s">
        <v>20</v>
      </c>
    </row>
    <row r="3316" spans="1:10" ht="15" customHeight="1">
      <c r="A3316" s="233"/>
      <c r="B3316" s="161"/>
      <c r="C3316" s="161"/>
      <c r="D3316" s="161" t="s">
        <v>139</v>
      </c>
      <c r="E3316" s="247"/>
      <c r="F3316" s="248"/>
      <c r="G3316" s="248"/>
      <c r="H3316" s="248"/>
      <c r="I3316" s="214"/>
      <c r="J3316" s="227"/>
    </row>
    <row r="3317" spans="1:10" ht="39" customHeight="1">
      <c r="A3317" s="233" t="s">
        <v>245</v>
      </c>
      <c r="B3317" s="161"/>
      <c r="C3317" s="161">
        <v>101875</v>
      </c>
      <c r="D3317" s="161" t="str">
        <f>IF(B3317="SEPLAG",VLOOKUP(COMPOSIÇÕES!C3317,'MAPA COMPARATIVO'!A:B,2,FALSE),VLOOKUP(C3317,'NAO DESO'!A:B,2,0))</f>
        <v>QUADRO DE DISTRIBUIÇÃO DE ENERGIA EM CHAPA DE AÇO GALVANIZADO, DE EMBUTIR, COM BARRAMENTO TRIFÁSICO, PARA 12 DISJUNTORES DIN 100A - FORNECIMENTO E INSTALAÇÃO. AF_10/2020</v>
      </c>
      <c r="E3317" s="247" t="s">
        <v>183</v>
      </c>
      <c r="F3317" s="248">
        <v>1</v>
      </c>
      <c r="G3317" s="242" t="str">
        <f>IF(B3317="SEPLAG",VLOOKUP(CONCATENATE("MEDIANA - ",C3317),COTAÇÃO,5,FALSE),VLOOKUP($C3317,'NAO DESO'!$A:$D,4,))</f>
        <v>461,11</v>
      </c>
      <c r="H3317" s="242">
        <f t="shared" ref="H3317:H3322" si="220">TRUNC(F3317*G3317,2)</f>
        <v>461.11</v>
      </c>
      <c r="I3317" s="54" t="str">
        <f>IF(B3317="SEPLAG",VLOOKUP(CONCATENATE("MEDIANA - ",C3317),COTAÇÃO,5,FALSE),VLOOKUP($C3317,DESON!$A:$D,4,))</f>
        <v>458,96</v>
      </c>
      <c r="J3317" s="209">
        <f t="shared" ref="J3317:J3322" si="221">TRUNC(F3317*I3317,2)</f>
        <v>458.96</v>
      </c>
    </row>
    <row r="3318" spans="1:10" ht="26.25" customHeight="1">
      <c r="A3318" s="233" t="s">
        <v>245</v>
      </c>
      <c r="B3318" s="161"/>
      <c r="C3318" s="161">
        <v>101899</v>
      </c>
      <c r="D3318" s="161" t="str">
        <f>IF(B3318="SEPLAG",VLOOKUP(COMPOSIÇÕES!C3318,'MAPA COMPARATIVO'!A:B,2,FALSE),VLOOKUP(C3318,'NAO DESO'!A:B,2,0))</f>
        <v>DISJUNTOR TERMOMAGNÉTICO TRIPOLAR , CORRENTE NOMINAL DE 600A - FORNECIMENTO E INSTALAÇÃO. AF_10/2020</v>
      </c>
      <c r="E3318" s="247" t="s">
        <v>183</v>
      </c>
      <c r="F3318" s="248">
        <v>1</v>
      </c>
      <c r="G3318" s="242" t="str">
        <f>IF(B3318="SEPLAG",VLOOKUP(CONCATENATE("MEDIANA - ",C3318),COTAÇÃO,5,FALSE),VLOOKUP($C3318,'NAO DESO'!$A:$D,4,))</f>
        <v>2.306,04</v>
      </c>
      <c r="H3318" s="242">
        <f t="shared" si="220"/>
        <v>2306.04</v>
      </c>
      <c r="I3318" s="54" t="str">
        <f>IF(B3318="SEPLAG",VLOOKUP(CONCATENATE("MEDIANA - ",C3318),COTAÇÃO,5,FALSE),VLOOKUP($C3318,DESON!$A:$D,4,))</f>
        <v>2.300,76</v>
      </c>
      <c r="J3318" s="209">
        <f t="shared" si="221"/>
        <v>2300.7600000000002</v>
      </c>
    </row>
    <row r="3319" spans="1:10" ht="26.25" customHeight="1">
      <c r="A3319" s="233" t="s">
        <v>245</v>
      </c>
      <c r="B3319" s="161"/>
      <c r="C3319" s="161">
        <v>101898</v>
      </c>
      <c r="D3319" s="161" t="str">
        <f>IF(B3319="SEPLAG",VLOOKUP(COMPOSIÇÕES!C3319,'MAPA COMPARATIVO'!A:B,2,FALSE),VLOOKUP(C3319,'NAO DESO'!A:B,2,0))</f>
        <v>DISJUNTOR TERMOMAGNÉTICO TRIPOLAR , CORRENTE NOMINAL DE 400A - FORNECIMENTO E INSTALAÇÃO. AF_10/2020</v>
      </c>
      <c r="E3319" s="247" t="s">
        <v>183</v>
      </c>
      <c r="F3319" s="248">
        <v>1</v>
      </c>
      <c r="G3319" s="242" t="str">
        <f>IF(B3319="SEPLAG",VLOOKUP(CONCATENATE("MEDIANA - ",C3319),COTAÇÃO,5,FALSE),VLOOKUP($C3319,'NAO DESO'!$A:$D,4,))</f>
        <v>1.430,67</v>
      </c>
      <c r="H3319" s="242">
        <f t="shared" si="220"/>
        <v>1430.67</v>
      </c>
      <c r="I3319" s="54" t="str">
        <f>IF(B3319="SEPLAG",VLOOKUP(CONCATENATE("MEDIANA - ",C3319),COTAÇÃO,5,FALSE),VLOOKUP($C3319,DESON!$A:$D,4,))</f>
        <v>1.425,39</v>
      </c>
      <c r="J3319" s="209">
        <f t="shared" si="221"/>
        <v>1425.39</v>
      </c>
    </row>
    <row r="3320" spans="1:10" ht="26.25" customHeight="1">
      <c r="A3320" s="233" t="s">
        <v>245</v>
      </c>
      <c r="B3320" s="161"/>
      <c r="C3320" s="161">
        <v>101895</v>
      </c>
      <c r="D3320" s="161" t="str">
        <f>IF(B3320="SEPLAG",VLOOKUP(COMPOSIÇÕES!C3320,'MAPA COMPARATIVO'!A:B,2,FALSE),VLOOKUP(C3320,'NAO DESO'!A:B,2,0))</f>
        <v>DISJUNTOR TERMOMAGNÉTICO TRIPOLAR , CORRENTE NOMINAL DE 125A - FORNECIMENTO E INSTALAÇÃO. AF_10/2020</v>
      </c>
      <c r="E3320" s="247" t="s">
        <v>183</v>
      </c>
      <c r="F3320" s="248">
        <v>2</v>
      </c>
      <c r="G3320" s="242" t="str">
        <f>IF(B3320="SEPLAG",VLOOKUP(CONCATENATE("MEDIANA - ",C3320),COTAÇÃO,5,FALSE),VLOOKUP($C3320,'NAO DESO'!$A:$D,4,))</f>
        <v>432,90</v>
      </c>
      <c r="H3320" s="242">
        <f t="shared" si="220"/>
        <v>865.8</v>
      </c>
      <c r="I3320" s="54" t="str">
        <f>IF(B3320="SEPLAG",VLOOKUP(CONCATENATE("MEDIANA - ",C3320),COTAÇÃO,5,FALSE),VLOOKUP($C3320,DESON!$A:$D,4,))</f>
        <v>427,62</v>
      </c>
      <c r="J3320" s="209">
        <f t="shared" si="221"/>
        <v>855.24</v>
      </c>
    </row>
    <row r="3321" spans="1:10" ht="15" customHeight="1">
      <c r="A3321" s="233" t="s">
        <v>245</v>
      </c>
      <c r="B3321" s="161"/>
      <c r="C3321" s="161">
        <v>88247</v>
      </c>
      <c r="D3321" s="161" t="str">
        <f>IF(B3321="SEPLAG",VLOOKUP(COMPOSIÇÕES!C3321,'MAPA COMPARATIVO'!A:B,2,FALSE),VLOOKUP(C3321,'NAO DESO'!A:B,2,0))</f>
        <v>AUXILIAR DE ELETRICISTA COM ENCARGOS COMPLEMENTARES</v>
      </c>
      <c r="E3321" s="247" t="s">
        <v>16</v>
      </c>
      <c r="F3321" s="248">
        <v>0.61</v>
      </c>
      <c r="G3321" s="242" t="str">
        <f>IF(B3321="SEPLAG",VLOOKUP(CONCATENATE("MEDIANA - ",C3321),COTAÇÃO,5,FALSE),VLOOKUP($C3321,'NAO DESO'!$A:$D,4,))</f>
        <v>16,84</v>
      </c>
      <c r="H3321" s="242">
        <f t="shared" si="220"/>
        <v>10.27</v>
      </c>
      <c r="I3321" s="54" t="str">
        <f>IF(B3321="SEPLAG",VLOOKUP(CONCATENATE("MEDIANA - ",C3321),COTAÇÃO,5,FALSE),VLOOKUP($C3321,DESON!$A:$D,4,))</f>
        <v>15,19</v>
      </c>
      <c r="J3321" s="209">
        <f t="shared" si="221"/>
        <v>9.26</v>
      </c>
    </row>
    <row r="3322" spans="1:10" ht="15" customHeight="1">
      <c r="A3322" s="233" t="s">
        <v>245</v>
      </c>
      <c r="B3322" s="161"/>
      <c r="C3322" s="161">
        <v>88264</v>
      </c>
      <c r="D3322" s="161" t="str">
        <f>IF(B3322="SEPLAG",VLOOKUP(COMPOSIÇÕES!C3322,'MAPA COMPARATIVO'!A:B,2,FALSE),VLOOKUP(C3322,'NAO DESO'!A:B,2,0))</f>
        <v>ELETRICISTA COM ENCARGOS COMPLEMENTARES</v>
      </c>
      <c r="E3322" s="247" t="s">
        <v>16</v>
      </c>
      <c r="F3322" s="248">
        <v>0.61</v>
      </c>
      <c r="G3322" s="242" t="str">
        <f>IF(B3322="SEPLAG",VLOOKUP(CONCATENATE("MEDIANA - ",C3322),COTAÇÃO,5,FALSE),VLOOKUP($C3322,'NAO DESO'!$A:$D,4,))</f>
        <v>21,87</v>
      </c>
      <c r="H3322" s="242">
        <f t="shared" si="220"/>
        <v>13.34</v>
      </c>
      <c r="I3322" s="54" t="str">
        <f>IF(B3322="SEPLAG",VLOOKUP(CONCATENATE("MEDIANA - ",C3322),COTAÇÃO,5,FALSE),VLOOKUP($C3322,DESON!$A:$D,4,))</f>
        <v>19,53</v>
      </c>
      <c r="J3322" s="209">
        <f t="shared" si="221"/>
        <v>11.91</v>
      </c>
    </row>
    <row r="3323" spans="1:10" ht="15" customHeight="1">
      <c r="A3323" s="210" t="str">
        <f>CONCATENATE("TOTAL DO ITEM NÃO DESON. - ",C3314)</f>
        <v>TOTAL DO ITEM NÃO DESON. - SEPLAG ELE 05</v>
      </c>
      <c r="B3323" s="432"/>
      <c r="C3323" s="432"/>
      <c r="D3323" s="432"/>
      <c r="E3323" s="430"/>
      <c r="F3323" s="1189"/>
      <c r="G3323" s="1189"/>
      <c r="H3323" s="1189">
        <f>SUM(H3317:H3322)</f>
        <v>5087.2300000000005</v>
      </c>
      <c r="I3323" s="213"/>
      <c r="J3323" s="215"/>
    </row>
    <row r="3324" spans="1:10" ht="15.75" customHeight="1" thickBot="1">
      <c r="A3324" s="216" t="str">
        <f>CONCATENATE("TOTAL DO ITEM DESON. - ",C3314)</f>
        <v>TOTAL DO ITEM DESON. - SEPLAG ELE 05</v>
      </c>
      <c r="B3324" s="1147"/>
      <c r="C3324" s="1147"/>
      <c r="D3324" s="1147"/>
      <c r="E3324" s="1218"/>
      <c r="F3324" s="1219"/>
      <c r="G3324" s="1219"/>
      <c r="H3324" s="1219"/>
      <c r="I3324" s="229"/>
      <c r="J3324" s="219">
        <f>SUM(J3317:J3323)</f>
        <v>5061.5200000000004</v>
      </c>
    </row>
    <row r="3325" spans="1:10" ht="15" customHeight="1" thickBot="1">
      <c r="A3325" s="421"/>
      <c r="B3325" s="1138"/>
      <c r="C3325" s="1138"/>
      <c r="D3325" s="1138"/>
      <c r="E3325" s="1154"/>
      <c r="F3325" s="1196"/>
      <c r="G3325" s="1196"/>
      <c r="H3325" s="1196"/>
      <c r="I3325" s="423"/>
      <c r="J3325" s="422"/>
    </row>
    <row r="3326" spans="1:10" ht="25.5" customHeight="1">
      <c r="A3326" s="256"/>
      <c r="B3326" s="1152"/>
      <c r="C3326" s="1152" t="s">
        <v>7121</v>
      </c>
      <c r="D3326" s="152" t="s">
        <v>7699</v>
      </c>
      <c r="E3326" s="1152" t="s">
        <v>24</v>
      </c>
      <c r="F3326" s="1177" t="s">
        <v>18</v>
      </c>
      <c r="G3326" s="1178" t="s">
        <v>7015</v>
      </c>
      <c r="H3326" s="1179"/>
      <c r="I3326" s="200" t="s">
        <v>7016</v>
      </c>
      <c r="J3326" s="201"/>
    </row>
    <row r="3327" spans="1:10" ht="15" customHeight="1">
      <c r="A3327" s="257"/>
      <c r="B3327" s="430"/>
      <c r="C3327" s="430"/>
      <c r="D3327" s="430"/>
      <c r="E3327" s="430"/>
      <c r="F3327" s="1180"/>
      <c r="G3327" s="1180" t="s">
        <v>19</v>
      </c>
      <c r="H3327" s="1180" t="s">
        <v>20</v>
      </c>
      <c r="I3327" s="204" t="s">
        <v>19</v>
      </c>
      <c r="J3327" s="206" t="s">
        <v>20</v>
      </c>
    </row>
    <row r="3328" spans="1:10" ht="15" customHeight="1">
      <c r="A3328" s="233"/>
      <c r="B3328" s="161"/>
      <c r="C3328" s="161"/>
      <c r="D3328" s="161" t="s">
        <v>7122</v>
      </c>
      <c r="E3328" s="247"/>
      <c r="F3328" s="248"/>
      <c r="G3328" s="248"/>
      <c r="H3328" s="248"/>
      <c r="I3328" s="214"/>
      <c r="J3328" s="227"/>
    </row>
    <row r="3329" spans="1:10" ht="26.25" customHeight="1">
      <c r="A3329" s="233" t="s">
        <v>39</v>
      </c>
      <c r="B3329" s="161" t="s">
        <v>14504</v>
      </c>
      <c r="C3329" s="161" t="s">
        <v>14406</v>
      </c>
      <c r="D3329" s="161" t="str">
        <f>IF(B3329="SEPLAG",VLOOKUP(COMPOSIÇÕES!C3329,'MAPA COMPARATIVO'!A:B,2,FALSE),VLOOKUP(C3329,'NAO DESO'!A:B,2,0))</f>
        <v>TERMINAL A COMPRESSAO EM COBRE ESTANHADO 1FURO PARA CABO 16 MM2</v>
      </c>
      <c r="E3329" s="247" t="s">
        <v>32</v>
      </c>
      <c r="F3329" s="248">
        <v>1</v>
      </c>
      <c r="G3329" s="242">
        <f>IF(B3329="SEPLAG",VLOOKUP(CONCATENATE("MEDIANA - ",C3329),COTAÇÃO,5,FALSE),VLOOKUP($C3329,'NAO DESO'!$A:$D,4,))</f>
        <v>2.2000000000000002</v>
      </c>
      <c r="H3329" s="242">
        <f>TRUNC(F3329*G3329,2)</f>
        <v>2.2000000000000002</v>
      </c>
      <c r="I3329" s="54">
        <f>IF(B3329="SEPLAG",VLOOKUP(CONCATENATE("MEDIANA - ",C3329),COTAÇÃO,5,FALSE),VLOOKUP($C3329,DESON!$A:$D,4,))</f>
        <v>2.2000000000000002</v>
      </c>
      <c r="J3329" s="209">
        <f>TRUNC(F3329*I3329,2)</f>
        <v>2.2000000000000002</v>
      </c>
    </row>
    <row r="3330" spans="1:10" ht="15" customHeight="1">
      <c r="A3330" s="233" t="s">
        <v>245</v>
      </c>
      <c r="B3330" s="161"/>
      <c r="C3330" s="161">
        <v>88247</v>
      </c>
      <c r="D3330" s="161" t="str">
        <f>IF(B3330="SEPLAG",VLOOKUP(COMPOSIÇÕES!C3330,'MAPA COMPARATIVO'!A:B,2,FALSE),VLOOKUP(C3330,'NAO DESO'!A:B,2,0))</f>
        <v>AUXILIAR DE ELETRICISTA COM ENCARGOS COMPLEMENTARES</v>
      </c>
      <c r="E3330" s="247" t="s">
        <v>16</v>
      </c>
      <c r="F3330" s="248">
        <v>0.3</v>
      </c>
      <c r="G3330" s="242" t="str">
        <f>IF(B3330="SEPLAG",VLOOKUP(CONCATENATE("MEDIANA - ",C3330),COTAÇÃO,5,FALSE),VLOOKUP($C3330,'NAO DESO'!$A:$D,4,))</f>
        <v>16,84</v>
      </c>
      <c r="H3330" s="242">
        <f>TRUNC(F3330*G3330,2)</f>
        <v>5.05</v>
      </c>
      <c r="I3330" s="54" t="str">
        <f>IF(B3330="SEPLAG",VLOOKUP(CONCATENATE("MEDIANA - ",C3330),COTAÇÃO,5,FALSE),VLOOKUP($C3330,DESON!$A:$D,4,))</f>
        <v>15,19</v>
      </c>
      <c r="J3330" s="209">
        <f>TRUNC(F3330*I3330,2)</f>
        <v>4.55</v>
      </c>
    </row>
    <row r="3331" spans="1:10" ht="15" customHeight="1">
      <c r="A3331" s="233" t="s">
        <v>245</v>
      </c>
      <c r="B3331" s="161"/>
      <c r="C3331" s="161">
        <v>88264</v>
      </c>
      <c r="D3331" s="161" t="str">
        <f>IF(B3331="SEPLAG",VLOOKUP(COMPOSIÇÕES!C3331,'MAPA COMPARATIVO'!A:B,2,FALSE),VLOOKUP(C3331,'NAO DESO'!A:B,2,0))</f>
        <v>ELETRICISTA COM ENCARGOS COMPLEMENTARES</v>
      </c>
      <c r="E3331" s="247" t="s">
        <v>16</v>
      </c>
      <c r="F3331" s="248">
        <v>0.3</v>
      </c>
      <c r="G3331" s="242" t="str">
        <f>IF(B3331="SEPLAG",VLOOKUP(CONCATENATE("MEDIANA - ",C3331),COTAÇÃO,5,FALSE),VLOOKUP($C3331,'NAO DESO'!$A:$D,4,))</f>
        <v>21,87</v>
      </c>
      <c r="H3331" s="242">
        <f>TRUNC(F3331*G3331,2)</f>
        <v>6.56</v>
      </c>
      <c r="I3331" s="54" t="str">
        <f>IF(B3331="SEPLAG",VLOOKUP(CONCATENATE("MEDIANA - ",C3331),COTAÇÃO,5,FALSE),VLOOKUP($C3331,DESON!$A:$D,4,))</f>
        <v>19,53</v>
      </c>
      <c r="J3331" s="209">
        <f>TRUNC(F3331*I3331,2)</f>
        <v>5.85</v>
      </c>
    </row>
    <row r="3332" spans="1:10" ht="15" customHeight="1">
      <c r="A3332" s="210" t="str">
        <f>CONCATENATE("TOTAL DO ITEM NÃO DESON. - ",C3326)</f>
        <v>TOTAL DO ITEM NÃO DESON. - SEPLAG ELE 06</v>
      </c>
      <c r="B3332" s="432"/>
      <c r="C3332" s="432"/>
      <c r="D3332" s="432"/>
      <c r="E3332" s="430"/>
      <c r="F3332" s="1189"/>
      <c r="G3332" s="1189"/>
      <c r="H3332" s="1189">
        <f>SUM(H3329:H3331)</f>
        <v>13.809999999999999</v>
      </c>
      <c r="I3332" s="213"/>
      <c r="J3332" s="215"/>
    </row>
    <row r="3333" spans="1:10" ht="15.75" customHeight="1" thickBot="1">
      <c r="A3333" s="216" t="str">
        <f>CONCATENATE("TOTAL DO ITEM DESON. - ",C3326)</f>
        <v>TOTAL DO ITEM DESON. - SEPLAG ELE 06</v>
      </c>
      <c r="B3333" s="1147"/>
      <c r="C3333" s="1147"/>
      <c r="D3333" s="1147"/>
      <c r="E3333" s="1218"/>
      <c r="F3333" s="1219"/>
      <c r="G3333" s="1219"/>
      <c r="H3333" s="1219"/>
      <c r="I3333" s="229"/>
      <c r="J3333" s="219">
        <f>SUM(J3329:J3332)</f>
        <v>12.6</v>
      </c>
    </row>
    <row r="3334" spans="1:10" ht="15" customHeight="1" thickBot="1">
      <c r="A3334" s="421"/>
      <c r="B3334" s="1138"/>
      <c r="C3334" s="1138"/>
      <c r="D3334" s="1138"/>
      <c r="E3334" s="1154"/>
      <c r="F3334" s="1196"/>
      <c r="G3334" s="1196"/>
      <c r="H3334" s="1196"/>
      <c r="I3334" s="423"/>
      <c r="J3334" s="422"/>
    </row>
    <row r="3335" spans="1:10" ht="25.5" customHeight="1">
      <c r="A3335" s="256"/>
      <c r="B3335" s="1152"/>
      <c r="C3335" s="1152" t="s">
        <v>7124</v>
      </c>
      <c r="D3335" s="152" t="s">
        <v>7700</v>
      </c>
      <c r="E3335" s="1152" t="s">
        <v>24</v>
      </c>
      <c r="F3335" s="1177" t="s">
        <v>18</v>
      </c>
      <c r="G3335" s="1178" t="s">
        <v>7015</v>
      </c>
      <c r="H3335" s="1179"/>
      <c r="I3335" s="200" t="s">
        <v>7016</v>
      </c>
      <c r="J3335" s="201"/>
    </row>
    <row r="3336" spans="1:10" ht="15" customHeight="1">
      <c r="A3336" s="257"/>
      <c r="B3336" s="430"/>
      <c r="C3336" s="430"/>
      <c r="D3336" s="430"/>
      <c r="E3336" s="430"/>
      <c r="F3336" s="1180"/>
      <c r="G3336" s="1180" t="s">
        <v>19</v>
      </c>
      <c r="H3336" s="1180" t="s">
        <v>20</v>
      </c>
      <c r="I3336" s="204" t="s">
        <v>19</v>
      </c>
      <c r="J3336" s="206" t="s">
        <v>20</v>
      </c>
    </row>
    <row r="3337" spans="1:10" ht="15" customHeight="1">
      <c r="A3337" s="233"/>
      <c r="B3337" s="161"/>
      <c r="C3337" s="161"/>
      <c r="D3337" s="161" t="s">
        <v>7122</v>
      </c>
      <c r="E3337" s="247"/>
      <c r="F3337" s="248"/>
      <c r="G3337" s="248"/>
      <c r="H3337" s="248"/>
      <c r="I3337" s="214"/>
      <c r="J3337" s="227"/>
    </row>
    <row r="3338" spans="1:10" ht="26.25" customHeight="1">
      <c r="A3338" s="233" t="s">
        <v>39</v>
      </c>
      <c r="B3338" s="161" t="s">
        <v>14504</v>
      </c>
      <c r="C3338" s="161" t="s">
        <v>14407</v>
      </c>
      <c r="D3338" s="161" t="str">
        <f>IF(B3338="SEPLAG",VLOOKUP(COMPOSIÇÕES!C3338,'MAPA COMPARATIVO'!A:B,2,FALSE),VLOOKUP(C3338,'NAO DESO'!A:B,2,0))</f>
        <v>TERMINAL A COMPRESSAO EM COBRE ESTANHADO 1FURO PARA CABO 25 MM2</v>
      </c>
      <c r="E3338" s="247" t="s">
        <v>32</v>
      </c>
      <c r="F3338" s="248">
        <v>1</v>
      </c>
      <c r="G3338" s="242">
        <f>IF(B3338="SEPLAG",VLOOKUP(CONCATENATE("MEDIANA - ",C3338),COTAÇÃO,5,FALSE),VLOOKUP($C3338,'NAO DESO'!$A:$D,4,))</f>
        <v>3.1</v>
      </c>
      <c r="H3338" s="242">
        <f>TRUNC(F3338*G3338,2)</f>
        <v>3.1</v>
      </c>
      <c r="I3338" s="54">
        <f>IF(B3338="SEPLAG",VLOOKUP(CONCATENATE("MEDIANA - ",C3338),COTAÇÃO,5,FALSE),VLOOKUP($C3338,DESON!$A:$D,4,))</f>
        <v>3.1</v>
      </c>
      <c r="J3338" s="209">
        <f>TRUNC(F3338*I3338,2)</f>
        <v>3.1</v>
      </c>
    </row>
    <row r="3339" spans="1:10" ht="15" customHeight="1">
      <c r="A3339" s="233" t="s">
        <v>245</v>
      </c>
      <c r="B3339" s="161"/>
      <c r="C3339" s="161">
        <v>88247</v>
      </c>
      <c r="D3339" s="161" t="str">
        <f>IF(B3339="SEPLAG",VLOOKUP(COMPOSIÇÕES!C3339,'MAPA COMPARATIVO'!A:B,2,FALSE),VLOOKUP(C3339,'NAO DESO'!A:B,2,0))</f>
        <v>AUXILIAR DE ELETRICISTA COM ENCARGOS COMPLEMENTARES</v>
      </c>
      <c r="E3339" s="247" t="s">
        <v>16</v>
      </c>
      <c r="F3339" s="248">
        <v>0.3</v>
      </c>
      <c r="G3339" s="242" t="str">
        <f>IF(B3339="SEPLAG",VLOOKUP(CONCATENATE("MEDIANA - ",C3339),COTAÇÃO,5,FALSE),VLOOKUP($C3339,'NAO DESO'!$A:$D,4,))</f>
        <v>16,84</v>
      </c>
      <c r="H3339" s="242">
        <f>TRUNC(F3339*G3339,2)</f>
        <v>5.05</v>
      </c>
      <c r="I3339" s="54" t="str">
        <f>IF(B3339="SEPLAG",VLOOKUP(CONCATENATE("MEDIANA - ",C3339),COTAÇÃO,5,FALSE),VLOOKUP($C3339,DESON!$A:$D,4,))</f>
        <v>15,19</v>
      </c>
      <c r="J3339" s="209">
        <f>TRUNC(F3339*I3339,2)</f>
        <v>4.55</v>
      </c>
    </row>
    <row r="3340" spans="1:10" ht="15" customHeight="1">
      <c r="A3340" s="233" t="s">
        <v>245</v>
      </c>
      <c r="B3340" s="161"/>
      <c r="C3340" s="161">
        <v>88264</v>
      </c>
      <c r="D3340" s="161" t="str">
        <f>IF(B3340="SEPLAG",VLOOKUP(COMPOSIÇÕES!C3340,'MAPA COMPARATIVO'!A:B,2,FALSE),VLOOKUP(C3340,'NAO DESO'!A:B,2,0))</f>
        <v>ELETRICISTA COM ENCARGOS COMPLEMENTARES</v>
      </c>
      <c r="E3340" s="247" t="s">
        <v>16</v>
      </c>
      <c r="F3340" s="248">
        <v>0.3</v>
      </c>
      <c r="G3340" s="242" t="str">
        <f>IF(B3340="SEPLAG",VLOOKUP(CONCATENATE("MEDIANA - ",C3340),COTAÇÃO,5,FALSE),VLOOKUP($C3340,'NAO DESO'!$A:$D,4,))</f>
        <v>21,87</v>
      </c>
      <c r="H3340" s="242">
        <f>TRUNC(F3340*G3340,2)</f>
        <v>6.56</v>
      </c>
      <c r="I3340" s="54" t="str">
        <f>IF(B3340="SEPLAG",VLOOKUP(CONCATENATE("MEDIANA - ",C3340),COTAÇÃO,5,FALSE),VLOOKUP($C3340,DESON!$A:$D,4,))</f>
        <v>19,53</v>
      </c>
      <c r="J3340" s="209">
        <f>TRUNC(F3340*I3340,2)</f>
        <v>5.85</v>
      </c>
    </row>
    <row r="3341" spans="1:10" ht="15" customHeight="1">
      <c r="A3341" s="210" t="str">
        <f>CONCATENATE("TOTAL DO ITEM NÃO DESON. - ",C3335)</f>
        <v>TOTAL DO ITEM NÃO DESON. - SEPLAG ELE 07</v>
      </c>
      <c r="B3341" s="432"/>
      <c r="C3341" s="432"/>
      <c r="D3341" s="432"/>
      <c r="E3341" s="430"/>
      <c r="F3341" s="1189"/>
      <c r="G3341" s="1189"/>
      <c r="H3341" s="1189">
        <f>SUM(H3338:H3340)</f>
        <v>14.71</v>
      </c>
      <c r="I3341" s="213"/>
      <c r="J3341" s="215"/>
    </row>
    <row r="3342" spans="1:10" ht="15.75" customHeight="1" thickBot="1">
      <c r="A3342" s="216" t="str">
        <f>CONCATENATE("TOTAL DO ITEM DESON. - ",C3335)</f>
        <v>TOTAL DO ITEM DESON. - SEPLAG ELE 07</v>
      </c>
      <c r="B3342" s="1148"/>
      <c r="C3342" s="1148"/>
      <c r="D3342" s="1148"/>
      <c r="E3342" s="1142"/>
      <c r="F3342" s="1190"/>
      <c r="G3342" s="1190"/>
      <c r="H3342" s="1190"/>
      <c r="I3342" s="228"/>
      <c r="J3342" s="219">
        <f>SUM(J3338:J3341)</f>
        <v>13.5</v>
      </c>
    </row>
    <row r="3343" spans="1:10" ht="15" customHeight="1" thickBot="1">
      <c r="A3343" s="421"/>
      <c r="B3343" s="1138"/>
      <c r="C3343" s="1138"/>
      <c r="D3343" s="1138"/>
      <c r="E3343" s="1154"/>
      <c r="F3343" s="1196"/>
      <c r="G3343" s="1196"/>
      <c r="H3343" s="1196"/>
      <c r="I3343" s="423"/>
      <c r="J3343" s="422"/>
    </row>
    <row r="3344" spans="1:10" ht="25.5" customHeight="1">
      <c r="A3344" s="256"/>
      <c r="B3344" s="1152"/>
      <c r="C3344" s="1152" t="s">
        <v>7126</v>
      </c>
      <c r="D3344" s="152" t="s">
        <v>7701</v>
      </c>
      <c r="E3344" s="1152" t="s">
        <v>24</v>
      </c>
      <c r="F3344" s="1177" t="s">
        <v>18</v>
      </c>
      <c r="G3344" s="1178" t="s">
        <v>7015</v>
      </c>
      <c r="H3344" s="1179"/>
      <c r="I3344" s="200" t="s">
        <v>7016</v>
      </c>
      <c r="J3344" s="201"/>
    </row>
    <row r="3345" spans="1:10" ht="15" customHeight="1">
      <c r="A3345" s="257"/>
      <c r="B3345" s="430"/>
      <c r="C3345" s="430"/>
      <c r="D3345" s="430"/>
      <c r="E3345" s="430"/>
      <c r="F3345" s="1180"/>
      <c r="G3345" s="1180" t="s">
        <v>19</v>
      </c>
      <c r="H3345" s="1180" t="s">
        <v>20</v>
      </c>
      <c r="I3345" s="204" t="s">
        <v>19</v>
      </c>
      <c r="J3345" s="206" t="s">
        <v>20</v>
      </c>
    </row>
    <row r="3346" spans="1:10" ht="15" customHeight="1">
      <c r="A3346" s="233"/>
      <c r="B3346" s="161"/>
      <c r="C3346" s="161"/>
      <c r="D3346" s="161" t="s">
        <v>7122</v>
      </c>
      <c r="E3346" s="247"/>
      <c r="F3346" s="248"/>
      <c r="G3346" s="248"/>
      <c r="H3346" s="248"/>
      <c r="I3346" s="214"/>
      <c r="J3346" s="227"/>
    </row>
    <row r="3347" spans="1:10" ht="26.25" customHeight="1">
      <c r="A3347" s="233" t="s">
        <v>188</v>
      </c>
      <c r="B3347" s="161" t="s">
        <v>14504</v>
      </c>
      <c r="C3347" s="161" t="s">
        <v>14408</v>
      </c>
      <c r="D3347" s="161" t="str">
        <f>IF(B3347="SEPLAG",VLOOKUP(COMPOSIÇÕES!C3347,'MAPA COMPARATIVO'!A:B,2,FALSE),VLOOKUP(C3347,'NAO DESO'!A:B,2,0))</f>
        <v>TERMINAL A COMPRESSAO EM COBRE ESTANHADO 1FURO PARA CABO 35 MM2</v>
      </c>
      <c r="E3347" s="247" t="s">
        <v>32</v>
      </c>
      <c r="F3347" s="248">
        <v>1</v>
      </c>
      <c r="G3347" s="242">
        <f>IF(B3347="SEPLAG",VLOOKUP(CONCATENATE("MEDIANA - ",C3347),COTAÇÃO,5,FALSE),VLOOKUP($C3347,'NAO DESO'!$A:$D,4,))</f>
        <v>3.75</v>
      </c>
      <c r="H3347" s="242">
        <f>TRUNC(F3347*G3347,2)</f>
        <v>3.75</v>
      </c>
      <c r="I3347" s="54">
        <f>IF(B3347="SEPLAG",VLOOKUP(CONCATENATE("MEDIANA - ",C3347),COTAÇÃO,5,FALSE),VLOOKUP($C3347,DESON!$A:$D,4,))</f>
        <v>3.75</v>
      </c>
      <c r="J3347" s="209">
        <f>TRUNC(F3347*I3347,2)</f>
        <v>3.75</v>
      </c>
    </row>
    <row r="3348" spans="1:10" ht="15" customHeight="1">
      <c r="A3348" s="233" t="s">
        <v>245</v>
      </c>
      <c r="B3348" s="161"/>
      <c r="C3348" s="161">
        <v>88247</v>
      </c>
      <c r="D3348" s="161" t="str">
        <f>IF(B3348="SEPLAG",VLOOKUP(COMPOSIÇÕES!C3348,'MAPA COMPARATIVO'!A:B,2,FALSE),VLOOKUP(C3348,'NAO DESO'!A:B,2,0))</f>
        <v>AUXILIAR DE ELETRICISTA COM ENCARGOS COMPLEMENTARES</v>
      </c>
      <c r="E3348" s="247" t="s">
        <v>16</v>
      </c>
      <c r="F3348" s="248">
        <v>0.3</v>
      </c>
      <c r="G3348" s="242" t="str">
        <f>IF(B3348="SEPLAG",VLOOKUP(CONCATENATE("MEDIANA - ",C3348),COTAÇÃO,5,FALSE),VLOOKUP($C3348,'NAO DESO'!$A:$D,4,))</f>
        <v>16,84</v>
      </c>
      <c r="H3348" s="242">
        <f>TRUNC(F3348*G3348,2)</f>
        <v>5.05</v>
      </c>
      <c r="I3348" s="54" t="str">
        <f>IF(B3348="SEPLAG",VLOOKUP(CONCATENATE("MEDIANA - ",C3348),COTAÇÃO,5,FALSE),VLOOKUP($C3348,DESON!$A:$D,4,))</f>
        <v>15,19</v>
      </c>
      <c r="J3348" s="209">
        <f>TRUNC(F3348*I3348,2)</f>
        <v>4.55</v>
      </c>
    </row>
    <row r="3349" spans="1:10" ht="15" customHeight="1">
      <c r="A3349" s="233" t="s">
        <v>245</v>
      </c>
      <c r="B3349" s="161"/>
      <c r="C3349" s="161">
        <v>88264</v>
      </c>
      <c r="D3349" s="161" t="str">
        <f>IF(B3349="SEPLAG",VLOOKUP(COMPOSIÇÕES!C3349,'MAPA COMPARATIVO'!A:B,2,FALSE),VLOOKUP(C3349,'NAO DESO'!A:B,2,0))</f>
        <v>ELETRICISTA COM ENCARGOS COMPLEMENTARES</v>
      </c>
      <c r="E3349" s="247" t="s">
        <v>16</v>
      </c>
      <c r="F3349" s="248">
        <v>0.3</v>
      </c>
      <c r="G3349" s="242" t="str">
        <f>IF(B3349="SEPLAG",VLOOKUP(CONCATENATE("MEDIANA - ",C3349),COTAÇÃO,5,FALSE),VLOOKUP($C3349,'NAO DESO'!$A:$D,4,))</f>
        <v>21,87</v>
      </c>
      <c r="H3349" s="242">
        <f>TRUNC(F3349*G3349,2)</f>
        <v>6.56</v>
      </c>
      <c r="I3349" s="54" t="str">
        <f>IF(B3349="SEPLAG",VLOOKUP(CONCATENATE("MEDIANA - ",C3349),COTAÇÃO,5,FALSE),VLOOKUP($C3349,DESON!$A:$D,4,))</f>
        <v>19,53</v>
      </c>
      <c r="J3349" s="209">
        <f>TRUNC(F3349*I3349,2)</f>
        <v>5.85</v>
      </c>
    </row>
    <row r="3350" spans="1:10" ht="15" customHeight="1">
      <c r="A3350" s="210" t="str">
        <f>CONCATENATE("TOTAL DO ITEM NÃO DESON. - ",C3344)</f>
        <v>TOTAL DO ITEM NÃO DESON. - SEPLAG ELE 08</v>
      </c>
      <c r="B3350" s="432"/>
      <c r="C3350" s="432"/>
      <c r="D3350" s="432"/>
      <c r="E3350" s="430"/>
      <c r="F3350" s="1189"/>
      <c r="G3350" s="1189"/>
      <c r="H3350" s="1189">
        <f>SUM(H3347:H3349)</f>
        <v>15.36</v>
      </c>
      <c r="I3350" s="213"/>
      <c r="J3350" s="259"/>
    </row>
    <row r="3351" spans="1:10" ht="15.75" customHeight="1" thickBot="1">
      <c r="A3351" s="216" t="str">
        <f>CONCATENATE("TOTAL DO ITEM DESON. - ",C3344)</f>
        <v>TOTAL DO ITEM DESON. - SEPLAG ELE 08</v>
      </c>
      <c r="B3351" s="1148"/>
      <c r="C3351" s="1148"/>
      <c r="D3351" s="1148"/>
      <c r="E3351" s="1142"/>
      <c r="F3351" s="1190"/>
      <c r="G3351" s="1190"/>
      <c r="H3351" s="1190"/>
      <c r="I3351" s="228"/>
      <c r="J3351" s="219">
        <f>SUM(J3347:J3350)</f>
        <v>14.15</v>
      </c>
    </row>
    <row r="3352" spans="1:10" ht="15" customHeight="1" thickBot="1">
      <c r="A3352" s="421"/>
      <c r="B3352" s="1138"/>
      <c r="C3352" s="1138"/>
      <c r="D3352" s="1138"/>
      <c r="E3352" s="1154"/>
      <c r="F3352" s="1196"/>
      <c r="G3352" s="1196"/>
      <c r="H3352" s="1196"/>
      <c r="I3352" s="423"/>
      <c r="J3352" s="422"/>
    </row>
    <row r="3353" spans="1:10" ht="25.5" customHeight="1">
      <c r="A3353" s="256"/>
      <c r="B3353" s="1152"/>
      <c r="C3353" s="1152" t="s">
        <v>7128</v>
      </c>
      <c r="D3353" s="152" t="s">
        <v>7702</v>
      </c>
      <c r="E3353" s="1152" t="s">
        <v>24</v>
      </c>
      <c r="F3353" s="1177" t="s">
        <v>18</v>
      </c>
      <c r="G3353" s="1178" t="s">
        <v>7015</v>
      </c>
      <c r="H3353" s="1179"/>
      <c r="I3353" s="200" t="s">
        <v>7016</v>
      </c>
      <c r="J3353" s="201"/>
    </row>
    <row r="3354" spans="1:10" ht="15" customHeight="1">
      <c r="A3354" s="257"/>
      <c r="B3354" s="430"/>
      <c r="C3354" s="430"/>
      <c r="D3354" s="430"/>
      <c r="E3354" s="430"/>
      <c r="F3354" s="1180"/>
      <c r="G3354" s="1180" t="s">
        <v>19</v>
      </c>
      <c r="H3354" s="1180" t="s">
        <v>20</v>
      </c>
      <c r="I3354" s="204" t="s">
        <v>19</v>
      </c>
      <c r="J3354" s="206" t="s">
        <v>20</v>
      </c>
    </row>
    <row r="3355" spans="1:10" ht="15" customHeight="1">
      <c r="A3355" s="233"/>
      <c r="B3355" s="161"/>
      <c r="C3355" s="161"/>
      <c r="D3355" s="161" t="s">
        <v>7122</v>
      </c>
      <c r="E3355" s="247"/>
      <c r="F3355" s="248"/>
      <c r="G3355" s="248"/>
      <c r="H3355" s="248"/>
      <c r="I3355" s="214"/>
      <c r="J3355" s="227"/>
    </row>
    <row r="3356" spans="1:10" ht="26.25" customHeight="1">
      <c r="A3356" s="233" t="s">
        <v>188</v>
      </c>
      <c r="B3356" s="161" t="s">
        <v>14504</v>
      </c>
      <c r="C3356" s="161" t="s">
        <v>14409</v>
      </c>
      <c r="D3356" s="161" t="str">
        <f>IF(B3356="SEPLAG",VLOOKUP(COMPOSIÇÕES!C3356,'MAPA COMPARATIVO'!A:B,2,FALSE),VLOOKUP(C3356,'NAO DESO'!A:B,2,0))</f>
        <v>TERMINAL A COMPRESSAO EM COBRE ESTANHADO 1FURO PARA CABO 50 MM2</v>
      </c>
      <c r="E3356" s="247" t="s">
        <v>32</v>
      </c>
      <c r="F3356" s="248">
        <v>1</v>
      </c>
      <c r="G3356" s="242">
        <f>IF(B3356="SEPLAG",VLOOKUP(CONCATENATE("MEDIANA - ",C3356),COTAÇÃO,5,FALSE),VLOOKUP($C3356,'NAO DESO'!$A:$D,4,))</f>
        <v>6.52</v>
      </c>
      <c r="H3356" s="242">
        <f>TRUNC(F3356*G3356,2)</f>
        <v>6.52</v>
      </c>
      <c r="I3356" s="54">
        <f>IF(B3356="SEPLAG",VLOOKUP(CONCATENATE("MEDIANA - ",C3356),COTAÇÃO,5,FALSE),VLOOKUP($C3356,DESON!$A:$D,4,))</f>
        <v>6.52</v>
      </c>
      <c r="J3356" s="209">
        <f>TRUNC(F3356*I3356,2)</f>
        <v>6.52</v>
      </c>
    </row>
    <row r="3357" spans="1:10" ht="15" customHeight="1">
      <c r="A3357" s="233" t="s">
        <v>245</v>
      </c>
      <c r="B3357" s="161"/>
      <c r="C3357" s="161">
        <v>88247</v>
      </c>
      <c r="D3357" s="161" t="str">
        <f>IF(B3357="SEPLAG",VLOOKUP(COMPOSIÇÕES!C3357,'MAPA COMPARATIVO'!A:B,2,FALSE),VLOOKUP(C3357,'NAO DESO'!A:B,2,0))</f>
        <v>AUXILIAR DE ELETRICISTA COM ENCARGOS COMPLEMENTARES</v>
      </c>
      <c r="E3357" s="247" t="s">
        <v>16</v>
      </c>
      <c r="F3357" s="248">
        <v>0.3</v>
      </c>
      <c r="G3357" s="242" t="str">
        <f>IF(B3357="SEPLAG",VLOOKUP(CONCATENATE("MEDIANA - ",C3357),COTAÇÃO,5,FALSE),VLOOKUP($C3357,'NAO DESO'!$A:$D,4,))</f>
        <v>16,84</v>
      </c>
      <c r="H3357" s="242">
        <f>TRUNC(F3357*G3357,2)</f>
        <v>5.05</v>
      </c>
      <c r="I3357" s="54" t="str">
        <f>IF(B3357="SEPLAG",VLOOKUP(CONCATENATE("MEDIANA - ",C3357),COTAÇÃO,5,FALSE),VLOOKUP($C3357,DESON!$A:$D,4,))</f>
        <v>15,19</v>
      </c>
      <c r="J3357" s="209">
        <f>TRUNC(F3357*I3357,2)</f>
        <v>4.55</v>
      </c>
    </row>
    <row r="3358" spans="1:10" ht="15" customHeight="1">
      <c r="A3358" s="233" t="s">
        <v>245</v>
      </c>
      <c r="B3358" s="161"/>
      <c r="C3358" s="161">
        <v>88264</v>
      </c>
      <c r="D3358" s="161" t="str">
        <f>IF(B3358="SEPLAG",VLOOKUP(COMPOSIÇÕES!C3358,'MAPA COMPARATIVO'!A:B,2,FALSE),VLOOKUP(C3358,'NAO DESO'!A:B,2,0))</f>
        <v>ELETRICISTA COM ENCARGOS COMPLEMENTARES</v>
      </c>
      <c r="E3358" s="247" t="s">
        <v>16</v>
      </c>
      <c r="F3358" s="248">
        <v>0.3</v>
      </c>
      <c r="G3358" s="242" t="str">
        <f>IF(B3358="SEPLAG",VLOOKUP(CONCATENATE("MEDIANA - ",C3358),COTAÇÃO,5,FALSE),VLOOKUP($C3358,'NAO DESO'!$A:$D,4,))</f>
        <v>21,87</v>
      </c>
      <c r="H3358" s="242">
        <f>TRUNC(F3358*G3358,2)</f>
        <v>6.56</v>
      </c>
      <c r="I3358" s="54" t="str">
        <f>IF(B3358="SEPLAG",VLOOKUP(CONCATENATE("MEDIANA - ",C3358),COTAÇÃO,5,FALSE),VLOOKUP($C3358,DESON!$A:$D,4,))</f>
        <v>19,53</v>
      </c>
      <c r="J3358" s="209">
        <f>TRUNC(F3358*I3358,2)</f>
        <v>5.85</v>
      </c>
    </row>
    <row r="3359" spans="1:10" ht="15" customHeight="1">
      <c r="A3359" s="210" t="str">
        <f>CONCATENATE("TOTAL DO ITEM NÃO DESON. - ",C3353)</f>
        <v>TOTAL DO ITEM NÃO DESON. - SEPLAG ELE 09</v>
      </c>
      <c r="B3359" s="432"/>
      <c r="C3359" s="432"/>
      <c r="D3359" s="432"/>
      <c r="E3359" s="430"/>
      <c r="F3359" s="1189"/>
      <c r="G3359" s="1189"/>
      <c r="H3359" s="1189">
        <f>SUM(H3356:H3358)</f>
        <v>18.13</v>
      </c>
      <c r="I3359" s="213"/>
      <c r="J3359" s="259"/>
    </row>
    <row r="3360" spans="1:10" ht="15.75" customHeight="1" thickBot="1">
      <c r="A3360" s="216" t="str">
        <f>CONCATENATE("TOTAL DO ITEM DESON. - ",C3353)</f>
        <v>TOTAL DO ITEM DESON. - SEPLAG ELE 09</v>
      </c>
      <c r="B3360" s="1148"/>
      <c r="C3360" s="1148"/>
      <c r="D3360" s="1148"/>
      <c r="E3360" s="1142"/>
      <c r="F3360" s="1190"/>
      <c r="G3360" s="1190"/>
      <c r="H3360" s="1190"/>
      <c r="I3360" s="228"/>
      <c r="J3360" s="219">
        <f>SUM(J3356:J3359)</f>
        <v>16.920000000000002</v>
      </c>
    </row>
    <row r="3361" spans="1:10" ht="15" customHeight="1" thickBot="1">
      <c r="A3361" s="421"/>
      <c r="B3361" s="1138"/>
      <c r="C3361" s="1138"/>
      <c r="D3361" s="1151"/>
      <c r="E3361" s="1154"/>
      <c r="F3361" s="1196"/>
      <c r="G3361" s="1196"/>
      <c r="H3361" s="1196"/>
      <c r="I3361" s="423"/>
      <c r="J3361" s="422"/>
    </row>
    <row r="3362" spans="1:10" ht="25.5" customHeight="1">
      <c r="A3362" s="256"/>
      <c r="B3362" s="1152"/>
      <c r="C3362" s="1152" t="s">
        <v>7130</v>
      </c>
      <c r="D3362" s="152" t="s">
        <v>7703</v>
      </c>
      <c r="E3362" s="1152" t="s">
        <v>24</v>
      </c>
      <c r="F3362" s="1177" t="s">
        <v>18</v>
      </c>
      <c r="G3362" s="1178" t="s">
        <v>7015</v>
      </c>
      <c r="H3362" s="1179"/>
      <c r="I3362" s="200" t="s">
        <v>7016</v>
      </c>
      <c r="J3362" s="201"/>
    </row>
    <row r="3363" spans="1:10" ht="15" customHeight="1">
      <c r="A3363" s="257"/>
      <c r="B3363" s="430"/>
      <c r="C3363" s="430"/>
      <c r="D3363" s="430"/>
      <c r="E3363" s="430"/>
      <c r="F3363" s="1180"/>
      <c r="G3363" s="1180" t="s">
        <v>19</v>
      </c>
      <c r="H3363" s="1180" t="s">
        <v>20</v>
      </c>
      <c r="I3363" s="204" t="s">
        <v>19</v>
      </c>
      <c r="J3363" s="206" t="s">
        <v>20</v>
      </c>
    </row>
    <row r="3364" spans="1:10" ht="15" customHeight="1">
      <c r="A3364" s="233"/>
      <c r="B3364" s="161"/>
      <c r="C3364" s="161"/>
      <c r="D3364" s="161" t="s">
        <v>7122</v>
      </c>
      <c r="E3364" s="247"/>
      <c r="F3364" s="248"/>
      <c r="G3364" s="248"/>
      <c r="H3364" s="248"/>
      <c r="I3364" s="214"/>
      <c r="J3364" s="227"/>
    </row>
    <row r="3365" spans="1:10" ht="26.25" customHeight="1">
      <c r="A3365" s="233" t="s">
        <v>188</v>
      </c>
      <c r="B3365" s="161" t="s">
        <v>14504</v>
      </c>
      <c r="C3365" s="161" t="s">
        <v>14410</v>
      </c>
      <c r="D3365" s="161" t="str">
        <f>IF(B3365="SEPLAG",VLOOKUP(COMPOSIÇÕES!C3365,'MAPA COMPARATIVO'!A:B,2,FALSE),VLOOKUP(C3365,'NAO DESO'!A:B,2,0))</f>
        <v>TERMINAL A COMPRESSAO EM COBRE ESTANHADO 1FURO PARA CABO 70 MM2</v>
      </c>
      <c r="E3365" s="247" t="s">
        <v>32</v>
      </c>
      <c r="F3365" s="248">
        <v>1</v>
      </c>
      <c r="G3365" s="242">
        <f>IF(B3365="SEPLAG",VLOOKUP(CONCATENATE("MEDIANA - ",C3365),COTAÇÃO,5,FALSE),VLOOKUP($C3365,'NAO DESO'!$A:$D,4,))</f>
        <v>8.15</v>
      </c>
      <c r="H3365" s="242">
        <f>TRUNC(F3365*G3365,2)</f>
        <v>8.15</v>
      </c>
      <c r="I3365" s="54">
        <f>IF(B3365="SEPLAG",VLOOKUP(CONCATENATE("MEDIANA - ",C3365),COTAÇÃO,5,FALSE),VLOOKUP($C3365,DESON!$A:$D,4,))</f>
        <v>8.15</v>
      </c>
      <c r="J3365" s="209">
        <f>TRUNC(F3365*I3365,2)</f>
        <v>8.15</v>
      </c>
    </row>
    <row r="3366" spans="1:10" ht="15" customHeight="1">
      <c r="A3366" s="233" t="s">
        <v>245</v>
      </c>
      <c r="B3366" s="161"/>
      <c r="C3366" s="161">
        <v>88247</v>
      </c>
      <c r="D3366" s="161" t="str">
        <f>IF(B3366="SEPLAG",VLOOKUP(COMPOSIÇÕES!C3366,'MAPA COMPARATIVO'!A:B,2,FALSE),VLOOKUP(C3366,'NAO DESO'!A:B,2,0))</f>
        <v>AUXILIAR DE ELETRICISTA COM ENCARGOS COMPLEMENTARES</v>
      </c>
      <c r="E3366" s="247" t="s">
        <v>16</v>
      </c>
      <c r="F3366" s="248">
        <v>0.3</v>
      </c>
      <c r="G3366" s="242" t="str">
        <f>IF(B3366="SEPLAG",VLOOKUP(CONCATENATE("MEDIANA - ",C3366),COTAÇÃO,5,FALSE),VLOOKUP($C3366,'NAO DESO'!$A:$D,4,))</f>
        <v>16,84</v>
      </c>
      <c r="H3366" s="242">
        <f>TRUNC(F3366*G3366,2)</f>
        <v>5.05</v>
      </c>
      <c r="I3366" s="54" t="str">
        <f>IF(B3366="SEPLAG",VLOOKUP(CONCATENATE("MEDIANA - ",C3366),COTAÇÃO,5,FALSE),VLOOKUP($C3366,DESON!$A:$D,4,))</f>
        <v>15,19</v>
      </c>
      <c r="J3366" s="209">
        <f>TRUNC(F3366*I3366,2)</f>
        <v>4.55</v>
      </c>
    </row>
    <row r="3367" spans="1:10" ht="15" customHeight="1">
      <c r="A3367" s="233" t="s">
        <v>245</v>
      </c>
      <c r="B3367" s="161"/>
      <c r="C3367" s="161">
        <v>88264</v>
      </c>
      <c r="D3367" s="161" t="str">
        <f>IF(B3367="SEPLAG",VLOOKUP(COMPOSIÇÕES!C3367,'MAPA COMPARATIVO'!A:B,2,FALSE),VLOOKUP(C3367,'NAO DESO'!A:B,2,0))</f>
        <v>ELETRICISTA COM ENCARGOS COMPLEMENTARES</v>
      </c>
      <c r="E3367" s="247" t="s">
        <v>16</v>
      </c>
      <c r="F3367" s="248">
        <v>0.3</v>
      </c>
      <c r="G3367" s="242" t="str">
        <f>IF(B3367="SEPLAG",VLOOKUP(CONCATENATE("MEDIANA - ",C3367),COTAÇÃO,5,FALSE),VLOOKUP($C3367,'NAO DESO'!$A:$D,4,))</f>
        <v>21,87</v>
      </c>
      <c r="H3367" s="242">
        <f>TRUNC(F3367*G3367,2)</f>
        <v>6.56</v>
      </c>
      <c r="I3367" s="54" t="str">
        <f>IF(B3367="SEPLAG",VLOOKUP(CONCATENATE("MEDIANA - ",C3367),COTAÇÃO,5,FALSE),VLOOKUP($C3367,DESON!$A:$D,4,))</f>
        <v>19,53</v>
      </c>
      <c r="J3367" s="209">
        <f>TRUNC(F3367*I3367,2)</f>
        <v>5.85</v>
      </c>
    </row>
    <row r="3368" spans="1:10" ht="15" customHeight="1">
      <c r="A3368" s="210" t="str">
        <f>CONCATENATE("TOTAL DO ITEM NÃO DESON. - ",C3362)</f>
        <v>TOTAL DO ITEM NÃO DESON. - SEPLAG ELE 10</v>
      </c>
      <c r="B3368" s="432"/>
      <c r="C3368" s="432"/>
      <c r="D3368" s="432"/>
      <c r="E3368" s="430"/>
      <c r="F3368" s="1189"/>
      <c r="G3368" s="1189"/>
      <c r="H3368" s="1189">
        <f>SUM(H3365:H3367)</f>
        <v>19.759999999999998</v>
      </c>
      <c r="I3368" s="213"/>
      <c r="J3368" s="259"/>
    </row>
    <row r="3369" spans="1:10" ht="15.75" customHeight="1" thickBot="1">
      <c r="A3369" s="216" t="str">
        <f>CONCATENATE("TOTAL DO ITEM DESON. - ",C3362)</f>
        <v>TOTAL DO ITEM DESON. - SEPLAG ELE 10</v>
      </c>
      <c r="B3369" s="1148"/>
      <c r="C3369" s="1148"/>
      <c r="D3369" s="1148"/>
      <c r="E3369" s="1142"/>
      <c r="F3369" s="1190"/>
      <c r="G3369" s="1190"/>
      <c r="H3369" s="1190"/>
      <c r="I3369" s="228"/>
      <c r="J3369" s="219">
        <f>SUM(J3365:J3368)</f>
        <v>18.549999999999997</v>
      </c>
    </row>
    <row r="3370" spans="1:10" ht="15" customHeight="1" thickBot="1">
      <c r="A3370" s="421"/>
      <c r="B3370" s="1138"/>
      <c r="C3370" s="1138"/>
      <c r="D3370" s="1138"/>
      <c r="E3370" s="1154"/>
      <c r="F3370" s="1196"/>
      <c r="G3370" s="1196"/>
      <c r="H3370" s="1196"/>
      <c r="I3370" s="423"/>
      <c r="J3370" s="422"/>
    </row>
    <row r="3371" spans="1:10" ht="25.5" customHeight="1">
      <c r="A3371" s="256"/>
      <c r="B3371" s="1152"/>
      <c r="C3371" s="1152" t="s">
        <v>7132</v>
      </c>
      <c r="D3371" s="152" t="s">
        <v>7704</v>
      </c>
      <c r="E3371" s="1152" t="s">
        <v>24</v>
      </c>
      <c r="F3371" s="1177" t="s">
        <v>18</v>
      </c>
      <c r="G3371" s="1178" t="s">
        <v>7015</v>
      </c>
      <c r="H3371" s="1179"/>
      <c r="I3371" s="200" t="s">
        <v>7016</v>
      </c>
      <c r="J3371" s="201"/>
    </row>
    <row r="3372" spans="1:10" ht="15" customHeight="1">
      <c r="A3372" s="257"/>
      <c r="B3372" s="430"/>
      <c r="C3372" s="430"/>
      <c r="D3372" s="430"/>
      <c r="E3372" s="430"/>
      <c r="F3372" s="1180"/>
      <c r="G3372" s="1180" t="s">
        <v>19</v>
      </c>
      <c r="H3372" s="1180" t="s">
        <v>20</v>
      </c>
      <c r="I3372" s="204" t="s">
        <v>19</v>
      </c>
      <c r="J3372" s="206" t="s">
        <v>20</v>
      </c>
    </row>
    <row r="3373" spans="1:10" ht="15" customHeight="1">
      <c r="A3373" s="233"/>
      <c r="B3373" s="161"/>
      <c r="C3373" s="161"/>
      <c r="D3373" s="161" t="s">
        <v>7122</v>
      </c>
      <c r="E3373" s="247"/>
      <c r="F3373" s="248"/>
      <c r="G3373" s="248"/>
      <c r="H3373" s="248"/>
      <c r="I3373" s="214"/>
      <c r="J3373" s="227"/>
    </row>
    <row r="3374" spans="1:10" ht="26.25" customHeight="1">
      <c r="A3374" s="233" t="s">
        <v>188</v>
      </c>
      <c r="B3374" s="161" t="s">
        <v>14504</v>
      </c>
      <c r="C3374" s="161" t="s">
        <v>14411</v>
      </c>
      <c r="D3374" s="161" t="str">
        <f>IF(B3374="SEPLAG",VLOOKUP(COMPOSIÇÕES!C3374,'MAPA COMPARATIVO'!A:B,2,FALSE),VLOOKUP(C3374,'NAO DESO'!A:B,2,0))</f>
        <v>TERMINAL A COMPRESSAO EM COBRE ESTANHADO 1FURO PARA CABO 95 MM2</v>
      </c>
      <c r="E3374" s="247" t="s">
        <v>32</v>
      </c>
      <c r="F3374" s="248">
        <v>1</v>
      </c>
      <c r="G3374" s="242">
        <f>IF(B3374="SEPLAG",VLOOKUP(CONCATENATE("MEDIANA - ",C3374),COTAÇÃO,5,FALSE),VLOOKUP($C3374,'NAO DESO'!$A:$D,4,))</f>
        <v>11.41</v>
      </c>
      <c r="H3374" s="242">
        <f>TRUNC(F3374*G3374,2)</f>
        <v>11.41</v>
      </c>
      <c r="I3374" s="54">
        <f>IF(B3374="SEPLAG",VLOOKUP(CONCATENATE("MEDIANA - ",C3374),COTAÇÃO,5,FALSE),VLOOKUP($C3374,DESON!$A:$D,4,))</f>
        <v>11.41</v>
      </c>
      <c r="J3374" s="209">
        <f>TRUNC(F3374*I3374,2)</f>
        <v>11.41</v>
      </c>
    </row>
    <row r="3375" spans="1:10" ht="15" customHeight="1">
      <c r="A3375" s="233" t="s">
        <v>245</v>
      </c>
      <c r="B3375" s="161"/>
      <c r="C3375" s="161">
        <v>88247</v>
      </c>
      <c r="D3375" s="161" t="str">
        <f>IF(B3375="SEPLAG",VLOOKUP(COMPOSIÇÕES!C3375,'MAPA COMPARATIVO'!A:B,2,FALSE),VLOOKUP(C3375,'NAO DESO'!A:B,2,0))</f>
        <v>AUXILIAR DE ELETRICISTA COM ENCARGOS COMPLEMENTARES</v>
      </c>
      <c r="E3375" s="247" t="s">
        <v>16</v>
      </c>
      <c r="F3375" s="248">
        <v>0.3</v>
      </c>
      <c r="G3375" s="242" t="str">
        <f>IF(B3375="SEPLAG",VLOOKUP(CONCATENATE("MEDIANA - ",C3375),COTAÇÃO,5,FALSE),VLOOKUP($C3375,'NAO DESO'!$A:$D,4,))</f>
        <v>16,84</v>
      </c>
      <c r="H3375" s="242">
        <f>TRUNC(F3375*G3375,2)</f>
        <v>5.05</v>
      </c>
      <c r="I3375" s="54" t="str">
        <f>IF(B3375="SEPLAG",VLOOKUP(CONCATENATE("MEDIANA - ",C3375),COTAÇÃO,5,FALSE),VLOOKUP($C3375,DESON!$A:$D,4,))</f>
        <v>15,19</v>
      </c>
      <c r="J3375" s="209">
        <f>TRUNC(F3375*I3375,2)</f>
        <v>4.55</v>
      </c>
    </row>
    <row r="3376" spans="1:10" ht="15" customHeight="1">
      <c r="A3376" s="233" t="s">
        <v>245</v>
      </c>
      <c r="B3376" s="161"/>
      <c r="C3376" s="161">
        <v>88264</v>
      </c>
      <c r="D3376" s="161" t="str">
        <f>IF(B3376="SEPLAG",VLOOKUP(COMPOSIÇÕES!C3376,'MAPA COMPARATIVO'!A:B,2,FALSE),VLOOKUP(C3376,'NAO DESO'!A:B,2,0))</f>
        <v>ELETRICISTA COM ENCARGOS COMPLEMENTARES</v>
      </c>
      <c r="E3376" s="247" t="s">
        <v>16</v>
      </c>
      <c r="F3376" s="248">
        <v>0.3</v>
      </c>
      <c r="G3376" s="242" t="str">
        <f>IF(B3376="SEPLAG",VLOOKUP(CONCATENATE("MEDIANA - ",C3376),COTAÇÃO,5,FALSE),VLOOKUP($C3376,'NAO DESO'!$A:$D,4,))</f>
        <v>21,87</v>
      </c>
      <c r="H3376" s="242">
        <f>TRUNC(F3376*G3376,2)</f>
        <v>6.56</v>
      </c>
      <c r="I3376" s="54" t="str">
        <f>IF(B3376="SEPLAG",VLOOKUP(CONCATENATE("MEDIANA - ",C3376),COTAÇÃO,5,FALSE),VLOOKUP($C3376,DESON!$A:$D,4,))</f>
        <v>19,53</v>
      </c>
      <c r="J3376" s="209">
        <f>TRUNC(F3376*I3376,2)</f>
        <v>5.85</v>
      </c>
    </row>
    <row r="3377" spans="1:10" ht="15" customHeight="1">
      <c r="A3377" s="210" t="str">
        <f>CONCATENATE("TOTAL DO ITEM NÃO DESON. - ",C3371)</f>
        <v>TOTAL DO ITEM NÃO DESON. - SEPLAG ELE 11</v>
      </c>
      <c r="B3377" s="432"/>
      <c r="C3377" s="432"/>
      <c r="D3377" s="432"/>
      <c r="E3377" s="430"/>
      <c r="F3377" s="1189"/>
      <c r="G3377" s="1189"/>
      <c r="H3377" s="1189">
        <f>SUM(H3374:H3376)</f>
        <v>23.02</v>
      </c>
      <c r="I3377" s="213"/>
      <c r="J3377" s="259"/>
    </row>
    <row r="3378" spans="1:10" ht="15.75" customHeight="1" thickBot="1">
      <c r="A3378" s="216" t="str">
        <f>CONCATENATE("TOTAL DO ITEM DESON. - ",C3371)</f>
        <v>TOTAL DO ITEM DESON. - SEPLAG ELE 11</v>
      </c>
      <c r="B3378" s="1148"/>
      <c r="C3378" s="1148"/>
      <c r="D3378" s="1148"/>
      <c r="E3378" s="1142"/>
      <c r="F3378" s="1190"/>
      <c r="G3378" s="1190"/>
      <c r="H3378" s="1190"/>
      <c r="I3378" s="228"/>
      <c r="J3378" s="219">
        <f>SUM(J3374:J3377)</f>
        <v>21.810000000000002</v>
      </c>
    </row>
    <row r="3379" spans="1:10" ht="15" customHeight="1" thickBot="1">
      <c r="A3379" s="421"/>
      <c r="B3379" s="1138"/>
      <c r="C3379" s="1138"/>
      <c r="D3379" s="1138"/>
      <c r="E3379" s="1154"/>
      <c r="F3379" s="1196"/>
      <c r="G3379" s="1196"/>
      <c r="H3379" s="1196"/>
      <c r="I3379" s="423"/>
      <c r="J3379" s="422"/>
    </row>
    <row r="3380" spans="1:10" ht="25.5" customHeight="1">
      <c r="A3380" s="256"/>
      <c r="B3380" s="1152"/>
      <c r="C3380" s="1152" t="s">
        <v>7134</v>
      </c>
      <c r="D3380" s="152" t="s">
        <v>7705</v>
      </c>
      <c r="E3380" s="1152" t="s">
        <v>24</v>
      </c>
      <c r="F3380" s="1177" t="s">
        <v>18</v>
      </c>
      <c r="G3380" s="1178" t="s">
        <v>7015</v>
      </c>
      <c r="H3380" s="1179"/>
      <c r="I3380" s="200" t="s">
        <v>7016</v>
      </c>
      <c r="J3380" s="201"/>
    </row>
    <row r="3381" spans="1:10" ht="15" customHeight="1">
      <c r="A3381" s="257"/>
      <c r="B3381" s="430"/>
      <c r="C3381" s="430"/>
      <c r="D3381" s="430"/>
      <c r="E3381" s="430"/>
      <c r="F3381" s="1180"/>
      <c r="G3381" s="1180" t="s">
        <v>19</v>
      </c>
      <c r="H3381" s="1180" t="s">
        <v>20</v>
      </c>
      <c r="I3381" s="204" t="s">
        <v>19</v>
      </c>
      <c r="J3381" s="206" t="s">
        <v>20</v>
      </c>
    </row>
    <row r="3382" spans="1:10" ht="15" customHeight="1">
      <c r="A3382" s="233"/>
      <c r="B3382" s="161"/>
      <c r="C3382" s="161"/>
      <c r="D3382" s="161" t="s">
        <v>7122</v>
      </c>
      <c r="E3382" s="247"/>
      <c r="F3382" s="248"/>
      <c r="G3382" s="248"/>
      <c r="H3382" s="248"/>
      <c r="I3382" s="214"/>
      <c r="J3382" s="227"/>
    </row>
    <row r="3383" spans="1:10" ht="26.25" customHeight="1">
      <c r="A3383" s="233" t="s">
        <v>188</v>
      </c>
      <c r="B3383" s="161" t="s">
        <v>14504</v>
      </c>
      <c r="C3383" s="161" t="s">
        <v>14412</v>
      </c>
      <c r="D3383" s="161" t="str">
        <f>IF(B3383="SEPLAG",VLOOKUP(COMPOSIÇÕES!C3383,'MAPA COMPARATIVO'!A:B,2,FALSE),VLOOKUP(C3383,'NAO DESO'!A:B,2,0))</f>
        <v>TERMINAL A COMPRESSAO EM COBRE ESTANHADO 1FURO PARA CABO 120 MM2</v>
      </c>
      <c r="E3383" s="247" t="s">
        <v>427</v>
      </c>
      <c r="F3383" s="248">
        <v>1</v>
      </c>
      <c r="G3383" s="242">
        <f>IF(B3383="SEPLAG",VLOOKUP(CONCATENATE("MEDIANA - ",C3383),COTAÇÃO,5,FALSE),VLOOKUP($C3383,'NAO DESO'!$A:$D,4,))</f>
        <v>20.45</v>
      </c>
      <c r="H3383" s="242">
        <f>TRUNC(F3383*G3383,2)</f>
        <v>20.45</v>
      </c>
      <c r="I3383" s="54">
        <f>IF(B3383="SEPLAG",VLOOKUP(CONCATENATE("MEDIANA - ",C3383),COTAÇÃO,5,FALSE),VLOOKUP($C3383,DESON!$A:$D,4,))</f>
        <v>20.45</v>
      </c>
      <c r="J3383" s="209">
        <f>TRUNC(F3383*I3383,2)</f>
        <v>20.45</v>
      </c>
    </row>
    <row r="3384" spans="1:10" ht="15" customHeight="1">
      <c r="A3384" s="233" t="s">
        <v>245</v>
      </c>
      <c r="B3384" s="161"/>
      <c r="C3384" s="161">
        <v>88247</v>
      </c>
      <c r="D3384" s="161" t="str">
        <f>IF(B3384="SEPLAG",VLOOKUP(COMPOSIÇÕES!C3384,'MAPA COMPARATIVO'!A:B,2,FALSE),VLOOKUP(C3384,'NAO DESO'!A:B,2,0))</f>
        <v>AUXILIAR DE ELETRICISTA COM ENCARGOS COMPLEMENTARES</v>
      </c>
      <c r="E3384" s="247" t="s">
        <v>16</v>
      </c>
      <c r="F3384" s="248">
        <v>0.3</v>
      </c>
      <c r="G3384" s="242" t="str">
        <f>IF(B3384="SEPLAG",VLOOKUP(CONCATENATE("MEDIANA - ",C3384),COTAÇÃO,5,FALSE),VLOOKUP($C3384,'NAO DESO'!$A:$D,4,))</f>
        <v>16,84</v>
      </c>
      <c r="H3384" s="242">
        <f>TRUNC(F3384*G3384,2)</f>
        <v>5.05</v>
      </c>
      <c r="I3384" s="54" t="str">
        <f>IF(B3384="SEPLAG",VLOOKUP(CONCATENATE("MEDIANA - ",C3384),COTAÇÃO,5,FALSE),VLOOKUP($C3384,DESON!$A:$D,4,))</f>
        <v>15,19</v>
      </c>
      <c r="J3384" s="209">
        <f>TRUNC(F3384*I3384,2)</f>
        <v>4.55</v>
      </c>
    </row>
    <row r="3385" spans="1:10" ht="15" customHeight="1">
      <c r="A3385" s="233" t="s">
        <v>245</v>
      </c>
      <c r="B3385" s="161"/>
      <c r="C3385" s="161">
        <v>88264</v>
      </c>
      <c r="D3385" s="161" t="str">
        <f>IF(B3385="SEPLAG",VLOOKUP(COMPOSIÇÕES!C3385,'MAPA COMPARATIVO'!A:B,2,FALSE),VLOOKUP(C3385,'NAO DESO'!A:B,2,0))</f>
        <v>ELETRICISTA COM ENCARGOS COMPLEMENTARES</v>
      </c>
      <c r="E3385" s="247" t="s">
        <v>16</v>
      </c>
      <c r="F3385" s="248">
        <v>0.3</v>
      </c>
      <c r="G3385" s="242" t="str">
        <f>IF(B3385="SEPLAG",VLOOKUP(CONCATENATE("MEDIANA - ",C3385),COTAÇÃO,5,FALSE),VLOOKUP($C3385,'NAO DESO'!$A:$D,4,))</f>
        <v>21,87</v>
      </c>
      <c r="H3385" s="242">
        <f>TRUNC(F3385*G3385,2)</f>
        <v>6.56</v>
      </c>
      <c r="I3385" s="54" t="str">
        <f>IF(B3385="SEPLAG",VLOOKUP(CONCATENATE("MEDIANA - ",C3385),COTAÇÃO,5,FALSE),VLOOKUP($C3385,DESON!$A:$D,4,))</f>
        <v>19,53</v>
      </c>
      <c r="J3385" s="209">
        <f>TRUNC(F3385*I3385,2)</f>
        <v>5.85</v>
      </c>
    </row>
    <row r="3386" spans="1:10" ht="15" customHeight="1">
      <c r="A3386" s="210" t="str">
        <f>CONCATENATE("TOTAL DO ITEM NÃO DESON. - ",C3380)</f>
        <v>TOTAL DO ITEM NÃO DESON. - SEPLAG ELE 12</v>
      </c>
      <c r="B3386" s="432"/>
      <c r="C3386" s="432"/>
      <c r="D3386" s="432"/>
      <c r="E3386" s="430"/>
      <c r="F3386" s="1189"/>
      <c r="G3386" s="1189"/>
      <c r="H3386" s="1189">
        <f>SUM(H3383:H3385)</f>
        <v>32.06</v>
      </c>
      <c r="I3386" s="213"/>
      <c r="J3386" s="259"/>
    </row>
    <row r="3387" spans="1:10" ht="15.75" customHeight="1" thickBot="1">
      <c r="A3387" s="216" t="str">
        <f>CONCATENATE("TOTAL DO ITEM DESON. - ",C3380)</f>
        <v>TOTAL DO ITEM DESON. - SEPLAG ELE 12</v>
      </c>
      <c r="B3387" s="1148"/>
      <c r="C3387" s="1148"/>
      <c r="D3387" s="1148"/>
      <c r="E3387" s="1142"/>
      <c r="F3387" s="1190"/>
      <c r="G3387" s="1190"/>
      <c r="H3387" s="1190"/>
      <c r="I3387" s="228"/>
      <c r="J3387" s="219">
        <f>SUM(J3383:J3386)</f>
        <v>30.85</v>
      </c>
    </row>
    <row r="3388" spans="1:10" ht="15" customHeight="1" thickBot="1">
      <c r="A3388" s="421"/>
      <c r="B3388" s="1138"/>
      <c r="C3388" s="1138"/>
      <c r="D3388" s="1138"/>
      <c r="E3388" s="1154"/>
      <c r="F3388" s="1196"/>
      <c r="G3388" s="1196"/>
      <c r="H3388" s="1196"/>
      <c r="I3388" s="423"/>
      <c r="J3388" s="422"/>
    </row>
    <row r="3389" spans="1:10" ht="25.5" customHeight="1">
      <c r="A3389" s="256"/>
      <c r="B3389" s="1152"/>
      <c r="C3389" s="1152" t="s">
        <v>7136</v>
      </c>
      <c r="D3389" s="152" t="s">
        <v>7706</v>
      </c>
      <c r="E3389" s="1152" t="s">
        <v>250</v>
      </c>
      <c r="F3389" s="1177" t="s">
        <v>18</v>
      </c>
      <c r="G3389" s="1178" t="s">
        <v>7015</v>
      </c>
      <c r="H3389" s="1179"/>
      <c r="I3389" s="200" t="s">
        <v>7016</v>
      </c>
      <c r="J3389" s="201"/>
    </row>
    <row r="3390" spans="1:10" ht="15" customHeight="1">
      <c r="A3390" s="257"/>
      <c r="B3390" s="430"/>
      <c r="C3390" s="430"/>
      <c r="D3390" s="430"/>
      <c r="E3390" s="430"/>
      <c r="F3390" s="1180"/>
      <c r="G3390" s="1180" t="s">
        <v>19</v>
      </c>
      <c r="H3390" s="1180" t="s">
        <v>20</v>
      </c>
      <c r="I3390" s="204" t="s">
        <v>19</v>
      </c>
      <c r="J3390" s="206" t="s">
        <v>20</v>
      </c>
    </row>
    <row r="3391" spans="1:10" ht="15" customHeight="1">
      <c r="A3391" s="233"/>
      <c r="B3391" s="161"/>
      <c r="C3391" s="161"/>
      <c r="D3391" s="161" t="s">
        <v>7122</v>
      </c>
      <c r="E3391" s="247"/>
      <c r="F3391" s="248"/>
      <c r="G3391" s="248"/>
      <c r="H3391" s="248"/>
      <c r="I3391" s="214"/>
      <c r="J3391" s="227"/>
    </row>
    <row r="3392" spans="1:10" ht="26.25" customHeight="1">
      <c r="A3392" s="233" t="s">
        <v>188</v>
      </c>
      <c r="B3392" s="161" t="s">
        <v>14504</v>
      </c>
      <c r="C3392" s="161" t="s">
        <v>14413</v>
      </c>
      <c r="D3392" s="161" t="str">
        <f>IF(B3392="SEPLAG",VLOOKUP(COMPOSIÇÕES!C3392,'MAPA COMPARATIVO'!A:B,2,FALSE),VLOOKUP(C3392,'NAO DESO'!A:B,2,0))</f>
        <v>TERMINAL A COMPRESSAO EM COBRE ESTANHADO 1FURO PARA CABO 150 MM2</v>
      </c>
      <c r="E3392" s="247" t="s">
        <v>250</v>
      </c>
      <c r="F3392" s="248">
        <v>1</v>
      </c>
      <c r="G3392" s="242">
        <f>IF(B3392="SEPLAG",VLOOKUP(CONCATENATE("MEDIANA - ",C3392),COTAÇÃO,5,FALSE),VLOOKUP($C3392,'NAO DESO'!$A:$D,4,))</f>
        <v>25.33</v>
      </c>
      <c r="H3392" s="242">
        <f>TRUNC(F3392*G3392,2)</f>
        <v>25.33</v>
      </c>
      <c r="I3392" s="54">
        <f>IF(B3392="SEPLAG",VLOOKUP(CONCATENATE("MEDIANA - ",C3392),COTAÇÃO,5,FALSE),VLOOKUP($C3392,DESON!$A:$D,4,))</f>
        <v>25.33</v>
      </c>
      <c r="J3392" s="209">
        <f>TRUNC(F3392*I3392,2)</f>
        <v>25.33</v>
      </c>
    </row>
    <row r="3393" spans="1:10" ht="15" customHeight="1">
      <c r="A3393" s="233" t="s">
        <v>245</v>
      </c>
      <c r="B3393" s="161"/>
      <c r="C3393" s="161">
        <v>88247</v>
      </c>
      <c r="D3393" s="161" t="str">
        <f>IF(B3393="SEPLAG",VLOOKUP(COMPOSIÇÕES!C3393,'MAPA COMPARATIVO'!A:B,2,FALSE),VLOOKUP(C3393,'NAO DESO'!A:B,2,0))</f>
        <v>AUXILIAR DE ELETRICISTA COM ENCARGOS COMPLEMENTARES</v>
      </c>
      <c r="E3393" s="247" t="s">
        <v>16</v>
      </c>
      <c r="F3393" s="248">
        <v>0.3</v>
      </c>
      <c r="G3393" s="242" t="str">
        <f>IF(B3393="SEPLAG",VLOOKUP(CONCATENATE("MEDIANA - ",C3393),COTAÇÃO,5,FALSE),VLOOKUP($C3393,'NAO DESO'!$A:$D,4,))</f>
        <v>16,84</v>
      </c>
      <c r="H3393" s="242">
        <f>TRUNC(F3393*G3393,2)</f>
        <v>5.05</v>
      </c>
      <c r="I3393" s="54" t="str">
        <f>IF(B3393="SEPLAG",VLOOKUP(CONCATENATE("MEDIANA - ",C3393),COTAÇÃO,5,FALSE),VLOOKUP($C3393,DESON!$A:$D,4,))</f>
        <v>15,19</v>
      </c>
      <c r="J3393" s="209">
        <f>TRUNC(F3393*I3393,2)</f>
        <v>4.55</v>
      </c>
    </row>
    <row r="3394" spans="1:10" ht="15" customHeight="1">
      <c r="A3394" s="233" t="s">
        <v>245</v>
      </c>
      <c r="B3394" s="161"/>
      <c r="C3394" s="161">
        <v>88264</v>
      </c>
      <c r="D3394" s="161" t="str">
        <f>IF(B3394="SEPLAG",VLOOKUP(COMPOSIÇÕES!C3394,'MAPA COMPARATIVO'!A:B,2,FALSE),VLOOKUP(C3394,'NAO DESO'!A:B,2,0))</f>
        <v>ELETRICISTA COM ENCARGOS COMPLEMENTARES</v>
      </c>
      <c r="E3394" s="247" t="s">
        <v>16</v>
      </c>
      <c r="F3394" s="248">
        <v>0.3</v>
      </c>
      <c r="G3394" s="242" t="str">
        <f>IF(B3394="SEPLAG",VLOOKUP(CONCATENATE("MEDIANA - ",C3394),COTAÇÃO,5,FALSE),VLOOKUP($C3394,'NAO DESO'!$A:$D,4,))</f>
        <v>21,87</v>
      </c>
      <c r="H3394" s="242">
        <f>TRUNC(F3394*G3394,2)</f>
        <v>6.56</v>
      </c>
      <c r="I3394" s="54" t="str">
        <f>IF(B3394="SEPLAG",VLOOKUP(CONCATENATE("MEDIANA - ",C3394),COTAÇÃO,5,FALSE),VLOOKUP($C3394,DESON!$A:$D,4,))</f>
        <v>19,53</v>
      </c>
      <c r="J3394" s="209">
        <f>TRUNC(F3394*I3394,2)</f>
        <v>5.85</v>
      </c>
    </row>
    <row r="3395" spans="1:10" ht="15" customHeight="1">
      <c r="A3395" s="210" t="str">
        <f>CONCATENATE("TOTAL DO ITEM NÃO DESON. - ",C3389)</f>
        <v>TOTAL DO ITEM NÃO DESON. - SEPLAG ELE 13</v>
      </c>
      <c r="B3395" s="432"/>
      <c r="C3395" s="432"/>
      <c r="D3395" s="432"/>
      <c r="E3395" s="430"/>
      <c r="F3395" s="1189"/>
      <c r="G3395" s="1189"/>
      <c r="H3395" s="1189">
        <f>SUM(H3392:H3394)</f>
        <v>36.94</v>
      </c>
      <c r="I3395" s="213"/>
      <c r="J3395" s="259"/>
    </row>
    <row r="3396" spans="1:10" ht="15.75" customHeight="1" thickBot="1">
      <c r="A3396" s="216" t="str">
        <f>CONCATENATE("TOTAL DO ITEM DESON. - ",C3389)</f>
        <v>TOTAL DO ITEM DESON. - SEPLAG ELE 13</v>
      </c>
      <c r="B3396" s="1148"/>
      <c r="C3396" s="1148"/>
      <c r="D3396" s="1148"/>
      <c r="E3396" s="1142"/>
      <c r="F3396" s="1190"/>
      <c r="G3396" s="1190"/>
      <c r="H3396" s="1190"/>
      <c r="I3396" s="228"/>
      <c r="J3396" s="219">
        <f>SUM(J3392:J3395)</f>
        <v>35.729999999999997</v>
      </c>
    </row>
    <row r="3397" spans="1:10" ht="15" customHeight="1" thickBot="1">
      <c r="A3397" s="421"/>
      <c r="B3397" s="1138"/>
      <c r="C3397" s="1138"/>
      <c r="D3397" s="1138"/>
      <c r="E3397" s="1154"/>
      <c r="F3397" s="1196"/>
      <c r="G3397" s="1196"/>
      <c r="H3397" s="1196"/>
      <c r="I3397" s="423"/>
      <c r="J3397" s="422"/>
    </row>
    <row r="3398" spans="1:10" ht="25.5" customHeight="1">
      <c r="A3398" s="256"/>
      <c r="B3398" s="1152"/>
      <c r="C3398" s="1152" t="s">
        <v>7138</v>
      </c>
      <c r="D3398" s="152" t="s">
        <v>7707</v>
      </c>
      <c r="E3398" s="1152" t="s">
        <v>24</v>
      </c>
      <c r="F3398" s="1177" t="s">
        <v>18</v>
      </c>
      <c r="G3398" s="1178" t="s">
        <v>7015</v>
      </c>
      <c r="H3398" s="1179"/>
      <c r="I3398" s="200" t="s">
        <v>7016</v>
      </c>
      <c r="J3398" s="201"/>
    </row>
    <row r="3399" spans="1:10" ht="15" customHeight="1">
      <c r="A3399" s="257"/>
      <c r="B3399" s="430"/>
      <c r="C3399" s="430"/>
      <c r="D3399" s="430"/>
      <c r="E3399" s="430"/>
      <c r="F3399" s="1180"/>
      <c r="G3399" s="1180" t="s">
        <v>19</v>
      </c>
      <c r="H3399" s="1180" t="s">
        <v>20</v>
      </c>
      <c r="I3399" s="204" t="s">
        <v>19</v>
      </c>
      <c r="J3399" s="206" t="s">
        <v>20</v>
      </c>
    </row>
    <row r="3400" spans="1:10" ht="15" customHeight="1">
      <c r="A3400" s="233"/>
      <c r="B3400" s="161"/>
      <c r="C3400" s="161"/>
      <c r="D3400" s="161" t="s">
        <v>7122</v>
      </c>
      <c r="E3400" s="247"/>
      <c r="F3400" s="248"/>
      <c r="G3400" s="248"/>
      <c r="H3400" s="248"/>
      <c r="I3400" s="214"/>
      <c r="J3400" s="227"/>
    </row>
    <row r="3401" spans="1:10" ht="26.25" customHeight="1">
      <c r="A3401" s="233" t="s">
        <v>188</v>
      </c>
      <c r="B3401" s="161" t="s">
        <v>14504</v>
      </c>
      <c r="C3401" s="161" t="s">
        <v>14414</v>
      </c>
      <c r="D3401" s="161" t="str">
        <f>IF(B3401="SEPLAG",VLOOKUP(COMPOSIÇÕES!C3401,'MAPA COMPARATIVO'!A:B,2,FALSE),VLOOKUP(C3401,'NAO DESO'!A:B,2,0))</f>
        <v>TERMINAL A COMPRESSAO EM COBRE ESTANHADO 1FURO PARA CABO 185 MM2</v>
      </c>
      <c r="E3401" s="247" t="s">
        <v>250</v>
      </c>
      <c r="F3401" s="248">
        <v>1</v>
      </c>
      <c r="G3401" s="242">
        <f>IF(B3401="SEPLAG",VLOOKUP(CONCATENATE("MEDIANA - ",C3401),COTAÇÃO,5,FALSE),VLOOKUP($C3401,'NAO DESO'!$A:$D,4,))</f>
        <v>28.48</v>
      </c>
      <c r="H3401" s="242">
        <f>TRUNC(F3401*G3401,2)</f>
        <v>28.48</v>
      </c>
      <c r="I3401" s="54">
        <f>IF(B3401="SEPLAG",VLOOKUP(CONCATENATE("MEDIANA - ",C3401),COTAÇÃO,5,FALSE),VLOOKUP($C3401,DESON!$A:$D,4,))</f>
        <v>28.48</v>
      </c>
      <c r="J3401" s="209">
        <f>TRUNC(F3401*I3401,2)</f>
        <v>28.48</v>
      </c>
    </row>
    <row r="3402" spans="1:10" ht="15" customHeight="1">
      <c r="A3402" s="233" t="s">
        <v>245</v>
      </c>
      <c r="B3402" s="161"/>
      <c r="C3402" s="161">
        <v>88247</v>
      </c>
      <c r="D3402" s="161" t="str">
        <f>IF(B3402="SEPLAG",VLOOKUP(COMPOSIÇÕES!C3402,'MAPA COMPARATIVO'!A:B,2,FALSE),VLOOKUP(C3402,'NAO DESO'!A:B,2,0))</f>
        <v>AUXILIAR DE ELETRICISTA COM ENCARGOS COMPLEMENTARES</v>
      </c>
      <c r="E3402" s="247" t="s">
        <v>16</v>
      </c>
      <c r="F3402" s="248">
        <v>0.3</v>
      </c>
      <c r="G3402" s="242" t="str">
        <f>IF(B3402="SEPLAG",VLOOKUP(CONCATENATE("MEDIANA - ",C3402),COTAÇÃO,5,FALSE),VLOOKUP($C3402,'NAO DESO'!$A:$D,4,))</f>
        <v>16,84</v>
      </c>
      <c r="H3402" s="242">
        <f>TRUNC(F3402*G3402,2)</f>
        <v>5.05</v>
      </c>
      <c r="I3402" s="54" t="str">
        <f>IF(B3402="SEPLAG",VLOOKUP(CONCATENATE("MEDIANA - ",C3402),COTAÇÃO,5,FALSE),VLOOKUP($C3402,DESON!$A:$D,4,))</f>
        <v>15,19</v>
      </c>
      <c r="J3402" s="209">
        <f>TRUNC(F3402*I3402,2)</f>
        <v>4.55</v>
      </c>
    </row>
    <row r="3403" spans="1:10" ht="15" customHeight="1">
      <c r="A3403" s="233" t="s">
        <v>245</v>
      </c>
      <c r="B3403" s="161"/>
      <c r="C3403" s="161">
        <v>88264</v>
      </c>
      <c r="D3403" s="161" t="str">
        <f>IF(B3403="SEPLAG",VLOOKUP(COMPOSIÇÕES!C3403,'MAPA COMPARATIVO'!A:B,2,FALSE),VLOOKUP(C3403,'NAO DESO'!A:B,2,0))</f>
        <v>ELETRICISTA COM ENCARGOS COMPLEMENTARES</v>
      </c>
      <c r="E3403" s="247" t="s">
        <v>16</v>
      </c>
      <c r="F3403" s="248">
        <v>0.3</v>
      </c>
      <c r="G3403" s="242" t="str">
        <f>IF(B3403="SEPLAG",VLOOKUP(CONCATENATE("MEDIANA - ",C3403),COTAÇÃO,5,FALSE),VLOOKUP($C3403,'NAO DESO'!$A:$D,4,))</f>
        <v>21,87</v>
      </c>
      <c r="H3403" s="242">
        <f>TRUNC(F3403*G3403,2)</f>
        <v>6.56</v>
      </c>
      <c r="I3403" s="54" t="str">
        <f>IF(B3403="SEPLAG",VLOOKUP(CONCATENATE("MEDIANA - ",C3403),COTAÇÃO,5,FALSE),VLOOKUP($C3403,DESON!$A:$D,4,))</f>
        <v>19,53</v>
      </c>
      <c r="J3403" s="209">
        <f>TRUNC(F3403*I3403,2)</f>
        <v>5.85</v>
      </c>
    </row>
    <row r="3404" spans="1:10" ht="15" customHeight="1">
      <c r="A3404" s="210" t="str">
        <f>CONCATENATE("TOTAL DO ITEM NÃO DESON. - ",C3398)</f>
        <v>TOTAL DO ITEM NÃO DESON. - SEPLAG ELE 14</v>
      </c>
      <c r="B3404" s="432"/>
      <c r="C3404" s="432"/>
      <c r="D3404" s="432"/>
      <c r="E3404" s="430"/>
      <c r="F3404" s="1189"/>
      <c r="G3404" s="1189"/>
      <c r="H3404" s="1189">
        <f>SUM(H3401:H3403)</f>
        <v>40.090000000000003</v>
      </c>
      <c r="I3404" s="213"/>
      <c r="J3404" s="259"/>
    </row>
    <row r="3405" spans="1:10" ht="15.75" customHeight="1" thickBot="1">
      <c r="A3405" s="216" t="str">
        <f>CONCATENATE("TOTAL DO ITEM DESON. - ",C3398)</f>
        <v>TOTAL DO ITEM DESON. - SEPLAG ELE 14</v>
      </c>
      <c r="B3405" s="1148"/>
      <c r="C3405" s="1148"/>
      <c r="D3405" s="1148"/>
      <c r="E3405" s="1142"/>
      <c r="F3405" s="1190"/>
      <c r="G3405" s="1190"/>
      <c r="H3405" s="1190"/>
      <c r="I3405" s="228"/>
      <c r="J3405" s="219">
        <f>SUM(J3401:J3404)</f>
        <v>38.880000000000003</v>
      </c>
    </row>
    <row r="3406" spans="1:10" ht="15" customHeight="1" thickBot="1">
      <c r="A3406" s="421"/>
      <c r="B3406" s="1138"/>
      <c r="C3406" s="1138"/>
      <c r="D3406" s="1138"/>
      <c r="E3406" s="1154"/>
      <c r="F3406" s="1196"/>
      <c r="G3406" s="1196"/>
      <c r="H3406" s="1196"/>
      <c r="I3406" s="423"/>
      <c r="J3406" s="422"/>
    </row>
    <row r="3407" spans="1:10" ht="25.5" customHeight="1">
      <c r="A3407" s="256"/>
      <c r="B3407" s="1152"/>
      <c r="C3407" s="1152" t="s">
        <v>7140</v>
      </c>
      <c r="D3407" s="152" t="s">
        <v>7708</v>
      </c>
      <c r="E3407" s="1152" t="s">
        <v>24</v>
      </c>
      <c r="F3407" s="1177" t="s">
        <v>18</v>
      </c>
      <c r="G3407" s="1178" t="s">
        <v>7015</v>
      </c>
      <c r="H3407" s="1179"/>
      <c r="I3407" s="200" t="s">
        <v>7016</v>
      </c>
      <c r="J3407" s="201"/>
    </row>
    <row r="3408" spans="1:10" ht="15" customHeight="1">
      <c r="A3408" s="257"/>
      <c r="B3408" s="430"/>
      <c r="C3408" s="430"/>
      <c r="D3408" s="430"/>
      <c r="E3408" s="430"/>
      <c r="F3408" s="1180"/>
      <c r="G3408" s="1180" t="s">
        <v>19</v>
      </c>
      <c r="H3408" s="1180" t="s">
        <v>20</v>
      </c>
      <c r="I3408" s="204" t="s">
        <v>19</v>
      </c>
      <c r="J3408" s="206" t="s">
        <v>20</v>
      </c>
    </row>
    <row r="3409" spans="1:10" ht="15" customHeight="1">
      <c r="A3409" s="233"/>
      <c r="B3409" s="161"/>
      <c r="C3409" s="161"/>
      <c r="D3409" s="161" t="s">
        <v>7122</v>
      </c>
      <c r="E3409" s="247"/>
      <c r="F3409" s="248"/>
      <c r="G3409" s="248"/>
      <c r="H3409" s="248"/>
      <c r="I3409" s="214"/>
      <c r="J3409" s="227"/>
    </row>
    <row r="3410" spans="1:10" ht="26.25" customHeight="1">
      <c r="A3410" s="233" t="s">
        <v>188</v>
      </c>
      <c r="B3410" s="161" t="s">
        <v>14504</v>
      </c>
      <c r="C3410" s="161" t="s">
        <v>14415</v>
      </c>
      <c r="D3410" s="161" t="str">
        <f>IF(B3410="SEPLAG",VLOOKUP(COMPOSIÇÕES!C3410,'MAPA COMPARATIVO'!A:B,2,FALSE),VLOOKUP(C3410,'NAO DESO'!A:B,2,0))</f>
        <v>TERMINAL A COMPRESSAO EM COBRE ESTANHADO 1FURO PARA CABO 240 MM2</v>
      </c>
      <c r="E3410" s="247" t="s">
        <v>250</v>
      </c>
      <c r="F3410" s="248">
        <v>1</v>
      </c>
      <c r="G3410" s="242">
        <f>IF(B3410="SEPLAG",VLOOKUP(CONCATENATE("MEDIANA - ",C3410),COTAÇÃO,5,FALSE),VLOOKUP($C3410,'NAO DESO'!$A:$D,4,))</f>
        <v>44.03</v>
      </c>
      <c r="H3410" s="242">
        <f>TRUNC(F3410*G3410,2)</f>
        <v>44.03</v>
      </c>
      <c r="I3410" s="54">
        <f>IF(B3410="SEPLAG",VLOOKUP(CONCATENATE("MEDIANA - ",C3410),COTAÇÃO,5,FALSE),VLOOKUP($C3410,DESON!$A:$D,4,))</f>
        <v>44.03</v>
      </c>
      <c r="J3410" s="209">
        <f>TRUNC(F3410*I3410,2)</f>
        <v>44.03</v>
      </c>
    </row>
    <row r="3411" spans="1:10" ht="15" customHeight="1">
      <c r="A3411" s="233" t="s">
        <v>245</v>
      </c>
      <c r="B3411" s="161"/>
      <c r="C3411" s="161">
        <v>88247</v>
      </c>
      <c r="D3411" s="161" t="str">
        <f>IF(B3411="SEPLAG",VLOOKUP(COMPOSIÇÕES!C3411,'MAPA COMPARATIVO'!A:B,2,FALSE),VLOOKUP(C3411,'NAO DESO'!A:B,2,0))</f>
        <v>AUXILIAR DE ELETRICISTA COM ENCARGOS COMPLEMENTARES</v>
      </c>
      <c r="E3411" s="247" t="s">
        <v>16</v>
      </c>
      <c r="F3411" s="248">
        <v>0.3</v>
      </c>
      <c r="G3411" s="242" t="str">
        <f>IF(B3411="SEPLAG",VLOOKUP(CONCATENATE("MEDIANA - ",C3411),COTAÇÃO,5,FALSE),VLOOKUP($C3411,'NAO DESO'!$A:$D,4,))</f>
        <v>16,84</v>
      </c>
      <c r="H3411" s="242">
        <f>TRUNC(F3411*G3411,2)</f>
        <v>5.05</v>
      </c>
      <c r="I3411" s="54" t="str">
        <f>IF(B3411="SEPLAG",VLOOKUP(CONCATENATE("MEDIANA - ",C3411),COTAÇÃO,5,FALSE),VLOOKUP($C3411,DESON!$A:$D,4,))</f>
        <v>15,19</v>
      </c>
      <c r="J3411" s="209">
        <f>TRUNC(F3411*I3411,2)</f>
        <v>4.55</v>
      </c>
    </row>
    <row r="3412" spans="1:10" ht="15" customHeight="1">
      <c r="A3412" s="233" t="s">
        <v>245</v>
      </c>
      <c r="B3412" s="161"/>
      <c r="C3412" s="161">
        <v>88264</v>
      </c>
      <c r="D3412" s="161" t="str">
        <f>IF(B3412="SEPLAG",VLOOKUP(COMPOSIÇÕES!C3412,'MAPA COMPARATIVO'!A:B,2,FALSE),VLOOKUP(C3412,'NAO DESO'!A:B,2,0))</f>
        <v>ELETRICISTA COM ENCARGOS COMPLEMENTARES</v>
      </c>
      <c r="E3412" s="247" t="s">
        <v>16</v>
      </c>
      <c r="F3412" s="248">
        <v>0.3</v>
      </c>
      <c r="G3412" s="242" t="str">
        <f>IF(B3412="SEPLAG",VLOOKUP(CONCATENATE("MEDIANA - ",C3412),COTAÇÃO,5,FALSE),VLOOKUP($C3412,'NAO DESO'!$A:$D,4,))</f>
        <v>21,87</v>
      </c>
      <c r="H3412" s="242">
        <f>TRUNC(F3412*G3412,2)</f>
        <v>6.56</v>
      </c>
      <c r="I3412" s="54" t="str">
        <f>IF(B3412="SEPLAG",VLOOKUP(CONCATENATE("MEDIANA - ",C3412),COTAÇÃO,5,FALSE),VLOOKUP($C3412,DESON!$A:$D,4,))</f>
        <v>19,53</v>
      </c>
      <c r="J3412" s="209">
        <f>TRUNC(F3412*I3412,2)</f>
        <v>5.85</v>
      </c>
    </row>
    <row r="3413" spans="1:10" ht="15" customHeight="1">
      <c r="A3413" s="210" t="str">
        <f>CONCATENATE("TOTAL DO ITEM NÃO DESON. - ",C3407)</f>
        <v>TOTAL DO ITEM NÃO DESON. - SEPLAG ELE 15</v>
      </c>
      <c r="B3413" s="432"/>
      <c r="C3413" s="432"/>
      <c r="D3413" s="432"/>
      <c r="E3413" s="430"/>
      <c r="F3413" s="1189"/>
      <c r="G3413" s="1189"/>
      <c r="H3413" s="1189">
        <f>SUM(H3410:H3412)</f>
        <v>55.64</v>
      </c>
      <c r="I3413" s="213"/>
      <c r="J3413" s="259"/>
    </row>
    <row r="3414" spans="1:10" ht="15.75" customHeight="1" thickBot="1">
      <c r="A3414" s="216" t="str">
        <f>CONCATENATE("TOTAL DO ITEM DESON. - ",C3407)</f>
        <v>TOTAL DO ITEM DESON. - SEPLAG ELE 15</v>
      </c>
      <c r="B3414" s="1148"/>
      <c r="C3414" s="1148"/>
      <c r="D3414" s="1148"/>
      <c r="E3414" s="1142"/>
      <c r="F3414" s="1190"/>
      <c r="G3414" s="1190"/>
      <c r="H3414" s="1190"/>
      <c r="I3414" s="228"/>
      <c r="J3414" s="219">
        <f>SUM(J3410:J3413)</f>
        <v>54.43</v>
      </c>
    </row>
    <row r="3415" spans="1:10" ht="15" customHeight="1" thickBot="1">
      <c r="A3415" s="421"/>
      <c r="B3415" s="1138"/>
      <c r="C3415" s="1138"/>
      <c r="D3415" s="1138"/>
      <c r="E3415" s="1154"/>
      <c r="F3415" s="1196"/>
      <c r="G3415" s="1196"/>
      <c r="H3415" s="1196"/>
      <c r="I3415" s="423"/>
      <c r="J3415" s="422"/>
    </row>
    <row r="3416" spans="1:10" ht="25.5" customHeight="1">
      <c r="A3416" s="256"/>
      <c r="B3416" s="1152"/>
      <c r="C3416" s="1152" t="s">
        <v>7142</v>
      </c>
      <c r="D3416" s="152" t="s">
        <v>7143</v>
      </c>
      <c r="E3416" s="1152" t="s">
        <v>24</v>
      </c>
      <c r="F3416" s="1177" t="s">
        <v>18</v>
      </c>
      <c r="G3416" s="1178" t="s">
        <v>7015</v>
      </c>
      <c r="H3416" s="1179"/>
      <c r="I3416" s="200" t="s">
        <v>7016</v>
      </c>
      <c r="J3416" s="201"/>
    </row>
    <row r="3417" spans="1:10" ht="15" customHeight="1">
      <c r="A3417" s="257"/>
      <c r="B3417" s="430"/>
      <c r="C3417" s="430"/>
      <c r="D3417" s="430"/>
      <c r="E3417" s="430"/>
      <c r="F3417" s="1180"/>
      <c r="G3417" s="1180" t="s">
        <v>19</v>
      </c>
      <c r="H3417" s="1180" t="s">
        <v>20</v>
      </c>
      <c r="I3417" s="204" t="s">
        <v>19</v>
      </c>
      <c r="J3417" s="206" t="s">
        <v>20</v>
      </c>
    </row>
    <row r="3418" spans="1:10" ht="15" customHeight="1">
      <c r="A3418" s="233"/>
      <c r="B3418" s="161"/>
      <c r="C3418" s="161"/>
      <c r="D3418" s="161" t="s">
        <v>7144</v>
      </c>
      <c r="E3418" s="247"/>
      <c r="F3418" s="248"/>
      <c r="G3418" s="248"/>
      <c r="H3418" s="248"/>
      <c r="I3418" s="214"/>
      <c r="J3418" s="227"/>
    </row>
    <row r="3419" spans="1:10" ht="15" customHeight="1">
      <c r="A3419" s="233" t="s">
        <v>188</v>
      </c>
      <c r="B3419" s="161" t="s">
        <v>14504</v>
      </c>
      <c r="C3419" s="161" t="s">
        <v>14416</v>
      </c>
      <c r="D3419" s="161" t="str">
        <f>IF(B3419="SEPLAG",VLOOKUP(COMPOSIÇÕES!C3419,'MAPA COMPARATIVO'!A:B,2,FALSE),VLOOKUP(C3419,'NAO DESO'!A:B,2,0))</f>
        <v>TERMINAL OLHAL PARA CABO DE 1,50mm2 A 2,50mm2</v>
      </c>
      <c r="E3419" s="247" t="s">
        <v>32</v>
      </c>
      <c r="F3419" s="248">
        <v>1</v>
      </c>
      <c r="G3419" s="242">
        <f>IF(B3419="SEPLAG",VLOOKUP(CONCATENATE("MEDIANA - ",C3419),COTAÇÃO,5,FALSE),VLOOKUP($C3419,'NAO DESO'!$A:$D,4,))</f>
        <v>0.42499999999999999</v>
      </c>
      <c r="H3419" s="242">
        <f>TRUNC(F3419*G3419,2)</f>
        <v>0.42</v>
      </c>
      <c r="I3419" s="54">
        <f>IF(B3419="SEPLAG",VLOOKUP(CONCATENATE("MEDIANA - ",C3419),COTAÇÃO,5,FALSE),VLOOKUP($C3419,DESON!$A:$D,4,))</f>
        <v>0.42499999999999999</v>
      </c>
      <c r="J3419" s="209">
        <f>TRUNC(F3419*I3419,2)</f>
        <v>0.42</v>
      </c>
    </row>
    <row r="3420" spans="1:10" ht="15" customHeight="1">
      <c r="A3420" s="233" t="s">
        <v>245</v>
      </c>
      <c r="B3420" s="161"/>
      <c r="C3420" s="161">
        <v>88247</v>
      </c>
      <c r="D3420" s="161" t="str">
        <f>IF(B3420="SEPLAG",VLOOKUP(COMPOSIÇÕES!C3420,'MAPA COMPARATIVO'!A:B,2,FALSE),VLOOKUP(C3420,'NAO DESO'!A:B,2,0))</f>
        <v>AUXILIAR DE ELETRICISTA COM ENCARGOS COMPLEMENTARES</v>
      </c>
      <c r="E3420" s="247" t="s">
        <v>16</v>
      </c>
      <c r="F3420" s="248">
        <v>0.1</v>
      </c>
      <c r="G3420" s="242" t="str">
        <f>IF(B3420="SEPLAG",VLOOKUP(CONCATENATE("MEDIANA - ",C3420),COTAÇÃO,5,FALSE),VLOOKUP($C3420,'NAO DESO'!$A:$D,4,))</f>
        <v>16,84</v>
      </c>
      <c r="H3420" s="242">
        <f>TRUNC(F3420*G3420,2)</f>
        <v>1.68</v>
      </c>
      <c r="I3420" s="54" t="str">
        <f>IF(B3420="SEPLAG",VLOOKUP(CONCATENATE("MEDIANA - ",C3420),COTAÇÃO,5,FALSE),VLOOKUP($C3420,DESON!$A:$D,4,))</f>
        <v>15,19</v>
      </c>
      <c r="J3420" s="209">
        <f>TRUNC(F3420*I3420,2)</f>
        <v>1.51</v>
      </c>
    </row>
    <row r="3421" spans="1:10" ht="15" customHeight="1">
      <c r="A3421" s="233" t="s">
        <v>245</v>
      </c>
      <c r="B3421" s="161"/>
      <c r="C3421" s="161">
        <v>88264</v>
      </c>
      <c r="D3421" s="161" t="str">
        <f>IF(B3421="SEPLAG",VLOOKUP(COMPOSIÇÕES!C3421,'MAPA COMPARATIVO'!A:B,2,FALSE),VLOOKUP(C3421,'NAO DESO'!A:B,2,0))</f>
        <v>ELETRICISTA COM ENCARGOS COMPLEMENTARES</v>
      </c>
      <c r="E3421" s="247" t="s">
        <v>16</v>
      </c>
      <c r="F3421" s="248">
        <v>0.1</v>
      </c>
      <c r="G3421" s="242" t="str">
        <f>IF(B3421="SEPLAG",VLOOKUP(CONCATENATE("MEDIANA - ",C3421),COTAÇÃO,5,FALSE),VLOOKUP($C3421,'NAO DESO'!$A:$D,4,))</f>
        <v>21,87</v>
      </c>
      <c r="H3421" s="242">
        <f>TRUNC(F3421*G3421,2)</f>
        <v>2.1800000000000002</v>
      </c>
      <c r="I3421" s="54" t="str">
        <f>IF(B3421="SEPLAG",VLOOKUP(CONCATENATE("MEDIANA - ",C3421),COTAÇÃO,5,FALSE),VLOOKUP($C3421,DESON!$A:$D,4,))</f>
        <v>19,53</v>
      </c>
      <c r="J3421" s="209">
        <f>TRUNC(F3421*I3421,2)</f>
        <v>1.95</v>
      </c>
    </row>
    <row r="3422" spans="1:10" ht="15" customHeight="1">
      <c r="A3422" s="210" t="str">
        <f>CONCATENATE("TOTAL DO ITEM NÃO DESON. - ",C3416)</f>
        <v>TOTAL DO ITEM NÃO DESON. - SEPLAG ELE 16</v>
      </c>
      <c r="B3422" s="432"/>
      <c r="C3422" s="432"/>
      <c r="D3422" s="432"/>
      <c r="E3422" s="430"/>
      <c r="F3422" s="1189"/>
      <c r="G3422" s="1189"/>
      <c r="H3422" s="1189">
        <f>SUM(H3419:H3421)</f>
        <v>4.28</v>
      </c>
      <c r="I3422" s="213"/>
      <c r="J3422" s="259"/>
    </row>
    <row r="3423" spans="1:10" ht="15.75" customHeight="1" thickBot="1">
      <c r="A3423" s="216" t="str">
        <f>CONCATENATE("TOTAL DO ITEM DESON. - ",C3416)</f>
        <v>TOTAL DO ITEM DESON. - SEPLAG ELE 16</v>
      </c>
      <c r="B3423" s="1148"/>
      <c r="C3423" s="1148"/>
      <c r="D3423" s="1148"/>
      <c r="E3423" s="1142"/>
      <c r="F3423" s="1190"/>
      <c r="G3423" s="1190"/>
      <c r="H3423" s="1190"/>
      <c r="I3423" s="228"/>
      <c r="J3423" s="219">
        <f>SUM(J3419:J3422)</f>
        <v>3.88</v>
      </c>
    </row>
    <row r="3424" spans="1:10" ht="15" customHeight="1" thickBot="1">
      <c r="A3424" s="421"/>
      <c r="B3424" s="1138"/>
      <c r="C3424" s="1138"/>
      <c r="D3424" s="1138"/>
      <c r="E3424" s="1154"/>
      <c r="F3424" s="1196"/>
      <c r="G3424" s="1196"/>
      <c r="H3424" s="1196"/>
      <c r="I3424" s="423"/>
      <c r="J3424" s="422"/>
    </row>
    <row r="3425" spans="1:10" ht="25.5" customHeight="1">
      <c r="A3425" s="256"/>
      <c r="B3425" s="1152"/>
      <c r="C3425" s="1152" t="s">
        <v>7146</v>
      </c>
      <c r="D3425" s="152" t="s">
        <v>7147</v>
      </c>
      <c r="E3425" s="1152" t="s">
        <v>24</v>
      </c>
      <c r="F3425" s="1177" t="s">
        <v>18</v>
      </c>
      <c r="G3425" s="1178" t="s">
        <v>7015</v>
      </c>
      <c r="H3425" s="1179"/>
      <c r="I3425" s="200" t="s">
        <v>7016</v>
      </c>
      <c r="J3425" s="201"/>
    </row>
    <row r="3426" spans="1:10" ht="15" customHeight="1">
      <c r="A3426" s="257"/>
      <c r="B3426" s="430"/>
      <c r="C3426" s="430"/>
      <c r="D3426" s="430"/>
      <c r="E3426" s="430"/>
      <c r="F3426" s="1180"/>
      <c r="G3426" s="1180" t="s">
        <v>19</v>
      </c>
      <c r="H3426" s="1180" t="s">
        <v>20</v>
      </c>
      <c r="I3426" s="204" t="s">
        <v>19</v>
      </c>
      <c r="J3426" s="206" t="s">
        <v>20</v>
      </c>
    </row>
    <row r="3427" spans="1:10" ht="15" customHeight="1">
      <c r="A3427" s="233"/>
      <c r="B3427" s="161"/>
      <c r="C3427" s="161"/>
      <c r="D3427" s="161" t="s">
        <v>7148</v>
      </c>
      <c r="E3427" s="247"/>
      <c r="F3427" s="248"/>
      <c r="G3427" s="248"/>
      <c r="H3427" s="248"/>
      <c r="I3427" s="214"/>
      <c r="J3427" s="227"/>
    </row>
    <row r="3428" spans="1:10" ht="15" customHeight="1">
      <c r="A3428" s="233" t="s">
        <v>188</v>
      </c>
      <c r="B3428" s="161" t="s">
        <v>14504</v>
      </c>
      <c r="C3428" s="161" t="s">
        <v>14417</v>
      </c>
      <c r="D3428" s="161" t="str">
        <f>IF(B3428="SEPLAG",VLOOKUP(COMPOSIÇÕES!C3428,'MAPA COMPARATIVO'!A:B,2,FALSE),VLOOKUP(C3428,'NAO DESO'!A:B,2,0))</f>
        <v>TERMINAL OLHAL PARA CABO DE 4,0mm2 A 6,0mm2</v>
      </c>
      <c r="E3428" s="247" t="s">
        <v>32</v>
      </c>
      <c r="F3428" s="248">
        <v>1</v>
      </c>
      <c r="G3428" s="242">
        <f>IF(B3428="SEPLAG",VLOOKUP(CONCATENATE("MEDIANA - ",C3428),COTAÇÃO,5,FALSE),VLOOKUP($C3428,'NAO DESO'!$A:$D,4,))</f>
        <v>0.99</v>
      </c>
      <c r="H3428" s="242">
        <f>TRUNC(F3428*G3428,2)</f>
        <v>0.99</v>
      </c>
      <c r="I3428" s="54">
        <f>IF(B3428="SEPLAG",VLOOKUP(CONCATENATE("MEDIANA - ",C3428),COTAÇÃO,5,FALSE),VLOOKUP($C3428,DESON!$A:$D,4,))</f>
        <v>0.99</v>
      </c>
      <c r="J3428" s="209">
        <f>TRUNC(F3428*I3428,2)</f>
        <v>0.99</v>
      </c>
    </row>
    <row r="3429" spans="1:10" ht="15" customHeight="1">
      <c r="A3429" s="233" t="s">
        <v>245</v>
      </c>
      <c r="B3429" s="161"/>
      <c r="C3429" s="161">
        <v>88247</v>
      </c>
      <c r="D3429" s="161" t="str">
        <f>IF(B3429="SEPLAG",VLOOKUP(COMPOSIÇÕES!C3429,'MAPA COMPARATIVO'!A:B,2,FALSE),VLOOKUP(C3429,'NAO DESO'!A:B,2,0))</f>
        <v>AUXILIAR DE ELETRICISTA COM ENCARGOS COMPLEMENTARES</v>
      </c>
      <c r="E3429" s="247" t="s">
        <v>16</v>
      </c>
      <c r="F3429" s="248">
        <v>0.1</v>
      </c>
      <c r="G3429" s="242" t="str">
        <f>IF(B3429="SEPLAG",VLOOKUP(CONCATENATE("MEDIANA - ",C3429),COTAÇÃO,5,FALSE),VLOOKUP($C3429,'NAO DESO'!$A:$D,4,))</f>
        <v>16,84</v>
      </c>
      <c r="H3429" s="242">
        <f>TRUNC(F3429*G3429,2)</f>
        <v>1.68</v>
      </c>
      <c r="I3429" s="54" t="str">
        <f>IF(B3429="SEPLAG",VLOOKUP(CONCATENATE("MEDIANA - ",C3429),COTAÇÃO,5,FALSE),VLOOKUP($C3429,DESON!$A:$D,4,))</f>
        <v>15,19</v>
      </c>
      <c r="J3429" s="209">
        <f>TRUNC(F3429*I3429,2)</f>
        <v>1.51</v>
      </c>
    </row>
    <row r="3430" spans="1:10" ht="15" customHeight="1">
      <c r="A3430" s="233" t="s">
        <v>245</v>
      </c>
      <c r="B3430" s="161"/>
      <c r="C3430" s="161">
        <v>88264</v>
      </c>
      <c r="D3430" s="161" t="str">
        <f>IF(B3430="SEPLAG",VLOOKUP(COMPOSIÇÕES!C3430,'MAPA COMPARATIVO'!A:B,2,FALSE),VLOOKUP(C3430,'NAO DESO'!A:B,2,0))</f>
        <v>ELETRICISTA COM ENCARGOS COMPLEMENTARES</v>
      </c>
      <c r="E3430" s="247" t="s">
        <v>16</v>
      </c>
      <c r="F3430" s="248">
        <v>0.1</v>
      </c>
      <c r="G3430" s="242" t="str">
        <f>IF(B3430="SEPLAG",VLOOKUP(CONCATENATE("MEDIANA - ",C3430),COTAÇÃO,5,FALSE),VLOOKUP($C3430,'NAO DESO'!$A:$D,4,))</f>
        <v>21,87</v>
      </c>
      <c r="H3430" s="242">
        <f>TRUNC(F3430*G3430,2)</f>
        <v>2.1800000000000002</v>
      </c>
      <c r="I3430" s="54" t="str">
        <f>IF(B3430="SEPLAG",VLOOKUP(CONCATENATE("MEDIANA - ",C3430),COTAÇÃO,5,FALSE),VLOOKUP($C3430,DESON!$A:$D,4,))</f>
        <v>19,53</v>
      </c>
      <c r="J3430" s="209">
        <f>TRUNC(F3430*I3430,2)</f>
        <v>1.95</v>
      </c>
    </row>
    <row r="3431" spans="1:10" ht="15" customHeight="1">
      <c r="A3431" s="210" t="str">
        <f>CONCATENATE("TOTAL DO ITEM NÃO DESON. - ",C3425)</f>
        <v>TOTAL DO ITEM NÃO DESON. - SEPLAG ELE 17</v>
      </c>
      <c r="B3431" s="432"/>
      <c r="C3431" s="432"/>
      <c r="D3431" s="432"/>
      <c r="E3431" s="430"/>
      <c r="F3431" s="1189"/>
      <c r="G3431" s="1189"/>
      <c r="H3431" s="1189">
        <f>SUM(H3428:H3430)</f>
        <v>4.8499999999999996</v>
      </c>
      <c r="I3431" s="213"/>
      <c r="J3431" s="259"/>
    </row>
    <row r="3432" spans="1:10" ht="15.75" customHeight="1" thickBot="1">
      <c r="A3432" s="216" t="str">
        <f>CONCATENATE("TOTAL DO ITEM DESON. - ",C3425)</f>
        <v>TOTAL DO ITEM DESON. - SEPLAG ELE 17</v>
      </c>
      <c r="B3432" s="1148"/>
      <c r="C3432" s="1148"/>
      <c r="D3432" s="1148"/>
      <c r="E3432" s="1142"/>
      <c r="F3432" s="1190"/>
      <c r="G3432" s="1190"/>
      <c r="H3432" s="1190"/>
      <c r="I3432" s="228"/>
      <c r="J3432" s="219">
        <f>SUM(J3428:J3431)</f>
        <v>4.45</v>
      </c>
    </row>
    <row r="3433" spans="1:10" ht="15" customHeight="1" thickBot="1">
      <c r="A3433" s="421"/>
      <c r="B3433" s="1138"/>
      <c r="C3433" s="1138"/>
      <c r="D3433" s="1138"/>
      <c r="E3433" s="1154"/>
      <c r="F3433" s="1196"/>
      <c r="G3433" s="1196"/>
      <c r="H3433" s="1196"/>
      <c r="I3433" s="423"/>
      <c r="J3433" s="422"/>
    </row>
    <row r="3434" spans="1:10" ht="25.5" customHeight="1">
      <c r="A3434" s="256"/>
      <c r="B3434" s="1152"/>
      <c r="C3434" s="1152" t="s">
        <v>7150</v>
      </c>
      <c r="D3434" s="152" t="s">
        <v>7151</v>
      </c>
      <c r="E3434" s="1152" t="s">
        <v>24</v>
      </c>
      <c r="F3434" s="1177" t="s">
        <v>18</v>
      </c>
      <c r="G3434" s="1178" t="s">
        <v>7015</v>
      </c>
      <c r="H3434" s="1179"/>
      <c r="I3434" s="200" t="s">
        <v>7016</v>
      </c>
      <c r="J3434" s="201"/>
    </row>
    <row r="3435" spans="1:10" ht="15" customHeight="1">
      <c r="A3435" s="257"/>
      <c r="B3435" s="430"/>
      <c r="C3435" s="430"/>
      <c r="D3435" s="430"/>
      <c r="E3435" s="430"/>
      <c r="F3435" s="1180"/>
      <c r="G3435" s="1180" t="s">
        <v>19</v>
      </c>
      <c r="H3435" s="1180" t="s">
        <v>20</v>
      </c>
      <c r="I3435" s="204" t="s">
        <v>19</v>
      </c>
      <c r="J3435" s="206" t="s">
        <v>20</v>
      </c>
    </row>
    <row r="3436" spans="1:10" ht="15" customHeight="1">
      <c r="A3436" s="233"/>
      <c r="B3436" s="161"/>
      <c r="C3436" s="161"/>
      <c r="D3436" s="161" t="s">
        <v>7144</v>
      </c>
      <c r="E3436" s="247"/>
      <c r="F3436" s="248"/>
      <c r="G3436" s="248"/>
      <c r="H3436" s="248"/>
      <c r="I3436" s="214"/>
      <c r="J3436" s="227"/>
    </row>
    <row r="3437" spans="1:10" ht="15" customHeight="1">
      <c r="A3437" s="233" t="s">
        <v>188</v>
      </c>
      <c r="B3437" s="161" t="s">
        <v>14504</v>
      </c>
      <c r="C3437" s="161" t="s">
        <v>14418</v>
      </c>
      <c r="D3437" s="161" t="str">
        <f>IF(B3437="SEPLAG",VLOOKUP(COMPOSIÇÕES!C3437,'MAPA COMPARATIVO'!A:B,2,FALSE),VLOOKUP(C3437,'NAO DESO'!A:B,2,0))</f>
        <v>TERMINAL TIPO PINO PARA CABO DE 1,50mm2 A 2,50mm2</v>
      </c>
      <c r="E3437" s="247" t="s">
        <v>32</v>
      </c>
      <c r="F3437" s="248">
        <v>1</v>
      </c>
      <c r="G3437" s="242">
        <f>IF(B3437="SEPLAG",VLOOKUP(CONCATENATE("MEDIANA - ",C3437),COTAÇÃO,5,FALSE),VLOOKUP($C3437,'NAO DESO'!$A:$D,4,))</f>
        <v>0.41</v>
      </c>
      <c r="H3437" s="242">
        <f>TRUNC(F3437*G3437,2)</f>
        <v>0.41</v>
      </c>
      <c r="I3437" s="54">
        <f>IF(B3437="SEPLAG",VLOOKUP(CONCATENATE("MEDIANA - ",C3437),COTAÇÃO,5,FALSE),VLOOKUP($C3437,DESON!$A:$D,4,))</f>
        <v>0.41</v>
      </c>
      <c r="J3437" s="209">
        <f>TRUNC(F3437*I3437,2)</f>
        <v>0.41</v>
      </c>
    </row>
    <row r="3438" spans="1:10" ht="15" customHeight="1">
      <c r="A3438" s="233" t="s">
        <v>245</v>
      </c>
      <c r="B3438" s="161"/>
      <c r="C3438" s="161">
        <v>88247</v>
      </c>
      <c r="D3438" s="161" t="str">
        <f>IF(B3438="SEPLAG",VLOOKUP(COMPOSIÇÕES!C3438,'MAPA COMPARATIVO'!A:B,2,FALSE),VLOOKUP(C3438,'NAO DESO'!A:B,2,0))</f>
        <v>AUXILIAR DE ELETRICISTA COM ENCARGOS COMPLEMENTARES</v>
      </c>
      <c r="E3438" s="247" t="s">
        <v>16</v>
      </c>
      <c r="F3438" s="248">
        <v>0.1</v>
      </c>
      <c r="G3438" s="242" t="str">
        <f>IF(B3438="SEPLAG",VLOOKUP(CONCATENATE("MEDIANA - ",C3438),COTAÇÃO,5,FALSE),VLOOKUP($C3438,'NAO DESO'!$A:$D,4,))</f>
        <v>16,84</v>
      </c>
      <c r="H3438" s="242">
        <f>TRUNC(F3438*G3438,2)</f>
        <v>1.68</v>
      </c>
      <c r="I3438" s="54" t="str">
        <f>IF(B3438="SEPLAG",VLOOKUP(CONCATENATE("MEDIANA - ",C3438),COTAÇÃO,5,FALSE),VLOOKUP($C3438,DESON!$A:$D,4,))</f>
        <v>15,19</v>
      </c>
      <c r="J3438" s="209">
        <f>TRUNC(F3438*I3438,2)</f>
        <v>1.51</v>
      </c>
    </row>
    <row r="3439" spans="1:10" ht="15" customHeight="1">
      <c r="A3439" s="233" t="s">
        <v>245</v>
      </c>
      <c r="B3439" s="161"/>
      <c r="C3439" s="161">
        <v>88264</v>
      </c>
      <c r="D3439" s="161" t="str">
        <f>IF(B3439="SEPLAG",VLOOKUP(COMPOSIÇÕES!C3439,'MAPA COMPARATIVO'!A:B,2,FALSE),VLOOKUP(C3439,'NAO DESO'!A:B,2,0))</f>
        <v>ELETRICISTA COM ENCARGOS COMPLEMENTARES</v>
      </c>
      <c r="E3439" s="247" t="s">
        <v>16</v>
      </c>
      <c r="F3439" s="248">
        <v>0.1</v>
      </c>
      <c r="G3439" s="242" t="str">
        <f>IF(B3439="SEPLAG",VLOOKUP(CONCATENATE("MEDIANA - ",C3439),COTAÇÃO,5,FALSE),VLOOKUP($C3439,'NAO DESO'!$A:$D,4,))</f>
        <v>21,87</v>
      </c>
      <c r="H3439" s="242">
        <f>TRUNC(F3439*G3439,2)</f>
        <v>2.1800000000000002</v>
      </c>
      <c r="I3439" s="54" t="str">
        <f>IF(B3439="SEPLAG",VLOOKUP(CONCATENATE("MEDIANA - ",C3439),COTAÇÃO,5,FALSE),VLOOKUP($C3439,DESON!$A:$D,4,))</f>
        <v>19,53</v>
      </c>
      <c r="J3439" s="209">
        <f>TRUNC(F3439*I3439,2)</f>
        <v>1.95</v>
      </c>
    </row>
    <row r="3440" spans="1:10" ht="15" customHeight="1">
      <c r="A3440" s="210" t="str">
        <f>CONCATENATE("TOTAL DO ITEM NÃO DESON. - ",C3434)</f>
        <v>TOTAL DO ITEM NÃO DESON. - SEPLAG ELE 18</v>
      </c>
      <c r="B3440" s="432"/>
      <c r="C3440" s="432"/>
      <c r="D3440" s="432"/>
      <c r="E3440" s="430"/>
      <c r="F3440" s="1189"/>
      <c r="G3440" s="1189"/>
      <c r="H3440" s="1189">
        <f>SUM(H3437:H3439)</f>
        <v>4.2699999999999996</v>
      </c>
      <c r="I3440" s="213"/>
      <c r="J3440" s="259"/>
    </row>
    <row r="3441" spans="1:10" ht="15.75" customHeight="1" thickBot="1">
      <c r="A3441" s="216" t="str">
        <f>CONCATENATE("TOTAL DO ITEM DESON. - ",C3434)</f>
        <v>TOTAL DO ITEM DESON. - SEPLAG ELE 18</v>
      </c>
      <c r="B3441" s="1148"/>
      <c r="C3441" s="1148"/>
      <c r="D3441" s="1148"/>
      <c r="E3441" s="1142"/>
      <c r="F3441" s="1190"/>
      <c r="G3441" s="1190"/>
      <c r="H3441" s="1190"/>
      <c r="I3441" s="228"/>
      <c r="J3441" s="219">
        <f>SUM(J3437:J3440)</f>
        <v>3.87</v>
      </c>
    </row>
    <row r="3442" spans="1:10" ht="15" customHeight="1" thickBot="1">
      <c r="A3442" s="421"/>
      <c r="B3442" s="1138"/>
      <c r="C3442" s="1138"/>
      <c r="D3442" s="1138"/>
      <c r="E3442" s="1154"/>
      <c r="F3442" s="1196"/>
      <c r="G3442" s="1196"/>
      <c r="H3442" s="1196"/>
      <c r="I3442" s="423"/>
      <c r="J3442" s="422"/>
    </row>
    <row r="3443" spans="1:10" ht="25.5" customHeight="1">
      <c r="A3443" s="256"/>
      <c r="B3443" s="1152"/>
      <c r="C3443" s="1152" t="s">
        <v>7154</v>
      </c>
      <c r="D3443" s="152" t="s">
        <v>7153</v>
      </c>
      <c r="E3443" s="1152" t="s">
        <v>24</v>
      </c>
      <c r="F3443" s="1177" t="s">
        <v>18</v>
      </c>
      <c r="G3443" s="1178" t="s">
        <v>7015</v>
      </c>
      <c r="H3443" s="1179"/>
      <c r="I3443" s="200" t="s">
        <v>7016</v>
      </c>
      <c r="J3443" s="201"/>
    </row>
    <row r="3444" spans="1:10" ht="15" customHeight="1">
      <c r="A3444" s="257"/>
      <c r="B3444" s="430"/>
      <c r="C3444" s="430"/>
      <c r="D3444" s="430"/>
      <c r="E3444" s="430"/>
      <c r="F3444" s="1180"/>
      <c r="G3444" s="1180" t="s">
        <v>19</v>
      </c>
      <c r="H3444" s="1180" t="s">
        <v>20</v>
      </c>
      <c r="I3444" s="204" t="s">
        <v>19</v>
      </c>
      <c r="J3444" s="206" t="s">
        <v>20</v>
      </c>
    </row>
    <row r="3445" spans="1:10" ht="15" customHeight="1">
      <c r="A3445" s="233"/>
      <c r="B3445" s="161"/>
      <c r="C3445" s="161"/>
      <c r="D3445" s="161" t="s">
        <v>7148</v>
      </c>
      <c r="E3445" s="247"/>
      <c r="F3445" s="248"/>
      <c r="G3445" s="248"/>
      <c r="H3445" s="248"/>
      <c r="I3445" s="214"/>
      <c r="J3445" s="227"/>
    </row>
    <row r="3446" spans="1:10" ht="15" customHeight="1">
      <c r="A3446" s="233" t="s">
        <v>188</v>
      </c>
      <c r="B3446" s="161" t="s">
        <v>14504</v>
      </c>
      <c r="C3446" s="161" t="s">
        <v>14419</v>
      </c>
      <c r="D3446" s="161" t="str">
        <f>IF(B3446="SEPLAG",VLOOKUP(COMPOSIÇÕES!C3446,'MAPA COMPARATIVO'!A:B,2,FALSE),VLOOKUP(C3446,'NAO DESO'!A:B,2,0))</f>
        <v>TERMINAL TIPO PINO PARA CABO DE 4,0mm2 A 6,0mm2</v>
      </c>
      <c r="E3446" s="247" t="s">
        <v>32</v>
      </c>
      <c r="F3446" s="248">
        <v>1</v>
      </c>
      <c r="G3446" s="242">
        <f>IF(B3446="SEPLAG",VLOOKUP(CONCATENATE("MEDIANA - ",C3446),COTAÇÃO,5,FALSE),VLOOKUP($C3446,'NAO DESO'!$A:$D,4,))</f>
        <v>0.59</v>
      </c>
      <c r="H3446" s="242">
        <f>TRUNC(F3446*G3446,2)</f>
        <v>0.59</v>
      </c>
      <c r="I3446" s="54">
        <f>IF(B3446="SEPLAG",VLOOKUP(CONCATENATE("MEDIANA - ",C3446),COTAÇÃO,5,FALSE),VLOOKUP($C3446,DESON!$A:$D,4,))</f>
        <v>0.59</v>
      </c>
      <c r="J3446" s="209">
        <f>TRUNC(F3446*I3446,2)</f>
        <v>0.59</v>
      </c>
    </row>
    <row r="3447" spans="1:10" ht="15" customHeight="1">
      <c r="A3447" s="233" t="s">
        <v>245</v>
      </c>
      <c r="B3447" s="161"/>
      <c r="C3447" s="161">
        <v>88247</v>
      </c>
      <c r="D3447" s="161" t="str">
        <f>IF(B3447="SEPLAG",VLOOKUP(COMPOSIÇÕES!C3447,'MAPA COMPARATIVO'!A:B,2,FALSE),VLOOKUP(C3447,'NAO DESO'!A:B,2,0))</f>
        <v>AUXILIAR DE ELETRICISTA COM ENCARGOS COMPLEMENTARES</v>
      </c>
      <c r="E3447" s="247" t="s">
        <v>16</v>
      </c>
      <c r="F3447" s="248">
        <v>0.1</v>
      </c>
      <c r="G3447" s="242" t="str">
        <f>IF(B3447="SEPLAG",VLOOKUP(CONCATENATE("MEDIANA - ",C3447),COTAÇÃO,5,FALSE),VLOOKUP($C3447,'NAO DESO'!$A:$D,4,))</f>
        <v>16,84</v>
      </c>
      <c r="H3447" s="242">
        <f>TRUNC(F3447*G3447,2)</f>
        <v>1.68</v>
      </c>
      <c r="I3447" s="54" t="str">
        <f>IF(B3447="SEPLAG",VLOOKUP(CONCATENATE("MEDIANA - ",C3447),COTAÇÃO,5,FALSE),VLOOKUP($C3447,DESON!$A:$D,4,))</f>
        <v>15,19</v>
      </c>
      <c r="J3447" s="209">
        <f>TRUNC(F3447*I3447,2)</f>
        <v>1.51</v>
      </c>
    </row>
    <row r="3448" spans="1:10" ht="15" customHeight="1">
      <c r="A3448" s="233" t="s">
        <v>245</v>
      </c>
      <c r="B3448" s="161"/>
      <c r="C3448" s="161">
        <v>88264</v>
      </c>
      <c r="D3448" s="161" t="str">
        <f>IF(B3448="SEPLAG",VLOOKUP(COMPOSIÇÕES!C3448,'MAPA COMPARATIVO'!A:B,2,FALSE),VLOOKUP(C3448,'NAO DESO'!A:B,2,0))</f>
        <v>ELETRICISTA COM ENCARGOS COMPLEMENTARES</v>
      </c>
      <c r="E3448" s="247" t="s">
        <v>16</v>
      </c>
      <c r="F3448" s="248">
        <v>0.1</v>
      </c>
      <c r="G3448" s="242" t="str">
        <f>IF(B3448="SEPLAG",VLOOKUP(CONCATENATE("MEDIANA - ",C3448),COTAÇÃO,5,FALSE),VLOOKUP($C3448,'NAO DESO'!$A:$D,4,))</f>
        <v>21,87</v>
      </c>
      <c r="H3448" s="242">
        <f>TRUNC(F3448*G3448,2)</f>
        <v>2.1800000000000002</v>
      </c>
      <c r="I3448" s="54" t="str">
        <f>IF(B3448="SEPLAG",VLOOKUP(CONCATENATE("MEDIANA - ",C3448),COTAÇÃO,5,FALSE),VLOOKUP($C3448,DESON!$A:$D,4,))</f>
        <v>19,53</v>
      </c>
      <c r="J3448" s="209">
        <f>TRUNC(F3448*I3448,2)</f>
        <v>1.95</v>
      </c>
    </row>
    <row r="3449" spans="1:10" ht="15" customHeight="1">
      <c r="A3449" s="210" t="str">
        <f>CONCATENATE("TOTAL DO ITEM NÃO DESON. - ",C3443)</f>
        <v>TOTAL DO ITEM NÃO DESON. - SEPLAG ELE 19</v>
      </c>
      <c r="B3449" s="432"/>
      <c r="C3449" s="432"/>
      <c r="D3449" s="432"/>
      <c r="E3449" s="430"/>
      <c r="F3449" s="1189"/>
      <c r="G3449" s="1189"/>
      <c r="H3449" s="1189">
        <f>SUM(H3446:H3448)</f>
        <v>4.45</v>
      </c>
      <c r="I3449" s="213"/>
      <c r="J3449" s="259"/>
    </row>
    <row r="3450" spans="1:10" ht="15.75" customHeight="1" thickBot="1">
      <c r="A3450" s="216" t="str">
        <f>CONCATENATE("TOTAL DO ITEM DESON. - ",C3443)</f>
        <v>TOTAL DO ITEM DESON. - SEPLAG ELE 19</v>
      </c>
      <c r="B3450" s="1148"/>
      <c r="C3450" s="1148"/>
      <c r="D3450" s="1148"/>
      <c r="E3450" s="1142"/>
      <c r="F3450" s="1190"/>
      <c r="G3450" s="1190"/>
      <c r="H3450" s="1190"/>
      <c r="I3450" s="228"/>
      <c r="J3450" s="219">
        <f>SUM(J3446:J3449)</f>
        <v>4.05</v>
      </c>
    </row>
    <row r="3451" spans="1:10" ht="15" customHeight="1" thickBot="1">
      <c r="A3451" s="421"/>
      <c r="B3451" s="1138"/>
      <c r="C3451" s="1138"/>
      <c r="D3451" s="1138"/>
      <c r="E3451" s="1154"/>
      <c r="F3451" s="1196"/>
      <c r="G3451" s="1196"/>
      <c r="H3451" s="1196"/>
      <c r="I3451" s="423"/>
      <c r="J3451" s="422"/>
    </row>
    <row r="3452" spans="1:10" ht="25.5" customHeight="1">
      <c r="A3452" s="256"/>
      <c r="B3452" s="1152"/>
      <c r="C3452" s="1152" t="s">
        <v>7155</v>
      </c>
      <c r="D3452" s="152" t="s">
        <v>7156</v>
      </c>
      <c r="E3452" s="1152" t="s">
        <v>24</v>
      </c>
      <c r="F3452" s="1177" t="s">
        <v>18</v>
      </c>
      <c r="G3452" s="1178" t="s">
        <v>7015</v>
      </c>
      <c r="H3452" s="1179"/>
      <c r="I3452" s="200" t="s">
        <v>7016</v>
      </c>
      <c r="J3452" s="201"/>
    </row>
    <row r="3453" spans="1:10" ht="15" customHeight="1">
      <c r="A3453" s="257"/>
      <c r="B3453" s="430"/>
      <c r="C3453" s="430"/>
      <c r="D3453" s="430"/>
      <c r="E3453" s="430"/>
      <c r="F3453" s="1180"/>
      <c r="G3453" s="1180" t="s">
        <v>19</v>
      </c>
      <c r="H3453" s="1180" t="s">
        <v>20</v>
      </c>
      <c r="I3453" s="204" t="s">
        <v>19</v>
      </c>
      <c r="J3453" s="206" t="s">
        <v>20</v>
      </c>
    </row>
    <row r="3454" spans="1:10" ht="15" customHeight="1">
      <c r="A3454" s="233"/>
      <c r="B3454" s="161"/>
      <c r="C3454" s="161"/>
      <c r="D3454" s="161" t="s">
        <v>7157</v>
      </c>
      <c r="E3454" s="247"/>
      <c r="F3454" s="248"/>
      <c r="G3454" s="248"/>
      <c r="H3454" s="248"/>
      <c r="I3454" s="214"/>
      <c r="J3454" s="227"/>
    </row>
    <row r="3455" spans="1:10" ht="15" customHeight="1">
      <c r="A3455" s="233" t="s">
        <v>39</v>
      </c>
      <c r="B3455" s="161"/>
      <c r="C3455" s="161">
        <v>34714</v>
      </c>
      <c r="D3455" s="161" t="str">
        <f>IF(B3455="SEPLAG",VLOOKUP(COMPOSIÇÕES!C3455,'MAPA COMPARATIVO'!A:B,2,FALSE),VLOOKUP(C3455,'NAO DESO'!A:B,2,0))</f>
        <v>DISJUNTOR TIPO DIN/IEC, TRIPOLAR 63 A</v>
      </c>
      <c r="E3455" s="247" t="s">
        <v>427</v>
      </c>
      <c r="F3455" s="248">
        <v>1</v>
      </c>
      <c r="G3455" s="242">
        <f>IF(B3455="SEPLAG",VLOOKUP(CONCATENATE("MEDIANA - ",C3455),COTAÇÃO,5,FALSE),VLOOKUP($C3455,'NAO DESO'!$A:$D,4,))</f>
        <v>80.89</v>
      </c>
      <c r="H3455" s="242">
        <f>TRUNC(F3455*G3455,2)</f>
        <v>80.89</v>
      </c>
      <c r="I3455" s="54" t="str">
        <f>IF(B3455="SEPLAG",VLOOKUP(CONCATENATE("MEDIANA - ",C3455),COTAÇÃO,5,FALSE),VLOOKUP($C3455,DESON!$A:$D,4,))</f>
        <v>80,89</v>
      </c>
      <c r="J3455" s="209">
        <f>TRUNC(F3455*I3455,2)</f>
        <v>80.89</v>
      </c>
    </row>
    <row r="3456" spans="1:10" ht="15" customHeight="1">
      <c r="A3456" s="233" t="s">
        <v>245</v>
      </c>
      <c r="B3456" s="161"/>
      <c r="C3456" s="161">
        <v>88247</v>
      </c>
      <c r="D3456" s="161" t="str">
        <f>IF(B3456="SEPLAG",VLOOKUP(COMPOSIÇÕES!C3456,'MAPA COMPARATIVO'!A:B,2,FALSE),VLOOKUP(C3456,'NAO DESO'!A:B,2,0))</f>
        <v>AUXILIAR DE ELETRICISTA COM ENCARGOS COMPLEMENTARES</v>
      </c>
      <c r="E3456" s="247" t="s">
        <v>16</v>
      </c>
      <c r="F3456" s="248">
        <v>2</v>
      </c>
      <c r="G3456" s="242" t="str">
        <f>IF(B3456="SEPLAG",VLOOKUP(CONCATENATE("MEDIANA - ",C3456),COTAÇÃO,5,FALSE),VLOOKUP($C3456,'NAO DESO'!$A:$D,4,))</f>
        <v>16,84</v>
      </c>
      <c r="H3456" s="242">
        <f>TRUNC(F3456*G3456,2)</f>
        <v>33.68</v>
      </c>
      <c r="I3456" s="54" t="str">
        <f>IF(B3456="SEPLAG",VLOOKUP(CONCATENATE("MEDIANA - ",C3456),COTAÇÃO,5,FALSE),VLOOKUP($C3456,DESON!$A:$D,4,))</f>
        <v>15,19</v>
      </c>
      <c r="J3456" s="209">
        <f>TRUNC(F3456*I3456,2)</f>
        <v>30.38</v>
      </c>
    </row>
    <row r="3457" spans="1:10" ht="15" customHeight="1">
      <c r="A3457" s="233" t="s">
        <v>245</v>
      </c>
      <c r="B3457" s="161"/>
      <c r="C3457" s="161">
        <v>88264</v>
      </c>
      <c r="D3457" s="161" t="str">
        <f>IF(B3457="SEPLAG",VLOOKUP(COMPOSIÇÕES!C3457,'MAPA COMPARATIVO'!A:B,2,FALSE),VLOOKUP(C3457,'NAO DESO'!A:B,2,0))</f>
        <v>ELETRICISTA COM ENCARGOS COMPLEMENTARES</v>
      </c>
      <c r="E3457" s="247" t="s">
        <v>16</v>
      </c>
      <c r="F3457" s="248">
        <v>2</v>
      </c>
      <c r="G3457" s="242" t="str">
        <f>IF(B3457="SEPLAG",VLOOKUP(CONCATENATE("MEDIANA - ",C3457),COTAÇÃO,5,FALSE),VLOOKUP($C3457,'NAO DESO'!$A:$D,4,))</f>
        <v>21,87</v>
      </c>
      <c r="H3457" s="242">
        <f>TRUNC(F3457*G3457,2)</f>
        <v>43.74</v>
      </c>
      <c r="I3457" s="54" t="str">
        <f>IF(B3457="SEPLAG",VLOOKUP(CONCATENATE("MEDIANA - ",C3457),COTAÇÃO,5,FALSE),VLOOKUP($C3457,DESON!$A:$D,4,))</f>
        <v>19,53</v>
      </c>
      <c r="J3457" s="209">
        <f>TRUNC(F3457*I3457,2)</f>
        <v>39.06</v>
      </c>
    </row>
    <row r="3458" spans="1:10" ht="15" customHeight="1">
      <c r="A3458" s="210" t="str">
        <f>CONCATENATE("TOTAL DO ITEM NÃO DESON. - ",C3452)</f>
        <v>TOTAL DO ITEM NÃO DESON. - SEPLAG ELE 20</v>
      </c>
      <c r="B3458" s="432"/>
      <c r="C3458" s="432"/>
      <c r="D3458" s="432"/>
      <c r="E3458" s="430"/>
      <c r="F3458" s="1189"/>
      <c r="G3458" s="1189"/>
      <c r="H3458" s="1189">
        <f>SUM(H3455:H3457)</f>
        <v>158.31</v>
      </c>
      <c r="I3458" s="213"/>
      <c r="J3458" s="259"/>
    </row>
    <row r="3459" spans="1:10" ht="15.75" customHeight="1" thickBot="1">
      <c r="A3459" s="216" t="str">
        <f>CONCATENATE("TOTAL DO ITEM DESON. - ",C3452)</f>
        <v>TOTAL DO ITEM DESON. - SEPLAG ELE 20</v>
      </c>
      <c r="B3459" s="1148"/>
      <c r="C3459" s="1148"/>
      <c r="D3459" s="1148"/>
      <c r="E3459" s="1142"/>
      <c r="F3459" s="1190"/>
      <c r="G3459" s="1190"/>
      <c r="H3459" s="1190"/>
      <c r="I3459" s="228"/>
      <c r="J3459" s="219">
        <f>SUM(J3455:J3458)</f>
        <v>150.32999999999998</v>
      </c>
    </row>
    <row r="3460" spans="1:10" ht="15" customHeight="1" thickBot="1">
      <c r="A3460" s="421"/>
      <c r="B3460" s="1138"/>
      <c r="C3460" s="1138"/>
      <c r="D3460" s="1138"/>
      <c r="E3460" s="1154"/>
      <c r="F3460" s="1196"/>
      <c r="G3460" s="1196"/>
      <c r="H3460" s="1196"/>
      <c r="I3460" s="423"/>
      <c r="J3460" s="422"/>
    </row>
    <row r="3461" spans="1:10" ht="25.5" customHeight="1">
      <c r="A3461" s="256"/>
      <c r="B3461" s="1152"/>
      <c r="C3461" s="1152" t="s">
        <v>7158</v>
      </c>
      <c r="D3461" s="152" t="s">
        <v>7159</v>
      </c>
      <c r="E3461" s="1152" t="s">
        <v>24</v>
      </c>
      <c r="F3461" s="1177" t="s">
        <v>18</v>
      </c>
      <c r="G3461" s="1178" t="s">
        <v>7015</v>
      </c>
      <c r="H3461" s="1179"/>
      <c r="I3461" s="200" t="s">
        <v>7016</v>
      </c>
      <c r="J3461" s="201"/>
    </row>
    <row r="3462" spans="1:10" ht="15" customHeight="1">
      <c r="A3462" s="257"/>
      <c r="B3462" s="430"/>
      <c r="C3462" s="430"/>
      <c r="D3462" s="430"/>
      <c r="E3462" s="430"/>
      <c r="F3462" s="1180"/>
      <c r="G3462" s="1180" t="s">
        <v>19</v>
      </c>
      <c r="H3462" s="1180" t="s">
        <v>20</v>
      </c>
      <c r="I3462" s="204" t="s">
        <v>19</v>
      </c>
      <c r="J3462" s="206" t="s">
        <v>20</v>
      </c>
    </row>
    <row r="3463" spans="1:10" ht="15" customHeight="1">
      <c r="A3463" s="233"/>
      <c r="B3463" s="161"/>
      <c r="C3463" s="161"/>
      <c r="D3463" s="161" t="s">
        <v>7157</v>
      </c>
      <c r="E3463" s="247"/>
      <c r="F3463" s="248"/>
      <c r="G3463" s="248"/>
      <c r="H3463" s="248"/>
      <c r="I3463" s="214"/>
      <c r="J3463" s="227"/>
    </row>
    <row r="3464" spans="1:10" ht="15" customHeight="1">
      <c r="A3464" s="233" t="s">
        <v>39</v>
      </c>
      <c r="B3464" s="161"/>
      <c r="C3464" s="161">
        <v>2373</v>
      </c>
      <c r="D3464" s="161" t="str">
        <f>IF(B3464="SEPLAG",VLOOKUP(COMPOSIÇÕES!C3464,'MAPA COMPARATIVO'!A:B,2,FALSE),VLOOKUP(C3464,'NAO DESO'!A:B,2,0))</f>
        <v>DISJUNTOR TIPO NEMA, TRIPOLAR 60 ATE 100 A, TENSAO MAXIMA DE 415 V</v>
      </c>
      <c r="E3464" s="247" t="s">
        <v>427</v>
      </c>
      <c r="F3464" s="248">
        <v>1</v>
      </c>
      <c r="G3464" s="242">
        <f>IF(B3464="SEPLAG",VLOOKUP(CONCATENATE("MEDIANA - ",C3464),COTAÇÃO,5,FALSE),VLOOKUP($C3464,'NAO DESO'!$A:$D,4,))</f>
        <v>118.13</v>
      </c>
      <c r="H3464" s="242">
        <f>TRUNC(F3464*G3464,2)</f>
        <v>118.13</v>
      </c>
      <c r="I3464" s="54" t="str">
        <f>IF(B3464="SEPLAG",VLOOKUP(CONCATENATE("MEDIANA - ",C3464),COTAÇÃO,5,FALSE),VLOOKUP($C3464,DESON!$A:$D,4,))</f>
        <v>118,13</v>
      </c>
      <c r="J3464" s="209">
        <f>TRUNC(F3464*I3464,2)</f>
        <v>118.13</v>
      </c>
    </row>
    <row r="3465" spans="1:10" ht="15" customHeight="1">
      <c r="A3465" s="233" t="s">
        <v>245</v>
      </c>
      <c r="B3465" s="161"/>
      <c r="C3465" s="161">
        <v>88247</v>
      </c>
      <c r="D3465" s="161" t="str">
        <f>IF(B3465="SEPLAG",VLOOKUP(COMPOSIÇÕES!C3465,'MAPA COMPARATIVO'!A:B,2,FALSE),VLOOKUP(C3465,'NAO DESO'!A:B,2,0))</f>
        <v>AUXILIAR DE ELETRICISTA COM ENCARGOS COMPLEMENTARES</v>
      </c>
      <c r="E3465" s="247" t="s">
        <v>16</v>
      </c>
      <c r="F3465" s="248">
        <v>2</v>
      </c>
      <c r="G3465" s="242" t="str">
        <f>IF(B3465="SEPLAG",VLOOKUP(CONCATENATE("MEDIANA - ",C3465),COTAÇÃO,5,FALSE),VLOOKUP($C3465,'NAO DESO'!$A:$D,4,))</f>
        <v>16,84</v>
      </c>
      <c r="H3465" s="242">
        <f>TRUNC(F3465*G3465,2)</f>
        <v>33.68</v>
      </c>
      <c r="I3465" s="54" t="str">
        <f>IF(B3465="SEPLAG",VLOOKUP(CONCATENATE("MEDIANA - ",C3465),COTAÇÃO,5,FALSE),VLOOKUP($C3465,DESON!$A:$D,4,))</f>
        <v>15,19</v>
      </c>
      <c r="J3465" s="209">
        <f>TRUNC(F3465*I3465,2)</f>
        <v>30.38</v>
      </c>
    </row>
    <row r="3466" spans="1:10" ht="15" customHeight="1">
      <c r="A3466" s="233" t="s">
        <v>245</v>
      </c>
      <c r="B3466" s="161"/>
      <c r="C3466" s="161">
        <v>88264</v>
      </c>
      <c r="D3466" s="161" t="str">
        <f>IF(B3466="SEPLAG",VLOOKUP(COMPOSIÇÕES!C3466,'MAPA COMPARATIVO'!A:B,2,FALSE),VLOOKUP(C3466,'NAO DESO'!A:B,2,0))</f>
        <v>ELETRICISTA COM ENCARGOS COMPLEMENTARES</v>
      </c>
      <c r="E3466" s="247" t="s">
        <v>16</v>
      </c>
      <c r="F3466" s="248">
        <v>2</v>
      </c>
      <c r="G3466" s="242" t="str">
        <f>IF(B3466="SEPLAG",VLOOKUP(CONCATENATE("MEDIANA - ",C3466),COTAÇÃO,5,FALSE),VLOOKUP($C3466,'NAO DESO'!$A:$D,4,))</f>
        <v>21,87</v>
      </c>
      <c r="H3466" s="242">
        <f>TRUNC(F3466*G3466,2)</f>
        <v>43.74</v>
      </c>
      <c r="I3466" s="54" t="str">
        <f>IF(B3466="SEPLAG",VLOOKUP(CONCATENATE("MEDIANA - ",C3466),COTAÇÃO,5,FALSE),VLOOKUP($C3466,DESON!$A:$D,4,))</f>
        <v>19,53</v>
      </c>
      <c r="J3466" s="209">
        <f>TRUNC(F3466*I3466,2)</f>
        <v>39.06</v>
      </c>
    </row>
    <row r="3467" spans="1:10" ht="15" customHeight="1">
      <c r="A3467" s="210" t="str">
        <f>CONCATENATE("TOTAL DO ITEM NÃO DESON. - ",C3461)</f>
        <v>TOTAL DO ITEM NÃO DESON. - SEPLAG ELE 21</v>
      </c>
      <c r="B3467" s="432"/>
      <c r="C3467" s="432"/>
      <c r="D3467" s="432"/>
      <c r="E3467" s="430"/>
      <c r="F3467" s="1189"/>
      <c r="G3467" s="1189"/>
      <c r="H3467" s="1189">
        <f>SUM(H3464:H3466)</f>
        <v>195.55</v>
      </c>
      <c r="I3467" s="213"/>
      <c r="J3467" s="259"/>
    </row>
    <row r="3468" spans="1:10" ht="15.75" customHeight="1" thickBot="1">
      <c r="A3468" s="216" t="str">
        <f>CONCATENATE("TOTAL DO ITEM DESON. - ",C3461)</f>
        <v>TOTAL DO ITEM DESON. - SEPLAG ELE 21</v>
      </c>
      <c r="B3468" s="1148"/>
      <c r="C3468" s="1148"/>
      <c r="D3468" s="1148"/>
      <c r="E3468" s="1142"/>
      <c r="F3468" s="1190"/>
      <c r="G3468" s="1190"/>
      <c r="H3468" s="1190"/>
      <c r="I3468" s="228"/>
      <c r="J3468" s="219">
        <f>SUM(J3464:J3467)</f>
        <v>187.57</v>
      </c>
    </row>
    <row r="3469" spans="1:10" ht="15" customHeight="1" thickBot="1">
      <c r="A3469" s="421"/>
      <c r="B3469" s="1138"/>
      <c r="C3469" s="1138"/>
      <c r="D3469" s="1138"/>
      <c r="E3469" s="1154"/>
      <c r="F3469" s="1196"/>
      <c r="G3469" s="1196"/>
      <c r="H3469" s="1196"/>
      <c r="I3469" s="423"/>
      <c r="J3469" s="422"/>
    </row>
    <row r="3470" spans="1:10" ht="25.5" customHeight="1">
      <c r="A3470" s="256"/>
      <c r="B3470" s="1152"/>
      <c r="C3470" s="1152" t="s">
        <v>7161</v>
      </c>
      <c r="D3470" s="152" t="s">
        <v>14519</v>
      </c>
      <c r="E3470" s="1152" t="s">
        <v>24</v>
      </c>
      <c r="F3470" s="1177" t="s">
        <v>18</v>
      </c>
      <c r="G3470" s="1178" t="s">
        <v>7015</v>
      </c>
      <c r="H3470" s="1179"/>
      <c r="I3470" s="200" t="s">
        <v>7016</v>
      </c>
      <c r="J3470" s="201"/>
    </row>
    <row r="3471" spans="1:10" ht="15" customHeight="1">
      <c r="A3471" s="257"/>
      <c r="B3471" s="430"/>
      <c r="C3471" s="430"/>
      <c r="D3471" s="430"/>
      <c r="E3471" s="430"/>
      <c r="F3471" s="1180"/>
      <c r="G3471" s="1180" t="s">
        <v>19</v>
      </c>
      <c r="H3471" s="1180" t="s">
        <v>20</v>
      </c>
      <c r="I3471" s="204" t="s">
        <v>19</v>
      </c>
      <c r="J3471" s="206" t="s">
        <v>20</v>
      </c>
    </row>
    <row r="3472" spans="1:10" ht="15" customHeight="1">
      <c r="A3472" s="233"/>
      <c r="B3472" s="161"/>
      <c r="C3472" s="161"/>
      <c r="D3472" s="161" t="s">
        <v>7157</v>
      </c>
      <c r="E3472" s="247"/>
      <c r="F3472" s="248"/>
      <c r="G3472" s="248"/>
      <c r="H3472" s="248"/>
      <c r="I3472" s="214"/>
      <c r="J3472" s="227"/>
    </row>
    <row r="3473" spans="1:10" ht="15" customHeight="1">
      <c r="A3473" s="233" t="s">
        <v>245</v>
      </c>
      <c r="B3473" s="161"/>
      <c r="C3473" s="161">
        <v>2374</v>
      </c>
      <c r="D3473" s="161" t="str">
        <f>IF(B3473="SEPLAG",VLOOKUP(COMPOSIÇÕES!C3473,'MAPA COMPARATIVO'!A:B,2,FALSE),VLOOKUP(C3473,'NAO DESO'!A:B,2,0))</f>
        <v>DISJUNTOR TERMOMAGNETICO TRIPOLAR 150 A / 600 V, TIPO FXD / ICC - 35 KA</v>
      </c>
      <c r="E3473" s="247" t="s">
        <v>427</v>
      </c>
      <c r="F3473" s="248">
        <v>1</v>
      </c>
      <c r="G3473" s="242">
        <f>IF(B3473="SEPLAG",VLOOKUP(CONCATENATE("MEDIANA - ",C3473),COTAÇÃO,5,FALSE),VLOOKUP($C3473,'NAO DESO'!$A:$D,4,))</f>
        <v>419.1</v>
      </c>
      <c r="H3473" s="242">
        <f>TRUNC(F3473*G3473,2)</f>
        <v>419.1</v>
      </c>
      <c r="I3473" s="54" t="str">
        <f>IF(B3473="SEPLAG",VLOOKUP(CONCATENATE("MEDIANA - ",C3473),COTAÇÃO,5,FALSE),VLOOKUP($C3473,DESON!$A:$D,4,))</f>
        <v>419,10</v>
      </c>
      <c r="J3473" s="209">
        <f>TRUNC(F3473*I3473,2)</f>
        <v>419.1</v>
      </c>
    </row>
    <row r="3474" spans="1:10" ht="15" customHeight="1">
      <c r="A3474" s="233" t="s">
        <v>245</v>
      </c>
      <c r="B3474" s="161"/>
      <c r="C3474" s="161">
        <v>88247</v>
      </c>
      <c r="D3474" s="161" t="str">
        <f>IF(B3474="SEPLAG",VLOOKUP(COMPOSIÇÕES!C3474,'MAPA COMPARATIVO'!A:B,2,FALSE),VLOOKUP(C3474,'NAO DESO'!A:B,2,0))</f>
        <v>AUXILIAR DE ELETRICISTA COM ENCARGOS COMPLEMENTARES</v>
      </c>
      <c r="E3474" s="247" t="s">
        <v>16</v>
      </c>
      <c r="F3474" s="248">
        <v>2</v>
      </c>
      <c r="G3474" s="242" t="str">
        <f>IF(B3474="SEPLAG",VLOOKUP(CONCATENATE("MEDIANA - ",C3474),COTAÇÃO,5,FALSE),VLOOKUP($C3474,'NAO DESO'!$A:$D,4,))</f>
        <v>16,84</v>
      </c>
      <c r="H3474" s="242">
        <f>TRUNC(F3474*G3474,2)</f>
        <v>33.68</v>
      </c>
      <c r="I3474" s="54" t="str">
        <f>IF(B3474="SEPLAG",VLOOKUP(CONCATENATE("MEDIANA - ",C3474),COTAÇÃO,5,FALSE),VLOOKUP($C3474,DESON!$A:$D,4,))</f>
        <v>15,19</v>
      </c>
      <c r="J3474" s="209">
        <f>TRUNC(F3474*I3474,2)</f>
        <v>30.38</v>
      </c>
    </row>
    <row r="3475" spans="1:10" ht="15" customHeight="1">
      <c r="A3475" s="233" t="s">
        <v>245</v>
      </c>
      <c r="B3475" s="161"/>
      <c r="C3475" s="161">
        <v>88264</v>
      </c>
      <c r="D3475" s="161" t="str">
        <f>IF(B3475="SEPLAG",VLOOKUP(COMPOSIÇÕES!C3475,'MAPA COMPARATIVO'!A:B,2,FALSE),VLOOKUP(C3475,'NAO DESO'!A:B,2,0))</f>
        <v>ELETRICISTA COM ENCARGOS COMPLEMENTARES</v>
      </c>
      <c r="E3475" s="247" t="s">
        <v>16</v>
      </c>
      <c r="F3475" s="248">
        <v>2</v>
      </c>
      <c r="G3475" s="242" t="str">
        <f>IF(B3475="SEPLAG",VLOOKUP(CONCATENATE("MEDIANA - ",C3475),COTAÇÃO,5,FALSE),VLOOKUP($C3475,'NAO DESO'!$A:$D,4,))</f>
        <v>21,87</v>
      </c>
      <c r="H3475" s="242">
        <f>TRUNC(F3475*G3475,2)</f>
        <v>43.74</v>
      </c>
      <c r="I3475" s="54" t="str">
        <f>IF(B3475="SEPLAG",VLOOKUP(CONCATENATE("MEDIANA - ",C3475),COTAÇÃO,5,FALSE),VLOOKUP($C3475,DESON!$A:$D,4,))</f>
        <v>19,53</v>
      </c>
      <c r="J3475" s="209">
        <f>TRUNC(F3475*I3475,2)</f>
        <v>39.06</v>
      </c>
    </row>
    <row r="3476" spans="1:10" ht="15" customHeight="1">
      <c r="A3476" s="210" t="str">
        <f>CONCATENATE("TOTAL DO ITEM NÃO DESON. - ",C3470)</f>
        <v>TOTAL DO ITEM NÃO DESON. - SEPLAG ELE 22</v>
      </c>
      <c r="B3476" s="432"/>
      <c r="C3476" s="432"/>
      <c r="D3476" s="432"/>
      <c r="E3476" s="430"/>
      <c r="F3476" s="1189"/>
      <c r="G3476" s="1189"/>
      <c r="H3476" s="1189">
        <f>SUM(H3473:H3475)</f>
        <v>496.52000000000004</v>
      </c>
      <c r="I3476" s="213"/>
      <c r="J3476" s="259"/>
    </row>
    <row r="3477" spans="1:10" ht="15.75" customHeight="1" thickBot="1">
      <c r="A3477" s="216" t="str">
        <f>CONCATENATE("TOTAL DO ITEM DESON. - ",C3470)</f>
        <v>TOTAL DO ITEM DESON. - SEPLAG ELE 22</v>
      </c>
      <c r="B3477" s="1148"/>
      <c r="C3477" s="1148"/>
      <c r="D3477" s="1148"/>
      <c r="E3477" s="1142"/>
      <c r="F3477" s="1190"/>
      <c r="G3477" s="1190"/>
      <c r="H3477" s="1190"/>
      <c r="I3477" s="228"/>
      <c r="J3477" s="219">
        <f>SUM(J3473:J3476)</f>
        <v>488.54</v>
      </c>
    </row>
    <row r="3478" spans="1:10" ht="15" customHeight="1" thickBot="1">
      <c r="A3478" s="421"/>
      <c r="B3478" s="1138"/>
      <c r="C3478" s="1138"/>
      <c r="D3478" s="1138"/>
      <c r="E3478" s="1154"/>
      <c r="F3478" s="1196"/>
      <c r="G3478" s="1196"/>
      <c r="H3478" s="1196"/>
      <c r="I3478" s="423"/>
      <c r="J3478" s="422"/>
    </row>
    <row r="3479" spans="1:10" ht="25.5" customHeight="1">
      <c r="A3479" s="256"/>
      <c r="B3479" s="1152"/>
      <c r="C3479" s="1152" t="s">
        <v>7162</v>
      </c>
      <c r="D3479" s="152" t="s">
        <v>7160</v>
      </c>
      <c r="E3479" s="1152" t="s">
        <v>24</v>
      </c>
      <c r="F3479" s="1177" t="s">
        <v>18</v>
      </c>
      <c r="G3479" s="1178" t="s">
        <v>7015</v>
      </c>
      <c r="H3479" s="1179"/>
      <c r="I3479" s="200" t="s">
        <v>7016</v>
      </c>
      <c r="J3479" s="201"/>
    </row>
    <row r="3480" spans="1:10" ht="15" customHeight="1">
      <c r="A3480" s="257"/>
      <c r="B3480" s="430"/>
      <c r="C3480" s="430"/>
      <c r="D3480" s="430"/>
      <c r="E3480" s="430"/>
      <c r="F3480" s="1180"/>
      <c r="G3480" s="1180" t="s">
        <v>19</v>
      </c>
      <c r="H3480" s="1180" t="s">
        <v>20</v>
      </c>
      <c r="I3480" s="204" t="s">
        <v>19</v>
      </c>
      <c r="J3480" s="206" t="s">
        <v>20</v>
      </c>
    </row>
    <row r="3481" spans="1:10" ht="15" customHeight="1">
      <c r="A3481" s="233"/>
      <c r="B3481" s="161"/>
      <c r="C3481" s="161"/>
      <c r="D3481" s="161" t="s">
        <v>7157</v>
      </c>
      <c r="E3481" s="247"/>
      <c r="F3481" s="248"/>
      <c r="G3481" s="248"/>
      <c r="H3481" s="248"/>
      <c r="I3481" s="214"/>
      <c r="J3481" s="227"/>
    </row>
    <row r="3482" spans="1:10" ht="15" customHeight="1">
      <c r="A3482" s="233" t="s">
        <v>245</v>
      </c>
      <c r="B3482" s="161"/>
      <c r="C3482" s="161">
        <v>2374</v>
      </c>
      <c r="D3482" s="161" t="str">
        <f>IF(B3482="SEPLAG",VLOOKUP(COMPOSIÇÕES!C3482,'MAPA COMPARATIVO'!A:B,2,FALSE),VLOOKUP(C3482,'NAO DESO'!A:B,2,0))</f>
        <v>DISJUNTOR TERMOMAGNETICO TRIPOLAR 150 A / 600 V, TIPO FXD / ICC - 35 KA</v>
      </c>
      <c r="E3482" s="247" t="s">
        <v>427</v>
      </c>
      <c r="F3482" s="248">
        <v>1</v>
      </c>
      <c r="G3482" s="242">
        <f>IF(B3482="SEPLAG",VLOOKUP(CONCATENATE("MEDIANA - ",C3482),COTAÇÃO,5,FALSE),VLOOKUP($C3482,'NAO DESO'!$A:$D,4,))</f>
        <v>419.1</v>
      </c>
      <c r="H3482" s="242">
        <f>TRUNC(F3482*G3482,2)</f>
        <v>419.1</v>
      </c>
      <c r="I3482" s="54" t="str">
        <f>IF(B3482="SEPLAG",VLOOKUP(CONCATENATE("MEDIANA - ",C3482),COTAÇÃO,5,FALSE),VLOOKUP($C3482,DESON!$A:$D,4,))</f>
        <v>419,10</v>
      </c>
      <c r="J3482" s="209">
        <f>TRUNC(F3482*I3482,2)</f>
        <v>419.1</v>
      </c>
    </row>
    <row r="3483" spans="1:10" ht="15" customHeight="1">
      <c r="A3483" s="233" t="s">
        <v>245</v>
      </c>
      <c r="B3483" s="161"/>
      <c r="C3483" s="161">
        <v>88247</v>
      </c>
      <c r="D3483" s="161" t="str">
        <f>IF(B3483="SEPLAG",VLOOKUP(COMPOSIÇÕES!C3483,'MAPA COMPARATIVO'!A:B,2,FALSE),VLOOKUP(C3483,'NAO DESO'!A:B,2,0))</f>
        <v>AUXILIAR DE ELETRICISTA COM ENCARGOS COMPLEMENTARES</v>
      </c>
      <c r="E3483" s="247" t="s">
        <v>16</v>
      </c>
      <c r="F3483" s="248">
        <v>2</v>
      </c>
      <c r="G3483" s="242" t="str">
        <f>IF(B3483="SEPLAG",VLOOKUP(CONCATENATE("MEDIANA - ",C3483),COTAÇÃO,5,FALSE),VLOOKUP($C3483,'NAO DESO'!$A:$D,4,))</f>
        <v>16,84</v>
      </c>
      <c r="H3483" s="242">
        <f>TRUNC(F3483*G3483,2)</f>
        <v>33.68</v>
      </c>
      <c r="I3483" s="54" t="str">
        <f>IF(B3483="SEPLAG",VLOOKUP(CONCATENATE("MEDIANA - ",C3483),COTAÇÃO,5,FALSE),VLOOKUP($C3483,DESON!$A:$D,4,))</f>
        <v>15,19</v>
      </c>
      <c r="J3483" s="209">
        <f>TRUNC(F3483*I3483,2)</f>
        <v>30.38</v>
      </c>
    </row>
    <row r="3484" spans="1:10" ht="15" customHeight="1">
      <c r="A3484" s="233" t="s">
        <v>245</v>
      </c>
      <c r="B3484" s="161"/>
      <c r="C3484" s="161">
        <v>88264</v>
      </c>
      <c r="D3484" s="161" t="str">
        <f>IF(B3484="SEPLAG",VLOOKUP(COMPOSIÇÕES!C3484,'MAPA COMPARATIVO'!A:B,2,FALSE),VLOOKUP(C3484,'NAO DESO'!A:B,2,0))</f>
        <v>ELETRICISTA COM ENCARGOS COMPLEMENTARES</v>
      </c>
      <c r="E3484" s="247" t="s">
        <v>16</v>
      </c>
      <c r="F3484" s="248">
        <v>2</v>
      </c>
      <c r="G3484" s="242" t="str">
        <f>IF(B3484="SEPLAG",VLOOKUP(CONCATENATE("MEDIANA - ",C3484),COTAÇÃO,5,FALSE),VLOOKUP($C3484,'NAO DESO'!$A:$D,4,))</f>
        <v>21,87</v>
      </c>
      <c r="H3484" s="242">
        <f>TRUNC(F3484*G3484,2)</f>
        <v>43.74</v>
      </c>
      <c r="I3484" s="54" t="str">
        <f>IF(B3484="SEPLAG",VLOOKUP(CONCATENATE("MEDIANA - ",C3484),COTAÇÃO,5,FALSE),VLOOKUP($C3484,DESON!$A:$D,4,))</f>
        <v>19,53</v>
      </c>
      <c r="J3484" s="209">
        <f>TRUNC(F3484*I3484,2)</f>
        <v>39.06</v>
      </c>
    </row>
    <row r="3485" spans="1:10" ht="15" customHeight="1">
      <c r="A3485" s="210" t="str">
        <f>CONCATENATE("TOTAL DO ITEM NÃO DESON. - ",C3479)</f>
        <v>TOTAL DO ITEM NÃO DESON. - SEPLAG ELE 23</v>
      </c>
      <c r="B3485" s="432"/>
      <c r="C3485" s="432"/>
      <c r="D3485" s="432"/>
      <c r="E3485" s="430"/>
      <c r="F3485" s="1189"/>
      <c r="G3485" s="1189"/>
      <c r="H3485" s="1189">
        <f>SUM(H3482:H3484)</f>
        <v>496.52000000000004</v>
      </c>
      <c r="I3485" s="213"/>
      <c r="J3485" s="259"/>
    </row>
    <row r="3486" spans="1:10" ht="15.75" customHeight="1" thickBot="1">
      <c r="A3486" s="216" t="str">
        <f>CONCATENATE("TOTAL DO ITEM DESON. - ",C3479)</f>
        <v>TOTAL DO ITEM DESON. - SEPLAG ELE 23</v>
      </c>
      <c r="B3486" s="1148"/>
      <c r="C3486" s="1148"/>
      <c r="D3486" s="1148"/>
      <c r="E3486" s="1142"/>
      <c r="F3486" s="1190"/>
      <c r="G3486" s="1190"/>
      <c r="H3486" s="1190"/>
      <c r="I3486" s="228"/>
      <c r="J3486" s="219">
        <f>SUM(J3482:J3485)</f>
        <v>488.54</v>
      </c>
    </row>
    <row r="3487" spans="1:10" ht="15" customHeight="1" thickBot="1">
      <c r="A3487" s="421"/>
      <c r="B3487" s="1138"/>
      <c r="C3487" s="1138"/>
      <c r="D3487" s="1138"/>
      <c r="E3487" s="1154"/>
      <c r="F3487" s="1196"/>
      <c r="G3487" s="1196"/>
      <c r="H3487" s="1196"/>
      <c r="I3487" s="423"/>
      <c r="J3487" s="422"/>
    </row>
    <row r="3488" spans="1:10" ht="25.5" customHeight="1">
      <c r="A3488" s="256"/>
      <c r="B3488" s="1152"/>
      <c r="C3488" s="1152" t="s">
        <v>7163</v>
      </c>
      <c r="D3488" s="152" t="s">
        <v>7164</v>
      </c>
      <c r="E3488" s="1152" t="s">
        <v>24</v>
      </c>
      <c r="F3488" s="1177" t="s">
        <v>18</v>
      </c>
      <c r="G3488" s="1178" t="s">
        <v>7015</v>
      </c>
      <c r="H3488" s="1179"/>
      <c r="I3488" s="200" t="s">
        <v>7016</v>
      </c>
      <c r="J3488" s="201"/>
    </row>
    <row r="3489" spans="1:10" ht="15" customHeight="1">
      <c r="A3489" s="257"/>
      <c r="B3489" s="430"/>
      <c r="C3489" s="430"/>
      <c r="D3489" s="430"/>
      <c r="E3489" s="430"/>
      <c r="F3489" s="1180"/>
      <c r="G3489" s="1180" t="s">
        <v>19</v>
      </c>
      <c r="H3489" s="1180" t="s">
        <v>20</v>
      </c>
      <c r="I3489" s="204" t="s">
        <v>19</v>
      </c>
      <c r="J3489" s="206" t="s">
        <v>20</v>
      </c>
    </row>
    <row r="3490" spans="1:10" ht="15" customHeight="1">
      <c r="A3490" s="233"/>
      <c r="B3490" s="161"/>
      <c r="C3490" s="161"/>
      <c r="D3490" s="161" t="s">
        <v>7165</v>
      </c>
      <c r="E3490" s="247"/>
      <c r="F3490" s="248"/>
      <c r="G3490" s="248"/>
      <c r="H3490" s="248"/>
      <c r="I3490" s="214"/>
      <c r="J3490" s="227"/>
    </row>
    <row r="3491" spans="1:10" ht="26.25" customHeight="1">
      <c r="A3491" s="233" t="s">
        <v>245</v>
      </c>
      <c r="B3491" s="161"/>
      <c r="C3491" s="161">
        <v>39467</v>
      </c>
      <c r="D3491" s="161" t="str">
        <f>IF(B3491="SEPLAG",VLOOKUP(COMPOSIÇÕES!C3491,'MAPA COMPARATIVO'!A:B,2,FALSE),VLOOKUP(C3491,'NAO DESO'!A:B,2,0))</f>
        <v>DISPOSITIVO DPS CLASSE II, 1 POLO, TENSAO MAXIMA DE 175 V, CORRENTE MAXIMA DE *45* KA (TIPO AC)</v>
      </c>
      <c r="E3491" s="247" t="s">
        <v>427</v>
      </c>
      <c r="F3491" s="248">
        <v>1</v>
      </c>
      <c r="G3491" s="242">
        <f>IF(B3491="SEPLAG",VLOOKUP(CONCATENATE("MEDIANA - ",C3491),COTAÇÃO,5,FALSE),VLOOKUP($C3491,'NAO DESO'!$A:$D,4,))</f>
        <v>103.84</v>
      </c>
      <c r="H3491" s="242">
        <f>TRUNC(F3491*G3491,2)</f>
        <v>103.84</v>
      </c>
      <c r="I3491" s="54" t="str">
        <f>IF(B3491="SEPLAG",VLOOKUP(CONCATENATE("MEDIANA - ",C3491),COTAÇÃO,5,FALSE),VLOOKUP($C3491,DESON!$A:$D,4,))</f>
        <v>103,84</v>
      </c>
      <c r="J3491" s="209">
        <f>TRUNC(F3491*I3491,2)</f>
        <v>103.84</v>
      </c>
    </row>
    <row r="3492" spans="1:10" ht="15" customHeight="1">
      <c r="A3492" s="233" t="s">
        <v>245</v>
      </c>
      <c r="B3492" s="161"/>
      <c r="C3492" s="161">
        <v>88247</v>
      </c>
      <c r="D3492" s="161" t="str">
        <f>IF(B3492="SEPLAG",VLOOKUP(COMPOSIÇÕES!C3492,'MAPA COMPARATIVO'!A:B,2,FALSE),VLOOKUP(C3492,'NAO DESO'!A:B,2,0))</f>
        <v>AUXILIAR DE ELETRICISTA COM ENCARGOS COMPLEMENTARES</v>
      </c>
      <c r="E3492" s="247" t="s">
        <v>16</v>
      </c>
      <c r="F3492" s="248">
        <v>5</v>
      </c>
      <c r="G3492" s="242" t="str">
        <f>IF(B3492="SEPLAG",VLOOKUP(CONCATENATE("MEDIANA - ",C3492),COTAÇÃO,5,FALSE),VLOOKUP($C3492,'NAO DESO'!$A:$D,4,))</f>
        <v>16,84</v>
      </c>
      <c r="H3492" s="242">
        <f>TRUNC(F3492*G3492,2)</f>
        <v>84.2</v>
      </c>
      <c r="I3492" s="54" t="str">
        <f>IF(B3492="SEPLAG",VLOOKUP(CONCATENATE("MEDIANA - ",C3492),COTAÇÃO,5,FALSE),VLOOKUP($C3492,DESON!$A:$D,4,))</f>
        <v>15,19</v>
      </c>
      <c r="J3492" s="209">
        <f>TRUNC(F3492*I3492,2)</f>
        <v>75.95</v>
      </c>
    </row>
    <row r="3493" spans="1:10" ht="15" customHeight="1">
      <c r="A3493" s="233" t="s">
        <v>245</v>
      </c>
      <c r="B3493" s="161"/>
      <c r="C3493" s="161">
        <v>88264</v>
      </c>
      <c r="D3493" s="161" t="str">
        <f>IF(B3493="SEPLAG",VLOOKUP(COMPOSIÇÕES!C3493,'MAPA COMPARATIVO'!A:B,2,FALSE),VLOOKUP(C3493,'NAO DESO'!A:B,2,0))</f>
        <v>ELETRICISTA COM ENCARGOS COMPLEMENTARES</v>
      </c>
      <c r="E3493" s="247" t="s">
        <v>16</v>
      </c>
      <c r="F3493" s="248">
        <v>5</v>
      </c>
      <c r="G3493" s="242" t="str">
        <f>IF(B3493="SEPLAG",VLOOKUP(CONCATENATE("MEDIANA - ",C3493),COTAÇÃO,5,FALSE),VLOOKUP($C3493,'NAO DESO'!$A:$D,4,))</f>
        <v>21,87</v>
      </c>
      <c r="H3493" s="242">
        <f>TRUNC(F3493*G3493,2)</f>
        <v>109.35</v>
      </c>
      <c r="I3493" s="54" t="str">
        <f>IF(B3493="SEPLAG",VLOOKUP(CONCATENATE("MEDIANA - ",C3493),COTAÇÃO,5,FALSE),VLOOKUP($C3493,DESON!$A:$D,4,))</f>
        <v>19,53</v>
      </c>
      <c r="J3493" s="209">
        <f>TRUNC(F3493*I3493,2)</f>
        <v>97.65</v>
      </c>
    </row>
    <row r="3494" spans="1:10" ht="15" customHeight="1">
      <c r="A3494" s="210" t="str">
        <f>CONCATENATE("TOTAL DO ITEM NÃO DESON. - ",C3488)</f>
        <v>TOTAL DO ITEM NÃO DESON. - SEPLAG ELE 24</v>
      </c>
      <c r="B3494" s="432"/>
      <c r="C3494" s="432"/>
      <c r="D3494" s="432"/>
      <c r="E3494" s="430"/>
      <c r="F3494" s="1189"/>
      <c r="G3494" s="1189"/>
      <c r="H3494" s="1189">
        <f>SUM(H3491:H3493)</f>
        <v>297.39</v>
      </c>
      <c r="I3494" s="213"/>
      <c r="J3494" s="259"/>
    </row>
    <row r="3495" spans="1:10" ht="15.75" customHeight="1" thickBot="1">
      <c r="A3495" s="216" t="str">
        <f>CONCATENATE("TOTAL DO ITEM DESON. - ",C3488)</f>
        <v>TOTAL DO ITEM DESON. - SEPLAG ELE 24</v>
      </c>
      <c r="B3495" s="1148"/>
      <c r="C3495" s="1148"/>
      <c r="D3495" s="1148"/>
      <c r="E3495" s="1142"/>
      <c r="F3495" s="1190"/>
      <c r="G3495" s="1190"/>
      <c r="H3495" s="1190"/>
      <c r="I3495" s="228"/>
      <c r="J3495" s="219">
        <f>SUM(J3491:J3494)</f>
        <v>277.44000000000005</v>
      </c>
    </row>
    <row r="3496" spans="1:10" ht="15" customHeight="1" thickBot="1">
      <c r="A3496" s="421"/>
      <c r="B3496" s="1138"/>
      <c r="C3496" s="1138"/>
      <c r="D3496" s="1138"/>
      <c r="E3496" s="1154"/>
      <c r="F3496" s="1196"/>
      <c r="G3496" s="1196"/>
      <c r="H3496" s="1196"/>
      <c r="I3496" s="423"/>
      <c r="J3496" s="422"/>
    </row>
    <row r="3497" spans="1:10" ht="25.5" customHeight="1">
      <c r="A3497" s="256"/>
      <c r="B3497" s="1152"/>
      <c r="C3497" s="1152" t="s">
        <v>7166</v>
      </c>
      <c r="D3497" s="152" t="s">
        <v>7167</v>
      </c>
      <c r="E3497" s="1152" t="s">
        <v>24</v>
      </c>
      <c r="F3497" s="1177" t="s">
        <v>18</v>
      </c>
      <c r="G3497" s="1178" t="s">
        <v>7015</v>
      </c>
      <c r="H3497" s="1179"/>
      <c r="I3497" s="200" t="s">
        <v>7016</v>
      </c>
      <c r="J3497" s="201"/>
    </row>
    <row r="3498" spans="1:10" ht="15" customHeight="1">
      <c r="A3498" s="257"/>
      <c r="B3498" s="430"/>
      <c r="C3498" s="430"/>
      <c r="D3498" s="430"/>
      <c r="E3498" s="430"/>
      <c r="F3498" s="1180"/>
      <c r="G3498" s="1180" t="s">
        <v>19</v>
      </c>
      <c r="H3498" s="1180" t="s">
        <v>20</v>
      </c>
      <c r="I3498" s="204" t="s">
        <v>19</v>
      </c>
      <c r="J3498" s="206" t="s">
        <v>20</v>
      </c>
    </row>
    <row r="3499" spans="1:10" ht="15" customHeight="1">
      <c r="A3499" s="233"/>
      <c r="B3499" s="161"/>
      <c r="C3499" s="161"/>
      <c r="D3499" s="161" t="s">
        <v>7165</v>
      </c>
      <c r="E3499" s="247"/>
      <c r="F3499" s="248"/>
      <c r="G3499" s="248"/>
      <c r="H3499" s="248"/>
      <c r="I3499" s="214"/>
      <c r="J3499" s="227"/>
    </row>
    <row r="3500" spans="1:10" ht="26.25" customHeight="1">
      <c r="A3500" s="233" t="s">
        <v>245</v>
      </c>
      <c r="B3500" s="161"/>
      <c r="C3500" s="161">
        <v>39466</v>
      </c>
      <c r="D3500" s="161" t="str">
        <f>IF(B3500="SEPLAG",VLOOKUP(COMPOSIÇÕES!C3500,'MAPA COMPARATIVO'!A:B,2,FALSE),VLOOKUP(C3500,'NAO DESO'!A:B,2,0))</f>
        <v>DISPOSITIVO DPS CLASSE II, 1 POLO, TENSAO MAXIMA DE 175 V, CORRENTE MAXIMA DE *30* KA (TIPO AC)</v>
      </c>
      <c r="E3500" s="247" t="s">
        <v>427</v>
      </c>
      <c r="F3500" s="248">
        <v>1</v>
      </c>
      <c r="G3500" s="242">
        <f>IF(B3500="SEPLAG",VLOOKUP(CONCATENATE("MEDIANA - ",C3500),COTAÇÃO,5,FALSE),VLOOKUP($C3500,'NAO DESO'!$A:$D,4,))</f>
        <v>81.180000000000007</v>
      </c>
      <c r="H3500" s="242">
        <f>TRUNC(F3500*G3500,2)</f>
        <v>81.180000000000007</v>
      </c>
      <c r="I3500" s="54" t="str">
        <f>IF(B3500="SEPLAG",VLOOKUP(CONCATENATE("MEDIANA - ",C3500),COTAÇÃO,5,FALSE),VLOOKUP($C3500,DESON!$A:$D,4,))</f>
        <v>81,18</v>
      </c>
      <c r="J3500" s="209">
        <f>TRUNC(F3500*I3500,2)</f>
        <v>81.180000000000007</v>
      </c>
    </row>
    <row r="3501" spans="1:10" ht="15" customHeight="1">
      <c r="A3501" s="233" t="s">
        <v>245</v>
      </c>
      <c r="B3501" s="161"/>
      <c r="C3501" s="161">
        <v>88247</v>
      </c>
      <c r="D3501" s="161" t="str">
        <f>IF(B3501="SEPLAG",VLOOKUP(COMPOSIÇÕES!C3501,'MAPA COMPARATIVO'!A:B,2,FALSE),VLOOKUP(C3501,'NAO DESO'!A:B,2,0))</f>
        <v>AUXILIAR DE ELETRICISTA COM ENCARGOS COMPLEMENTARES</v>
      </c>
      <c r="E3501" s="247" t="s">
        <v>16</v>
      </c>
      <c r="F3501" s="248">
        <v>5</v>
      </c>
      <c r="G3501" s="242" t="str">
        <f>IF(B3501="SEPLAG",VLOOKUP(CONCATENATE("MEDIANA - ",C3501),COTAÇÃO,5,FALSE),VLOOKUP($C3501,'NAO DESO'!$A:$D,4,))</f>
        <v>16,84</v>
      </c>
      <c r="H3501" s="242">
        <f>TRUNC(F3501*G3501,2)</f>
        <v>84.2</v>
      </c>
      <c r="I3501" s="54" t="str">
        <f>IF(B3501="SEPLAG",VLOOKUP(CONCATENATE("MEDIANA - ",C3501),COTAÇÃO,5,FALSE),VLOOKUP($C3501,DESON!$A:$D,4,))</f>
        <v>15,19</v>
      </c>
      <c r="J3501" s="209">
        <f>TRUNC(F3501*I3501,2)</f>
        <v>75.95</v>
      </c>
    </row>
    <row r="3502" spans="1:10" ht="15" customHeight="1">
      <c r="A3502" s="233" t="s">
        <v>245</v>
      </c>
      <c r="B3502" s="161"/>
      <c r="C3502" s="161">
        <v>88264</v>
      </c>
      <c r="D3502" s="161" t="str">
        <f>IF(B3502="SEPLAG",VLOOKUP(COMPOSIÇÕES!C3502,'MAPA COMPARATIVO'!A:B,2,FALSE),VLOOKUP(C3502,'NAO DESO'!A:B,2,0))</f>
        <v>ELETRICISTA COM ENCARGOS COMPLEMENTARES</v>
      </c>
      <c r="E3502" s="247" t="s">
        <v>16</v>
      </c>
      <c r="F3502" s="248">
        <v>5</v>
      </c>
      <c r="G3502" s="242" t="str">
        <f>IF(B3502="SEPLAG",VLOOKUP(CONCATENATE("MEDIANA - ",C3502),COTAÇÃO,5,FALSE),VLOOKUP($C3502,'NAO DESO'!$A:$D,4,))</f>
        <v>21,87</v>
      </c>
      <c r="H3502" s="242">
        <f>TRUNC(F3502*G3502,2)</f>
        <v>109.35</v>
      </c>
      <c r="I3502" s="54" t="str">
        <f>IF(B3502="SEPLAG",VLOOKUP(CONCATENATE("MEDIANA - ",C3502),COTAÇÃO,5,FALSE),VLOOKUP($C3502,DESON!$A:$D,4,))</f>
        <v>19,53</v>
      </c>
      <c r="J3502" s="209">
        <f>TRUNC(F3502*I3502,2)</f>
        <v>97.65</v>
      </c>
    </row>
    <row r="3503" spans="1:10" ht="15" customHeight="1">
      <c r="A3503" s="210" t="str">
        <f>CONCATENATE("TOTAL DO ITEM NÃO DESON. - ",C3497)</f>
        <v>TOTAL DO ITEM NÃO DESON. - SEPLAG ELE 25</v>
      </c>
      <c r="B3503" s="432"/>
      <c r="C3503" s="432"/>
      <c r="D3503" s="432"/>
      <c r="E3503" s="430"/>
      <c r="F3503" s="1189"/>
      <c r="G3503" s="1189"/>
      <c r="H3503" s="1189">
        <f>SUM(H3500:H3502)</f>
        <v>274.73</v>
      </c>
      <c r="I3503" s="213"/>
      <c r="J3503" s="259"/>
    </row>
    <row r="3504" spans="1:10" ht="15.75" customHeight="1" thickBot="1">
      <c r="A3504" s="216" t="str">
        <f>CONCATENATE("TOTAL DO ITEM DESON. - ",C3497)</f>
        <v>TOTAL DO ITEM DESON. - SEPLAG ELE 25</v>
      </c>
      <c r="B3504" s="1148"/>
      <c r="C3504" s="1148"/>
      <c r="D3504" s="1148"/>
      <c r="E3504" s="1142"/>
      <c r="F3504" s="1190"/>
      <c r="G3504" s="1190"/>
      <c r="H3504" s="1190"/>
      <c r="I3504" s="228"/>
      <c r="J3504" s="219">
        <f>SUM(J3500:J3503)</f>
        <v>254.78</v>
      </c>
    </row>
    <row r="3505" spans="1:10" ht="15" customHeight="1" thickBot="1">
      <c r="A3505" s="421"/>
      <c r="B3505" s="1138"/>
      <c r="C3505" s="1138"/>
      <c r="D3505" s="1138"/>
      <c r="E3505" s="1154"/>
      <c r="F3505" s="1196"/>
      <c r="G3505" s="1196"/>
      <c r="H3505" s="1196"/>
      <c r="I3505" s="423"/>
      <c r="J3505" s="422"/>
    </row>
    <row r="3506" spans="1:10" ht="25.5" customHeight="1">
      <c r="A3506" s="256"/>
      <c r="B3506" s="1152"/>
      <c r="C3506" s="1152" t="s">
        <v>7169</v>
      </c>
      <c r="D3506" s="152" t="s">
        <v>7168</v>
      </c>
      <c r="E3506" s="1152" t="s">
        <v>24</v>
      </c>
      <c r="F3506" s="1177" t="s">
        <v>18</v>
      </c>
      <c r="G3506" s="1178" t="s">
        <v>7015</v>
      </c>
      <c r="H3506" s="1179"/>
      <c r="I3506" s="200" t="s">
        <v>7016</v>
      </c>
      <c r="J3506" s="201"/>
    </row>
    <row r="3507" spans="1:10" ht="15" customHeight="1">
      <c r="A3507" s="257"/>
      <c r="B3507" s="430"/>
      <c r="C3507" s="430"/>
      <c r="D3507" s="430"/>
      <c r="E3507" s="430"/>
      <c r="F3507" s="1180"/>
      <c r="G3507" s="1180" t="s">
        <v>19</v>
      </c>
      <c r="H3507" s="1180" t="s">
        <v>20</v>
      </c>
      <c r="I3507" s="204" t="s">
        <v>19</v>
      </c>
      <c r="J3507" s="206" t="s">
        <v>20</v>
      </c>
    </row>
    <row r="3508" spans="1:10" ht="15" customHeight="1">
      <c r="A3508" s="233"/>
      <c r="B3508" s="161"/>
      <c r="C3508" s="161"/>
      <c r="D3508" s="161" t="s">
        <v>117</v>
      </c>
      <c r="E3508" s="247"/>
      <c r="F3508" s="248"/>
      <c r="G3508" s="248"/>
      <c r="H3508" s="248"/>
      <c r="I3508" s="214"/>
      <c r="J3508" s="227"/>
    </row>
    <row r="3509" spans="1:10" ht="26.25" customHeight="1">
      <c r="A3509" s="233" t="s">
        <v>39</v>
      </c>
      <c r="B3509" s="161"/>
      <c r="C3509" s="161">
        <v>39465</v>
      </c>
      <c r="D3509" s="161" t="str">
        <f>IF(B3509="SEPLAG",VLOOKUP(COMPOSIÇÕES!C3509,'MAPA COMPARATIVO'!A:B,2,FALSE),VLOOKUP(C3509,'NAO DESO'!A:B,2,0))</f>
        <v>DISPOSITIVO DPS CLASSE II, 1 POLO, TENSAO MAXIMA DE 175 V, CORRENTE MAXIMA DE *20* KA (TIPO AC)</v>
      </c>
      <c r="E3509" s="247" t="s">
        <v>427</v>
      </c>
      <c r="F3509" s="248">
        <v>1</v>
      </c>
      <c r="G3509" s="242">
        <f>IF(B3509="SEPLAG",VLOOKUP(CONCATENATE("MEDIANA - ",C3509),COTAÇÃO,5,FALSE),VLOOKUP($C3509,'NAO DESO'!$A:$D,4,))</f>
        <v>72.16</v>
      </c>
      <c r="H3509" s="242">
        <f>TRUNC(F3509*G3509,2)</f>
        <v>72.16</v>
      </c>
      <c r="I3509" s="54" t="str">
        <f>IF(B3509="SEPLAG",VLOOKUP(CONCATENATE("MEDIANA - ",C3509),COTAÇÃO,5,FALSE),VLOOKUP($C3509,DESON!$A:$D,4,))</f>
        <v>72,16</v>
      </c>
      <c r="J3509" s="209">
        <f>TRUNC(F3509*I3509,2)</f>
        <v>72.16</v>
      </c>
    </row>
    <row r="3510" spans="1:10" ht="15" customHeight="1">
      <c r="A3510" s="233" t="s">
        <v>245</v>
      </c>
      <c r="B3510" s="161"/>
      <c r="C3510" s="161">
        <v>88247</v>
      </c>
      <c r="D3510" s="161" t="str">
        <f>IF(B3510="SEPLAG",VLOOKUP(COMPOSIÇÕES!C3510,'MAPA COMPARATIVO'!A:B,2,FALSE),VLOOKUP(C3510,'NAO DESO'!A:B,2,0))</f>
        <v>AUXILIAR DE ELETRICISTA COM ENCARGOS COMPLEMENTARES</v>
      </c>
      <c r="E3510" s="247" t="s">
        <v>16</v>
      </c>
      <c r="F3510" s="248">
        <v>5</v>
      </c>
      <c r="G3510" s="242" t="str">
        <f>IF(B3510="SEPLAG",VLOOKUP(CONCATENATE("MEDIANA - ",C3510),COTAÇÃO,5,FALSE),VLOOKUP($C3510,'NAO DESO'!$A:$D,4,))</f>
        <v>16,84</v>
      </c>
      <c r="H3510" s="242">
        <f>TRUNC(F3510*G3510,2)</f>
        <v>84.2</v>
      </c>
      <c r="I3510" s="54" t="str">
        <f>IF(B3510="SEPLAG",VLOOKUP(CONCATENATE("MEDIANA - ",C3510),COTAÇÃO,5,FALSE),VLOOKUP($C3510,DESON!$A:$D,4,))</f>
        <v>15,19</v>
      </c>
      <c r="J3510" s="209">
        <f>TRUNC(F3510*I3510,2)</f>
        <v>75.95</v>
      </c>
    </row>
    <row r="3511" spans="1:10" ht="15" customHeight="1">
      <c r="A3511" s="233" t="s">
        <v>245</v>
      </c>
      <c r="B3511" s="161"/>
      <c r="C3511" s="161">
        <v>88264</v>
      </c>
      <c r="D3511" s="161" t="str">
        <f>IF(B3511="SEPLAG",VLOOKUP(COMPOSIÇÕES!C3511,'MAPA COMPARATIVO'!A:B,2,FALSE),VLOOKUP(C3511,'NAO DESO'!A:B,2,0))</f>
        <v>ELETRICISTA COM ENCARGOS COMPLEMENTARES</v>
      </c>
      <c r="E3511" s="247" t="s">
        <v>16</v>
      </c>
      <c r="F3511" s="248">
        <v>5</v>
      </c>
      <c r="G3511" s="242" t="str">
        <f>IF(B3511="SEPLAG",VLOOKUP(CONCATENATE("MEDIANA - ",C3511),COTAÇÃO,5,FALSE),VLOOKUP($C3511,'NAO DESO'!$A:$D,4,))</f>
        <v>21,87</v>
      </c>
      <c r="H3511" s="242">
        <f>TRUNC(F3511*G3511,2)</f>
        <v>109.35</v>
      </c>
      <c r="I3511" s="54" t="str">
        <f>IF(B3511="SEPLAG",VLOOKUP(CONCATENATE("MEDIANA - ",C3511),COTAÇÃO,5,FALSE),VLOOKUP($C3511,DESON!$A:$D,4,))</f>
        <v>19,53</v>
      </c>
      <c r="J3511" s="209">
        <f>TRUNC(F3511*I3511,2)</f>
        <v>97.65</v>
      </c>
    </row>
    <row r="3512" spans="1:10" ht="15" customHeight="1">
      <c r="A3512" s="210" t="str">
        <f>CONCATENATE("TOTAL DO ITEM NÃO DESON. - ",C3506)</f>
        <v>TOTAL DO ITEM NÃO DESON. - SEPLAG ELE 26</v>
      </c>
      <c r="B3512" s="432"/>
      <c r="C3512" s="432"/>
      <c r="D3512" s="432"/>
      <c r="E3512" s="430"/>
      <c r="F3512" s="1189"/>
      <c r="G3512" s="1189"/>
      <c r="H3512" s="1189">
        <f>SUM(H3509:H3511)</f>
        <v>265.71000000000004</v>
      </c>
      <c r="I3512" s="213"/>
      <c r="J3512" s="259"/>
    </row>
    <row r="3513" spans="1:10" ht="15.75" customHeight="1" thickBot="1">
      <c r="A3513" s="216" t="str">
        <f>CONCATENATE("TOTAL DO ITEM DESON. - ",C3506)</f>
        <v>TOTAL DO ITEM DESON. - SEPLAG ELE 26</v>
      </c>
      <c r="B3513" s="1148"/>
      <c r="C3513" s="1148"/>
      <c r="D3513" s="1148"/>
      <c r="E3513" s="1142"/>
      <c r="F3513" s="1190"/>
      <c r="G3513" s="1190"/>
      <c r="H3513" s="1190"/>
      <c r="I3513" s="228"/>
      <c r="J3513" s="219">
        <f>SUM(J3509:J3512)</f>
        <v>245.76000000000002</v>
      </c>
    </row>
    <row r="3514" spans="1:10" ht="15" customHeight="1" thickBot="1">
      <c r="A3514" s="421"/>
      <c r="B3514" s="1138"/>
      <c r="C3514" s="1138"/>
      <c r="D3514" s="1138"/>
      <c r="E3514" s="1154"/>
      <c r="F3514" s="1196"/>
      <c r="G3514" s="1196"/>
      <c r="H3514" s="1196"/>
      <c r="I3514" s="423"/>
      <c r="J3514" s="422"/>
    </row>
    <row r="3515" spans="1:10" ht="25.5" customHeight="1">
      <c r="A3515" s="256"/>
      <c r="B3515" s="1152"/>
      <c r="C3515" s="1152" t="s">
        <v>7172</v>
      </c>
      <c r="D3515" s="152" t="s">
        <v>7709</v>
      </c>
      <c r="E3515" s="1152" t="s">
        <v>24</v>
      </c>
      <c r="F3515" s="1177" t="s">
        <v>18</v>
      </c>
      <c r="G3515" s="1178" t="s">
        <v>7015</v>
      </c>
      <c r="H3515" s="1179"/>
      <c r="I3515" s="200" t="s">
        <v>7016</v>
      </c>
      <c r="J3515" s="201"/>
    </row>
    <row r="3516" spans="1:10" ht="15" customHeight="1">
      <c r="A3516" s="257"/>
      <c r="B3516" s="430"/>
      <c r="C3516" s="430"/>
      <c r="D3516" s="430"/>
      <c r="E3516" s="430"/>
      <c r="F3516" s="1180"/>
      <c r="G3516" s="1180" t="s">
        <v>19</v>
      </c>
      <c r="H3516" s="1180" t="s">
        <v>20</v>
      </c>
      <c r="I3516" s="204" t="s">
        <v>19</v>
      </c>
      <c r="J3516" s="206" t="s">
        <v>20</v>
      </c>
    </row>
    <row r="3517" spans="1:10" ht="15" customHeight="1">
      <c r="A3517" s="233"/>
      <c r="B3517" s="161"/>
      <c r="C3517" s="161"/>
      <c r="D3517" s="161" t="s">
        <v>7171</v>
      </c>
      <c r="E3517" s="247"/>
      <c r="F3517" s="248"/>
      <c r="G3517" s="248"/>
      <c r="H3517" s="248"/>
      <c r="I3517" s="214"/>
      <c r="J3517" s="227"/>
    </row>
    <row r="3518" spans="1:10" ht="15" customHeight="1">
      <c r="A3518" s="233" t="s">
        <v>188</v>
      </c>
      <c r="B3518" s="161" t="s">
        <v>14504</v>
      </c>
      <c r="C3518" s="161" t="s">
        <v>14420</v>
      </c>
      <c r="D3518" s="161" t="str">
        <f>IF(B3518="SEPLAG",VLOOKUP(COMPOSIÇÕES!C3518,'MAPA COMPARATIVO'!A:B,2,FALSE),VLOOKUP(C3518,'NAO DESO'!A:B,2,0))</f>
        <v>GAVETA DE VENTILAÇÃO COM 4 VENTILADORES PARA RACK 19"</v>
      </c>
      <c r="E3518" s="247" t="s">
        <v>32</v>
      </c>
      <c r="F3518" s="248">
        <v>1</v>
      </c>
      <c r="G3518" s="242">
        <f>IF(B3518="SEPLAG",VLOOKUP(CONCATENATE("MEDIANA - ",C3518),COTAÇÃO,5,FALSE),VLOOKUP($C3518,'NAO DESO'!$A:$D,4,))</f>
        <v>449</v>
      </c>
      <c r="H3518" s="242">
        <f>TRUNC(F3518*G3518,2)</f>
        <v>449</v>
      </c>
      <c r="I3518" s="54">
        <f>IF(B3518="SEPLAG",VLOOKUP(CONCATENATE("MEDIANA - ",C3518),COTAÇÃO,5,FALSE),VLOOKUP($C3518,DESON!$A:$D,4,))</f>
        <v>449</v>
      </c>
      <c r="J3518" s="209">
        <f>TRUNC(F3518*I3518,2)</f>
        <v>449</v>
      </c>
    </row>
    <row r="3519" spans="1:10" ht="15" customHeight="1">
      <c r="A3519" s="233" t="s">
        <v>245</v>
      </c>
      <c r="B3519" s="161"/>
      <c r="C3519" s="161">
        <v>88247</v>
      </c>
      <c r="D3519" s="161" t="str">
        <f>IF(B3519="SEPLAG",VLOOKUP(COMPOSIÇÕES!C3519,'MAPA COMPARATIVO'!A:B,2,FALSE),VLOOKUP(C3519,'NAO DESO'!A:B,2,0))</f>
        <v>AUXILIAR DE ELETRICISTA COM ENCARGOS COMPLEMENTARES</v>
      </c>
      <c r="E3519" s="247" t="s">
        <v>16</v>
      </c>
      <c r="F3519" s="248">
        <v>1</v>
      </c>
      <c r="G3519" s="242" t="str">
        <f>IF(B3519="SEPLAG",VLOOKUP(CONCATENATE("MEDIANA - ",C3519),COTAÇÃO,5,FALSE),VLOOKUP($C3519,'NAO DESO'!$A:$D,4,))</f>
        <v>16,84</v>
      </c>
      <c r="H3519" s="242">
        <f>TRUNC(F3519*G3519,2)</f>
        <v>16.84</v>
      </c>
      <c r="I3519" s="54" t="str">
        <f>IF(B3519="SEPLAG",VLOOKUP(CONCATENATE("MEDIANA - ",C3519),COTAÇÃO,5,FALSE),VLOOKUP($C3519,DESON!$A:$D,4,))</f>
        <v>15,19</v>
      </c>
      <c r="J3519" s="209">
        <f>TRUNC(F3519*I3519,2)</f>
        <v>15.19</v>
      </c>
    </row>
    <row r="3520" spans="1:10" ht="15" customHeight="1">
      <c r="A3520" s="233" t="s">
        <v>245</v>
      </c>
      <c r="B3520" s="161"/>
      <c r="C3520" s="161">
        <v>88264</v>
      </c>
      <c r="D3520" s="161" t="str">
        <f>IF(B3520="SEPLAG",VLOOKUP(COMPOSIÇÕES!C3520,'MAPA COMPARATIVO'!A:B,2,FALSE),VLOOKUP(C3520,'NAO DESO'!A:B,2,0))</f>
        <v>ELETRICISTA COM ENCARGOS COMPLEMENTARES</v>
      </c>
      <c r="E3520" s="247" t="s">
        <v>16</v>
      </c>
      <c r="F3520" s="248">
        <v>1</v>
      </c>
      <c r="G3520" s="242" t="str">
        <f>IF(B3520="SEPLAG",VLOOKUP(CONCATENATE("MEDIANA - ",C3520),COTAÇÃO,5,FALSE),VLOOKUP($C3520,'NAO DESO'!$A:$D,4,))</f>
        <v>21,87</v>
      </c>
      <c r="H3520" s="242">
        <f>TRUNC(F3520*G3520,2)</f>
        <v>21.87</v>
      </c>
      <c r="I3520" s="54" t="str">
        <f>IF(B3520="SEPLAG",VLOOKUP(CONCATENATE("MEDIANA - ",C3520),COTAÇÃO,5,FALSE),VLOOKUP($C3520,DESON!$A:$D,4,))</f>
        <v>19,53</v>
      </c>
      <c r="J3520" s="209">
        <f>TRUNC(F3520*I3520,2)</f>
        <v>19.53</v>
      </c>
    </row>
    <row r="3521" spans="1:10" ht="15" customHeight="1">
      <c r="A3521" s="210" t="str">
        <f>CONCATENATE("TOTAL DO ITEM NÃO DESON. - ",C3515)</f>
        <v>TOTAL DO ITEM NÃO DESON. - SEPLAG ELE 27</v>
      </c>
      <c r="B3521" s="432"/>
      <c r="C3521" s="432"/>
      <c r="D3521" s="432"/>
      <c r="E3521" s="430"/>
      <c r="F3521" s="1189"/>
      <c r="G3521" s="1189"/>
      <c r="H3521" s="1189">
        <f>SUM(H3518:H3520)</f>
        <v>487.71</v>
      </c>
      <c r="I3521" s="213"/>
      <c r="J3521" s="259"/>
    </row>
    <row r="3522" spans="1:10" ht="15.75" customHeight="1" thickBot="1">
      <c r="A3522" s="216" t="str">
        <f>CONCATENATE("TOTAL DO ITEM DESON. - ",C3515)</f>
        <v>TOTAL DO ITEM DESON. - SEPLAG ELE 27</v>
      </c>
      <c r="B3522" s="1148"/>
      <c r="C3522" s="1148"/>
      <c r="D3522" s="1148"/>
      <c r="E3522" s="1142"/>
      <c r="F3522" s="1190"/>
      <c r="G3522" s="1190"/>
      <c r="H3522" s="1190"/>
      <c r="I3522" s="228"/>
      <c r="J3522" s="219">
        <f>SUM(J3518:J3521)</f>
        <v>483.72</v>
      </c>
    </row>
    <row r="3523" spans="1:10" ht="15" customHeight="1" thickBot="1">
      <c r="A3523" s="421"/>
      <c r="B3523" s="1138"/>
      <c r="C3523" s="1138"/>
      <c r="D3523" s="1138"/>
      <c r="E3523" s="1154"/>
      <c r="F3523" s="1196"/>
      <c r="G3523" s="1196"/>
      <c r="H3523" s="1196"/>
      <c r="I3523" s="423"/>
      <c r="J3523" s="422"/>
    </row>
    <row r="3524" spans="1:10" ht="25.5" customHeight="1">
      <c r="A3524" s="256"/>
      <c r="B3524" s="1152"/>
      <c r="C3524" s="1152" t="s">
        <v>7177</v>
      </c>
      <c r="D3524" s="152" t="s">
        <v>7710</v>
      </c>
      <c r="E3524" s="1152" t="s">
        <v>24</v>
      </c>
      <c r="F3524" s="1177" t="s">
        <v>18</v>
      </c>
      <c r="G3524" s="1178" t="s">
        <v>7015</v>
      </c>
      <c r="H3524" s="1179"/>
      <c r="I3524" s="200" t="s">
        <v>7016</v>
      </c>
      <c r="J3524" s="201"/>
    </row>
    <row r="3525" spans="1:10" ht="15" customHeight="1">
      <c r="A3525" s="257"/>
      <c r="B3525" s="430"/>
      <c r="C3525" s="430"/>
      <c r="D3525" s="430"/>
      <c r="E3525" s="430"/>
      <c r="F3525" s="1180"/>
      <c r="G3525" s="1180" t="s">
        <v>19</v>
      </c>
      <c r="H3525" s="1180" t="s">
        <v>20</v>
      </c>
      <c r="I3525" s="204" t="s">
        <v>19</v>
      </c>
      <c r="J3525" s="206" t="s">
        <v>20</v>
      </c>
    </row>
    <row r="3526" spans="1:10" ht="15" customHeight="1">
      <c r="A3526" s="233"/>
      <c r="B3526" s="161"/>
      <c r="C3526" s="161"/>
      <c r="D3526" s="161" t="s">
        <v>7173</v>
      </c>
      <c r="E3526" s="247"/>
      <c r="F3526" s="248"/>
      <c r="G3526" s="248"/>
      <c r="H3526" s="248"/>
      <c r="I3526" s="214"/>
      <c r="J3526" s="227"/>
    </row>
    <row r="3527" spans="1:10" ht="26.25" customHeight="1">
      <c r="A3527" s="233" t="s">
        <v>188</v>
      </c>
      <c r="B3527" s="161" t="s">
        <v>14504</v>
      </c>
      <c r="C3527" s="161" t="s">
        <v>14421</v>
      </c>
      <c r="D3527" s="161" t="str">
        <f>IF(B3527="SEPLAG",VLOOKUP(COMPOSIÇÕES!C3527,'MAPA COMPARATIVO'!A:B,2,FALSE),VLOOKUP(C3527,'NAO DESO'!A:B,2,0))</f>
        <v>RÉGUA COM 8 TOMADAS (2P+T), PARA FIXAÇÃO NO RACK DE 19" (1U) - 10A 110/220V</v>
      </c>
      <c r="E3527" s="247" t="s">
        <v>32</v>
      </c>
      <c r="F3527" s="248">
        <v>1</v>
      </c>
      <c r="G3527" s="242">
        <f>IF(B3527="SEPLAG",VLOOKUP(CONCATENATE("MEDIANA - ",C3527),COTAÇÃO,5,FALSE),VLOOKUP($C3527,'NAO DESO'!$A:$D,4,))</f>
        <v>92</v>
      </c>
      <c r="H3527" s="242">
        <f>TRUNC(F3527*G3527,2)</f>
        <v>92</v>
      </c>
      <c r="I3527" s="54">
        <f>IF(B3527="SEPLAG",VLOOKUP(CONCATENATE("MEDIANA - ",C3527),COTAÇÃO,5,FALSE),VLOOKUP($C3527,DESON!$A:$D,4,))</f>
        <v>92</v>
      </c>
      <c r="J3527" s="209">
        <f>TRUNC(F3527*I3527,2)</f>
        <v>92</v>
      </c>
    </row>
    <row r="3528" spans="1:10" ht="15" customHeight="1">
      <c r="A3528" s="233" t="s">
        <v>245</v>
      </c>
      <c r="B3528" s="161"/>
      <c r="C3528" s="161">
        <v>88247</v>
      </c>
      <c r="D3528" s="161" t="str">
        <f>IF(B3528="SEPLAG",VLOOKUP(COMPOSIÇÕES!C3528,'MAPA COMPARATIVO'!A:B,2,FALSE),VLOOKUP(C3528,'NAO DESO'!A:B,2,0))</f>
        <v>AUXILIAR DE ELETRICISTA COM ENCARGOS COMPLEMENTARES</v>
      </c>
      <c r="E3528" s="247" t="s">
        <v>16</v>
      </c>
      <c r="F3528" s="248">
        <v>0.09</v>
      </c>
      <c r="G3528" s="242" t="str">
        <f>IF(B3528="SEPLAG",VLOOKUP(CONCATENATE("MEDIANA - ",C3528),COTAÇÃO,5,FALSE),VLOOKUP($C3528,'NAO DESO'!$A:$D,4,))</f>
        <v>16,84</v>
      </c>
      <c r="H3528" s="242">
        <f>TRUNC(F3528*G3528,2)</f>
        <v>1.51</v>
      </c>
      <c r="I3528" s="54" t="str">
        <f>IF(B3528="SEPLAG",VLOOKUP(CONCATENATE("MEDIANA - ",C3528),COTAÇÃO,5,FALSE),VLOOKUP($C3528,DESON!$A:$D,4,))</f>
        <v>15,19</v>
      </c>
      <c r="J3528" s="209">
        <f>TRUNC(F3528*I3528,2)</f>
        <v>1.36</v>
      </c>
    </row>
    <row r="3529" spans="1:10" ht="15" customHeight="1">
      <c r="A3529" s="233" t="s">
        <v>245</v>
      </c>
      <c r="B3529" s="161"/>
      <c r="C3529" s="161">
        <v>88264</v>
      </c>
      <c r="D3529" s="161" t="str">
        <f>IF(B3529="SEPLAG",VLOOKUP(COMPOSIÇÕES!C3529,'MAPA COMPARATIVO'!A:B,2,FALSE),VLOOKUP(C3529,'NAO DESO'!A:B,2,0))</f>
        <v>ELETRICISTA COM ENCARGOS COMPLEMENTARES</v>
      </c>
      <c r="E3529" s="247" t="s">
        <v>16</v>
      </c>
      <c r="F3529" s="248">
        <v>0.18</v>
      </c>
      <c r="G3529" s="242" t="str">
        <f>IF(B3529="SEPLAG",VLOOKUP(CONCATENATE("MEDIANA - ",C3529),COTAÇÃO,5,FALSE),VLOOKUP($C3529,'NAO DESO'!$A:$D,4,))</f>
        <v>21,87</v>
      </c>
      <c r="H3529" s="242">
        <f>TRUNC(F3529*G3529,2)</f>
        <v>3.93</v>
      </c>
      <c r="I3529" s="54" t="str">
        <f>IF(B3529="SEPLAG",VLOOKUP(CONCATENATE("MEDIANA - ",C3529),COTAÇÃO,5,FALSE),VLOOKUP($C3529,DESON!$A:$D,4,))</f>
        <v>19,53</v>
      </c>
      <c r="J3529" s="209">
        <f>TRUNC(F3529*I3529,2)</f>
        <v>3.51</v>
      </c>
    </row>
    <row r="3530" spans="1:10" ht="15" customHeight="1">
      <c r="A3530" s="210" t="str">
        <f>CONCATENATE("TOTAL DO ITEM NÃO DESON. - ",C3524)</f>
        <v>TOTAL DO ITEM NÃO DESON. - SEPLAG ELE 28</v>
      </c>
      <c r="B3530" s="432"/>
      <c r="C3530" s="432"/>
      <c r="D3530" s="432"/>
      <c r="E3530" s="430"/>
      <c r="F3530" s="1189"/>
      <c r="G3530" s="1189"/>
      <c r="H3530" s="1189">
        <f>SUM(H3527:H3529)</f>
        <v>97.440000000000012</v>
      </c>
      <c r="I3530" s="213"/>
      <c r="J3530" s="259"/>
    </row>
    <row r="3531" spans="1:10" ht="15.75" customHeight="1" thickBot="1">
      <c r="A3531" s="216" t="str">
        <f>CONCATENATE("TOTAL DO ITEM DESON. - ",C3524)</f>
        <v>TOTAL DO ITEM DESON. - SEPLAG ELE 28</v>
      </c>
      <c r="B3531" s="1148"/>
      <c r="C3531" s="1148"/>
      <c r="D3531" s="1148"/>
      <c r="E3531" s="1142"/>
      <c r="F3531" s="1190"/>
      <c r="G3531" s="1190"/>
      <c r="H3531" s="1190"/>
      <c r="I3531" s="228"/>
      <c r="J3531" s="219">
        <f>SUM(J3527:J3530)</f>
        <v>96.87</v>
      </c>
    </row>
    <row r="3532" spans="1:10" ht="15" customHeight="1" thickBot="1">
      <c r="A3532" s="421"/>
      <c r="B3532" s="1138"/>
      <c r="C3532" s="1138"/>
      <c r="D3532" s="1138"/>
      <c r="E3532" s="1154"/>
      <c r="F3532" s="1196"/>
      <c r="G3532" s="1196"/>
      <c r="H3532" s="1196"/>
      <c r="I3532" s="423"/>
      <c r="J3532" s="422"/>
    </row>
    <row r="3533" spans="1:10" ht="51" customHeight="1">
      <c r="A3533" s="256"/>
      <c r="B3533" s="1152"/>
      <c r="C3533" s="1152" t="s">
        <v>7179</v>
      </c>
      <c r="D3533" s="152" t="s">
        <v>7711</v>
      </c>
      <c r="E3533" s="1152" t="s">
        <v>24</v>
      </c>
      <c r="F3533" s="1177" t="s">
        <v>18</v>
      </c>
      <c r="G3533" s="1178" t="s">
        <v>7015</v>
      </c>
      <c r="H3533" s="1179"/>
      <c r="I3533" s="200" t="s">
        <v>7016</v>
      </c>
      <c r="J3533" s="201"/>
    </row>
    <row r="3534" spans="1:10" ht="15" customHeight="1">
      <c r="A3534" s="257"/>
      <c r="B3534" s="430"/>
      <c r="C3534" s="430"/>
      <c r="D3534" s="430"/>
      <c r="E3534" s="430"/>
      <c r="F3534" s="1180"/>
      <c r="G3534" s="1180" t="s">
        <v>19</v>
      </c>
      <c r="H3534" s="1180" t="s">
        <v>20</v>
      </c>
      <c r="I3534" s="204" t="s">
        <v>19</v>
      </c>
      <c r="J3534" s="206" t="s">
        <v>20</v>
      </c>
    </row>
    <row r="3535" spans="1:10" ht="15" customHeight="1">
      <c r="A3535" s="233"/>
      <c r="B3535" s="161"/>
      <c r="C3535" s="161"/>
      <c r="D3535" s="161" t="s">
        <v>7178</v>
      </c>
      <c r="E3535" s="247"/>
      <c r="F3535" s="248"/>
      <c r="G3535" s="248"/>
      <c r="H3535" s="248"/>
      <c r="I3535" s="214"/>
      <c r="J3535" s="227"/>
    </row>
    <row r="3536" spans="1:10" ht="51.75" customHeight="1">
      <c r="A3536" s="233" t="s">
        <v>188</v>
      </c>
      <c r="B3536" s="161" t="s">
        <v>14504</v>
      </c>
      <c r="C3536" s="161" t="s">
        <v>14422</v>
      </c>
      <c r="D3536" s="161" t="str">
        <f>IF(B3536="SEPLAG",VLOOKUP(COMPOSIÇÕES!C3536,'MAPA COMPARATIVO'!A:B,2,FALSE),VLOOKUP(C3536,'NAO DESO'!A:B,2,0))</f>
        <v>RACK FECHADO PADRÃO 19" X 40U'S, DIMENSÕES: PROFUNDIDADE ÚTIL MÍNIMA DE 650MM, PROFUNDIDADE, LARGURA E ALTURA TOTAIS MÁXIMAS DE 800X650X2000MM. COM FURAÇÕES 2000MM. COM FURAÇÕES PARA MODULO DE VENTILAÇÃO.</v>
      </c>
      <c r="E3536" s="247" t="s">
        <v>32</v>
      </c>
      <c r="F3536" s="248">
        <v>1</v>
      </c>
      <c r="G3536" s="242">
        <f>IF(B3536="SEPLAG",VLOOKUP(CONCATENATE("MEDIANA - ",C3536),COTAÇÃO,5,FALSE),VLOOKUP($C3536,'NAO DESO'!$A:$D,4,))</f>
        <v>3559.46</v>
      </c>
      <c r="H3536" s="242">
        <f>TRUNC(F3536*G3536,2)</f>
        <v>3559.46</v>
      </c>
      <c r="I3536" s="54">
        <f>IF(B3536="SEPLAG",VLOOKUP(CONCATENATE("MEDIANA - ",C3536),COTAÇÃO,5,FALSE),VLOOKUP($C3536,DESON!$A:$D,4,))</f>
        <v>3559.46</v>
      </c>
      <c r="J3536" s="209">
        <f>TRUNC(F3536*I3536,2)</f>
        <v>3559.46</v>
      </c>
    </row>
    <row r="3537" spans="1:10" ht="15" customHeight="1">
      <c r="A3537" s="233" t="s">
        <v>245</v>
      </c>
      <c r="B3537" s="161"/>
      <c r="C3537" s="161">
        <v>88247</v>
      </c>
      <c r="D3537" s="161" t="str">
        <f>IF(B3537="SEPLAG",VLOOKUP(COMPOSIÇÕES!C3537,'MAPA COMPARATIVO'!A:B,2,FALSE),VLOOKUP(C3537,'NAO DESO'!A:B,2,0))</f>
        <v>AUXILIAR DE ELETRICISTA COM ENCARGOS COMPLEMENTARES</v>
      </c>
      <c r="E3537" s="247" t="s">
        <v>16</v>
      </c>
      <c r="F3537" s="248">
        <v>0.09</v>
      </c>
      <c r="G3537" s="242" t="str">
        <f>IF(B3537="SEPLAG",VLOOKUP(CONCATENATE("MEDIANA - ",C3537),COTAÇÃO,5,FALSE),VLOOKUP($C3537,'NAO DESO'!$A:$D,4,))</f>
        <v>16,84</v>
      </c>
      <c r="H3537" s="242">
        <f>TRUNC(F3537*G3537,2)</f>
        <v>1.51</v>
      </c>
      <c r="I3537" s="54" t="str">
        <f>IF(B3537="SEPLAG",VLOOKUP(CONCATENATE("MEDIANA - ",C3537),COTAÇÃO,5,FALSE),VLOOKUP($C3537,DESON!$A:$D,4,))</f>
        <v>15,19</v>
      </c>
      <c r="J3537" s="209">
        <f>TRUNC(F3537*I3537,2)</f>
        <v>1.36</v>
      </c>
    </row>
    <row r="3538" spans="1:10" ht="15" customHeight="1">
      <c r="A3538" s="233" t="s">
        <v>245</v>
      </c>
      <c r="B3538" s="161"/>
      <c r="C3538" s="161">
        <v>88264</v>
      </c>
      <c r="D3538" s="161" t="str">
        <f>IF(B3538="SEPLAG",VLOOKUP(COMPOSIÇÕES!C3538,'MAPA COMPARATIVO'!A:B,2,FALSE),VLOOKUP(C3538,'NAO DESO'!A:B,2,0))</f>
        <v>ELETRICISTA COM ENCARGOS COMPLEMENTARES</v>
      </c>
      <c r="E3538" s="247" t="s">
        <v>16</v>
      </c>
      <c r="F3538" s="248">
        <v>0.18</v>
      </c>
      <c r="G3538" s="242" t="str">
        <f>IF(B3538="SEPLAG",VLOOKUP(CONCATENATE("MEDIANA - ",C3538),COTAÇÃO,5,FALSE),VLOOKUP($C3538,'NAO DESO'!$A:$D,4,))</f>
        <v>21,87</v>
      </c>
      <c r="H3538" s="242">
        <f>TRUNC(F3538*G3538,2)</f>
        <v>3.93</v>
      </c>
      <c r="I3538" s="54" t="str">
        <f>IF(B3538="SEPLAG",VLOOKUP(CONCATENATE("MEDIANA - ",C3538),COTAÇÃO,5,FALSE),VLOOKUP($C3538,DESON!$A:$D,4,))</f>
        <v>19,53</v>
      </c>
      <c r="J3538" s="209">
        <f>TRUNC(F3538*I3538,2)</f>
        <v>3.51</v>
      </c>
    </row>
    <row r="3539" spans="1:10" ht="15" customHeight="1">
      <c r="A3539" s="210" t="str">
        <f>CONCATENATE("TOTAL DO ITEM NÃO DESON. - ",C3533)</f>
        <v>TOTAL DO ITEM NÃO DESON. - SEPLAG ELE 29</v>
      </c>
      <c r="B3539" s="432"/>
      <c r="C3539" s="432"/>
      <c r="D3539" s="432"/>
      <c r="E3539" s="430"/>
      <c r="F3539" s="1189"/>
      <c r="G3539" s="1189"/>
      <c r="H3539" s="1189">
        <f>SUM(H3536:H3538)</f>
        <v>3564.9</v>
      </c>
      <c r="I3539" s="213"/>
      <c r="J3539" s="259"/>
    </row>
    <row r="3540" spans="1:10" ht="15.75" customHeight="1" thickBot="1">
      <c r="A3540" s="216" t="str">
        <f>CONCATENATE("TOTAL DO ITEM DESON. - ",C3533)</f>
        <v>TOTAL DO ITEM DESON. - SEPLAG ELE 29</v>
      </c>
      <c r="B3540" s="1148"/>
      <c r="C3540" s="1148"/>
      <c r="D3540" s="1148"/>
      <c r="E3540" s="1142"/>
      <c r="F3540" s="1190"/>
      <c r="G3540" s="1190"/>
      <c r="H3540" s="1190"/>
      <c r="I3540" s="228"/>
      <c r="J3540" s="219">
        <f>SUM(J3536:J3539)</f>
        <v>3564.3300000000004</v>
      </c>
    </row>
    <row r="3541" spans="1:10" ht="15" customHeight="1" thickBot="1">
      <c r="A3541" s="421"/>
      <c r="B3541" s="1138"/>
      <c r="C3541" s="1138"/>
      <c r="D3541" s="1138"/>
      <c r="E3541" s="1154"/>
      <c r="F3541" s="1196"/>
      <c r="G3541" s="1196"/>
      <c r="H3541" s="1196"/>
      <c r="I3541" s="423"/>
      <c r="J3541" s="422"/>
    </row>
    <row r="3542" spans="1:10" ht="25.5" customHeight="1">
      <c r="A3542" s="256"/>
      <c r="B3542" s="1152"/>
      <c r="C3542" s="1152" t="s">
        <v>7182</v>
      </c>
      <c r="D3542" s="152" t="s">
        <v>7180</v>
      </c>
      <c r="E3542" s="1152" t="s">
        <v>24</v>
      </c>
      <c r="F3542" s="1177" t="s">
        <v>18</v>
      </c>
      <c r="G3542" s="1178" t="s">
        <v>7015</v>
      </c>
      <c r="H3542" s="1179"/>
      <c r="I3542" s="200" t="s">
        <v>7016</v>
      </c>
      <c r="J3542" s="201"/>
    </row>
    <row r="3543" spans="1:10" ht="15" customHeight="1">
      <c r="A3543" s="257"/>
      <c r="B3543" s="430"/>
      <c r="C3543" s="430"/>
      <c r="D3543" s="430"/>
      <c r="E3543" s="430"/>
      <c r="F3543" s="1180"/>
      <c r="G3543" s="1180" t="s">
        <v>19</v>
      </c>
      <c r="H3543" s="1180" t="s">
        <v>20</v>
      </c>
      <c r="I3543" s="204" t="s">
        <v>19</v>
      </c>
      <c r="J3543" s="206" t="s">
        <v>20</v>
      </c>
    </row>
    <row r="3544" spans="1:10" ht="15" customHeight="1">
      <c r="A3544" s="233"/>
      <c r="B3544" s="161"/>
      <c r="C3544" s="161"/>
      <c r="D3544" s="161"/>
      <c r="E3544" s="247"/>
      <c r="F3544" s="248"/>
      <c r="G3544" s="248"/>
      <c r="H3544" s="248"/>
      <c r="I3544" s="214"/>
      <c r="J3544" s="227"/>
    </row>
    <row r="3545" spans="1:10" ht="26.25" customHeight="1">
      <c r="A3545" s="233" t="s">
        <v>39</v>
      </c>
      <c r="B3545" s="161" t="s">
        <v>14504</v>
      </c>
      <c r="C3545" s="161" t="s">
        <v>14423</v>
      </c>
      <c r="D3545" s="161" t="str">
        <f>IF(B3545="SEPLAG",VLOOKUP(COMPOSIÇÕES!C3545,'MAPA COMPARATIVO'!A:B,2,FALSE),VLOOKUP(C3545,'NAO DESO'!A:B,2,0))</f>
        <v>PATCH CORD 1,5M CAT 6 FURUKAWA OU EQUIVALENTE TÉCNICO REF: CARTHOM'S OU EQUIVALENTE TÉCNICO</v>
      </c>
      <c r="E3545" s="247" t="s">
        <v>32</v>
      </c>
      <c r="F3545" s="248">
        <v>1</v>
      </c>
      <c r="G3545" s="242">
        <f>IF(B3545="SEPLAG",VLOOKUP(CONCATENATE("MEDIANA - ",C3545),COTAÇÃO,5,FALSE),VLOOKUP($C3545,'NAO DESO'!$A:$D,4,))</f>
        <v>18.72</v>
      </c>
      <c r="H3545" s="242">
        <f>TRUNC(F3545*G3545,2)</f>
        <v>18.72</v>
      </c>
      <c r="I3545" s="54">
        <f>IF(B3545="SEPLAG",VLOOKUP(CONCATENATE("MEDIANA - ",C3545),COTAÇÃO,5,FALSE),VLOOKUP($C3545,DESON!$A:$D,4,))</f>
        <v>18.72</v>
      </c>
      <c r="J3545" s="209">
        <f>TRUNC(F3545*I3545,2)</f>
        <v>18.72</v>
      </c>
    </row>
    <row r="3546" spans="1:10" ht="15" customHeight="1">
      <c r="A3546" s="233" t="s">
        <v>245</v>
      </c>
      <c r="B3546" s="161"/>
      <c r="C3546" s="161">
        <v>88247</v>
      </c>
      <c r="D3546" s="161" t="str">
        <f>IF(B3546="SEPLAG",VLOOKUP(COMPOSIÇÕES!C3546,'MAPA COMPARATIVO'!A:B,2,FALSE),VLOOKUP(C3546,'NAO DESO'!A:B,2,0))</f>
        <v>AUXILIAR DE ELETRICISTA COM ENCARGOS COMPLEMENTARES</v>
      </c>
      <c r="E3546" s="247" t="s">
        <v>16</v>
      </c>
      <c r="F3546" s="248">
        <v>0.1</v>
      </c>
      <c r="G3546" s="242" t="str">
        <f>IF(B3546="SEPLAG",VLOOKUP(CONCATENATE("MEDIANA - ",C3546),COTAÇÃO,5,FALSE),VLOOKUP($C3546,'NAO DESO'!$A:$D,4,))</f>
        <v>16,84</v>
      </c>
      <c r="H3546" s="242">
        <f>TRUNC(F3546*G3546,2)</f>
        <v>1.68</v>
      </c>
      <c r="I3546" s="54" t="str">
        <f>IF(B3546="SEPLAG",VLOOKUP(CONCATENATE("MEDIANA - ",C3546),COTAÇÃO,5,FALSE),VLOOKUP($C3546,DESON!$A:$D,4,))</f>
        <v>15,19</v>
      </c>
      <c r="J3546" s="209">
        <f>TRUNC(F3546*I3546,2)</f>
        <v>1.51</v>
      </c>
    </row>
    <row r="3547" spans="1:10" ht="15" customHeight="1">
      <c r="A3547" s="210" t="str">
        <f>CONCATENATE("TOTAL DO ITEM NÃO DESON. - ",C3542)</f>
        <v>TOTAL DO ITEM NÃO DESON. - SEPLAG ELE 30</v>
      </c>
      <c r="B3547" s="432"/>
      <c r="C3547" s="432"/>
      <c r="D3547" s="432"/>
      <c r="E3547" s="430"/>
      <c r="F3547" s="1189"/>
      <c r="G3547" s="1189"/>
      <c r="H3547" s="1189">
        <f>SUM(H3545:H3546)</f>
        <v>20.399999999999999</v>
      </c>
      <c r="I3547" s="213"/>
      <c r="J3547" s="259"/>
    </row>
    <row r="3548" spans="1:10" ht="15.75" customHeight="1" thickBot="1">
      <c r="A3548" s="216" t="str">
        <f>CONCATENATE("TOTAL DO ITEM DESON. - ",C3542)</f>
        <v>TOTAL DO ITEM DESON. - SEPLAG ELE 30</v>
      </c>
      <c r="B3548" s="1148"/>
      <c r="C3548" s="1148"/>
      <c r="D3548" s="1148"/>
      <c r="E3548" s="1142"/>
      <c r="F3548" s="1190"/>
      <c r="G3548" s="1190"/>
      <c r="H3548" s="1190"/>
      <c r="I3548" s="228"/>
      <c r="J3548" s="219">
        <f>SUM(J3545:J3547)</f>
        <v>20.23</v>
      </c>
    </row>
    <row r="3549" spans="1:10" ht="15" customHeight="1" thickBot="1">
      <c r="A3549" s="421"/>
      <c r="B3549" s="1138"/>
      <c r="C3549" s="1138"/>
      <c r="D3549" s="1138"/>
      <c r="E3549" s="1154"/>
      <c r="F3549" s="1196"/>
      <c r="G3549" s="1196"/>
      <c r="H3549" s="1196"/>
      <c r="I3549" s="423"/>
      <c r="J3549" s="422"/>
    </row>
    <row r="3550" spans="1:10" ht="25.5" customHeight="1">
      <c r="A3550" s="256"/>
      <c r="B3550" s="1152"/>
      <c r="C3550" s="1152" t="s">
        <v>7185</v>
      </c>
      <c r="D3550" s="152" t="s">
        <v>7183</v>
      </c>
      <c r="E3550" s="1152" t="s">
        <v>24</v>
      </c>
      <c r="F3550" s="1177" t="s">
        <v>18</v>
      </c>
      <c r="G3550" s="1178" t="s">
        <v>7015</v>
      </c>
      <c r="H3550" s="1179"/>
      <c r="I3550" s="200" t="s">
        <v>7016</v>
      </c>
      <c r="J3550" s="201"/>
    </row>
    <row r="3551" spans="1:10" ht="15" customHeight="1">
      <c r="A3551" s="257"/>
      <c r="B3551" s="430"/>
      <c r="C3551" s="430"/>
      <c r="D3551" s="430"/>
      <c r="E3551" s="430"/>
      <c r="F3551" s="1180"/>
      <c r="G3551" s="1180" t="s">
        <v>19</v>
      </c>
      <c r="H3551" s="1180" t="s">
        <v>20</v>
      </c>
      <c r="I3551" s="204" t="s">
        <v>19</v>
      </c>
      <c r="J3551" s="206" t="s">
        <v>20</v>
      </c>
    </row>
    <row r="3552" spans="1:10" ht="15" customHeight="1">
      <c r="A3552" s="233"/>
      <c r="B3552" s="161"/>
      <c r="C3552" s="161"/>
      <c r="D3552" s="161"/>
      <c r="E3552" s="247"/>
      <c r="F3552" s="248"/>
      <c r="G3552" s="248"/>
      <c r="H3552" s="248"/>
      <c r="I3552" s="214"/>
      <c r="J3552" s="227"/>
    </row>
    <row r="3553" spans="1:10" ht="26.25" customHeight="1">
      <c r="A3553" s="233" t="s">
        <v>188</v>
      </c>
      <c r="B3553" s="161" t="s">
        <v>14504</v>
      </c>
      <c r="C3553" s="161" t="s">
        <v>14424</v>
      </c>
      <c r="D3553" s="161" t="str">
        <f>IF(B3553="SEPLAG",VLOOKUP(COMPOSIÇÕES!C3553,'MAPA COMPARATIVO'!A:B,2,FALSE),VLOOKUP(C3553,'NAO DESO'!A:B,2,0))</f>
        <v>PATCH CORD 2,5M CAT 6 FURUKAWA OU EQUIVALENTE TÉCNICO REF: CARTHOM'S OU EQUIVALENTE TÉCNICO</v>
      </c>
      <c r="E3553" s="247" t="s">
        <v>32</v>
      </c>
      <c r="F3553" s="248">
        <v>1</v>
      </c>
      <c r="G3553" s="242">
        <f>IF(B3553="SEPLAG",VLOOKUP(CONCATENATE("MEDIANA - ",C3553),COTAÇÃO,5,FALSE),VLOOKUP($C3553,'NAO DESO'!$A:$D,4,))</f>
        <v>34.83</v>
      </c>
      <c r="H3553" s="242">
        <f>TRUNC(F3553*G3553,2)</f>
        <v>34.83</v>
      </c>
      <c r="I3553" s="54">
        <f>IF(B3553="SEPLAG",VLOOKUP(CONCATENATE("MEDIANA - ",C3553),COTAÇÃO,5,FALSE),VLOOKUP($C3553,DESON!$A:$D,4,))</f>
        <v>34.83</v>
      </c>
      <c r="J3553" s="209">
        <f>TRUNC(F3553*I3553,2)</f>
        <v>34.83</v>
      </c>
    </row>
    <row r="3554" spans="1:10" ht="15" customHeight="1">
      <c r="A3554" s="233" t="s">
        <v>245</v>
      </c>
      <c r="B3554" s="161"/>
      <c r="C3554" s="161">
        <v>88247</v>
      </c>
      <c r="D3554" s="161" t="str">
        <f>IF(B3554="SEPLAG",VLOOKUP(COMPOSIÇÕES!C3554,'MAPA COMPARATIVO'!A:B,2,FALSE),VLOOKUP(C3554,'NAO DESO'!A:B,2,0))</f>
        <v>AUXILIAR DE ELETRICISTA COM ENCARGOS COMPLEMENTARES</v>
      </c>
      <c r="E3554" s="247" t="s">
        <v>16</v>
      </c>
      <c r="F3554" s="248">
        <v>0.1</v>
      </c>
      <c r="G3554" s="242" t="str">
        <f>IF(B3554="SEPLAG",VLOOKUP(CONCATENATE("MEDIANA - ",C3554),COTAÇÃO,5,FALSE),VLOOKUP($C3554,'NAO DESO'!$A:$D,4,))</f>
        <v>16,84</v>
      </c>
      <c r="H3554" s="242">
        <f>TRUNC(F3554*G3554,2)</f>
        <v>1.68</v>
      </c>
      <c r="I3554" s="54" t="str">
        <f>IF(B3554="SEPLAG",VLOOKUP(CONCATENATE("MEDIANA - ",C3554),COTAÇÃO,5,FALSE),VLOOKUP($C3554,DESON!$A:$D,4,))</f>
        <v>15,19</v>
      </c>
      <c r="J3554" s="209">
        <f>TRUNC(F3554*I3554,2)</f>
        <v>1.51</v>
      </c>
    </row>
    <row r="3555" spans="1:10" ht="15" customHeight="1">
      <c r="A3555" s="210" t="str">
        <f>CONCATENATE("TOTAL DO ITEM NÃO DESON. - ",C3550)</f>
        <v>TOTAL DO ITEM NÃO DESON. - SEPLAG ELE 31</v>
      </c>
      <c r="B3555" s="432"/>
      <c r="C3555" s="432"/>
      <c r="D3555" s="432"/>
      <c r="E3555" s="430"/>
      <c r="F3555" s="1189"/>
      <c r="G3555" s="1189"/>
      <c r="H3555" s="1189">
        <f>SUM(H3553:H3554)</f>
        <v>36.51</v>
      </c>
      <c r="I3555" s="213"/>
      <c r="J3555" s="259"/>
    </row>
    <row r="3556" spans="1:10" ht="15.75" customHeight="1" thickBot="1">
      <c r="A3556" s="216" t="str">
        <f>CONCATENATE("TOTAL DO ITEM DESON. - ",C3550)</f>
        <v>TOTAL DO ITEM DESON. - SEPLAG ELE 31</v>
      </c>
      <c r="B3556" s="1148"/>
      <c r="C3556" s="1148"/>
      <c r="D3556" s="1148"/>
      <c r="E3556" s="1142"/>
      <c r="F3556" s="1190"/>
      <c r="G3556" s="1190"/>
      <c r="H3556" s="1190"/>
      <c r="I3556" s="228"/>
      <c r="J3556" s="219">
        <f>SUM(J3553:J3555)</f>
        <v>36.339999999999996</v>
      </c>
    </row>
    <row r="3557" spans="1:10" ht="15" customHeight="1" thickBot="1">
      <c r="A3557" s="421"/>
      <c r="B3557" s="1138"/>
      <c r="C3557" s="1138"/>
      <c r="D3557" s="1138"/>
      <c r="E3557" s="1154"/>
      <c r="F3557" s="1196"/>
      <c r="G3557" s="1196"/>
      <c r="H3557" s="1196"/>
      <c r="I3557" s="423"/>
      <c r="J3557" s="422"/>
    </row>
    <row r="3558" spans="1:10" ht="15" customHeight="1">
      <c r="A3558" s="256"/>
      <c r="B3558" s="1152"/>
      <c r="C3558" s="1152" t="s">
        <v>7188</v>
      </c>
      <c r="D3558" s="152" t="s">
        <v>7186</v>
      </c>
      <c r="E3558" s="1152" t="s">
        <v>24</v>
      </c>
      <c r="F3558" s="1177" t="s">
        <v>18</v>
      </c>
      <c r="G3558" s="1178" t="s">
        <v>7015</v>
      </c>
      <c r="H3558" s="1179"/>
      <c r="I3558" s="200" t="s">
        <v>7016</v>
      </c>
      <c r="J3558" s="201"/>
    </row>
    <row r="3559" spans="1:10" ht="15" customHeight="1">
      <c r="A3559" s="257"/>
      <c r="B3559" s="430"/>
      <c r="C3559" s="430"/>
      <c r="D3559" s="430"/>
      <c r="E3559" s="430"/>
      <c r="F3559" s="1180"/>
      <c r="G3559" s="1180" t="s">
        <v>19</v>
      </c>
      <c r="H3559" s="1180" t="s">
        <v>20</v>
      </c>
      <c r="I3559" s="204" t="s">
        <v>19</v>
      </c>
      <c r="J3559" s="206" t="s">
        <v>20</v>
      </c>
    </row>
    <row r="3560" spans="1:10" ht="15" customHeight="1">
      <c r="A3560" s="233"/>
      <c r="B3560" s="161"/>
      <c r="C3560" s="161"/>
      <c r="D3560" s="161"/>
      <c r="E3560" s="247"/>
      <c r="F3560" s="248"/>
      <c r="G3560" s="248"/>
      <c r="H3560" s="248"/>
      <c r="I3560" s="214"/>
      <c r="J3560" s="227"/>
    </row>
    <row r="3561" spans="1:10" ht="15" customHeight="1">
      <c r="A3561" s="233" t="s">
        <v>188</v>
      </c>
      <c r="B3561" s="161" t="s">
        <v>14504</v>
      </c>
      <c r="C3561" s="161" t="s">
        <v>14425</v>
      </c>
      <c r="D3561" s="161" t="str">
        <f>IF(B3561="SEPLAG",VLOOKUP(COMPOSIÇÕES!C3561,'MAPA COMPARATIVO'!A:B,2,FALSE),VLOOKUP(C3561,'NAO DESO'!A:B,2,0))</f>
        <v>GUIA DE CABOS 19" 1U</v>
      </c>
      <c r="E3561" s="247" t="s">
        <v>24</v>
      </c>
      <c r="F3561" s="248">
        <v>0.13333333333333333</v>
      </c>
      <c r="G3561" s="242">
        <f>IF(B3561="SEPLAG",VLOOKUP(CONCATENATE("MEDIANA - ",C3561),COTAÇÃO,5,FALSE),VLOOKUP($C3561,'NAO DESO'!$A:$D,4,))</f>
        <v>30.42</v>
      </c>
      <c r="H3561" s="242">
        <f>TRUNC(F3561*G3561,2)</f>
        <v>4.05</v>
      </c>
      <c r="I3561" s="54">
        <f>IF(B3561="SEPLAG",VLOOKUP(CONCATENATE("MEDIANA - ",C3561),COTAÇÃO,5,FALSE),VLOOKUP($C3561,DESON!$A:$D,4,))</f>
        <v>30.42</v>
      </c>
      <c r="J3561" s="209">
        <f>TRUNC(F3561*I3561,2)</f>
        <v>4.05</v>
      </c>
    </row>
    <row r="3562" spans="1:10" ht="15" customHeight="1">
      <c r="A3562" s="233" t="s">
        <v>245</v>
      </c>
      <c r="B3562" s="161"/>
      <c r="C3562" s="161">
        <v>88247</v>
      </c>
      <c r="D3562" s="161" t="str">
        <f>IF(B3562="SEPLAG",VLOOKUP(COMPOSIÇÕES!C3562,'MAPA COMPARATIVO'!A:B,2,FALSE),VLOOKUP(C3562,'NAO DESO'!A:B,2,0))</f>
        <v>AUXILIAR DE ELETRICISTA COM ENCARGOS COMPLEMENTARES</v>
      </c>
      <c r="E3562" s="247" t="s">
        <v>16</v>
      </c>
      <c r="F3562" s="248">
        <v>0.1</v>
      </c>
      <c r="G3562" s="242" t="str">
        <f>IF(B3562="SEPLAG",VLOOKUP(CONCATENATE("MEDIANA - ",C3562),COTAÇÃO,5,FALSE),VLOOKUP($C3562,'NAO DESO'!$A:$D,4,))</f>
        <v>16,84</v>
      </c>
      <c r="H3562" s="242">
        <f>TRUNC(F3562*G3562,2)</f>
        <v>1.68</v>
      </c>
      <c r="I3562" s="54" t="str">
        <f>IF(B3562="SEPLAG",VLOOKUP(CONCATENATE("MEDIANA - ",C3562),COTAÇÃO,5,FALSE),VLOOKUP($C3562,DESON!$A:$D,4,))</f>
        <v>15,19</v>
      </c>
      <c r="J3562" s="209">
        <f>TRUNC(F3562*I3562,2)</f>
        <v>1.51</v>
      </c>
    </row>
    <row r="3563" spans="1:10" ht="15" customHeight="1">
      <c r="A3563" s="233" t="s">
        <v>245</v>
      </c>
      <c r="B3563" s="161"/>
      <c r="C3563" s="161">
        <v>88264</v>
      </c>
      <c r="D3563" s="161" t="str">
        <f>IF(B3563="SEPLAG",VLOOKUP(COMPOSIÇÕES!C3563,'MAPA COMPARATIVO'!A:B,2,FALSE),VLOOKUP(C3563,'NAO DESO'!A:B,2,0))</f>
        <v>ELETRICISTA COM ENCARGOS COMPLEMENTARES</v>
      </c>
      <c r="E3563" s="247" t="s">
        <v>16</v>
      </c>
      <c r="F3563" s="248">
        <v>0.18</v>
      </c>
      <c r="G3563" s="242" t="str">
        <f>IF(B3563="SEPLAG",VLOOKUP(CONCATENATE("MEDIANA - ",C3563),COTAÇÃO,5,FALSE),VLOOKUP($C3563,'NAO DESO'!$A:$D,4,))</f>
        <v>21,87</v>
      </c>
      <c r="H3563" s="242">
        <f>TRUNC(F3563*G3563,2)</f>
        <v>3.93</v>
      </c>
      <c r="I3563" s="54" t="str">
        <f>IF(B3563="SEPLAG",VLOOKUP(CONCATENATE("MEDIANA - ",C3563),COTAÇÃO,5,FALSE),VLOOKUP($C3563,DESON!$A:$D,4,))</f>
        <v>19,53</v>
      </c>
      <c r="J3563" s="209">
        <f>TRUNC(F3563*I3563,2)</f>
        <v>3.51</v>
      </c>
    </row>
    <row r="3564" spans="1:10" ht="15" customHeight="1">
      <c r="A3564" s="210" t="str">
        <f>CONCATENATE("TOTAL DO ITEM NÃO DESON. - ",C3558)</f>
        <v>TOTAL DO ITEM NÃO DESON. - SEPLAG ELE 32</v>
      </c>
      <c r="B3564" s="432"/>
      <c r="C3564" s="432"/>
      <c r="D3564" s="432"/>
      <c r="E3564" s="430"/>
      <c r="F3564" s="1189"/>
      <c r="G3564" s="1189"/>
      <c r="H3564" s="1189">
        <f>SUM(H3561:H3563)</f>
        <v>9.66</v>
      </c>
      <c r="I3564" s="213"/>
      <c r="J3564" s="259"/>
    </row>
    <row r="3565" spans="1:10" ht="15.75" customHeight="1" thickBot="1">
      <c r="A3565" s="216" t="str">
        <f>CONCATENATE("TOTAL DO ITEM DESON. - ",C3558)</f>
        <v>TOTAL DO ITEM DESON. - SEPLAG ELE 32</v>
      </c>
      <c r="B3565" s="1148"/>
      <c r="C3565" s="1148"/>
      <c r="D3565" s="1148"/>
      <c r="E3565" s="1142"/>
      <c r="F3565" s="1190"/>
      <c r="G3565" s="1190"/>
      <c r="H3565" s="1190"/>
      <c r="I3565" s="228"/>
      <c r="J3565" s="219">
        <f>SUM(J3561:J3564)</f>
        <v>9.07</v>
      </c>
    </row>
    <row r="3566" spans="1:10" ht="15" customHeight="1" thickBot="1">
      <c r="A3566" s="421"/>
      <c r="B3566" s="1138"/>
      <c r="C3566" s="1138"/>
      <c r="D3566" s="1138"/>
      <c r="E3566" s="1154"/>
      <c r="F3566" s="1196"/>
      <c r="G3566" s="1196"/>
      <c r="H3566" s="1196"/>
      <c r="I3566" s="423"/>
      <c r="J3566" s="422"/>
    </row>
    <row r="3567" spans="1:10" ht="15" customHeight="1">
      <c r="A3567" s="256"/>
      <c r="B3567" s="1152"/>
      <c r="C3567" s="1152" t="s">
        <v>7194</v>
      </c>
      <c r="D3567" s="152" t="s">
        <v>7712</v>
      </c>
      <c r="E3567" s="1152" t="s">
        <v>24</v>
      </c>
      <c r="F3567" s="1177" t="s">
        <v>18</v>
      </c>
      <c r="G3567" s="1178" t="s">
        <v>7015</v>
      </c>
      <c r="H3567" s="1179"/>
      <c r="I3567" s="200" t="s">
        <v>7016</v>
      </c>
      <c r="J3567" s="201"/>
    </row>
    <row r="3568" spans="1:10" ht="15" customHeight="1">
      <c r="A3568" s="257"/>
      <c r="B3568" s="430"/>
      <c r="C3568" s="430"/>
      <c r="D3568" s="430"/>
      <c r="E3568" s="430"/>
      <c r="F3568" s="1180"/>
      <c r="G3568" s="1180" t="s">
        <v>19</v>
      </c>
      <c r="H3568" s="1180" t="s">
        <v>20</v>
      </c>
      <c r="I3568" s="204" t="s">
        <v>19</v>
      </c>
      <c r="J3568" s="206" t="s">
        <v>20</v>
      </c>
    </row>
    <row r="3569" spans="1:10" ht="15" customHeight="1">
      <c r="A3569" s="233"/>
      <c r="B3569" s="161"/>
      <c r="C3569" s="161"/>
      <c r="D3569" s="161" t="s">
        <v>7200</v>
      </c>
      <c r="E3569" s="247"/>
      <c r="F3569" s="248"/>
      <c r="G3569" s="248"/>
      <c r="H3569" s="248"/>
      <c r="I3569" s="214"/>
      <c r="J3569" s="227"/>
    </row>
    <row r="3570" spans="1:10" ht="15" customHeight="1">
      <c r="A3570" s="233" t="s">
        <v>188</v>
      </c>
      <c r="B3570" s="161" t="s">
        <v>14504</v>
      </c>
      <c r="C3570" s="161" t="s">
        <v>14426</v>
      </c>
      <c r="D3570" s="161" t="str">
        <f>IF(B3570="SEPLAG",VLOOKUP(COMPOSIÇÕES!C3570,'MAPA COMPARATIVO'!A:B,2,FALSE),VLOOKUP(C3570,'NAO DESO'!A:B,2,0))</f>
        <v>BANDEJA MÓVEL, PADRÃO 19"</v>
      </c>
      <c r="E3570" s="247" t="s">
        <v>32</v>
      </c>
      <c r="F3570" s="248">
        <v>1</v>
      </c>
      <c r="G3570" s="242">
        <f>IF(B3570="SEPLAG",VLOOKUP(CONCATENATE("MEDIANA - ",C3570),COTAÇÃO,5,FALSE),VLOOKUP($C3570,'NAO DESO'!$A:$D,4,))</f>
        <v>113.78</v>
      </c>
      <c r="H3570" s="242">
        <f>TRUNC(F3570*G3570,2)</f>
        <v>113.78</v>
      </c>
      <c r="I3570" s="54">
        <f>IF(B3570="SEPLAG",VLOOKUP(CONCATENATE("MEDIANA - ",C3570),COTAÇÃO,5,FALSE),VLOOKUP($C3570,DESON!$A:$D,4,))</f>
        <v>113.78</v>
      </c>
      <c r="J3570" s="209">
        <f>TRUNC(F3570*I3570,2)</f>
        <v>113.78</v>
      </c>
    </row>
    <row r="3571" spans="1:10" ht="15" customHeight="1">
      <c r="A3571" s="233" t="s">
        <v>245</v>
      </c>
      <c r="B3571" s="161"/>
      <c r="C3571" s="161">
        <v>88247</v>
      </c>
      <c r="D3571" s="161" t="str">
        <f>IF(B3571="SEPLAG",VLOOKUP(COMPOSIÇÕES!C3571,'MAPA COMPARATIVO'!A:B,2,FALSE),VLOOKUP(C3571,'NAO DESO'!A:B,2,0))</f>
        <v>AUXILIAR DE ELETRICISTA COM ENCARGOS COMPLEMENTARES</v>
      </c>
      <c r="E3571" s="247" t="s">
        <v>16</v>
      </c>
      <c r="F3571" s="248">
        <v>0.75</v>
      </c>
      <c r="G3571" s="242" t="str">
        <f>IF(B3571="SEPLAG",VLOOKUP(CONCATENATE("MEDIANA - ",C3571),COTAÇÃO,5,FALSE),VLOOKUP($C3571,'NAO DESO'!$A:$D,4,))</f>
        <v>16,84</v>
      </c>
      <c r="H3571" s="242">
        <f>TRUNC(F3571*G3571,2)</f>
        <v>12.63</v>
      </c>
      <c r="I3571" s="54" t="str">
        <f>IF(B3571="SEPLAG",VLOOKUP(CONCATENATE("MEDIANA - ",C3571),COTAÇÃO,5,FALSE),VLOOKUP($C3571,DESON!$A:$D,4,))</f>
        <v>15,19</v>
      </c>
      <c r="J3571" s="209">
        <f>TRUNC(F3571*I3571,2)</f>
        <v>11.39</v>
      </c>
    </row>
    <row r="3572" spans="1:10" ht="15" customHeight="1">
      <c r="A3572" s="233" t="s">
        <v>245</v>
      </c>
      <c r="B3572" s="161"/>
      <c r="C3572" s="161">
        <v>88264</v>
      </c>
      <c r="D3572" s="161" t="str">
        <f>IF(B3572="SEPLAG",VLOOKUP(COMPOSIÇÕES!C3572,'MAPA COMPARATIVO'!A:B,2,FALSE),VLOOKUP(C3572,'NAO DESO'!A:B,2,0))</f>
        <v>ELETRICISTA COM ENCARGOS COMPLEMENTARES</v>
      </c>
      <c r="E3572" s="247" t="s">
        <v>16</v>
      </c>
      <c r="F3572" s="248">
        <v>0.75</v>
      </c>
      <c r="G3572" s="242" t="str">
        <f>IF(B3572="SEPLAG",VLOOKUP(CONCATENATE("MEDIANA - ",C3572),COTAÇÃO,5,FALSE),VLOOKUP($C3572,'NAO DESO'!$A:$D,4,))</f>
        <v>21,87</v>
      </c>
      <c r="H3572" s="242">
        <f>TRUNC(F3572*G3572,2)</f>
        <v>16.399999999999999</v>
      </c>
      <c r="I3572" s="54" t="str">
        <f>IF(B3572="SEPLAG",VLOOKUP(CONCATENATE("MEDIANA - ",C3572),COTAÇÃO,5,FALSE),VLOOKUP($C3572,DESON!$A:$D,4,))</f>
        <v>19,53</v>
      </c>
      <c r="J3572" s="209">
        <f>TRUNC(F3572*I3572,2)</f>
        <v>14.64</v>
      </c>
    </row>
    <row r="3573" spans="1:10" ht="15" customHeight="1">
      <c r="A3573" s="210" t="str">
        <f>CONCATENATE("TOTAL DO ITEM NÃO DESON. - ",C3567)</f>
        <v>TOTAL DO ITEM NÃO DESON. - SEPLAG ELE 33</v>
      </c>
      <c r="B3573" s="432"/>
      <c r="C3573" s="432"/>
      <c r="D3573" s="432"/>
      <c r="E3573" s="430"/>
      <c r="F3573" s="1189"/>
      <c r="G3573" s="1189"/>
      <c r="H3573" s="1189">
        <f>SUM(H3570:H3572)</f>
        <v>142.81</v>
      </c>
      <c r="I3573" s="213"/>
      <c r="J3573" s="259"/>
    </row>
    <row r="3574" spans="1:10" ht="15.75" customHeight="1" thickBot="1">
      <c r="A3574" s="216" t="str">
        <f>CONCATENATE("TOTAL DO ITEM DESON. - ",C3567)</f>
        <v>TOTAL DO ITEM DESON. - SEPLAG ELE 33</v>
      </c>
      <c r="B3574" s="1148"/>
      <c r="C3574" s="1148"/>
      <c r="D3574" s="1148"/>
      <c r="E3574" s="1142"/>
      <c r="F3574" s="1190"/>
      <c r="G3574" s="1190"/>
      <c r="H3574" s="1190"/>
      <c r="I3574" s="228"/>
      <c r="J3574" s="219">
        <f>SUM(J3570:J3573)</f>
        <v>139.81</v>
      </c>
    </row>
    <row r="3575" spans="1:10" ht="15" customHeight="1" thickBot="1">
      <c r="A3575" s="421"/>
      <c r="B3575" s="1138"/>
      <c r="C3575" s="1138"/>
      <c r="D3575" s="1138"/>
      <c r="E3575" s="1154"/>
      <c r="F3575" s="1196"/>
      <c r="G3575" s="1196"/>
      <c r="H3575" s="1196"/>
      <c r="I3575" s="423"/>
      <c r="J3575" s="422"/>
    </row>
    <row r="3576" spans="1:10" ht="25.5" customHeight="1">
      <c r="A3576" s="256"/>
      <c r="B3576" s="1152"/>
      <c r="C3576" s="1152" t="s">
        <v>7197</v>
      </c>
      <c r="D3576" s="152" t="s">
        <v>7196</v>
      </c>
      <c r="E3576" s="1152" t="s">
        <v>24</v>
      </c>
      <c r="F3576" s="1177" t="s">
        <v>18</v>
      </c>
      <c r="G3576" s="1178" t="s">
        <v>7015</v>
      </c>
      <c r="H3576" s="1179"/>
      <c r="I3576" s="200" t="s">
        <v>7016</v>
      </c>
      <c r="J3576" s="201"/>
    </row>
    <row r="3577" spans="1:10" ht="15" customHeight="1">
      <c r="A3577" s="257"/>
      <c r="B3577" s="430"/>
      <c r="C3577" s="430"/>
      <c r="D3577" s="430"/>
      <c r="E3577" s="430"/>
      <c r="F3577" s="1180"/>
      <c r="G3577" s="1180" t="s">
        <v>19</v>
      </c>
      <c r="H3577" s="1180" t="s">
        <v>20</v>
      </c>
      <c r="I3577" s="204" t="s">
        <v>19</v>
      </c>
      <c r="J3577" s="206" t="s">
        <v>20</v>
      </c>
    </row>
    <row r="3578" spans="1:10" ht="15" customHeight="1">
      <c r="A3578" s="233"/>
      <c r="B3578" s="161"/>
      <c r="C3578" s="161"/>
      <c r="D3578" s="161" t="s">
        <v>7198</v>
      </c>
      <c r="E3578" s="247"/>
      <c r="F3578" s="248"/>
      <c r="G3578" s="248"/>
      <c r="H3578" s="248"/>
      <c r="I3578" s="214"/>
      <c r="J3578" s="227"/>
    </row>
    <row r="3579" spans="1:10" ht="15" customHeight="1">
      <c r="A3579" s="233" t="s">
        <v>188</v>
      </c>
      <c r="B3579" s="161" t="s">
        <v>14504</v>
      </c>
      <c r="C3579" s="161" t="s">
        <v>14427</v>
      </c>
      <c r="D3579" s="161" t="str">
        <f>IF(B3579="SEPLAG",VLOOKUP(COMPOSIÇÕES!C3579,'MAPA COMPARATIVO'!A:B,2,FALSE),VLOOKUP(C3579,'NAO DESO'!A:B,2,0))</f>
        <v xml:space="preserve"> PATCH PANEL 24 PORTAS, CATEGORIA "6" FURUKAWA</v>
      </c>
      <c r="E3579" s="247" t="s">
        <v>7201</v>
      </c>
      <c r="F3579" s="248">
        <v>1</v>
      </c>
      <c r="G3579" s="242">
        <f>IF(B3579="SEPLAG",VLOOKUP(CONCATENATE("MEDIANA - ",C3579),COTAÇÃO,5,FALSE),VLOOKUP($C3579,'NAO DESO'!$A:$D,4,))</f>
        <v>1081.9100000000001</v>
      </c>
      <c r="H3579" s="242">
        <f>TRUNC(F3579*G3579,2)</f>
        <v>1081.9100000000001</v>
      </c>
      <c r="I3579" s="54">
        <f>IF(B3579="SEPLAG",VLOOKUP(CONCATENATE("MEDIANA - ",C3579),COTAÇÃO,5,FALSE),VLOOKUP($C3579,DESON!$A:$D,4,))</f>
        <v>1081.9100000000001</v>
      </c>
      <c r="J3579" s="209">
        <f>TRUNC(F3579*I3579,2)</f>
        <v>1081.9100000000001</v>
      </c>
    </row>
    <row r="3580" spans="1:10" ht="15" customHeight="1">
      <c r="A3580" s="233" t="s">
        <v>245</v>
      </c>
      <c r="B3580" s="161"/>
      <c r="C3580" s="161">
        <v>88247</v>
      </c>
      <c r="D3580" s="161" t="str">
        <f>IF(B3580="SEPLAG",VLOOKUP(COMPOSIÇÕES!C3580,'MAPA COMPARATIVO'!A:B,2,FALSE),VLOOKUP(C3580,'NAO DESO'!A:B,2,0))</f>
        <v>AUXILIAR DE ELETRICISTA COM ENCARGOS COMPLEMENTARES</v>
      </c>
      <c r="E3580" s="247" t="s">
        <v>16</v>
      </c>
      <c r="F3580" s="248">
        <v>4</v>
      </c>
      <c r="G3580" s="242" t="str">
        <f>IF(B3580="SEPLAG",VLOOKUP(CONCATENATE("MEDIANA - ",C3580),COTAÇÃO,5,FALSE),VLOOKUP($C3580,'NAO DESO'!$A:$D,4,))</f>
        <v>16,84</v>
      </c>
      <c r="H3580" s="242">
        <f>TRUNC(F3580*G3580,2)</f>
        <v>67.36</v>
      </c>
      <c r="I3580" s="54" t="str">
        <f>IF(B3580="SEPLAG",VLOOKUP(CONCATENATE("MEDIANA - ",C3580),COTAÇÃO,5,FALSE),VLOOKUP($C3580,DESON!$A:$D,4,))</f>
        <v>15,19</v>
      </c>
      <c r="J3580" s="209">
        <f>TRUNC(F3580*I3580,2)</f>
        <v>60.76</v>
      </c>
    </row>
    <row r="3581" spans="1:10" ht="15" customHeight="1">
      <c r="A3581" s="233" t="s">
        <v>245</v>
      </c>
      <c r="B3581" s="161"/>
      <c r="C3581" s="161">
        <v>88264</v>
      </c>
      <c r="D3581" s="161" t="str">
        <f>IF(B3581="SEPLAG",VLOOKUP(COMPOSIÇÕES!C3581,'MAPA COMPARATIVO'!A:B,2,FALSE),VLOOKUP(C3581,'NAO DESO'!A:B,2,0))</f>
        <v>ELETRICISTA COM ENCARGOS COMPLEMENTARES</v>
      </c>
      <c r="E3581" s="247" t="s">
        <v>16</v>
      </c>
      <c r="F3581" s="248">
        <v>4</v>
      </c>
      <c r="G3581" s="242" t="str">
        <f>IF(B3581="SEPLAG",VLOOKUP(CONCATENATE("MEDIANA - ",C3581),COTAÇÃO,5,FALSE),VLOOKUP($C3581,'NAO DESO'!$A:$D,4,))</f>
        <v>21,87</v>
      </c>
      <c r="H3581" s="242">
        <f>TRUNC(F3581*G3581,2)</f>
        <v>87.48</v>
      </c>
      <c r="I3581" s="54" t="str">
        <f>IF(B3581="SEPLAG",VLOOKUP(CONCATENATE("MEDIANA - ",C3581),COTAÇÃO,5,FALSE),VLOOKUP($C3581,DESON!$A:$D,4,))</f>
        <v>19,53</v>
      </c>
      <c r="J3581" s="209">
        <f>TRUNC(F3581*I3581,2)</f>
        <v>78.12</v>
      </c>
    </row>
    <row r="3582" spans="1:10" ht="15" customHeight="1">
      <c r="A3582" s="210" t="str">
        <f>CONCATENATE("TOTAL DO ITEM NÃO DESON. - ",C3576)</f>
        <v>TOTAL DO ITEM NÃO DESON. - SEPLAG ELE 34</v>
      </c>
      <c r="B3582" s="432"/>
      <c r="C3582" s="432"/>
      <c r="D3582" s="432"/>
      <c r="E3582" s="430"/>
      <c r="F3582" s="1189"/>
      <c r="G3582" s="1189"/>
      <c r="H3582" s="1189">
        <f>SUM(H3579:H3581)</f>
        <v>1236.75</v>
      </c>
      <c r="I3582" s="213"/>
      <c r="J3582" s="259"/>
    </row>
    <row r="3583" spans="1:10" ht="15.75" customHeight="1" thickBot="1">
      <c r="A3583" s="216" t="str">
        <f>CONCATENATE("TOTAL DO ITEM DESON. - ",C3576)</f>
        <v>TOTAL DO ITEM DESON. - SEPLAG ELE 34</v>
      </c>
      <c r="B3583" s="1148"/>
      <c r="C3583" s="1148"/>
      <c r="D3583" s="1148"/>
      <c r="E3583" s="1142"/>
      <c r="F3583" s="1190"/>
      <c r="G3583" s="1190"/>
      <c r="H3583" s="1190"/>
      <c r="I3583" s="228"/>
      <c r="J3583" s="219">
        <f>SUM(J3579:J3582)</f>
        <v>1220.79</v>
      </c>
    </row>
    <row r="3584" spans="1:10" ht="15" customHeight="1" thickBot="1">
      <c r="A3584" s="421"/>
      <c r="B3584" s="1138"/>
      <c r="C3584" s="1138"/>
      <c r="D3584" s="1138"/>
      <c r="E3584" s="1154"/>
      <c r="F3584" s="1196"/>
      <c r="G3584" s="1196"/>
      <c r="H3584" s="1196"/>
      <c r="I3584" s="423"/>
      <c r="J3584" s="422"/>
    </row>
    <row r="3585" spans="1:10" ht="25.5" customHeight="1">
      <c r="A3585" s="256"/>
      <c r="B3585" s="1146"/>
      <c r="C3585" s="1146" t="s">
        <v>7583</v>
      </c>
      <c r="D3585" s="1146" t="s">
        <v>7713</v>
      </c>
      <c r="E3585" s="1152" t="s">
        <v>24</v>
      </c>
      <c r="F3585" s="1225" t="s">
        <v>18</v>
      </c>
      <c r="G3585" s="1178" t="s">
        <v>7015</v>
      </c>
      <c r="H3585" s="1179"/>
      <c r="I3585" s="200" t="s">
        <v>7016</v>
      </c>
      <c r="J3585" s="201"/>
    </row>
    <row r="3586" spans="1:10" ht="15" customHeight="1">
      <c r="A3586" s="257"/>
      <c r="B3586" s="432"/>
      <c r="C3586" s="432"/>
      <c r="D3586" s="432"/>
      <c r="E3586" s="430"/>
      <c r="F3586" s="1189"/>
      <c r="G3586" s="1189" t="s">
        <v>19</v>
      </c>
      <c r="H3586" s="1189" t="s">
        <v>20</v>
      </c>
      <c r="I3586" s="205" t="s">
        <v>19</v>
      </c>
      <c r="J3586" s="431" t="s">
        <v>20</v>
      </c>
    </row>
    <row r="3587" spans="1:10" ht="15" customHeight="1">
      <c r="A3587" s="233"/>
      <c r="B3587" s="161"/>
      <c r="C3587" s="161"/>
      <c r="D3587" s="161" t="s">
        <v>7584</v>
      </c>
      <c r="E3587" s="247"/>
      <c r="F3587" s="248"/>
      <c r="G3587" s="248"/>
      <c r="H3587" s="248"/>
      <c r="I3587" s="214"/>
      <c r="J3587" s="227"/>
    </row>
    <row r="3588" spans="1:10" ht="26.25" customHeight="1">
      <c r="A3588" s="233" t="s">
        <v>188</v>
      </c>
      <c r="B3588" s="161" t="s">
        <v>14504</v>
      </c>
      <c r="C3588" s="161" t="s">
        <v>14326</v>
      </c>
      <c r="D3588" s="161" t="str">
        <f>IF(B3588="SEPLAG",VLOOKUP(COMPOSIÇÕES!C3588,'MAPA COMPARATIVO'!A:B,2,FALSE),VLOOKUP(C3588,'NAO DESO'!A:B,2,0))</f>
        <v>SPOT LED DE EMBUTIR TIPO DICRÓICA 5W QUADRADA BRANCO FRIO, MARCA AVANT OU SIMILAR</v>
      </c>
      <c r="E3588" s="247" t="s">
        <v>7201</v>
      </c>
      <c r="F3588" s="248">
        <v>1</v>
      </c>
      <c r="G3588" s="242">
        <f>IF(B3588="SEPLAG",VLOOKUP(CONCATENATE("MEDIANA - ",C3588),COTAÇÃO,5,FALSE),VLOOKUP($C3588,'NAO DESO'!$A:$D,4,))</f>
        <v>18.489999999999998</v>
      </c>
      <c r="H3588" s="242">
        <f>TRUNC(F3588*G3588,2)</f>
        <v>18.489999999999998</v>
      </c>
      <c r="I3588" s="54">
        <f>IF(B3588="SEPLAG",VLOOKUP(CONCATENATE("MEDIANA - ",C3588),COTAÇÃO,5,FALSE),VLOOKUP($C3588,DESON!$A:$D,4,))</f>
        <v>18.489999999999998</v>
      </c>
      <c r="J3588" s="209">
        <f>TRUNC(F3588*I3588,2)</f>
        <v>18.489999999999998</v>
      </c>
    </row>
    <row r="3589" spans="1:10" ht="15" customHeight="1">
      <c r="A3589" s="233" t="s">
        <v>245</v>
      </c>
      <c r="B3589" s="161"/>
      <c r="C3589" s="161">
        <v>88247</v>
      </c>
      <c r="D3589" s="161" t="str">
        <f>IF(B3589="SEPLAG",VLOOKUP(COMPOSIÇÕES!C3589,'MAPA COMPARATIVO'!A:B,2,FALSE),VLOOKUP(C3589,'NAO DESO'!A:B,2,0))</f>
        <v>AUXILIAR DE ELETRICISTA COM ENCARGOS COMPLEMENTARES</v>
      </c>
      <c r="E3589" s="247" t="s">
        <v>16</v>
      </c>
      <c r="F3589" s="248">
        <v>0.18329999999999999</v>
      </c>
      <c r="G3589" s="242" t="str">
        <f>IF(B3589="SEPLAG",VLOOKUP(CONCATENATE("MEDIANA - ",C3589),COTAÇÃO,5,FALSE),VLOOKUP($C3589,'NAO DESO'!$A:$D,4,))</f>
        <v>16,84</v>
      </c>
      <c r="H3589" s="242">
        <f>TRUNC(F3589*G3589,2)</f>
        <v>3.08</v>
      </c>
      <c r="I3589" s="54" t="str">
        <f>IF(B3589="SEPLAG",VLOOKUP(CONCATENATE("MEDIANA - ",C3589),COTAÇÃO,5,FALSE),VLOOKUP($C3589,DESON!$A:$D,4,))</f>
        <v>15,19</v>
      </c>
      <c r="J3589" s="209">
        <f>TRUNC(F3589*I3589,2)</f>
        <v>2.78</v>
      </c>
    </row>
    <row r="3590" spans="1:10" ht="15" customHeight="1">
      <c r="A3590" s="233" t="s">
        <v>245</v>
      </c>
      <c r="B3590" s="161"/>
      <c r="C3590" s="161">
        <v>88264</v>
      </c>
      <c r="D3590" s="161" t="str">
        <f>IF(B3590="SEPLAG",VLOOKUP(COMPOSIÇÕES!C3590,'MAPA COMPARATIVO'!A:B,2,FALSE),VLOOKUP(C3590,'NAO DESO'!A:B,2,0))</f>
        <v>ELETRICISTA COM ENCARGOS COMPLEMENTARES</v>
      </c>
      <c r="E3590" s="247" t="s">
        <v>16</v>
      </c>
      <c r="F3590" s="248">
        <v>0.45179999999999998</v>
      </c>
      <c r="G3590" s="242" t="str">
        <f>IF(B3590="SEPLAG",VLOOKUP(CONCATENATE("MEDIANA - ",C3590),COTAÇÃO,5,FALSE),VLOOKUP($C3590,'NAO DESO'!$A:$D,4,))</f>
        <v>21,87</v>
      </c>
      <c r="H3590" s="242">
        <f>TRUNC(F3590*G3590,2)</f>
        <v>9.8800000000000008</v>
      </c>
      <c r="I3590" s="54" t="str">
        <f>IF(B3590="SEPLAG",VLOOKUP(CONCATENATE("MEDIANA - ",C3590),COTAÇÃO,5,FALSE),VLOOKUP($C3590,DESON!$A:$D,4,))</f>
        <v>19,53</v>
      </c>
      <c r="J3590" s="209">
        <f>TRUNC(F3590*I3590,2)</f>
        <v>8.82</v>
      </c>
    </row>
    <row r="3591" spans="1:10" ht="15" customHeight="1">
      <c r="A3591" s="210" t="str">
        <f>CONCATENATE("TOTAL DO ITEM NÃO DESON. - ",C3585)</f>
        <v>TOTAL DO ITEM NÃO DESON. - SEPLAG ELE 35</v>
      </c>
      <c r="B3591" s="432"/>
      <c r="C3591" s="432"/>
      <c r="D3591" s="432"/>
      <c r="E3591" s="430"/>
      <c r="F3591" s="1189"/>
      <c r="G3591" s="1189"/>
      <c r="H3591" s="1189">
        <f>SUM(H3588:H3590)</f>
        <v>31.450000000000003</v>
      </c>
      <c r="I3591" s="213"/>
      <c r="J3591" s="259"/>
    </row>
    <row r="3592" spans="1:10" ht="15.75" customHeight="1" thickBot="1">
      <c r="A3592" s="216" t="str">
        <f>CONCATENATE("TOTAL DO ITEM DESON. - ",C3585)</f>
        <v>TOTAL DO ITEM DESON. - SEPLAG ELE 35</v>
      </c>
      <c r="B3592" s="1148"/>
      <c r="C3592" s="1148"/>
      <c r="D3592" s="1148"/>
      <c r="E3592" s="1142"/>
      <c r="F3592" s="1190"/>
      <c r="G3592" s="1190"/>
      <c r="H3592" s="1190"/>
      <c r="I3592" s="228"/>
      <c r="J3592" s="219">
        <f>SUM(J3588:J3591)</f>
        <v>30.09</v>
      </c>
    </row>
    <row r="3593" spans="1:10" ht="15" customHeight="1" thickBot="1">
      <c r="A3593" s="421"/>
      <c r="B3593" s="1138"/>
      <c r="C3593" s="1138"/>
      <c r="D3593" s="1138"/>
      <c r="E3593" s="1154"/>
      <c r="F3593" s="1196"/>
      <c r="G3593" s="1196"/>
      <c r="H3593" s="1196"/>
      <c r="I3593" s="423"/>
      <c r="J3593" s="422"/>
    </row>
    <row r="3594" spans="1:10" ht="25.5" customHeight="1">
      <c r="A3594" s="256"/>
      <c r="B3594" s="1152"/>
      <c r="C3594" s="1152" t="s">
        <v>7585</v>
      </c>
      <c r="D3594" s="152" t="s">
        <v>7714</v>
      </c>
      <c r="E3594" s="1152" t="s">
        <v>24</v>
      </c>
      <c r="F3594" s="1177" t="s">
        <v>18</v>
      </c>
      <c r="G3594" s="1178" t="s">
        <v>7015</v>
      </c>
      <c r="H3594" s="1179"/>
      <c r="I3594" s="200" t="s">
        <v>7016</v>
      </c>
      <c r="J3594" s="201"/>
    </row>
    <row r="3595" spans="1:10" ht="15" customHeight="1">
      <c r="A3595" s="257"/>
      <c r="B3595" s="430"/>
      <c r="C3595" s="430"/>
      <c r="D3595" s="430"/>
      <c r="E3595" s="430"/>
      <c r="F3595" s="1180"/>
      <c r="G3595" s="1180" t="s">
        <v>19</v>
      </c>
      <c r="H3595" s="1180" t="s">
        <v>20</v>
      </c>
      <c r="I3595" s="204" t="s">
        <v>19</v>
      </c>
      <c r="J3595" s="206" t="s">
        <v>20</v>
      </c>
    </row>
    <row r="3596" spans="1:10" ht="15" customHeight="1">
      <c r="A3596" s="233"/>
      <c r="B3596" s="161"/>
      <c r="C3596" s="161"/>
      <c r="D3596" s="161" t="s">
        <v>7584</v>
      </c>
      <c r="E3596" s="247"/>
      <c r="F3596" s="248"/>
      <c r="G3596" s="248"/>
      <c r="H3596" s="248"/>
      <c r="I3596" s="214"/>
      <c r="J3596" s="227"/>
    </row>
    <row r="3597" spans="1:10" ht="26.25" customHeight="1">
      <c r="A3597" s="233" t="s">
        <v>188</v>
      </c>
      <c r="B3597" s="161" t="s">
        <v>14504</v>
      </c>
      <c r="C3597" s="161" t="s">
        <v>14327</v>
      </c>
      <c r="D3597" s="161" t="str">
        <f>IF(B3597="SEPLAG",VLOOKUP(COMPOSIÇÕES!C3597,'MAPA COMPARATIVO'!A:B,2,FALSE),VLOOKUP(C3597,'NAO DESO'!A:B,2,0))</f>
        <v>PAINEL LED DE EMBUTIR QUADRADO 60CM 45 W 6500 K, BRANCO FRIO, MARCA AVANT OU SIMILAR</v>
      </c>
      <c r="E3597" s="247" t="s">
        <v>7201</v>
      </c>
      <c r="F3597" s="248">
        <v>1</v>
      </c>
      <c r="G3597" s="242">
        <f>IF(B3597="SEPLAG",VLOOKUP(CONCATENATE("MEDIANA - ",C3597),COTAÇÃO,5,FALSE),VLOOKUP($C3597,'NAO DESO'!$A:$D,4,))</f>
        <v>251.11</v>
      </c>
      <c r="H3597" s="242">
        <f>TRUNC(F3597*G3597,2)</f>
        <v>251.11</v>
      </c>
      <c r="I3597" s="54">
        <f>IF(B3597="SEPLAG",VLOOKUP(CONCATENATE("MEDIANA - ",C3597),COTAÇÃO,5,FALSE),VLOOKUP($C3597,DESON!$A:$D,4,))</f>
        <v>251.11</v>
      </c>
      <c r="J3597" s="209">
        <f>TRUNC(F3597*I3597,2)</f>
        <v>251.11</v>
      </c>
    </row>
    <row r="3598" spans="1:10" ht="15" customHeight="1">
      <c r="A3598" s="233" t="s">
        <v>245</v>
      </c>
      <c r="B3598" s="161"/>
      <c r="C3598" s="161">
        <v>88247</v>
      </c>
      <c r="D3598" s="161" t="str">
        <f>IF(B3598="SEPLAG",VLOOKUP(COMPOSIÇÕES!C3598,'MAPA COMPARATIVO'!A:B,2,FALSE),VLOOKUP(C3598,'NAO DESO'!A:B,2,0))</f>
        <v>AUXILIAR DE ELETRICISTA COM ENCARGOS COMPLEMENTARES</v>
      </c>
      <c r="E3598" s="247" t="s">
        <v>16</v>
      </c>
      <c r="F3598" s="248">
        <v>0.18329999999999999</v>
      </c>
      <c r="G3598" s="242" t="str">
        <f>IF(B3598="SEPLAG",VLOOKUP(CONCATENATE("MEDIANA - ",C3598),COTAÇÃO,5,FALSE),VLOOKUP($C3598,'NAO DESO'!$A:$D,4,))</f>
        <v>16,84</v>
      </c>
      <c r="H3598" s="242">
        <f>TRUNC(F3598*G3598,2)</f>
        <v>3.08</v>
      </c>
      <c r="I3598" s="54" t="str">
        <f>IF(B3598="SEPLAG",VLOOKUP(CONCATENATE("MEDIANA - ",C3598),COTAÇÃO,5,FALSE),VLOOKUP($C3598,DESON!$A:$D,4,))</f>
        <v>15,19</v>
      </c>
      <c r="J3598" s="209">
        <f>TRUNC(F3598*I3598,2)</f>
        <v>2.78</v>
      </c>
    </row>
    <row r="3599" spans="1:10" ht="15" customHeight="1">
      <c r="A3599" s="233" t="s">
        <v>245</v>
      </c>
      <c r="B3599" s="161"/>
      <c r="C3599" s="161">
        <v>88264</v>
      </c>
      <c r="D3599" s="161" t="str">
        <f>IF(B3599="SEPLAG",VLOOKUP(COMPOSIÇÕES!C3599,'MAPA COMPARATIVO'!A:B,2,FALSE),VLOOKUP(C3599,'NAO DESO'!A:B,2,0))</f>
        <v>ELETRICISTA COM ENCARGOS COMPLEMENTARES</v>
      </c>
      <c r="E3599" s="247" t="s">
        <v>16</v>
      </c>
      <c r="F3599" s="248">
        <v>0.45179999999999998</v>
      </c>
      <c r="G3599" s="242" t="str">
        <f>IF(B3599="SEPLAG",VLOOKUP(CONCATENATE("MEDIANA - ",C3599),COTAÇÃO,5,FALSE),VLOOKUP($C3599,'NAO DESO'!$A:$D,4,))</f>
        <v>21,87</v>
      </c>
      <c r="H3599" s="242">
        <f>TRUNC(F3599*G3599,2)</f>
        <v>9.8800000000000008</v>
      </c>
      <c r="I3599" s="54" t="str">
        <f>IF(B3599="SEPLAG",VLOOKUP(CONCATENATE("MEDIANA - ",C3599),COTAÇÃO,5,FALSE),VLOOKUP($C3599,DESON!$A:$D,4,))</f>
        <v>19,53</v>
      </c>
      <c r="J3599" s="209">
        <f>TRUNC(F3599*I3599,2)</f>
        <v>8.82</v>
      </c>
    </row>
    <row r="3600" spans="1:10" ht="15" customHeight="1">
      <c r="A3600" s="210" t="str">
        <f>CONCATENATE("TOTAL DO ITEM NÃO DESON. - ",C3594)</f>
        <v>TOTAL DO ITEM NÃO DESON. - SEPLAG ELE 36</v>
      </c>
      <c r="B3600" s="432"/>
      <c r="C3600" s="432"/>
      <c r="D3600" s="432"/>
      <c r="E3600" s="430"/>
      <c r="F3600" s="1189"/>
      <c r="G3600" s="1189"/>
      <c r="H3600" s="1189">
        <f>SUM(H3597:H3599)</f>
        <v>264.07000000000005</v>
      </c>
      <c r="I3600" s="213"/>
      <c r="J3600" s="259"/>
    </row>
    <row r="3601" spans="1:10" ht="15.75" customHeight="1" thickBot="1">
      <c r="A3601" s="216" t="str">
        <f>CONCATENATE("TOTAL DO ITEM DESON. - ",C3594)</f>
        <v>TOTAL DO ITEM DESON. - SEPLAG ELE 36</v>
      </c>
      <c r="B3601" s="1148"/>
      <c r="C3601" s="1148"/>
      <c r="D3601" s="1148"/>
      <c r="E3601" s="1142"/>
      <c r="F3601" s="1190"/>
      <c r="G3601" s="1190"/>
      <c r="H3601" s="1190"/>
      <c r="I3601" s="228"/>
      <c r="J3601" s="219">
        <f>SUM(J3597:J3600)</f>
        <v>262.71000000000004</v>
      </c>
    </row>
    <row r="3602" spans="1:10" ht="15" customHeight="1" thickBot="1">
      <c r="A3602" s="421"/>
      <c r="B3602" s="1138"/>
      <c r="C3602" s="1138"/>
      <c r="D3602" s="1138"/>
      <c r="E3602" s="1154"/>
      <c r="F3602" s="1196"/>
      <c r="G3602" s="1196"/>
      <c r="H3602" s="1196"/>
      <c r="I3602" s="423"/>
      <c r="J3602" s="422"/>
    </row>
    <row r="3603" spans="1:10" ht="25.5" customHeight="1">
      <c r="A3603" s="256"/>
      <c r="B3603" s="1152"/>
      <c r="C3603" s="1152" t="s">
        <v>7586</v>
      </c>
      <c r="D3603" s="152" t="s">
        <v>7715</v>
      </c>
      <c r="E3603" s="1152" t="s">
        <v>24</v>
      </c>
      <c r="F3603" s="1177" t="s">
        <v>18</v>
      </c>
      <c r="G3603" s="1178" t="s">
        <v>7015</v>
      </c>
      <c r="H3603" s="1179"/>
      <c r="I3603" s="200" t="s">
        <v>7016</v>
      </c>
      <c r="J3603" s="201"/>
    </row>
    <row r="3604" spans="1:10" ht="15" customHeight="1">
      <c r="A3604" s="257"/>
      <c r="B3604" s="430"/>
      <c r="C3604" s="430"/>
      <c r="D3604" s="430"/>
      <c r="E3604" s="430"/>
      <c r="F3604" s="1180"/>
      <c r="G3604" s="1180" t="s">
        <v>19</v>
      </c>
      <c r="H3604" s="1180" t="s">
        <v>20</v>
      </c>
      <c r="I3604" s="204" t="s">
        <v>19</v>
      </c>
      <c r="J3604" s="206" t="s">
        <v>20</v>
      </c>
    </row>
    <row r="3605" spans="1:10" ht="15" customHeight="1">
      <c r="A3605" s="233"/>
      <c r="B3605" s="161"/>
      <c r="C3605" s="161"/>
      <c r="D3605" s="161" t="s">
        <v>7584</v>
      </c>
      <c r="E3605" s="247"/>
      <c r="F3605" s="248"/>
      <c r="G3605" s="248"/>
      <c r="H3605" s="248"/>
      <c r="I3605" s="214"/>
      <c r="J3605" s="227"/>
    </row>
    <row r="3606" spans="1:10" ht="26.25" customHeight="1">
      <c r="A3606" s="233" t="s">
        <v>188</v>
      </c>
      <c r="B3606" s="161" t="s">
        <v>14504</v>
      </c>
      <c r="C3606" s="161" t="s">
        <v>14327</v>
      </c>
      <c r="D3606" s="161" t="str">
        <f>IF(B3606="SEPLAG",VLOOKUP(COMPOSIÇÕES!C3606,'MAPA COMPARATIVO'!A:B,2,FALSE),VLOOKUP(C3606,'NAO DESO'!A:B,2,0))</f>
        <v>PAINEL LED DE EMBUTIR QUADRADO 60CM 45 W 6500 K, BRANCO FRIO, MARCA AVANT OU SIMILAR</v>
      </c>
      <c r="E3606" s="247" t="s">
        <v>7201</v>
      </c>
      <c r="F3606" s="248">
        <v>1</v>
      </c>
      <c r="G3606" s="242">
        <f>IF(B3606="SEPLAG",VLOOKUP(CONCATENATE("MEDIANA - ",C3606),COTAÇÃO,5,FALSE),VLOOKUP($C3606,'NAO DESO'!$A:$D,4,))</f>
        <v>251.11</v>
      </c>
      <c r="H3606" s="242">
        <f>TRUNC(F3606*G3606,2)</f>
        <v>251.11</v>
      </c>
      <c r="I3606" s="54">
        <f>IF(B3606="SEPLAG",VLOOKUP(CONCATENATE("MEDIANA - ",C3606),COTAÇÃO,5,FALSE),VLOOKUP($C3606,DESON!$A:$D,4,))</f>
        <v>251.11</v>
      </c>
      <c r="J3606" s="209">
        <f>TRUNC(F3606*I3606,2)</f>
        <v>251.11</v>
      </c>
    </row>
    <row r="3607" spans="1:10" ht="15" customHeight="1">
      <c r="A3607" s="233" t="s">
        <v>245</v>
      </c>
      <c r="B3607" s="161"/>
      <c r="C3607" s="161">
        <v>88247</v>
      </c>
      <c r="D3607" s="161" t="str">
        <f>IF(B3607="SEPLAG",VLOOKUP(COMPOSIÇÕES!C3607,'MAPA COMPARATIVO'!A:B,2,FALSE),VLOOKUP(C3607,'NAO DESO'!A:B,2,0))</f>
        <v>AUXILIAR DE ELETRICISTA COM ENCARGOS COMPLEMENTARES</v>
      </c>
      <c r="E3607" s="247" t="s">
        <v>16</v>
      </c>
      <c r="F3607" s="248">
        <v>0.18329999999999999</v>
      </c>
      <c r="G3607" s="242" t="str">
        <f>IF(B3607="SEPLAG",VLOOKUP(CONCATENATE("MEDIANA - ",C3607),COTAÇÃO,5,FALSE),VLOOKUP($C3607,'NAO DESO'!$A:$D,4,))</f>
        <v>16,84</v>
      </c>
      <c r="H3607" s="242">
        <f>TRUNC(F3607*G3607,2)</f>
        <v>3.08</v>
      </c>
      <c r="I3607" s="54" t="str">
        <f>IF(B3607="SEPLAG",VLOOKUP(CONCATENATE("MEDIANA - ",C3607),COTAÇÃO,5,FALSE),VLOOKUP($C3607,DESON!$A:$D,4,))</f>
        <v>15,19</v>
      </c>
      <c r="J3607" s="209">
        <f>TRUNC(F3607*I3607,2)</f>
        <v>2.78</v>
      </c>
    </row>
    <row r="3608" spans="1:10" ht="15" customHeight="1">
      <c r="A3608" s="233" t="s">
        <v>245</v>
      </c>
      <c r="B3608" s="161"/>
      <c r="C3608" s="161">
        <v>88264</v>
      </c>
      <c r="D3608" s="161" t="str">
        <f>IF(B3608="SEPLAG",VLOOKUP(COMPOSIÇÕES!C3608,'MAPA COMPARATIVO'!A:B,2,FALSE),VLOOKUP(C3608,'NAO DESO'!A:B,2,0))</f>
        <v>ELETRICISTA COM ENCARGOS COMPLEMENTARES</v>
      </c>
      <c r="E3608" s="247" t="s">
        <v>16</v>
      </c>
      <c r="F3608" s="248">
        <v>0.45179999999999998</v>
      </c>
      <c r="G3608" s="242" t="str">
        <f>IF(B3608="SEPLAG",VLOOKUP(CONCATENATE("MEDIANA - ",C3608),COTAÇÃO,5,FALSE),VLOOKUP($C3608,'NAO DESO'!$A:$D,4,))</f>
        <v>21,87</v>
      </c>
      <c r="H3608" s="242">
        <f>TRUNC(F3608*G3608,2)</f>
        <v>9.8800000000000008</v>
      </c>
      <c r="I3608" s="54" t="str">
        <f>IF(B3608="SEPLAG",VLOOKUP(CONCATENATE("MEDIANA - ",C3608),COTAÇÃO,5,FALSE),VLOOKUP($C3608,DESON!$A:$D,4,))</f>
        <v>19,53</v>
      </c>
      <c r="J3608" s="209">
        <f>TRUNC(F3608*I3608,2)</f>
        <v>8.82</v>
      </c>
    </row>
    <row r="3609" spans="1:10" ht="15" customHeight="1">
      <c r="A3609" s="210" t="str">
        <f>CONCATENATE("TOTAL DO ITEM NÃO DESON. - ",C3603)</f>
        <v>TOTAL DO ITEM NÃO DESON. - SEPLAG ELE 37</v>
      </c>
      <c r="B3609" s="432"/>
      <c r="C3609" s="432"/>
      <c r="D3609" s="432"/>
      <c r="E3609" s="430"/>
      <c r="F3609" s="1189"/>
      <c r="G3609" s="1189"/>
      <c r="H3609" s="1189">
        <f>SUM(H3606:H3608)</f>
        <v>264.07000000000005</v>
      </c>
      <c r="I3609" s="213"/>
      <c r="J3609" s="259"/>
    </row>
    <row r="3610" spans="1:10" ht="15.75" customHeight="1" thickBot="1">
      <c r="A3610" s="216" t="str">
        <f>CONCATENATE("TOTAL DO ITEM DESON. - ",C3603)</f>
        <v>TOTAL DO ITEM DESON. - SEPLAG ELE 37</v>
      </c>
      <c r="B3610" s="1148"/>
      <c r="C3610" s="1148"/>
      <c r="D3610" s="1148"/>
      <c r="E3610" s="1142"/>
      <c r="F3610" s="1190"/>
      <c r="G3610" s="1190"/>
      <c r="H3610" s="1190"/>
      <c r="I3610" s="228"/>
      <c r="J3610" s="219">
        <f>SUM(J3606:J3609)</f>
        <v>262.71000000000004</v>
      </c>
    </row>
    <row r="3611" spans="1:10" ht="15" customHeight="1" thickBot="1">
      <c r="A3611" s="421"/>
      <c r="B3611" s="1138"/>
      <c r="C3611" s="1138"/>
      <c r="D3611" s="1138"/>
      <c r="E3611" s="1154"/>
      <c r="F3611" s="1196"/>
      <c r="G3611" s="1196"/>
      <c r="H3611" s="1196"/>
      <c r="I3611" s="423"/>
      <c r="J3611" s="422"/>
    </row>
    <row r="3612" spans="1:10" ht="38.25" customHeight="1">
      <c r="A3612" s="256"/>
      <c r="B3612" s="1152"/>
      <c r="C3612" s="1152" t="s">
        <v>7587</v>
      </c>
      <c r="D3612" s="152" t="s">
        <v>7716</v>
      </c>
      <c r="E3612" s="1152" t="s">
        <v>24</v>
      </c>
      <c r="F3612" s="1177" t="s">
        <v>18</v>
      </c>
      <c r="G3612" s="1178" t="s">
        <v>7015</v>
      </c>
      <c r="H3612" s="1179"/>
      <c r="I3612" s="200" t="s">
        <v>7016</v>
      </c>
      <c r="J3612" s="201"/>
    </row>
    <row r="3613" spans="1:10" ht="15" customHeight="1">
      <c r="A3613" s="257"/>
      <c r="B3613" s="430"/>
      <c r="C3613" s="430"/>
      <c r="D3613" s="430"/>
      <c r="E3613" s="430"/>
      <c r="F3613" s="1180"/>
      <c r="G3613" s="1180" t="s">
        <v>19</v>
      </c>
      <c r="H3613" s="1180" t="s">
        <v>20</v>
      </c>
      <c r="I3613" s="204" t="s">
        <v>19</v>
      </c>
      <c r="J3613" s="206" t="s">
        <v>20</v>
      </c>
    </row>
    <row r="3614" spans="1:10" ht="15" customHeight="1">
      <c r="A3614" s="233"/>
      <c r="B3614" s="161"/>
      <c r="C3614" s="161"/>
      <c r="D3614" s="161" t="s">
        <v>7584</v>
      </c>
      <c r="E3614" s="247"/>
      <c r="F3614" s="248"/>
      <c r="G3614" s="248"/>
      <c r="H3614" s="248"/>
      <c r="I3614" s="214"/>
      <c r="J3614" s="227"/>
    </row>
    <row r="3615" spans="1:10" ht="26.25" customHeight="1">
      <c r="A3615" s="233" t="s">
        <v>188</v>
      </c>
      <c r="B3615" s="161" t="s">
        <v>14504</v>
      </c>
      <c r="C3615" s="161" t="s">
        <v>14329</v>
      </c>
      <c r="D3615" s="161" t="str">
        <f>IF(B3615="SEPLAG",VLOOKUP(COMPOSIÇÕES!C3615,'MAPA COMPARATIVO'!A:B,2,FALSE),VLOOKUP(C3615,'NAO DESO'!A:B,2,0))</f>
        <v>PAINEL LED DE EMBUTIR DE ALUMINIO, 3M, 65MM PARA DUAS FITAS LED DE 20W, BRANCO FRIO, MARCA ITAMONTE OU SIMILAR.</v>
      </c>
      <c r="E3615" s="247" t="s">
        <v>7201</v>
      </c>
      <c r="F3615" s="248">
        <v>1</v>
      </c>
      <c r="G3615" s="242">
        <f>IF(B3615="SEPLAG",VLOOKUP(CONCATENATE("MEDIANA - ",C3615),COTAÇÃO,5,FALSE),VLOOKUP($C3615,'NAO DESO'!$A:$D,4,))</f>
        <v>769.9</v>
      </c>
      <c r="H3615" s="242">
        <f>TRUNC(F3615*G3615,2)</f>
        <v>769.9</v>
      </c>
      <c r="I3615" s="54">
        <f>IF(B3615="SEPLAG",VLOOKUP(CONCATENATE("MEDIANA - ",C3615),COTAÇÃO,5,FALSE),VLOOKUP($C3615,DESON!$A:$D,4,))</f>
        <v>769.9</v>
      </c>
      <c r="J3615" s="209">
        <f>TRUNC(F3615*I3615,2)</f>
        <v>769.9</v>
      </c>
    </row>
    <row r="3616" spans="1:10" ht="15" customHeight="1">
      <c r="A3616" s="233" t="s">
        <v>245</v>
      </c>
      <c r="B3616" s="161"/>
      <c r="C3616" s="161">
        <v>88247</v>
      </c>
      <c r="D3616" s="161" t="str">
        <f>IF(B3616="SEPLAG",VLOOKUP(COMPOSIÇÕES!C3616,'MAPA COMPARATIVO'!A:B,2,FALSE),VLOOKUP(C3616,'NAO DESO'!A:B,2,0))</f>
        <v>AUXILIAR DE ELETRICISTA COM ENCARGOS COMPLEMENTARES</v>
      </c>
      <c r="E3616" s="247" t="s">
        <v>16</v>
      </c>
      <c r="F3616" s="248">
        <v>0.18329999999999999</v>
      </c>
      <c r="G3616" s="242" t="str">
        <f>IF(B3616="SEPLAG",VLOOKUP(CONCATENATE("MEDIANA - ",C3616),COTAÇÃO,5,FALSE),VLOOKUP($C3616,'NAO DESO'!$A:$D,4,))</f>
        <v>16,84</v>
      </c>
      <c r="H3616" s="242">
        <f>TRUNC(F3616*G3616,2)</f>
        <v>3.08</v>
      </c>
      <c r="I3616" s="54" t="str">
        <f>IF(B3616="SEPLAG",VLOOKUP(CONCATENATE("MEDIANA - ",C3616),COTAÇÃO,5,FALSE),VLOOKUP($C3616,DESON!$A:$D,4,))</f>
        <v>15,19</v>
      </c>
      <c r="J3616" s="209">
        <f>TRUNC(F3616*I3616,2)</f>
        <v>2.78</v>
      </c>
    </row>
    <row r="3617" spans="1:10" ht="15" customHeight="1">
      <c r="A3617" s="233" t="s">
        <v>245</v>
      </c>
      <c r="B3617" s="161"/>
      <c r="C3617" s="161">
        <v>88264</v>
      </c>
      <c r="D3617" s="161" t="str">
        <f>IF(B3617="SEPLAG",VLOOKUP(COMPOSIÇÕES!C3617,'MAPA COMPARATIVO'!A:B,2,FALSE),VLOOKUP(C3617,'NAO DESO'!A:B,2,0))</f>
        <v>ELETRICISTA COM ENCARGOS COMPLEMENTARES</v>
      </c>
      <c r="E3617" s="247" t="s">
        <v>16</v>
      </c>
      <c r="F3617" s="248">
        <v>0.45179999999999998</v>
      </c>
      <c r="G3617" s="242" t="str">
        <f>IF(B3617="SEPLAG",VLOOKUP(CONCATENATE("MEDIANA - ",C3617),COTAÇÃO,5,FALSE),VLOOKUP($C3617,'NAO DESO'!$A:$D,4,))</f>
        <v>21,87</v>
      </c>
      <c r="H3617" s="242">
        <f>TRUNC(F3617*G3617,2)</f>
        <v>9.8800000000000008</v>
      </c>
      <c r="I3617" s="54" t="str">
        <f>IF(B3617="SEPLAG",VLOOKUP(CONCATENATE("MEDIANA - ",C3617),COTAÇÃO,5,FALSE),VLOOKUP($C3617,DESON!$A:$D,4,))</f>
        <v>19,53</v>
      </c>
      <c r="J3617" s="209">
        <f>TRUNC(F3617*I3617,2)</f>
        <v>8.82</v>
      </c>
    </row>
    <row r="3618" spans="1:10" ht="15" customHeight="1">
      <c r="A3618" s="210" t="str">
        <f>CONCATENATE("TOTAL DO ITEM NÃO DESON. - ",C3612)</f>
        <v>TOTAL DO ITEM NÃO DESON. - SEPLAG ELE 38</v>
      </c>
      <c r="B3618" s="432"/>
      <c r="C3618" s="432"/>
      <c r="D3618" s="432"/>
      <c r="E3618" s="430"/>
      <c r="F3618" s="1189"/>
      <c r="G3618" s="1189"/>
      <c r="H3618" s="1189">
        <f>SUM(H3615:H3617)</f>
        <v>782.86</v>
      </c>
      <c r="I3618" s="213"/>
      <c r="J3618" s="259"/>
    </row>
    <row r="3619" spans="1:10" ht="15.75" customHeight="1" thickBot="1">
      <c r="A3619" s="216" t="str">
        <f>CONCATENATE("TOTAL DO ITEM DESON. - ",C3612)</f>
        <v>TOTAL DO ITEM DESON. - SEPLAG ELE 38</v>
      </c>
      <c r="B3619" s="1148"/>
      <c r="C3619" s="1148"/>
      <c r="D3619" s="1148"/>
      <c r="E3619" s="1142"/>
      <c r="F3619" s="1190"/>
      <c r="G3619" s="1190"/>
      <c r="H3619" s="1190"/>
      <c r="I3619" s="228"/>
      <c r="J3619" s="219">
        <f>SUM(J3615:J3618)</f>
        <v>781.5</v>
      </c>
    </row>
    <row r="3620" spans="1:10" ht="15" customHeight="1" thickBot="1">
      <c r="A3620" s="421"/>
      <c r="B3620" s="1138"/>
      <c r="C3620" s="1138"/>
      <c r="D3620" s="1138"/>
      <c r="E3620" s="1154"/>
      <c r="F3620" s="1196"/>
      <c r="G3620" s="1196"/>
      <c r="H3620" s="1196"/>
      <c r="I3620" s="423"/>
      <c r="J3620" s="422"/>
    </row>
    <row r="3621" spans="1:10" ht="38.25" customHeight="1">
      <c r="A3621" s="256"/>
      <c r="B3621" s="1152"/>
      <c r="C3621" s="1152" t="s">
        <v>7588</v>
      </c>
      <c r="D3621" s="152" t="s">
        <v>7717</v>
      </c>
      <c r="E3621" s="1152" t="s">
        <v>24</v>
      </c>
      <c r="F3621" s="1177" t="s">
        <v>18</v>
      </c>
      <c r="G3621" s="1178" t="s">
        <v>7015</v>
      </c>
      <c r="H3621" s="1179"/>
      <c r="I3621" s="200" t="s">
        <v>7016</v>
      </c>
      <c r="J3621" s="201"/>
    </row>
    <row r="3622" spans="1:10" ht="15" customHeight="1">
      <c r="A3622" s="257"/>
      <c r="B3622" s="430"/>
      <c r="C3622" s="430"/>
      <c r="D3622" s="430"/>
      <c r="E3622" s="430"/>
      <c r="F3622" s="1180"/>
      <c r="G3622" s="1180" t="s">
        <v>19</v>
      </c>
      <c r="H3622" s="1180" t="s">
        <v>20</v>
      </c>
      <c r="I3622" s="204" t="s">
        <v>19</v>
      </c>
      <c r="J3622" s="206" t="s">
        <v>20</v>
      </c>
    </row>
    <row r="3623" spans="1:10" ht="15" customHeight="1">
      <c r="A3623" s="233"/>
      <c r="B3623" s="161"/>
      <c r="C3623" s="161"/>
      <c r="D3623" s="161" t="s">
        <v>7584</v>
      </c>
      <c r="E3623" s="247"/>
      <c r="F3623" s="248"/>
      <c r="G3623" s="248"/>
      <c r="H3623" s="248"/>
      <c r="I3623" s="214"/>
      <c r="J3623" s="227"/>
    </row>
    <row r="3624" spans="1:10" ht="26.25" customHeight="1">
      <c r="A3624" s="233" t="s">
        <v>188</v>
      </c>
      <c r="B3624" s="161" t="s">
        <v>14504</v>
      </c>
      <c r="C3624" s="161" t="s">
        <v>14330</v>
      </c>
      <c r="D3624" s="161" t="str">
        <f>IF(B3624="SEPLAG",VLOOKUP(COMPOSIÇÕES!C3624,'MAPA COMPARATIVO'!A:B,2,FALSE),VLOOKUP(C3624,'NAO DESO'!A:B,2,0))</f>
        <v>PAINEL LED DE EMBUTIR DE ALUMINIO, 1M, 65MM PARA DUAS FITAS LED DE 20W, BRANCO FRIO, MARCA ITAMONTE OU SIMILAR.</v>
      </c>
      <c r="E3624" s="247" t="s">
        <v>7201</v>
      </c>
      <c r="F3624" s="248">
        <v>1</v>
      </c>
      <c r="G3624" s="242">
        <f>IF(B3624="SEPLAG",VLOOKUP(CONCATENATE("MEDIANA - ",C3624),COTAÇÃO,5,FALSE),VLOOKUP($C3624,'NAO DESO'!$A:$D,4,))</f>
        <v>169.9</v>
      </c>
      <c r="H3624" s="242">
        <f>TRUNC(F3624*G3624,2)</f>
        <v>169.9</v>
      </c>
      <c r="I3624" s="54">
        <f>IF(B3624="SEPLAG",VLOOKUP(CONCATENATE("MEDIANA - ",C3624),COTAÇÃO,5,FALSE),VLOOKUP($C3624,DESON!$A:$D,4,))</f>
        <v>169.9</v>
      </c>
      <c r="J3624" s="209">
        <f>TRUNC(F3624*I3624,2)</f>
        <v>169.9</v>
      </c>
    </row>
    <row r="3625" spans="1:10" ht="15" customHeight="1">
      <c r="A3625" s="233" t="s">
        <v>245</v>
      </c>
      <c r="B3625" s="161"/>
      <c r="C3625" s="161">
        <v>88247</v>
      </c>
      <c r="D3625" s="161" t="str">
        <f>IF(B3625="SEPLAG",VLOOKUP(COMPOSIÇÕES!C3625,'MAPA COMPARATIVO'!A:B,2,FALSE),VLOOKUP(C3625,'NAO DESO'!A:B,2,0))</f>
        <v>AUXILIAR DE ELETRICISTA COM ENCARGOS COMPLEMENTARES</v>
      </c>
      <c r="E3625" s="247" t="s">
        <v>16</v>
      </c>
      <c r="F3625" s="248">
        <v>0.18329999999999999</v>
      </c>
      <c r="G3625" s="242" t="str">
        <f>IF(B3625="SEPLAG",VLOOKUP(CONCATENATE("MEDIANA - ",C3625),COTAÇÃO,5,FALSE),VLOOKUP($C3625,'NAO DESO'!$A:$D,4,))</f>
        <v>16,84</v>
      </c>
      <c r="H3625" s="242">
        <f>TRUNC(F3625*G3625,2)</f>
        <v>3.08</v>
      </c>
      <c r="I3625" s="54" t="str">
        <f>IF(B3625="SEPLAG",VLOOKUP(CONCATENATE("MEDIANA - ",C3625),COTAÇÃO,5,FALSE),VLOOKUP($C3625,DESON!$A:$D,4,))</f>
        <v>15,19</v>
      </c>
      <c r="J3625" s="209">
        <f>TRUNC(F3625*I3625,2)</f>
        <v>2.78</v>
      </c>
    </row>
    <row r="3626" spans="1:10" ht="15" customHeight="1">
      <c r="A3626" s="233" t="s">
        <v>245</v>
      </c>
      <c r="B3626" s="161"/>
      <c r="C3626" s="161">
        <v>88264</v>
      </c>
      <c r="D3626" s="161" t="str">
        <f>IF(B3626="SEPLAG",VLOOKUP(COMPOSIÇÕES!C3626,'MAPA COMPARATIVO'!A:B,2,FALSE),VLOOKUP(C3626,'NAO DESO'!A:B,2,0))</f>
        <v>ELETRICISTA COM ENCARGOS COMPLEMENTARES</v>
      </c>
      <c r="E3626" s="247" t="s">
        <v>16</v>
      </c>
      <c r="F3626" s="248">
        <v>0.45179999999999998</v>
      </c>
      <c r="G3626" s="242" t="str">
        <f>IF(B3626="SEPLAG",VLOOKUP(CONCATENATE("MEDIANA - ",C3626),COTAÇÃO,5,FALSE),VLOOKUP($C3626,'NAO DESO'!$A:$D,4,))</f>
        <v>21,87</v>
      </c>
      <c r="H3626" s="242">
        <f>TRUNC(F3626*G3626,2)</f>
        <v>9.8800000000000008</v>
      </c>
      <c r="I3626" s="54" t="str">
        <f>IF(B3626="SEPLAG",VLOOKUP(CONCATENATE("MEDIANA - ",C3626),COTAÇÃO,5,FALSE),VLOOKUP($C3626,DESON!$A:$D,4,))</f>
        <v>19,53</v>
      </c>
      <c r="J3626" s="209">
        <f>TRUNC(F3626*I3626,2)</f>
        <v>8.82</v>
      </c>
    </row>
    <row r="3627" spans="1:10" ht="15" customHeight="1">
      <c r="A3627" s="210" t="str">
        <f>CONCATENATE("TOTAL DO ITEM NÃO DESON. - ",C3621)</f>
        <v>TOTAL DO ITEM NÃO DESON. - SEPLAG ELE 39</v>
      </c>
      <c r="B3627" s="432"/>
      <c r="C3627" s="432"/>
      <c r="D3627" s="432"/>
      <c r="E3627" s="430"/>
      <c r="F3627" s="1189"/>
      <c r="G3627" s="1189"/>
      <c r="H3627" s="1189">
        <f>SUM(H3624:H3626)</f>
        <v>182.86</v>
      </c>
      <c r="I3627" s="213"/>
      <c r="J3627" s="259"/>
    </row>
    <row r="3628" spans="1:10" ht="15.75" customHeight="1" thickBot="1">
      <c r="A3628" s="216" t="str">
        <f>CONCATENATE("TOTAL DO ITEM DESON. - ",C3621)</f>
        <v>TOTAL DO ITEM DESON. - SEPLAG ELE 39</v>
      </c>
      <c r="B3628" s="1148"/>
      <c r="C3628" s="1148"/>
      <c r="D3628" s="1148"/>
      <c r="E3628" s="1142"/>
      <c r="F3628" s="1190"/>
      <c r="G3628" s="1190"/>
      <c r="H3628" s="1190"/>
      <c r="I3628" s="228"/>
      <c r="J3628" s="219">
        <f>SUM(J3624:J3627)</f>
        <v>181.5</v>
      </c>
    </row>
    <row r="3629" spans="1:10" ht="15" customHeight="1" thickBot="1">
      <c r="A3629" s="421"/>
      <c r="B3629" s="1138"/>
      <c r="C3629" s="1138"/>
      <c r="D3629" s="1138"/>
      <c r="E3629" s="1154"/>
      <c r="F3629" s="1196"/>
      <c r="G3629" s="1196"/>
      <c r="H3629" s="1196"/>
      <c r="I3629" s="423"/>
      <c r="J3629" s="422"/>
    </row>
    <row r="3630" spans="1:10" ht="25.5" customHeight="1">
      <c r="A3630" s="256"/>
      <c r="B3630" s="1152"/>
      <c r="C3630" s="1152" t="s">
        <v>7589</v>
      </c>
      <c r="D3630" s="152" t="s">
        <v>7718</v>
      </c>
      <c r="E3630" s="1152" t="s">
        <v>24</v>
      </c>
      <c r="F3630" s="1177" t="s">
        <v>18</v>
      </c>
      <c r="G3630" s="1178" t="s">
        <v>7015</v>
      </c>
      <c r="H3630" s="1179"/>
      <c r="I3630" s="200" t="s">
        <v>7016</v>
      </c>
      <c r="J3630" s="201"/>
    </row>
    <row r="3631" spans="1:10" ht="15" customHeight="1">
      <c r="A3631" s="257"/>
      <c r="B3631" s="430"/>
      <c r="C3631" s="430"/>
      <c r="D3631" s="430"/>
      <c r="E3631" s="430"/>
      <c r="F3631" s="1180"/>
      <c r="G3631" s="1180" t="s">
        <v>19</v>
      </c>
      <c r="H3631" s="1180" t="s">
        <v>20</v>
      </c>
      <c r="I3631" s="204" t="s">
        <v>19</v>
      </c>
      <c r="J3631" s="206" t="s">
        <v>20</v>
      </c>
    </row>
    <row r="3632" spans="1:10" ht="15" customHeight="1">
      <c r="A3632" s="233"/>
      <c r="B3632" s="161"/>
      <c r="C3632" s="161"/>
      <c r="D3632" s="161" t="s">
        <v>7584</v>
      </c>
      <c r="E3632" s="247"/>
      <c r="F3632" s="248"/>
      <c r="G3632" s="248"/>
      <c r="H3632" s="248"/>
      <c r="I3632" s="214"/>
      <c r="J3632" s="227"/>
    </row>
    <row r="3633" spans="1:10" ht="26.25" customHeight="1">
      <c r="A3633" s="233" t="s">
        <v>188</v>
      </c>
      <c r="B3633" s="161" t="s">
        <v>14504</v>
      </c>
      <c r="C3633" s="161" t="s">
        <v>14331</v>
      </c>
      <c r="D3633" s="161" t="str">
        <f>IF(B3633="SEPLAG",VLOOKUP(COMPOSIÇÕES!C3633,'MAPA COMPARATIVO'!A:B,2,FALSE),VLOOKUP(C3633,'NAO DESO'!A:B,2,0))</f>
        <v>BALIZADOR DE SOBREPOR DE PAREDE 4X2, 2W, PRETO, LUZ BRANCO QUENTE, MARCA ILLUMIPRO OU SIMILAR.</v>
      </c>
      <c r="E3633" s="247" t="s">
        <v>7201</v>
      </c>
      <c r="F3633" s="248">
        <v>1</v>
      </c>
      <c r="G3633" s="242">
        <f>IF(B3633="SEPLAG",VLOOKUP(CONCATENATE("MEDIANA - ",C3633),COTAÇÃO,5,FALSE),VLOOKUP($C3633,'NAO DESO'!$A:$D,4,))</f>
        <v>62.69</v>
      </c>
      <c r="H3633" s="242">
        <f>TRUNC(F3633*G3633,2)</f>
        <v>62.69</v>
      </c>
      <c r="I3633" s="54">
        <f>IF(B3633="SEPLAG",VLOOKUP(CONCATENATE("MEDIANA - ",C3633),COTAÇÃO,5,FALSE),VLOOKUP($C3633,DESON!$A:$D,4,))</f>
        <v>62.69</v>
      </c>
      <c r="J3633" s="209">
        <f>TRUNC(F3633*I3633,2)</f>
        <v>62.69</v>
      </c>
    </row>
    <row r="3634" spans="1:10" ht="15" customHeight="1">
      <c r="A3634" s="233" t="s">
        <v>245</v>
      </c>
      <c r="B3634" s="161"/>
      <c r="C3634" s="161">
        <v>88247</v>
      </c>
      <c r="D3634" s="161" t="str">
        <f>IF(B3634="SEPLAG",VLOOKUP(COMPOSIÇÕES!C3634,'MAPA COMPARATIVO'!A:B,2,FALSE),VLOOKUP(C3634,'NAO DESO'!A:B,2,0))</f>
        <v>AUXILIAR DE ELETRICISTA COM ENCARGOS COMPLEMENTARES</v>
      </c>
      <c r="E3634" s="247" t="s">
        <v>16</v>
      </c>
      <c r="F3634" s="248">
        <v>0.18329999999999999</v>
      </c>
      <c r="G3634" s="242" t="str">
        <f>IF(B3634="SEPLAG",VLOOKUP(CONCATENATE("MEDIANA - ",C3634),COTAÇÃO,5,FALSE),VLOOKUP($C3634,'NAO DESO'!$A:$D,4,))</f>
        <v>16,84</v>
      </c>
      <c r="H3634" s="242">
        <f>TRUNC(F3634*G3634,2)</f>
        <v>3.08</v>
      </c>
      <c r="I3634" s="54" t="str">
        <f>IF(B3634="SEPLAG",VLOOKUP(CONCATENATE("MEDIANA - ",C3634),COTAÇÃO,5,FALSE),VLOOKUP($C3634,DESON!$A:$D,4,))</f>
        <v>15,19</v>
      </c>
      <c r="J3634" s="209">
        <f>TRUNC(F3634*I3634,2)</f>
        <v>2.78</v>
      </c>
    </row>
    <row r="3635" spans="1:10" ht="15" customHeight="1">
      <c r="A3635" s="233" t="s">
        <v>245</v>
      </c>
      <c r="B3635" s="161"/>
      <c r="C3635" s="161">
        <v>88264</v>
      </c>
      <c r="D3635" s="161" t="str">
        <f>IF(B3635="SEPLAG",VLOOKUP(COMPOSIÇÕES!C3635,'MAPA COMPARATIVO'!A:B,2,FALSE),VLOOKUP(C3635,'NAO DESO'!A:B,2,0))</f>
        <v>ELETRICISTA COM ENCARGOS COMPLEMENTARES</v>
      </c>
      <c r="E3635" s="247" t="s">
        <v>16</v>
      </c>
      <c r="F3635" s="248">
        <v>0.45179999999999998</v>
      </c>
      <c r="G3635" s="242" t="str">
        <f>IF(B3635="SEPLAG",VLOOKUP(CONCATENATE("MEDIANA - ",C3635),COTAÇÃO,5,FALSE),VLOOKUP($C3635,'NAO DESO'!$A:$D,4,))</f>
        <v>21,87</v>
      </c>
      <c r="H3635" s="242">
        <f>TRUNC(F3635*G3635,2)</f>
        <v>9.8800000000000008</v>
      </c>
      <c r="I3635" s="54" t="str">
        <f>IF(B3635="SEPLAG",VLOOKUP(CONCATENATE("MEDIANA - ",C3635),COTAÇÃO,5,FALSE),VLOOKUP($C3635,DESON!$A:$D,4,))</f>
        <v>19,53</v>
      </c>
      <c r="J3635" s="209">
        <f>TRUNC(F3635*I3635,2)</f>
        <v>8.82</v>
      </c>
    </row>
    <row r="3636" spans="1:10" ht="15" customHeight="1">
      <c r="A3636" s="210" t="str">
        <f>CONCATENATE("TOTAL DO ITEM NÃO DESON. - ",C3630)</f>
        <v>TOTAL DO ITEM NÃO DESON. - SEPLAG ELE 40</v>
      </c>
      <c r="B3636" s="432"/>
      <c r="C3636" s="432"/>
      <c r="D3636" s="432"/>
      <c r="E3636" s="430"/>
      <c r="F3636" s="1189"/>
      <c r="G3636" s="1189"/>
      <c r="H3636" s="1189">
        <f>SUM(H3633:H3635)</f>
        <v>75.649999999999991</v>
      </c>
      <c r="I3636" s="213"/>
      <c r="J3636" s="259"/>
    </row>
    <row r="3637" spans="1:10" ht="15.75" customHeight="1" thickBot="1">
      <c r="A3637" s="216" t="str">
        <f>CONCATENATE("TOTAL DO ITEM DESON. - ",C3630)</f>
        <v>TOTAL DO ITEM DESON. - SEPLAG ELE 40</v>
      </c>
      <c r="B3637" s="1148"/>
      <c r="C3637" s="1148"/>
      <c r="D3637" s="1148"/>
      <c r="E3637" s="1142"/>
      <c r="F3637" s="1190"/>
      <c r="G3637" s="1190"/>
      <c r="H3637" s="1190"/>
      <c r="I3637" s="228"/>
      <c r="J3637" s="219">
        <f>SUM(J3633:J3636)</f>
        <v>74.289999999999992</v>
      </c>
    </row>
    <row r="3638" spans="1:10" ht="15" customHeight="1" thickBot="1">
      <c r="A3638" s="421"/>
      <c r="B3638" s="1138"/>
      <c r="C3638" s="1138"/>
      <c r="D3638" s="1138"/>
      <c r="E3638" s="1154"/>
      <c r="F3638" s="1196"/>
      <c r="G3638" s="1196"/>
      <c r="H3638" s="1196"/>
      <c r="I3638" s="423"/>
      <c r="J3638" s="422"/>
    </row>
    <row r="3639" spans="1:10" ht="25.5" customHeight="1">
      <c r="A3639" s="256"/>
      <c r="B3639" s="1152"/>
      <c r="C3639" s="1152" t="s">
        <v>7590</v>
      </c>
      <c r="D3639" s="1152" t="s">
        <v>7719</v>
      </c>
      <c r="E3639" s="1152" t="s">
        <v>24</v>
      </c>
      <c r="F3639" s="1177" t="s">
        <v>18</v>
      </c>
      <c r="G3639" s="1178" t="s">
        <v>7015</v>
      </c>
      <c r="H3639" s="1179"/>
      <c r="I3639" s="200" t="s">
        <v>7016</v>
      </c>
      <c r="J3639" s="201"/>
    </row>
    <row r="3640" spans="1:10" ht="15" customHeight="1">
      <c r="A3640" s="257"/>
      <c r="B3640" s="430"/>
      <c r="C3640" s="430"/>
      <c r="D3640" s="430"/>
      <c r="E3640" s="430"/>
      <c r="F3640" s="1180"/>
      <c r="G3640" s="1180" t="s">
        <v>19</v>
      </c>
      <c r="H3640" s="1180" t="s">
        <v>20</v>
      </c>
      <c r="I3640" s="204" t="s">
        <v>19</v>
      </c>
      <c r="J3640" s="206" t="s">
        <v>20</v>
      </c>
    </row>
    <row r="3641" spans="1:10" ht="15" customHeight="1">
      <c r="A3641" s="233"/>
      <c r="B3641" s="161"/>
      <c r="C3641" s="161"/>
      <c r="D3641" s="161" t="s">
        <v>7584</v>
      </c>
      <c r="E3641" s="247"/>
      <c r="F3641" s="248"/>
      <c r="G3641" s="248"/>
      <c r="H3641" s="248"/>
      <c r="I3641" s="214"/>
      <c r="J3641" s="227"/>
    </row>
    <row r="3642" spans="1:10" ht="15" customHeight="1">
      <c r="A3642" s="233" t="s">
        <v>188</v>
      </c>
      <c r="B3642" s="161" t="s">
        <v>14504</v>
      </c>
      <c r="C3642" s="161" t="s">
        <v>14332</v>
      </c>
      <c r="D3642" s="161" t="str">
        <f>IF(B3642="SEPLAG",VLOOKUP(COMPOSIÇÕES!C3642,'MAPA COMPARATIVO'!A:B,2,FALSE),VLOOKUP(C3642,'NAO DESO'!A:B,2,0))</f>
        <v>LUMINARIA DE PAREDE TIPO ARANDELA, 5 VIDROS COR BRANCA</v>
      </c>
      <c r="E3642" s="247" t="s">
        <v>7201</v>
      </c>
      <c r="F3642" s="248">
        <v>1</v>
      </c>
      <c r="G3642" s="242">
        <f>IF(B3642="SEPLAG",VLOOKUP(CONCATENATE("MEDIANA - ",C3642),COTAÇÃO,5,FALSE),VLOOKUP($C3642,'NAO DESO'!$A:$D,4,))</f>
        <v>149.49</v>
      </c>
      <c r="H3642" s="242">
        <f>TRUNC(F3642*G3642,2)</f>
        <v>149.49</v>
      </c>
      <c r="I3642" s="54">
        <f>IF(B3642="SEPLAG",VLOOKUP(CONCATENATE("MEDIANA - ",C3642),COTAÇÃO,5,FALSE),VLOOKUP($C3642,DESON!$A:$D,4,))</f>
        <v>149.49</v>
      </c>
      <c r="J3642" s="209">
        <f>TRUNC(F3642*I3642,2)</f>
        <v>149.49</v>
      </c>
    </row>
    <row r="3643" spans="1:10" ht="15" customHeight="1">
      <c r="A3643" s="233" t="s">
        <v>245</v>
      </c>
      <c r="B3643" s="161"/>
      <c r="C3643" s="161">
        <v>88247</v>
      </c>
      <c r="D3643" s="161" t="str">
        <f>IF(B3643="SEPLAG",VLOOKUP(COMPOSIÇÕES!C3643,'MAPA COMPARATIVO'!A:B,2,FALSE),VLOOKUP(C3643,'NAO DESO'!A:B,2,0))</f>
        <v>AUXILIAR DE ELETRICISTA COM ENCARGOS COMPLEMENTARES</v>
      </c>
      <c r="E3643" s="247" t="s">
        <v>16</v>
      </c>
      <c r="F3643" s="248">
        <v>0.18329999999999999</v>
      </c>
      <c r="G3643" s="242" t="str">
        <f>IF(B3643="SEPLAG",VLOOKUP(CONCATENATE("MEDIANA - ",C3643),COTAÇÃO,5,FALSE),VLOOKUP($C3643,'NAO DESO'!$A:$D,4,))</f>
        <v>16,84</v>
      </c>
      <c r="H3643" s="242">
        <f>TRUNC(F3643*G3643,2)</f>
        <v>3.08</v>
      </c>
      <c r="I3643" s="54" t="str">
        <f>IF(B3643="SEPLAG",VLOOKUP(CONCATENATE("MEDIANA - ",C3643),COTAÇÃO,5,FALSE),VLOOKUP($C3643,DESON!$A:$D,4,))</f>
        <v>15,19</v>
      </c>
      <c r="J3643" s="209">
        <f>TRUNC(F3643*I3643,2)</f>
        <v>2.78</v>
      </c>
    </row>
    <row r="3644" spans="1:10" ht="15" customHeight="1">
      <c r="A3644" s="233" t="s">
        <v>245</v>
      </c>
      <c r="B3644" s="161"/>
      <c r="C3644" s="161">
        <v>88264</v>
      </c>
      <c r="D3644" s="161" t="str">
        <f>IF(B3644="SEPLAG",VLOOKUP(COMPOSIÇÕES!C3644,'MAPA COMPARATIVO'!A:B,2,FALSE),VLOOKUP(C3644,'NAO DESO'!A:B,2,0))</f>
        <v>ELETRICISTA COM ENCARGOS COMPLEMENTARES</v>
      </c>
      <c r="E3644" s="247" t="s">
        <v>16</v>
      </c>
      <c r="F3644" s="248">
        <v>0.45179999999999998</v>
      </c>
      <c r="G3644" s="242" t="str">
        <f>IF(B3644="SEPLAG",VLOOKUP(CONCATENATE("MEDIANA - ",C3644),COTAÇÃO,5,FALSE),VLOOKUP($C3644,'NAO DESO'!$A:$D,4,))</f>
        <v>21,87</v>
      </c>
      <c r="H3644" s="242">
        <f>TRUNC(F3644*G3644,2)</f>
        <v>9.8800000000000008</v>
      </c>
      <c r="I3644" s="54" t="str">
        <f>IF(B3644="SEPLAG",VLOOKUP(CONCATENATE("MEDIANA - ",C3644),COTAÇÃO,5,FALSE),VLOOKUP($C3644,DESON!$A:$D,4,))</f>
        <v>19,53</v>
      </c>
      <c r="J3644" s="209">
        <f>TRUNC(F3644*I3644,2)</f>
        <v>8.82</v>
      </c>
    </row>
    <row r="3645" spans="1:10" ht="15" customHeight="1">
      <c r="A3645" s="210" t="str">
        <f>CONCATENATE("TOTAL DO ITEM NÃO DESON. - ",C3639)</f>
        <v>TOTAL DO ITEM NÃO DESON. - SEPLAG ELE 41</v>
      </c>
      <c r="B3645" s="432"/>
      <c r="C3645" s="432"/>
      <c r="D3645" s="432"/>
      <c r="E3645" s="430"/>
      <c r="F3645" s="1189"/>
      <c r="G3645" s="1189"/>
      <c r="H3645" s="1189">
        <f>SUM(H3642:H3644)</f>
        <v>162.45000000000002</v>
      </c>
      <c r="I3645" s="213"/>
      <c r="J3645" s="259"/>
    </row>
    <row r="3646" spans="1:10" ht="15.75" customHeight="1" thickBot="1">
      <c r="A3646" s="216" t="str">
        <f>CONCATENATE("TOTAL DO ITEM DESON. - ",C3639)</f>
        <v>TOTAL DO ITEM DESON. - SEPLAG ELE 41</v>
      </c>
      <c r="B3646" s="1148"/>
      <c r="C3646" s="1148"/>
      <c r="D3646" s="1148"/>
      <c r="E3646" s="1142"/>
      <c r="F3646" s="1190"/>
      <c r="G3646" s="1190"/>
      <c r="H3646" s="1190"/>
      <c r="I3646" s="228"/>
      <c r="J3646" s="219">
        <f>SUM(J3642:J3645)</f>
        <v>161.09</v>
      </c>
    </row>
    <row r="3647" spans="1:10" ht="15" customHeight="1" thickBot="1">
      <c r="A3647" s="421"/>
      <c r="B3647" s="1138"/>
      <c r="C3647" s="1138"/>
      <c r="D3647" s="1138"/>
      <c r="E3647" s="1154"/>
      <c r="F3647" s="1196"/>
      <c r="G3647" s="1196"/>
      <c r="H3647" s="1196"/>
      <c r="I3647" s="423"/>
      <c r="J3647" s="422"/>
    </row>
    <row r="3648" spans="1:10" ht="38.25" customHeight="1">
      <c r="A3648" s="256"/>
      <c r="B3648" s="1152"/>
      <c r="C3648" s="1152" t="s">
        <v>7591</v>
      </c>
      <c r="D3648" s="152" t="s">
        <v>7720</v>
      </c>
      <c r="E3648" s="1152" t="s">
        <v>24</v>
      </c>
      <c r="F3648" s="1177" t="s">
        <v>18</v>
      </c>
      <c r="G3648" s="1178" t="s">
        <v>7015</v>
      </c>
      <c r="H3648" s="1179"/>
      <c r="I3648" s="200" t="s">
        <v>7016</v>
      </c>
      <c r="J3648" s="201"/>
    </row>
    <row r="3649" spans="1:10" ht="15" customHeight="1">
      <c r="A3649" s="257"/>
      <c r="B3649" s="430"/>
      <c r="C3649" s="430"/>
      <c r="D3649" s="430"/>
      <c r="E3649" s="430"/>
      <c r="F3649" s="1180"/>
      <c r="G3649" s="1180" t="s">
        <v>19</v>
      </c>
      <c r="H3649" s="1180" t="s">
        <v>20</v>
      </c>
      <c r="I3649" s="204" t="s">
        <v>19</v>
      </c>
      <c r="J3649" s="206" t="s">
        <v>20</v>
      </c>
    </row>
    <row r="3650" spans="1:10" ht="15" customHeight="1">
      <c r="A3650" s="233"/>
      <c r="B3650" s="161"/>
      <c r="C3650" s="161"/>
      <c r="D3650" s="161" t="s">
        <v>7584</v>
      </c>
      <c r="E3650" s="247"/>
      <c r="F3650" s="248"/>
      <c r="G3650" s="248"/>
      <c r="H3650" s="248"/>
      <c r="I3650" s="214"/>
      <c r="J3650" s="227"/>
    </row>
    <row r="3651" spans="1:10" ht="26.25" customHeight="1">
      <c r="A3651" s="233" t="s">
        <v>188</v>
      </c>
      <c r="B3651" s="161" t="s">
        <v>14504</v>
      </c>
      <c r="C3651" s="161" t="s">
        <v>14333</v>
      </c>
      <c r="D3651" s="161" t="str">
        <f>IF(B3651="SEPLAG",VLOOKUP(COMPOSIÇÕES!C3651,'MAPA COMPARATIVO'!A:B,2,FALSE),VLOOKUP(C3651,'NAO DESO'!A:B,2,0))</f>
        <v>SPOT DE EMBUTIR LED REDONDO PAR PARA MDF 2700KW, 1W, DIÂMETRO DE 3CM, ALUMINIO PRATA, MARCA BRILIA OU SIMILAR.</v>
      </c>
      <c r="E3651" s="247" t="s">
        <v>7201</v>
      </c>
      <c r="F3651" s="248">
        <v>1</v>
      </c>
      <c r="G3651" s="242">
        <f>IF(B3651="SEPLAG",VLOOKUP(CONCATENATE("MEDIANA - ",C3651),COTAÇÃO,5,FALSE),VLOOKUP($C3651,'NAO DESO'!$A:$D,4,))</f>
        <v>19.739999999999998</v>
      </c>
      <c r="H3651" s="242">
        <f>TRUNC(F3651*G3651,2)</f>
        <v>19.739999999999998</v>
      </c>
      <c r="I3651" s="54">
        <f>IF(B3651="SEPLAG",VLOOKUP(CONCATENATE("MEDIANA - ",C3651),COTAÇÃO,5,FALSE),VLOOKUP($C3651,DESON!$A:$D,4,))</f>
        <v>19.739999999999998</v>
      </c>
      <c r="J3651" s="209">
        <f>TRUNC(F3651*I3651,2)</f>
        <v>19.739999999999998</v>
      </c>
    </row>
    <row r="3652" spans="1:10" ht="15" customHeight="1">
      <c r="A3652" s="233" t="s">
        <v>245</v>
      </c>
      <c r="B3652" s="161"/>
      <c r="C3652" s="161">
        <v>88247</v>
      </c>
      <c r="D3652" s="161" t="str">
        <f>IF(B3652="SEPLAG",VLOOKUP(COMPOSIÇÕES!C3652,'MAPA COMPARATIVO'!A:B,2,FALSE),VLOOKUP(C3652,'NAO DESO'!A:B,2,0))</f>
        <v>AUXILIAR DE ELETRICISTA COM ENCARGOS COMPLEMENTARES</v>
      </c>
      <c r="E3652" s="247" t="s">
        <v>16</v>
      </c>
      <c r="F3652" s="248">
        <v>0.18329999999999999</v>
      </c>
      <c r="G3652" s="242" t="str">
        <f>IF(B3652="SEPLAG",VLOOKUP(CONCATENATE("MEDIANA - ",C3652),COTAÇÃO,5,FALSE),VLOOKUP($C3652,'NAO DESO'!$A:$D,4,))</f>
        <v>16,84</v>
      </c>
      <c r="H3652" s="242">
        <f>TRUNC(F3652*G3652,2)</f>
        <v>3.08</v>
      </c>
      <c r="I3652" s="54" t="str">
        <f>IF(B3652="SEPLAG",VLOOKUP(CONCATENATE("MEDIANA - ",C3652),COTAÇÃO,5,FALSE),VLOOKUP($C3652,DESON!$A:$D,4,))</f>
        <v>15,19</v>
      </c>
      <c r="J3652" s="209">
        <f>TRUNC(F3652*I3652,2)</f>
        <v>2.78</v>
      </c>
    </row>
    <row r="3653" spans="1:10" ht="15" customHeight="1">
      <c r="A3653" s="233" t="s">
        <v>245</v>
      </c>
      <c r="B3653" s="161"/>
      <c r="C3653" s="161">
        <v>88264</v>
      </c>
      <c r="D3653" s="161" t="str">
        <f>IF(B3653="SEPLAG",VLOOKUP(COMPOSIÇÕES!C3653,'MAPA COMPARATIVO'!A:B,2,FALSE),VLOOKUP(C3653,'NAO DESO'!A:B,2,0))</f>
        <v>ELETRICISTA COM ENCARGOS COMPLEMENTARES</v>
      </c>
      <c r="E3653" s="247" t="s">
        <v>16</v>
      </c>
      <c r="F3653" s="248">
        <v>0.45179999999999998</v>
      </c>
      <c r="G3653" s="242" t="str">
        <f>IF(B3653="SEPLAG",VLOOKUP(CONCATENATE("MEDIANA - ",C3653),COTAÇÃO,5,FALSE),VLOOKUP($C3653,'NAO DESO'!$A:$D,4,))</f>
        <v>21,87</v>
      </c>
      <c r="H3653" s="242">
        <f>TRUNC(F3653*G3653,2)</f>
        <v>9.8800000000000008</v>
      </c>
      <c r="I3653" s="54" t="str">
        <f>IF(B3653="SEPLAG",VLOOKUP(CONCATENATE("MEDIANA - ",C3653),COTAÇÃO,5,FALSE),VLOOKUP($C3653,DESON!$A:$D,4,))</f>
        <v>19,53</v>
      </c>
      <c r="J3653" s="209">
        <f>TRUNC(F3653*I3653,2)</f>
        <v>8.82</v>
      </c>
    </row>
    <row r="3654" spans="1:10" ht="15" customHeight="1">
      <c r="A3654" s="210" t="str">
        <f>CONCATENATE("TOTAL DO ITEM NÃO DESON. - ",C3648)</f>
        <v>TOTAL DO ITEM NÃO DESON. - SEPLAG ELE 42</v>
      </c>
      <c r="B3654" s="432"/>
      <c r="C3654" s="432"/>
      <c r="D3654" s="432"/>
      <c r="E3654" s="430"/>
      <c r="F3654" s="1189"/>
      <c r="G3654" s="1189"/>
      <c r="H3654" s="1189">
        <f>SUM(H3651:H3653)</f>
        <v>32.700000000000003</v>
      </c>
      <c r="I3654" s="213"/>
      <c r="J3654" s="259"/>
    </row>
    <row r="3655" spans="1:10" ht="15.75" customHeight="1" thickBot="1">
      <c r="A3655" s="216" t="str">
        <f>CONCATENATE("TOTAL DO ITEM DESON. - ",C3648)</f>
        <v>TOTAL DO ITEM DESON. - SEPLAG ELE 42</v>
      </c>
      <c r="B3655" s="1148"/>
      <c r="C3655" s="1148"/>
      <c r="D3655" s="1148"/>
      <c r="E3655" s="1142"/>
      <c r="F3655" s="1190"/>
      <c r="G3655" s="1190"/>
      <c r="H3655" s="1190"/>
      <c r="I3655" s="228"/>
      <c r="J3655" s="219">
        <f>SUM(J3651:J3654)</f>
        <v>31.34</v>
      </c>
    </row>
    <row r="3656" spans="1:10" ht="15" customHeight="1" thickBot="1">
      <c r="A3656" s="421"/>
      <c r="B3656" s="1138"/>
      <c r="C3656" s="1138"/>
      <c r="D3656" s="1138"/>
      <c r="E3656" s="1154"/>
      <c r="F3656" s="1196"/>
      <c r="G3656" s="1196"/>
      <c r="H3656" s="1196"/>
      <c r="I3656" s="423"/>
      <c r="J3656" s="422"/>
    </row>
    <row r="3657" spans="1:10" ht="51" customHeight="1">
      <c r="A3657" s="256"/>
      <c r="B3657" s="1152"/>
      <c r="C3657" s="1152" t="s">
        <v>7592</v>
      </c>
      <c r="D3657" s="152" t="s">
        <v>7721</v>
      </c>
      <c r="E3657" s="1152" t="s">
        <v>24</v>
      </c>
      <c r="F3657" s="1177" t="s">
        <v>18</v>
      </c>
      <c r="G3657" s="1178" t="s">
        <v>7015</v>
      </c>
      <c r="H3657" s="1179"/>
      <c r="I3657" s="200" t="s">
        <v>7016</v>
      </c>
      <c r="J3657" s="201"/>
    </row>
    <row r="3658" spans="1:10" ht="15" customHeight="1">
      <c r="A3658" s="257"/>
      <c r="B3658" s="430"/>
      <c r="C3658" s="430"/>
      <c r="D3658" s="430"/>
      <c r="E3658" s="430"/>
      <c r="F3658" s="1180"/>
      <c r="G3658" s="1180" t="s">
        <v>19</v>
      </c>
      <c r="H3658" s="1180" t="s">
        <v>20</v>
      </c>
      <c r="I3658" s="204" t="s">
        <v>19</v>
      </c>
      <c r="J3658" s="206" t="s">
        <v>20</v>
      </c>
    </row>
    <row r="3659" spans="1:10" ht="15" customHeight="1">
      <c r="A3659" s="233"/>
      <c r="B3659" s="161"/>
      <c r="C3659" s="161"/>
      <c r="D3659" s="161" t="s">
        <v>7584</v>
      </c>
      <c r="E3659" s="247"/>
      <c r="F3659" s="248"/>
      <c r="G3659" s="248"/>
      <c r="H3659" s="248"/>
      <c r="I3659" s="214"/>
      <c r="J3659" s="227"/>
    </row>
    <row r="3660" spans="1:10" ht="39" customHeight="1">
      <c r="A3660" s="233" t="s">
        <v>188</v>
      </c>
      <c r="B3660" s="161" t="s">
        <v>14504</v>
      </c>
      <c r="C3660" s="161" t="s">
        <v>14334</v>
      </c>
      <c r="D3660" s="161" t="str">
        <f>IF(B3660="SEPLAG",VLOOKUP(COMPOSIÇÕES!C3660,'MAPA COMPARATIVO'!A:B,2,FALSE),VLOOKUP(C3660,'NAO DESO'!A:B,2,0))</f>
        <v>LUMINÁRIA PENDENTE LINEA EM MADEIRA 130CM, PARA LÂMPADA T8 120 CM, DE 40W COM ALIMENTAÇÃO POR UMA EXTREMIDADE, MEDIDAS DE 130X7,50X8 CM, MARCA PLUG DESIGN OU SIMILAR</v>
      </c>
      <c r="E3660" s="247" t="s">
        <v>7201</v>
      </c>
      <c r="F3660" s="248">
        <v>1</v>
      </c>
      <c r="G3660" s="242">
        <f>IF(B3660="SEPLAG",VLOOKUP(CONCATENATE("MEDIANA - ",C3660),COTAÇÃO,5,FALSE),VLOOKUP($C3660,'NAO DESO'!$A:$D,4,))</f>
        <v>688.1</v>
      </c>
      <c r="H3660" s="242">
        <f>TRUNC(F3660*G3660,2)</f>
        <v>688.1</v>
      </c>
      <c r="I3660" s="54">
        <f>IF(B3660="SEPLAG",VLOOKUP(CONCATENATE("MEDIANA - ",C3660),COTAÇÃO,5,FALSE),VLOOKUP($C3660,DESON!$A:$D,4,))</f>
        <v>688.1</v>
      </c>
      <c r="J3660" s="209">
        <f>TRUNC(F3660*I3660,2)</f>
        <v>688.1</v>
      </c>
    </row>
    <row r="3661" spans="1:10" ht="15" customHeight="1">
      <c r="A3661" s="233" t="s">
        <v>188</v>
      </c>
      <c r="B3661" s="161" t="s">
        <v>14504</v>
      </c>
      <c r="C3661" s="161" t="s">
        <v>14335</v>
      </c>
      <c r="D3661" s="161" t="str">
        <f>IF(B3661="SEPLAG",VLOOKUP(COMPOSIÇÕES!C3661,'MAPA COMPARATIVO'!A:B,2,FALSE),VLOOKUP(C3661,'NAO DESO'!A:B,2,0))</f>
        <v>BRILIA LÂMPADA TUBE LED 18W 6500K</v>
      </c>
      <c r="E3661" s="247" t="s">
        <v>7201</v>
      </c>
      <c r="F3661" s="248">
        <v>2</v>
      </c>
      <c r="G3661" s="242">
        <f>IF(B3661="SEPLAG",VLOOKUP(CONCATENATE("MEDIANA - ",C3661),COTAÇÃO,5,FALSE),VLOOKUP($C3661,'NAO DESO'!$A:$D,4,))</f>
        <v>22.37</v>
      </c>
      <c r="H3661" s="242">
        <f>TRUNC(F3661*G3661,2)</f>
        <v>44.74</v>
      </c>
      <c r="I3661" s="54">
        <f>IF(B3661="SEPLAG",VLOOKUP(CONCATENATE("MEDIANA - ",C3661),COTAÇÃO,5,FALSE),VLOOKUP($C3661,DESON!$A:$D,4,))</f>
        <v>22.37</v>
      </c>
      <c r="J3661" s="209">
        <f>TRUNC(F3661*I3661,2)</f>
        <v>44.74</v>
      </c>
    </row>
    <row r="3662" spans="1:10" ht="15" customHeight="1">
      <c r="A3662" s="233" t="s">
        <v>245</v>
      </c>
      <c r="B3662" s="161"/>
      <c r="C3662" s="161">
        <v>88247</v>
      </c>
      <c r="D3662" s="161" t="str">
        <f>IF(B3662="SEPLAG",VLOOKUP(COMPOSIÇÕES!C3662,'MAPA COMPARATIVO'!A:B,2,FALSE),VLOOKUP(C3662,'NAO DESO'!A:B,2,0))</f>
        <v>AUXILIAR DE ELETRICISTA COM ENCARGOS COMPLEMENTARES</v>
      </c>
      <c r="E3662" s="247" t="s">
        <v>16</v>
      </c>
      <c r="F3662" s="248">
        <v>0.18329999999999999</v>
      </c>
      <c r="G3662" s="242" t="str">
        <f>IF(B3662="SEPLAG",VLOOKUP(CONCATENATE("MEDIANA - ",C3662),COTAÇÃO,5,FALSE),VLOOKUP($C3662,'NAO DESO'!$A:$D,4,))</f>
        <v>16,84</v>
      </c>
      <c r="H3662" s="242">
        <f>TRUNC(F3662*G3662,2)</f>
        <v>3.08</v>
      </c>
      <c r="I3662" s="54" t="str">
        <f>IF(B3662="SEPLAG",VLOOKUP(CONCATENATE("MEDIANA - ",C3662),COTAÇÃO,5,FALSE),VLOOKUP($C3662,DESON!$A:$D,4,))</f>
        <v>15,19</v>
      </c>
      <c r="J3662" s="209">
        <f>TRUNC(F3662*I3662,2)</f>
        <v>2.78</v>
      </c>
    </row>
    <row r="3663" spans="1:10" ht="15" customHeight="1">
      <c r="A3663" s="233" t="s">
        <v>245</v>
      </c>
      <c r="B3663" s="161"/>
      <c r="C3663" s="161">
        <v>88264</v>
      </c>
      <c r="D3663" s="161" t="str">
        <f>IF(B3663="SEPLAG",VLOOKUP(COMPOSIÇÕES!C3663,'MAPA COMPARATIVO'!A:B,2,FALSE),VLOOKUP(C3663,'NAO DESO'!A:B,2,0))</f>
        <v>ELETRICISTA COM ENCARGOS COMPLEMENTARES</v>
      </c>
      <c r="E3663" s="247" t="s">
        <v>16</v>
      </c>
      <c r="F3663" s="248">
        <v>0.45179999999999998</v>
      </c>
      <c r="G3663" s="242" t="str">
        <f>IF(B3663="SEPLAG",VLOOKUP(CONCATENATE("MEDIANA - ",C3663),COTAÇÃO,5,FALSE),VLOOKUP($C3663,'NAO DESO'!$A:$D,4,))</f>
        <v>21,87</v>
      </c>
      <c r="H3663" s="242">
        <f>TRUNC(F3663*G3663,2)</f>
        <v>9.8800000000000008</v>
      </c>
      <c r="I3663" s="54" t="str">
        <f>IF(B3663="SEPLAG",VLOOKUP(CONCATENATE("MEDIANA - ",C3663),COTAÇÃO,5,FALSE),VLOOKUP($C3663,DESON!$A:$D,4,))</f>
        <v>19,53</v>
      </c>
      <c r="J3663" s="209">
        <f>TRUNC(F3663*I3663,2)</f>
        <v>8.82</v>
      </c>
    </row>
    <row r="3664" spans="1:10" ht="15" customHeight="1">
      <c r="A3664" s="210" t="str">
        <f>CONCATENATE("TOTAL DO ITEM NÃO DESON. - ",C3657)</f>
        <v>TOTAL DO ITEM NÃO DESON. - SEPLAG ELE 43</v>
      </c>
      <c r="B3664" s="432"/>
      <c r="C3664" s="432"/>
      <c r="D3664" s="432"/>
      <c r="E3664" s="430"/>
      <c r="F3664" s="1189"/>
      <c r="G3664" s="1189"/>
      <c r="H3664" s="1189">
        <f>SUM(H3660:H3663)</f>
        <v>745.80000000000007</v>
      </c>
      <c r="I3664" s="213"/>
      <c r="J3664" s="259"/>
    </row>
    <row r="3665" spans="1:10" ht="15.75" customHeight="1" thickBot="1">
      <c r="A3665" s="216" t="str">
        <f>CONCATENATE("TOTAL DO ITEM DESON. - ",C3657)</f>
        <v>TOTAL DO ITEM DESON. - SEPLAG ELE 43</v>
      </c>
      <c r="B3665" s="1148"/>
      <c r="C3665" s="1148"/>
      <c r="D3665" s="1148"/>
      <c r="E3665" s="1142"/>
      <c r="F3665" s="1190"/>
      <c r="G3665" s="1190"/>
      <c r="H3665" s="1190"/>
      <c r="I3665" s="228"/>
      <c r="J3665" s="219">
        <f>SUM(J3660:J3664)</f>
        <v>744.44</v>
      </c>
    </row>
    <row r="3666" spans="1:10" ht="15" customHeight="1" thickBot="1">
      <c r="A3666" s="421"/>
      <c r="B3666" s="1138"/>
      <c r="C3666" s="1138"/>
      <c r="D3666" s="1138"/>
      <c r="E3666" s="1154"/>
      <c r="F3666" s="1196"/>
      <c r="G3666" s="1196"/>
      <c r="H3666" s="1196"/>
      <c r="I3666" s="423"/>
      <c r="J3666" s="422"/>
    </row>
    <row r="3667" spans="1:10" ht="38.25" customHeight="1">
      <c r="A3667" s="256"/>
      <c r="B3667" s="1152"/>
      <c r="C3667" s="1152" t="s">
        <v>7593</v>
      </c>
      <c r="D3667" s="152" t="s">
        <v>7722</v>
      </c>
      <c r="E3667" s="1152" t="s">
        <v>24</v>
      </c>
      <c r="F3667" s="1177" t="s">
        <v>18</v>
      </c>
      <c r="G3667" s="1178" t="s">
        <v>7015</v>
      </c>
      <c r="H3667" s="1179"/>
      <c r="I3667" s="200" t="s">
        <v>7016</v>
      </c>
      <c r="J3667" s="201"/>
    </row>
    <row r="3668" spans="1:10" ht="15" customHeight="1">
      <c r="A3668" s="257"/>
      <c r="B3668" s="430"/>
      <c r="C3668" s="430"/>
      <c r="D3668" s="430"/>
      <c r="E3668" s="430"/>
      <c r="F3668" s="1180"/>
      <c r="G3668" s="1180" t="s">
        <v>19</v>
      </c>
      <c r="H3668" s="1180" t="s">
        <v>20</v>
      </c>
      <c r="I3668" s="204" t="s">
        <v>19</v>
      </c>
      <c r="J3668" s="206" t="s">
        <v>20</v>
      </c>
    </row>
    <row r="3669" spans="1:10" ht="15" customHeight="1">
      <c r="A3669" s="233"/>
      <c r="B3669" s="161"/>
      <c r="C3669" s="161"/>
      <c r="D3669" s="161" t="s">
        <v>7584</v>
      </c>
      <c r="E3669" s="247"/>
      <c r="F3669" s="248"/>
      <c r="G3669" s="248"/>
      <c r="H3669" s="248"/>
      <c r="I3669" s="214"/>
      <c r="J3669" s="227"/>
    </row>
    <row r="3670" spans="1:10" ht="39" customHeight="1">
      <c r="A3670" s="233" t="s">
        <v>188</v>
      </c>
      <c r="B3670" s="161" t="s">
        <v>14504</v>
      </c>
      <c r="C3670" s="161" t="s">
        <v>14336</v>
      </c>
      <c r="D3670" s="161" t="str">
        <f>IF(B3670="SEPLAG",VLOOKUP(COMPOSIÇÕES!C3670,'MAPA COMPARATIVO'!A:B,2,FALSE),VLOOKUP(C3670,'NAO DESO'!A:B,2,0))</f>
        <v>LUMINÁRIA CORPO EM MADEIRA MACIÇA JEQUITIBÁ 5X5X30 CM, COM SOQUETE GU10 PARA LÂMPADA MINI DICRÓICA LED 10W, MARCA PLUG DESIGN OU SIMILAR.</v>
      </c>
      <c r="E3670" s="247" t="s">
        <v>7201</v>
      </c>
      <c r="F3670" s="248">
        <v>1</v>
      </c>
      <c r="G3670" s="242">
        <f>IF(B3670="SEPLAG",VLOOKUP(CONCATENATE("MEDIANA - ",C3670),COTAÇÃO,5,FALSE),VLOOKUP($C3670,'NAO DESO'!$A:$D,4,))</f>
        <v>308.10000000000002</v>
      </c>
      <c r="H3670" s="242">
        <f>TRUNC(F3670*G3670,2)</f>
        <v>308.10000000000002</v>
      </c>
      <c r="I3670" s="54">
        <f>IF(B3670="SEPLAG",VLOOKUP(CONCATENATE("MEDIANA - ",C3670),COTAÇÃO,5,FALSE),VLOOKUP($C3670,DESON!$A:$D,4,))</f>
        <v>308.10000000000002</v>
      </c>
      <c r="J3670" s="209">
        <f>TRUNC(F3670*I3670,2)</f>
        <v>308.10000000000002</v>
      </c>
    </row>
    <row r="3671" spans="1:10" ht="15" customHeight="1">
      <c r="A3671" s="233" t="s">
        <v>188</v>
      </c>
      <c r="B3671" s="161" t="s">
        <v>14504</v>
      </c>
      <c r="C3671" s="161" t="s">
        <v>14337</v>
      </c>
      <c r="D3671" s="161" t="str">
        <f>IF(B3671="SEPLAG",VLOOKUP(COMPOSIÇÕES!C3671,'MAPA COMPARATIVO'!A:B,2,FALSE),VLOOKUP(C3671,'NAO DESO'!A:B,2,0))</f>
        <v xml:space="preserve">STELLA LAMPADA DICRÓICA 6W GU10 LED </v>
      </c>
      <c r="E3671" s="247" t="s">
        <v>7201</v>
      </c>
      <c r="F3671" s="248">
        <v>2</v>
      </c>
      <c r="G3671" s="242">
        <f>IF(B3671="SEPLAG",VLOOKUP(CONCATENATE("MEDIANA - ",C3671),COTAÇÃO,5,FALSE),VLOOKUP($C3671,'NAO DESO'!$A:$D,4,))</f>
        <v>51.08</v>
      </c>
      <c r="H3671" s="242">
        <f>TRUNC(F3671*G3671,2)</f>
        <v>102.16</v>
      </c>
      <c r="I3671" s="54">
        <f>IF(B3671="SEPLAG",VLOOKUP(CONCATENATE("MEDIANA - ",C3671),COTAÇÃO,5,FALSE),VLOOKUP($C3671,DESON!$A:$D,4,))</f>
        <v>51.08</v>
      </c>
      <c r="J3671" s="209">
        <f>TRUNC(F3671*I3671,2)</f>
        <v>102.16</v>
      </c>
    </row>
    <row r="3672" spans="1:10" ht="15" customHeight="1">
      <c r="A3672" s="233" t="s">
        <v>245</v>
      </c>
      <c r="B3672" s="161"/>
      <c r="C3672" s="161">
        <v>88247</v>
      </c>
      <c r="D3672" s="161" t="str">
        <f>IF(B3672="SEPLAG",VLOOKUP(COMPOSIÇÕES!C3672,'MAPA COMPARATIVO'!A:B,2,FALSE),VLOOKUP(C3672,'NAO DESO'!A:B,2,0))</f>
        <v>AUXILIAR DE ELETRICISTA COM ENCARGOS COMPLEMENTARES</v>
      </c>
      <c r="E3672" s="247" t="s">
        <v>16</v>
      </c>
      <c r="F3672" s="248">
        <v>0.18329999999999999</v>
      </c>
      <c r="G3672" s="242" t="str">
        <f>IF(B3672="SEPLAG",VLOOKUP(CONCATENATE("MEDIANA - ",C3672),COTAÇÃO,5,FALSE),VLOOKUP($C3672,'NAO DESO'!$A:$D,4,))</f>
        <v>16,84</v>
      </c>
      <c r="H3672" s="242">
        <f>TRUNC(F3672*G3672,2)</f>
        <v>3.08</v>
      </c>
      <c r="I3672" s="54" t="str">
        <f>IF(B3672="SEPLAG",VLOOKUP(CONCATENATE("MEDIANA - ",C3672),COTAÇÃO,5,FALSE),VLOOKUP($C3672,DESON!$A:$D,4,))</f>
        <v>15,19</v>
      </c>
      <c r="J3672" s="209">
        <f>TRUNC(F3672*I3672,2)</f>
        <v>2.78</v>
      </c>
    </row>
    <row r="3673" spans="1:10" ht="15" customHeight="1">
      <c r="A3673" s="233" t="s">
        <v>245</v>
      </c>
      <c r="B3673" s="161"/>
      <c r="C3673" s="161">
        <v>88264</v>
      </c>
      <c r="D3673" s="161" t="str">
        <f>IF(B3673="SEPLAG",VLOOKUP(COMPOSIÇÕES!C3673,'MAPA COMPARATIVO'!A:B,2,FALSE),VLOOKUP(C3673,'NAO DESO'!A:B,2,0))</f>
        <v>ELETRICISTA COM ENCARGOS COMPLEMENTARES</v>
      </c>
      <c r="E3673" s="247" t="s">
        <v>16</v>
      </c>
      <c r="F3673" s="248">
        <v>0.45179999999999998</v>
      </c>
      <c r="G3673" s="242" t="str">
        <f>IF(B3673="SEPLAG",VLOOKUP(CONCATENATE("MEDIANA - ",C3673),COTAÇÃO,5,FALSE),VLOOKUP($C3673,'NAO DESO'!$A:$D,4,))</f>
        <v>21,87</v>
      </c>
      <c r="H3673" s="242">
        <f>TRUNC(F3673*G3673,2)</f>
        <v>9.8800000000000008</v>
      </c>
      <c r="I3673" s="54" t="str">
        <f>IF(B3673="SEPLAG",VLOOKUP(CONCATENATE("MEDIANA - ",C3673),COTAÇÃO,5,FALSE),VLOOKUP($C3673,DESON!$A:$D,4,))</f>
        <v>19,53</v>
      </c>
      <c r="J3673" s="209">
        <f>TRUNC(F3673*I3673,2)</f>
        <v>8.82</v>
      </c>
    </row>
    <row r="3674" spans="1:10" ht="15" customHeight="1">
      <c r="A3674" s="210" t="str">
        <f>CONCATENATE("TOTAL DO ITEM NÃO DESON. - ",C3667)</f>
        <v>TOTAL DO ITEM NÃO DESON. - SEPLAG ELE 44</v>
      </c>
      <c r="B3674" s="432"/>
      <c r="C3674" s="432"/>
      <c r="D3674" s="432"/>
      <c r="E3674" s="430"/>
      <c r="F3674" s="1189"/>
      <c r="G3674" s="1189"/>
      <c r="H3674" s="1189">
        <f>SUM(H3670:H3673)</f>
        <v>423.21999999999997</v>
      </c>
      <c r="I3674" s="213"/>
      <c r="J3674" s="259"/>
    </row>
    <row r="3675" spans="1:10" ht="15.75" customHeight="1" thickBot="1">
      <c r="A3675" s="216" t="str">
        <f>CONCATENATE("TOTAL DO ITEM DESON. - ",C3667)</f>
        <v>TOTAL DO ITEM DESON. - SEPLAG ELE 44</v>
      </c>
      <c r="B3675" s="1148"/>
      <c r="C3675" s="1148"/>
      <c r="D3675" s="1148"/>
      <c r="E3675" s="1142"/>
      <c r="F3675" s="1190"/>
      <c r="G3675" s="1190"/>
      <c r="H3675" s="1190"/>
      <c r="I3675" s="228"/>
      <c r="J3675" s="219">
        <f>SUM(J3670:J3674)</f>
        <v>421.85999999999996</v>
      </c>
    </row>
    <row r="3676" spans="1:10" ht="15" customHeight="1">
      <c r="A3676" s="457"/>
      <c r="B3676" s="1150"/>
      <c r="C3676" s="1150"/>
      <c r="D3676" s="1150"/>
      <c r="E3676" s="1223"/>
      <c r="F3676" s="1224"/>
      <c r="G3676" s="1224"/>
      <c r="H3676" s="1224"/>
      <c r="I3676" s="459"/>
      <c r="J3676" s="458"/>
    </row>
    <row r="3677" spans="1:10" ht="38.25" customHeight="1">
      <c r="A3677" s="153"/>
      <c r="B3677" s="430"/>
      <c r="C3677" s="430" t="s">
        <v>7594</v>
      </c>
      <c r="D3677" s="158" t="s">
        <v>7723</v>
      </c>
      <c r="E3677" s="430" t="s">
        <v>24</v>
      </c>
      <c r="F3677" s="1180" t="s">
        <v>18</v>
      </c>
      <c r="G3677" s="1164" t="s">
        <v>7015</v>
      </c>
      <c r="H3677" s="426"/>
      <c r="I3677" s="461" t="s">
        <v>7016</v>
      </c>
      <c r="J3677" s="417"/>
    </row>
    <row r="3678" spans="1:10" ht="15" customHeight="1">
      <c r="A3678" s="153"/>
      <c r="B3678" s="430"/>
      <c r="C3678" s="430"/>
      <c r="D3678" s="430"/>
      <c r="E3678" s="430"/>
      <c r="F3678" s="1180"/>
      <c r="G3678" s="1180" t="s">
        <v>19</v>
      </c>
      <c r="H3678" s="1180" t="s">
        <v>20</v>
      </c>
      <c r="I3678" s="204" t="s">
        <v>19</v>
      </c>
      <c r="J3678" s="204" t="s">
        <v>20</v>
      </c>
    </row>
    <row r="3679" spans="1:10" ht="15" customHeight="1">
      <c r="A3679" s="299"/>
      <c r="B3679" s="161"/>
      <c r="C3679" s="161"/>
      <c r="D3679" s="161" t="s">
        <v>7584</v>
      </c>
      <c r="E3679" s="247"/>
      <c r="F3679" s="248"/>
      <c r="G3679" s="248"/>
      <c r="H3679" s="248"/>
      <c r="I3679" s="214"/>
      <c r="J3679" s="231"/>
    </row>
    <row r="3680" spans="1:10" ht="26.25" customHeight="1">
      <c r="A3680" s="299" t="s">
        <v>188</v>
      </c>
      <c r="B3680" s="161" t="s">
        <v>14504</v>
      </c>
      <c r="C3680" s="161" t="s">
        <v>14338</v>
      </c>
      <c r="D3680" s="161" t="str">
        <f>IF(B3680="SEPLAG",VLOOKUP(COMPOSIÇÕES!C3680,'MAPA COMPARATIVO'!A:B,2,FALSE),VLOOKUP(C3680,'NAO DESO'!A:B,2,0))</f>
        <v>LUMINÁRIA PENDENTE ANEL RING PRETO 1 ARCO 20W, 40CM COM LED INTEGRADO, MARCA STARLUMEN OU SIMILAR.</v>
      </c>
      <c r="E3680" s="247" t="s">
        <v>7201</v>
      </c>
      <c r="F3680" s="248">
        <v>1</v>
      </c>
      <c r="G3680" s="242">
        <f>IF(B3680="SEPLAG",VLOOKUP(CONCATENATE("MEDIANA - ",C3680),COTAÇÃO,5,FALSE),VLOOKUP($C3680,'NAO DESO'!$A:$D,4,))</f>
        <v>722.2</v>
      </c>
      <c r="H3680" s="242">
        <f>TRUNC(F3680*G3680,2)</f>
        <v>722.2</v>
      </c>
      <c r="I3680" s="54">
        <f>IF(B3680="SEPLAG",VLOOKUP(CONCATENATE("MEDIANA - ",C3680),COTAÇÃO,5,FALSE),VLOOKUP($C3680,DESON!$A:$D,4,))</f>
        <v>722.2</v>
      </c>
      <c r="J3680" s="209">
        <f>TRUNC(F3680*I3680,2)</f>
        <v>722.2</v>
      </c>
    </row>
    <row r="3681" spans="1:10" ht="15" customHeight="1">
      <c r="A3681" s="299" t="s">
        <v>188</v>
      </c>
      <c r="B3681" s="161" t="s">
        <v>14504</v>
      </c>
      <c r="C3681" s="161" t="s">
        <v>14339</v>
      </c>
      <c r="D3681" s="161" t="str">
        <f>IF(B3681="SEPLAG",VLOOKUP(COMPOSIÇÕES!C3681,'MAPA COMPARATIVO'!A:B,2,FALSE),VLOOKUP(C3681,'NAO DESO'!A:B,2,0))</f>
        <v>STELLA FITA 5W/M 12V 5M IP20 6500K</v>
      </c>
      <c r="E3681" s="247" t="s">
        <v>7201</v>
      </c>
      <c r="F3681" s="248">
        <v>2</v>
      </c>
      <c r="G3681" s="242">
        <f>IF(B3681="SEPLAG",VLOOKUP(CONCATENATE("MEDIANA - ",C3681),COTAÇÃO,5,FALSE),VLOOKUP($C3681,'NAO DESO'!$A:$D,4,))</f>
        <v>114.9</v>
      </c>
      <c r="H3681" s="242">
        <f>TRUNC(F3681*G3681,2)</f>
        <v>229.8</v>
      </c>
      <c r="I3681" s="54">
        <f>IF(B3681="SEPLAG",VLOOKUP(CONCATENATE("MEDIANA - ",C3681),COTAÇÃO,5,FALSE),VLOOKUP($C3681,DESON!$A:$D,4,))</f>
        <v>114.9</v>
      </c>
      <c r="J3681" s="209">
        <f>TRUNC(F3681*I3681,2)</f>
        <v>229.8</v>
      </c>
    </row>
    <row r="3682" spans="1:10" ht="15" customHeight="1">
      <c r="A3682" s="299" t="s">
        <v>245</v>
      </c>
      <c r="B3682" s="161"/>
      <c r="C3682" s="161">
        <v>88247</v>
      </c>
      <c r="D3682" s="161" t="str">
        <f>IF(B3682="SEPLAG",VLOOKUP(COMPOSIÇÕES!C3682,'MAPA COMPARATIVO'!A:B,2,FALSE),VLOOKUP(C3682,'NAO DESO'!A:B,2,0))</f>
        <v>AUXILIAR DE ELETRICISTA COM ENCARGOS COMPLEMENTARES</v>
      </c>
      <c r="E3682" s="247" t="s">
        <v>16</v>
      </c>
      <c r="F3682" s="248">
        <v>0.18329999999999999</v>
      </c>
      <c r="G3682" s="242" t="str">
        <f>IF(B3682="SEPLAG",VLOOKUP(CONCATENATE("MEDIANA - ",C3682),COTAÇÃO,5,FALSE),VLOOKUP($C3682,'NAO DESO'!$A:$D,4,))</f>
        <v>16,84</v>
      </c>
      <c r="H3682" s="242">
        <f>TRUNC(F3682*G3682,2)</f>
        <v>3.08</v>
      </c>
      <c r="I3682" s="54" t="str">
        <f>IF(B3682="SEPLAG",VLOOKUP(CONCATENATE("MEDIANA - ",C3682),COTAÇÃO,5,FALSE),VLOOKUP($C3682,DESON!$A:$D,4,))</f>
        <v>15,19</v>
      </c>
      <c r="J3682" s="209">
        <f>TRUNC(F3682*I3682,2)</f>
        <v>2.78</v>
      </c>
    </row>
    <row r="3683" spans="1:10" ht="15" customHeight="1">
      <c r="A3683" s="299" t="s">
        <v>245</v>
      </c>
      <c r="B3683" s="161"/>
      <c r="C3683" s="161">
        <v>88264</v>
      </c>
      <c r="D3683" s="161" t="str">
        <f>IF(B3683="SEPLAG",VLOOKUP(COMPOSIÇÕES!C3683,'MAPA COMPARATIVO'!A:B,2,FALSE),VLOOKUP(C3683,'NAO DESO'!A:B,2,0))</f>
        <v>ELETRICISTA COM ENCARGOS COMPLEMENTARES</v>
      </c>
      <c r="E3683" s="247" t="s">
        <v>16</v>
      </c>
      <c r="F3683" s="248">
        <v>0.45179999999999998</v>
      </c>
      <c r="G3683" s="242" t="str">
        <f>IF(B3683="SEPLAG",VLOOKUP(CONCATENATE("MEDIANA - ",C3683),COTAÇÃO,5,FALSE),VLOOKUP($C3683,'NAO DESO'!$A:$D,4,))</f>
        <v>21,87</v>
      </c>
      <c r="H3683" s="242">
        <f>TRUNC(F3683*G3683,2)</f>
        <v>9.8800000000000008</v>
      </c>
      <c r="I3683" s="54" t="str">
        <f>IF(B3683="SEPLAG",VLOOKUP(CONCATENATE("MEDIANA - ",C3683),COTAÇÃO,5,FALSE),VLOOKUP($C3683,DESON!$A:$D,4,))</f>
        <v>19,53</v>
      </c>
      <c r="J3683" s="209">
        <f>TRUNC(F3683*I3683,2)</f>
        <v>8.82</v>
      </c>
    </row>
    <row r="3684" spans="1:10" ht="15" customHeight="1">
      <c r="A3684" s="210" t="str">
        <f>CONCATENATE("TOTAL DO ITEM NÃO DESON. - ",C3677)</f>
        <v>TOTAL DO ITEM NÃO DESON. - SEPLAG ELE 45</v>
      </c>
      <c r="B3684" s="161"/>
      <c r="C3684" s="161"/>
      <c r="D3684" s="161"/>
      <c r="E3684" s="247"/>
      <c r="F3684" s="248"/>
      <c r="G3684" s="248"/>
      <c r="H3684" s="1189">
        <f>SUM(H3680:H3683)</f>
        <v>964.96</v>
      </c>
      <c r="I3684" s="213"/>
      <c r="J3684" s="462"/>
    </row>
    <row r="3685" spans="1:10" ht="15.75" customHeight="1" thickBot="1">
      <c r="A3685" s="216" t="str">
        <f>CONCATENATE("TOTAL DO ITEM DESON. - ",C3677)</f>
        <v>TOTAL DO ITEM DESON. - SEPLAG ELE 45</v>
      </c>
      <c r="B3685" s="1149"/>
      <c r="C3685" s="1149"/>
      <c r="D3685" s="1149"/>
      <c r="E3685" s="1205"/>
      <c r="F3685" s="1207"/>
      <c r="G3685" s="1207"/>
      <c r="H3685" s="1207"/>
      <c r="I3685" s="456"/>
      <c r="J3685" s="238">
        <f>SUM(J3680:J3684)</f>
        <v>963.6</v>
      </c>
    </row>
    <row r="3686" spans="1:10" ht="15" customHeight="1" thickBot="1">
      <c r="A3686" s="454"/>
      <c r="B3686" s="1149"/>
      <c r="C3686" s="1149"/>
      <c r="D3686" s="1149"/>
      <c r="E3686" s="1205"/>
      <c r="F3686" s="1207"/>
      <c r="G3686" s="1207"/>
      <c r="H3686" s="1207"/>
      <c r="I3686" s="456"/>
      <c r="J3686" s="455"/>
    </row>
    <row r="3687" spans="1:10" ht="38.25" customHeight="1">
      <c r="A3687" s="256"/>
      <c r="B3687" s="1152"/>
      <c r="C3687" s="1152" t="s">
        <v>13140</v>
      </c>
      <c r="D3687" s="152" t="s">
        <v>13141</v>
      </c>
      <c r="E3687" s="1152" t="s">
        <v>24</v>
      </c>
      <c r="F3687" s="1177" t="s">
        <v>18</v>
      </c>
      <c r="G3687" s="1178" t="s">
        <v>7015</v>
      </c>
      <c r="H3687" s="1179"/>
      <c r="I3687" s="200" t="s">
        <v>7016</v>
      </c>
      <c r="J3687" s="201"/>
    </row>
    <row r="3688" spans="1:10" ht="15" customHeight="1">
      <c r="A3688" s="257"/>
      <c r="B3688" s="430"/>
      <c r="C3688" s="430"/>
      <c r="D3688" s="430"/>
      <c r="E3688" s="430"/>
      <c r="F3688" s="1180"/>
      <c r="G3688" s="1180" t="s">
        <v>19</v>
      </c>
      <c r="H3688" s="1180" t="s">
        <v>20</v>
      </c>
      <c r="I3688" s="204" t="s">
        <v>19</v>
      </c>
      <c r="J3688" s="206" t="s">
        <v>20</v>
      </c>
    </row>
    <row r="3689" spans="1:10" ht="15" customHeight="1">
      <c r="A3689" s="233"/>
      <c r="B3689" s="161"/>
      <c r="C3689" s="161"/>
      <c r="D3689" s="161" t="s">
        <v>13142</v>
      </c>
      <c r="E3689" s="247"/>
      <c r="F3689" s="248"/>
      <c r="G3689" s="248"/>
      <c r="H3689" s="248"/>
      <c r="I3689" s="214"/>
      <c r="J3689" s="227"/>
    </row>
    <row r="3690" spans="1:10" ht="26.25" customHeight="1">
      <c r="A3690" s="233" t="s">
        <v>39</v>
      </c>
      <c r="B3690" s="161"/>
      <c r="C3690" s="161">
        <v>2579</v>
      </c>
      <c r="D3690" s="161" t="str">
        <f>IF(B3690="SEPLAG",VLOOKUP(COMPOSIÇÕES!C3690,'MAPA COMPARATIVO'!A:B,2,FALSE),VLOOKUP(C3690,'NAO DESO'!A:B,2,0))</f>
        <v>CONDULETE DE ALUMINIO TIPO X, PARA ELETRODUTO ROSCAVEL DE 1/2", COM TAMPA CEGA</v>
      </c>
      <c r="E3690" s="247" t="s">
        <v>7201</v>
      </c>
      <c r="F3690" s="248">
        <v>1</v>
      </c>
      <c r="G3690" s="242">
        <f>IF(B3690="SEPLAG",VLOOKUP(CONCATENATE("MEDIANA - ",C3690),COTAÇÃO,5,FALSE),VLOOKUP($C3690,'NAO DESO'!$A:$D,4,))</f>
        <v>12.29</v>
      </c>
      <c r="H3690" s="242">
        <f>TRUNC(F3690*G3690,2)</f>
        <v>12.29</v>
      </c>
      <c r="I3690" s="54" t="str">
        <f>IF(B3690="SEPLAG",VLOOKUP(CONCATENATE("MEDIANA - ",C3690),COTAÇÃO,5,FALSE),VLOOKUP($C3690,DESON!$A:$D,4,))</f>
        <v>12,29</v>
      </c>
      <c r="J3690" s="209">
        <f>TRUNC(F3690*I3690,2)</f>
        <v>12.29</v>
      </c>
    </row>
    <row r="3691" spans="1:10" ht="26.25" customHeight="1">
      <c r="A3691" s="233" t="s">
        <v>245</v>
      </c>
      <c r="B3691" s="161"/>
      <c r="C3691" s="161">
        <v>11950</v>
      </c>
      <c r="D3691" s="161" t="str">
        <f>IF(B3691="SEPLAG",VLOOKUP(COMPOSIÇÕES!C3691,'MAPA COMPARATIVO'!A:B,2,FALSE),VLOOKUP(C3691,'NAO DESO'!A:B,2,0))</f>
        <v>BUCHA DE NYLON SEM ABA S6, COM PARAFUSO DE 4,20 X 40 MM EM ACO ZINCADO COM ROSCA SOBERBA, CABECA CHATA E FENDA PHILLIPS</v>
      </c>
      <c r="E3691" s="247" t="s">
        <v>427</v>
      </c>
      <c r="F3691" s="248">
        <v>2</v>
      </c>
      <c r="G3691" s="242">
        <f>IF(B3691="SEPLAG",VLOOKUP(CONCATENATE("MEDIANA - ",C3691),COTAÇÃO,5,FALSE),VLOOKUP($C3691,'NAO DESO'!$A:$D,4,))</f>
        <v>0.2</v>
      </c>
      <c r="H3691" s="242">
        <f>TRUNC(F3691*G3691,2)</f>
        <v>0.4</v>
      </c>
      <c r="I3691" s="54" t="str">
        <f>IF(B3691="SEPLAG",VLOOKUP(CONCATENATE("MEDIANA - ",C3691),COTAÇÃO,5,FALSE),VLOOKUP($C3691,DESON!$A:$D,4,))</f>
        <v>0,20</v>
      </c>
      <c r="J3691" s="209">
        <f>TRUNC(F3691*I3691,2)</f>
        <v>0.4</v>
      </c>
    </row>
    <row r="3692" spans="1:10" ht="15" customHeight="1">
      <c r="A3692" s="233" t="s">
        <v>245</v>
      </c>
      <c r="B3692" s="161"/>
      <c r="C3692" s="161">
        <v>88247</v>
      </c>
      <c r="D3692" s="161" t="str">
        <f>IF(B3692="SEPLAG",VLOOKUP(COMPOSIÇÕES!C3692,'MAPA COMPARATIVO'!A:B,2,FALSE),VLOOKUP(C3692,'NAO DESO'!A:B,2,0))</f>
        <v>AUXILIAR DE ELETRICISTA COM ENCARGOS COMPLEMENTARES</v>
      </c>
      <c r="E3692" s="247" t="s">
        <v>16</v>
      </c>
      <c r="F3692" s="248">
        <v>0.37690000000000001</v>
      </c>
      <c r="G3692" s="242" t="str">
        <f>IF(B3692="SEPLAG",VLOOKUP(CONCATENATE("MEDIANA - ",C3692),COTAÇÃO,5,FALSE),VLOOKUP($C3692,'NAO DESO'!$A:$D,4,))</f>
        <v>16,84</v>
      </c>
      <c r="H3692" s="242">
        <f>TRUNC(F3692*G3692,2)</f>
        <v>6.34</v>
      </c>
      <c r="I3692" s="54" t="str">
        <f>IF(B3692="SEPLAG",VLOOKUP(CONCATENATE("MEDIANA - ",C3692),COTAÇÃO,5,FALSE),VLOOKUP($C3692,DESON!$A:$D,4,))</f>
        <v>15,19</v>
      </c>
      <c r="J3692" s="209">
        <f>TRUNC(F3692*I3692,2)</f>
        <v>5.72</v>
      </c>
    </row>
    <row r="3693" spans="1:10" ht="15" customHeight="1">
      <c r="A3693" s="233" t="s">
        <v>245</v>
      </c>
      <c r="B3693" s="161"/>
      <c r="C3693" s="161">
        <v>88264</v>
      </c>
      <c r="D3693" s="161" t="str">
        <f>IF(B3693="SEPLAG",VLOOKUP(COMPOSIÇÕES!C3693,'MAPA COMPARATIVO'!A:B,2,FALSE),VLOOKUP(C3693,'NAO DESO'!A:B,2,0))</f>
        <v>ELETRICISTA COM ENCARGOS COMPLEMENTARES</v>
      </c>
      <c r="E3693" s="247" t="s">
        <v>16</v>
      </c>
      <c r="F3693" s="248">
        <v>0.37690000000000001</v>
      </c>
      <c r="G3693" s="242" t="str">
        <f>IF(B3693="SEPLAG",VLOOKUP(CONCATENATE("MEDIANA - ",C3693),COTAÇÃO,5,FALSE),VLOOKUP($C3693,'NAO DESO'!$A:$D,4,))</f>
        <v>21,87</v>
      </c>
      <c r="H3693" s="242">
        <f>TRUNC(F3693*G3693,2)</f>
        <v>8.24</v>
      </c>
      <c r="I3693" s="54" t="str">
        <f>IF(B3693="SEPLAG",VLOOKUP(CONCATENATE("MEDIANA - ",C3693),COTAÇÃO,5,FALSE),VLOOKUP($C3693,DESON!$A:$D,4,))</f>
        <v>19,53</v>
      </c>
      <c r="J3693" s="209">
        <f>TRUNC(F3693*I3693,2)</f>
        <v>7.36</v>
      </c>
    </row>
    <row r="3694" spans="1:10" ht="15" customHeight="1">
      <c r="A3694" s="210" t="str">
        <f>CONCATENATE("TOTAL DO ITEM NÃO DESON. - ",C3687)</f>
        <v>TOTAL DO ITEM NÃO DESON. - SEPLAG ELE 46</v>
      </c>
      <c r="B3694" s="432"/>
      <c r="C3694" s="432"/>
      <c r="D3694" s="432"/>
      <c r="E3694" s="430"/>
      <c r="F3694" s="1189"/>
      <c r="G3694" s="1189"/>
      <c r="H3694" s="1189">
        <f>SUM(H3690:H3693)</f>
        <v>27.270000000000003</v>
      </c>
      <c r="I3694" s="213"/>
      <c r="J3694" s="259"/>
    </row>
    <row r="3695" spans="1:10" ht="15.75" customHeight="1" thickBot="1">
      <c r="A3695" s="216" t="str">
        <f>CONCATENATE("TOTAL DO ITEM DESON. - ",C3687)</f>
        <v>TOTAL DO ITEM DESON. - SEPLAG ELE 46</v>
      </c>
      <c r="B3695" s="1148"/>
      <c r="C3695" s="1148"/>
      <c r="D3695" s="1148"/>
      <c r="E3695" s="1142"/>
      <c r="F3695" s="1190"/>
      <c r="G3695" s="1190"/>
      <c r="H3695" s="1190"/>
      <c r="I3695" s="228"/>
      <c r="J3695" s="219">
        <f>SUM(J3690:J3694)</f>
        <v>25.77</v>
      </c>
    </row>
    <row r="3696" spans="1:10" ht="15" customHeight="1" thickBot="1">
      <c r="A3696" s="421"/>
      <c r="B3696" s="1138"/>
      <c r="C3696" s="1138"/>
      <c r="D3696" s="1138"/>
      <c r="E3696" s="1154"/>
      <c r="F3696" s="1196"/>
      <c r="G3696" s="1196"/>
      <c r="H3696" s="1196"/>
      <c r="I3696" s="423"/>
      <c r="J3696" s="422"/>
    </row>
    <row r="3697" spans="1:10" ht="15" customHeight="1">
      <c r="A3697" s="256"/>
      <c r="B3697" s="1152"/>
      <c r="C3697" s="1152" t="s">
        <v>13143</v>
      </c>
      <c r="D3697" s="152" t="s">
        <v>13144</v>
      </c>
      <c r="E3697" s="1152" t="s">
        <v>24</v>
      </c>
      <c r="F3697" s="1177" t="s">
        <v>18</v>
      </c>
      <c r="G3697" s="1178" t="s">
        <v>7015</v>
      </c>
      <c r="H3697" s="1179"/>
      <c r="I3697" s="200" t="s">
        <v>7016</v>
      </c>
      <c r="J3697" s="201"/>
    </row>
    <row r="3698" spans="1:10" ht="15" customHeight="1">
      <c r="A3698" s="257"/>
      <c r="B3698" s="430"/>
      <c r="C3698" s="430"/>
      <c r="D3698" s="430"/>
      <c r="E3698" s="430"/>
      <c r="F3698" s="1180"/>
      <c r="G3698" s="1180" t="s">
        <v>19</v>
      </c>
      <c r="H3698" s="1180" t="s">
        <v>20</v>
      </c>
      <c r="I3698" s="204" t="s">
        <v>19</v>
      </c>
      <c r="J3698" s="206" t="s">
        <v>20</v>
      </c>
    </row>
    <row r="3699" spans="1:10" ht="15" customHeight="1">
      <c r="A3699" s="233"/>
      <c r="B3699" s="161"/>
      <c r="C3699" s="161"/>
      <c r="D3699" s="161" t="s">
        <v>13145</v>
      </c>
      <c r="E3699" s="247"/>
      <c r="F3699" s="248"/>
      <c r="G3699" s="248"/>
      <c r="H3699" s="248"/>
      <c r="I3699" s="214"/>
      <c r="J3699" s="227"/>
    </row>
    <row r="3700" spans="1:10" ht="15" customHeight="1">
      <c r="A3700" s="233" t="s">
        <v>245</v>
      </c>
      <c r="B3700" s="161"/>
      <c r="C3700" s="161">
        <v>88247</v>
      </c>
      <c r="D3700" s="161" t="str">
        <f>IF(B3700="SEPLAG",VLOOKUP(COMPOSIÇÕES!C3700,'MAPA COMPARATIVO'!A:B,2,FALSE),VLOOKUP(C3700,'NAO DESO'!A:B,2,0))</f>
        <v>AUXILIAR DE ELETRICISTA COM ENCARGOS COMPLEMENTARES</v>
      </c>
      <c r="E3700" s="247" t="s">
        <v>16</v>
      </c>
      <c r="F3700" s="248">
        <v>0.20619999999999999</v>
      </c>
      <c r="G3700" s="242" t="str">
        <f>IF(B3700="SEPLAG",VLOOKUP(CONCATENATE("MEDIANA - ",C3700),COTAÇÃO,5,FALSE),VLOOKUP($C3700,'NAO DESO'!$A:$D,4,))</f>
        <v>16,84</v>
      </c>
      <c r="H3700" s="242">
        <f>TRUNC(F3700*G3700,2)</f>
        <v>3.47</v>
      </c>
      <c r="I3700" s="54" t="str">
        <f>IF(B3700="SEPLAG",VLOOKUP(CONCATENATE("MEDIANA - ",C3700),COTAÇÃO,5,FALSE),VLOOKUP($C3700,DESON!$A:$D,4,))</f>
        <v>15,19</v>
      </c>
      <c r="J3700" s="209">
        <f>TRUNC(F3700*I3700,2)</f>
        <v>3.13</v>
      </c>
    </row>
    <row r="3701" spans="1:10" ht="15" customHeight="1">
      <c r="A3701" s="233" t="s">
        <v>245</v>
      </c>
      <c r="B3701" s="161"/>
      <c r="C3701" s="161">
        <v>88264</v>
      </c>
      <c r="D3701" s="161" t="str">
        <f>IF(B3701="SEPLAG",VLOOKUP(COMPOSIÇÕES!C3701,'MAPA COMPARATIVO'!A:B,2,FALSE),VLOOKUP(C3701,'NAO DESO'!A:B,2,0))</f>
        <v>ELETRICISTA COM ENCARGOS COMPLEMENTARES</v>
      </c>
      <c r="E3701" s="247" t="s">
        <v>16</v>
      </c>
      <c r="F3701" s="248">
        <v>0.20619999999999999</v>
      </c>
      <c r="G3701" s="242" t="str">
        <f>IF(B3701="SEPLAG",VLOOKUP(CONCATENATE("MEDIANA - ",C3701),COTAÇÃO,5,FALSE),VLOOKUP($C3701,'NAO DESO'!$A:$D,4,))</f>
        <v>21,87</v>
      </c>
      <c r="H3701" s="242">
        <f>TRUNC(F3701*G3701,2)</f>
        <v>4.5</v>
      </c>
      <c r="I3701" s="54" t="str">
        <f>IF(B3701="SEPLAG",VLOOKUP(CONCATENATE("MEDIANA - ",C3701),COTAÇÃO,5,FALSE),VLOOKUP($C3701,DESON!$A:$D,4,))</f>
        <v>19,53</v>
      </c>
      <c r="J3701" s="209">
        <f>TRUNC(F3701*I3701,2)</f>
        <v>4.0199999999999996</v>
      </c>
    </row>
    <row r="3702" spans="1:10" ht="26.25" customHeight="1">
      <c r="A3702" s="233" t="s">
        <v>245</v>
      </c>
      <c r="B3702" s="161"/>
      <c r="C3702" s="161">
        <v>91945</v>
      </c>
      <c r="D3702" s="161" t="str">
        <f>IF(B3702="SEPLAG",VLOOKUP(COMPOSIÇÕES!C3702,'MAPA COMPARATIVO'!A:B,2,FALSE),VLOOKUP(C3702,'NAO DESO'!A:B,2,0))</f>
        <v>SUPORTE PARAFUSADO COM PLACA DE ENCAIXE 4" X 2" ALTO (2,00 M DO PISO) PARA PONTO ELÉTRICO - FORNECIMENTO E INSTALAÇÃO. AF_12/2015</v>
      </c>
      <c r="E3702" s="247" t="s">
        <v>183</v>
      </c>
      <c r="F3702" s="248">
        <v>1</v>
      </c>
      <c r="G3702" s="242" t="str">
        <f>IF(B3702="SEPLAG",VLOOKUP(CONCATENATE("MEDIANA - ",C3702),COTAÇÃO,5,FALSE),VLOOKUP($C3702,'NAO DESO'!$A:$D,4,))</f>
        <v>7,78</v>
      </c>
      <c r="H3702" s="242">
        <f>TRUNC(F3702*G3702,2)</f>
        <v>7.78</v>
      </c>
      <c r="I3702" s="54" t="str">
        <f>IF(B3702="SEPLAG",VLOOKUP(CONCATENATE("MEDIANA - ",C3702),COTAÇÃO,5,FALSE),VLOOKUP($C3702,DESON!$A:$D,4,))</f>
        <v>7,35</v>
      </c>
      <c r="J3702" s="209">
        <f>TRUNC(F3702*I3702,2)</f>
        <v>7.35</v>
      </c>
    </row>
    <row r="3703" spans="1:10" ht="15" customHeight="1">
      <c r="A3703" s="233" t="s">
        <v>39</v>
      </c>
      <c r="B3703" s="161"/>
      <c r="C3703" s="161">
        <v>39601</v>
      </c>
      <c r="D3703" s="161" t="str">
        <f>IF(B3703="SEPLAG",VLOOKUP(COMPOSIÇÕES!C3703,'MAPA COMPARATIVO'!A:B,2,FALSE),VLOOKUP(C3703,'NAO DESO'!A:B,2,0))</f>
        <v>CONECTOR FEMEA RJ - 45, CATEGORIA 6</v>
      </c>
      <c r="E3703" s="247" t="s">
        <v>427</v>
      </c>
      <c r="F3703" s="248">
        <v>1</v>
      </c>
      <c r="G3703" s="242">
        <f>IF(B3703="SEPLAG",VLOOKUP(CONCATENATE("MEDIANA - ",C3703),COTAÇÃO,5,FALSE),VLOOKUP($C3703,'NAO DESO'!$A:$D,4,))</f>
        <v>24.92</v>
      </c>
      <c r="H3703" s="242">
        <f>TRUNC(F3703*G3703,2)</f>
        <v>24.92</v>
      </c>
      <c r="I3703" s="54" t="str">
        <f>IF(B3703="SEPLAG",VLOOKUP(CONCATENATE("MEDIANA - ",C3703),COTAÇÃO,5,FALSE),VLOOKUP($C3703,DESON!$A:$D,4,))</f>
        <v>24,92</v>
      </c>
      <c r="J3703" s="209">
        <f>TRUNC(F3703*I3703,2)</f>
        <v>24.92</v>
      </c>
    </row>
    <row r="3704" spans="1:10" ht="26.25" customHeight="1">
      <c r="A3704" s="233" t="s">
        <v>39</v>
      </c>
      <c r="B3704" s="161"/>
      <c r="C3704" s="161">
        <v>14053</v>
      </c>
      <c r="D3704" s="161" t="str">
        <f>IF(B3704="SEPLAG",VLOOKUP(COMPOSIÇÕES!C3704,'MAPA COMPARATIVO'!A:B,2,FALSE),VLOOKUP(C3704,'NAO DESO'!A:B,2,0))</f>
        <v>CONDULETE DE ALUMINIO TIPO B, PARA ELETRODUTO ROSCAVEL DE 3/4", COM TAMPA CEGA</v>
      </c>
      <c r="E3704" s="247" t="s">
        <v>427</v>
      </c>
      <c r="F3704" s="248">
        <v>1</v>
      </c>
      <c r="G3704" s="242">
        <f>IF(B3704="SEPLAG",VLOOKUP(CONCATENATE("MEDIANA - ",C3704),COTAÇÃO,5,FALSE),VLOOKUP($C3704,'NAO DESO'!$A:$D,4,))</f>
        <v>9.9700000000000006</v>
      </c>
      <c r="H3704" s="242">
        <f>TRUNC(F3704*G3704,2)</f>
        <v>9.9700000000000006</v>
      </c>
      <c r="I3704" s="54" t="str">
        <f>IF(B3704="SEPLAG",VLOOKUP(CONCATENATE("MEDIANA - ",C3704),COTAÇÃO,5,FALSE),VLOOKUP($C3704,DESON!$A:$D,4,))</f>
        <v>9,97</v>
      </c>
      <c r="J3704" s="209">
        <f>TRUNC(F3704*I3704,2)</f>
        <v>9.9700000000000006</v>
      </c>
    </row>
    <row r="3705" spans="1:10" ht="15" customHeight="1">
      <c r="A3705" s="210" t="str">
        <f>CONCATENATE("TOTAL DO ITEM NÃO DESON. - ",C3697)</f>
        <v>TOTAL DO ITEM NÃO DESON. - SEPLAG ELE 47</v>
      </c>
      <c r="B3705" s="432"/>
      <c r="C3705" s="432"/>
      <c r="D3705" s="432"/>
      <c r="E3705" s="430"/>
      <c r="F3705" s="1189"/>
      <c r="G3705" s="1189"/>
      <c r="H3705" s="1189">
        <f>SUM(H3700:H3704)</f>
        <v>50.64</v>
      </c>
      <c r="I3705" s="213"/>
      <c r="J3705" s="259"/>
    </row>
    <row r="3706" spans="1:10" ht="15.75" customHeight="1" thickBot="1">
      <c r="A3706" s="216" t="str">
        <f>CONCATENATE("TOTAL DO ITEM DESON. - ",C3697)</f>
        <v>TOTAL DO ITEM DESON. - SEPLAG ELE 47</v>
      </c>
      <c r="B3706" s="1148"/>
      <c r="C3706" s="1148"/>
      <c r="D3706" s="1148"/>
      <c r="E3706" s="1142"/>
      <c r="F3706" s="1190"/>
      <c r="G3706" s="1190"/>
      <c r="H3706" s="1190"/>
      <c r="I3706" s="228"/>
      <c r="J3706" s="219">
        <f>SUM(J3700:J3705)</f>
        <v>49.39</v>
      </c>
    </row>
    <row r="3707" spans="1:10" ht="15" customHeight="1" thickBot="1">
      <c r="A3707" s="421"/>
      <c r="B3707" s="1138"/>
      <c r="C3707" s="1138"/>
      <c r="D3707" s="1138"/>
      <c r="E3707" s="1154"/>
      <c r="F3707" s="1196"/>
      <c r="G3707" s="1196"/>
      <c r="H3707" s="1196"/>
      <c r="I3707" s="423"/>
      <c r="J3707" s="422"/>
    </row>
    <row r="3708" spans="1:10" ht="15" customHeight="1">
      <c r="A3708" s="256"/>
      <c r="B3708" s="1152"/>
      <c r="C3708" s="1152" t="s">
        <v>13151</v>
      </c>
      <c r="D3708" s="152" t="s">
        <v>13152</v>
      </c>
      <c r="E3708" s="1152" t="s">
        <v>24</v>
      </c>
      <c r="F3708" s="1177" t="s">
        <v>18</v>
      </c>
      <c r="G3708" s="1178" t="s">
        <v>7015</v>
      </c>
      <c r="H3708" s="1179"/>
      <c r="I3708" s="200" t="s">
        <v>7016</v>
      </c>
      <c r="J3708" s="201"/>
    </row>
    <row r="3709" spans="1:10" ht="15" customHeight="1">
      <c r="A3709" s="257"/>
      <c r="B3709" s="430"/>
      <c r="C3709" s="430"/>
      <c r="D3709" s="430"/>
      <c r="E3709" s="430"/>
      <c r="F3709" s="1180"/>
      <c r="G3709" s="1180" t="s">
        <v>19</v>
      </c>
      <c r="H3709" s="1180" t="s">
        <v>20</v>
      </c>
      <c r="I3709" s="204" t="s">
        <v>19</v>
      </c>
      <c r="J3709" s="206" t="s">
        <v>20</v>
      </c>
    </row>
    <row r="3710" spans="1:10" ht="15" customHeight="1">
      <c r="A3710" s="233"/>
      <c r="B3710" s="161"/>
      <c r="C3710" s="161"/>
      <c r="D3710" s="161"/>
      <c r="E3710" s="247"/>
      <c r="F3710" s="248"/>
      <c r="G3710" s="248"/>
      <c r="H3710" s="248"/>
      <c r="I3710" s="214"/>
      <c r="J3710" s="227"/>
    </row>
    <row r="3711" spans="1:10" ht="15" customHeight="1">
      <c r="A3711" s="233" t="s">
        <v>245</v>
      </c>
      <c r="B3711" s="161"/>
      <c r="C3711" s="161">
        <v>88266</v>
      </c>
      <c r="D3711" s="161" t="str">
        <f>IF(B3711="SEPLAG",VLOOKUP(COMPOSIÇÕES!C3711,'MAPA COMPARATIVO'!A:B,2,FALSE),VLOOKUP(C3711,'NAO DESO'!A:B,2,0))</f>
        <v>ELETROTÉCNICO COM ENCARGOS COMPLEMENTARES</v>
      </c>
      <c r="E3711" s="247" t="s">
        <v>16</v>
      </c>
      <c r="F3711" s="248">
        <v>0.5</v>
      </c>
      <c r="G3711" s="242" t="str">
        <f>IF(B3711="SEPLAG",VLOOKUP(CONCATENATE("MEDIANA - ",C3711),COTAÇÃO,5,FALSE),VLOOKUP($C3711,'NAO DESO'!$A:$D,4,))</f>
        <v>21,97</v>
      </c>
      <c r="H3711" s="242">
        <f>TRUNC(F3711*G3711,2)</f>
        <v>10.98</v>
      </c>
      <c r="I3711" s="54" t="str">
        <f>IF(B3711="SEPLAG",VLOOKUP(CONCATENATE("MEDIANA - ",C3711),COTAÇÃO,5,FALSE),VLOOKUP($C3711,DESON!$A:$D,4,))</f>
        <v>19,61</v>
      </c>
      <c r="J3711" s="209">
        <f>TRUNC(F3711*I3711,2)</f>
        <v>9.8000000000000007</v>
      </c>
    </row>
    <row r="3712" spans="1:10" ht="15" customHeight="1">
      <c r="A3712" s="233" t="s">
        <v>188</v>
      </c>
      <c r="B3712" s="161" t="s">
        <v>14504</v>
      </c>
      <c r="C3712" s="161" t="s">
        <v>14428</v>
      </c>
      <c r="D3712" s="161" t="str">
        <f>IF(B3712="SEPLAG",VLOOKUP(COMPOSIÇÕES!C3712,'MAPA COMPARATIVO'!A:B,2,FALSE),VLOOKUP(C3712,'NAO DESO'!A:B,2,0))</f>
        <v>POWER BALUN 16 CANAIS RJ45</v>
      </c>
      <c r="E3712" s="247" t="s">
        <v>24</v>
      </c>
      <c r="F3712" s="248">
        <v>1</v>
      </c>
      <c r="G3712" s="242">
        <f>IF(B3712="SEPLAG",VLOOKUP(CONCATENATE("MEDIANA - ",C3712),COTAÇÃO,5,FALSE),VLOOKUP($C3712,'NAO DESO'!$A:$D,4,))</f>
        <v>1197.06</v>
      </c>
      <c r="H3712" s="242">
        <f>TRUNC(F3712*G3712,2)</f>
        <v>1197.06</v>
      </c>
      <c r="I3712" s="54">
        <f>IF(B3712="SEPLAG",VLOOKUP(CONCATENATE("MEDIANA - ",C3712),COTAÇÃO,5,FALSE),VLOOKUP($C3712,DESON!$A:$D,4,))</f>
        <v>1197.06</v>
      </c>
      <c r="J3712" s="209">
        <f>TRUNC(F3712*I3712,2)</f>
        <v>1197.06</v>
      </c>
    </row>
    <row r="3713" spans="1:10" ht="15" customHeight="1">
      <c r="A3713" s="210" t="str">
        <f>CONCATENATE("TOTAL DO ITEM NÃO DESON. - ",C3708)</f>
        <v>TOTAL DO ITEM NÃO DESON. - SEPLAG ELE 48</v>
      </c>
      <c r="B3713" s="432"/>
      <c r="C3713" s="432"/>
      <c r="D3713" s="432"/>
      <c r="E3713" s="430"/>
      <c r="F3713" s="1189"/>
      <c r="G3713" s="1189"/>
      <c r="H3713" s="1189">
        <f>SUM(H3711:H3712)</f>
        <v>1208.04</v>
      </c>
      <c r="I3713" s="213"/>
      <c r="J3713" s="259"/>
    </row>
    <row r="3714" spans="1:10" ht="15.75" customHeight="1" thickBot="1">
      <c r="A3714" s="216" t="str">
        <f>CONCATENATE("TOTAL DO ITEM DESON. - ",C3708)</f>
        <v>TOTAL DO ITEM DESON. - SEPLAG ELE 48</v>
      </c>
      <c r="B3714" s="1148"/>
      <c r="C3714" s="1148"/>
      <c r="D3714" s="1148"/>
      <c r="E3714" s="1142"/>
      <c r="F3714" s="1190"/>
      <c r="G3714" s="1190"/>
      <c r="H3714" s="1190"/>
      <c r="I3714" s="228"/>
      <c r="J3714" s="219">
        <f>SUM(J3711:J3713)</f>
        <v>1206.8599999999999</v>
      </c>
    </row>
    <row r="3715" spans="1:10" ht="15" customHeight="1" thickBot="1">
      <c r="A3715" s="421"/>
      <c r="B3715" s="1138"/>
      <c r="C3715" s="1138"/>
      <c r="D3715" s="1138"/>
      <c r="E3715" s="1154"/>
      <c r="F3715" s="1196"/>
      <c r="G3715" s="1196"/>
      <c r="H3715" s="1196"/>
      <c r="I3715" s="423"/>
      <c r="J3715" s="422"/>
    </row>
    <row r="3716" spans="1:10" ht="15" customHeight="1">
      <c r="A3716" s="256"/>
      <c r="B3716" s="1152"/>
      <c r="C3716" s="1152" t="s">
        <v>13155</v>
      </c>
      <c r="D3716" s="152" t="s">
        <v>13156</v>
      </c>
      <c r="E3716" s="1152" t="s">
        <v>24</v>
      </c>
      <c r="F3716" s="1177" t="s">
        <v>18</v>
      </c>
      <c r="G3716" s="1178" t="s">
        <v>7015</v>
      </c>
      <c r="H3716" s="1179"/>
      <c r="I3716" s="200" t="s">
        <v>7016</v>
      </c>
      <c r="J3716" s="201"/>
    </row>
    <row r="3717" spans="1:10" ht="15" customHeight="1">
      <c r="A3717" s="257"/>
      <c r="B3717" s="430"/>
      <c r="C3717" s="430"/>
      <c r="D3717" s="430"/>
      <c r="E3717" s="430"/>
      <c r="F3717" s="1180"/>
      <c r="G3717" s="1180" t="s">
        <v>19</v>
      </c>
      <c r="H3717" s="1180" t="s">
        <v>20</v>
      </c>
      <c r="I3717" s="204" t="s">
        <v>19</v>
      </c>
      <c r="J3717" s="206" t="s">
        <v>20</v>
      </c>
    </row>
    <row r="3718" spans="1:10" ht="15" customHeight="1">
      <c r="A3718" s="233"/>
      <c r="B3718" s="161"/>
      <c r="C3718" s="161"/>
      <c r="D3718" s="161"/>
      <c r="E3718" s="247"/>
      <c r="F3718" s="248"/>
      <c r="G3718" s="248"/>
      <c r="H3718" s="248"/>
      <c r="I3718" s="214"/>
      <c r="J3718" s="227"/>
    </row>
    <row r="3719" spans="1:10" ht="15" customHeight="1">
      <c r="A3719" s="233" t="s">
        <v>245</v>
      </c>
      <c r="B3719" s="161"/>
      <c r="C3719" s="161">
        <v>88247</v>
      </c>
      <c r="D3719" s="161" t="str">
        <f>IF(B3719="SEPLAG",VLOOKUP(COMPOSIÇÕES!C3719,'MAPA COMPARATIVO'!A:B,2,FALSE),VLOOKUP(C3719,'NAO DESO'!A:B,2,0))</f>
        <v>AUXILIAR DE ELETRICISTA COM ENCARGOS COMPLEMENTARES</v>
      </c>
      <c r="E3719" s="247" t="s">
        <v>16</v>
      </c>
      <c r="F3719" s="248">
        <v>0.05</v>
      </c>
      <c r="G3719" s="242" t="str">
        <f>IF(B3719="SEPLAG",VLOOKUP(CONCATENATE("MEDIANA - ",C3719),COTAÇÃO,5,FALSE),VLOOKUP($C3719,'NAO DESO'!$A:$D,4,))</f>
        <v>16,84</v>
      </c>
      <c r="H3719" s="242">
        <f>TRUNC(F3719*G3719,2)</f>
        <v>0.84</v>
      </c>
      <c r="I3719" s="54" t="str">
        <f>IF(B3719="SEPLAG",VLOOKUP(CONCATENATE("MEDIANA - ",C3719),COTAÇÃO,5,FALSE),VLOOKUP($C3719,DESON!$A:$D,4,))</f>
        <v>15,19</v>
      </c>
      <c r="J3719" s="209">
        <f>TRUNC(F3719*I3719,2)</f>
        <v>0.75</v>
      </c>
    </row>
    <row r="3720" spans="1:10" ht="15" customHeight="1">
      <c r="A3720" s="233" t="s">
        <v>245</v>
      </c>
      <c r="B3720" s="161"/>
      <c r="C3720" s="161">
        <v>88264</v>
      </c>
      <c r="D3720" s="161" t="str">
        <f>IF(B3720="SEPLAG",VLOOKUP(COMPOSIÇÕES!C3720,'MAPA COMPARATIVO'!A:B,2,FALSE),VLOOKUP(C3720,'NAO DESO'!A:B,2,0))</f>
        <v>ELETRICISTA COM ENCARGOS COMPLEMENTARES</v>
      </c>
      <c r="E3720" s="247" t="s">
        <v>16</v>
      </c>
      <c r="F3720" s="248">
        <v>0.05</v>
      </c>
      <c r="G3720" s="242" t="str">
        <f>IF(B3720="SEPLAG",VLOOKUP(CONCATENATE("MEDIANA - ",C3720),COTAÇÃO,5,FALSE),VLOOKUP($C3720,'NAO DESO'!$A:$D,4,))</f>
        <v>21,87</v>
      </c>
      <c r="H3720" s="242">
        <f>TRUNC(F3720*G3720,2)</f>
        <v>1.0900000000000001</v>
      </c>
      <c r="I3720" s="54" t="str">
        <f>IF(B3720="SEPLAG",VLOOKUP(CONCATENATE("MEDIANA - ",C3720),COTAÇÃO,5,FALSE),VLOOKUP($C3720,DESON!$A:$D,4,))</f>
        <v>19,53</v>
      </c>
      <c r="J3720" s="209">
        <f>TRUNC(F3720*I3720,2)</f>
        <v>0.97</v>
      </c>
    </row>
    <row r="3721" spans="1:10" ht="15" customHeight="1">
      <c r="A3721" s="233" t="s">
        <v>188</v>
      </c>
      <c r="B3721" s="161" t="s">
        <v>14504</v>
      </c>
      <c r="C3721" s="161" t="s">
        <v>14429</v>
      </c>
      <c r="D3721" s="161" t="str">
        <f>IF(B3721="SEPLAG",VLOOKUP(COMPOSIÇÕES!C3721,'MAPA COMPARATIVO'!A:B,2,FALSE),VLOOKUP(C3721,'NAO DESO'!A:B,2,0))</f>
        <v>CONVERSOR BALUN RJ45/94</v>
      </c>
      <c r="E3721" s="247" t="s">
        <v>24</v>
      </c>
      <c r="F3721" s="248">
        <v>1</v>
      </c>
      <c r="G3721" s="242">
        <f>IF(B3721="SEPLAG",VLOOKUP(CONCATENATE("MEDIANA - ",C3721),COTAÇÃO,5,FALSE),VLOOKUP($C3721,'NAO DESO'!$A:$D,4,))</f>
        <v>55.01</v>
      </c>
      <c r="H3721" s="242">
        <f>TRUNC(F3721*G3721,2)</f>
        <v>55.01</v>
      </c>
      <c r="I3721" s="54">
        <f>IF(B3721="SEPLAG",VLOOKUP(CONCATENATE("MEDIANA - ",C3721),COTAÇÃO,5,FALSE),VLOOKUP($C3721,DESON!$A:$D,4,))</f>
        <v>55.01</v>
      </c>
      <c r="J3721" s="209">
        <f>TRUNC(F3721*I3721,2)</f>
        <v>55.01</v>
      </c>
    </row>
    <row r="3722" spans="1:10" ht="15" customHeight="1">
      <c r="A3722" s="210" t="str">
        <f>CONCATENATE("TOTAL DO ITEM NÃO DESON. - ",C3716)</f>
        <v>TOTAL DO ITEM NÃO DESON. - SEPLAG ELE 49</v>
      </c>
      <c r="B3722" s="432"/>
      <c r="C3722" s="432"/>
      <c r="D3722" s="432"/>
      <c r="E3722" s="430"/>
      <c r="F3722" s="1189"/>
      <c r="G3722" s="1189"/>
      <c r="H3722" s="1189">
        <f>SUM(H3719:H3721)</f>
        <v>56.94</v>
      </c>
      <c r="I3722" s="213"/>
      <c r="J3722" s="259"/>
    </row>
    <row r="3723" spans="1:10" ht="15.75" customHeight="1" thickBot="1">
      <c r="A3723" s="216" t="str">
        <f>CONCATENATE("TOTAL DO ITEM DESON. - ",C3716)</f>
        <v>TOTAL DO ITEM DESON. - SEPLAG ELE 49</v>
      </c>
      <c r="B3723" s="1148"/>
      <c r="C3723" s="1148"/>
      <c r="D3723" s="1148"/>
      <c r="E3723" s="1142"/>
      <c r="F3723" s="1190"/>
      <c r="G3723" s="1190"/>
      <c r="H3723" s="1190"/>
      <c r="I3723" s="228"/>
      <c r="J3723" s="219">
        <f>SUM(J3719:J3722)</f>
        <v>56.73</v>
      </c>
    </row>
    <row r="3724" spans="1:10" ht="15" customHeight="1" thickBot="1">
      <c r="A3724" s="421"/>
      <c r="B3724" s="1138"/>
      <c r="C3724" s="1138"/>
      <c r="D3724" s="1138"/>
      <c r="E3724" s="1154"/>
      <c r="F3724" s="1196"/>
      <c r="G3724" s="1196"/>
      <c r="H3724" s="1196"/>
      <c r="I3724" s="423"/>
      <c r="J3724" s="422"/>
    </row>
    <row r="3725" spans="1:10" ht="15" customHeight="1">
      <c r="A3725" s="256"/>
      <c r="B3725" s="1152"/>
      <c r="C3725" s="1152" t="s">
        <v>13158</v>
      </c>
      <c r="D3725" s="152" t="s">
        <v>13156</v>
      </c>
      <c r="E3725" s="1152" t="s">
        <v>24</v>
      </c>
      <c r="F3725" s="1177" t="s">
        <v>18</v>
      </c>
      <c r="G3725" s="1178" t="s">
        <v>7015</v>
      </c>
      <c r="H3725" s="1179"/>
      <c r="I3725" s="200" t="s">
        <v>7016</v>
      </c>
      <c r="J3725" s="201"/>
    </row>
    <row r="3726" spans="1:10" ht="15" customHeight="1">
      <c r="A3726" s="257"/>
      <c r="B3726" s="430"/>
      <c r="C3726" s="430"/>
      <c r="D3726" s="430"/>
      <c r="E3726" s="430"/>
      <c r="F3726" s="1180"/>
      <c r="G3726" s="1180" t="s">
        <v>19</v>
      </c>
      <c r="H3726" s="1180" t="s">
        <v>20</v>
      </c>
      <c r="I3726" s="204" t="s">
        <v>19</v>
      </c>
      <c r="J3726" s="206" t="s">
        <v>20</v>
      </c>
    </row>
    <row r="3727" spans="1:10" ht="15" customHeight="1">
      <c r="A3727" s="233"/>
      <c r="B3727" s="161"/>
      <c r="C3727" s="161"/>
      <c r="D3727" s="161"/>
      <c r="E3727" s="247"/>
      <c r="F3727" s="248"/>
      <c r="G3727" s="248"/>
      <c r="H3727" s="248"/>
      <c r="I3727" s="214"/>
      <c r="J3727" s="227"/>
    </row>
    <row r="3728" spans="1:10" ht="15" customHeight="1">
      <c r="A3728" s="233" t="s">
        <v>245</v>
      </c>
      <c r="B3728" s="161"/>
      <c r="C3728" s="161">
        <v>88264</v>
      </c>
      <c r="D3728" s="161" t="str">
        <f>IF(B3728="SEPLAG",VLOOKUP(COMPOSIÇÕES!C3728,'MAPA COMPARATIVO'!A:B,2,FALSE),VLOOKUP(C3728,'NAO DESO'!A:B,2,0))</f>
        <v>ELETRICISTA COM ENCARGOS COMPLEMENTARES</v>
      </c>
      <c r="E3728" s="247" t="s">
        <v>16</v>
      </c>
      <c r="F3728" s="248">
        <v>0.26190479999999999</v>
      </c>
      <c r="G3728" s="242" t="str">
        <f>IF(B3728="SEPLAG",VLOOKUP(CONCATENATE("MEDIANA - ",C3728),COTAÇÃO,5,FALSE),VLOOKUP($C3728,'NAO DESO'!$A:$D,4,))</f>
        <v>21,87</v>
      </c>
      <c r="H3728" s="242">
        <f>TRUNC(F3728*G3728,2)</f>
        <v>5.72</v>
      </c>
      <c r="I3728" s="54" t="str">
        <f>IF(B3728="SEPLAG",VLOOKUP(CONCATENATE("MEDIANA - ",C3728),COTAÇÃO,5,FALSE),VLOOKUP($C3728,DESON!$A:$D,4,))</f>
        <v>19,53</v>
      </c>
      <c r="J3728" s="209">
        <f>TRUNC(F3728*I3728,2)</f>
        <v>5.1100000000000003</v>
      </c>
    </row>
    <row r="3729" spans="1:10" ht="15" customHeight="1">
      <c r="A3729" s="233" t="s">
        <v>245</v>
      </c>
      <c r="B3729" s="161"/>
      <c r="C3729" s="161">
        <v>88243</v>
      </c>
      <c r="D3729" s="161" t="str">
        <f>IF(B3729="SEPLAG",VLOOKUP(COMPOSIÇÕES!C3729,'MAPA COMPARATIVO'!A:B,2,FALSE),VLOOKUP(C3729,'NAO DESO'!A:B,2,0))</f>
        <v>AJUDANTE ESPECIALIZADO COM ENCARGOS COMPLEMENTARES</v>
      </c>
      <c r="E3729" s="247" t="s">
        <v>16</v>
      </c>
      <c r="F3729" s="248">
        <v>0.26190479999999999</v>
      </c>
      <c r="G3729" s="242" t="str">
        <f>IF(B3729="SEPLAG",VLOOKUP(CONCATENATE("MEDIANA - ",C3729),COTAÇÃO,5,FALSE),VLOOKUP($C3729,'NAO DESO'!$A:$D,4,))</f>
        <v>17,72</v>
      </c>
      <c r="H3729" s="242">
        <f>TRUNC(F3729*G3729,2)</f>
        <v>4.6399999999999997</v>
      </c>
      <c r="I3729" s="54" t="str">
        <f>IF(B3729="SEPLAG",VLOOKUP(CONCATENATE("MEDIANA - ",C3729),COTAÇÃO,5,FALSE),VLOOKUP($C3729,DESON!$A:$D,4,))</f>
        <v>15,93</v>
      </c>
      <c r="J3729" s="209">
        <f>TRUNC(F3729*I3729,2)</f>
        <v>4.17</v>
      </c>
    </row>
    <row r="3730" spans="1:10" ht="15" customHeight="1">
      <c r="A3730" s="233" t="s">
        <v>39</v>
      </c>
      <c r="B3730" s="161"/>
      <c r="C3730" s="161">
        <v>39603</v>
      </c>
      <c r="D3730" s="161" t="str">
        <f>IF(B3730="SEPLAG",VLOOKUP(COMPOSIÇÕES!C3730,'MAPA COMPARATIVO'!A:B,2,FALSE),VLOOKUP(C3730,'NAO DESO'!A:B,2,0))</f>
        <v>CONECTOR MACHO RJ - 45, CATEGORIA 6</v>
      </c>
      <c r="E3730" s="247" t="s">
        <v>427</v>
      </c>
      <c r="F3730" s="248">
        <v>1</v>
      </c>
      <c r="G3730" s="242">
        <f>IF(B3730="SEPLAG",VLOOKUP(CONCATENATE("MEDIANA - ",C3730),COTAÇÃO,5,FALSE),VLOOKUP($C3730,'NAO DESO'!$A:$D,4,))</f>
        <v>2.81</v>
      </c>
      <c r="H3730" s="242">
        <f>TRUNC(F3730*G3730,2)</f>
        <v>2.81</v>
      </c>
      <c r="I3730" s="54" t="str">
        <f>IF(B3730="SEPLAG",VLOOKUP(CONCATENATE("MEDIANA - ",C3730),COTAÇÃO,5,FALSE),VLOOKUP($C3730,DESON!$A:$D,4,))</f>
        <v>2,81</v>
      </c>
      <c r="J3730" s="209">
        <f>TRUNC(F3730*I3730,2)</f>
        <v>2.81</v>
      </c>
    </row>
    <row r="3731" spans="1:10" ht="15" customHeight="1">
      <c r="A3731" s="210" t="str">
        <f>CONCATENATE("TOTAL DO ITEM NÃO DESON. - ",C3725)</f>
        <v>TOTAL DO ITEM NÃO DESON. - SEPLAG ELE 50</v>
      </c>
      <c r="B3731" s="432"/>
      <c r="C3731" s="432"/>
      <c r="D3731" s="432"/>
      <c r="E3731" s="430"/>
      <c r="F3731" s="1189"/>
      <c r="G3731" s="1189"/>
      <c r="H3731" s="1189">
        <f>SUM(H3728:H3730)</f>
        <v>13.17</v>
      </c>
      <c r="I3731" s="213"/>
      <c r="J3731" s="259"/>
    </row>
    <row r="3732" spans="1:10" ht="15.75" customHeight="1" thickBot="1">
      <c r="A3732" s="216" t="str">
        <f>CONCATENATE("TOTAL DO ITEM DESON. - ",C3725)</f>
        <v>TOTAL DO ITEM DESON. - SEPLAG ELE 50</v>
      </c>
      <c r="B3732" s="1148"/>
      <c r="C3732" s="1148"/>
      <c r="D3732" s="1148"/>
      <c r="E3732" s="1142"/>
      <c r="F3732" s="1190"/>
      <c r="G3732" s="1190"/>
      <c r="H3732" s="1190"/>
      <c r="I3732" s="228"/>
      <c r="J3732" s="219">
        <f>SUM(J3728:J3731)</f>
        <v>12.090000000000002</v>
      </c>
    </row>
    <row r="3733" spans="1:10" ht="15" customHeight="1" thickBot="1">
      <c r="A3733" s="421"/>
      <c r="B3733" s="1138"/>
      <c r="C3733" s="1138"/>
      <c r="D3733" s="1138"/>
      <c r="E3733" s="1154"/>
      <c r="F3733" s="1196"/>
      <c r="G3733" s="1196"/>
      <c r="H3733" s="1196"/>
      <c r="I3733" s="423"/>
      <c r="J3733" s="422"/>
    </row>
    <row r="3734" spans="1:10" ht="38.25" customHeight="1">
      <c r="A3734" s="256"/>
      <c r="B3734" s="1152"/>
      <c r="C3734" s="1152" t="s">
        <v>13159</v>
      </c>
      <c r="D3734" s="152" t="s">
        <v>13161</v>
      </c>
      <c r="E3734" s="1152" t="s">
        <v>24</v>
      </c>
      <c r="F3734" s="1177" t="s">
        <v>18</v>
      </c>
      <c r="G3734" s="1178" t="s">
        <v>7015</v>
      </c>
      <c r="H3734" s="1179"/>
      <c r="I3734" s="200" t="s">
        <v>7016</v>
      </c>
      <c r="J3734" s="201"/>
    </row>
    <row r="3735" spans="1:10" ht="15" customHeight="1">
      <c r="A3735" s="257"/>
      <c r="B3735" s="430"/>
      <c r="C3735" s="430"/>
      <c r="D3735" s="158"/>
      <c r="E3735" s="430"/>
      <c r="F3735" s="1180"/>
      <c r="G3735" s="1180" t="s">
        <v>19</v>
      </c>
      <c r="H3735" s="1180" t="s">
        <v>20</v>
      </c>
      <c r="I3735" s="204" t="s">
        <v>19</v>
      </c>
      <c r="J3735" s="206" t="s">
        <v>20</v>
      </c>
    </row>
    <row r="3736" spans="1:10" ht="15" customHeight="1">
      <c r="A3736" s="233"/>
      <c r="B3736" s="161"/>
      <c r="C3736" s="161"/>
      <c r="D3736" s="161" t="s">
        <v>13160</v>
      </c>
      <c r="E3736" s="247"/>
      <c r="F3736" s="248"/>
      <c r="G3736" s="248"/>
      <c r="H3736" s="248"/>
      <c r="I3736" s="214"/>
      <c r="J3736" s="227"/>
    </row>
    <row r="3737" spans="1:10" ht="15" customHeight="1">
      <c r="A3737" s="233" t="s">
        <v>245</v>
      </c>
      <c r="B3737" s="161"/>
      <c r="C3737" s="161">
        <v>88247</v>
      </c>
      <c r="D3737" s="161" t="str">
        <f>IF(B3737="SEPLAG",VLOOKUP(COMPOSIÇÕES!C3737,'MAPA COMPARATIVO'!A:B,2,FALSE),VLOOKUP(C3737,'NAO DESO'!A:B,2,0))</f>
        <v>AUXILIAR DE ELETRICISTA COM ENCARGOS COMPLEMENTARES</v>
      </c>
      <c r="E3737" s="247" t="s">
        <v>16</v>
      </c>
      <c r="F3737" s="248">
        <v>0.37690000000000001</v>
      </c>
      <c r="G3737" s="242" t="str">
        <f>IF(B3737="SEPLAG",VLOOKUP(CONCATENATE("MEDIANA - ",C3737),COTAÇÃO,5,FALSE),VLOOKUP($C3737,'NAO DESO'!$A:$D,4,))</f>
        <v>16,84</v>
      </c>
      <c r="H3737" s="242">
        <f>TRUNC(F3737*G3737,2)</f>
        <v>6.34</v>
      </c>
      <c r="I3737" s="54" t="str">
        <f>IF(B3737="SEPLAG",VLOOKUP(CONCATENATE("MEDIANA - ",C3737),COTAÇÃO,5,FALSE),VLOOKUP($C3737,DESON!$A:$D,4,))</f>
        <v>15,19</v>
      </c>
      <c r="J3737" s="209">
        <f>TRUNC(F3737*I3737,2)</f>
        <v>5.72</v>
      </c>
    </row>
    <row r="3738" spans="1:10" ht="15" customHeight="1">
      <c r="A3738" s="233" t="s">
        <v>245</v>
      </c>
      <c r="B3738" s="161"/>
      <c r="C3738" s="161">
        <v>88264</v>
      </c>
      <c r="D3738" s="161" t="str">
        <f>IF(B3738="SEPLAG",VLOOKUP(COMPOSIÇÕES!C3738,'MAPA COMPARATIVO'!A:B,2,FALSE),VLOOKUP(C3738,'NAO DESO'!A:B,2,0))</f>
        <v>ELETRICISTA COM ENCARGOS COMPLEMENTARES</v>
      </c>
      <c r="E3738" s="247" t="s">
        <v>16</v>
      </c>
      <c r="F3738" s="248">
        <v>0.37690000000000001</v>
      </c>
      <c r="G3738" s="242" t="str">
        <f>IF(B3738="SEPLAG",VLOOKUP(CONCATENATE("MEDIANA - ",C3738),COTAÇÃO,5,FALSE),VLOOKUP($C3738,'NAO DESO'!$A:$D,4,))</f>
        <v>21,87</v>
      </c>
      <c r="H3738" s="242">
        <f>TRUNC(F3738*G3738,2)</f>
        <v>8.24</v>
      </c>
      <c r="I3738" s="54" t="str">
        <f>IF(B3738="SEPLAG",VLOOKUP(CONCATENATE("MEDIANA - ",C3738),COTAÇÃO,5,FALSE),VLOOKUP($C3738,DESON!$A:$D,4,))</f>
        <v>19,53</v>
      </c>
      <c r="J3738" s="209">
        <f>TRUNC(F3738*I3738,2)</f>
        <v>7.36</v>
      </c>
    </row>
    <row r="3739" spans="1:10" ht="26.25" customHeight="1">
      <c r="A3739" s="233" t="s">
        <v>39</v>
      </c>
      <c r="B3739" s="161"/>
      <c r="C3739" s="161">
        <v>11950</v>
      </c>
      <c r="D3739" s="161" t="str">
        <f>IF(B3739="SEPLAG",VLOOKUP(COMPOSIÇÕES!C3739,'MAPA COMPARATIVO'!A:B,2,FALSE),VLOOKUP(C3739,'NAO DESO'!A:B,2,0))</f>
        <v>BUCHA DE NYLON SEM ABA S6, COM PARAFUSO DE 4,20 X 40 MM EM ACO ZINCADO COM ROSCA SOBERBA, CABECA CHATA E FENDA PHILLIPS</v>
      </c>
      <c r="E3739" s="247" t="s">
        <v>427</v>
      </c>
      <c r="F3739" s="248">
        <v>2</v>
      </c>
      <c r="G3739" s="242">
        <f>IF(B3739="SEPLAG",VLOOKUP(CONCATENATE("MEDIANA - ",C3739),COTAÇÃO,5,FALSE),VLOOKUP($C3739,'NAO DESO'!$A:$D,4,))</f>
        <v>0.2</v>
      </c>
      <c r="H3739" s="242">
        <f>TRUNC(F3739*G3739,2)</f>
        <v>0.4</v>
      </c>
      <c r="I3739" s="54" t="str">
        <f>IF(B3739="SEPLAG",VLOOKUP(CONCATENATE("MEDIANA - ",C3739),COTAÇÃO,5,FALSE),VLOOKUP($C3739,DESON!$A:$D,4,))</f>
        <v>0,20</v>
      </c>
      <c r="J3739" s="209">
        <f>TRUNC(F3739*I3739,2)</f>
        <v>0.4</v>
      </c>
    </row>
    <row r="3740" spans="1:10" ht="26.25" customHeight="1">
      <c r="A3740" s="233" t="s">
        <v>39</v>
      </c>
      <c r="B3740" s="161"/>
      <c r="C3740" s="161">
        <v>2593</v>
      </c>
      <c r="D3740" s="161" t="str">
        <f>IF(B3740="SEPLAG",VLOOKUP(COMPOSIÇÕES!C3740,'MAPA COMPARATIVO'!A:B,2,FALSE),VLOOKUP(C3740,'NAO DESO'!A:B,2,0))</f>
        <v>CONDULETE DE ALUMINIO TIPO LR, PARA ELETRODUTO ROSCAVEL DE 3/4", COM TAMPA CEGA</v>
      </c>
      <c r="E3740" s="247" t="s">
        <v>427</v>
      </c>
      <c r="F3740" s="248">
        <v>1</v>
      </c>
      <c r="G3740" s="242">
        <f>IF(B3740="SEPLAG",VLOOKUP(CONCATENATE("MEDIANA - ",C3740),COTAÇÃO,5,FALSE),VLOOKUP($C3740,'NAO DESO'!$A:$D,4,))</f>
        <v>8.84</v>
      </c>
      <c r="H3740" s="242">
        <f>TRUNC(F3740*G3740,2)</f>
        <v>8.84</v>
      </c>
      <c r="I3740" s="54" t="str">
        <f>IF(B3740="SEPLAG",VLOOKUP(CONCATENATE("MEDIANA - ",C3740),COTAÇÃO,5,FALSE),VLOOKUP($C3740,DESON!$A:$D,4,))</f>
        <v>8,84</v>
      </c>
      <c r="J3740" s="209">
        <f>TRUNC(F3740*I3740,2)</f>
        <v>8.84</v>
      </c>
    </row>
    <row r="3741" spans="1:10" ht="15" customHeight="1">
      <c r="A3741" s="210" t="str">
        <f>CONCATENATE("TOTAL DO ITEM NÃO DESON. - ",C3734)</f>
        <v>TOTAL DO ITEM NÃO DESON. - SEPLAG ELE 51</v>
      </c>
      <c r="B3741" s="432"/>
      <c r="C3741" s="432"/>
      <c r="D3741" s="432"/>
      <c r="E3741" s="430"/>
      <c r="F3741" s="1189"/>
      <c r="G3741" s="1189"/>
      <c r="H3741" s="1189">
        <f>SUM(H3737:H3740)</f>
        <v>23.82</v>
      </c>
      <c r="I3741" s="213"/>
      <c r="J3741" s="259"/>
    </row>
    <row r="3742" spans="1:10" ht="15.75" customHeight="1" thickBot="1">
      <c r="A3742" s="216" t="str">
        <f>CONCATENATE("TOTAL DO ITEM DESON. - ",C3734)</f>
        <v>TOTAL DO ITEM DESON. - SEPLAG ELE 51</v>
      </c>
      <c r="B3742" s="1148"/>
      <c r="C3742" s="1148"/>
      <c r="D3742" s="1148"/>
      <c r="E3742" s="1142"/>
      <c r="F3742" s="1190"/>
      <c r="G3742" s="1190"/>
      <c r="H3742" s="1190"/>
      <c r="I3742" s="228"/>
      <c r="J3742" s="219">
        <f>SUM(J3737:J3741)</f>
        <v>22.32</v>
      </c>
    </row>
    <row r="3743" spans="1:10" ht="15" customHeight="1" thickBot="1">
      <c r="A3743" s="421"/>
      <c r="B3743" s="1138"/>
      <c r="C3743" s="1138"/>
      <c r="D3743" s="1138"/>
      <c r="E3743" s="1154"/>
      <c r="F3743" s="1196"/>
      <c r="G3743" s="1196"/>
      <c r="H3743" s="1196"/>
      <c r="I3743" s="423"/>
      <c r="J3743" s="422"/>
    </row>
    <row r="3744" spans="1:10" ht="38.25" customHeight="1">
      <c r="A3744" s="256"/>
      <c r="B3744" s="1152"/>
      <c r="C3744" s="1152" t="s">
        <v>13162</v>
      </c>
      <c r="D3744" s="152" t="s">
        <v>13163</v>
      </c>
      <c r="E3744" s="1152" t="s">
        <v>24</v>
      </c>
      <c r="F3744" s="1177" t="s">
        <v>18</v>
      </c>
      <c r="G3744" s="1178" t="s">
        <v>7015</v>
      </c>
      <c r="H3744" s="1179"/>
      <c r="I3744" s="200" t="s">
        <v>7016</v>
      </c>
      <c r="J3744" s="201"/>
    </row>
    <row r="3745" spans="1:10" ht="15" customHeight="1">
      <c r="A3745" s="257"/>
      <c r="B3745" s="430"/>
      <c r="C3745" s="430"/>
      <c r="D3745" s="430"/>
      <c r="E3745" s="430"/>
      <c r="F3745" s="1180"/>
      <c r="G3745" s="1180" t="s">
        <v>19</v>
      </c>
      <c r="H3745" s="1180" t="s">
        <v>20</v>
      </c>
      <c r="I3745" s="204" t="s">
        <v>19</v>
      </c>
      <c r="J3745" s="206" t="s">
        <v>20</v>
      </c>
    </row>
    <row r="3746" spans="1:10" ht="15" customHeight="1">
      <c r="A3746" s="233"/>
      <c r="B3746" s="161"/>
      <c r="C3746" s="161"/>
      <c r="D3746" s="161"/>
      <c r="E3746" s="247"/>
      <c r="F3746" s="248"/>
      <c r="G3746" s="248"/>
      <c r="H3746" s="248"/>
      <c r="I3746" s="214"/>
      <c r="J3746" s="227"/>
    </row>
    <row r="3747" spans="1:10" ht="15" customHeight="1">
      <c r="A3747" s="233" t="s">
        <v>245</v>
      </c>
      <c r="B3747" s="161"/>
      <c r="C3747" s="161">
        <v>88247</v>
      </c>
      <c r="D3747" s="161" t="str">
        <f>IF(B3747="SEPLAG",VLOOKUP(COMPOSIÇÕES!C3747,'MAPA COMPARATIVO'!A:B,2,FALSE),VLOOKUP(C3747,'NAO DESO'!A:B,2,0))</f>
        <v>AUXILIAR DE ELETRICISTA COM ENCARGOS COMPLEMENTARES</v>
      </c>
      <c r="E3747" s="247" t="s">
        <v>16</v>
      </c>
      <c r="F3747" s="248">
        <v>0.42709999999999998</v>
      </c>
      <c r="G3747" s="242" t="str">
        <f>IF(B3747="SEPLAG",VLOOKUP(CONCATENATE("MEDIANA - ",C3747),COTAÇÃO,5,FALSE),VLOOKUP($C3747,'NAO DESO'!$A:$D,4,))</f>
        <v>16,84</v>
      </c>
      <c r="H3747" s="242">
        <f>TRUNC(F3747*G3747,2)</f>
        <v>7.19</v>
      </c>
      <c r="I3747" s="54" t="str">
        <f>IF(B3747="SEPLAG",VLOOKUP(CONCATENATE("MEDIANA - ",C3747),COTAÇÃO,5,FALSE),VLOOKUP($C3747,DESON!$A:$D,4,))</f>
        <v>15,19</v>
      </c>
      <c r="J3747" s="209">
        <f>TRUNC(F3747*I3747,2)</f>
        <v>6.48</v>
      </c>
    </row>
    <row r="3748" spans="1:10" ht="15" customHeight="1">
      <c r="A3748" s="233" t="s">
        <v>245</v>
      </c>
      <c r="B3748" s="161"/>
      <c r="C3748" s="161">
        <v>88264</v>
      </c>
      <c r="D3748" s="161" t="str">
        <f>IF(B3748="SEPLAG",VLOOKUP(COMPOSIÇÕES!C3748,'MAPA COMPARATIVO'!A:B,2,FALSE),VLOOKUP(C3748,'NAO DESO'!A:B,2,0))</f>
        <v>ELETRICISTA COM ENCARGOS COMPLEMENTARES</v>
      </c>
      <c r="E3748" s="247" t="s">
        <v>16</v>
      </c>
      <c r="F3748" s="248">
        <v>0.42709999999999998</v>
      </c>
      <c r="G3748" s="242" t="str">
        <f>IF(B3748="SEPLAG",VLOOKUP(CONCATENATE("MEDIANA - ",C3748),COTAÇÃO,5,FALSE),VLOOKUP($C3748,'NAO DESO'!$A:$D,4,))</f>
        <v>21,87</v>
      </c>
      <c r="H3748" s="242">
        <f>TRUNC(F3748*G3748,2)</f>
        <v>9.34</v>
      </c>
      <c r="I3748" s="54" t="str">
        <f>IF(B3748="SEPLAG",VLOOKUP(CONCATENATE("MEDIANA - ",C3748),COTAÇÃO,5,FALSE),VLOOKUP($C3748,DESON!$A:$D,4,))</f>
        <v>19,53</v>
      </c>
      <c r="J3748" s="209">
        <f>TRUNC(F3748*I3748,2)</f>
        <v>8.34</v>
      </c>
    </row>
    <row r="3749" spans="1:10" ht="26.25" customHeight="1">
      <c r="A3749" s="233" t="s">
        <v>39</v>
      </c>
      <c r="B3749" s="161"/>
      <c r="C3749" s="161">
        <v>2587</v>
      </c>
      <c r="D3749" s="161" t="str">
        <f>IF(B3749="SEPLAG",VLOOKUP(COMPOSIÇÕES!C3749,'MAPA COMPARATIVO'!A:B,2,FALSE),VLOOKUP(C3749,'NAO DESO'!A:B,2,0))</f>
        <v>CONDULETE DE ALUMINIO TIPO LR, PARA ELETRODUTO ROSCAVEL DE 1 1/2", COM TAMPA CEGA</v>
      </c>
      <c r="E3749" s="247" t="s">
        <v>427</v>
      </c>
      <c r="F3749" s="248">
        <v>1</v>
      </c>
      <c r="G3749" s="242">
        <f>IF(B3749="SEPLAG",VLOOKUP(CONCATENATE("MEDIANA - ",C3749),COTAÇÃO,5,FALSE),VLOOKUP($C3749,'NAO DESO'!$A:$D,4,))</f>
        <v>27.1</v>
      </c>
      <c r="H3749" s="242">
        <f>TRUNC(F3749*G3749,2)</f>
        <v>27.1</v>
      </c>
      <c r="I3749" s="54" t="str">
        <f>IF(B3749="SEPLAG",VLOOKUP(CONCATENATE("MEDIANA - ",C3749),COTAÇÃO,5,FALSE),VLOOKUP($C3749,DESON!$A:$D,4,))</f>
        <v>27,10</v>
      </c>
      <c r="J3749" s="209">
        <f>TRUNC(F3749*I3749,2)</f>
        <v>27.1</v>
      </c>
    </row>
    <row r="3750" spans="1:10" ht="26.25" customHeight="1">
      <c r="A3750" s="233" t="s">
        <v>39</v>
      </c>
      <c r="B3750" s="161"/>
      <c r="C3750" s="161">
        <v>11950</v>
      </c>
      <c r="D3750" s="161" t="str">
        <f>IF(B3750="SEPLAG",VLOOKUP(COMPOSIÇÕES!C3750,'MAPA COMPARATIVO'!A:B,2,FALSE),VLOOKUP(C3750,'NAO DESO'!A:B,2,0))</f>
        <v>BUCHA DE NYLON SEM ABA S6, COM PARAFUSO DE 4,20 X 40 MM EM ACO ZINCADO COM ROSCA SOBERBA, CABECA CHATA E FENDA PHILLIPS</v>
      </c>
      <c r="E3750" s="247" t="s">
        <v>427</v>
      </c>
      <c r="F3750" s="248">
        <v>2</v>
      </c>
      <c r="G3750" s="242">
        <f>IF(B3750="SEPLAG",VLOOKUP(CONCATENATE("MEDIANA - ",C3750),COTAÇÃO,5,FALSE),VLOOKUP($C3750,'NAO DESO'!$A:$D,4,))</f>
        <v>0.2</v>
      </c>
      <c r="H3750" s="242">
        <f>TRUNC(F3750*G3750,2)</f>
        <v>0.4</v>
      </c>
      <c r="I3750" s="54" t="str">
        <f>IF(B3750="SEPLAG",VLOOKUP(CONCATENATE("MEDIANA - ",C3750),COTAÇÃO,5,FALSE),VLOOKUP($C3750,DESON!$A:$D,4,))</f>
        <v>0,20</v>
      </c>
      <c r="J3750" s="209">
        <f>TRUNC(F3750*I3750,2)</f>
        <v>0.4</v>
      </c>
    </row>
    <row r="3751" spans="1:10" ht="15" customHeight="1">
      <c r="A3751" s="210" t="str">
        <f>CONCATENATE("TOTAL DO ITEM NÃO DESON. - ",C3744)</f>
        <v>TOTAL DO ITEM NÃO DESON. - SEPLAG ELE 52</v>
      </c>
      <c r="B3751" s="432"/>
      <c r="C3751" s="432"/>
      <c r="D3751" s="432"/>
      <c r="E3751" s="430"/>
      <c r="F3751" s="1189"/>
      <c r="G3751" s="1189"/>
      <c r="H3751" s="1189">
        <f>SUM(H3747:H3750)</f>
        <v>44.03</v>
      </c>
      <c r="I3751" s="213"/>
      <c r="J3751" s="259"/>
    </row>
    <row r="3752" spans="1:10" ht="15.75" customHeight="1" thickBot="1">
      <c r="A3752" s="216" t="str">
        <f>CONCATENATE("TOTAL DO ITEM DESON. - ",C3744)</f>
        <v>TOTAL DO ITEM DESON. - SEPLAG ELE 52</v>
      </c>
      <c r="B3752" s="1148"/>
      <c r="C3752" s="1148"/>
      <c r="D3752" s="1148"/>
      <c r="E3752" s="1142"/>
      <c r="F3752" s="1190"/>
      <c r="G3752" s="1190"/>
      <c r="H3752" s="1190"/>
      <c r="I3752" s="228"/>
      <c r="J3752" s="219">
        <f>SUM(J3747:J3751)</f>
        <v>42.32</v>
      </c>
    </row>
    <row r="3753" spans="1:10" ht="15" customHeight="1" thickBot="1">
      <c r="A3753" s="421"/>
      <c r="B3753" s="1138"/>
      <c r="C3753" s="1138"/>
      <c r="D3753" s="1138"/>
      <c r="E3753" s="1154"/>
      <c r="F3753" s="1196"/>
      <c r="G3753" s="1196"/>
      <c r="H3753" s="1196"/>
      <c r="I3753" s="423"/>
      <c r="J3753" s="422"/>
    </row>
    <row r="3754" spans="1:10" ht="25.5" customHeight="1">
      <c r="A3754" s="256"/>
      <c r="B3754" s="1152"/>
      <c r="C3754" s="1152" t="s">
        <v>13164</v>
      </c>
      <c r="D3754" s="152" t="s">
        <v>13165</v>
      </c>
      <c r="E3754" s="1152" t="s">
        <v>24</v>
      </c>
      <c r="F3754" s="1177" t="s">
        <v>18</v>
      </c>
      <c r="G3754" s="1178" t="s">
        <v>7015</v>
      </c>
      <c r="H3754" s="1179"/>
      <c r="I3754" s="200" t="s">
        <v>7016</v>
      </c>
      <c r="J3754" s="201"/>
    </row>
    <row r="3755" spans="1:10" ht="15" customHeight="1">
      <c r="A3755" s="257"/>
      <c r="B3755" s="430"/>
      <c r="C3755" s="430"/>
      <c r="D3755" s="430"/>
      <c r="E3755" s="430"/>
      <c r="F3755" s="1180"/>
      <c r="G3755" s="1180" t="s">
        <v>19</v>
      </c>
      <c r="H3755" s="1180" t="s">
        <v>20</v>
      </c>
      <c r="I3755" s="204" t="s">
        <v>19</v>
      </c>
      <c r="J3755" s="206" t="s">
        <v>20</v>
      </c>
    </row>
    <row r="3756" spans="1:10" ht="15" customHeight="1">
      <c r="A3756" s="233"/>
      <c r="B3756" s="161"/>
      <c r="C3756" s="161"/>
      <c r="D3756" s="161"/>
      <c r="E3756" s="247"/>
      <c r="F3756" s="248"/>
      <c r="G3756" s="248"/>
      <c r="H3756" s="248"/>
      <c r="I3756" s="214"/>
      <c r="J3756" s="227"/>
    </row>
    <row r="3757" spans="1:10" ht="15" customHeight="1">
      <c r="A3757" s="233" t="s">
        <v>245</v>
      </c>
      <c r="B3757" s="161"/>
      <c r="C3757" s="161">
        <v>88247</v>
      </c>
      <c r="D3757" s="161" t="str">
        <f>IF(B3757="SEPLAG",VLOOKUP(COMPOSIÇÕES!C3757,'MAPA COMPARATIVO'!A:B,2,FALSE),VLOOKUP(C3757,'NAO DESO'!A:B,2,0))</f>
        <v>AUXILIAR DE ELETRICISTA COM ENCARGOS COMPLEMENTARES</v>
      </c>
      <c r="E3757" s="247" t="s">
        <v>16</v>
      </c>
      <c r="F3757" s="248">
        <v>0.35699999999999998</v>
      </c>
      <c r="G3757" s="242" t="str">
        <f>IF(B3757="SEPLAG",VLOOKUP(CONCATENATE("MEDIANA - ",C3757),COTAÇÃO,5,FALSE),VLOOKUP($C3757,'NAO DESO'!$A:$D,4,))</f>
        <v>16,84</v>
      </c>
      <c r="H3757" s="242">
        <f>TRUNC(F3757*G3757,2)</f>
        <v>6.01</v>
      </c>
      <c r="I3757" s="54" t="str">
        <f>IF(B3757="SEPLAG",VLOOKUP(CONCATENATE("MEDIANA - ",C3757),COTAÇÃO,5,FALSE),VLOOKUP($C3757,DESON!$A:$D,4,))</f>
        <v>15,19</v>
      </c>
      <c r="J3757" s="209">
        <f>TRUNC(F3757*I3757,2)</f>
        <v>5.42</v>
      </c>
    </row>
    <row r="3758" spans="1:10" ht="15" customHeight="1">
      <c r="A3758" s="233" t="s">
        <v>245</v>
      </c>
      <c r="B3758" s="161"/>
      <c r="C3758" s="161">
        <v>88264</v>
      </c>
      <c r="D3758" s="161" t="str">
        <f>IF(B3758="SEPLAG",VLOOKUP(COMPOSIÇÕES!C3758,'MAPA COMPARATIVO'!A:B,2,FALSE),VLOOKUP(C3758,'NAO DESO'!A:B,2,0))</f>
        <v>ELETRICISTA COM ENCARGOS COMPLEMENTARES</v>
      </c>
      <c r="E3758" s="247" t="s">
        <v>16</v>
      </c>
      <c r="F3758" s="248">
        <v>0.35699999999999998</v>
      </c>
      <c r="G3758" s="242" t="str">
        <f>IF(B3758="SEPLAG",VLOOKUP(CONCATENATE("MEDIANA - ",C3758),COTAÇÃO,5,FALSE),VLOOKUP($C3758,'NAO DESO'!$A:$D,4,))</f>
        <v>21,87</v>
      </c>
      <c r="H3758" s="242">
        <f>TRUNC(F3758*G3758,2)</f>
        <v>7.8</v>
      </c>
      <c r="I3758" s="54" t="str">
        <f>IF(B3758="SEPLAG",VLOOKUP(CONCATENATE("MEDIANA - ",C3758),COTAÇÃO,5,FALSE),VLOOKUP($C3758,DESON!$A:$D,4,))</f>
        <v>19,53</v>
      </c>
      <c r="J3758" s="209">
        <f>TRUNC(F3758*I3758,2)</f>
        <v>6.97</v>
      </c>
    </row>
    <row r="3759" spans="1:10" ht="26.25" customHeight="1">
      <c r="A3759" s="233" t="s">
        <v>39</v>
      </c>
      <c r="B3759" s="161"/>
      <c r="C3759" s="161">
        <v>2527</v>
      </c>
      <c r="D3759" s="161" t="str">
        <f>IF(B3759="SEPLAG",VLOOKUP(COMPOSIÇÕES!C3759,'MAPA COMPARATIVO'!A:B,2,FALSE),VLOOKUP(C3759,'NAO DESO'!A:B,2,0))</f>
        <v>CONECTOR RETO DE ALUMINIO PARA ELETRODUTO DE 1 1/2", PARA ADAPTAR ENTRADA DE ELETRODUTO METALICO FLEXIVEL EM QUADROS</v>
      </c>
      <c r="E3759" s="247" t="s">
        <v>427</v>
      </c>
      <c r="F3759" s="248">
        <v>1</v>
      </c>
      <c r="G3759" s="242">
        <f>IF(B3759="SEPLAG",VLOOKUP(CONCATENATE("MEDIANA - ",C3759),COTAÇÃO,5,FALSE),VLOOKUP($C3759,'NAO DESO'!$A:$D,4,))</f>
        <v>6.71</v>
      </c>
      <c r="H3759" s="242">
        <f>TRUNC(F3759*G3759,2)</f>
        <v>6.71</v>
      </c>
      <c r="I3759" s="54" t="str">
        <f>IF(B3759="SEPLAG",VLOOKUP(CONCATENATE("MEDIANA - ",C3759),COTAÇÃO,5,FALSE),VLOOKUP($C3759,DESON!$A:$D,4,))</f>
        <v>6,71</v>
      </c>
      <c r="J3759" s="209">
        <f>TRUNC(F3759*I3759,2)</f>
        <v>6.71</v>
      </c>
    </row>
    <row r="3760" spans="1:10" ht="26.25" customHeight="1">
      <c r="A3760" s="233" t="s">
        <v>39</v>
      </c>
      <c r="B3760" s="161"/>
      <c r="C3760" s="161">
        <v>11950</v>
      </c>
      <c r="D3760" s="161" t="str">
        <f>IF(B3760="SEPLAG",VLOOKUP(COMPOSIÇÕES!C3760,'MAPA COMPARATIVO'!A:B,2,FALSE),VLOOKUP(C3760,'NAO DESO'!A:B,2,0))</f>
        <v>BUCHA DE NYLON SEM ABA S6, COM PARAFUSO DE 4,20 X 40 MM EM ACO ZINCADO COM ROSCA SOBERBA, CABECA CHATA E FENDA PHILLIPS</v>
      </c>
      <c r="E3760" s="247" t="s">
        <v>427</v>
      </c>
      <c r="F3760" s="248">
        <v>2</v>
      </c>
      <c r="G3760" s="242">
        <f>IF(B3760="SEPLAG",VLOOKUP(CONCATENATE("MEDIANA - ",C3760),COTAÇÃO,5,FALSE),VLOOKUP($C3760,'NAO DESO'!$A:$D,4,))</f>
        <v>0.2</v>
      </c>
      <c r="H3760" s="242">
        <f>TRUNC(F3760*G3760,2)</f>
        <v>0.4</v>
      </c>
      <c r="I3760" s="54" t="str">
        <f>IF(B3760="SEPLAG",VLOOKUP(CONCATENATE("MEDIANA - ",C3760),COTAÇÃO,5,FALSE),VLOOKUP($C3760,DESON!$A:$D,4,))</f>
        <v>0,20</v>
      </c>
      <c r="J3760" s="209">
        <f>TRUNC(F3760*I3760,2)</f>
        <v>0.4</v>
      </c>
    </row>
    <row r="3761" spans="1:10" ht="15" customHeight="1">
      <c r="A3761" s="210" t="str">
        <f>CONCATENATE("TOTAL DO ITEM NÃO DESON. - ",C3754)</f>
        <v>TOTAL DO ITEM NÃO DESON. - SEPLAG ELE 53</v>
      </c>
      <c r="B3761" s="432"/>
      <c r="C3761" s="432"/>
      <c r="D3761" s="432"/>
      <c r="E3761" s="430"/>
      <c r="F3761" s="1189"/>
      <c r="G3761" s="1189"/>
      <c r="H3761" s="1189">
        <f>SUM(H3757:H3760)</f>
        <v>20.919999999999998</v>
      </c>
      <c r="I3761" s="213"/>
      <c r="J3761" s="259"/>
    </row>
    <row r="3762" spans="1:10" ht="15.75" customHeight="1" thickBot="1">
      <c r="A3762" s="216" t="str">
        <f>CONCATENATE("TOTAL DO ITEM DESON. - ",C3754)</f>
        <v>TOTAL DO ITEM DESON. - SEPLAG ELE 53</v>
      </c>
      <c r="B3762" s="1148"/>
      <c r="C3762" s="1148"/>
      <c r="D3762" s="1148"/>
      <c r="E3762" s="1142"/>
      <c r="F3762" s="1190"/>
      <c r="G3762" s="1190"/>
      <c r="H3762" s="1190"/>
      <c r="I3762" s="228"/>
      <c r="J3762" s="219">
        <f>SUM(J3757:J3761)</f>
        <v>19.5</v>
      </c>
    </row>
    <row r="3763" spans="1:10" ht="15" customHeight="1" thickBot="1">
      <c r="A3763" s="421"/>
      <c r="B3763" s="1138"/>
      <c r="C3763" s="1138"/>
      <c r="D3763" s="1138"/>
      <c r="E3763" s="1154"/>
      <c r="F3763" s="1196"/>
      <c r="G3763" s="1196"/>
      <c r="H3763" s="1196"/>
      <c r="I3763" s="423"/>
      <c r="J3763" s="422"/>
    </row>
    <row r="3764" spans="1:10" ht="51" customHeight="1">
      <c r="A3764" s="256"/>
      <c r="B3764" s="1152"/>
      <c r="C3764" s="1152" t="s">
        <v>13166</v>
      </c>
      <c r="D3764" s="152" t="s">
        <v>13167</v>
      </c>
      <c r="E3764" s="1152" t="s">
        <v>24</v>
      </c>
      <c r="F3764" s="1177" t="s">
        <v>18</v>
      </c>
      <c r="G3764" s="1178" t="s">
        <v>7015</v>
      </c>
      <c r="H3764" s="1179"/>
      <c r="I3764" s="200" t="s">
        <v>7016</v>
      </c>
      <c r="J3764" s="201"/>
    </row>
    <row r="3765" spans="1:10" ht="15" customHeight="1">
      <c r="A3765" s="257"/>
      <c r="B3765" s="430"/>
      <c r="C3765" s="430"/>
      <c r="D3765" s="430"/>
      <c r="E3765" s="430"/>
      <c r="F3765" s="1180"/>
      <c r="G3765" s="1180" t="s">
        <v>19</v>
      </c>
      <c r="H3765" s="1180" t="s">
        <v>20</v>
      </c>
      <c r="I3765" s="204" t="s">
        <v>19</v>
      </c>
      <c r="J3765" s="206" t="s">
        <v>20</v>
      </c>
    </row>
    <row r="3766" spans="1:10" ht="15" customHeight="1">
      <c r="A3766" s="233"/>
      <c r="B3766" s="161"/>
      <c r="C3766" s="161"/>
      <c r="D3766" s="161"/>
      <c r="E3766" s="247"/>
      <c r="F3766" s="248"/>
      <c r="G3766" s="248"/>
      <c r="H3766" s="248"/>
      <c r="I3766" s="214"/>
      <c r="J3766" s="227"/>
    </row>
    <row r="3767" spans="1:10" ht="15" customHeight="1">
      <c r="A3767" s="233" t="s">
        <v>245</v>
      </c>
      <c r="B3767" s="161"/>
      <c r="C3767" s="161">
        <v>88316</v>
      </c>
      <c r="D3767" s="161" t="str">
        <f>IF(B3767="SEPLAG",VLOOKUP(COMPOSIÇÕES!C3767,'MAPA COMPARATIVO'!A:B,2,FALSE),VLOOKUP(C3767,'NAO DESO'!A:B,2,0))</f>
        <v>SERVENTE COM ENCARGOS COMPLEMENTARES</v>
      </c>
      <c r="E3767" s="247" t="s">
        <v>16</v>
      </c>
      <c r="F3767" s="248">
        <v>0.43</v>
      </c>
      <c r="G3767" s="242" t="str">
        <f>IF(B3767="SEPLAG",VLOOKUP(CONCATENATE("MEDIANA - ",C3767),COTAÇÃO,5,FALSE),VLOOKUP($C3767,'NAO DESO'!$A:$D,4,))</f>
        <v>16,83</v>
      </c>
      <c r="H3767" s="242">
        <f t="shared" ref="H3767:H3775" si="222">TRUNC(F3767*G3767,2)</f>
        <v>7.23</v>
      </c>
      <c r="I3767" s="54" t="str">
        <f>IF(B3767="SEPLAG",VLOOKUP(CONCATENATE("MEDIANA - ",C3767),COTAÇÃO,5,FALSE),VLOOKUP($C3767,DESON!$A:$D,4,))</f>
        <v>15,16</v>
      </c>
      <c r="J3767" s="209">
        <f t="shared" ref="J3767:J3775" si="223">TRUNC(F3767*I3767,2)</f>
        <v>6.51</v>
      </c>
    </row>
    <row r="3768" spans="1:10" ht="15" customHeight="1">
      <c r="A3768" s="233" t="s">
        <v>245</v>
      </c>
      <c r="B3768" s="161"/>
      <c r="C3768" s="161">
        <v>88264</v>
      </c>
      <c r="D3768" s="161" t="str">
        <f>IF(B3768="SEPLAG",VLOOKUP(COMPOSIÇÕES!C3768,'MAPA COMPARATIVO'!A:B,2,FALSE),VLOOKUP(C3768,'NAO DESO'!A:B,2,0))</f>
        <v>ELETRICISTA COM ENCARGOS COMPLEMENTARES</v>
      </c>
      <c r="E3768" s="247" t="s">
        <v>16</v>
      </c>
      <c r="F3768" s="248">
        <v>0.36099999999999999</v>
      </c>
      <c r="G3768" s="242" t="str">
        <f>IF(B3768="SEPLAG",VLOOKUP(CONCATENATE("MEDIANA - ",C3768),COTAÇÃO,5,FALSE),VLOOKUP($C3768,'NAO DESO'!$A:$D,4,))</f>
        <v>21,87</v>
      </c>
      <c r="H3768" s="242">
        <f t="shared" si="222"/>
        <v>7.89</v>
      </c>
      <c r="I3768" s="54" t="str">
        <f>IF(B3768="SEPLAG",VLOOKUP(CONCATENATE("MEDIANA - ",C3768),COTAÇÃO,5,FALSE),VLOOKUP($C3768,DESON!$A:$D,4,))</f>
        <v>19,53</v>
      </c>
      <c r="J3768" s="209">
        <f t="shared" si="223"/>
        <v>7.05</v>
      </c>
    </row>
    <row r="3769" spans="1:10" ht="39" customHeight="1">
      <c r="A3769" s="233" t="s">
        <v>245</v>
      </c>
      <c r="B3769" s="161"/>
      <c r="C3769" s="161">
        <v>100761</v>
      </c>
      <c r="D3769" s="161" t="str">
        <f>IF(B3769="SEPLAG",VLOOKUP(COMPOSIÇÕES!C3769,'MAPA COMPARATIVO'!A:B,2,FALSE),VLOOKUP(C3769,'NAO DESO'!A:B,2,0))</f>
        <v>PINTURA COM TINTA ALQUÍDICA DE ACABAMENTO (ESMALTE SINTÉTICO FOSCO) PULVERIZADA SOBRE SUPERFÍCIES METÁLICAS (EXCETO PERFIL) EXECUTADO EM OBRA (02 DEMÃOS). AF_01/2020_P</v>
      </c>
      <c r="E3769" s="247" t="s">
        <v>12</v>
      </c>
      <c r="F3769" s="248">
        <v>0.3</v>
      </c>
      <c r="G3769" s="242" t="str">
        <f>IF(B3769="SEPLAG",VLOOKUP(CONCATENATE("MEDIANA - ",C3769),COTAÇÃO,5,FALSE),VLOOKUP($C3769,'NAO DESO'!$A:$D,4,))</f>
        <v>37,28</v>
      </c>
      <c r="H3769" s="242">
        <f t="shared" si="222"/>
        <v>11.18</v>
      </c>
      <c r="I3769" s="54" t="str">
        <f>IF(B3769="SEPLAG",VLOOKUP(CONCATENATE("MEDIANA - ",C3769),COTAÇÃO,5,FALSE),VLOOKUP($C3769,DESON!$A:$D,4,))</f>
        <v>34,93</v>
      </c>
      <c r="J3769" s="209">
        <f t="shared" si="223"/>
        <v>10.47</v>
      </c>
    </row>
    <row r="3770" spans="1:10" ht="39" customHeight="1">
      <c r="A3770" s="233" t="s">
        <v>39</v>
      </c>
      <c r="B3770" s="161"/>
      <c r="C3770" s="161">
        <v>11267</v>
      </c>
      <c r="D3770" s="161" t="str">
        <f>IF(B3770="SEPLAG",VLOOKUP(COMPOSIÇÕES!C3770,'MAPA COMPARATIVO'!A:B,2,FALSE),VLOOKUP(C3770,'NAO DESO'!A:B,2,0))</f>
        <v>ARRUELA LISA, REDONDA, DE LATAO POLIDO, DIAMETRO NOMINAL 5/8", DIAMETRO EXTERNO = 34 MM, DIAMETRO DO FURO = 17 MM, ESPESSURA = *2,5* MM</v>
      </c>
      <c r="E3770" s="247" t="s">
        <v>427</v>
      </c>
      <c r="F3770" s="248">
        <v>4</v>
      </c>
      <c r="G3770" s="242">
        <f>IF(B3770="SEPLAG",VLOOKUP(CONCATENATE("MEDIANA - ",C3770),COTAÇÃO,5,FALSE),VLOOKUP($C3770,'NAO DESO'!$A:$D,4,))</f>
        <v>0.8</v>
      </c>
      <c r="H3770" s="242">
        <f t="shared" si="222"/>
        <v>3.2</v>
      </c>
      <c r="I3770" s="54" t="str">
        <f>IF(B3770="SEPLAG",VLOOKUP(CONCATENATE("MEDIANA - ",C3770),COTAÇÃO,5,FALSE),VLOOKUP($C3770,DESON!$A:$D,4,))</f>
        <v>0,80</v>
      </c>
      <c r="J3770" s="209">
        <f t="shared" si="223"/>
        <v>3.2</v>
      </c>
    </row>
    <row r="3771" spans="1:10" ht="15" customHeight="1">
      <c r="A3771" s="233" t="s">
        <v>39</v>
      </c>
      <c r="B3771" s="161"/>
      <c r="C3771" s="161">
        <v>11976</v>
      </c>
      <c r="D3771" s="161" t="str">
        <f>IF(B3771="SEPLAG",VLOOKUP(COMPOSIÇÕES!C3771,'MAPA COMPARATIVO'!A:B,2,FALSE),VLOOKUP(C3771,'NAO DESO'!A:B,2,0))</f>
        <v>CHUMBADOR, DIAMETRO 1/4" COM PARAFUSO 1/4" X 40 MM</v>
      </c>
      <c r="E3771" s="247" t="s">
        <v>427</v>
      </c>
      <c r="F3771" s="248">
        <v>1.33</v>
      </c>
      <c r="G3771" s="242">
        <f>IF(B3771="SEPLAG",VLOOKUP(CONCATENATE("MEDIANA - ",C3771),COTAÇÃO,5,FALSE),VLOOKUP($C3771,'NAO DESO'!$A:$D,4,))</f>
        <v>1.37</v>
      </c>
      <c r="H3771" s="242">
        <f t="shared" si="222"/>
        <v>1.82</v>
      </c>
      <c r="I3771" s="54" t="str">
        <f>IF(B3771="SEPLAG",VLOOKUP(CONCATENATE("MEDIANA - ",C3771),COTAÇÃO,5,FALSE),VLOOKUP($C3771,DESON!$A:$D,4,))</f>
        <v>1,37</v>
      </c>
      <c r="J3771" s="209">
        <f t="shared" si="223"/>
        <v>1.82</v>
      </c>
    </row>
    <row r="3772" spans="1:10" ht="15" customHeight="1">
      <c r="A3772" s="233" t="s">
        <v>39</v>
      </c>
      <c r="B3772" s="161"/>
      <c r="C3772" s="161">
        <v>39029</v>
      </c>
      <c r="D3772" s="161" t="str">
        <f>IF(B3772="SEPLAG",VLOOKUP(COMPOSIÇÕES!C3772,'MAPA COMPARATIVO'!A:B,2,FALSE),VLOOKUP(C3772,'NAO DESO'!A:B,2,0))</f>
        <v>PERFILADO PERFURADO DUPLO 38 X 76 MM, CHAPA 22</v>
      </c>
      <c r="E3772" s="247" t="s">
        <v>429</v>
      </c>
      <c r="F3772" s="248">
        <v>0.56000000000000005</v>
      </c>
      <c r="G3772" s="242">
        <f>IF(B3772="SEPLAG",VLOOKUP(CONCATENATE("MEDIANA - ",C3772),COTAÇÃO,5,FALSE),VLOOKUP($C3772,'NAO DESO'!$A:$D,4,))</f>
        <v>22.39</v>
      </c>
      <c r="H3772" s="242">
        <f t="shared" si="222"/>
        <v>12.53</v>
      </c>
      <c r="I3772" s="54" t="str">
        <f>IF(B3772="SEPLAG",VLOOKUP(CONCATENATE("MEDIANA - ",C3772),COTAÇÃO,5,FALSE),VLOOKUP($C3772,DESON!$A:$D,4,))</f>
        <v>22,39</v>
      </c>
      <c r="J3772" s="209">
        <f t="shared" si="223"/>
        <v>12.53</v>
      </c>
    </row>
    <row r="3773" spans="1:10" ht="15" customHeight="1">
      <c r="A3773" s="233" t="s">
        <v>39</v>
      </c>
      <c r="B3773" s="161"/>
      <c r="C3773" s="161">
        <v>39996</v>
      </c>
      <c r="D3773" s="161" t="str">
        <f>IF(B3773="SEPLAG",VLOOKUP(COMPOSIÇÕES!C3773,'MAPA COMPARATIVO'!A:B,2,FALSE),VLOOKUP(C3773,'NAO DESO'!A:B,2,0))</f>
        <v>VERGALHAO ZINCADO ROSCA TOTAL, 1/4 " (6,3 MM)</v>
      </c>
      <c r="E3773" s="247" t="s">
        <v>429</v>
      </c>
      <c r="F3773" s="248">
        <v>0.46700000000000003</v>
      </c>
      <c r="G3773" s="242">
        <f>IF(B3773="SEPLAG",VLOOKUP(CONCATENATE("MEDIANA - ",C3773),COTAÇÃO,5,FALSE),VLOOKUP($C3773,'NAO DESO'!$A:$D,4,))</f>
        <v>5.01</v>
      </c>
      <c r="H3773" s="242">
        <f t="shared" si="222"/>
        <v>2.33</v>
      </c>
      <c r="I3773" s="54" t="str">
        <f>IF(B3773="SEPLAG",VLOOKUP(CONCATENATE("MEDIANA - ",C3773),COTAÇÃO,5,FALSE),VLOOKUP($C3773,DESON!$A:$D,4,))</f>
        <v>5,01</v>
      </c>
      <c r="J3773" s="209">
        <f t="shared" si="223"/>
        <v>2.33</v>
      </c>
    </row>
    <row r="3774" spans="1:10" ht="15" customHeight="1">
      <c r="A3774" s="233" t="s">
        <v>39</v>
      </c>
      <c r="B3774" s="161"/>
      <c r="C3774" s="161">
        <v>39997</v>
      </c>
      <c r="D3774" s="161" t="str">
        <f>IF(B3774="SEPLAG",VLOOKUP(COMPOSIÇÕES!C3774,'MAPA COMPARATIVO'!A:B,2,FALSE),VLOOKUP(C3774,'NAO DESO'!A:B,2,0))</f>
        <v>PORCA ZINCADA, SEXTAVADA, DIAMETRO 1/4"</v>
      </c>
      <c r="E3774" s="247" t="s">
        <v>427</v>
      </c>
      <c r="F3774" s="248">
        <v>4</v>
      </c>
      <c r="G3774" s="242">
        <f>IF(B3774="SEPLAG",VLOOKUP(CONCATENATE("MEDIANA - ",C3774),COTAÇÃO,5,FALSE),VLOOKUP($C3774,'NAO DESO'!$A:$D,4,))</f>
        <v>0.34</v>
      </c>
      <c r="H3774" s="242">
        <f t="shared" si="222"/>
        <v>1.36</v>
      </c>
      <c r="I3774" s="54" t="str">
        <f>IF(B3774="SEPLAG",VLOOKUP(CONCATENATE("MEDIANA - ",C3774),COTAÇÃO,5,FALSE),VLOOKUP($C3774,DESON!$A:$D,4,))</f>
        <v>0,34</v>
      </c>
      <c r="J3774" s="209">
        <f t="shared" si="223"/>
        <v>1.36</v>
      </c>
    </row>
    <row r="3775" spans="1:10" ht="15" customHeight="1">
      <c r="A3775" s="233" t="s">
        <v>188</v>
      </c>
      <c r="B3775" s="161" t="s">
        <v>14504</v>
      </c>
      <c r="C3775" s="161" t="s">
        <v>14430</v>
      </c>
      <c r="D3775" s="161" t="str">
        <f>IF(B3775="SEPLAG",VLOOKUP(COMPOSIÇÕES!C3775,'MAPA COMPARATIVO'!A:B,2,FALSE),VLOOKUP(C3775,'NAO DESO'!A:B,2,0))</f>
        <v>ELETROCALHA METÁLICA PERFURADA 50X50X3000 mm</v>
      </c>
      <c r="E3775" s="247" t="s">
        <v>24</v>
      </c>
      <c r="F3775" s="248">
        <v>0.33</v>
      </c>
      <c r="G3775" s="242">
        <f>IF(B3775="SEPLAG",VLOOKUP(CONCATENATE("MEDIANA - ",C3775),COTAÇÃO,5,FALSE),VLOOKUP($C3775,'NAO DESO'!$A:$D,4,))</f>
        <v>86.52</v>
      </c>
      <c r="H3775" s="242">
        <f t="shared" si="222"/>
        <v>28.55</v>
      </c>
      <c r="I3775" s="54">
        <f>IF(B3775="SEPLAG",VLOOKUP(CONCATENATE("MEDIANA - ",C3775),COTAÇÃO,5,FALSE),VLOOKUP($C3775,DESON!$A:$D,4,))</f>
        <v>86.52</v>
      </c>
      <c r="J3775" s="209">
        <f t="shared" si="223"/>
        <v>28.55</v>
      </c>
    </row>
    <row r="3776" spans="1:10" ht="15" customHeight="1">
      <c r="A3776" s="210" t="str">
        <f>CONCATENATE("TOTAL DO ITEM NÃO DESON. - ",C3764)</f>
        <v>TOTAL DO ITEM NÃO DESON. - SEPLAG ELE 54</v>
      </c>
      <c r="B3776" s="432"/>
      <c r="C3776" s="432"/>
      <c r="D3776" s="432"/>
      <c r="E3776" s="430"/>
      <c r="F3776" s="1189"/>
      <c r="G3776" s="1189"/>
      <c r="H3776" s="1189">
        <f>SUM(H3767:H3775)</f>
        <v>76.09</v>
      </c>
      <c r="I3776" s="213"/>
      <c r="J3776" s="259"/>
    </row>
    <row r="3777" spans="1:10" ht="15.75" customHeight="1" thickBot="1">
      <c r="A3777" s="216" t="str">
        <f>CONCATENATE("TOTAL DO ITEM DESON. - ",C3764)</f>
        <v>TOTAL DO ITEM DESON. - SEPLAG ELE 54</v>
      </c>
      <c r="B3777" s="1148"/>
      <c r="C3777" s="1148"/>
      <c r="D3777" s="1148"/>
      <c r="E3777" s="1142"/>
      <c r="F3777" s="1190"/>
      <c r="G3777" s="1190"/>
      <c r="H3777" s="1190"/>
      <c r="I3777" s="228"/>
      <c r="J3777" s="219">
        <f>SUM(J3767:J3776)</f>
        <v>73.819999999999993</v>
      </c>
    </row>
    <row r="3778" spans="1:10" ht="15" customHeight="1" thickBot="1">
      <c r="A3778" s="421"/>
      <c r="B3778" s="1138"/>
      <c r="C3778" s="1138"/>
      <c r="D3778" s="1138"/>
      <c r="E3778" s="1154"/>
      <c r="F3778" s="1196"/>
      <c r="G3778" s="1196"/>
      <c r="H3778" s="1196"/>
      <c r="I3778" s="423"/>
      <c r="J3778" s="422"/>
    </row>
    <row r="3779" spans="1:10" ht="15" customHeight="1">
      <c r="A3779" s="256"/>
      <c r="B3779" s="1152"/>
      <c r="C3779" s="1152" t="s">
        <v>13170</v>
      </c>
      <c r="D3779" s="152" t="s">
        <v>13169</v>
      </c>
      <c r="E3779" s="1152" t="s">
        <v>24</v>
      </c>
      <c r="F3779" s="1177" t="s">
        <v>18</v>
      </c>
      <c r="G3779" s="1178" t="s">
        <v>7015</v>
      </c>
      <c r="H3779" s="1179"/>
      <c r="I3779" s="200" t="s">
        <v>7016</v>
      </c>
      <c r="J3779" s="201"/>
    </row>
    <row r="3780" spans="1:10" ht="15" customHeight="1">
      <c r="A3780" s="257"/>
      <c r="B3780" s="430"/>
      <c r="C3780" s="430"/>
      <c r="D3780" s="430"/>
      <c r="E3780" s="430"/>
      <c r="F3780" s="1180"/>
      <c r="G3780" s="1180" t="s">
        <v>19</v>
      </c>
      <c r="H3780" s="1180" t="s">
        <v>20</v>
      </c>
      <c r="I3780" s="204" t="s">
        <v>19</v>
      </c>
      <c r="J3780" s="206" t="s">
        <v>20</v>
      </c>
    </row>
    <row r="3781" spans="1:10" ht="15" customHeight="1">
      <c r="A3781" s="233"/>
      <c r="B3781" s="161"/>
      <c r="C3781" s="161"/>
      <c r="D3781" s="161"/>
      <c r="E3781" s="247"/>
      <c r="F3781" s="248"/>
      <c r="G3781" s="248"/>
      <c r="H3781" s="248"/>
      <c r="I3781" s="214"/>
      <c r="J3781" s="227"/>
    </row>
    <row r="3782" spans="1:10" ht="15" customHeight="1">
      <c r="A3782" s="233" t="s">
        <v>245</v>
      </c>
      <c r="B3782" s="161"/>
      <c r="C3782" s="161">
        <v>88247</v>
      </c>
      <c r="D3782" s="161" t="str">
        <f>IF(B3782="SEPLAG",VLOOKUP(COMPOSIÇÕES!C3782,'MAPA COMPARATIVO'!A:B,2,FALSE),VLOOKUP(C3782,'NAO DESO'!A:B,2,0))</f>
        <v>AUXILIAR DE ELETRICISTA COM ENCARGOS COMPLEMENTARES</v>
      </c>
      <c r="E3782" s="247" t="s">
        <v>16</v>
      </c>
      <c r="F3782" s="248">
        <v>2.5000000000000001E-2</v>
      </c>
      <c r="G3782" s="242" t="str">
        <f>IF(B3782="SEPLAG",VLOOKUP(CONCATENATE("MEDIANA - ",C3782),COTAÇÃO,5,FALSE),VLOOKUP($C3782,'NAO DESO'!$A:$D,4,))</f>
        <v>16,84</v>
      </c>
      <c r="H3782" s="242">
        <f>TRUNC(F3782*G3782,2)</f>
        <v>0.42</v>
      </c>
      <c r="I3782" s="54" t="str">
        <f>IF(B3782="SEPLAG",VLOOKUP(CONCATENATE("MEDIANA - ",C3782),COTAÇÃO,5,FALSE),VLOOKUP($C3782,DESON!$A:$D,4,))</f>
        <v>15,19</v>
      </c>
      <c r="J3782" s="209">
        <f>TRUNC(F3782*I3782,2)</f>
        <v>0.37</v>
      </c>
    </row>
    <row r="3783" spans="1:10" ht="15" customHeight="1">
      <c r="A3783" s="233" t="s">
        <v>245</v>
      </c>
      <c r="B3783" s="161"/>
      <c r="C3783" s="161">
        <v>88264</v>
      </c>
      <c r="D3783" s="161" t="str">
        <f>IF(B3783="SEPLAG",VLOOKUP(COMPOSIÇÕES!C3783,'MAPA COMPARATIVO'!A:B,2,FALSE),VLOOKUP(C3783,'NAO DESO'!A:B,2,0))</f>
        <v>ELETRICISTA COM ENCARGOS COMPLEMENTARES</v>
      </c>
      <c r="E3783" s="247" t="s">
        <v>16</v>
      </c>
      <c r="F3783" s="248">
        <v>0.05</v>
      </c>
      <c r="G3783" s="242" t="str">
        <f>IF(B3783="SEPLAG",VLOOKUP(CONCATENATE("MEDIANA - ",C3783),COTAÇÃO,5,FALSE),VLOOKUP($C3783,'NAO DESO'!$A:$D,4,))</f>
        <v>21,87</v>
      </c>
      <c r="H3783" s="242">
        <f>TRUNC(F3783*G3783,2)</f>
        <v>1.0900000000000001</v>
      </c>
      <c r="I3783" s="54" t="str">
        <f>IF(B3783="SEPLAG",VLOOKUP(CONCATENATE("MEDIANA - ",C3783),COTAÇÃO,5,FALSE),VLOOKUP($C3783,DESON!$A:$D,4,))</f>
        <v>19,53</v>
      </c>
      <c r="J3783" s="209">
        <f>TRUNC(F3783*I3783,2)</f>
        <v>0.97</v>
      </c>
    </row>
    <row r="3784" spans="1:10" ht="26.25" customHeight="1">
      <c r="A3784" s="233" t="s">
        <v>39</v>
      </c>
      <c r="B3784" s="161"/>
      <c r="C3784" s="161">
        <v>39129</v>
      </c>
      <c r="D3784" s="161" t="str">
        <f>IF(B3784="SEPLAG",VLOOKUP(COMPOSIÇÕES!C3784,'MAPA COMPARATIVO'!A:B,2,FALSE),VLOOKUP(C3784,'NAO DESO'!A:B,2,0))</f>
        <v>ABRACADEIRA EM ACO PARA AMARRACAO DE ELETRODUTOS, TIPO D, COM 1" E CUNHA DE FIXACAO</v>
      </c>
      <c r="E3784" s="247" t="s">
        <v>427</v>
      </c>
      <c r="F3784" s="248">
        <v>1</v>
      </c>
      <c r="G3784" s="242">
        <f>IF(B3784="SEPLAG",VLOOKUP(CONCATENATE("MEDIANA - ",C3784),COTAÇÃO,5,FALSE),VLOOKUP($C3784,'NAO DESO'!$A:$D,4,))</f>
        <v>2.41</v>
      </c>
      <c r="H3784" s="242">
        <f>TRUNC(F3784*G3784,2)</f>
        <v>2.41</v>
      </c>
      <c r="I3784" s="54" t="str">
        <f>IF(B3784="SEPLAG",VLOOKUP(CONCATENATE("MEDIANA - ",C3784),COTAÇÃO,5,FALSE),VLOOKUP($C3784,DESON!$A:$D,4,))</f>
        <v>2,41</v>
      </c>
      <c r="J3784" s="209">
        <f>TRUNC(F3784*I3784,2)</f>
        <v>2.41</v>
      </c>
    </row>
    <row r="3785" spans="1:10" ht="15" customHeight="1">
      <c r="A3785" s="210" t="str">
        <f>CONCATENATE("TOTAL DO ITEM NÃO DESON. - ",C3779)</f>
        <v>TOTAL DO ITEM NÃO DESON. - SEPLAG ELE 55</v>
      </c>
      <c r="B3785" s="432"/>
      <c r="C3785" s="432"/>
      <c r="D3785" s="432"/>
      <c r="E3785" s="430"/>
      <c r="F3785" s="1189"/>
      <c r="G3785" s="1189"/>
      <c r="H3785" s="1189">
        <f>SUM(H3782:H3784)</f>
        <v>3.92</v>
      </c>
      <c r="I3785" s="213"/>
      <c r="J3785" s="259"/>
    </row>
    <row r="3786" spans="1:10" ht="15.75" customHeight="1" thickBot="1">
      <c r="A3786" s="216" t="str">
        <f>CONCATENATE("TOTAL DO ITEM DESON. - ",C3779)</f>
        <v>TOTAL DO ITEM DESON. - SEPLAG ELE 55</v>
      </c>
      <c r="B3786" s="1148"/>
      <c r="C3786" s="1148"/>
      <c r="D3786" s="1148"/>
      <c r="E3786" s="1142"/>
      <c r="F3786" s="1190"/>
      <c r="G3786" s="1190"/>
      <c r="H3786" s="1190"/>
      <c r="I3786" s="228"/>
      <c r="J3786" s="219">
        <f>SUM(J3782:J3785)</f>
        <v>3.75</v>
      </c>
    </row>
    <row r="3787" spans="1:10" ht="15" customHeight="1" thickBot="1">
      <c r="A3787" s="421"/>
      <c r="B3787" s="1138"/>
      <c r="C3787" s="1138"/>
      <c r="D3787" s="1138"/>
      <c r="E3787" s="1154"/>
      <c r="F3787" s="1196"/>
      <c r="G3787" s="1196"/>
      <c r="H3787" s="1196"/>
      <c r="I3787" s="423"/>
      <c r="J3787" s="422"/>
    </row>
    <row r="3788" spans="1:10" ht="15" customHeight="1">
      <c r="A3788" s="256"/>
      <c r="B3788" s="1152"/>
      <c r="C3788" s="1152" t="s">
        <v>13171</v>
      </c>
      <c r="D3788" s="152" t="s">
        <v>13172</v>
      </c>
      <c r="E3788" s="1152" t="s">
        <v>24</v>
      </c>
      <c r="F3788" s="1177" t="s">
        <v>18</v>
      </c>
      <c r="G3788" s="1178" t="s">
        <v>7015</v>
      </c>
      <c r="H3788" s="1179"/>
      <c r="I3788" s="200" t="s">
        <v>7016</v>
      </c>
      <c r="J3788" s="201"/>
    </row>
    <row r="3789" spans="1:10" ht="15" customHeight="1">
      <c r="A3789" s="257"/>
      <c r="B3789" s="430"/>
      <c r="C3789" s="430"/>
      <c r="D3789" s="430"/>
      <c r="E3789" s="430"/>
      <c r="F3789" s="1180"/>
      <c r="G3789" s="1180" t="s">
        <v>19</v>
      </c>
      <c r="H3789" s="1180" t="s">
        <v>20</v>
      </c>
      <c r="I3789" s="204" t="s">
        <v>19</v>
      </c>
      <c r="J3789" s="206" t="s">
        <v>20</v>
      </c>
    </row>
    <row r="3790" spans="1:10" ht="15" customHeight="1">
      <c r="A3790" s="233"/>
      <c r="B3790" s="161"/>
      <c r="C3790" s="161"/>
      <c r="D3790" s="161"/>
      <c r="E3790" s="247"/>
      <c r="F3790" s="248"/>
      <c r="G3790" s="248"/>
      <c r="H3790" s="248"/>
      <c r="I3790" s="214"/>
      <c r="J3790" s="227"/>
    </row>
    <row r="3791" spans="1:10" ht="15" customHeight="1">
      <c r="A3791" s="233" t="s">
        <v>245</v>
      </c>
      <c r="B3791" s="161"/>
      <c r="C3791" s="161">
        <v>88247</v>
      </c>
      <c r="D3791" s="161" t="str">
        <f>IF(B3791="SEPLAG",VLOOKUP(COMPOSIÇÕES!C3791,'MAPA COMPARATIVO'!A:B,2,FALSE),VLOOKUP(C3791,'NAO DESO'!A:B,2,0))</f>
        <v>AUXILIAR DE ELETRICISTA COM ENCARGOS COMPLEMENTARES</v>
      </c>
      <c r="E3791" s="247" t="s">
        <v>16</v>
      </c>
      <c r="F3791" s="248">
        <v>2.5000000000000001E-2</v>
      </c>
      <c r="G3791" s="242" t="str">
        <f>IF(B3791="SEPLAG",VLOOKUP(CONCATENATE("MEDIANA - ",C3791),COTAÇÃO,5,FALSE),VLOOKUP($C3791,'NAO DESO'!$A:$D,4,))</f>
        <v>16,84</v>
      </c>
      <c r="H3791" s="242">
        <f>TRUNC(F3791*G3791,2)</f>
        <v>0.42</v>
      </c>
      <c r="I3791" s="54" t="str">
        <f>IF(B3791="SEPLAG",VLOOKUP(CONCATENATE("MEDIANA - ",C3791),COTAÇÃO,5,FALSE),VLOOKUP($C3791,DESON!$A:$D,4,))</f>
        <v>15,19</v>
      </c>
      <c r="J3791" s="209">
        <f>TRUNC(F3791*I3791,2)</f>
        <v>0.37</v>
      </c>
    </row>
    <row r="3792" spans="1:10" ht="15" customHeight="1">
      <c r="A3792" s="233" t="s">
        <v>245</v>
      </c>
      <c r="B3792" s="161"/>
      <c r="C3792" s="161">
        <v>88264</v>
      </c>
      <c r="D3792" s="161" t="str">
        <f>IF(B3792="SEPLAG",VLOOKUP(COMPOSIÇÕES!C3792,'MAPA COMPARATIVO'!A:B,2,FALSE),VLOOKUP(C3792,'NAO DESO'!A:B,2,0))</f>
        <v>ELETRICISTA COM ENCARGOS COMPLEMENTARES</v>
      </c>
      <c r="E3792" s="247" t="s">
        <v>16</v>
      </c>
      <c r="F3792" s="248">
        <v>0.05</v>
      </c>
      <c r="G3792" s="242" t="str">
        <f>IF(B3792="SEPLAG",VLOOKUP(CONCATENATE("MEDIANA - ",C3792),COTAÇÃO,5,FALSE),VLOOKUP($C3792,'NAO DESO'!$A:$D,4,))</f>
        <v>21,87</v>
      </c>
      <c r="H3792" s="242">
        <f>TRUNC(F3792*G3792,2)</f>
        <v>1.0900000000000001</v>
      </c>
      <c r="I3792" s="54" t="str">
        <f>IF(B3792="SEPLAG",VLOOKUP(CONCATENATE("MEDIANA - ",C3792),COTAÇÃO,5,FALSE),VLOOKUP($C3792,DESON!$A:$D,4,))</f>
        <v>19,53</v>
      </c>
      <c r="J3792" s="209">
        <f>TRUNC(F3792*I3792,2)</f>
        <v>0.97</v>
      </c>
    </row>
    <row r="3793" spans="1:10" ht="26.25" customHeight="1">
      <c r="A3793" s="233" t="s">
        <v>39</v>
      </c>
      <c r="B3793" s="161"/>
      <c r="C3793" s="161">
        <v>39131</v>
      </c>
      <c r="D3793" s="161" t="str">
        <f>IF(B3793="SEPLAG",VLOOKUP(COMPOSIÇÕES!C3793,'MAPA COMPARATIVO'!A:B,2,FALSE),VLOOKUP(C3793,'NAO DESO'!A:B,2,0))</f>
        <v>ABRACADEIRA EM ACO PARA AMARRACAO DE ELETRODUTOS, TIPO D, COM 1 1/2" E CUNHA DE FIXACAO</v>
      </c>
      <c r="E3793" s="247" t="s">
        <v>427</v>
      </c>
      <c r="F3793" s="248">
        <v>1</v>
      </c>
      <c r="G3793" s="242">
        <f>IF(B3793="SEPLAG",VLOOKUP(CONCATENATE("MEDIANA - ",C3793),COTAÇÃO,5,FALSE),VLOOKUP($C3793,'NAO DESO'!$A:$D,4,))</f>
        <v>4.28</v>
      </c>
      <c r="H3793" s="242">
        <f>TRUNC(F3793*G3793,2)</f>
        <v>4.28</v>
      </c>
      <c r="I3793" s="54" t="str">
        <f>IF(B3793="SEPLAG",VLOOKUP(CONCATENATE("MEDIANA - ",C3793),COTAÇÃO,5,FALSE),VLOOKUP($C3793,DESON!$A:$D,4,))</f>
        <v>4,28</v>
      </c>
      <c r="J3793" s="209">
        <f>TRUNC(F3793*I3793,2)</f>
        <v>4.28</v>
      </c>
    </row>
    <row r="3794" spans="1:10" ht="15" customHeight="1">
      <c r="A3794" s="210" t="str">
        <f>CONCATENATE("TOTAL DO ITEM NÃO DESON. - ",C3788)</f>
        <v>TOTAL DO ITEM NÃO DESON. - SEPLAG ELE 56</v>
      </c>
      <c r="B3794" s="432"/>
      <c r="C3794" s="432"/>
      <c r="D3794" s="432"/>
      <c r="E3794" s="430"/>
      <c r="F3794" s="1189"/>
      <c r="G3794" s="1189"/>
      <c r="H3794" s="1189">
        <f>SUM(H3791:H3793)</f>
        <v>5.79</v>
      </c>
      <c r="I3794" s="213"/>
      <c r="J3794" s="259"/>
    </row>
    <row r="3795" spans="1:10" ht="15.75" customHeight="1" thickBot="1">
      <c r="A3795" s="216" t="str">
        <f>CONCATENATE("TOTAL DO ITEM DESON. - ",C3788)</f>
        <v>TOTAL DO ITEM DESON. - SEPLAG ELE 56</v>
      </c>
      <c r="B3795" s="1148"/>
      <c r="C3795" s="1148"/>
      <c r="D3795" s="1148"/>
      <c r="E3795" s="1142"/>
      <c r="F3795" s="1190"/>
      <c r="G3795" s="1190"/>
      <c r="H3795" s="1190"/>
      <c r="I3795" s="228"/>
      <c r="J3795" s="219">
        <f>SUM(J3791:J3794)</f>
        <v>5.62</v>
      </c>
    </row>
    <row r="3796" spans="1:10" ht="15" customHeight="1" thickBot="1">
      <c r="A3796" s="421"/>
      <c r="B3796" s="1138"/>
      <c r="C3796" s="1138"/>
      <c r="D3796" s="1138"/>
      <c r="E3796" s="1154"/>
      <c r="F3796" s="1196"/>
      <c r="G3796" s="1196"/>
      <c r="H3796" s="1196"/>
      <c r="I3796" s="423"/>
      <c r="J3796" s="422"/>
    </row>
    <row r="3797" spans="1:10" ht="15" customHeight="1">
      <c r="A3797" s="256"/>
      <c r="B3797" s="1152"/>
      <c r="C3797" s="1152" t="s">
        <v>13173</v>
      </c>
      <c r="D3797" s="152" t="s">
        <v>13174</v>
      </c>
      <c r="E3797" s="1152" t="s">
        <v>24</v>
      </c>
      <c r="F3797" s="1177" t="s">
        <v>18</v>
      </c>
      <c r="G3797" s="1178" t="s">
        <v>7015</v>
      </c>
      <c r="H3797" s="1179"/>
      <c r="I3797" s="200" t="s">
        <v>7016</v>
      </c>
      <c r="J3797" s="201"/>
    </row>
    <row r="3798" spans="1:10" ht="15" customHeight="1">
      <c r="A3798" s="257"/>
      <c r="B3798" s="430"/>
      <c r="C3798" s="430"/>
      <c r="D3798" s="430"/>
      <c r="E3798" s="430"/>
      <c r="F3798" s="1180"/>
      <c r="G3798" s="1180" t="s">
        <v>19</v>
      </c>
      <c r="H3798" s="1180" t="s">
        <v>20</v>
      </c>
      <c r="I3798" s="204" t="s">
        <v>19</v>
      </c>
      <c r="J3798" s="206" t="s">
        <v>20</v>
      </c>
    </row>
    <row r="3799" spans="1:10" ht="15" customHeight="1">
      <c r="A3799" s="233"/>
      <c r="B3799" s="161"/>
      <c r="C3799" s="161"/>
      <c r="D3799" s="161"/>
      <c r="E3799" s="247"/>
      <c r="F3799" s="248"/>
      <c r="G3799" s="248"/>
      <c r="H3799" s="248"/>
      <c r="I3799" s="214"/>
      <c r="J3799" s="227"/>
    </row>
    <row r="3800" spans="1:10" ht="15" customHeight="1">
      <c r="A3800" s="233" t="s">
        <v>245</v>
      </c>
      <c r="B3800" s="161"/>
      <c r="C3800" s="161">
        <v>88247</v>
      </c>
      <c r="D3800" s="161" t="str">
        <f>IF(B3800="SEPLAG",VLOOKUP(COMPOSIÇÕES!C3800,'MAPA COMPARATIVO'!A:B,2,FALSE),VLOOKUP(C3800,'NAO DESO'!A:B,2,0))</f>
        <v>AUXILIAR DE ELETRICISTA COM ENCARGOS COMPLEMENTARES</v>
      </c>
      <c r="E3800" s="247" t="s">
        <v>16</v>
      </c>
      <c r="F3800" s="248">
        <v>2.5000000000000001E-2</v>
      </c>
      <c r="G3800" s="242" t="str">
        <f>IF(B3800="SEPLAG",VLOOKUP(CONCATENATE("MEDIANA - ",C3800),COTAÇÃO,5,FALSE),VLOOKUP($C3800,'NAO DESO'!$A:$D,4,))</f>
        <v>16,84</v>
      </c>
      <c r="H3800" s="242">
        <f>TRUNC(F3800*G3800,2)</f>
        <v>0.42</v>
      </c>
      <c r="I3800" s="54" t="str">
        <f>IF(B3800="SEPLAG",VLOOKUP(CONCATENATE("MEDIANA - ",C3800),COTAÇÃO,5,FALSE),VLOOKUP($C3800,DESON!$A:$D,4,))</f>
        <v>15,19</v>
      </c>
      <c r="J3800" s="209">
        <f>TRUNC(F3800*I3800,2)</f>
        <v>0.37</v>
      </c>
    </row>
    <row r="3801" spans="1:10" ht="15" customHeight="1">
      <c r="A3801" s="233" t="s">
        <v>245</v>
      </c>
      <c r="B3801" s="161"/>
      <c r="C3801" s="161">
        <v>88264</v>
      </c>
      <c r="D3801" s="161" t="str">
        <f>IF(B3801="SEPLAG",VLOOKUP(COMPOSIÇÕES!C3801,'MAPA COMPARATIVO'!A:B,2,FALSE),VLOOKUP(C3801,'NAO DESO'!A:B,2,0))</f>
        <v>ELETRICISTA COM ENCARGOS COMPLEMENTARES</v>
      </c>
      <c r="E3801" s="247" t="s">
        <v>16</v>
      </c>
      <c r="F3801" s="248">
        <v>0.05</v>
      </c>
      <c r="G3801" s="242" t="str">
        <f>IF(B3801="SEPLAG",VLOOKUP(CONCATENATE("MEDIANA - ",C3801),COTAÇÃO,5,FALSE),VLOOKUP($C3801,'NAO DESO'!$A:$D,4,))</f>
        <v>21,87</v>
      </c>
      <c r="H3801" s="242">
        <f>TRUNC(F3801*G3801,2)</f>
        <v>1.0900000000000001</v>
      </c>
      <c r="I3801" s="54" t="str">
        <f>IF(B3801="SEPLAG",VLOOKUP(CONCATENATE("MEDIANA - ",C3801),COTAÇÃO,5,FALSE),VLOOKUP($C3801,DESON!$A:$D,4,))</f>
        <v>19,53</v>
      </c>
      <c r="J3801" s="209">
        <f>TRUNC(F3801*I3801,2)</f>
        <v>0.97</v>
      </c>
    </row>
    <row r="3802" spans="1:10" ht="26.25" customHeight="1">
      <c r="A3802" s="233" t="s">
        <v>39</v>
      </c>
      <c r="B3802" s="161"/>
      <c r="C3802" s="161">
        <v>39128</v>
      </c>
      <c r="D3802" s="161" t="str">
        <f>IF(B3802="SEPLAG",VLOOKUP(COMPOSIÇÕES!C3802,'MAPA COMPARATIVO'!A:B,2,FALSE),VLOOKUP(C3802,'NAO DESO'!A:B,2,0))</f>
        <v>ABRACADEIRA EM ACO PARA AMARRACAO DE ELETRODUTOS, TIPO D, COM 3/4" E CUNHA DE FIXACAO</v>
      </c>
      <c r="E3802" s="247" t="s">
        <v>427</v>
      </c>
      <c r="F3802" s="248">
        <v>1</v>
      </c>
      <c r="G3802" s="242">
        <f>IF(B3802="SEPLAG",VLOOKUP(CONCATENATE("MEDIANA - ",C3802),COTAÇÃO,5,FALSE),VLOOKUP($C3802,'NAO DESO'!$A:$D,4,))</f>
        <v>2.25</v>
      </c>
      <c r="H3802" s="242">
        <f>TRUNC(F3802*G3802,2)</f>
        <v>2.25</v>
      </c>
      <c r="I3802" s="54" t="str">
        <f>IF(B3802="SEPLAG",VLOOKUP(CONCATENATE("MEDIANA - ",C3802),COTAÇÃO,5,FALSE),VLOOKUP($C3802,DESON!$A:$D,4,))</f>
        <v>2,25</v>
      </c>
      <c r="J3802" s="209">
        <f>TRUNC(F3802*I3802,2)</f>
        <v>2.25</v>
      </c>
    </row>
    <row r="3803" spans="1:10" ht="15" customHeight="1">
      <c r="A3803" s="210" t="str">
        <f>CONCATENATE("TOTAL DO ITEM NÃO DESON. - ",C3797)</f>
        <v>TOTAL DO ITEM NÃO DESON. - SEPLAG ELE 57</v>
      </c>
      <c r="B3803" s="432"/>
      <c r="C3803" s="432"/>
      <c r="D3803" s="432"/>
      <c r="E3803" s="430"/>
      <c r="F3803" s="1189"/>
      <c r="G3803" s="1189"/>
      <c r="H3803" s="1189">
        <f>SUM(H3800:H3802)</f>
        <v>3.76</v>
      </c>
      <c r="I3803" s="213"/>
      <c r="J3803" s="259"/>
    </row>
    <row r="3804" spans="1:10" ht="15.75" customHeight="1" thickBot="1">
      <c r="A3804" s="216" t="str">
        <f>CONCATENATE("TOTAL DO ITEM DESON. - ",C3797)</f>
        <v>TOTAL DO ITEM DESON. - SEPLAG ELE 57</v>
      </c>
      <c r="B3804" s="1148"/>
      <c r="C3804" s="1148"/>
      <c r="D3804" s="1148"/>
      <c r="E3804" s="1142"/>
      <c r="F3804" s="1190"/>
      <c r="G3804" s="1190"/>
      <c r="H3804" s="1190"/>
      <c r="I3804" s="228"/>
      <c r="J3804" s="219">
        <f>SUM(J3800:J3803)</f>
        <v>3.59</v>
      </c>
    </row>
    <row r="3805" spans="1:10" ht="15" customHeight="1" thickBot="1">
      <c r="A3805" s="421"/>
      <c r="B3805" s="1138"/>
      <c r="C3805" s="1138"/>
      <c r="D3805" s="1138"/>
      <c r="E3805" s="1154"/>
      <c r="F3805" s="1196"/>
      <c r="G3805" s="1196"/>
      <c r="H3805" s="1196"/>
      <c r="I3805" s="423"/>
      <c r="J3805" s="422"/>
    </row>
    <row r="3806" spans="1:10" ht="25.5" customHeight="1">
      <c r="A3806" s="256"/>
      <c r="B3806" s="1152"/>
      <c r="C3806" s="1152" t="s">
        <v>13314</v>
      </c>
      <c r="D3806" s="152" t="s">
        <v>13315</v>
      </c>
      <c r="E3806" s="1152" t="s">
        <v>24</v>
      </c>
      <c r="F3806" s="1177" t="s">
        <v>18</v>
      </c>
      <c r="G3806" s="1178" t="s">
        <v>7015</v>
      </c>
      <c r="H3806" s="1179"/>
      <c r="I3806" s="200" t="s">
        <v>7016</v>
      </c>
      <c r="J3806" s="201"/>
    </row>
    <row r="3807" spans="1:10" ht="15" customHeight="1">
      <c r="A3807" s="257"/>
      <c r="B3807" s="430"/>
      <c r="C3807" s="430"/>
      <c r="D3807" s="430"/>
      <c r="E3807" s="430"/>
      <c r="F3807" s="1180"/>
      <c r="G3807" s="1180" t="s">
        <v>19</v>
      </c>
      <c r="H3807" s="1180" t="s">
        <v>20</v>
      </c>
      <c r="I3807" s="204" t="s">
        <v>19</v>
      </c>
      <c r="J3807" s="206" t="s">
        <v>20</v>
      </c>
    </row>
    <row r="3808" spans="1:10" ht="15" customHeight="1">
      <c r="A3808" s="233"/>
      <c r="B3808" s="161"/>
      <c r="C3808" s="161"/>
      <c r="D3808" s="161"/>
      <c r="E3808" s="247"/>
      <c r="F3808" s="248"/>
      <c r="G3808" s="248"/>
      <c r="H3808" s="248"/>
      <c r="I3808" s="214"/>
      <c r="J3808" s="227"/>
    </row>
    <row r="3809" spans="1:10" ht="15" customHeight="1">
      <c r="A3809" s="233" t="s">
        <v>245</v>
      </c>
      <c r="B3809" s="161"/>
      <c r="C3809" s="161">
        <v>88264</v>
      </c>
      <c r="D3809" s="161" t="str">
        <f>IF(B3809="SEPLAG",VLOOKUP(COMPOSIÇÕES!C3809,'MAPA COMPARATIVO'!A:B,2,FALSE),VLOOKUP(C3809,'NAO DESO'!A:B,2,0))</f>
        <v>ELETRICISTA COM ENCARGOS COMPLEMENTARES</v>
      </c>
      <c r="E3809" s="247" t="s">
        <v>16</v>
      </c>
      <c r="F3809" s="248">
        <v>0.26190479999999999</v>
      </c>
      <c r="G3809" s="242" t="str">
        <f>IF(B3809="SEPLAG",VLOOKUP(CONCATENATE("MEDIANA - ",C3809),COTAÇÃO,5,FALSE),VLOOKUP($C3809,'NAO DESO'!$A:$D,4,))</f>
        <v>21,87</v>
      </c>
      <c r="H3809" s="242">
        <f>TRUNC(F3809*G3809,2)</f>
        <v>5.72</v>
      </c>
      <c r="I3809" s="54" t="str">
        <f>IF(B3809="SEPLAG",VLOOKUP(CONCATENATE("MEDIANA - ",C3809),COTAÇÃO,5,FALSE),VLOOKUP($C3809,DESON!$A:$D,4,))</f>
        <v>19,53</v>
      </c>
      <c r="J3809" s="209">
        <f>TRUNC(F3809*I3809,2)</f>
        <v>5.1100000000000003</v>
      </c>
    </row>
    <row r="3810" spans="1:10" ht="15" customHeight="1">
      <c r="A3810" s="233" t="s">
        <v>245</v>
      </c>
      <c r="B3810" s="161"/>
      <c r="C3810" s="161">
        <v>88243</v>
      </c>
      <c r="D3810" s="161" t="str">
        <f>IF(B3810="SEPLAG",VLOOKUP(COMPOSIÇÕES!C3810,'MAPA COMPARATIVO'!A:B,2,FALSE),VLOOKUP(C3810,'NAO DESO'!A:B,2,0))</f>
        <v>AJUDANTE ESPECIALIZADO COM ENCARGOS COMPLEMENTARES</v>
      </c>
      <c r="E3810" s="247" t="s">
        <v>16</v>
      </c>
      <c r="F3810" s="248">
        <v>0.26190479999999999</v>
      </c>
      <c r="G3810" s="242" t="str">
        <f>IF(B3810="SEPLAG",VLOOKUP(CONCATENATE("MEDIANA - ",C3810),COTAÇÃO,5,FALSE),VLOOKUP($C3810,'NAO DESO'!$A:$D,4,))</f>
        <v>17,72</v>
      </c>
      <c r="H3810" s="242">
        <f>TRUNC(F3810*G3810,2)</f>
        <v>4.6399999999999997</v>
      </c>
      <c r="I3810" s="54" t="str">
        <f>IF(B3810="SEPLAG",VLOOKUP(CONCATENATE("MEDIANA - ",C3810),COTAÇÃO,5,FALSE),VLOOKUP($C3810,DESON!$A:$D,4,))</f>
        <v>15,93</v>
      </c>
      <c r="J3810" s="209">
        <f>TRUNC(F3810*I3810,2)</f>
        <v>4.17</v>
      </c>
    </row>
    <row r="3811" spans="1:10" ht="15" customHeight="1">
      <c r="A3811" s="233" t="s">
        <v>39</v>
      </c>
      <c r="B3811" s="161"/>
      <c r="C3811" s="161">
        <v>39601</v>
      </c>
      <c r="D3811" s="161" t="str">
        <f>IF(B3811="SEPLAG",VLOOKUP(COMPOSIÇÕES!C3811,'MAPA COMPARATIVO'!A:B,2,FALSE),VLOOKUP(C3811,'NAO DESO'!A:B,2,0))</f>
        <v>CONECTOR FEMEA RJ - 45, CATEGORIA 6</v>
      </c>
      <c r="E3811" s="247" t="s">
        <v>427</v>
      </c>
      <c r="F3811" s="248">
        <v>1</v>
      </c>
      <c r="G3811" s="242">
        <f>IF(B3811="SEPLAG",VLOOKUP(CONCATENATE("MEDIANA - ",C3811),COTAÇÃO,5,FALSE),VLOOKUP($C3811,'NAO DESO'!$A:$D,4,))</f>
        <v>24.92</v>
      </c>
      <c r="H3811" s="242">
        <f>TRUNC(F3811*G3811,2)</f>
        <v>24.92</v>
      </c>
      <c r="I3811" s="54" t="str">
        <f>IF(B3811="SEPLAG",VLOOKUP(CONCATENATE("MEDIANA - ",C3811),COTAÇÃO,5,FALSE),VLOOKUP($C3811,DESON!$A:$D,4,))</f>
        <v>24,92</v>
      </c>
      <c r="J3811" s="209">
        <f>TRUNC(F3811*I3811,2)</f>
        <v>24.92</v>
      </c>
    </row>
    <row r="3812" spans="1:10" ht="15" customHeight="1">
      <c r="A3812" s="210" t="str">
        <f>CONCATENATE("TOTAL DO ITEM NÃO DESON. - ",C3806)</f>
        <v>TOTAL DO ITEM NÃO DESON. - SEPLAG ELE 58</v>
      </c>
      <c r="B3812" s="432"/>
      <c r="C3812" s="432"/>
      <c r="D3812" s="432"/>
      <c r="E3812" s="430"/>
      <c r="F3812" s="1189"/>
      <c r="G3812" s="1189"/>
      <c r="H3812" s="1189">
        <f>SUM(H3809:H3811)</f>
        <v>35.28</v>
      </c>
      <c r="I3812" s="213"/>
      <c r="J3812" s="259"/>
    </row>
    <row r="3813" spans="1:10" ht="15.75" customHeight="1" thickBot="1">
      <c r="A3813" s="216" t="str">
        <f>CONCATENATE("TOTAL DO ITEM DESON. - ",C3806)</f>
        <v>TOTAL DO ITEM DESON. - SEPLAG ELE 58</v>
      </c>
      <c r="B3813" s="1148"/>
      <c r="C3813" s="1148"/>
      <c r="D3813" s="1148"/>
      <c r="E3813" s="1142"/>
      <c r="F3813" s="1190"/>
      <c r="G3813" s="1190"/>
      <c r="H3813" s="1190"/>
      <c r="I3813" s="228"/>
      <c r="J3813" s="219">
        <f>SUM(J3809:J3812)</f>
        <v>34.200000000000003</v>
      </c>
    </row>
    <row r="3814" spans="1:10" ht="15" customHeight="1" thickBot="1">
      <c r="A3814" s="421"/>
      <c r="B3814" s="1138"/>
      <c r="C3814" s="1138"/>
      <c r="D3814" s="1138"/>
      <c r="E3814" s="1154"/>
      <c r="F3814" s="1196"/>
      <c r="G3814" s="1196"/>
      <c r="H3814" s="1196"/>
      <c r="I3814" s="423"/>
      <c r="J3814" s="422"/>
    </row>
    <row r="3815" spans="1:10" ht="15" customHeight="1">
      <c r="A3815" s="256"/>
      <c r="B3815" s="1152"/>
      <c r="C3815" s="1152" t="s">
        <v>13316</v>
      </c>
      <c r="D3815" s="152" t="s">
        <v>13319</v>
      </c>
      <c r="E3815" s="1152" t="s">
        <v>24</v>
      </c>
      <c r="F3815" s="1177" t="s">
        <v>18</v>
      </c>
      <c r="G3815" s="1178" t="s">
        <v>7015</v>
      </c>
      <c r="H3815" s="1179"/>
      <c r="I3815" s="200" t="s">
        <v>7016</v>
      </c>
      <c r="J3815" s="201"/>
    </row>
    <row r="3816" spans="1:10" ht="15" customHeight="1">
      <c r="A3816" s="257"/>
      <c r="B3816" s="430"/>
      <c r="C3816" s="430"/>
      <c r="D3816" s="430"/>
      <c r="E3816" s="430"/>
      <c r="F3816" s="1180"/>
      <c r="G3816" s="1180" t="s">
        <v>19</v>
      </c>
      <c r="H3816" s="1180" t="s">
        <v>20</v>
      </c>
      <c r="I3816" s="204" t="s">
        <v>19</v>
      </c>
      <c r="J3816" s="206" t="s">
        <v>20</v>
      </c>
    </row>
    <row r="3817" spans="1:10" ht="15" customHeight="1">
      <c r="A3817" s="233"/>
      <c r="B3817" s="161"/>
      <c r="C3817" s="161"/>
      <c r="D3817" s="161"/>
      <c r="E3817" s="247"/>
      <c r="F3817" s="248"/>
      <c r="G3817" s="248"/>
      <c r="H3817" s="248"/>
      <c r="I3817" s="214"/>
      <c r="J3817" s="227"/>
    </row>
    <row r="3818" spans="1:10" ht="15" customHeight="1">
      <c r="A3818" s="233" t="s">
        <v>245</v>
      </c>
      <c r="B3818" s="161"/>
      <c r="C3818" s="161">
        <v>88247</v>
      </c>
      <c r="D3818" s="161" t="str">
        <f>IF(B3818="SEPLAG",VLOOKUP(COMPOSIÇÕES!C3818,'MAPA COMPARATIVO'!A:B,2,FALSE),VLOOKUP(C3818,'NAO DESO'!A:B,2,0))</f>
        <v>AUXILIAR DE ELETRICISTA COM ENCARGOS COMPLEMENTARES</v>
      </c>
      <c r="E3818" s="247" t="s">
        <v>16</v>
      </c>
      <c r="F3818" s="248">
        <v>0.1</v>
      </c>
      <c r="G3818" s="242" t="str">
        <f>IF(B3818="SEPLAG",VLOOKUP(CONCATENATE("MEDIANA - ",C3818),COTAÇÃO,5,FALSE),VLOOKUP($C3818,'NAO DESO'!$A:$D,4,))</f>
        <v>16,84</v>
      </c>
      <c r="H3818" s="242">
        <f>TRUNC(F3818*G3818,2)</f>
        <v>1.68</v>
      </c>
      <c r="I3818" s="54" t="str">
        <f>IF(B3818="SEPLAG",VLOOKUP(CONCATENATE("MEDIANA - ",C3818),COTAÇÃO,5,FALSE),VLOOKUP($C3818,DESON!$A:$D,4,))</f>
        <v>15,19</v>
      </c>
      <c r="J3818" s="209">
        <f>TRUNC(F3818*I3818,2)</f>
        <v>1.51</v>
      </c>
    </row>
    <row r="3819" spans="1:10" ht="15" customHeight="1">
      <c r="A3819" s="233" t="s">
        <v>245</v>
      </c>
      <c r="B3819" s="161"/>
      <c r="C3819" s="161">
        <v>39606</v>
      </c>
      <c r="D3819" s="161" t="str">
        <f>IF(B3819="SEPLAG",VLOOKUP(COMPOSIÇÕES!C3819,'MAPA COMPARATIVO'!A:B,2,FALSE),VLOOKUP(C3819,'NAO DESO'!A:B,2,0))</f>
        <v>PATCH CORD, CATEGORIA 6, EXTENSAO DE 1,50 M</v>
      </c>
      <c r="E3819" s="247" t="s">
        <v>427</v>
      </c>
      <c r="F3819" s="248">
        <v>1</v>
      </c>
      <c r="G3819" s="242">
        <f>IF(B3819="SEPLAG",VLOOKUP(CONCATENATE("MEDIANA - ",C3819),COTAÇÃO,5,FALSE),VLOOKUP($C3819,'NAO DESO'!$A:$D,4,))</f>
        <v>24.95</v>
      </c>
      <c r="H3819" s="242">
        <f>TRUNC(F3819*G3819,2)</f>
        <v>24.95</v>
      </c>
      <c r="I3819" s="54" t="str">
        <f>IF(B3819="SEPLAG",VLOOKUP(CONCATENATE("MEDIANA - ",C3819),COTAÇÃO,5,FALSE),VLOOKUP($C3819,DESON!$A:$D,4,))</f>
        <v>24,95</v>
      </c>
      <c r="J3819" s="209">
        <f>TRUNC(F3819*I3819,2)</f>
        <v>24.95</v>
      </c>
    </row>
    <row r="3820" spans="1:10" ht="15" customHeight="1">
      <c r="A3820" s="210" t="str">
        <f>CONCATENATE("TOTAL DO ITEM NÃO DESON. - ",C3815)</f>
        <v>TOTAL DO ITEM NÃO DESON. - SEPLAG ELE 59</v>
      </c>
      <c r="B3820" s="432"/>
      <c r="C3820" s="432"/>
      <c r="D3820" s="432"/>
      <c r="E3820" s="430"/>
      <c r="F3820" s="1189"/>
      <c r="G3820" s="1189"/>
      <c r="H3820" s="1189">
        <f>SUM(H3818:H3819)</f>
        <v>26.63</v>
      </c>
      <c r="I3820" s="213"/>
      <c r="J3820" s="259"/>
    </row>
    <row r="3821" spans="1:10" ht="15.75" customHeight="1" thickBot="1">
      <c r="A3821" s="216" t="str">
        <f>CONCATENATE("TOTAL DO ITEM DESON. - ",C3815)</f>
        <v>TOTAL DO ITEM DESON. - SEPLAG ELE 59</v>
      </c>
      <c r="B3821" s="1148"/>
      <c r="C3821" s="1148"/>
      <c r="D3821" s="1148"/>
      <c r="E3821" s="1142"/>
      <c r="F3821" s="1190"/>
      <c r="G3821" s="1190"/>
      <c r="H3821" s="1190"/>
      <c r="I3821" s="228"/>
      <c r="J3821" s="219">
        <f>SUM(J3818:J3820)</f>
        <v>26.46</v>
      </c>
    </row>
    <row r="3822" spans="1:10" ht="15" customHeight="1" thickBot="1">
      <c r="A3822" s="421"/>
      <c r="B3822" s="1138"/>
      <c r="C3822" s="1138"/>
      <c r="D3822" s="1138"/>
      <c r="E3822" s="1154"/>
      <c r="F3822" s="1196"/>
      <c r="G3822" s="1196"/>
      <c r="H3822" s="1196"/>
      <c r="I3822" s="423"/>
      <c r="J3822" s="422"/>
    </row>
    <row r="3823" spans="1:10" ht="15" customHeight="1">
      <c r="A3823" s="256"/>
      <c r="B3823" s="1152"/>
      <c r="C3823" s="1152" t="s">
        <v>13317</v>
      </c>
      <c r="D3823" s="152" t="s">
        <v>13321</v>
      </c>
      <c r="E3823" s="1152" t="s">
        <v>24</v>
      </c>
      <c r="F3823" s="1177" t="s">
        <v>18</v>
      </c>
      <c r="G3823" s="1178" t="s">
        <v>7015</v>
      </c>
      <c r="H3823" s="1179"/>
      <c r="I3823" s="200" t="s">
        <v>7016</v>
      </c>
      <c r="J3823" s="201"/>
    </row>
    <row r="3824" spans="1:10" ht="15" customHeight="1">
      <c r="A3824" s="257"/>
      <c r="B3824" s="430"/>
      <c r="C3824" s="430"/>
      <c r="D3824" s="430"/>
      <c r="E3824" s="430"/>
      <c r="F3824" s="1180"/>
      <c r="G3824" s="1180" t="s">
        <v>19</v>
      </c>
      <c r="H3824" s="1180" t="s">
        <v>20</v>
      </c>
      <c r="I3824" s="204" t="s">
        <v>19</v>
      </c>
      <c r="J3824" s="206" t="s">
        <v>20</v>
      </c>
    </row>
    <row r="3825" spans="1:10" ht="15" customHeight="1">
      <c r="A3825" s="233"/>
      <c r="B3825" s="161"/>
      <c r="C3825" s="161"/>
      <c r="D3825" s="161"/>
      <c r="E3825" s="247"/>
      <c r="F3825" s="248"/>
      <c r="G3825" s="248"/>
      <c r="H3825" s="248"/>
      <c r="I3825" s="214"/>
      <c r="J3825" s="227"/>
    </row>
    <row r="3826" spans="1:10" ht="15" customHeight="1">
      <c r="A3826" s="233" t="s">
        <v>245</v>
      </c>
      <c r="B3826" s="161"/>
      <c r="C3826" s="161">
        <v>88247</v>
      </c>
      <c r="D3826" s="161" t="str">
        <f>IF(B3826="SEPLAG",VLOOKUP(COMPOSIÇÕES!C3826,'MAPA COMPARATIVO'!A:B,2,FALSE),VLOOKUP(C3826,'NAO DESO'!A:B,2,0))</f>
        <v>AUXILIAR DE ELETRICISTA COM ENCARGOS COMPLEMENTARES</v>
      </c>
      <c r="E3826" s="247" t="s">
        <v>16</v>
      </c>
      <c r="F3826" s="248">
        <v>0.1</v>
      </c>
      <c r="G3826" s="242" t="str">
        <f>IF(B3826="SEPLAG",VLOOKUP(CONCATENATE("MEDIANA - ",C3826),COTAÇÃO,5,FALSE),VLOOKUP($C3826,'NAO DESO'!$A:$D,4,))</f>
        <v>16,84</v>
      </c>
      <c r="H3826" s="242">
        <f>TRUNC(F3826*G3826,2)</f>
        <v>1.68</v>
      </c>
      <c r="I3826" s="54" t="str">
        <f>IF(B3826="SEPLAG",VLOOKUP(CONCATENATE("MEDIANA - ",C3826),COTAÇÃO,5,FALSE),VLOOKUP($C3826,DESON!$A:$D,4,))</f>
        <v>15,19</v>
      </c>
      <c r="J3826" s="209">
        <f>TRUNC(F3826*I3826,2)</f>
        <v>1.51</v>
      </c>
    </row>
    <row r="3827" spans="1:10" ht="15" customHeight="1">
      <c r="A3827" s="233" t="s">
        <v>245</v>
      </c>
      <c r="B3827" s="161"/>
      <c r="C3827" s="161">
        <v>39606</v>
      </c>
      <c r="D3827" s="161" t="str">
        <f>IF(B3827="SEPLAG",VLOOKUP(COMPOSIÇÕES!C3827,'MAPA COMPARATIVO'!A:B,2,FALSE),VLOOKUP(C3827,'NAO DESO'!A:B,2,0))</f>
        <v>PATCH CORD, CATEGORIA 6, EXTENSAO DE 1,50 M</v>
      </c>
      <c r="E3827" s="247" t="s">
        <v>427</v>
      </c>
      <c r="F3827" s="248">
        <v>1</v>
      </c>
      <c r="G3827" s="242">
        <f>IF(B3827="SEPLAG",VLOOKUP(CONCATENATE("MEDIANA - ",C3827),COTAÇÃO,5,FALSE),VLOOKUP($C3827,'NAO DESO'!$A:$D,4,))</f>
        <v>24.95</v>
      </c>
      <c r="H3827" s="242">
        <f>TRUNC(F3827*G3827,2)</f>
        <v>24.95</v>
      </c>
      <c r="I3827" s="54" t="str">
        <f>IF(B3827="SEPLAG",VLOOKUP(CONCATENATE("MEDIANA - ",C3827),COTAÇÃO,5,FALSE),VLOOKUP($C3827,DESON!$A:$D,4,))</f>
        <v>24,95</v>
      </c>
      <c r="J3827" s="209">
        <f>TRUNC(F3827*I3827,2)</f>
        <v>24.95</v>
      </c>
    </row>
    <row r="3828" spans="1:10" ht="15" customHeight="1">
      <c r="A3828" s="210" t="str">
        <f>CONCATENATE("TOTAL DO ITEM NÃO DESON. - ",C3823)</f>
        <v>TOTAL DO ITEM NÃO DESON. - SEPLAG ELE 60</v>
      </c>
      <c r="B3828" s="432"/>
      <c r="C3828" s="432"/>
      <c r="D3828" s="432"/>
      <c r="E3828" s="430"/>
      <c r="F3828" s="1189"/>
      <c r="G3828" s="1189"/>
      <c r="H3828" s="1189">
        <f>SUM(H3826:H3827)</f>
        <v>26.63</v>
      </c>
      <c r="I3828" s="213"/>
      <c r="J3828" s="259"/>
    </row>
    <row r="3829" spans="1:10" ht="15.75" customHeight="1" thickBot="1">
      <c r="A3829" s="216" t="str">
        <f>CONCATENATE("TOTAL DO ITEM DESON. - ",C3823)</f>
        <v>TOTAL DO ITEM DESON. - SEPLAG ELE 60</v>
      </c>
      <c r="B3829" s="1148"/>
      <c r="C3829" s="1148"/>
      <c r="D3829" s="1148"/>
      <c r="E3829" s="1142"/>
      <c r="F3829" s="1190"/>
      <c r="G3829" s="1190"/>
      <c r="H3829" s="1190"/>
      <c r="I3829" s="228"/>
      <c r="J3829" s="219">
        <f>SUM(J3826:J3828)</f>
        <v>26.46</v>
      </c>
    </row>
    <row r="3830" spans="1:10" ht="15" customHeight="1" thickBot="1">
      <c r="A3830" s="421"/>
      <c r="B3830" s="1138"/>
      <c r="C3830" s="1138"/>
      <c r="D3830" s="1138"/>
      <c r="E3830" s="1154"/>
      <c r="F3830" s="1196"/>
      <c r="G3830" s="1196"/>
      <c r="H3830" s="1196"/>
      <c r="I3830" s="423"/>
      <c r="J3830" s="422"/>
    </row>
    <row r="3831" spans="1:10" ht="15" customHeight="1">
      <c r="A3831" s="256"/>
      <c r="B3831" s="1152"/>
      <c r="C3831" s="1152" t="s">
        <v>13318</v>
      </c>
      <c r="D3831" s="152" t="s">
        <v>13322</v>
      </c>
      <c r="E3831" s="1152" t="s">
        <v>24</v>
      </c>
      <c r="F3831" s="1177" t="s">
        <v>18</v>
      </c>
      <c r="G3831" s="1178" t="s">
        <v>7015</v>
      </c>
      <c r="H3831" s="1179"/>
      <c r="I3831" s="200" t="s">
        <v>7016</v>
      </c>
      <c r="J3831" s="201"/>
    </row>
    <row r="3832" spans="1:10" ht="15" customHeight="1">
      <c r="A3832" s="257"/>
      <c r="B3832" s="430"/>
      <c r="C3832" s="430"/>
      <c r="D3832" s="430"/>
      <c r="E3832" s="430"/>
      <c r="F3832" s="1180"/>
      <c r="G3832" s="1180" t="s">
        <v>19</v>
      </c>
      <c r="H3832" s="1180" t="s">
        <v>20</v>
      </c>
      <c r="I3832" s="204" t="s">
        <v>19</v>
      </c>
      <c r="J3832" s="206" t="s">
        <v>20</v>
      </c>
    </row>
    <row r="3833" spans="1:10" ht="15" customHeight="1">
      <c r="A3833" s="233"/>
      <c r="B3833" s="161"/>
      <c r="C3833" s="161"/>
      <c r="D3833" s="161"/>
      <c r="E3833" s="247"/>
      <c r="F3833" s="248"/>
      <c r="G3833" s="248"/>
      <c r="H3833" s="248"/>
      <c r="I3833" s="214"/>
      <c r="J3833" s="227"/>
    </row>
    <row r="3834" spans="1:10" ht="15" customHeight="1">
      <c r="A3834" s="233" t="s">
        <v>245</v>
      </c>
      <c r="B3834" s="161"/>
      <c r="C3834" s="161">
        <v>88247</v>
      </c>
      <c r="D3834" s="161" t="str">
        <f>IF(B3834="SEPLAG",VLOOKUP(COMPOSIÇÕES!C3834,'MAPA COMPARATIVO'!A:B,2,FALSE),VLOOKUP(C3834,'NAO DESO'!A:B,2,0))</f>
        <v>AUXILIAR DE ELETRICISTA COM ENCARGOS COMPLEMENTARES</v>
      </c>
      <c r="E3834" s="247" t="s">
        <v>16</v>
      </c>
      <c r="F3834" s="248">
        <v>0.1</v>
      </c>
      <c r="G3834" s="242" t="str">
        <f>IF(B3834="SEPLAG",VLOOKUP(CONCATENATE("MEDIANA - ",C3834),COTAÇÃO,5,FALSE),VLOOKUP($C3834,'NAO DESO'!$A:$D,4,))</f>
        <v>16,84</v>
      </c>
      <c r="H3834" s="242">
        <f>TRUNC(F3834*G3834,2)</f>
        <v>1.68</v>
      </c>
      <c r="I3834" s="54" t="str">
        <f>IF(B3834="SEPLAG",VLOOKUP(CONCATENATE("MEDIANA - ",C3834),COTAÇÃO,5,FALSE),VLOOKUP($C3834,DESON!$A:$D,4,))</f>
        <v>15,19</v>
      </c>
      <c r="J3834" s="209">
        <f>TRUNC(F3834*I3834,2)</f>
        <v>1.51</v>
      </c>
    </row>
    <row r="3835" spans="1:10" ht="15" customHeight="1">
      <c r="A3835" s="233" t="s">
        <v>245</v>
      </c>
      <c r="B3835" s="161"/>
      <c r="C3835" s="161">
        <v>39606</v>
      </c>
      <c r="D3835" s="161" t="str">
        <f>IF(B3835="SEPLAG",VLOOKUP(COMPOSIÇÕES!C3835,'MAPA COMPARATIVO'!A:B,2,FALSE),VLOOKUP(C3835,'NAO DESO'!A:B,2,0))</f>
        <v>PATCH CORD, CATEGORIA 6, EXTENSAO DE 1,50 M</v>
      </c>
      <c r="E3835" s="247" t="s">
        <v>427</v>
      </c>
      <c r="F3835" s="248">
        <v>1</v>
      </c>
      <c r="G3835" s="242">
        <f>IF(B3835="SEPLAG",VLOOKUP(CONCATENATE("MEDIANA - ",C3835),COTAÇÃO,5,FALSE),VLOOKUP($C3835,'NAO DESO'!$A:$D,4,))</f>
        <v>24.95</v>
      </c>
      <c r="H3835" s="242">
        <f>TRUNC(F3835*G3835,2)</f>
        <v>24.95</v>
      </c>
      <c r="I3835" s="54" t="str">
        <f>IF(B3835="SEPLAG",VLOOKUP(CONCATENATE("MEDIANA - ",C3835),COTAÇÃO,5,FALSE),VLOOKUP($C3835,DESON!$A:$D,4,))</f>
        <v>24,95</v>
      </c>
      <c r="J3835" s="209">
        <f>TRUNC(F3835*I3835,2)</f>
        <v>24.95</v>
      </c>
    </row>
    <row r="3836" spans="1:10" ht="15" customHeight="1">
      <c r="A3836" s="210" t="str">
        <f>CONCATENATE("TOTAL DO ITEM NÃO DESON. - ",C3831)</f>
        <v>TOTAL DO ITEM NÃO DESON. - SEPLAG ELE 61</v>
      </c>
      <c r="B3836" s="432"/>
      <c r="C3836" s="432"/>
      <c r="D3836" s="432"/>
      <c r="E3836" s="430"/>
      <c r="F3836" s="1189"/>
      <c r="G3836" s="1189"/>
      <c r="H3836" s="1189">
        <f>SUM(H3834:H3835)</f>
        <v>26.63</v>
      </c>
      <c r="I3836" s="213"/>
      <c r="J3836" s="259"/>
    </row>
    <row r="3837" spans="1:10" ht="15.75" customHeight="1" thickBot="1">
      <c r="A3837" s="216" t="str">
        <f>CONCATENATE("TOTAL DO ITEM DESON. - ",C3831)</f>
        <v>TOTAL DO ITEM DESON. - SEPLAG ELE 61</v>
      </c>
      <c r="B3837" s="1148"/>
      <c r="C3837" s="1148"/>
      <c r="D3837" s="1148"/>
      <c r="E3837" s="1142"/>
      <c r="F3837" s="1190"/>
      <c r="G3837" s="1190"/>
      <c r="H3837" s="1190"/>
      <c r="I3837" s="228"/>
      <c r="J3837" s="219">
        <f>SUM(J3834:J3836)</f>
        <v>26.46</v>
      </c>
    </row>
    <row r="3838" spans="1:10" ht="15" customHeight="1" thickBot="1">
      <c r="A3838" s="421"/>
      <c r="B3838" s="1138"/>
      <c r="C3838" s="1138"/>
      <c r="D3838" s="1138"/>
      <c r="E3838" s="1154"/>
      <c r="F3838" s="1196"/>
      <c r="G3838" s="1196"/>
      <c r="H3838" s="1196"/>
      <c r="I3838" s="423"/>
      <c r="J3838" s="422"/>
    </row>
    <row r="3839" spans="1:10" ht="15" customHeight="1">
      <c r="A3839" s="256"/>
      <c r="B3839" s="1152"/>
      <c r="C3839" s="1152" t="s">
        <v>13320</v>
      </c>
      <c r="D3839" s="152" t="s">
        <v>13323</v>
      </c>
      <c r="E3839" s="1152" t="s">
        <v>24</v>
      </c>
      <c r="F3839" s="1177" t="s">
        <v>18</v>
      </c>
      <c r="G3839" s="1178" t="s">
        <v>7015</v>
      </c>
      <c r="H3839" s="1179"/>
      <c r="I3839" s="200" t="s">
        <v>7016</v>
      </c>
      <c r="J3839" s="201"/>
    </row>
    <row r="3840" spans="1:10" ht="15" customHeight="1">
      <c r="A3840" s="257"/>
      <c r="B3840" s="430"/>
      <c r="C3840" s="430"/>
      <c r="D3840" s="430"/>
      <c r="E3840" s="430"/>
      <c r="F3840" s="1180"/>
      <c r="G3840" s="1180" t="s">
        <v>19</v>
      </c>
      <c r="H3840" s="1180" t="s">
        <v>20</v>
      </c>
      <c r="I3840" s="204" t="s">
        <v>19</v>
      </c>
      <c r="J3840" s="206" t="s">
        <v>20</v>
      </c>
    </row>
    <row r="3841" spans="1:10" ht="15" customHeight="1">
      <c r="A3841" s="233"/>
      <c r="B3841" s="161"/>
      <c r="C3841" s="161"/>
      <c r="D3841" s="161"/>
      <c r="E3841" s="247"/>
      <c r="F3841" s="248"/>
      <c r="G3841" s="248"/>
      <c r="H3841" s="248"/>
      <c r="I3841" s="214"/>
      <c r="J3841" s="227"/>
    </row>
    <row r="3842" spans="1:10" ht="15" customHeight="1">
      <c r="A3842" s="233" t="s">
        <v>245</v>
      </c>
      <c r="B3842" s="161"/>
      <c r="C3842" s="161">
        <v>88247</v>
      </c>
      <c r="D3842" s="161" t="str">
        <f>IF(B3842="SEPLAG",VLOOKUP(COMPOSIÇÕES!C3842,'MAPA COMPARATIVO'!A:B,2,FALSE),VLOOKUP(C3842,'NAO DESO'!A:B,2,0))</f>
        <v>AUXILIAR DE ELETRICISTA COM ENCARGOS COMPLEMENTARES</v>
      </c>
      <c r="E3842" s="247" t="s">
        <v>16</v>
      </c>
      <c r="F3842" s="248">
        <v>0.1</v>
      </c>
      <c r="G3842" s="242" t="str">
        <f>IF(B3842="SEPLAG",VLOOKUP(CONCATENATE("MEDIANA - ",C3842),COTAÇÃO,5,FALSE),VLOOKUP($C3842,'NAO DESO'!$A:$D,4,))</f>
        <v>16,84</v>
      </c>
      <c r="H3842" s="242">
        <f>TRUNC(F3842*G3842,2)</f>
        <v>1.68</v>
      </c>
      <c r="I3842" s="54" t="str">
        <f>IF(B3842="SEPLAG",VLOOKUP(CONCATENATE("MEDIANA - ",C3842),COTAÇÃO,5,FALSE),VLOOKUP($C3842,DESON!$A:$D,4,))</f>
        <v>15,19</v>
      </c>
      <c r="J3842" s="209">
        <f>TRUNC(F3842*I3842,2)</f>
        <v>1.51</v>
      </c>
    </row>
    <row r="3843" spans="1:10" ht="15" customHeight="1">
      <c r="A3843" s="233" t="s">
        <v>245</v>
      </c>
      <c r="B3843" s="161"/>
      <c r="C3843" s="161">
        <v>39606</v>
      </c>
      <c r="D3843" s="161" t="str">
        <f>IF(B3843="SEPLAG",VLOOKUP(COMPOSIÇÕES!C3843,'MAPA COMPARATIVO'!A:B,2,FALSE),VLOOKUP(C3843,'NAO DESO'!A:B,2,0))</f>
        <v>PATCH CORD, CATEGORIA 6, EXTENSAO DE 1,50 M</v>
      </c>
      <c r="E3843" s="247" t="s">
        <v>427</v>
      </c>
      <c r="F3843" s="248">
        <v>1</v>
      </c>
      <c r="G3843" s="242">
        <f>IF(B3843="SEPLAG",VLOOKUP(CONCATENATE("MEDIANA - ",C3843),COTAÇÃO,5,FALSE),VLOOKUP($C3843,'NAO DESO'!$A:$D,4,))</f>
        <v>24.95</v>
      </c>
      <c r="H3843" s="242">
        <f>TRUNC(F3843*G3843,2)</f>
        <v>24.95</v>
      </c>
      <c r="I3843" s="54" t="str">
        <f>IF(B3843="SEPLAG",VLOOKUP(CONCATENATE("MEDIANA - ",C3843),COTAÇÃO,5,FALSE),VLOOKUP($C3843,DESON!$A:$D,4,))</f>
        <v>24,95</v>
      </c>
      <c r="J3843" s="209">
        <f>TRUNC(F3843*I3843,2)</f>
        <v>24.95</v>
      </c>
    </row>
    <row r="3844" spans="1:10" ht="15" customHeight="1">
      <c r="A3844" s="210" t="str">
        <f>CONCATENATE("TOTAL DO ITEM NÃO DESON. - ",C3839)</f>
        <v>TOTAL DO ITEM NÃO DESON. - SEPLAG ELE 62</v>
      </c>
      <c r="B3844" s="432"/>
      <c r="C3844" s="432"/>
      <c r="D3844" s="432"/>
      <c r="E3844" s="430"/>
      <c r="F3844" s="1189"/>
      <c r="G3844" s="1189"/>
      <c r="H3844" s="1189">
        <f>SUM(H3842:H3843)</f>
        <v>26.63</v>
      </c>
      <c r="I3844" s="213"/>
      <c r="J3844" s="259"/>
    </row>
    <row r="3845" spans="1:10" ht="15.75" customHeight="1" thickBot="1">
      <c r="A3845" s="216" t="str">
        <f>CONCATENATE("TOTAL DO ITEM DESON. - ",C3839)</f>
        <v>TOTAL DO ITEM DESON. - SEPLAG ELE 62</v>
      </c>
      <c r="B3845" s="1148"/>
      <c r="C3845" s="1148"/>
      <c r="D3845" s="1148"/>
      <c r="E3845" s="1142"/>
      <c r="F3845" s="1190"/>
      <c r="G3845" s="1190"/>
      <c r="H3845" s="1190"/>
      <c r="I3845" s="228"/>
      <c r="J3845" s="219">
        <f>SUM(J3842:J3844)</f>
        <v>26.46</v>
      </c>
    </row>
    <row r="3846" spans="1:10" ht="15" customHeight="1" thickBot="1">
      <c r="A3846" s="421"/>
      <c r="B3846" s="1138"/>
      <c r="C3846" s="1138"/>
      <c r="D3846" s="1138"/>
      <c r="E3846" s="1154"/>
      <c r="F3846" s="1196"/>
      <c r="G3846" s="1196"/>
      <c r="H3846" s="1196"/>
      <c r="I3846" s="423"/>
      <c r="J3846" s="422"/>
    </row>
    <row r="3847" spans="1:10" ht="15" customHeight="1">
      <c r="A3847" s="256"/>
      <c r="B3847" s="1152"/>
      <c r="C3847" s="1152" t="s">
        <v>13324</v>
      </c>
      <c r="D3847" s="152" t="s">
        <v>13325</v>
      </c>
      <c r="E3847" s="1152" t="s">
        <v>24</v>
      </c>
      <c r="F3847" s="1177" t="s">
        <v>18</v>
      </c>
      <c r="G3847" s="1178" t="s">
        <v>7015</v>
      </c>
      <c r="H3847" s="1179"/>
      <c r="I3847" s="200" t="s">
        <v>7016</v>
      </c>
      <c r="J3847" s="201"/>
    </row>
    <row r="3848" spans="1:10" ht="15" customHeight="1">
      <c r="A3848" s="257"/>
      <c r="B3848" s="430"/>
      <c r="C3848" s="430"/>
      <c r="D3848" s="430"/>
      <c r="E3848" s="430"/>
      <c r="F3848" s="1180"/>
      <c r="G3848" s="1180" t="s">
        <v>19</v>
      </c>
      <c r="H3848" s="1180" t="s">
        <v>20</v>
      </c>
      <c r="I3848" s="204" t="s">
        <v>19</v>
      </c>
      <c r="J3848" s="206" t="s">
        <v>20</v>
      </c>
    </row>
    <row r="3849" spans="1:10" ht="15" customHeight="1">
      <c r="A3849" s="233"/>
      <c r="B3849" s="161"/>
      <c r="C3849" s="161"/>
      <c r="D3849" s="161"/>
      <c r="E3849" s="247"/>
      <c r="F3849" s="248"/>
      <c r="G3849" s="248"/>
      <c r="H3849" s="248"/>
      <c r="I3849" s="214"/>
      <c r="J3849" s="227"/>
    </row>
    <row r="3850" spans="1:10" ht="26.25" customHeight="1">
      <c r="A3850" s="233" t="s">
        <v>188</v>
      </c>
      <c r="B3850" s="161"/>
      <c r="C3850" s="161"/>
      <c r="D3850" s="161" t="s">
        <v>13326</v>
      </c>
      <c r="E3850" s="247" t="s">
        <v>24</v>
      </c>
      <c r="F3850" s="248">
        <v>1</v>
      </c>
      <c r="G3850" s="242" t="e">
        <f>IF(B3850="SEPLAG",VLOOKUP(CONCATENATE("MEDIANA - ",C3850),COTAÇÃO,5,FALSE),VLOOKUP($C3850,'NAO DESO'!$A:$D,4,))</f>
        <v>#N/A</v>
      </c>
      <c r="H3850" s="242" t="e">
        <f>TRUNC(F3850*G3850,2)</f>
        <v>#N/A</v>
      </c>
      <c r="I3850" s="54" t="e">
        <f>IF(B3850="SEPLAG",VLOOKUP(CONCATENATE("MEDIANA - ",C3850),COTAÇÃO,5,FALSE),VLOOKUP($C3850,DESON!$A:$D,4,))</f>
        <v>#N/A</v>
      </c>
      <c r="J3850" s="209" t="e">
        <f>TRUNC(F3850*I3850,2)</f>
        <v>#N/A</v>
      </c>
    </row>
    <row r="3851" spans="1:10" ht="15" customHeight="1">
      <c r="A3851" s="210" t="str">
        <f>CONCATENATE("TOTAL DO ITEM NÃO DESON. - ",C3847)</f>
        <v>TOTAL DO ITEM NÃO DESON. - SEPLAG ELE 63</v>
      </c>
      <c r="B3851" s="432"/>
      <c r="C3851" s="432"/>
      <c r="D3851" s="432"/>
      <c r="E3851" s="430"/>
      <c r="F3851" s="1189"/>
      <c r="G3851" s="1189"/>
      <c r="H3851" s="1189" t="e">
        <f>SUM(H3850)</f>
        <v>#N/A</v>
      </c>
      <c r="I3851" s="213"/>
      <c r="J3851" s="259"/>
    </row>
    <row r="3852" spans="1:10" ht="15.75" customHeight="1" thickBot="1">
      <c r="A3852" s="216" t="str">
        <f>CONCATENATE("TOTAL DO ITEM DESON. - ",C3847)</f>
        <v>TOTAL DO ITEM DESON. - SEPLAG ELE 63</v>
      </c>
      <c r="B3852" s="1148"/>
      <c r="C3852" s="1148"/>
      <c r="D3852" s="1148"/>
      <c r="E3852" s="1142"/>
      <c r="F3852" s="1190"/>
      <c r="G3852" s="1190"/>
      <c r="H3852" s="1190"/>
      <c r="I3852" s="228"/>
      <c r="J3852" s="219" t="e">
        <f>SUM(J3850:J3851)</f>
        <v>#N/A</v>
      </c>
    </row>
    <row r="3853" spans="1:10" ht="15" customHeight="1" thickBot="1">
      <c r="A3853" s="421"/>
      <c r="B3853" s="1138"/>
      <c r="C3853" s="1138"/>
      <c r="D3853" s="1138"/>
      <c r="E3853" s="1154"/>
      <c r="F3853" s="1196"/>
      <c r="G3853" s="1196"/>
      <c r="H3853" s="1196"/>
      <c r="I3853" s="423"/>
      <c r="J3853" s="422"/>
    </row>
    <row r="3854" spans="1:10" ht="25.5" customHeight="1">
      <c r="A3854" s="256"/>
      <c r="B3854" s="1152"/>
      <c r="C3854" s="1152" t="s">
        <v>13327</v>
      </c>
      <c r="D3854" s="152" t="s">
        <v>13328</v>
      </c>
      <c r="E3854" s="1152" t="s">
        <v>24</v>
      </c>
      <c r="F3854" s="1177" t="s">
        <v>18</v>
      </c>
      <c r="G3854" s="1178" t="s">
        <v>7015</v>
      </c>
      <c r="H3854" s="1179"/>
      <c r="I3854" s="200" t="s">
        <v>7016</v>
      </c>
      <c r="J3854" s="201"/>
    </row>
    <row r="3855" spans="1:10" ht="15" customHeight="1">
      <c r="A3855" s="257"/>
      <c r="B3855" s="430"/>
      <c r="C3855" s="430"/>
      <c r="D3855" s="430"/>
      <c r="E3855" s="430"/>
      <c r="F3855" s="1180"/>
      <c r="G3855" s="1180" t="s">
        <v>19</v>
      </c>
      <c r="H3855" s="1180" t="s">
        <v>20</v>
      </c>
      <c r="I3855" s="204" t="s">
        <v>19</v>
      </c>
      <c r="J3855" s="206" t="s">
        <v>20</v>
      </c>
    </row>
    <row r="3856" spans="1:10" ht="15" customHeight="1">
      <c r="A3856" s="233"/>
      <c r="B3856" s="161"/>
      <c r="C3856" s="161"/>
      <c r="D3856" s="161"/>
      <c r="E3856" s="247"/>
      <c r="F3856" s="248"/>
      <c r="G3856" s="248"/>
      <c r="H3856" s="248"/>
      <c r="I3856" s="214"/>
      <c r="J3856" s="227"/>
    </row>
    <row r="3857" spans="1:10" ht="15" customHeight="1">
      <c r="A3857" s="233" t="s">
        <v>245</v>
      </c>
      <c r="B3857" s="161"/>
      <c r="C3857" s="161">
        <v>88264</v>
      </c>
      <c r="D3857" s="161" t="str">
        <f>IF(B3857="SEPLAG",VLOOKUP(COMPOSIÇÕES!C3857,'MAPA COMPARATIVO'!A:B,2,FALSE),VLOOKUP(C3857,'NAO DESO'!A:B,2,0))</f>
        <v>ELETRICISTA COM ENCARGOS COMPLEMENTARES</v>
      </c>
      <c r="E3857" s="247" t="s">
        <v>16</v>
      </c>
      <c r="F3857" s="248">
        <v>0.2</v>
      </c>
      <c r="G3857" s="242" t="str">
        <f>IF(B3857="SEPLAG",VLOOKUP(CONCATENATE("MEDIANA - ",C3857),COTAÇÃO,5,FALSE),VLOOKUP($C3857,'NAO DESO'!$A:$D,4,))</f>
        <v>21,87</v>
      </c>
      <c r="H3857" s="242">
        <f>TRUNC(F3857*G3857,2)</f>
        <v>4.37</v>
      </c>
      <c r="I3857" s="54" t="str">
        <f>IF(B3857="SEPLAG",VLOOKUP(CONCATENATE("MEDIANA - ",C3857),COTAÇÃO,5,FALSE),VLOOKUP($C3857,DESON!$A:$D,4,))</f>
        <v>19,53</v>
      </c>
      <c r="J3857" s="209">
        <f>TRUNC(F3857*I3857,2)</f>
        <v>3.9</v>
      </c>
    </row>
    <row r="3858" spans="1:10" ht="15" customHeight="1">
      <c r="A3858" s="233" t="s">
        <v>245</v>
      </c>
      <c r="B3858" s="161"/>
      <c r="C3858" s="161">
        <v>88247</v>
      </c>
      <c r="D3858" s="161" t="str">
        <f>IF(B3858="SEPLAG",VLOOKUP(COMPOSIÇÕES!C3858,'MAPA COMPARATIVO'!A:B,2,FALSE),VLOOKUP(C3858,'NAO DESO'!A:B,2,0))</f>
        <v>AUXILIAR DE ELETRICISTA COM ENCARGOS COMPLEMENTARES</v>
      </c>
      <c r="E3858" s="247" t="s">
        <v>16</v>
      </c>
      <c r="F3858" s="248">
        <v>0.2</v>
      </c>
      <c r="G3858" s="242" t="str">
        <f>IF(B3858="SEPLAG",VLOOKUP(CONCATENATE("MEDIANA - ",C3858),COTAÇÃO,5,FALSE),VLOOKUP($C3858,'NAO DESO'!$A:$D,4,))</f>
        <v>16,84</v>
      </c>
      <c r="H3858" s="242">
        <f>TRUNC(F3858*G3858,2)</f>
        <v>3.36</v>
      </c>
      <c r="I3858" s="54" t="str">
        <f>IF(B3858="SEPLAG",VLOOKUP(CONCATENATE("MEDIANA - ",C3858),COTAÇÃO,5,FALSE),VLOOKUP($C3858,DESON!$A:$D,4,))</f>
        <v>15,19</v>
      </c>
      <c r="J3858" s="209">
        <f>TRUNC(F3858*I3858,2)</f>
        <v>3.03</v>
      </c>
    </row>
    <row r="3859" spans="1:10" ht="26.25" customHeight="1">
      <c r="A3859" s="233" t="s">
        <v>245</v>
      </c>
      <c r="B3859" s="161"/>
      <c r="C3859" s="161">
        <v>7568</v>
      </c>
      <c r="D3859" s="161" t="str">
        <f>IF(B3859="SEPLAG",VLOOKUP(COMPOSIÇÕES!C3859,'MAPA COMPARATIVO'!A:B,2,FALSE),VLOOKUP(C3859,'NAO DESO'!A:B,2,0))</f>
        <v>BUCHA DE NYLON SEM ABA S10, COM PARAFUSO DE 6,10 X 65 MM EM ACO ZINCADO COM ROSCA SOBERBA, CABECA CHATA E FENDA PHILLIPS</v>
      </c>
      <c r="E3859" s="247" t="s">
        <v>427</v>
      </c>
      <c r="F3859" s="248">
        <v>1</v>
      </c>
      <c r="G3859" s="242">
        <f>IF(B3859="SEPLAG",VLOOKUP(CONCATENATE("MEDIANA - ",C3859),COTAÇÃO,5,FALSE),VLOOKUP($C3859,'NAO DESO'!$A:$D,4,))</f>
        <v>0.61</v>
      </c>
      <c r="H3859" s="242">
        <f>TRUNC(F3859*G3859,2)</f>
        <v>0.61</v>
      </c>
      <c r="I3859" s="54" t="str">
        <f>IF(B3859="SEPLAG",VLOOKUP(CONCATENATE("MEDIANA - ",C3859),COTAÇÃO,5,FALSE),VLOOKUP($C3859,DESON!$A:$D,4,))</f>
        <v>0,61</v>
      </c>
      <c r="J3859" s="209">
        <f>TRUNC(F3859*I3859,2)</f>
        <v>0.61</v>
      </c>
    </row>
    <row r="3860" spans="1:10" ht="15" customHeight="1">
      <c r="A3860" s="233" t="s">
        <v>188</v>
      </c>
      <c r="B3860" s="161" t="s">
        <v>14504</v>
      </c>
      <c r="C3860" s="161" t="s">
        <v>14431</v>
      </c>
      <c r="D3860" s="161" t="str">
        <f>IF(B3860="SEPLAG",VLOOKUP(COMPOSIÇÕES!C3860,'MAPA COMPARATIVO'!A:B,2,FALSE),VLOOKUP(C3860,'NAO DESO'!A:B,2,0))</f>
        <v>BANDEJA RACK 19", DESLIZANTE, PERFURADA, 400 mm DE PROFUNDIDADE.</v>
      </c>
      <c r="E3860" s="247" t="s">
        <v>24</v>
      </c>
      <c r="F3860" s="248">
        <v>2</v>
      </c>
      <c r="G3860" s="242">
        <f>IF(B3860="SEPLAG",VLOOKUP(CONCATENATE("MEDIANA - ",C3860),COTAÇÃO,5,FALSE),VLOOKUP($C3860,'NAO DESO'!$A:$D,4,))</f>
        <v>170.96</v>
      </c>
      <c r="H3860" s="242">
        <f>TRUNC(F3860*G3860,2)</f>
        <v>341.92</v>
      </c>
      <c r="I3860" s="54">
        <f>IF(B3860="SEPLAG",VLOOKUP(CONCATENATE("MEDIANA - ",C3860),COTAÇÃO,5,FALSE),VLOOKUP($C3860,DESON!$A:$D,4,))</f>
        <v>170.96</v>
      </c>
      <c r="J3860" s="209">
        <f>TRUNC(F3860*I3860,2)</f>
        <v>341.92</v>
      </c>
    </row>
    <row r="3861" spans="1:10" ht="15" customHeight="1">
      <c r="A3861" s="210" t="str">
        <f>CONCATENATE("TOTAL DO ITEM NÃO DESON. - ",C3854)</f>
        <v>TOTAL DO ITEM NÃO DESON. - SEPLAG ELE 64</v>
      </c>
      <c r="B3861" s="432"/>
      <c r="C3861" s="432"/>
      <c r="D3861" s="432"/>
      <c r="E3861" s="430"/>
      <c r="F3861" s="1189"/>
      <c r="G3861" s="1189"/>
      <c r="H3861" s="1189">
        <f>SUM(H3857:H3860)</f>
        <v>350.26</v>
      </c>
      <c r="I3861" s="213"/>
      <c r="J3861" s="259"/>
    </row>
    <row r="3862" spans="1:10" ht="15.75" customHeight="1" thickBot="1">
      <c r="A3862" s="216" t="str">
        <f>CONCATENATE("TOTAL DO ITEM DESON. - ",C3854)</f>
        <v>TOTAL DO ITEM DESON. - SEPLAG ELE 64</v>
      </c>
      <c r="B3862" s="1148"/>
      <c r="C3862" s="1148"/>
      <c r="D3862" s="1148"/>
      <c r="E3862" s="1142"/>
      <c r="F3862" s="1190"/>
      <c r="G3862" s="1190"/>
      <c r="H3862" s="1190"/>
      <c r="I3862" s="228"/>
      <c r="J3862" s="219">
        <f>SUM(J3857:J3861)</f>
        <v>349.46000000000004</v>
      </c>
    </row>
    <row r="3863" spans="1:10" ht="15" customHeight="1" thickBot="1">
      <c r="A3863" s="421"/>
      <c r="B3863" s="1138"/>
      <c r="C3863" s="1138"/>
      <c r="D3863" s="1138"/>
      <c r="E3863" s="1154"/>
      <c r="F3863" s="1196"/>
      <c r="G3863" s="1196"/>
      <c r="H3863" s="1196"/>
      <c r="I3863" s="423"/>
      <c r="J3863" s="422"/>
    </row>
    <row r="3864" spans="1:10" ht="25.5" customHeight="1">
      <c r="A3864" s="256"/>
      <c r="B3864" s="1152"/>
      <c r="C3864" s="1152" t="s">
        <v>13332</v>
      </c>
      <c r="D3864" s="152" t="s">
        <v>13331</v>
      </c>
      <c r="E3864" s="1152" t="s">
        <v>24</v>
      </c>
      <c r="F3864" s="1177" t="s">
        <v>18</v>
      </c>
      <c r="G3864" s="1178" t="s">
        <v>7015</v>
      </c>
      <c r="H3864" s="1179"/>
      <c r="I3864" s="200" t="s">
        <v>7016</v>
      </c>
      <c r="J3864" s="201"/>
    </row>
    <row r="3865" spans="1:10" ht="15" customHeight="1">
      <c r="A3865" s="257"/>
      <c r="B3865" s="430"/>
      <c r="C3865" s="430"/>
      <c r="D3865" s="430"/>
      <c r="E3865" s="430"/>
      <c r="F3865" s="1180"/>
      <c r="G3865" s="1180" t="s">
        <v>19</v>
      </c>
      <c r="H3865" s="1180" t="s">
        <v>20</v>
      </c>
      <c r="I3865" s="204" t="s">
        <v>19</v>
      </c>
      <c r="J3865" s="206" t="s">
        <v>20</v>
      </c>
    </row>
    <row r="3866" spans="1:10" ht="15" customHeight="1">
      <c r="A3866" s="233"/>
      <c r="B3866" s="161"/>
      <c r="C3866" s="161"/>
      <c r="D3866" s="161"/>
      <c r="E3866" s="247"/>
      <c r="F3866" s="248"/>
      <c r="G3866" s="248"/>
      <c r="H3866" s="248"/>
      <c r="I3866" s="214"/>
      <c r="J3866" s="227"/>
    </row>
    <row r="3867" spans="1:10" ht="15" customHeight="1">
      <c r="A3867" s="233" t="s">
        <v>245</v>
      </c>
      <c r="B3867" s="161"/>
      <c r="C3867" s="161">
        <v>88264</v>
      </c>
      <c r="D3867" s="161" t="str">
        <f>IF(B3867="SEPLAG",VLOOKUP(COMPOSIÇÕES!C3867,'MAPA COMPARATIVO'!A:B,2,FALSE),VLOOKUP(C3867,'NAO DESO'!A:B,2,0))</f>
        <v>ELETRICISTA COM ENCARGOS COMPLEMENTARES</v>
      </c>
      <c r="E3867" s="247" t="s">
        <v>16</v>
      </c>
      <c r="F3867" s="248">
        <v>0.45</v>
      </c>
      <c r="G3867" s="242" t="str">
        <f>IF(B3867="SEPLAG",VLOOKUP(CONCATENATE("MEDIANA - ",C3867),COTAÇÃO,5,FALSE),VLOOKUP($C3867,'NAO DESO'!$A:$D,4,))</f>
        <v>21,87</v>
      </c>
      <c r="H3867" s="242">
        <f>TRUNC(F3867*G3867,2)</f>
        <v>9.84</v>
      </c>
      <c r="I3867" s="54" t="str">
        <f>IF(B3867="SEPLAG",VLOOKUP(CONCATENATE("MEDIANA - ",C3867),COTAÇÃO,5,FALSE),VLOOKUP($C3867,DESON!$A:$D,4,))</f>
        <v>19,53</v>
      </c>
      <c r="J3867" s="209">
        <f>TRUNC(F3867*I3867,2)</f>
        <v>8.7799999999999994</v>
      </c>
    </row>
    <row r="3868" spans="1:10" ht="15" customHeight="1">
      <c r="A3868" s="233" t="s">
        <v>245</v>
      </c>
      <c r="B3868" s="161"/>
      <c r="C3868" s="161">
        <v>88247</v>
      </c>
      <c r="D3868" s="161" t="str">
        <f>IF(B3868="SEPLAG",VLOOKUP(COMPOSIÇÕES!C3868,'MAPA COMPARATIVO'!A:B,2,FALSE),VLOOKUP(C3868,'NAO DESO'!A:B,2,0))</f>
        <v>AUXILIAR DE ELETRICISTA COM ENCARGOS COMPLEMENTARES</v>
      </c>
      <c r="E3868" s="247" t="s">
        <v>16</v>
      </c>
      <c r="F3868" s="248">
        <v>0.45</v>
      </c>
      <c r="G3868" s="242" t="str">
        <f>IF(B3868="SEPLAG",VLOOKUP(CONCATENATE("MEDIANA - ",C3868),COTAÇÃO,5,FALSE),VLOOKUP($C3868,'NAO DESO'!$A:$D,4,))</f>
        <v>16,84</v>
      </c>
      <c r="H3868" s="242">
        <f>TRUNC(F3868*G3868,2)</f>
        <v>7.57</v>
      </c>
      <c r="I3868" s="54" t="str">
        <f>IF(B3868="SEPLAG",VLOOKUP(CONCATENATE("MEDIANA - ",C3868),COTAÇÃO,5,FALSE),VLOOKUP($C3868,DESON!$A:$D,4,))</f>
        <v>15,19</v>
      </c>
      <c r="J3868" s="209">
        <f>TRUNC(F3868*I3868,2)</f>
        <v>6.83</v>
      </c>
    </row>
    <row r="3869" spans="1:10" ht="26.25" customHeight="1">
      <c r="A3869" s="233" t="s">
        <v>245</v>
      </c>
      <c r="B3869" s="161"/>
      <c r="C3869" s="161">
        <v>43104</v>
      </c>
      <c r="D3869" s="161" t="str">
        <f>IF(B3869="SEPLAG",VLOOKUP(COMPOSIÇÕES!C3869,'MAPA COMPARATIVO'!A:B,2,FALSE),VLOOKUP(C3869,'NAO DESO'!A:B,2,0))</f>
        <v>CAIXA DE PASSAGEM ELETRICA, PARA PISO, EM PVC, DIMENSOES DE 3/4" A 4"</v>
      </c>
      <c r="E3869" s="247" t="s">
        <v>427</v>
      </c>
      <c r="F3869" s="248">
        <v>1</v>
      </c>
      <c r="G3869" s="242">
        <f>IF(B3869="SEPLAG",VLOOKUP(CONCATENATE("MEDIANA - ",C3869),COTAÇÃO,5,FALSE),VLOOKUP($C3869,'NAO DESO'!$A:$D,4,))</f>
        <v>506.62</v>
      </c>
      <c r="H3869" s="242">
        <f>TRUNC(F3869*G3869,2)</f>
        <v>506.62</v>
      </c>
      <c r="I3869" s="54" t="str">
        <f>IF(B3869="SEPLAG",VLOOKUP(CONCATENATE("MEDIANA - ",C3869),COTAÇÃO,5,FALSE),VLOOKUP($C3869,DESON!$A:$D,4,))</f>
        <v>506,62</v>
      </c>
      <c r="J3869" s="209">
        <f>TRUNC(F3869*I3869,2)</f>
        <v>506.62</v>
      </c>
    </row>
    <row r="3870" spans="1:10" ht="15" customHeight="1">
      <c r="A3870" s="210" t="str">
        <f>CONCATENATE("TOTAL DO ITEM NÃO DESON. - ",C3864)</f>
        <v>TOTAL DO ITEM NÃO DESON. - SEPLAG ELE 65</v>
      </c>
      <c r="B3870" s="432"/>
      <c r="C3870" s="432"/>
      <c r="D3870" s="432"/>
      <c r="E3870" s="430"/>
      <c r="F3870" s="1189"/>
      <c r="G3870" s="1189"/>
      <c r="H3870" s="1189">
        <f>SUM(H3867:H3869)</f>
        <v>524.03</v>
      </c>
      <c r="I3870" s="213"/>
      <c r="J3870" s="259"/>
    </row>
    <row r="3871" spans="1:10" ht="15.75" customHeight="1" thickBot="1">
      <c r="A3871" s="216" t="str">
        <f>CONCATENATE("TOTAL DO ITEM DESON. - ",C3864)</f>
        <v>TOTAL DO ITEM DESON. - SEPLAG ELE 65</v>
      </c>
      <c r="B3871" s="1148"/>
      <c r="C3871" s="1148"/>
      <c r="D3871" s="1148"/>
      <c r="E3871" s="1142"/>
      <c r="F3871" s="1190"/>
      <c r="G3871" s="1190"/>
      <c r="H3871" s="1190"/>
      <c r="I3871" s="228"/>
      <c r="J3871" s="219">
        <f>SUM(J3867:J3870)</f>
        <v>522.23</v>
      </c>
    </row>
    <row r="3872" spans="1:10" ht="15" customHeight="1" thickBot="1">
      <c r="A3872" s="421"/>
      <c r="B3872" s="1138"/>
      <c r="C3872" s="1138"/>
      <c r="D3872" s="1138"/>
      <c r="E3872" s="1154"/>
      <c r="F3872" s="1196"/>
      <c r="G3872" s="1196"/>
      <c r="H3872" s="1196"/>
      <c r="I3872" s="423"/>
      <c r="J3872" s="422"/>
    </row>
    <row r="3873" spans="1:10" ht="25.5" customHeight="1">
      <c r="A3873" s="256"/>
      <c r="B3873" s="1152"/>
      <c r="C3873" s="1152" t="s">
        <v>13330</v>
      </c>
      <c r="D3873" s="152" t="s">
        <v>13352</v>
      </c>
      <c r="E3873" s="1152" t="s">
        <v>24</v>
      </c>
      <c r="F3873" s="1177" t="s">
        <v>18</v>
      </c>
      <c r="G3873" s="1178" t="s">
        <v>7015</v>
      </c>
      <c r="H3873" s="1179"/>
      <c r="I3873" s="200" t="s">
        <v>7016</v>
      </c>
      <c r="J3873" s="201"/>
    </row>
    <row r="3874" spans="1:10" ht="15" customHeight="1">
      <c r="A3874" s="257"/>
      <c r="B3874" s="430"/>
      <c r="C3874" s="430"/>
      <c r="D3874" s="430"/>
      <c r="E3874" s="430"/>
      <c r="F3874" s="1180"/>
      <c r="G3874" s="1180" t="s">
        <v>19</v>
      </c>
      <c r="H3874" s="1180" t="s">
        <v>20</v>
      </c>
      <c r="I3874" s="204" t="s">
        <v>19</v>
      </c>
      <c r="J3874" s="206" t="s">
        <v>20</v>
      </c>
    </row>
    <row r="3875" spans="1:10" ht="15" customHeight="1">
      <c r="A3875" s="233"/>
      <c r="B3875" s="161"/>
      <c r="C3875" s="161"/>
      <c r="D3875" s="161"/>
      <c r="E3875" s="247"/>
      <c r="F3875" s="248"/>
      <c r="G3875" s="248"/>
      <c r="H3875" s="248"/>
      <c r="I3875" s="214"/>
      <c r="J3875" s="227"/>
    </row>
    <row r="3876" spans="1:10" ht="15" customHeight="1">
      <c r="A3876" s="233" t="s">
        <v>245</v>
      </c>
      <c r="B3876" s="161"/>
      <c r="C3876" s="161">
        <v>88264</v>
      </c>
      <c r="D3876" s="161" t="str">
        <f>IF(B3876="SEPLAG",VLOOKUP(COMPOSIÇÕES!C3876,'MAPA COMPARATIVO'!A:B,2,FALSE),VLOOKUP(C3876,'NAO DESO'!A:B,2,0))</f>
        <v>ELETRICISTA COM ENCARGOS COMPLEMENTARES</v>
      </c>
      <c r="E3876" s="247" t="s">
        <v>16</v>
      </c>
      <c r="F3876" s="248">
        <v>0.45</v>
      </c>
      <c r="G3876" s="242" t="str">
        <f>IF(B3876="SEPLAG",VLOOKUP(CONCATENATE("MEDIANA - ",C3876),COTAÇÃO,5,FALSE),VLOOKUP($C3876,'NAO DESO'!$A:$D,4,))</f>
        <v>21,87</v>
      </c>
      <c r="H3876" s="242">
        <f>TRUNC(F3876*G3876,2)</f>
        <v>9.84</v>
      </c>
      <c r="I3876" s="54" t="str">
        <f>IF(B3876="SEPLAG",VLOOKUP(CONCATENATE("MEDIANA - ",C3876),COTAÇÃO,5,FALSE),VLOOKUP($C3876,DESON!$A:$D,4,))</f>
        <v>19,53</v>
      </c>
      <c r="J3876" s="209">
        <f>TRUNC(F3876*I3876,2)</f>
        <v>8.7799999999999994</v>
      </c>
    </row>
    <row r="3877" spans="1:10" ht="15" customHeight="1">
      <c r="A3877" s="233" t="s">
        <v>245</v>
      </c>
      <c r="B3877" s="161"/>
      <c r="C3877" s="161">
        <v>88247</v>
      </c>
      <c r="D3877" s="161" t="str">
        <f>IF(B3877="SEPLAG",VLOOKUP(COMPOSIÇÕES!C3877,'MAPA COMPARATIVO'!A:B,2,FALSE),VLOOKUP(C3877,'NAO DESO'!A:B,2,0))</f>
        <v>AUXILIAR DE ELETRICISTA COM ENCARGOS COMPLEMENTARES</v>
      </c>
      <c r="E3877" s="247" t="s">
        <v>16</v>
      </c>
      <c r="F3877" s="248">
        <v>0.45</v>
      </c>
      <c r="G3877" s="242" t="str">
        <f>IF(B3877="SEPLAG",VLOOKUP(CONCATENATE("MEDIANA - ",C3877),COTAÇÃO,5,FALSE),VLOOKUP($C3877,'NAO DESO'!$A:$D,4,))</f>
        <v>16,84</v>
      </c>
      <c r="H3877" s="242">
        <f>TRUNC(F3877*G3877,2)</f>
        <v>7.57</v>
      </c>
      <c r="I3877" s="54" t="str">
        <f>IF(B3877="SEPLAG",VLOOKUP(CONCATENATE("MEDIANA - ",C3877),COTAÇÃO,5,FALSE),VLOOKUP($C3877,DESON!$A:$D,4,))</f>
        <v>15,19</v>
      </c>
      <c r="J3877" s="209">
        <f>TRUNC(F3877*I3877,2)</f>
        <v>6.83</v>
      </c>
    </row>
    <row r="3878" spans="1:10" ht="26.25" customHeight="1">
      <c r="A3878" s="233" t="s">
        <v>245</v>
      </c>
      <c r="B3878" s="161"/>
      <c r="C3878" s="161">
        <v>11950</v>
      </c>
      <c r="D3878" s="161" t="str">
        <f>IF(B3878="SEPLAG",VLOOKUP(COMPOSIÇÕES!C3878,'MAPA COMPARATIVO'!A:B,2,FALSE),VLOOKUP(C3878,'NAO DESO'!A:B,2,0))</f>
        <v>BUCHA DE NYLON SEM ABA S6, COM PARAFUSO DE 4,20 X 40 MM EM ACO ZINCADO COM ROSCA SOBERBA, CABECA CHATA E FENDA PHILLIPS</v>
      </c>
      <c r="E3878" s="247" t="s">
        <v>427</v>
      </c>
      <c r="F3878" s="248">
        <v>2</v>
      </c>
      <c r="G3878" s="242">
        <f>IF(B3878="SEPLAG",VLOOKUP(CONCATENATE("MEDIANA - ",C3878),COTAÇÃO,5,FALSE),VLOOKUP($C3878,'NAO DESO'!$A:$D,4,))</f>
        <v>0.2</v>
      </c>
      <c r="H3878" s="242">
        <f>TRUNC(F3878*G3878,2)</f>
        <v>0.4</v>
      </c>
      <c r="I3878" s="54" t="str">
        <f>IF(B3878="SEPLAG",VLOOKUP(CONCATENATE("MEDIANA - ",C3878),COTAÇÃO,5,FALSE),VLOOKUP($C3878,DESON!$A:$D,4,))</f>
        <v>0,20</v>
      </c>
      <c r="J3878" s="209">
        <f>TRUNC(F3878*I3878,2)</f>
        <v>0.4</v>
      </c>
    </row>
    <row r="3879" spans="1:10" ht="26.25" customHeight="1">
      <c r="A3879" s="233" t="s">
        <v>245</v>
      </c>
      <c r="B3879" s="161"/>
      <c r="C3879" s="161">
        <v>2589</v>
      </c>
      <c r="D3879" s="161" t="str">
        <f>IF(B3879="SEPLAG",VLOOKUP(COMPOSIÇÕES!C3879,'MAPA COMPARATIVO'!A:B,2,FALSE),VLOOKUP(C3879,'NAO DESO'!A:B,2,0))</f>
        <v>CONDULETE DE ALUMINIO TIPO E, PARA ELETRODUTO ROSCAVEL DE 1 1/2", COM TAMPA CEGA</v>
      </c>
      <c r="E3879" s="247" t="s">
        <v>427</v>
      </c>
      <c r="F3879" s="248">
        <v>1</v>
      </c>
      <c r="G3879" s="242">
        <f>IF(B3879="SEPLAG",VLOOKUP(CONCATENATE("MEDIANA - ",C3879),COTAÇÃO,5,FALSE),VLOOKUP($C3879,'NAO DESO'!$A:$D,4,))</f>
        <v>23.44</v>
      </c>
      <c r="H3879" s="242">
        <f>TRUNC(F3879*G3879,2)</f>
        <v>23.44</v>
      </c>
      <c r="I3879" s="54" t="str">
        <f>IF(B3879="SEPLAG",VLOOKUP(CONCATENATE("MEDIANA - ",C3879),COTAÇÃO,5,FALSE),VLOOKUP($C3879,DESON!$A:$D,4,))</f>
        <v>23,44</v>
      </c>
      <c r="J3879" s="209">
        <f>TRUNC(F3879*I3879,2)</f>
        <v>23.44</v>
      </c>
    </row>
    <row r="3880" spans="1:10" ht="15" customHeight="1">
      <c r="A3880" s="210" t="str">
        <f>CONCATENATE("TOTAL DO ITEM NÃO DESON. - ",C3873)</f>
        <v>TOTAL DO ITEM NÃO DESON. - SEPLAG ELE 66</v>
      </c>
      <c r="B3880" s="432"/>
      <c r="C3880" s="432"/>
      <c r="D3880" s="432"/>
      <c r="E3880" s="430"/>
      <c r="F3880" s="1189"/>
      <c r="G3880" s="1189"/>
      <c r="H3880" s="1189">
        <f>SUM(H3876:H3879)</f>
        <v>41.25</v>
      </c>
      <c r="I3880" s="213"/>
      <c r="J3880" s="259"/>
    </row>
    <row r="3881" spans="1:10" ht="15.75" customHeight="1" thickBot="1">
      <c r="A3881" s="216" t="str">
        <f>CONCATENATE("TOTAL DO ITEM DESON. - ",C3873)</f>
        <v>TOTAL DO ITEM DESON. - SEPLAG ELE 66</v>
      </c>
      <c r="B3881" s="1148"/>
      <c r="C3881" s="1148"/>
      <c r="D3881" s="1148"/>
      <c r="E3881" s="1142"/>
      <c r="F3881" s="1190"/>
      <c r="G3881" s="1190"/>
      <c r="H3881" s="1190"/>
      <c r="I3881" s="228"/>
      <c r="J3881" s="219">
        <f>SUM(J3876:J3880)</f>
        <v>39.450000000000003</v>
      </c>
    </row>
    <row r="3882" spans="1:10" ht="15" customHeight="1" thickBot="1">
      <c r="A3882" s="421"/>
      <c r="B3882" s="1138"/>
      <c r="C3882" s="1138"/>
      <c r="D3882" s="1138"/>
      <c r="E3882" s="1154"/>
      <c r="F3882" s="1196"/>
      <c r="G3882" s="1196"/>
      <c r="H3882" s="1196"/>
      <c r="I3882" s="423"/>
      <c r="J3882" s="422"/>
    </row>
    <row r="3883" spans="1:10" ht="25.5" customHeight="1">
      <c r="A3883" s="256"/>
      <c r="B3883" s="1152"/>
      <c r="C3883" s="1152" t="s">
        <v>13333</v>
      </c>
      <c r="D3883" s="152" t="s">
        <v>13334</v>
      </c>
      <c r="E3883" s="1152" t="s">
        <v>24</v>
      </c>
      <c r="F3883" s="1177" t="s">
        <v>18</v>
      </c>
      <c r="G3883" s="1178" t="s">
        <v>7015</v>
      </c>
      <c r="H3883" s="1179"/>
      <c r="I3883" s="200" t="s">
        <v>7016</v>
      </c>
      <c r="J3883" s="201"/>
    </row>
    <row r="3884" spans="1:10" ht="15" customHeight="1">
      <c r="A3884" s="257"/>
      <c r="B3884" s="430"/>
      <c r="C3884" s="430"/>
      <c r="D3884" s="430"/>
      <c r="E3884" s="430"/>
      <c r="F3884" s="1180"/>
      <c r="G3884" s="1180" t="s">
        <v>19</v>
      </c>
      <c r="H3884" s="1180" t="s">
        <v>20</v>
      </c>
      <c r="I3884" s="204" t="s">
        <v>19</v>
      </c>
      <c r="J3884" s="206" t="s">
        <v>20</v>
      </c>
    </row>
    <row r="3885" spans="1:10" ht="15" customHeight="1">
      <c r="A3885" s="233"/>
      <c r="B3885" s="161"/>
      <c r="C3885" s="161"/>
      <c r="D3885" s="161"/>
      <c r="E3885" s="247"/>
      <c r="F3885" s="248"/>
      <c r="G3885" s="248"/>
      <c r="H3885" s="248"/>
      <c r="I3885" s="214"/>
      <c r="J3885" s="227"/>
    </row>
    <row r="3886" spans="1:10" ht="15" customHeight="1">
      <c r="A3886" s="233" t="s">
        <v>245</v>
      </c>
      <c r="B3886" s="161"/>
      <c r="C3886" s="161">
        <v>88264</v>
      </c>
      <c r="D3886" s="161" t="str">
        <f>IF(B3886="SEPLAG",VLOOKUP(COMPOSIÇÕES!C3886,'MAPA COMPARATIVO'!A:B,2,FALSE),VLOOKUP(C3886,'NAO DESO'!A:B,2,0))</f>
        <v>ELETRICISTA COM ENCARGOS COMPLEMENTARES</v>
      </c>
      <c r="E3886" s="247" t="s">
        <v>16</v>
      </c>
      <c r="F3886" s="248">
        <v>0.45</v>
      </c>
      <c r="G3886" s="242" t="str">
        <f>IF(B3886="SEPLAG",VLOOKUP(CONCATENATE("MEDIANA - ",C3886),COTAÇÃO,5,FALSE),VLOOKUP($C3886,'NAO DESO'!$A:$D,4,))</f>
        <v>21,87</v>
      </c>
      <c r="H3886" s="242">
        <f>TRUNC(F3886*G3886,2)</f>
        <v>9.84</v>
      </c>
      <c r="I3886" s="54" t="str">
        <f>IF(B3886="SEPLAG",VLOOKUP(CONCATENATE("MEDIANA - ",C3886),COTAÇÃO,5,FALSE),VLOOKUP($C3886,DESON!$A:$D,4,))</f>
        <v>19,53</v>
      </c>
      <c r="J3886" s="209">
        <f>TRUNC(F3886*I3886,2)</f>
        <v>8.7799999999999994</v>
      </c>
    </row>
    <row r="3887" spans="1:10" ht="15" customHeight="1">
      <c r="A3887" s="233" t="s">
        <v>245</v>
      </c>
      <c r="B3887" s="161"/>
      <c r="C3887" s="161">
        <v>88247</v>
      </c>
      <c r="D3887" s="161" t="str">
        <f>IF(B3887="SEPLAG",VLOOKUP(COMPOSIÇÕES!C3887,'MAPA COMPARATIVO'!A:B,2,FALSE),VLOOKUP(C3887,'NAO DESO'!A:B,2,0))</f>
        <v>AUXILIAR DE ELETRICISTA COM ENCARGOS COMPLEMENTARES</v>
      </c>
      <c r="E3887" s="247" t="s">
        <v>16</v>
      </c>
      <c r="F3887" s="248">
        <v>0.45</v>
      </c>
      <c r="G3887" s="242" t="str">
        <f>IF(B3887="SEPLAG",VLOOKUP(CONCATENATE("MEDIANA - ",C3887),COTAÇÃO,5,FALSE),VLOOKUP($C3887,'NAO DESO'!$A:$D,4,))</f>
        <v>16,84</v>
      </c>
      <c r="H3887" s="242">
        <f>TRUNC(F3887*G3887,2)</f>
        <v>7.57</v>
      </c>
      <c r="I3887" s="54" t="str">
        <f>IF(B3887="SEPLAG",VLOOKUP(CONCATENATE("MEDIANA - ",C3887),COTAÇÃO,5,FALSE),VLOOKUP($C3887,DESON!$A:$D,4,))</f>
        <v>15,19</v>
      </c>
      <c r="J3887" s="209">
        <f>TRUNC(F3887*I3887,2)</f>
        <v>6.83</v>
      </c>
    </row>
    <row r="3888" spans="1:10" ht="26.25" customHeight="1">
      <c r="A3888" s="233" t="s">
        <v>245</v>
      </c>
      <c r="B3888" s="161"/>
      <c r="C3888" s="161">
        <v>11950</v>
      </c>
      <c r="D3888" s="161" t="str">
        <f>IF(B3888="SEPLAG",VLOOKUP(COMPOSIÇÕES!C3888,'MAPA COMPARATIVO'!A:B,2,FALSE),VLOOKUP(C3888,'NAO DESO'!A:B,2,0))</f>
        <v>BUCHA DE NYLON SEM ABA S6, COM PARAFUSO DE 4,20 X 40 MM EM ACO ZINCADO COM ROSCA SOBERBA, CABECA CHATA E FENDA PHILLIPS</v>
      </c>
      <c r="E3888" s="247" t="s">
        <v>427</v>
      </c>
      <c r="F3888" s="248">
        <v>2</v>
      </c>
      <c r="G3888" s="242">
        <f>IF(B3888="SEPLAG",VLOOKUP(CONCATENATE("MEDIANA - ",C3888),COTAÇÃO,5,FALSE),VLOOKUP($C3888,'NAO DESO'!$A:$D,4,))</f>
        <v>0.2</v>
      </c>
      <c r="H3888" s="242">
        <f>TRUNC(F3888*G3888,2)</f>
        <v>0.4</v>
      </c>
      <c r="I3888" s="54" t="str">
        <f>IF(B3888="SEPLAG",VLOOKUP(CONCATENATE("MEDIANA - ",C3888),COTAÇÃO,5,FALSE),VLOOKUP($C3888,DESON!$A:$D,4,))</f>
        <v>0,20</v>
      </c>
      <c r="J3888" s="209">
        <f>TRUNC(F3888*I3888,2)</f>
        <v>0.4</v>
      </c>
    </row>
    <row r="3889" spans="1:10" ht="26.25" customHeight="1">
      <c r="A3889" s="233" t="s">
        <v>245</v>
      </c>
      <c r="B3889" s="161"/>
      <c r="C3889" s="161">
        <v>2566</v>
      </c>
      <c r="D3889" s="161" t="str">
        <f>IF(B3889="SEPLAG",VLOOKUP(COMPOSIÇÕES!C3889,'MAPA COMPARATIVO'!A:B,2,FALSE),VLOOKUP(C3889,'NAO DESO'!A:B,2,0))</f>
        <v>CONDULETE DE ALUMINIO TIPO E, PARA ELETRODUTO ROSCAVEL DE 1  1/4", COM TAMPA CEGA</v>
      </c>
      <c r="E3889" s="247" t="s">
        <v>427</v>
      </c>
      <c r="F3889" s="248">
        <v>1</v>
      </c>
      <c r="G3889" s="242">
        <f>IF(B3889="SEPLAG",VLOOKUP(CONCATENATE("MEDIANA - ",C3889),COTAÇÃO,5,FALSE),VLOOKUP($C3889,'NAO DESO'!$A:$D,4,))</f>
        <v>17.63</v>
      </c>
      <c r="H3889" s="242">
        <f>TRUNC(F3889*G3889,2)</f>
        <v>17.63</v>
      </c>
      <c r="I3889" s="54" t="str">
        <f>IF(B3889="SEPLAG",VLOOKUP(CONCATENATE("MEDIANA - ",C3889),COTAÇÃO,5,FALSE),VLOOKUP($C3889,DESON!$A:$D,4,))</f>
        <v>17,63</v>
      </c>
      <c r="J3889" s="209">
        <f>TRUNC(F3889*I3889,2)</f>
        <v>17.63</v>
      </c>
    </row>
    <row r="3890" spans="1:10" ht="15" customHeight="1">
      <c r="A3890" s="210" t="str">
        <f>CONCATENATE("TOTAL DO ITEM NÃO DESON. - ",C3883)</f>
        <v>TOTAL DO ITEM NÃO DESON. - SEPLAG ELE 67</v>
      </c>
      <c r="B3890" s="432"/>
      <c r="C3890" s="432"/>
      <c r="D3890" s="432"/>
      <c r="E3890" s="430"/>
      <c r="F3890" s="1189"/>
      <c r="G3890" s="1189"/>
      <c r="H3890" s="1189">
        <f>SUM(H3886:H3889)</f>
        <v>35.44</v>
      </c>
      <c r="I3890" s="213"/>
      <c r="J3890" s="259"/>
    </row>
    <row r="3891" spans="1:10" ht="15.75" customHeight="1" thickBot="1">
      <c r="A3891" s="216" t="str">
        <f>CONCATENATE("TOTAL DO ITEM DESON. - ",C3883)</f>
        <v>TOTAL DO ITEM DESON. - SEPLAG ELE 67</v>
      </c>
      <c r="B3891" s="1148"/>
      <c r="C3891" s="1148"/>
      <c r="D3891" s="1148"/>
      <c r="E3891" s="1142"/>
      <c r="F3891" s="1190"/>
      <c r="G3891" s="1190"/>
      <c r="H3891" s="1190"/>
      <c r="I3891" s="228"/>
      <c r="J3891" s="219">
        <f>SUM(J3886:J3890)</f>
        <v>33.64</v>
      </c>
    </row>
    <row r="3892" spans="1:10" ht="15" customHeight="1" thickBot="1">
      <c r="A3892" s="421"/>
      <c r="B3892" s="1138"/>
      <c r="C3892" s="1138"/>
      <c r="D3892" s="1138"/>
      <c r="E3892" s="1154"/>
      <c r="F3892" s="1196"/>
      <c r="G3892" s="1196"/>
      <c r="H3892" s="1196"/>
      <c r="I3892" s="423"/>
      <c r="J3892" s="422"/>
    </row>
    <row r="3893" spans="1:10" ht="25.5" customHeight="1">
      <c r="A3893" s="256"/>
      <c r="B3893" s="1152"/>
      <c r="C3893" s="1152" t="s">
        <v>13335</v>
      </c>
      <c r="D3893" s="152" t="s">
        <v>13336</v>
      </c>
      <c r="E3893" s="1152" t="s">
        <v>24</v>
      </c>
      <c r="F3893" s="1177" t="s">
        <v>18</v>
      </c>
      <c r="G3893" s="1178" t="s">
        <v>7015</v>
      </c>
      <c r="H3893" s="1179"/>
      <c r="I3893" s="200" t="s">
        <v>7016</v>
      </c>
      <c r="J3893" s="201"/>
    </row>
    <row r="3894" spans="1:10" ht="15" customHeight="1">
      <c r="A3894" s="257"/>
      <c r="B3894" s="430"/>
      <c r="C3894" s="430"/>
      <c r="D3894" s="430"/>
      <c r="E3894" s="430"/>
      <c r="F3894" s="1180"/>
      <c r="G3894" s="1180" t="s">
        <v>19</v>
      </c>
      <c r="H3894" s="1180" t="s">
        <v>20</v>
      </c>
      <c r="I3894" s="204" t="s">
        <v>19</v>
      </c>
      <c r="J3894" s="206" t="s">
        <v>20</v>
      </c>
    </row>
    <row r="3895" spans="1:10" ht="15" customHeight="1">
      <c r="A3895" s="233"/>
      <c r="B3895" s="161"/>
      <c r="C3895" s="161"/>
      <c r="D3895" s="161"/>
      <c r="E3895" s="247"/>
      <c r="F3895" s="248"/>
      <c r="G3895" s="248"/>
      <c r="H3895" s="248"/>
      <c r="I3895" s="214"/>
      <c r="J3895" s="227"/>
    </row>
    <row r="3896" spans="1:10" ht="15" customHeight="1">
      <c r="A3896" s="233" t="s">
        <v>245</v>
      </c>
      <c r="B3896" s="161"/>
      <c r="C3896" s="161">
        <v>88264</v>
      </c>
      <c r="D3896" s="161" t="str">
        <f>IF(B3896="SEPLAG",VLOOKUP(COMPOSIÇÕES!C3896,'MAPA COMPARATIVO'!A:B,2,FALSE),VLOOKUP(C3896,'NAO DESO'!A:B,2,0))</f>
        <v>ELETRICISTA COM ENCARGOS COMPLEMENTARES</v>
      </c>
      <c r="E3896" s="247" t="s">
        <v>16</v>
      </c>
      <c r="F3896" s="248">
        <v>0.45</v>
      </c>
      <c r="G3896" s="242" t="str">
        <f>IF(B3896="SEPLAG",VLOOKUP(CONCATENATE("MEDIANA - ",C3896),COTAÇÃO,5,FALSE),VLOOKUP($C3896,'NAO DESO'!$A:$D,4,))</f>
        <v>21,87</v>
      </c>
      <c r="H3896" s="242">
        <f>TRUNC(F3896*G3896,2)</f>
        <v>9.84</v>
      </c>
      <c r="I3896" s="54" t="str">
        <f>IF(B3896="SEPLAG",VLOOKUP(CONCATENATE("MEDIANA - ",C3896),COTAÇÃO,5,FALSE),VLOOKUP($C3896,DESON!$A:$D,4,))</f>
        <v>19,53</v>
      </c>
      <c r="J3896" s="209">
        <f>TRUNC(F3896*I3896,2)</f>
        <v>8.7799999999999994</v>
      </c>
    </row>
    <row r="3897" spans="1:10" ht="15" customHeight="1">
      <c r="A3897" s="233" t="s">
        <v>245</v>
      </c>
      <c r="B3897" s="161"/>
      <c r="C3897" s="161">
        <v>88247</v>
      </c>
      <c r="D3897" s="161" t="str">
        <f>IF(B3897="SEPLAG",VLOOKUP(COMPOSIÇÕES!C3897,'MAPA COMPARATIVO'!A:B,2,FALSE),VLOOKUP(C3897,'NAO DESO'!A:B,2,0))</f>
        <v>AUXILIAR DE ELETRICISTA COM ENCARGOS COMPLEMENTARES</v>
      </c>
      <c r="E3897" s="247" t="s">
        <v>16</v>
      </c>
      <c r="F3897" s="248">
        <v>0.45</v>
      </c>
      <c r="G3897" s="242" t="str">
        <f>IF(B3897="SEPLAG",VLOOKUP(CONCATENATE("MEDIANA - ",C3897),COTAÇÃO,5,FALSE),VLOOKUP($C3897,'NAO DESO'!$A:$D,4,))</f>
        <v>16,84</v>
      </c>
      <c r="H3897" s="242">
        <f>TRUNC(F3897*G3897,2)</f>
        <v>7.57</v>
      </c>
      <c r="I3897" s="54" t="str">
        <f>IF(B3897="SEPLAG",VLOOKUP(CONCATENATE("MEDIANA - ",C3897),COTAÇÃO,5,FALSE),VLOOKUP($C3897,DESON!$A:$D,4,))</f>
        <v>15,19</v>
      </c>
      <c r="J3897" s="209">
        <f>TRUNC(F3897*I3897,2)</f>
        <v>6.83</v>
      </c>
    </row>
    <row r="3898" spans="1:10" ht="26.25" customHeight="1">
      <c r="A3898" s="233" t="s">
        <v>245</v>
      </c>
      <c r="B3898" s="161"/>
      <c r="C3898" s="161">
        <v>11950</v>
      </c>
      <c r="D3898" s="161" t="str">
        <f>IF(B3898="SEPLAG",VLOOKUP(COMPOSIÇÕES!C3898,'MAPA COMPARATIVO'!A:B,2,FALSE),VLOOKUP(C3898,'NAO DESO'!A:B,2,0))</f>
        <v>BUCHA DE NYLON SEM ABA S6, COM PARAFUSO DE 4,20 X 40 MM EM ACO ZINCADO COM ROSCA SOBERBA, CABECA CHATA E FENDA PHILLIPS</v>
      </c>
      <c r="E3898" s="247" t="s">
        <v>427</v>
      </c>
      <c r="F3898" s="248">
        <v>2</v>
      </c>
      <c r="G3898" s="242">
        <f>IF(B3898="SEPLAG",VLOOKUP(CONCATENATE("MEDIANA - ",C3898),COTAÇÃO,5,FALSE),VLOOKUP($C3898,'NAO DESO'!$A:$D,4,))</f>
        <v>0.2</v>
      </c>
      <c r="H3898" s="242">
        <f>TRUNC(F3898*G3898,2)</f>
        <v>0.4</v>
      </c>
      <c r="I3898" s="54" t="str">
        <f>IF(B3898="SEPLAG",VLOOKUP(CONCATENATE("MEDIANA - ",C3898),COTAÇÃO,5,FALSE),VLOOKUP($C3898,DESON!$A:$D,4,))</f>
        <v>0,20</v>
      </c>
      <c r="J3898" s="209">
        <f>TRUNC(F3898*I3898,2)</f>
        <v>0.4</v>
      </c>
    </row>
    <row r="3899" spans="1:10" ht="26.25" customHeight="1">
      <c r="A3899" s="233" t="s">
        <v>245</v>
      </c>
      <c r="B3899" s="161"/>
      <c r="C3899" s="161">
        <v>2567</v>
      </c>
      <c r="D3899" s="161" t="str">
        <f>IF(B3899="SEPLAG",VLOOKUP(COMPOSIÇÕES!C3899,'MAPA COMPARATIVO'!A:B,2,FALSE),VLOOKUP(C3899,'NAO DESO'!A:B,2,0))</f>
        <v>CONDULETE DE ALUMINIO TIPO E, PARA ELETRODUTO ROSCAVEL DE 2", COM TAMPA CEGA</v>
      </c>
      <c r="E3899" s="247" t="s">
        <v>427</v>
      </c>
      <c r="F3899" s="248">
        <v>1</v>
      </c>
      <c r="G3899" s="242">
        <f>IF(B3899="SEPLAG",VLOOKUP(CONCATENATE("MEDIANA - ",C3899),COTAÇÃO,5,FALSE),VLOOKUP($C3899,'NAO DESO'!$A:$D,4,))</f>
        <v>34.380000000000003</v>
      </c>
      <c r="H3899" s="242">
        <f>TRUNC(F3899*G3899,2)</f>
        <v>34.380000000000003</v>
      </c>
      <c r="I3899" s="54" t="str">
        <f>IF(B3899="SEPLAG",VLOOKUP(CONCATENATE("MEDIANA - ",C3899),COTAÇÃO,5,FALSE),VLOOKUP($C3899,DESON!$A:$D,4,))</f>
        <v>34,38</v>
      </c>
      <c r="J3899" s="209">
        <f>TRUNC(F3899*I3899,2)</f>
        <v>34.380000000000003</v>
      </c>
    </row>
    <row r="3900" spans="1:10" ht="15" customHeight="1">
      <c r="A3900" s="210" t="str">
        <f>CONCATENATE("TOTAL DO ITEM NÃO DESON. - ",C3893)</f>
        <v>TOTAL DO ITEM NÃO DESON. - SEPLAG ELE 68</v>
      </c>
      <c r="B3900" s="432"/>
      <c r="C3900" s="432"/>
      <c r="D3900" s="432"/>
      <c r="E3900" s="430"/>
      <c r="F3900" s="1189"/>
      <c r="G3900" s="1189"/>
      <c r="H3900" s="1189">
        <f>SUM(H3896:H3899)</f>
        <v>52.19</v>
      </c>
      <c r="I3900" s="213"/>
      <c r="J3900" s="259"/>
    </row>
    <row r="3901" spans="1:10" ht="15.75" customHeight="1" thickBot="1">
      <c r="A3901" s="216" t="str">
        <f>CONCATENATE("TOTAL DO ITEM DESON. - ",C3893)</f>
        <v>TOTAL DO ITEM DESON. - SEPLAG ELE 68</v>
      </c>
      <c r="B3901" s="1148"/>
      <c r="C3901" s="1148"/>
      <c r="D3901" s="1148"/>
      <c r="E3901" s="1142"/>
      <c r="F3901" s="1190"/>
      <c r="G3901" s="1190"/>
      <c r="H3901" s="1190"/>
      <c r="I3901" s="228"/>
      <c r="J3901" s="219">
        <f>SUM(J3896:J3900)</f>
        <v>50.39</v>
      </c>
    </row>
    <row r="3902" spans="1:10" ht="15" customHeight="1" thickBot="1">
      <c r="A3902" s="421"/>
      <c r="B3902" s="1138"/>
      <c r="C3902" s="1138"/>
      <c r="D3902" s="1138"/>
      <c r="E3902" s="1154"/>
      <c r="F3902" s="1196"/>
      <c r="G3902" s="1196"/>
      <c r="H3902" s="1196"/>
      <c r="I3902" s="423"/>
      <c r="J3902" s="422"/>
    </row>
    <row r="3903" spans="1:10" ht="15" customHeight="1">
      <c r="A3903" s="256"/>
      <c r="B3903" s="1152"/>
      <c r="C3903" s="1152" t="s">
        <v>13337</v>
      </c>
      <c r="D3903" s="152" t="s">
        <v>13338</v>
      </c>
      <c r="E3903" s="1152" t="s">
        <v>40</v>
      </c>
      <c r="F3903" s="1177" t="s">
        <v>18</v>
      </c>
      <c r="G3903" s="1178" t="s">
        <v>7015</v>
      </c>
      <c r="H3903" s="1179"/>
      <c r="I3903" s="200" t="s">
        <v>7016</v>
      </c>
      <c r="J3903" s="201"/>
    </row>
    <row r="3904" spans="1:10" ht="15" customHeight="1">
      <c r="A3904" s="257"/>
      <c r="B3904" s="430"/>
      <c r="C3904" s="430"/>
      <c r="D3904" s="430"/>
      <c r="E3904" s="430"/>
      <c r="F3904" s="1180"/>
      <c r="G3904" s="1180" t="s">
        <v>19</v>
      </c>
      <c r="H3904" s="1180" t="s">
        <v>20</v>
      </c>
      <c r="I3904" s="204" t="s">
        <v>19</v>
      </c>
      <c r="J3904" s="206" t="s">
        <v>20</v>
      </c>
    </row>
    <row r="3905" spans="1:10" ht="15" customHeight="1">
      <c r="A3905" s="233"/>
      <c r="B3905" s="161"/>
      <c r="C3905" s="161"/>
      <c r="D3905" s="161"/>
      <c r="E3905" s="247"/>
      <c r="F3905" s="248"/>
      <c r="G3905" s="248"/>
      <c r="H3905" s="248"/>
      <c r="I3905" s="214"/>
      <c r="J3905" s="227"/>
    </row>
    <row r="3906" spans="1:10" ht="15" customHeight="1">
      <c r="A3906" s="233" t="s">
        <v>245</v>
      </c>
      <c r="B3906" s="161"/>
      <c r="C3906" s="161">
        <v>88264</v>
      </c>
      <c r="D3906" s="161" t="str">
        <f>IF(B3906="SEPLAG",VLOOKUP(COMPOSIÇÕES!C3906,'MAPA COMPARATIVO'!A:B,2,FALSE),VLOOKUP(C3906,'NAO DESO'!A:B,2,0))</f>
        <v>ELETRICISTA COM ENCARGOS COMPLEMENTARES</v>
      </c>
      <c r="E3906" s="247" t="s">
        <v>16</v>
      </c>
      <c r="F3906" s="248">
        <v>0.14000000000000001</v>
      </c>
      <c r="G3906" s="242" t="str">
        <f>IF(B3906="SEPLAG",VLOOKUP(CONCATENATE("MEDIANA - ",C3906),COTAÇÃO,5,FALSE),VLOOKUP($C3906,'NAO DESO'!$A:$D,4,))</f>
        <v>21,87</v>
      </c>
      <c r="H3906" s="242">
        <f>TRUNC(F3906*G3906,2)</f>
        <v>3.06</v>
      </c>
      <c r="I3906" s="54" t="str">
        <f>IF(B3906="SEPLAG",VLOOKUP(CONCATENATE("MEDIANA - ",C3906),COTAÇÃO,5,FALSE),VLOOKUP($C3906,DESON!$A:$D,4,))</f>
        <v>19,53</v>
      </c>
      <c r="J3906" s="209">
        <f>TRUNC(F3906*I3906,2)</f>
        <v>2.73</v>
      </c>
    </row>
    <row r="3907" spans="1:10" ht="15" customHeight="1">
      <c r="A3907" s="233" t="s">
        <v>245</v>
      </c>
      <c r="B3907" s="161"/>
      <c r="C3907" s="161">
        <v>88316</v>
      </c>
      <c r="D3907" s="161" t="str">
        <f>IF(B3907="SEPLAG",VLOOKUP(COMPOSIÇÕES!C3907,'MAPA COMPARATIVO'!A:B,2,FALSE),VLOOKUP(C3907,'NAO DESO'!A:B,2,0))</f>
        <v>SERVENTE COM ENCARGOS COMPLEMENTARES</v>
      </c>
      <c r="E3907" s="247" t="s">
        <v>16</v>
      </c>
      <c r="F3907" s="248">
        <v>0.14000000000000001</v>
      </c>
      <c r="G3907" s="242" t="str">
        <f>IF(B3907="SEPLAG",VLOOKUP(CONCATENATE("MEDIANA - ",C3907),COTAÇÃO,5,FALSE),VLOOKUP($C3907,'NAO DESO'!$A:$D,4,))</f>
        <v>16,83</v>
      </c>
      <c r="H3907" s="242">
        <f>TRUNC(F3907*G3907,2)</f>
        <v>2.35</v>
      </c>
      <c r="I3907" s="54" t="str">
        <f>IF(B3907="SEPLAG",VLOOKUP(CONCATENATE("MEDIANA - ",C3907),COTAÇÃO,5,FALSE),VLOOKUP($C3907,DESON!$A:$D,4,))</f>
        <v>15,16</v>
      </c>
      <c r="J3907" s="209">
        <f>TRUNC(F3907*I3907,2)</f>
        <v>2.12</v>
      </c>
    </row>
    <row r="3908" spans="1:10" ht="15" customHeight="1">
      <c r="A3908" s="233" t="s">
        <v>245</v>
      </c>
      <c r="B3908" s="161"/>
      <c r="C3908" s="161">
        <v>39599</v>
      </c>
      <c r="D3908" s="161" t="str">
        <f>IF(B3908="SEPLAG",VLOOKUP(COMPOSIÇÕES!C3908,'MAPA COMPARATIVO'!A:B,2,FALSE),VLOOKUP(C3908,'NAO DESO'!A:B,2,0))</f>
        <v>CABO DE PAR TRANCADO UTP, 4 PARES, CATEGORIA 6</v>
      </c>
      <c r="E3908" s="247" t="s">
        <v>429</v>
      </c>
      <c r="F3908" s="248">
        <v>1.05</v>
      </c>
      <c r="G3908" s="242">
        <f>IF(B3908="SEPLAG",VLOOKUP(CONCATENATE("MEDIANA - ",C3908),COTAÇÃO,5,FALSE),VLOOKUP($C3908,'NAO DESO'!$A:$D,4,))</f>
        <v>2.5299999999999998</v>
      </c>
      <c r="H3908" s="242">
        <f>TRUNC(F3908*G3908,2)</f>
        <v>2.65</v>
      </c>
      <c r="I3908" s="54" t="str">
        <f>IF(B3908="SEPLAG",VLOOKUP(CONCATENATE("MEDIANA - ",C3908),COTAÇÃO,5,FALSE),VLOOKUP($C3908,DESON!$A:$D,4,))</f>
        <v>2,53</v>
      </c>
      <c r="J3908" s="209">
        <f>TRUNC(F3908*I3908,2)</f>
        <v>2.65</v>
      </c>
    </row>
    <row r="3909" spans="1:10" ht="26.25" customHeight="1">
      <c r="A3909" s="233" t="s">
        <v>245</v>
      </c>
      <c r="B3909" s="161"/>
      <c r="C3909" s="161">
        <v>43130</v>
      </c>
      <c r="D3909" s="161" t="str">
        <f>IF(B3909="SEPLAG",VLOOKUP(COMPOSIÇÕES!C3909,'MAPA COMPARATIVO'!A:B,2,FALSE),VLOOKUP(C3909,'NAO DESO'!A:B,2,0))</f>
        <v>ARAME GALVANIZADO 12 BWG, D = 2,76 MM (0,048 KG/M) OU 14 BWG, D = 2,11 MM (0,026 KG/M)</v>
      </c>
      <c r="E3909" s="247" t="s">
        <v>430</v>
      </c>
      <c r="F3909" s="248">
        <v>0.1</v>
      </c>
      <c r="G3909" s="242">
        <f>IF(B3909="SEPLAG",VLOOKUP(CONCATENATE("MEDIANA - ",C3909),COTAÇÃO,5,FALSE),VLOOKUP($C3909,'NAO DESO'!$A:$D,4,))</f>
        <v>20</v>
      </c>
      <c r="H3909" s="242">
        <f>TRUNC(F3909*G3909,2)</f>
        <v>2</v>
      </c>
      <c r="I3909" s="54" t="str">
        <f>IF(B3909="SEPLAG",VLOOKUP(CONCATENATE("MEDIANA - ",C3909),COTAÇÃO,5,FALSE),VLOOKUP($C3909,DESON!$A:$D,4,))</f>
        <v>20,00</v>
      </c>
      <c r="J3909" s="209">
        <f>TRUNC(F3909*I3909,2)</f>
        <v>2</v>
      </c>
    </row>
    <row r="3910" spans="1:10" ht="15" customHeight="1">
      <c r="A3910" s="210" t="str">
        <f>CONCATENATE("TOTAL DO ITEM NÃO DESON. - ",C3903)</f>
        <v>TOTAL DO ITEM NÃO DESON. - SEPLAG ELE 69</v>
      </c>
      <c r="B3910" s="432"/>
      <c r="C3910" s="432"/>
      <c r="D3910" s="432"/>
      <c r="E3910" s="430"/>
      <c r="F3910" s="1189"/>
      <c r="G3910" s="1189"/>
      <c r="H3910" s="1189">
        <f>SUM(H3906:H3909)</f>
        <v>10.06</v>
      </c>
      <c r="I3910" s="213"/>
      <c r="J3910" s="259"/>
    </row>
    <row r="3911" spans="1:10" ht="15.75" customHeight="1" thickBot="1">
      <c r="A3911" s="216" t="str">
        <f>CONCATENATE("TOTAL DO ITEM DESON. - ",C3903)</f>
        <v>TOTAL DO ITEM DESON. - SEPLAG ELE 69</v>
      </c>
      <c r="B3911" s="1148"/>
      <c r="C3911" s="1148"/>
      <c r="D3911" s="1148"/>
      <c r="E3911" s="1142"/>
      <c r="F3911" s="1190"/>
      <c r="G3911" s="1190"/>
      <c r="H3911" s="1190"/>
      <c r="I3911" s="228"/>
      <c r="J3911" s="219">
        <f>SUM(J3906:J3910)</f>
        <v>9.5</v>
      </c>
    </row>
    <row r="3912" spans="1:10" ht="15" customHeight="1" thickBot="1">
      <c r="A3912" s="421"/>
      <c r="B3912" s="1138"/>
      <c r="C3912" s="1138"/>
      <c r="D3912" s="1138"/>
      <c r="E3912" s="1154"/>
      <c r="F3912" s="1196"/>
      <c r="G3912" s="1196"/>
      <c r="H3912" s="1196"/>
      <c r="I3912" s="423"/>
      <c r="J3912" s="422"/>
    </row>
    <row r="3913" spans="1:10" ht="25.5" customHeight="1">
      <c r="A3913" s="256"/>
      <c r="B3913" s="1152"/>
      <c r="C3913" s="1152" t="s">
        <v>13339</v>
      </c>
      <c r="D3913" s="152" t="s">
        <v>13340</v>
      </c>
      <c r="E3913" s="1152" t="s">
        <v>24</v>
      </c>
      <c r="F3913" s="1177" t="s">
        <v>18</v>
      </c>
      <c r="G3913" s="1178" t="s">
        <v>7015</v>
      </c>
      <c r="H3913" s="1179"/>
      <c r="I3913" s="200" t="s">
        <v>7016</v>
      </c>
      <c r="J3913" s="201"/>
    </row>
    <row r="3914" spans="1:10" ht="15" customHeight="1">
      <c r="A3914" s="257"/>
      <c r="B3914" s="430"/>
      <c r="C3914" s="430"/>
      <c r="D3914" s="430"/>
      <c r="E3914" s="430"/>
      <c r="F3914" s="1180"/>
      <c r="G3914" s="1180" t="s">
        <v>19</v>
      </c>
      <c r="H3914" s="1180" t="s">
        <v>20</v>
      </c>
      <c r="I3914" s="204" t="s">
        <v>19</v>
      </c>
      <c r="J3914" s="206" t="s">
        <v>20</v>
      </c>
    </row>
    <row r="3915" spans="1:10" ht="15" customHeight="1">
      <c r="A3915" s="233"/>
      <c r="B3915" s="161"/>
      <c r="C3915" s="161"/>
      <c r="D3915" s="161"/>
      <c r="E3915" s="247"/>
      <c r="F3915" s="248"/>
      <c r="G3915" s="248"/>
      <c r="H3915" s="248"/>
      <c r="I3915" s="214"/>
      <c r="J3915" s="227"/>
    </row>
    <row r="3916" spans="1:10" ht="15" customHeight="1">
      <c r="A3916" s="233" t="s">
        <v>245</v>
      </c>
      <c r="B3916" s="161"/>
      <c r="C3916" s="161">
        <v>88264</v>
      </c>
      <c r="D3916" s="161" t="str">
        <f>IF(B3916="SEPLAG",VLOOKUP(COMPOSIÇÕES!C3916,'MAPA COMPARATIVO'!A:B,2,FALSE),VLOOKUP(C3916,'NAO DESO'!A:B,2,0))</f>
        <v>ELETRICISTA COM ENCARGOS COMPLEMENTARES</v>
      </c>
      <c r="E3916" s="247" t="s">
        <v>16</v>
      </c>
      <c r="F3916" s="248">
        <v>0.3</v>
      </c>
      <c r="G3916" s="242" t="str">
        <f>IF(B3916="SEPLAG",VLOOKUP(CONCATENATE("MEDIANA - ",C3916),COTAÇÃO,5,FALSE),VLOOKUP($C3916,'NAO DESO'!$A:$D,4,))</f>
        <v>21,87</v>
      </c>
      <c r="H3916" s="242">
        <f>TRUNC(F3916*G3916,2)</f>
        <v>6.56</v>
      </c>
      <c r="I3916" s="54" t="str">
        <f>IF(B3916="SEPLAG",VLOOKUP(CONCATENATE("MEDIANA - ",C3916),COTAÇÃO,5,FALSE),VLOOKUP($C3916,DESON!$A:$D,4,))</f>
        <v>19,53</v>
      </c>
      <c r="J3916" s="209">
        <f>TRUNC(F3916*I3916,2)</f>
        <v>5.85</v>
      </c>
    </row>
    <row r="3917" spans="1:10" ht="15" customHeight="1">
      <c r="A3917" s="233" t="s">
        <v>245</v>
      </c>
      <c r="B3917" s="161"/>
      <c r="C3917" s="161">
        <v>88247</v>
      </c>
      <c r="D3917" s="161" t="str">
        <f>IF(B3917="SEPLAG",VLOOKUP(COMPOSIÇÕES!C3917,'MAPA COMPARATIVO'!A:B,2,FALSE),VLOOKUP(C3917,'NAO DESO'!A:B,2,0))</f>
        <v>AUXILIAR DE ELETRICISTA COM ENCARGOS COMPLEMENTARES</v>
      </c>
      <c r="E3917" s="247" t="s">
        <v>16</v>
      </c>
      <c r="F3917" s="248">
        <v>0.3</v>
      </c>
      <c r="G3917" s="242" t="str">
        <f>IF(B3917="SEPLAG",VLOOKUP(CONCATENATE("MEDIANA - ",C3917),COTAÇÃO,5,FALSE),VLOOKUP($C3917,'NAO DESO'!$A:$D,4,))</f>
        <v>16,84</v>
      </c>
      <c r="H3917" s="242">
        <f>TRUNC(F3917*G3917,2)</f>
        <v>5.05</v>
      </c>
      <c r="I3917" s="54" t="str">
        <f>IF(B3917="SEPLAG",VLOOKUP(CONCATENATE("MEDIANA - ",C3917),COTAÇÃO,5,FALSE),VLOOKUP($C3917,DESON!$A:$D,4,))</f>
        <v>15,19</v>
      </c>
      <c r="J3917" s="209">
        <f>TRUNC(F3917*I3917,2)</f>
        <v>4.55</v>
      </c>
    </row>
    <row r="3918" spans="1:10" ht="26.25" customHeight="1">
      <c r="A3918" s="233" t="s">
        <v>245</v>
      </c>
      <c r="B3918" s="161"/>
      <c r="C3918" s="161">
        <v>39772</v>
      </c>
      <c r="D3918" s="161" t="str">
        <f>IF(B3918="SEPLAG",VLOOKUP(COMPOSIÇÕES!C3918,'MAPA COMPARATIVO'!A:B,2,FALSE),VLOOKUP(C3918,'NAO DESO'!A:B,2,0))</f>
        <v>CAIXA DE PASSAGEM METALICA DE SOBREPOR COM TAMPA PARAFUSADA, DIMENSOES 30 X 30 X 10 CM</v>
      </c>
      <c r="E3918" s="247" t="s">
        <v>427</v>
      </c>
      <c r="F3918" s="248">
        <v>1</v>
      </c>
      <c r="G3918" s="242">
        <f>IF(B3918="SEPLAG",VLOOKUP(CONCATENATE("MEDIANA - ",C3918),COTAÇÃO,5,FALSE),VLOOKUP($C3918,'NAO DESO'!$A:$D,4,))</f>
        <v>76.819999999999993</v>
      </c>
      <c r="H3918" s="242">
        <f>TRUNC(F3918*G3918,2)</f>
        <v>76.819999999999993</v>
      </c>
      <c r="I3918" s="54" t="str">
        <f>IF(B3918="SEPLAG",VLOOKUP(CONCATENATE("MEDIANA - ",C3918),COTAÇÃO,5,FALSE),VLOOKUP($C3918,DESON!$A:$D,4,))</f>
        <v>76,82</v>
      </c>
      <c r="J3918" s="209">
        <f>TRUNC(F3918*I3918,2)</f>
        <v>76.819999999999993</v>
      </c>
    </row>
    <row r="3919" spans="1:10" ht="15" customHeight="1">
      <c r="A3919" s="210" t="str">
        <f>CONCATENATE("TOTAL DO ITEM NÃO DESON. - ",C3913)</f>
        <v>TOTAL DO ITEM NÃO DESON. - SEPLAG ELE 70</v>
      </c>
      <c r="B3919" s="432"/>
      <c r="C3919" s="432"/>
      <c r="D3919" s="432"/>
      <c r="E3919" s="430"/>
      <c r="F3919" s="1189"/>
      <c r="G3919" s="1189"/>
      <c r="H3919" s="1189">
        <f>SUM(H3916:H3918)</f>
        <v>88.429999999999993</v>
      </c>
      <c r="I3919" s="213"/>
      <c r="J3919" s="259"/>
    </row>
    <row r="3920" spans="1:10" ht="15.75" customHeight="1" thickBot="1">
      <c r="A3920" s="216" t="str">
        <f>CONCATENATE("TOTAL DO ITEM DESON. - ",C3913)</f>
        <v>TOTAL DO ITEM DESON. - SEPLAG ELE 70</v>
      </c>
      <c r="B3920" s="1148"/>
      <c r="C3920" s="1148"/>
      <c r="D3920" s="1148"/>
      <c r="E3920" s="1142"/>
      <c r="F3920" s="1190"/>
      <c r="G3920" s="1190"/>
      <c r="H3920" s="1190"/>
      <c r="I3920" s="228"/>
      <c r="J3920" s="219">
        <f>SUM(J3916:J3919)</f>
        <v>87.22</v>
      </c>
    </row>
    <row r="3921" spans="1:10" ht="15" customHeight="1" thickBot="1">
      <c r="A3921" s="421"/>
      <c r="B3921" s="1138"/>
      <c r="C3921" s="1138"/>
      <c r="D3921" s="1138"/>
      <c r="E3921" s="1154"/>
      <c r="F3921" s="1196"/>
      <c r="G3921" s="1196"/>
      <c r="H3921" s="1196"/>
      <c r="I3921" s="423"/>
      <c r="J3921" s="422"/>
    </row>
    <row r="3922" spans="1:10" ht="25.5" customHeight="1">
      <c r="A3922" s="256"/>
      <c r="B3922" s="1152"/>
      <c r="C3922" s="1152" t="s">
        <v>13341</v>
      </c>
      <c r="D3922" s="152" t="s">
        <v>13342</v>
      </c>
      <c r="E3922" s="1152" t="s">
        <v>24</v>
      </c>
      <c r="F3922" s="1177" t="s">
        <v>18</v>
      </c>
      <c r="G3922" s="1178" t="s">
        <v>7015</v>
      </c>
      <c r="H3922" s="1179"/>
      <c r="I3922" s="200" t="s">
        <v>7016</v>
      </c>
      <c r="J3922" s="201"/>
    </row>
    <row r="3923" spans="1:10" ht="15" customHeight="1">
      <c r="A3923" s="257"/>
      <c r="B3923" s="430"/>
      <c r="C3923" s="430"/>
      <c r="D3923" s="430"/>
      <c r="E3923" s="430"/>
      <c r="F3923" s="1180"/>
      <c r="G3923" s="1180" t="s">
        <v>19</v>
      </c>
      <c r="H3923" s="1180" t="s">
        <v>20</v>
      </c>
      <c r="I3923" s="204" t="s">
        <v>19</v>
      </c>
      <c r="J3923" s="206" t="s">
        <v>20</v>
      </c>
    </row>
    <row r="3924" spans="1:10" ht="15" customHeight="1">
      <c r="A3924" s="233"/>
      <c r="B3924" s="161"/>
      <c r="C3924" s="161"/>
      <c r="D3924" s="161"/>
      <c r="E3924" s="247"/>
      <c r="F3924" s="248"/>
      <c r="G3924" s="248"/>
      <c r="H3924" s="248"/>
      <c r="I3924" s="214"/>
      <c r="J3924" s="227"/>
    </row>
    <row r="3925" spans="1:10" ht="15" customHeight="1">
      <c r="A3925" s="233" t="s">
        <v>245</v>
      </c>
      <c r="B3925" s="161"/>
      <c r="C3925" s="161">
        <v>88264</v>
      </c>
      <c r="D3925" s="161" t="str">
        <f>IF(B3925="SEPLAG",VLOOKUP(COMPOSIÇÕES!C3925,'MAPA COMPARATIVO'!A:B,2,FALSE),VLOOKUP(C3925,'NAO DESO'!A:B,2,0))</f>
        <v>ELETRICISTA COM ENCARGOS COMPLEMENTARES</v>
      </c>
      <c r="E3925" s="247" t="s">
        <v>16</v>
      </c>
      <c r="F3925" s="248">
        <v>0.3</v>
      </c>
      <c r="G3925" s="242" t="str">
        <f>IF(B3925="SEPLAG",VLOOKUP(CONCATENATE("MEDIANA - ",C3925),COTAÇÃO,5,FALSE),VLOOKUP($C3925,'NAO DESO'!$A:$D,4,))</f>
        <v>21,87</v>
      </c>
      <c r="H3925" s="242">
        <f>TRUNC(F3925*G3925,2)</f>
        <v>6.56</v>
      </c>
      <c r="I3925" s="54" t="str">
        <f>IF(B3925="SEPLAG",VLOOKUP(CONCATENATE("MEDIANA - ",C3925),COTAÇÃO,5,FALSE),VLOOKUP($C3925,DESON!$A:$D,4,))</f>
        <v>19,53</v>
      </c>
      <c r="J3925" s="209">
        <f>TRUNC(F3925*I3925,2)</f>
        <v>5.85</v>
      </c>
    </row>
    <row r="3926" spans="1:10" ht="15" customHeight="1">
      <c r="A3926" s="233" t="s">
        <v>245</v>
      </c>
      <c r="B3926" s="161"/>
      <c r="C3926" s="161">
        <v>88247</v>
      </c>
      <c r="D3926" s="161" t="str">
        <f>IF(B3926="SEPLAG",VLOOKUP(COMPOSIÇÕES!C3926,'MAPA COMPARATIVO'!A:B,2,FALSE),VLOOKUP(C3926,'NAO DESO'!A:B,2,0))</f>
        <v>AUXILIAR DE ELETRICISTA COM ENCARGOS COMPLEMENTARES</v>
      </c>
      <c r="E3926" s="247" t="s">
        <v>16</v>
      </c>
      <c r="F3926" s="248">
        <v>0.3</v>
      </c>
      <c r="G3926" s="242" t="str">
        <f>IF(B3926="SEPLAG",VLOOKUP(CONCATENATE("MEDIANA - ",C3926),COTAÇÃO,5,FALSE),VLOOKUP($C3926,'NAO DESO'!$A:$D,4,))</f>
        <v>16,84</v>
      </c>
      <c r="H3926" s="242">
        <f>TRUNC(F3926*G3926,2)</f>
        <v>5.05</v>
      </c>
      <c r="I3926" s="54" t="str">
        <f>IF(B3926="SEPLAG",VLOOKUP(CONCATENATE("MEDIANA - ",C3926),COTAÇÃO,5,FALSE),VLOOKUP($C3926,DESON!$A:$D,4,))</f>
        <v>15,19</v>
      </c>
      <c r="J3926" s="209">
        <f>TRUNC(F3926*I3926,2)</f>
        <v>4.55</v>
      </c>
    </row>
    <row r="3927" spans="1:10" ht="26.25" customHeight="1">
      <c r="A3927" s="233" t="s">
        <v>245</v>
      </c>
      <c r="B3927" s="161"/>
      <c r="C3927" s="161">
        <v>7552</v>
      </c>
      <c r="D3927" s="161" t="str">
        <f>IF(B3927="SEPLAG",VLOOKUP(COMPOSIÇÕES!C3927,'MAPA COMPARATIVO'!A:B,2,FALSE),VLOOKUP(C3927,'NAO DESO'!A:B,2,0))</f>
        <v>PLACA/TAMPA CEGA EM LATAO ESCOVADO PARA CONDULETE EM LIGA DE ALUMINIO 4 X 4"</v>
      </c>
      <c r="E3927" s="247" t="s">
        <v>427</v>
      </c>
      <c r="F3927" s="248">
        <v>1</v>
      </c>
      <c r="G3927" s="242">
        <f>IF(B3927="SEPLAG",VLOOKUP(CONCATENATE("MEDIANA - ",C3927),COTAÇÃO,5,FALSE),VLOOKUP($C3927,'NAO DESO'!$A:$D,4,))</f>
        <v>27</v>
      </c>
      <c r="H3927" s="242">
        <f>TRUNC(F3927*G3927,2)</f>
        <v>27</v>
      </c>
      <c r="I3927" s="54" t="str">
        <f>IF(B3927="SEPLAG",VLOOKUP(CONCATENATE("MEDIANA - ",C3927),COTAÇÃO,5,FALSE),VLOOKUP($C3927,DESON!$A:$D,4,))</f>
        <v>27,00</v>
      </c>
      <c r="J3927" s="209">
        <f>TRUNC(F3927*I3927,2)</f>
        <v>27</v>
      </c>
    </row>
    <row r="3928" spans="1:10" ht="15" customHeight="1">
      <c r="A3928" s="210" t="str">
        <f>CONCATENATE("TOTAL DO ITEM NÃO DESON. - ",C3922)</f>
        <v>TOTAL DO ITEM NÃO DESON. - SEPLAG ELE 71</v>
      </c>
      <c r="B3928" s="432"/>
      <c r="C3928" s="432"/>
      <c r="D3928" s="432"/>
      <c r="E3928" s="430"/>
      <c r="F3928" s="1189"/>
      <c r="G3928" s="1189"/>
      <c r="H3928" s="1189">
        <f>SUM(H3925:H3927)</f>
        <v>38.61</v>
      </c>
      <c r="I3928" s="213"/>
      <c r="J3928" s="259"/>
    </row>
    <row r="3929" spans="1:10" ht="15.75" customHeight="1" thickBot="1">
      <c r="A3929" s="216" t="str">
        <f>CONCATENATE("TOTAL DO ITEM DESON. - ",C3922)</f>
        <v>TOTAL DO ITEM DESON. - SEPLAG ELE 71</v>
      </c>
      <c r="B3929" s="1148"/>
      <c r="C3929" s="1148"/>
      <c r="D3929" s="1148"/>
      <c r="E3929" s="1142"/>
      <c r="F3929" s="1190"/>
      <c r="G3929" s="1190"/>
      <c r="H3929" s="1190"/>
      <c r="I3929" s="228"/>
      <c r="J3929" s="219">
        <f>SUM(J3925:J3928)</f>
        <v>37.4</v>
      </c>
    </row>
    <row r="3930" spans="1:10" ht="15" customHeight="1" thickBot="1">
      <c r="A3930" s="421"/>
      <c r="B3930" s="1138"/>
      <c r="C3930" s="1138"/>
      <c r="D3930" s="1138"/>
      <c r="E3930" s="1154"/>
      <c r="F3930" s="1196"/>
      <c r="G3930" s="1196"/>
      <c r="H3930" s="1196"/>
      <c r="I3930" s="423"/>
      <c r="J3930" s="422"/>
    </row>
    <row r="3931" spans="1:10" ht="15" customHeight="1">
      <c r="A3931" s="256"/>
      <c r="B3931" s="1152"/>
      <c r="C3931" s="1152" t="s">
        <v>13343</v>
      </c>
      <c r="D3931" s="152" t="s">
        <v>13353</v>
      </c>
      <c r="E3931" s="1152" t="s">
        <v>24</v>
      </c>
      <c r="F3931" s="1177" t="s">
        <v>18</v>
      </c>
      <c r="G3931" s="1178" t="s">
        <v>7015</v>
      </c>
      <c r="H3931" s="1179"/>
      <c r="I3931" s="200" t="s">
        <v>7016</v>
      </c>
      <c r="J3931" s="201"/>
    </row>
    <row r="3932" spans="1:10" ht="15" customHeight="1">
      <c r="A3932" s="257"/>
      <c r="B3932" s="430"/>
      <c r="C3932" s="430"/>
      <c r="D3932" s="430"/>
      <c r="E3932" s="430"/>
      <c r="F3932" s="1180"/>
      <c r="G3932" s="1180" t="s">
        <v>19</v>
      </c>
      <c r="H3932" s="1180" t="s">
        <v>20</v>
      </c>
      <c r="I3932" s="204" t="s">
        <v>19</v>
      </c>
      <c r="J3932" s="206" t="s">
        <v>20</v>
      </c>
    </row>
    <row r="3933" spans="1:10" ht="15" customHeight="1">
      <c r="A3933" s="233"/>
      <c r="B3933" s="161"/>
      <c r="C3933" s="161"/>
      <c r="D3933" s="161"/>
      <c r="E3933" s="247"/>
      <c r="F3933" s="248"/>
      <c r="G3933" s="248"/>
      <c r="H3933" s="248"/>
      <c r="I3933" s="214"/>
      <c r="J3933" s="227"/>
    </row>
    <row r="3934" spans="1:10" ht="15" customHeight="1">
      <c r="A3934" s="233" t="s">
        <v>245</v>
      </c>
      <c r="B3934" s="161"/>
      <c r="C3934" s="161">
        <v>88264</v>
      </c>
      <c r="D3934" s="161" t="str">
        <f>IF(B3934="SEPLAG",VLOOKUP(COMPOSIÇÕES!C3934,'MAPA COMPARATIVO'!A:B,2,FALSE),VLOOKUP(C3934,'NAO DESO'!A:B,2,0))</f>
        <v>ELETRICISTA COM ENCARGOS COMPLEMENTARES</v>
      </c>
      <c r="E3934" s="247" t="s">
        <v>16</v>
      </c>
      <c r="F3934" s="248">
        <v>0.12</v>
      </c>
      <c r="G3934" s="242" t="str">
        <f>IF(B3934="SEPLAG",VLOOKUP(CONCATENATE("MEDIANA - ",C3934),COTAÇÃO,5,FALSE),VLOOKUP($C3934,'NAO DESO'!$A:$D,4,))</f>
        <v>21,87</v>
      </c>
      <c r="H3934" s="242">
        <f>TRUNC(F3934*G3934,2)</f>
        <v>2.62</v>
      </c>
      <c r="I3934" s="54" t="str">
        <f>IF(B3934="SEPLAG",VLOOKUP(CONCATENATE("MEDIANA - ",C3934),COTAÇÃO,5,FALSE),VLOOKUP($C3934,DESON!$A:$D,4,))</f>
        <v>19,53</v>
      </c>
      <c r="J3934" s="209">
        <f>TRUNC(F3934*I3934,2)</f>
        <v>2.34</v>
      </c>
    </row>
    <row r="3935" spans="1:10" ht="15" customHeight="1">
      <c r="A3935" s="233" t="s">
        <v>245</v>
      </c>
      <c r="B3935" s="161"/>
      <c r="C3935" s="161">
        <v>88247</v>
      </c>
      <c r="D3935" s="161" t="str">
        <f>IF(B3935="SEPLAG",VLOOKUP(COMPOSIÇÕES!C3935,'MAPA COMPARATIVO'!A:B,2,FALSE),VLOOKUP(C3935,'NAO DESO'!A:B,2,0))</f>
        <v>AUXILIAR DE ELETRICISTA COM ENCARGOS COMPLEMENTARES</v>
      </c>
      <c r="E3935" s="247" t="s">
        <v>16</v>
      </c>
      <c r="F3935" s="248">
        <v>0.12</v>
      </c>
      <c r="G3935" s="242" t="str">
        <f>IF(B3935="SEPLAG",VLOOKUP(CONCATENATE("MEDIANA - ",C3935),COTAÇÃO,5,FALSE),VLOOKUP($C3935,'NAO DESO'!$A:$D,4,))</f>
        <v>16,84</v>
      </c>
      <c r="H3935" s="242">
        <f>TRUNC(F3935*G3935,2)</f>
        <v>2.02</v>
      </c>
      <c r="I3935" s="54" t="str">
        <f>IF(B3935="SEPLAG",VLOOKUP(CONCATENATE("MEDIANA - ",C3935),COTAÇÃO,5,FALSE),VLOOKUP($C3935,DESON!$A:$D,4,))</f>
        <v>15,19</v>
      </c>
      <c r="J3935" s="209">
        <f>TRUNC(F3935*I3935,2)</f>
        <v>1.82</v>
      </c>
    </row>
    <row r="3936" spans="1:10" ht="15" customHeight="1">
      <c r="A3936" s="233" t="s">
        <v>188</v>
      </c>
      <c r="B3936" s="161" t="s">
        <v>14504</v>
      </c>
      <c r="C3936" s="161" t="s">
        <v>14432</v>
      </c>
      <c r="D3936" s="161" t="str">
        <f>IF(B3936="SEPLAG",VLOOKUP(COMPOSIÇÕES!C3936,'MAPA COMPARATIVO'!A:B,2,FALSE),VLOOKUP(C3936,'NAO DESO'!A:B,2,0))</f>
        <v>SAÍDA HORIZONTAL PARA ELETRODUTO 1"</v>
      </c>
      <c r="E3936" s="247" t="s">
        <v>24</v>
      </c>
      <c r="F3936" s="248">
        <v>1</v>
      </c>
      <c r="G3936" s="242">
        <f>IF(B3936="SEPLAG",VLOOKUP(CONCATENATE("MEDIANA - ",C3936),COTAÇÃO,5,FALSE),VLOOKUP($C3936,'NAO DESO'!$A:$D,4,))</f>
        <v>4.93</v>
      </c>
      <c r="H3936" s="242">
        <f>TRUNC(F3936*G3936,2)</f>
        <v>4.93</v>
      </c>
      <c r="I3936" s="54">
        <f>IF(B3936="SEPLAG",VLOOKUP(CONCATENATE("MEDIANA - ",C3936),COTAÇÃO,5,FALSE),VLOOKUP($C3936,DESON!$A:$D,4,))</f>
        <v>4.93</v>
      </c>
      <c r="J3936" s="209">
        <f>TRUNC(F3936*I3936,2)</f>
        <v>4.93</v>
      </c>
    </row>
    <row r="3937" spans="1:10" ht="15" customHeight="1">
      <c r="A3937" s="210" t="str">
        <f>CONCATENATE("TOTAL DO ITEM NÃO DESON. - ",C3931)</f>
        <v>TOTAL DO ITEM NÃO DESON. - SEPLAG ELE 72</v>
      </c>
      <c r="B3937" s="432"/>
      <c r="C3937" s="432"/>
      <c r="D3937" s="432"/>
      <c r="E3937" s="430"/>
      <c r="F3937" s="1189"/>
      <c r="G3937" s="1189"/>
      <c r="H3937" s="1189">
        <f>SUM(H3934:H3936)</f>
        <v>9.57</v>
      </c>
      <c r="I3937" s="213"/>
      <c r="J3937" s="259"/>
    </row>
    <row r="3938" spans="1:10" ht="15.75" customHeight="1" thickBot="1">
      <c r="A3938" s="216" t="str">
        <f>CONCATENATE("TOTAL DO ITEM DESON. - ",C3931)</f>
        <v>TOTAL DO ITEM DESON. - SEPLAG ELE 72</v>
      </c>
      <c r="B3938" s="1148"/>
      <c r="C3938" s="1148"/>
      <c r="D3938" s="1148"/>
      <c r="E3938" s="1142"/>
      <c r="F3938" s="1190"/>
      <c r="G3938" s="1190"/>
      <c r="H3938" s="1190"/>
      <c r="I3938" s="228"/>
      <c r="J3938" s="219">
        <f>SUM(J3934:J3937)</f>
        <v>9.09</v>
      </c>
    </row>
    <row r="3939" spans="1:10" ht="15" customHeight="1" thickBot="1">
      <c r="A3939" s="421"/>
      <c r="B3939" s="1138"/>
      <c r="C3939" s="1138"/>
      <c r="D3939" s="1138"/>
      <c r="E3939" s="1154"/>
      <c r="F3939" s="1196"/>
      <c r="G3939" s="1196"/>
      <c r="H3939" s="1196"/>
      <c r="I3939" s="423"/>
      <c r="J3939" s="422"/>
    </row>
    <row r="3940" spans="1:10" ht="15" customHeight="1">
      <c r="A3940" s="256"/>
      <c r="B3940" s="1152"/>
      <c r="C3940" s="1152" t="s">
        <v>13346</v>
      </c>
      <c r="D3940" s="152" t="s">
        <v>13344</v>
      </c>
      <c r="E3940" s="1152" t="s">
        <v>24</v>
      </c>
      <c r="F3940" s="1177" t="s">
        <v>18</v>
      </c>
      <c r="G3940" s="1178" t="s">
        <v>7015</v>
      </c>
      <c r="H3940" s="1179"/>
      <c r="I3940" s="200" t="s">
        <v>7016</v>
      </c>
      <c r="J3940" s="201"/>
    </row>
    <row r="3941" spans="1:10" ht="15" customHeight="1">
      <c r="A3941" s="257"/>
      <c r="B3941" s="430"/>
      <c r="C3941" s="430"/>
      <c r="D3941" s="430"/>
      <c r="E3941" s="430"/>
      <c r="F3941" s="1180"/>
      <c r="G3941" s="1180" t="s">
        <v>19</v>
      </c>
      <c r="H3941" s="1180" t="s">
        <v>20</v>
      </c>
      <c r="I3941" s="204" t="s">
        <v>19</v>
      </c>
      <c r="J3941" s="206" t="s">
        <v>20</v>
      </c>
    </row>
    <row r="3942" spans="1:10" ht="15" customHeight="1">
      <c r="A3942" s="233"/>
      <c r="B3942" s="161"/>
      <c r="C3942" s="161"/>
      <c r="D3942" s="161"/>
      <c r="E3942" s="247"/>
      <c r="F3942" s="248"/>
      <c r="G3942" s="248"/>
      <c r="H3942" s="248"/>
      <c r="I3942" s="214"/>
      <c r="J3942" s="227"/>
    </row>
    <row r="3943" spans="1:10" ht="15" customHeight="1">
      <c r="A3943" s="233" t="s">
        <v>245</v>
      </c>
      <c r="B3943" s="161"/>
      <c r="C3943" s="161">
        <v>88264</v>
      </c>
      <c r="D3943" s="161" t="str">
        <f>IF(B3943="SEPLAG",VLOOKUP(COMPOSIÇÕES!C3943,'MAPA COMPARATIVO'!A:B,2,FALSE),VLOOKUP(C3943,'NAO DESO'!A:B,2,0))</f>
        <v>ELETRICISTA COM ENCARGOS COMPLEMENTARES</v>
      </c>
      <c r="E3943" s="247" t="s">
        <v>16</v>
      </c>
      <c r="F3943" s="248">
        <v>0.15</v>
      </c>
      <c r="G3943" s="242" t="str">
        <f>IF(B3943="SEPLAG",VLOOKUP(CONCATENATE("MEDIANA - ",C3943),COTAÇÃO,5,FALSE),VLOOKUP($C3943,'NAO DESO'!$A:$D,4,))</f>
        <v>21,87</v>
      </c>
      <c r="H3943" s="242">
        <f>TRUNC(F3943*G3943,2)</f>
        <v>3.28</v>
      </c>
      <c r="I3943" s="54" t="str">
        <f>IF(B3943="SEPLAG",VLOOKUP(CONCATENATE("MEDIANA - ",C3943),COTAÇÃO,5,FALSE),VLOOKUP($C3943,DESON!$A:$D,4,))</f>
        <v>19,53</v>
      </c>
      <c r="J3943" s="209">
        <f>TRUNC(F3943*I3943,2)</f>
        <v>2.92</v>
      </c>
    </row>
    <row r="3944" spans="1:10" ht="15" customHeight="1">
      <c r="A3944" s="233" t="s">
        <v>245</v>
      </c>
      <c r="B3944" s="161"/>
      <c r="C3944" s="161">
        <v>88247</v>
      </c>
      <c r="D3944" s="161" t="str">
        <f>IF(B3944="SEPLAG",VLOOKUP(COMPOSIÇÕES!C3944,'MAPA COMPARATIVO'!A:B,2,FALSE),VLOOKUP(C3944,'NAO DESO'!A:B,2,0))</f>
        <v>AUXILIAR DE ELETRICISTA COM ENCARGOS COMPLEMENTARES</v>
      </c>
      <c r="E3944" s="247" t="s">
        <v>16</v>
      </c>
      <c r="F3944" s="248">
        <v>0.15</v>
      </c>
      <c r="G3944" s="242" t="str">
        <f>IF(B3944="SEPLAG",VLOOKUP(CONCATENATE("MEDIANA - ",C3944),COTAÇÃO,5,FALSE),VLOOKUP($C3944,'NAO DESO'!$A:$D,4,))</f>
        <v>16,84</v>
      </c>
      <c r="H3944" s="242">
        <f>TRUNC(F3944*G3944,2)</f>
        <v>2.52</v>
      </c>
      <c r="I3944" s="54" t="str">
        <f>IF(B3944="SEPLAG",VLOOKUP(CONCATENATE("MEDIANA - ",C3944),COTAÇÃO,5,FALSE),VLOOKUP($C3944,DESON!$A:$D,4,))</f>
        <v>15,19</v>
      </c>
      <c r="J3944" s="209">
        <f>TRUNC(F3944*I3944,2)</f>
        <v>2.27</v>
      </c>
    </row>
    <row r="3945" spans="1:10" ht="15" customHeight="1">
      <c r="A3945" s="233" t="s">
        <v>188</v>
      </c>
      <c r="B3945" s="161" t="s">
        <v>14504</v>
      </c>
      <c r="C3945" s="161"/>
      <c r="D3945" s="161" t="s">
        <v>13345</v>
      </c>
      <c r="E3945" s="247" t="s">
        <v>24</v>
      </c>
      <c r="F3945" s="248">
        <v>1</v>
      </c>
      <c r="G3945" s="242" t="e">
        <f>IF(B3945="SEPLAG",VLOOKUP(CONCATENATE("MEDIANA - ",C3945),COTAÇÃO,5,FALSE),VLOOKUP($C3945,'NAO DESO'!$A:$D,4,))</f>
        <v>#N/A</v>
      </c>
      <c r="H3945" s="242" t="e">
        <f>TRUNC(F3945*G3945,2)</f>
        <v>#N/A</v>
      </c>
      <c r="I3945" s="54" t="e">
        <f>IF(B3945="SEPLAG",VLOOKUP(CONCATENATE("MEDIANA - ",C3945),COTAÇÃO,5,FALSE),VLOOKUP($C3945,DESON!$A:$D,4,))</f>
        <v>#N/A</v>
      </c>
      <c r="J3945" s="209" t="e">
        <f>TRUNC(F3945*I3945,2)</f>
        <v>#N/A</v>
      </c>
    </row>
    <row r="3946" spans="1:10" ht="15" customHeight="1">
      <c r="A3946" s="210" t="str">
        <f>CONCATENATE("TOTAL DO ITEM NÃO DESON. - ",C3940)</f>
        <v>TOTAL DO ITEM NÃO DESON. - SEPLAG ELE 73</v>
      </c>
      <c r="B3946" s="432"/>
      <c r="C3946" s="432"/>
      <c r="D3946" s="432"/>
      <c r="E3946" s="430"/>
      <c r="F3946" s="1189"/>
      <c r="G3946" s="1189"/>
      <c r="H3946" s="1189" t="e">
        <f>SUM(H3943:H3945)</f>
        <v>#N/A</v>
      </c>
      <c r="I3946" s="213"/>
      <c r="J3946" s="259"/>
    </row>
    <row r="3947" spans="1:10" ht="15.75" customHeight="1" thickBot="1">
      <c r="A3947" s="216" t="str">
        <f>CONCATENATE("TOTAL DO ITEM DESON. - ",C3940)</f>
        <v>TOTAL DO ITEM DESON. - SEPLAG ELE 73</v>
      </c>
      <c r="B3947" s="1148"/>
      <c r="C3947" s="1148"/>
      <c r="D3947" s="1148"/>
      <c r="E3947" s="1142"/>
      <c r="F3947" s="1190"/>
      <c r="G3947" s="1190"/>
      <c r="H3947" s="1190"/>
      <c r="I3947" s="228"/>
      <c r="J3947" s="219" t="e">
        <f>SUM(J3943:J3946)</f>
        <v>#N/A</v>
      </c>
    </row>
    <row r="3948" spans="1:10" ht="15" customHeight="1" thickBot="1">
      <c r="A3948" s="421"/>
      <c r="B3948" s="1138"/>
      <c r="C3948" s="1138"/>
      <c r="D3948" s="1138"/>
      <c r="E3948" s="1154"/>
      <c r="F3948" s="1196"/>
      <c r="G3948" s="1196"/>
      <c r="H3948" s="1196"/>
      <c r="I3948" s="423"/>
      <c r="J3948" s="422"/>
    </row>
    <row r="3949" spans="1:10" ht="15" customHeight="1">
      <c r="A3949" s="256"/>
      <c r="B3949" s="1152"/>
      <c r="C3949" s="1152" t="s">
        <v>13347</v>
      </c>
      <c r="D3949" s="152" t="s">
        <v>13355</v>
      </c>
      <c r="E3949" s="1152" t="s">
        <v>24</v>
      </c>
      <c r="F3949" s="1177" t="s">
        <v>18</v>
      </c>
      <c r="G3949" s="1178" t="s">
        <v>7015</v>
      </c>
      <c r="H3949" s="1179"/>
      <c r="I3949" s="200" t="s">
        <v>7016</v>
      </c>
      <c r="J3949" s="201"/>
    </row>
    <row r="3950" spans="1:10" ht="15" customHeight="1">
      <c r="A3950" s="257"/>
      <c r="B3950" s="430"/>
      <c r="C3950" s="430"/>
      <c r="D3950" s="430"/>
      <c r="E3950" s="430"/>
      <c r="F3950" s="1180"/>
      <c r="G3950" s="1180" t="s">
        <v>19</v>
      </c>
      <c r="H3950" s="1180" t="s">
        <v>20</v>
      </c>
      <c r="I3950" s="204" t="s">
        <v>19</v>
      </c>
      <c r="J3950" s="206" t="s">
        <v>20</v>
      </c>
    </row>
    <row r="3951" spans="1:10" ht="15" customHeight="1">
      <c r="A3951" s="233"/>
      <c r="B3951" s="161"/>
      <c r="C3951" s="161"/>
      <c r="D3951" s="161"/>
      <c r="E3951" s="247"/>
      <c r="F3951" s="248"/>
      <c r="G3951" s="248"/>
      <c r="H3951" s="248"/>
      <c r="I3951" s="214"/>
      <c r="J3951" s="227"/>
    </row>
    <row r="3952" spans="1:10" ht="15" customHeight="1">
      <c r="A3952" s="233" t="s">
        <v>245</v>
      </c>
      <c r="B3952" s="161"/>
      <c r="C3952" s="161">
        <v>88264</v>
      </c>
      <c r="D3952" s="161" t="str">
        <f>IF(B3952="SEPLAG",VLOOKUP(COMPOSIÇÕES!C3952,'MAPA COMPARATIVO'!A:B,2,FALSE),VLOOKUP(C3952,'NAO DESO'!A:B,2,0))</f>
        <v>ELETRICISTA COM ENCARGOS COMPLEMENTARES</v>
      </c>
      <c r="E3952" s="247" t="s">
        <v>16</v>
      </c>
      <c r="F3952" s="248">
        <v>0.36</v>
      </c>
      <c r="G3952" s="242" t="str">
        <f>IF(B3952="SEPLAG",VLOOKUP(CONCATENATE("MEDIANA - ",C3952),COTAÇÃO,5,FALSE),VLOOKUP($C3952,'NAO DESO'!$A:$D,4,))</f>
        <v>21,87</v>
      </c>
      <c r="H3952" s="242">
        <f>TRUNC(F3952*G3952,2)</f>
        <v>7.87</v>
      </c>
      <c r="I3952" s="54" t="str">
        <f>IF(B3952="SEPLAG",VLOOKUP(CONCATENATE("MEDIANA - ",C3952),COTAÇÃO,5,FALSE),VLOOKUP($C3952,DESON!$A:$D,4,))</f>
        <v>19,53</v>
      </c>
      <c r="J3952" s="209">
        <f>TRUNC(F3952*I3952,2)</f>
        <v>7.03</v>
      </c>
    </row>
    <row r="3953" spans="1:10" ht="15" customHeight="1">
      <c r="A3953" s="233" t="s">
        <v>245</v>
      </c>
      <c r="B3953" s="161"/>
      <c r="C3953" s="161">
        <v>88316</v>
      </c>
      <c r="D3953" s="161" t="str">
        <f>IF(B3953="SEPLAG",VLOOKUP(COMPOSIÇÕES!C3953,'MAPA COMPARATIVO'!A:B,2,FALSE),VLOOKUP(C3953,'NAO DESO'!A:B,2,0))</f>
        <v>SERVENTE COM ENCARGOS COMPLEMENTARES</v>
      </c>
      <c r="E3953" s="247" t="s">
        <v>16</v>
      </c>
      <c r="F3953" s="248">
        <v>0.43</v>
      </c>
      <c r="G3953" s="242" t="str">
        <f>IF(B3953="SEPLAG",VLOOKUP(CONCATENATE("MEDIANA - ",C3953),COTAÇÃO,5,FALSE),VLOOKUP($C3953,'NAO DESO'!$A:$D,4,))</f>
        <v>16,83</v>
      </c>
      <c r="H3953" s="242">
        <f>TRUNC(F3953*G3953,2)</f>
        <v>7.23</v>
      </c>
      <c r="I3953" s="54" t="str">
        <f>IF(B3953="SEPLAG",VLOOKUP(CONCATENATE("MEDIANA - ",C3953),COTAÇÃO,5,FALSE),VLOOKUP($C3953,DESON!$A:$D,4,))</f>
        <v>15,16</v>
      </c>
      <c r="J3953" s="209">
        <f>TRUNC(F3953*I3953,2)</f>
        <v>6.51</v>
      </c>
    </row>
    <row r="3954" spans="1:10" ht="39" customHeight="1">
      <c r="A3954" s="233" t="s">
        <v>245</v>
      </c>
      <c r="B3954" s="161"/>
      <c r="C3954" s="161">
        <v>100761</v>
      </c>
      <c r="D3954" s="161" t="str">
        <f>IF(B3954="SEPLAG",VLOOKUP(COMPOSIÇÕES!C3954,'MAPA COMPARATIVO'!A:B,2,FALSE),VLOOKUP(C3954,'NAO DESO'!A:B,2,0))</f>
        <v>PINTURA COM TINTA ALQUÍDICA DE ACABAMENTO (ESMALTE SINTÉTICO FOSCO) PULVERIZADA SOBRE SUPERFÍCIES METÁLICAS (EXCETO PERFIL) EXECUTADO EM OBRA (02 DEMÃOS). AF_01/2020_P</v>
      </c>
      <c r="E3954" s="247" t="s">
        <v>12</v>
      </c>
      <c r="F3954" s="248">
        <v>1</v>
      </c>
      <c r="G3954" s="242" t="str">
        <f>IF(B3954="SEPLAG",VLOOKUP(CONCATENATE("MEDIANA - ",C3954),COTAÇÃO,5,FALSE),VLOOKUP($C3954,'NAO DESO'!$A:$D,4,))</f>
        <v>37,28</v>
      </c>
      <c r="H3954" s="242">
        <f>TRUNC(F3954*G3954,2)</f>
        <v>37.28</v>
      </c>
      <c r="I3954" s="54" t="str">
        <f>IF(B3954="SEPLAG",VLOOKUP(CONCATENATE("MEDIANA - ",C3954),COTAÇÃO,5,FALSE),VLOOKUP($C3954,DESON!$A:$D,4,))</f>
        <v>34,93</v>
      </c>
      <c r="J3954" s="209">
        <f>TRUNC(F3954*I3954,2)</f>
        <v>34.93</v>
      </c>
    </row>
    <row r="3955" spans="1:10" ht="15" customHeight="1">
      <c r="A3955" s="233" t="s">
        <v>188</v>
      </c>
      <c r="B3955" s="161" t="s">
        <v>14504</v>
      </c>
      <c r="C3955" s="161" t="s">
        <v>14433</v>
      </c>
      <c r="D3955" s="161" t="str">
        <f>IF(B3955="SEPLAG",VLOOKUP(COMPOSIÇÕES!C3955,'MAPA COMPARATIVO'!A:B,2,FALSE),VLOOKUP(C3955,'NAO DESO'!A:B,2,0))</f>
        <v>CRUZETA HORIZONTAL 90º P/ELETROCALHA 200X50 MM</v>
      </c>
      <c r="E3955" s="247" t="s">
        <v>24</v>
      </c>
      <c r="F3955" s="248">
        <v>1</v>
      </c>
      <c r="G3955" s="242">
        <f>IF(B3955="SEPLAG",VLOOKUP(CONCATENATE("MEDIANA - ",C3955),COTAÇÃO,5,FALSE),VLOOKUP($C3955,'NAO DESO'!$A:$D,4,))</f>
        <v>56.6</v>
      </c>
      <c r="H3955" s="242">
        <f>TRUNC(F3955*G3955,2)</f>
        <v>56.6</v>
      </c>
      <c r="I3955" s="54">
        <f>IF(B3955="SEPLAG",VLOOKUP(CONCATENATE("MEDIANA - ",C3955),COTAÇÃO,5,FALSE),VLOOKUP($C3955,DESON!$A:$D,4,))</f>
        <v>56.6</v>
      </c>
      <c r="J3955" s="209">
        <f>TRUNC(F3955*I3955,2)</f>
        <v>56.6</v>
      </c>
    </row>
    <row r="3956" spans="1:10" ht="15" customHeight="1">
      <c r="A3956" s="210" t="str">
        <f>CONCATENATE("TOTAL DO ITEM NÃO DESON. - ",C3949)</f>
        <v>TOTAL DO ITEM NÃO DESON. - SEPLAG ELE 74</v>
      </c>
      <c r="B3956" s="432"/>
      <c r="C3956" s="432"/>
      <c r="D3956" s="432"/>
      <c r="E3956" s="430"/>
      <c r="F3956" s="1189"/>
      <c r="G3956" s="1189"/>
      <c r="H3956" s="1189">
        <f>SUM(H3952:H3955)</f>
        <v>108.98</v>
      </c>
      <c r="I3956" s="213"/>
      <c r="J3956" s="259"/>
    </row>
    <row r="3957" spans="1:10" ht="15.75" customHeight="1" thickBot="1">
      <c r="A3957" s="216" t="str">
        <f>CONCATENATE("TOTAL DO ITEM DESON. - ",C3949)</f>
        <v>TOTAL DO ITEM DESON. - SEPLAG ELE 74</v>
      </c>
      <c r="B3957" s="1148"/>
      <c r="C3957" s="1148"/>
      <c r="D3957" s="1148"/>
      <c r="E3957" s="1142"/>
      <c r="F3957" s="1190"/>
      <c r="G3957" s="1190"/>
      <c r="H3957" s="1190"/>
      <c r="I3957" s="228"/>
      <c r="J3957" s="219">
        <f>SUM(J3952:J3956)</f>
        <v>105.07</v>
      </c>
    </row>
    <row r="3958" spans="1:10" ht="15" customHeight="1" thickBot="1">
      <c r="A3958" s="421"/>
      <c r="B3958" s="1138"/>
      <c r="C3958" s="1138"/>
      <c r="D3958" s="1138"/>
      <c r="E3958" s="1154"/>
      <c r="F3958" s="1196"/>
      <c r="G3958" s="1196"/>
      <c r="H3958" s="1196"/>
      <c r="I3958" s="423"/>
      <c r="J3958" s="422"/>
    </row>
    <row r="3959" spans="1:10" ht="15" customHeight="1">
      <c r="A3959" s="256"/>
      <c r="B3959" s="1152"/>
      <c r="C3959" s="1152" t="s">
        <v>13349</v>
      </c>
      <c r="D3959" s="152" t="s">
        <v>13356</v>
      </c>
      <c r="E3959" s="1152" t="s">
        <v>24</v>
      </c>
      <c r="F3959" s="1177" t="s">
        <v>18</v>
      </c>
      <c r="G3959" s="1178" t="s">
        <v>7015</v>
      </c>
      <c r="H3959" s="1179"/>
      <c r="I3959" s="200" t="s">
        <v>7016</v>
      </c>
      <c r="J3959" s="201"/>
    </row>
    <row r="3960" spans="1:10" ht="15" customHeight="1">
      <c r="A3960" s="257"/>
      <c r="B3960" s="430"/>
      <c r="C3960" s="430"/>
      <c r="D3960" s="430"/>
      <c r="E3960" s="430"/>
      <c r="F3960" s="1180"/>
      <c r="G3960" s="1180" t="s">
        <v>19</v>
      </c>
      <c r="H3960" s="1180" t="s">
        <v>20</v>
      </c>
      <c r="I3960" s="204" t="s">
        <v>19</v>
      </c>
      <c r="J3960" s="206" t="s">
        <v>20</v>
      </c>
    </row>
    <row r="3961" spans="1:10" ht="15" customHeight="1">
      <c r="A3961" s="233"/>
      <c r="B3961" s="161"/>
      <c r="C3961" s="161"/>
      <c r="D3961" s="161"/>
      <c r="E3961" s="247"/>
      <c r="F3961" s="248"/>
      <c r="G3961" s="248"/>
      <c r="H3961" s="248"/>
      <c r="I3961" s="214"/>
      <c r="J3961" s="227"/>
    </row>
    <row r="3962" spans="1:10" ht="15" customHeight="1">
      <c r="A3962" s="233" t="s">
        <v>245</v>
      </c>
      <c r="B3962" s="161"/>
      <c r="C3962" s="161">
        <v>88264</v>
      </c>
      <c r="D3962" s="161" t="str">
        <f>IF(B3962="SEPLAG",VLOOKUP(COMPOSIÇÕES!C3962,'MAPA COMPARATIVO'!A:B,2,FALSE),VLOOKUP(C3962,'NAO DESO'!A:B,2,0))</f>
        <v>ELETRICISTA COM ENCARGOS COMPLEMENTARES</v>
      </c>
      <c r="E3962" s="247" t="s">
        <v>16</v>
      </c>
      <c r="F3962" s="248">
        <v>0.36</v>
      </c>
      <c r="G3962" s="242" t="str">
        <f>IF(B3962="SEPLAG",VLOOKUP(CONCATENATE("MEDIANA - ",C3962),COTAÇÃO,5,FALSE),VLOOKUP($C3962,'NAO DESO'!$A:$D,4,))</f>
        <v>21,87</v>
      </c>
      <c r="H3962" s="242">
        <f>TRUNC(F3962*G3962,2)</f>
        <v>7.87</v>
      </c>
      <c r="I3962" s="54" t="str">
        <f>IF(B3962="SEPLAG",VLOOKUP(CONCATENATE("MEDIANA - ",C3962),COTAÇÃO,5,FALSE),VLOOKUP($C3962,DESON!$A:$D,4,))</f>
        <v>19,53</v>
      </c>
      <c r="J3962" s="209">
        <f>TRUNC(F3962*I3962,2)</f>
        <v>7.03</v>
      </c>
    </row>
    <row r="3963" spans="1:10" ht="15" customHeight="1">
      <c r="A3963" s="233" t="s">
        <v>245</v>
      </c>
      <c r="B3963" s="161"/>
      <c r="C3963" s="161">
        <v>88316</v>
      </c>
      <c r="D3963" s="161" t="str">
        <f>IF(B3963="SEPLAG",VLOOKUP(COMPOSIÇÕES!C3963,'MAPA COMPARATIVO'!A:B,2,FALSE),VLOOKUP(C3963,'NAO DESO'!A:B,2,0))</f>
        <v>SERVENTE COM ENCARGOS COMPLEMENTARES</v>
      </c>
      <c r="E3963" s="247" t="s">
        <v>16</v>
      </c>
      <c r="F3963" s="248">
        <v>0.43</v>
      </c>
      <c r="G3963" s="242" t="str">
        <f>IF(B3963="SEPLAG",VLOOKUP(CONCATENATE("MEDIANA - ",C3963),COTAÇÃO,5,FALSE),VLOOKUP($C3963,'NAO DESO'!$A:$D,4,))</f>
        <v>16,83</v>
      </c>
      <c r="H3963" s="242">
        <f>TRUNC(F3963*G3963,2)</f>
        <v>7.23</v>
      </c>
      <c r="I3963" s="54" t="str">
        <f>IF(B3963="SEPLAG",VLOOKUP(CONCATENATE("MEDIANA - ",C3963),COTAÇÃO,5,FALSE),VLOOKUP($C3963,DESON!$A:$D,4,))</f>
        <v>15,16</v>
      </c>
      <c r="J3963" s="209">
        <f>TRUNC(F3963*I3963,2)</f>
        <v>6.51</v>
      </c>
    </row>
    <row r="3964" spans="1:10" ht="39" customHeight="1">
      <c r="A3964" s="233" t="s">
        <v>245</v>
      </c>
      <c r="B3964" s="161"/>
      <c r="C3964" s="161">
        <v>100761</v>
      </c>
      <c r="D3964" s="161" t="str">
        <f>IF(B3964="SEPLAG",VLOOKUP(COMPOSIÇÕES!C3964,'MAPA COMPARATIVO'!A:B,2,FALSE),VLOOKUP(C3964,'NAO DESO'!A:B,2,0))</f>
        <v>PINTURA COM TINTA ALQUÍDICA DE ACABAMENTO (ESMALTE SINTÉTICO FOSCO) PULVERIZADA SOBRE SUPERFÍCIES METÁLICAS (EXCETO PERFIL) EXECUTADO EM OBRA (02 DEMÃOS). AF_01/2020_P</v>
      </c>
      <c r="E3964" s="247" t="s">
        <v>12</v>
      </c>
      <c r="F3964" s="248">
        <v>1</v>
      </c>
      <c r="G3964" s="242" t="str">
        <f>IF(B3964="SEPLAG",VLOOKUP(CONCATENATE("MEDIANA - ",C3964),COTAÇÃO,5,FALSE),VLOOKUP($C3964,'NAO DESO'!$A:$D,4,))</f>
        <v>37,28</v>
      </c>
      <c r="H3964" s="242">
        <f>TRUNC(F3964*G3964,2)</f>
        <v>37.28</v>
      </c>
      <c r="I3964" s="54" t="str">
        <f>IF(B3964="SEPLAG",VLOOKUP(CONCATENATE("MEDIANA - ",C3964),COTAÇÃO,5,FALSE),VLOOKUP($C3964,DESON!$A:$D,4,))</f>
        <v>34,93</v>
      </c>
      <c r="J3964" s="209">
        <f>TRUNC(F3964*I3964,2)</f>
        <v>34.93</v>
      </c>
    </row>
    <row r="3965" spans="1:10" ht="15" customHeight="1">
      <c r="A3965" s="233" t="s">
        <v>188</v>
      </c>
      <c r="B3965" s="161" t="s">
        <v>14504</v>
      </c>
      <c r="C3965" s="161" t="s">
        <v>14434</v>
      </c>
      <c r="D3965" s="161" t="str">
        <f>IF(B3965="SEPLAG",VLOOKUP(COMPOSIÇÕES!C3965,'MAPA COMPARATIVO'!A:B,2,FALSE),VLOOKUP(C3965,'NAO DESO'!A:B,2,0))</f>
        <v>CRUZETA HORIZONTAL 90º P/ELETROCALHA 100X50 MM</v>
      </c>
      <c r="E3965" s="247" t="s">
        <v>24</v>
      </c>
      <c r="F3965" s="248">
        <v>1</v>
      </c>
      <c r="G3965" s="242">
        <f>IF(B3965="SEPLAG",VLOOKUP(CONCATENATE("MEDIANA - ",C3965),COTAÇÃO,5,FALSE),VLOOKUP($C3965,'NAO DESO'!$A:$D,4,))</f>
        <v>64.55</v>
      </c>
      <c r="H3965" s="242">
        <f>TRUNC(F3965*G3965,2)</f>
        <v>64.55</v>
      </c>
      <c r="I3965" s="54">
        <f>IF(B3965="SEPLAG",VLOOKUP(CONCATENATE("MEDIANA - ",C3965),COTAÇÃO,5,FALSE),VLOOKUP($C3965,DESON!$A:$D,4,))</f>
        <v>64.55</v>
      </c>
      <c r="J3965" s="209">
        <f>TRUNC(F3965*I3965,2)</f>
        <v>64.55</v>
      </c>
    </row>
    <row r="3966" spans="1:10" ht="15" customHeight="1">
      <c r="A3966" s="210" t="str">
        <f>CONCATENATE("TOTAL DO ITEM NÃO DESON. - ",C3959)</f>
        <v>TOTAL DO ITEM NÃO DESON. - SEPLAG ELE 75</v>
      </c>
      <c r="B3966" s="432"/>
      <c r="C3966" s="432"/>
      <c r="D3966" s="432"/>
      <c r="E3966" s="430"/>
      <c r="F3966" s="1189"/>
      <c r="G3966" s="1189"/>
      <c r="H3966" s="1189">
        <f>SUM(H3962:H3965)</f>
        <v>116.93</v>
      </c>
      <c r="I3966" s="213"/>
      <c r="J3966" s="259"/>
    </row>
    <row r="3967" spans="1:10" ht="15.75" customHeight="1" thickBot="1">
      <c r="A3967" s="216" t="str">
        <f>CONCATENATE("TOTAL DO ITEM DESON. - ",C3959)</f>
        <v>TOTAL DO ITEM DESON. - SEPLAG ELE 75</v>
      </c>
      <c r="B3967" s="1148"/>
      <c r="C3967" s="1148"/>
      <c r="D3967" s="1148"/>
      <c r="E3967" s="1142"/>
      <c r="F3967" s="1190"/>
      <c r="G3967" s="1190"/>
      <c r="H3967" s="1190"/>
      <c r="I3967" s="228"/>
      <c r="J3967" s="219">
        <f>SUM(J3962:J3966)</f>
        <v>113.02</v>
      </c>
    </row>
    <row r="3968" spans="1:10" ht="15" customHeight="1" thickBot="1">
      <c r="A3968" s="421"/>
      <c r="B3968" s="1138"/>
      <c r="C3968" s="1138"/>
      <c r="D3968" s="1138"/>
      <c r="E3968" s="1154"/>
      <c r="F3968" s="1196"/>
      <c r="G3968" s="1196"/>
      <c r="H3968" s="1196"/>
      <c r="I3968" s="423"/>
      <c r="J3968" s="422"/>
    </row>
    <row r="3969" spans="1:10" ht="15" customHeight="1">
      <c r="A3969" s="256"/>
      <c r="B3969" s="1152"/>
      <c r="C3969" s="1152" t="s">
        <v>13350</v>
      </c>
      <c r="D3969" s="152" t="s">
        <v>13357</v>
      </c>
      <c r="E3969" s="1152" t="s">
        <v>24</v>
      </c>
      <c r="F3969" s="1177" t="s">
        <v>18</v>
      </c>
      <c r="G3969" s="1178" t="s">
        <v>7015</v>
      </c>
      <c r="H3969" s="1179"/>
      <c r="I3969" s="200" t="s">
        <v>7016</v>
      </c>
      <c r="J3969" s="201"/>
    </row>
    <row r="3970" spans="1:10" ht="15" customHeight="1">
      <c r="A3970" s="257"/>
      <c r="B3970" s="430"/>
      <c r="C3970" s="430"/>
      <c r="D3970" s="430"/>
      <c r="E3970" s="430"/>
      <c r="F3970" s="1180"/>
      <c r="G3970" s="1180" t="s">
        <v>19</v>
      </c>
      <c r="H3970" s="1180" t="s">
        <v>20</v>
      </c>
      <c r="I3970" s="204" t="s">
        <v>19</v>
      </c>
      <c r="J3970" s="206" t="s">
        <v>20</v>
      </c>
    </row>
    <row r="3971" spans="1:10" ht="15" customHeight="1">
      <c r="A3971" s="233"/>
      <c r="B3971" s="161"/>
      <c r="C3971" s="161"/>
      <c r="D3971" s="161"/>
      <c r="E3971" s="247"/>
      <c r="F3971" s="248"/>
      <c r="G3971" s="248"/>
      <c r="H3971" s="248"/>
      <c r="I3971" s="214"/>
      <c r="J3971" s="227"/>
    </row>
    <row r="3972" spans="1:10" ht="15" customHeight="1">
      <c r="A3972" s="233" t="s">
        <v>245</v>
      </c>
      <c r="B3972" s="161"/>
      <c r="C3972" s="161">
        <v>88264</v>
      </c>
      <c r="D3972" s="161" t="str">
        <f>IF(B3972="SEPLAG",VLOOKUP(COMPOSIÇÕES!C3972,'MAPA COMPARATIVO'!A:B,2,FALSE),VLOOKUP(C3972,'NAO DESO'!A:B,2,0))</f>
        <v>ELETRICISTA COM ENCARGOS COMPLEMENTARES</v>
      </c>
      <c r="E3972" s="247" t="s">
        <v>16</v>
      </c>
      <c r="F3972" s="248">
        <v>0.36</v>
      </c>
      <c r="G3972" s="242" t="str">
        <f>IF(B3972="SEPLAG",VLOOKUP(CONCATENATE("MEDIANA - ",C3972),COTAÇÃO,5,FALSE),VLOOKUP($C3972,'NAO DESO'!$A:$D,4,))</f>
        <v>21,87</v>
      </c>
      <c r="H3972" s="242">
        <f>TRUNC(F3972*G3972,2)</f>
        <v>7.87</v>
      </c>
      <c r="I3972" s="54" t="str">
        <f>IF(B3972="SEPLAG",VLOOKUP(CONCATENATE("MEDIANA - ",C3972),COTAÇÃO,5,FALSE),VLOOKUP($C3972,DESON!$A:$D,4,))</f>
        <v>19,53</v>
      </c>
      <c r="J3972" s="209">
        <f>TRUNC(F3972*I3972,2)</f>
        <v>7.03</v>
      </c>
    </row>
    <row r="3973" spans="1:10" ht="15" customHeight="1">
      <c r="A3973" s="233" t="s">
        <v>245</v>
      </c>
      <c r="B3973" s="161"/>
      <c r="C3973" s="161">
        <v>88316</v>
      </c>
      <c r="D3973" s="161" t="str">
        <f>IF(B3973="SEPLAG",VLOOKUP(COMPOSIÇÕES!C3973,'MAPA COMPARATIVO'!A:B,2,FALSE),VLOOKUP(C3973,'NAO DESO'!A:B,2,0))</f>
        <v>SERVENTE COM ENCARGOS COMPLEMENTARES</v>
      </c>
      <c r="E3973" s="247" t="s">
        <v>16</v>
      </c>
      <c r="F3973" s="248">
        <v>0.43</v>
      </c>
      <c r="G3973" s="242" t="str">
        <f>IF(B3973="SEPLAG",VLOOKUP(CONCATENATE("MEDIANA - ",C3973),COTAÇÃO,5,FALSE),VLOOKUP($C3973,'NAO DESO'!$A:$D,4,))</f>
        <v>16,83</v>
      </c>
      <c r="H3973" s="242">
        <f>TRUNC(F3973*G3973,2)</f>
        <v>7.23</v>
      </c>
      <c r="I3973" s="54" t="str">
        <f>IF(B3973="SEPLAG",VLOOKUP(CONCATENATE("MEDIANA - ",C3973),COTAÇÃO,5,FALSE),VLOOKUP($C3973,DESON!$A:$D,4,))</f>
        <v>15,16</v>
      </c>
      <c r="J3973" s="209">
        <f>TRUNC(F3973*I3973,2)</f>
        <v>6.51</v>
      </c>
    </row>
    <row r="3974" spans="1:10" ht="39" customHeight="1">
      <c r="A3974" s="233" t="s">
        <v>245</v>
      </c>
      <c r="B3974" s="161"/>
      <c r="C3974" s="161">
        <v>100761</v>
      </c>
      <c r="D3974" s="161" t="str">
        <f>IF(B3974="SEPLAG",VLOOKUP(COMPOSIÇÕES!C3974,'MAPA COMPARATIVO'!A:B,2,FALSE),VLOOKUP(C3974,'NAO DESO'!A:B,2,0))</f>
        <v>PINTURA COM TINTA ALQUÍDICA DE ACABAMENTO (ESMALTE SINTÉTICO FOSCO) PULVERIZADA SOBRE SUPERFÍCIES METÁLICAS (EXCETO PERFIL) EXECUTADO EM OBRA (02 DEMÃOS). AF_01/2020_P</v>
      </c>
      <c r="E3974" s="247" t="s">
        <v>12</v>
      </c>
      <c r="F3974" s="248">
        <v>1</v>
      </c>
      <c r="G3974" s="242" t="str">
        <f>IF(B3974="SEPLAG",VLOOKUP(CONCATENATE("MEDIANA - ",C3974),COTAÇÃO,5,FALSE),VLOOKUP($C3974,'NAO DESO'!$A:$D,4,))</f>
        <v>37,28</v>
      </c>
      <c r="H3974" s="242">
        <f>TRUNC(F3974*G3974,2)</f>
        <v>37.28</v>
      </c>
      <c r="I3974" s="54" t="str">
        <f>IF(B3974="SEPLAG",VLOOKUP(CONCATENATE("MEDIANA - ",C3974),COTAÇÃO,5,FALSE),VLOOKUP($C3974,DESON!$A:$D,4,))</f>
        <v>34,93</v>
      </c>
      <c r="J3974" s="209">
        <f>TRUNC(F3974*I3974,2)</f>
        <v>34.93</v>
      </c>
    </row>
    <row r="3975" spans="1:10" ht="15" customHeight="1">
      <c r="A3975" s="233" t="s">
        <v>188</v>
      </c>
      <c r="B3975" s="161" t="s">
        <v>14504</v>
      </c>
      <c r="C3975" s="161" t="s">
        <v>14435</v>
      </c>
      <c r="D3975" s="161" t="str">
        <f>IF(B3975="SEPLAG",VLOOKUP(COMPOSIÇÕES!C3975,'MAPA COMPARATIVO'!A:B,2,FALSE),VLOOKUP(C3975,'NAO DESO'!A:B,2,0))</f>
        <v>CURVA HORIZONTAL 90º P/ELETROCALHA 200X50 MM</v>
      </c>
      <c r="E3975" s="247" t="s">
        <v>24</v>
      </c>
      <c r="F3975" s="248">
        <v>1</v>
      </c>
      <c r="G3975" s="242">
        <f>IF(B3975="SEPLAG",VLOOKUP(CONCATENATE("MEDIANA - ",C3975),COTAÇÃO,5,FALSE),VLOOKUP($C3975,'NAO DESO'!$A:$D,4,))</f>
        <v>56.6</v>
      </c>
      <c r="H3975" s="242">
        <f>TRUNC(F3975*G3975,2)</f>
        <v>56.6</v>
      </c>
      <c r="I3975" s="54">
        <f>IF(B3975="SEPLAG",VLOOKUP(CONCATENATE("MEDIANA - ",C3975),COTAÇÃO,5,FALSE),VLOOKUP($C3975,DESON!$A:$D,4,))</f>
        <v>56.6</v>
      </c>
      <c r="J3975" s="209">
        <f>TRUNC(F3975*I3975,2)</f>
        <v>56.6</v>
      </c>
    </row>
    <row r="3976" spans="1:10" ht="15" customHeight="1">
      <c r="A3976" s="210" t="str">
        <f>CONCATENATE("TOTAL DO ITEM NÃO DESON. - ",C3969)</f>
        <v>TOTAL DO ITEM NÃO DESON. - SEPLAG ELE 76</v>
      </c>
      <c r="B3976" s="432"/>
      <c r="C3976" s="432"/>
      <c r="D3976" s="432"/>
      <c r="E3976" s="430"/>
      <c r="F3976" s="1189"/>
      <c r="G3976" s="1189"/>
      <c r="H3976" s="1189">
        <f>SUM(H3972:H3975)</f>
        <v>108.98</v>
      </c>
      <c r="I3976" s="213"/>
      <c r="J3976" s="259"/>
    </row>
    <row r="3977" spans="1:10" ht="15.75" customHeight="1" thickBot="1">
      <c r="A3977" s="216" t="str">
        <f>CONCATENATE("TOTAL DO ITEM DESON. - ",C3969)</f>
        <v>TOTAL DO ITEM DESON. - SEPLAG ELE 76</v>
      </c>
      <c r="B3977" s="1148"/>
      <c r="C3977" s="1148"/>
      <c r="D3977" s="1148"/>
      <c r="E3977" s="1142"/>
      <c r="F3977" s="1190"/>
      <c r="G3977" s="1190"/>
      <c r="H3977" s="1190"/>
      <c r="I3977" s="228"/>
      <c r="J3977" s="219">
        <f>SUM(J3972:J3976)</f>
        <v>105.07</v>
      </c>
    </row>
    <row r="3978" spans="1:10" ht="15" customHeight="1" thickBot="1">
      <c r="A3978" s="421"/>
      <c r="B3978" s="1138"/>
      <c r="C3978" s="1138"/>
      <c r="D3978" s="1138"/>
      <c r="E3978" s="1154"/>
      <c r="F3978" s="1196"/>
      <c r="G3978" s="1196"/>
      <c r="H3978" s="1196"/>
      <c r="I3978" s="423"/>
      <c r="J3978" s="422"/>
    </row>
    <row r="3979" spans="1:10" ht="15" customHeight="1">
      <c r="A3979" s="256"/>
      <c r="B3979" s="1152"/>
      <c r="C3979" s="1152" t="s">
        <v>13358</v>
      </c>
      <c r="D3979" s="152" t="s">
        <v>13359</v>
      </c>
      <c r="E3979" s="1152" t="s">
        <v>24</v>
      </c>
      <c r="F3979" s="1177" t="s">
        <v>18</v>
      </c>
      <c r="G3979" s="1178" t="s">
        <v>7015</v>
      </c>
      <c r="H3979" s="1179"/>
      <c r="I3979" s="200" t="s">
        <v>7016</v>
      </c>
      <c r="J3979" s="201"/>
    </row>
    <row r="3980" spans="1:10" ht="15" customHeight="1">
      <c r="A3980" s="257"/>
      <c r="B3980" s="430"/>
      <c r="C3980" s="430"/>
      <c r="D3980" s="430"/>
      <c r="E3980" s="430"/>
      <c r="F3980" s="1180"/>
      <c r="G3980" s="1180" t="s">
        <v>19</v>
      </c>
      <c r="H3980" s="1180" t="s">
        <v>20</v>
      </c>
      <c r="I3980" s="204" t="s">
        <v>19</v>
      </c>
      <c r="J3980" s="206" t="s">
        <v>20</v>
      </c>
    </row>
    <row r="3981" spans="1:10" ht="15" customHeight="1">
      <c r="A3981" s="233"/>
      <c r="B3981" s="161"/>
      <c r="C3981" s="161"/>
      <c r="D3981" s="161"/>
      <c r="E3981" s="247"/>
      <c r="F3981" s="248"/>
      <c r="G3981" s="248"/>
      <c r="H3981" s="248"/>
      <c r="I3981" s="214"/>
      <c r="J3981" s="227"/>
    </row>
    <row r="3982" spans="1:10" ht="15" customHeight="1">
      <c r="A3982" s="233" t="s">
        <v>245</v>
      </c>
      <c r="B3982" s="161"/>
      <c r="C3982" s="161">
        <v>88264</v>
      </c>
      <c r="D3982" s="161" t="str">
        <f>IF(B3982="SEPLAG",VLOOKUP(COMPOSIÇÕES!C3982,'MAPA COMPARATIVO'!A:B,2,FALSE),VLOOKUP(C3982,'NAO DESO'!A:B,2,0))</f>
        <v>ELETRICISTA COM ENCARGOS COMPLEMENTARES</v>
      </c>
      <c r="E3982" s="247" t="s">
        <v>16</v>
      </c>
      <c r="F3982" s="248">
        <v>0.36</v>
      </c>
      <c r="G3982" s="242" t="str">
        <f>IF(B3982="SEPLAG",VLOOKUP(CONCATENATE("MEDIANA - ",C3982),COTAÇÃO,5,FALSE),VLOOKUP($C3982,'NAO DESO'!$A:$D,4,))</f>
        <v>21,87</v>
      </c>
      <c r="H3982" s="242">
        <f>TRUNC(F3982*G3982,2)</f>
        <v>7.87</v>
      </c>
      <c r="I3982" s="54" t="str">
        <f>IF(B3982="SEPLAG",VLOOKUP(CONCATENATE("MEDIANA - ",C3982),COTAÇÃO,5,FALSE),VLOOKUP($C3982,DESON!$A:$D,4,))</f>
        <v>19,53</v>
      </c>
      <c r="J3982" s="209">
        <f>TRUNC(F3982*I3982,2)</f>
        <v>7.03</v>
      </c>
    </row>
    <row r="3983" spans="1:10" ht="15" customHeight="1">
      <c r="A3983" s="233" t="s">
        <v>245</v>
      </c>
      <c r="B3983" s="161"/>
      <c r="C3983" s="161">
        <v>88316</v>
      </c>
      <c r="D3983" s="161" t="str">
        <f>IF(B3983="SEPLAG",VLOOKUP(COMPOSIÇÕES!C3983,'MAPA COMPARATIVO'!A:B,2,FALSE),VLOOKUP(C3983,'NAO DESO'!A:B,2,0))</f>
        <v>SERVENTE COM ENCARGOS COMPLEMENTARES</v>
      </c>
      <c r="E3983" s="247" t="s">
        <v>16</v>
      </c>
      <c r="F3983" s="248">
        <v>0.43</v>
      </c>
      <c r="G3983" s="242" t="str">
        <f>IF(B3983="SEPLAG",VLOOKUP(CONCATENATE("MEDIANA - ",C3983),COTAÇÃO,5,FALSE),VLOOKUP($C3983,'NAO DESO'!$A:$D,4,))</f>
        <v>16,83</v>
      </c>
      <c r="H3983" s="242">
        <f>TRUNC(F3983*G3983,2)</f>
        <v>7.23</v>
      </c>
      <c r="I3983" s="54" t="str">
        <f>IF(B3983="SEPLAG",VLOOKUP(CONCATENATE("MEDIANA - ",C3983),COTAÇÃO,5,FALSE),VLOOKUP($C3983,DESON!$A:$D,4,))</f>
        <v>15,16</v>
      </c>
      <c r="J3983" s="209">
        <f>TRUNC(F3983*I3983,2)</f>
        <v>6.51</v>
      </c>
    </row>
    <row r="3984" spans="1:10" ht="39" customHeight="1">
      <c r="A3984" s="233" t="s">
        <v>245</v>
      </c>
      <c r="B3984" s="161"/>
      <c r="C3984" s="161">
        <v>100761</v>
      </c>
      <c r="D3984" s="161" t="str">
        <f>IF(B3984="SEPLAG",VLOOKUP(COMPOSIÇÕES!C3984,'MAPA COMPARATIVO'!A:B,2,FALSE),VLOOKUP(C3984,'NAO DESO'!A:B,2,0))</f>
        <v>PINTURA COM TINTA ALQUÍDICA DE ACABAMENTO (ESMALTE SINTÉTICO FOSCO) PULVERIZADA SOBRE SUPERFÍCIES METÁLICAS (EXCETO PERFIL) EXECUTADO EM OBRA (02 DEMÃOS). AF_01/2020_P</v>
      </c>
      <c r="E3984" s="247" t="s">
        <v>12</v>
      </c>
      <c r="F3984" s="248">
        <v>1</v>
      </c>
      <c r="G3984" s="242" t="str">
        <f>IF(B3984="SEPLAG",VLOOKUP(CONCATENATE("MEDIANA - ",C3984),COTAÇÃO,5,FALSE),VLOOKUP($C3984,'NAO DESO'!$A:$D,4,))</f>
        <v>37,28</v>
      </c>
      <c r="H3984" s="242">
        <f>TRUNC(F3984*G3984,2)</f>
        <v>37.28</v>
      </c>
      <c r="I3984" s="54" t="str">
        <f>IF(B3984="SEPLAG",VLOOKUP(CONCATENATE("MEDIANA - ",C3984),COTAÇÃO,5,FALSE),VLOOKUP($C3984,DESON!$A:$D,4,))</f>
        <v>34,93</v>
      </c>
      <c r="J3984" s="209">
        <f>TRUNC(F3984*I3984,2)</f>
        <v>34.93</v>
      </c>
    </row>
    <row r="3985" spans="1:10" ht="15" customHeight="1">
      <c r="A3985" s="233" t="s">
        <v>188</v>
      </c>
      <c r="B3985" s="161" t="s">
        <v>14504</v>
      </c>
      <c r="C3985" s="161" t="s">
        <v>14435</v>
      </c>
      <c r="D3985" s="161" t="str">
        <f>IF(B3985="SEPLAG",VLOOKUP(COMPOSIÇÕES!C3985,'MAPA COMPARATIVO'!A:B,2,FALSE),VLOOKUP(C3985,'NAO DESO'!A:B,2,0))</f>
        <v>CURVA HORIZONTAL 90º P/ELETROCALHA 200X50 MM</v>
      </c>
      <c r="E3985" s="247" t="s">
        <v>24</v>
      </c>
      <c r="F3985" s="248">
        <v>1</v>
      </c>
      <c r="G3985" s="242">
        <f>IF(B3985="SEPLAG",VLOOKUP(CONCATENATE("MEDIANA - ",C3985),COTAÇÃO,5,FALSE),VLOOKUP($C3985,'NAO DESO'!$A:$D,4,))</f>
        <v>56.6</v>
      </c>
      <c r="H3985" s="242">
        <f>TRUNC(F3985*G3985,2)</f>
        <v>56.6</v>
      </c>
      <c r="I3985" s="54">
        <f>IF(B3985="SEPLAG",VLOOKUP(CONCATENATE("MEDIANA - ",C3985),COTAÇÃO,5,FALSE),VLOOKUP($C3985,DESON!$A:$D,4,))</f>
        <v>56.6</v>
      </c>
      <c r="J3985" s="209">
        <f>TRUNC(F3985*I3985,2)</f>
        <v>56.6</v>
      </c>
    </row>
    <row r="3986" spans="1:10" ht="15" customHeight="1">
      <c r="A3986" s="210" t="str">
        <f>CONCATENATE("TOTAL DO ITEM NÃO DESON. - ",C3979)</f>
        <v>TOTAL DO ITEM NÃO DESON. - SEPLAG ELE 77</v>
      </c>
      <c r="B3986" s="432"/>
      <c r="C3986" s="432"/>
      <c r="D3986" s="432"/>
      <c r="E3986" s="430"/>
      <c r="F3986" s="1189"/>
      <c r="G3986" s="1189"/>
      <c r="H3986" s="1189">
        <f>SUM(H3982:H3985)</f>
        <v>108.98</v>
      </c>
      <c r="I3986" s="213"/>
      <c r="J3986" s="259"/>
    </row>
    <row r="3987" spans="1:10" ht="15.75" customHeight="1" thickBot="1">
      <c r="A3987" s="216" t="str">
        <f>CONCATENATE("TOTAL DO ITEM DESON. - ",C3979)</f>
        <v>TOTAL DO ITEM DESON. - SEPLAG ELE 77</v>
      </c>
      <c r="B3987" s="1148"/>
      <c r="C3987" s="1148"/>
      <c r="D3987" s="1148"/>
      <c r="E3987" s="1142"/>
      <c r="F3987" s="1190"/>
      <c r="G3987" s="1190"/>
      <c r="H3987" s="1190"/>
      <c r="I3987" s="228"/>
      <c r="J3987" s="219">
        <f>SUM(J3982:J3986)</f>
        <v>105.07</v>
      </c>
    </row>
    <row r="3988" spans="1:10" ht="15" customHeight="1" thickBot="1">
      <c r="A3988" s="421"/>
      <c r="B3988" s="1138"/>
      <c r="C3988" s="1138"/>
      <c r="D3988" s="1138"/>
      <c r="E3988" s="1154"/>
      <c r="F3988" s="1196"/>
      <c r="G3988" s="1196"/>
      <c r="H3988" s="1196"/>
      <c r="I3988" s="423"/>
      <c r="J3988" s="422"/>
    </row>
    <row r="3989" spans="1:10" ht="15" customHeight="1">
      <c r="A3989" s="256"/>
      <c r="B3989" s="1152"/>
      <c r="C3989" s="1152" t="s">
        <v>13360</v>
      </c>
      <c r="D3989" s="152" t="s">
        <v>13361</v>
      </c>
      <c r="E3989" s="1152" t="s">
        <v>24</v>
      </c>
      <c r="F3989" s="1177" t="s">
        <v>18</v>
      </c>
      <c r="G3989" s="1178" t="s">
        <v>7015</v>
      </c>
      <c r="H3989" s="1179"/>
      <c r="I3989" s="200" t="s">
        <v>7016</v>
      </c>
      <c r="J3989" s="201"/>
    </row>
    <row r="3990" spans="1:10" ht="15" customHeight="1">
      <c r="A3990" s="257"/>
      <c r="B3990" s="430"/>
      <c r="C3990" s="430"/>
      <c r="D3990" s="430"/>
      <c r="E3990" s="430"/>
      <c r="F3990" s="1180"/>
      <c r="G3990" s="1180" t="s">
        <v>19</v>
      </c>
      <c r="H3990" s="1180" t="s">
        <v>20</v>
      </c>
      <c r="I3990" s="204" t="s">
        <v>19</v>
      </c>
      <c r="J3990" s="206" t="s">
        <v>20</v>
      </c>
    </row>
    <row r="3991" spans="1:10" ht="15" customHeight="1">
      <c r="A3991" s="233"/>
      <c r="B3991" s="161"/>
      <c r="C3991" s="161"/>
      <c r="D3991" s="161"/>
      <c r="E3991" s="247"/>
      <c r="F3991" s="248"/>
      <c r="G3991" s="248"/>
      <c r="H3991" s="248"/>
      <c r="I3991" s="214"/>
      <c r="J3991" s="227"/>
    </row>
    <row r="3992" spans="1:10" ht="15" customHeight="1">
      <c r="A3992" s="233" t="s">
        <v>245</v>
      </c>
      <c r="B3992" s="161"/>
      <c r="C3992" s="161">
        <v>88264</v>
      </c>
      <c r="D3992" s="161" t="str">
        <f>IF(B3992="SEPLAG",VLOOKUP(COMPOSIÇÕES!C3992,'MAPA COMPARATIVO'!A:B,2,FALSE),VLOOKUP(C3992,'NAO DESO'!A:B,2,0))</f>
        <v>ELETRICISTA COM ENCARGOS COMPLEMENTARES</v>
      </c>
      <c r="E3992" s="247" t="s">
        <v>16</v>
      </c>
      <c r="F3992" s="248">
        <v>0.36</v>
      </c>
      <c r="G3992" s="242" t="str">
        <f>IF(B3992="SEPLAG",VLOOKUP(CONCATENATE("MEDIANA - ",C3992),COTAÇÃO,5,FALSE),VLOOKUP($C3992,'NAO DESO'!$A:$D,4,))</f>
        <v>21,87</v>
      </c>
      <c r="H3992" s="242">
        <f>TRUNC(F3992*G3992,2)</f>
        <v>7.87</v>
      </c>
      <c r="I3992" s="54" t="str">
        <f>IF(B3992="SEPLAG",VLOOKUP(CONCATENATE("MEDIANA - ",C3992),COTAÇÃO,5,FALSE),VLOOKUP($C3992,DESON!$A:$D,4,))</f>
        <v>19,53</v>
      </c>
      <c r="J3992" s="209">
        <f>TRUNC(F3992*I3992,2)</f>
        <v>7.03</v>
      </c>
    </row>
    <row r="3993" spans="1:10" ht="15" customHeight="1">
      <c r="A3993" s="233" t="s">
        <v>245</v>
      </c>
      <c r="B3993" s="161"/>
      <c r="C3993" s="161">
        <v>88316</v>
      </c>
      <c r="D3993" s="161" t="str">
        <f>IF(B3993="SEPLAG",VLOOKUP(COMPOSIÇÕES!C3993,'MAPA COMPARATIVO'!A:B,2,FALSE),VLOOKUP(C3993,'NAO DESO'!A:B,2,0))</f>
        <v>SERVENTE COM ENCARGOS COMPLEMENTARES</v>
      </c>
      <c r="E3993" s="247" t="s">
        <v>16</v>
      </c>
      <c r="F3993" s="248">
        <v>0.43</v>
      </c>
      <c r="G3993" s="242" t="str">
        <f>IF(B3993="SEPLAG",VLOOKUP(CONCATENATE("MEDIANA - ",C3993),COTAÇÃO,5,FALSE),VLOOKUP($C3993,'NAO DESO'!$A:$D,4,))</f>
        <v>16,83</v>
      </c>
      <c r="H3993" s="242">
        <f>TRUNC(F3993*G3993,2)</f>
        <v>7.23</v>
      </c>
      <c r="I3993" s="54" t="str">
        <f>IF(B3993="SEPLAG",VLOOKUP(CONCATENATE("MEDIANA - ",C3993),COTAÇÃO,5,FALSE),VLOOKUP($C3993,DESON!$A:$D,4,))</f>
        <v>15,16</v>
      </c>
      <c r="J3993" s="209">
        <f>TRUNC(F3993*I3993,2)</f>
        <v>6.51</v>
      </c>
    </row>
    <row r="3994" spans="1:10" ht="39" customHeight="1">
      <c r="A3994" s="233" t="s">
        <v>245</v>
      </c>
      <c r="B3994" s="161"/>
      <c r="C3994" s="161">
        <v>100761</v>
      </c>
      <c r="D3994" s="161" t="str">
        <f>IF(B3994="SEPLAG",VLOOKUP(COMPOSIÇÕES!C3994,'MAPA COMPARATIVO'!A:B,2,FALSE),VLOOKUP(C3994,'NAO DESO'!A:B,2,0))</f>
        <v>PINTURA COM TINTA ALQUÍDICA DE ACABAMENTO (ESMALTE SINTÉTICO FOSCO) PULVERIZADA SOBRE SUPERFÍCIES METÁLICAS (EXCETO PERFIL) EXECUTADO EM OBRA (02 DEMÃOS). AF_01/2020_P</v>
      </c>
      <c r="E3994" s="247" t="s">
        <v>12</v>
      </c>
      <c r="F3994" s="248">
        <v>1</v>
      </c>
      <c r="G3994" s="242" t="str">
        <f>IF(B3994="SEPLAG",VLOOKUP(CONCATENATE("MEDIANA - ",C3994),COTAÇÃO,5,FALSE),VLOOKUP($C3994,'NAO DESO'!$A:$D,4,))</f>
        <v>37,28</v>
      </c>
      <c r="H3994" s="242">
        <f>TRUNC(F3994*G3994,2)</f>
        <v>37.28</v>
      </c>
      <c r="I3994" s="54" t="str">
        <f>IF(B3994="SEPLAG",VLOOKUP(CONCATENATE("MEDIANA - ",C3994),COTAÇÃO,5,FALSE),VLOOKUP($C3994,DESON!$A:$D,4,))</f>
        <v>34,93</v>
      </c>
      <c r="J3994" s="209">
        <f>TRUNC(F3994*I3994,2)</f>
        <v>34.93</v>
      </c>
    </row>
    <row r="3995" spans="1:10" ht="15" customHeight="1">
      <c r="A3995" s="233" t="s">
        <v>188</v>
      </c>
      <c r="B3995" s="161" t="s">
        <v>14504</v>
      </c>
      <c r="C3995" s="161" t="s">
        <v>14436</v>
      </c>
      <c r="D3995" s="161" t="str">
        <f>IF(B3995="SEPLAG",VLOOKUP(COMPOSIÇÕES!C3995,'MAPA COMPARATIVO'!A:B,2,FALSE),VLOOKUP(C3995,'NAO DESO'!A:B,2,0))</f>
        <v>CURVAA HORIZONTAL 90º P/ELETROCALHA 50X50 MM</v>
      </c>
      <c r="E3995" s="247" t="s">
        <v>24</v>
      </c>
      <c r="F3995" s="248">
        <v>1</v>
      </c>
      <c r="G3995" s="242">
        <f>IF(B3995="SEPLAG",VLOOKUP(CONCATENATE("MEDIANA - ",C3995),COTAÇÃO,5,FALSE),VLOOKUP($C3995,'NAO DESO'!$A:$D,4,))</f>
        <v>23.25</v>
      </c>
      <c r="H3995" s="242">
        <f>TRUNC(F3995*G3995,2)</f>
        <v>23.25</v>
      </c>
      <c r="I3995" s="54">
        <f>IF(B3995="SEPLAG",VLOOKUP(CONCATENATE("MEDIANA - ",C3995),COTAÇÃO,5,FALSE),VLOOKUP($C3995,DESON!$A:$D,4,))</f>
        <v>23.25</v>
      </c>
      <c r="J3995" s="209">
        <f>TRUNC(F3995*I3995,2)</f>
        <v>23.25</v>
      </c>
    </row>
    <row r="3996" spans="1:10" ht="15" customHeight="1">
      <c r="A3996" s="210" t="str">
        <f>CONCATENATE("TOTAL DO ITEM NÃO DESON. - ",C3989)</f>
        <v>TOTAL DO ITEM NÃO DESON. - SEPLAG ELE 78</v>
      </c>
      <c r="B3996" s="432"/>
      <c r="C3996" s="432"/>
      <c r="D3996" s="432"/>
      <c r="E3996" s="430"/>
      <c r="F3996" s="1189"/>
      <c r="G3996" s="1189"/>
      <c r="H3996" s="1189">
        <f>SUM(H3992:H3995)</f>
        <v>75.63</v>
      </c>
      <c r="I3996" s="213"/>
      <c r="J3996" s="259"/>
    </row>
    <row r="3997" spans="1:10" ht="15.75" customHeight="1" thickBot="1">
      <c r="A3997" s="216" t="str">
        <f>CONCATENATE("TOTAL DO ITEM DESON. - ",C3989)</f>
        <v>TOTAL DO ITEM DESON. - SEPLAG ELE 78</v>
      </c>
      <c r="B3997" s="1148"/>
      <c r="C3997" s="1148"/>
      <c r="D3997" s="1148"/>
      <c r="E3997" s="1142"/>
      <c r="F3997" s="1190"/>
      <c r="G3997" s="1190"/>
      <c r="H3997" s="1190"/>
      <c r="I3997" s="228"/>
      <c r="J3997" s="219">
        <f>SUM(J3992:J3996)</f>
        <v>71.72</v>
      </c>
    </row>
    <row r="3998" spans="1:10" ht="15" customHeight="1" thickBot="1">
      <c r="A3998" s="421"/>
      <c r="B3998" s="1138"/>
      <c r="C3998" s="1138"/>
      <c r="D3998" s="1138"/>
      <c r="E3998" s="1154"/>
      <c r="F3998" s="1196"/>
      <c r="G3998" s="1196"/>
      <c r="H3998" s="1196"/>
      <c r="I3998" s="423"/>
      <c r="J3998" s="422"/>
    </row>
    <row r="3999" spans="1:10" ht="38.25" customHeight="1">
      <c r="A3999" s="256"/>
      <c r="B3999" s="1152"/>
      <c r="C3999" s="1152" t="s">
        <v>13364</v>
      </c>
      <c r="D3999" s="152" t="s">
        <v>13351</v>
      </c>
      <c r="E3999" s="1152" t="s">
        <v>24</v>
      </c>
      <c r="F3999" s="1177" t="s">
        <v>18</v>
      </c>
      <c r="G3999" s="1178" t="s">
        <v>7015</v>
      </c>
      <c r="H3999" s="1179"/>
      <c r="I3999" s="200" t="s">
        <v>7016</v>
      </c>
      <c r="J3999" s="201"/>
    </row>
    <row r="4000" spans="1:10" ht="15" customHeight="1">
      <c r="A4000" s="257"/>
      <c r="B4000" s="430"/>
      <c r="C4000" s="430"/>
      <c r="D4000" s="430"/>
      <c r="E4000" s="430"/>
      <c r="F4000" s="1180"/>
      <c r="G4000" s="1180" t="s">
        <v>19</v>
      </c>
      <c r="H4000" s="1180" t="s">
        <v>20</v>
      </c>
      <c r="I4000" s="204" t="s">
        <v>19</v>
      </c>
      <c r="J4000" s="206" t="s">
        <v>20</v>
      </c>
    </row>
    <row r="4001" spans="1:10" ht="15" customHeight="1">
      <c r="A4001" s="233"/>
      <c r="B4001" s="161"/>
      <c r="C4001" s="161"/>
      <c r="D4001" s="161"/>
      <c r="E4001" s="247"/>
      <c r="F4001" s="248"/>
      <c r="G4001" s="248"/>
      <c r="H4001" s="248"/>
      <c r="I4001" s="214"/>
      <c r="J4001" s="227"/>
    </row>
    <row r="4002" spans="1:10" ht="15" customHeight="1">
      <c r="A4002" s="233" t="s">
        <v>188</v>
      </c>
      <c r="B4002" s="161" t="s">
        <v>14504</v>
      </c>
      <c r="C4002" s="161" t="s">
        <v>14393</v>
      </c>
      <c r="D4002" s="161" t="str">
        <f>IF(B4002="SEPLAG",VLOOKUP(COMPOSIÇÕES!C4002,'MAPA COMPARATIVO'!A:B,2,FALSE),VLOOKUP(C4002,'NAO DESO'!A:B,2,0))</f>
        <v>ARRUELA LISA REDONDA (DIÂMETRO 6,35MM (1/4") PESO/100PÇ: 0,204 KG)</v>
      </c>
      <c r="E4002" s="247" t="s">
        <v>24</v>
      </c>
      <c r="F4002" s="248">
        <v>2.66</v>
      </c>
      <c r="G4002" s="242">
        <f>IF(B4002="SEPLAG",VLOOKUP(CONCATENATE("MEDIANA - ",C4002),COTAÇÃO,5,FALSE),VLOOKUP($C4002,'NAO DESO'!$A:$D,4,))</f>
        <v>0.23</v>
      </c>
      <c r="H4002" s="242">
        <f t="shared" ref="H4002:H4011" si="224">TRUNC(F4002*G4002,2)</f>
        <v>0.61</v>
      </c>
      <c r="I4002" s="54">
        <f>IF(B4002="SEPLAG",VLOOKUP(CONCATENATE("MEDIANA - ",C4002),COTAÇÃO,5,FALSE),VLOOKUP($C4002,DESON!$A:$D,4,))</f>
        <v>0.23</v>
      </c>
      <c r="J4002" s="209">
        <f t="shared" ref="J4002:J4011" si="225">TRUNC(F4002*I4002,2)</f>
        <v>0.61</v>
      </c>
    </row>
    <row r="4003" spans="1:10" ht="15" customHeight="1">
      <c r="A4003" s="233" t="s">
        <v>188</v>
      </c>
      <c r="B4003" s="161" t="s">
        <v>14504</v>
      </c>
      <c r="C4003" s="161" t="s">
        <v>14437</v>
      </c>
      <c r="D4003" s="161" t="str">
        <f>IF(B4003="SEPLAG",VLOOKUP(COMPOSIÇÕES!C4003,'MAPA COMPARATIVO'!A:B,2,FALSE),VLOOKUP(C4003,'NAO DESO'!A:B,2,0))</f>
        <v>ELETROCALHA METÁLICA  N°22 MEDIDAS: 150X50X300MM</v>
      </c>
      <c r="E4003" s="247" t="s">
        <v>250</v>
      </c>
      <c r="F4003" s="248">
        <v>1</v>
      </c>
      <c r="G4003" s="242">
        <f>IF(B4003="SEPLAG",VLOOKUP(CONCATENATE("MEDIANA - ",C4003),COTAÇÃO,5,FALSE),VLOOKUP($C4003,'NAO DESO'!$A:$D,4,))</f>
        <v>108.33</v>
      </c>
      <c r="H4003" s="242">
        <f t="shared" si="224"/>
        <v>108.33</v>
      </c>
      <c r="I4003" s="54">
        <f>IF(B4003="SEPLAG",VLOOKUP(CONCATENATE("MEDIANA - ",C4003),COTAÇÃO,5,FALSE),VLOOKUP($C4003,DESON!$A:$D,4,))</f>
        <v>108.33</v>
      </c>
      <c r="J4003" s="209">
        <f t="shared" si="225"/>
        <v>108.33</v>
      </c>
    </row>
    <row r="4004" spans="1:10" ht="39" customHeight="1">
      <c r="A4004" s="233" t="s">
        <v>188</v>
      </c>
      <c r="B4004" s="161" t="s">
        <v>14504</v>
      </c>
      <c r="C4004" s="161" t="s">
        <v>14395</v>
      </c>
      <c r="D4004" s="161" t="str">
        <f>IF(B4004="SEPLAG",VLOOKUP(COMPOSIÇÕES!C4004,'MAPA COMPARATIVO'!A:B,2,FALSE),VLOOKUP(C4004,'NAO DESO'!A:B,2,0))</f>
        <v>PARAFUSO (ROSCA: INTEIRA APLICAÇÃO: ELETROCALHA E PERFILADO CABEÇA: LENTILHA MATERIAL: INOX ACABAMENTO: CROMADO BITOLA: 1/4" [6,35MM] X1/2" [12,7MM]  PESO/100PÇ: 0,541KG)</v>
      </c>
      <c r="E4004" s="247" t="s">
        <v>24</v>
      </c>
      <c r="F4004" s="248">
        <v>2.66</v>
      </c>
      <c r="G4004" s="242">
        <f>IF(B4004="SEPLAG",VLOOKUP(CONCATENATE("MEDIANA - ",C4004),COTAÇÃO,5,FALSE),VLOOKUP($C4004,'NAO DESO'!$A:$D,4,))</f>
        <v>0.46</v>
      </c>
      <c r="H4004" s="242">
        <f t="shared" si="224"/>
        <v>1.22</v>
      </c>
      <c r="I4004" s="54">
        <f>IF(B4004="SEPLAG",VLOOKUP(CONCATENATE("MEDIANA - ",C4004),COTAÇÃO,5,FALSE),VLOOKUP($C4004,DESON!$A:$D,4,))</f>
        <v>0.46</v>
      </c>
      <c r="J4004" s="209">
        <f t="shared" si="225"/>
        <v>1.22</v>
      </c>
    </row>
    <row r="4005" spans="1:10" ht="26.25" customHeight="1">
      <c r="A4005" s="233" t="s">
        <v>188</v>
      </c>
      <c r="B4005" s="161" t="s">
        <v>14504</v>
      </c>
      <c r="C4005" s="161" t="s">
        <v>14396</v>
      </c>
      <c r="D4005" s="161" t="str">
        <f>IF(B4005="SEPLAG",VLOOKUP(COMPOSIÇÕES!C4005,'MAPA COMPARATIVO'!A:B,2,FALSE),VLOOKUP(C4005,'NAO DESO'!A:B,2,0))</f>
        <v>PORCA SEXTAVADA ( MATERIAL: AÇO|  DIÂMETRO : 6,35MM [1/4"] PESO/100 PÇ : 0,320 KG)</v>
      </c>
      <c r="E4005" s="247" t="s">
        <v>24</v>
      </c>
      <c r="F4005" s="248">
        <v>2.66</v>
      </c>
      <c r="G4005" s="242">
        <f>IF(B4005="SEPLAG",VLOOKUP(CONCATENATE("MEDIANA - ",C4005),COTAÇÃO,5,FALSE),VLOOKUP($C4005,'NAO DESO'!$A:$D,4,))</f>
        <v>0.32</v>
      </c>
      <c r="H4005" s="242">
        <f t="shared" si="224"/>
        <v>0.85</v>
      </c>
      <c r="I4005" s="54">
        <f>IF(B4005="SEPLAG",VLOOKUP(CONCATENATE("MEDIANA - ",C4005),COTAÇÃO,5,FALSE),VLOOKUP($C4005,DESON!$A:$D,4,))</f>
        <v>0.32</v>
      </c>
      <c r="J4005" s="209">
        <f t="shared" si="225"/>
        <v>0.85</v>
      </c>
    </row>
    <row r="4006" spans="1:10" ht="26.25" customHeight="1">
      <c r="A4006" s="233" t="s">
        <v>188</v>
      </c>
      <c r="B4006" s="161" t="s">
        <v>14504</v>
      </c>
      <c r="C4006" s="161" t="s">
        <v>14397</v>
      </c>
      <c r="D4006" s="161" t="str">
        <f>IF(B4006="SEPLAG",VLOOKUP(COMPOSIÇÕES!C4006,'MAPA COMPARATIVO'!A:B,2,FALSE),VLOOKUP(C4006,'NAO DESO'!A:B,2,0))</f>
        <v>TALA RETA (TIPO: AUTOPORTANTE TRATAMENTO: PRÉ-ZINCADO CHAPA: N°18 MEDIDA: 50MM APLICAÇÃO: EMENDA PARA ELETROCALHA)</v>
      </c>
      <c r="E4006" s="247" t="s">
        <v>32</v>
      </c>
      <c r="F4006" s="248">
        <v>2.66</v>
      </c>
      <c r="G4006" s="242">
        <f>IF(B4006="SEPLAG",VLOOKUP(CONCATENATE("MEDIANA - ",C4006),COTAÇÃO,5,FALSE),VLOOKUP($C4006,'NAO DESO'!$A:$D,4,))</f>
        <v>3.3</v>
      </c>
      <c r="H4006" s="242">
        <f t="shared" si="224"/>
        <v>8.77</v>
      </c>
      <c r="I4006" s="54">
        <f>IF(B4006="SEPLAG",VLOOKUP(CONCATENATE("MEDIANA - ",C4006),COTAÇÃO,5,FALSE),VLOOKUP($C4006,DESON!$A:$D,4,))</f>
        <v>3.3</v>
      </c>
      <c r="J4006" s="209">
        <f t="shared" si="225"/>
        <v>8.77</v>
      </c>
    </row>
    <row r="4007" spans="1:10" ht="26.25" customHeight="1">
      <c r="A4007" s="233" t="s">
        <v>188</v>
      </c>
      <c r="B4007" s="161" t="s">
        <v>14504</v>
      </c>
      <c r="C4007" s="161" t="s">
        <v>14398</v>
      </c>
      <c r="D4007" s="161" t="str">
        <f>IF(B4007="SEPLAG",VLOOKUP(COMPOSIÇÕES!C4007,'MAPA COMPARATIVO'!A:B,2,FALSE),VLOOKUP(C4007,'NAO DESO'!A:B,2,0))</f>
        <v>TAMPA PARA ELETROCALHA METÁLICA ( TIPO: ENCAIXE TRATAMENTO: PRÉ- ZINCADO|CHAPA: N°24 MEDIDA: 50MM)</v>
      </c>
      <c r="E4007" s="247" t="s">
        <v>250</v>
      </c>
      <c r="F4007" s="248">
        <v>1</v>
      </c>
      <c r="G4007" s="242">
        <f>IF(B4007="SEPLAG",VLOOKUP(CONCATENATE("MEDIANA - ",C4007),COTAÇÃO,5,FALSE),VLOOKUP($C4007,'NAO DESO'!$A:$D,4,))</f>
        <v>34.92</v>
      </c>
      <c r="H4007" s="242">
        <f t="shared" si="224"/>
        <v>34.92</v>
      </c>
      <c r="I4007" s="54">
        <f>IF(B4007="SEPLAG",VLOOKUP(CONCATENATE("MEDIANA - ",C4007),COTAÇÃO,5,FALSE),VLOOKUP($C4007,DESON!$A:$D,4,))</f>
        <v>34.92</v>
      </c>
      <c r="J4007" s="209">
        <f t="shared" si="225"/>
        <v>34.92</v>
      </c>
    </row>
    <row r="4008" spans="1:10" ht="39" customHeight="1">
      <c r="A4008" s="233" t="s">
        <v>188</v>
      </c>
      <c r="B4008" s="161" t="s">
        <v>14504</v>
      </c>
      <c r="C4008" s="161" t="s">
        <v>14399</v>
      </c>
      <c r="D4008" s="161" t="str">
        <f>IF(B4008="SEPLAG",VLOOKUP(COMPOSIÇÕES!C4008,'MAPA COMPARATIVO'!A:B,2,FALSE),VLOOKUP(C4008,'NAO DESO'!A:B,2,0))</f>
        <v xml:space="preserve">FIXAÇÃO DE ELETROCALHA/LEITO HORIZONTAL COM LARGURA MENOR OU IGUAL A 200 MM EM LAJE, COM SUPORTE EM PERFILADO, INCLUSIVE PERFILADO, VERGALHÃO E ACESSÓRIOS, </v>
      </c>
      <c r="E4008" s="247" t="s">
        <v>250</v>
      </c>
      <c r="F4008" s="248">
        <v>1</v>
      </c>
      <c r="G4008" s="242">
        <f>IF(B4008="SEPLAG",VLOOKUP(CONCATENATE("MEDIANA - ",C4008),COTAÇÃO,5,FALSE),VLOOKUP($C4008,'NAO DESO'!$A:$D,4,))</f>
        <v>10.59</v>
      </c>
      <c r="H4008" s="242">
        <f t="shared" si="224"/>
        <v>10.59</v>
      </c>
      <c r="I4008" s="54">
        <f>IF(B4008="SEPLAG",VLOOKUP(CONCATENATE("MEDIANA - ",C4008),COTAÇÃO,5,FALSE),VLOOKUP($C4008,DESON!$A:$D,4,))</f>
        <v>10.59</v>
      </c>
      <c r="J4008" s="209">
        <f t="shared" si="225"/>
        <v>10.59</v>
      </c>
    </row>
    <row r="4009" spans="1:10" ht="15" customHeight="1">
      <c r="A4009" s="233" t="s">
        <v>245</v>
      </c>
      <c r="B4009" s="161"/>
      <c r="C4009" s="161">
        <v>88247</v>
      </c>
      <c r="D4009" s="161" t="str">
        <f>IF(B4009="SEPLAG",VLOOKUP(COMPOSIÇÕES!C4009,'MAPA COMPARATIVO'!A:B,2,FALSE),VLOOKUP(C4009,'NAO DESO'!A:B,2,0))</f>
        <v>AUXILIAR DE ELETRICISTA COM ENCARGOS COMPLEMENTARES</v>
      </c>
      <c r="E4009" s="247" t="s">
        <v>16</v>
      </c>
      <c r="F4009" s="248">
        <v>0.54</v>
      </c>
      <c r="G4009" s="242" t="str">
        <f>IF(B4009="SEPLAG",VLOOKUP(CONCATENATE("MEDIANA - ",C4009),COTAÇÃO,5,FALSE),VLOOKUP($C4009,'NAO DESO'!$A:$D,4,))</f>
        <v>16,84</v>
      </c>
      <c r="H4009" s="242">
        <f t="shared" si="224"/>
        <v>9.09</v>
      </c>
      <c r="I4009" s="54" t="str">
        <f>IF(B4009="SEPLAG",VLOOKUP(CONCATENATE("MEDIANA - ",C4009),COTAÇÃO,5,FALSE),VLOOKUP($C4009,DESON!$A:$D,4,))</f>
        <v>15,19</v>
      </c>
      <c r="J4009" s="209">
        <f t="shared" si="225"/>
        <v>8.1999999999999993</v>
      </c>
    </row>
    <row r="4010" spans="1:10" ht="15" customHeight="1">
      <c r="A4010" s="233" t="s">
        <v>245</v>
      </c>
      <c r="B4010" s="161"/>
      <c r="C4010" s="161">
        <v>88264</v>
      </c>
      <c r="D4010" s="161" t="str">
        <f>IF(B4010="SEPLAG",VLOOKUP(COMPOSIÇÕES!C4010,'MAPA COMPARATIVO'!A:B,2,FALSE),VLOOKUP(C4010,'NAO DESO'!A:B,2,0))</f>
        <v>ELETRICISTA COM ENCARGOS COMPLEMENTARES</v>
      </c>
      <c r="E4010" s="247" t="s">
        <v>16</v>
      </c>
      <c r="F4010" s="248">
        <v>0.54</v>
      </c>
      <c r="G4010" s="242" t="str">
        <f>IF(B4010="SEPLAG",VLOOKUP(CONCATENATE("MEDIANA - ",C4010),COTAÇÃO,5,FALSE),VLOOKUP($C4010,'NAO DESO'!$A:$D,4,))</f>
        <v>21,87</v>
      </c>
      <c r="H4010" s="242">
        <f t="shared" si="224"/>
        <v>11.8</v>
      </c>
      <c r="I4010" s="54" t="str">
        <f>IF(B4010="SEPLAG",VLOOKUP(CONCATENATE("MEDIANA - ",C4010),COTAÇÃO,5,FALSE),VLOOKUP($C4010,DESON!$A:$D,4,))</f>
        <v>19,53</v>
      </c>
      <c r="J4010" s="209">
        <f t="shared" si="225"/>
        <v>10.54</v>
      </c>
    </row>
    <row r="4011" spans="1:10" ht="39" customHeight="1">
      <c r="A4011" s="233" t="s">
        <v>245</v>
      </c>
      <c r="B4011" s="161"/>
      <c r="C4011" s="161">
        <v>100761</v>
      </c>
      <c r="D4011" s="161" t="str">
        <f>IF(B4011="SEPLAG",VLOOKUP(COMPOSIÇÕES!C4011,'MAPA COMPARATIVO'!A:B,2,FALSE),VLOOKUP(C4011,'NAO DESO'!A:B,2,0))</f>
        <v>PINTURA COM TINTA ALQUÍDICA DE ACABAMENTO (ESMALTE SINTÉTICO FOSCO) PULVERIZADA SOBRE SUPERFÍCIES METÁLICAS (EXCETO PERFIL) EXECUTADO EM OBRA (02 DEMÃOS). AF_01/2020_P</v>
      </c>
      <c r="E4011" s="247" t="s">
        <v>12</v>
      </c>
      <c r="F4011" s="248">
        <v>0.3</v>
      </c>
      <c r="G4011" s="242" t="str">
        <f>IF(B4011="SEPLAG",VLOOKUP(CONCATENATE("MEDIANA - ",C4011),COTAÇÃO,5,FALSE),VLOOKUP($C4011,'NAO DESO'!$A:$D,4,))</f>
        <v>37,28</v>
      </c>
      <c r="H4011" s="242">
        <f t="shared" si="224"/>
        <v>11.18</v>
      </c>
      <c r="I4011" s="54" t="str">
        <f>IF(B4011="SEPLAG",VLOOKUP(CONCATENATE("MEDIANA - ",C4011),COTAÇÃO,5,FALSE),VLOOKUP($C4011,DESON!$A:$D,4,))</f>
        <v>34,93</v>
      </c>
      <c r="J4011" s="209">
        <f t="shared" si="225"/>
        <v>10.47</v>
      </c>
    </row>
    <row r="4012" spans="1:10" ht="15" customHeight="1">
      <c r="A4012" s="210" t="str">
        <f>CONCATENATE("TOTAL DO ITEM NÃO DESON. - ",C3999)</f>
        <v>TOTAL DO ITEM NÃO DESON. - SEPLAG ELE 79</v>
      </c>
      <c r="B4012" s="432"/>
      <c r="C4012" s="432"/>
      <c r="D4012" s="432"/>
      <c r="E4012" s="430"/>
      <c r="F4012" s="1189"/>
      <c r="G4012" s="1189"/>
      <c r="H4012" s="1189">
        <f>SUM(H4002:H4011)</f>
        <v>197.36</v>
      </c>
      <c r="I4012" s="213"/>
      <c r="J4012" s="259"/>
    </row>
    <row r="4013" spans="1:10" ht="15.75" customHeight="1" thickBot="1">
      <c r="A4013" s="216" t="str">
        <f>CONCATENATE("TOTAL DO ITEM DESON. - ",C3999)</f>
        <v>TOTAL DO ITEM DESON. - SEPLAG ELE 79</v>
      </c>
      <c r="B4013" s="1148"/>
      <c r="C4013" s="1148"/>
      <c r="D4013" s="1148"/>
      <c r="E4013" s="1142"/>
      <c r="F4013" s="1190"/>
      <c r="G4013" s="1190"/>
      <c r="H4013" s="1190"/>
      <c r="I4013" s="228"/>
      <c r="J4013" s="219">
        <f>SUM(J4002:J4012)</f>
        <v>194.49999999999997</v>
      </c>
    </row>
    <row r="4014" spans="1:10" ht="15" customHeight="1" thickBot="1">
      <c r="A4014" s="421"/>
      <c r="B4014" s="1138"/>
      <c r="C4014" s="1138"/>
      <c r="D4014" s="1138"/>
      <c r="E4014" s="1154"/>
      <c r="F4014" s="1196"/>
      <c r="G4014" s="1196"/>
      <c r="H4014" s="1196"/>
      <c r="I4014" s="423"/>
      <c r="J4014" s="422"/>
    </row>
    <row r="4015" spans="1:10" ht="15" customHeight="1">
      <c r="A4015" s="256"/>
      <c r="B4015" s="1152"/>
      <c r="C4015" s="1222" t="s">
        <v>14611</v>
      </c>
      <c r="D4015" s="152" t="s">
        <v>13365</v>
      </c>
      <c r="E4015" s="1152" t="s">
        <v>24</v>
      </c>
      <c r="F4015" s="1177" t="s">
        <v>18</v>
      </c>
      <c r="G4015" s="1178" t="s">
        <v>7015</v>
      </c>
      <c r="H4015" s="1179"/>
      <c r="I4015" s="200" t="s">
        <v>7016</v>
      </c>
      <c r="J4015" s="201"/>
    </row>
    <row r="4016" spans="1:10" ht="15" customHeight="1">
      <c r="A4016" s="257"/>
      <c r="B4016" s="430"/>
      <c r="C4016" s="430"/>
      <c r="D4016" s="430"/>
      <c r="E4016" s="430"/>
      <c r="F4016" s="1180"/>
      <c r="G4016" s="1180" t="s">
        <v>19</v>
      </c>
      <c r="H4016" s="1180" t="s">
        <v>20</v>
      </c>
      <c r="I4016" s="204" t="s">
        <v>19</v>
      </c>
      <c r="J4016" s="206" t="s">
        <v>20</v>
      </c>
    </row>
    <row r="4017" spans="1:10" ht="15" customHeight="1">
      <c r="A4017" s="233"/>
      <c r="B4017" s="161"/>
      <c r="C4017" s="161"/>
      <c r="D4017" s="161"/>
      <c r="E4017" s="247"/>
      <c r="F4017" s="248"/>
      <c r="G4017" s="248"/>
      <c r="H4017" s="248"/>
      <c r="I4017" s="214"/>
      <c r="J4017" s="227"/>
    </row>
    <row r="4018" spans="1:10" ht="15" customHeight="1">
      <c r="A4018" s="233" t="s">
        <v>245</v>
      </c>
      <c r="B4018" s="161"/>
      <c r="C4018" s="161">
        <v>88264</v>
      </c>
      <c r="D4018" s="161" t="str">
        <f>IF(B4018="SEPLAG",VLOOKUP(COMPOSIÇÕES!C4018,'MAPA COMPARATIVO'!A:B,2,FALSE),VLOOKUP(C4018,'NAO DESO'!A:B,2,0))</f>
        <v>ELETRICISTA COM ENCARGOS COMPLEMENTARES</v>
      </c>
      <c r="E4018" s="247" t="s">
        <v>16</v>
      </c>
      <c r="F4018" s="248">
        <v>0.36</v>
      </c>
      <c r="G4018" s="242" t="str">
        <f>IF(B4018="SEPLAG",VLOOKUP(CONCATENATE("MEDIANA - ",C4018),COTAÇÃO,5,FALSE),VLOOKUP($C4018,'NAO DESO'!$A:$D,4,))</f>
        <v>21,87</v>
      </c>
      <c r="H4018" s="242">
        <f>TRUNC(F4018*G4018,2)</f>
        <v>7.87</v>
      </c>
      <c r="I4018" s="54" t="str">
        <f>IF(B4018="SEPLAG",VLOOKUP(CONCATENATE("MEDIANA - ",C4018),COTAÇÃO,5,FALSE),VLOOKUP($C4018,DESON!$A:$D,4,))</f>
        <v>19,53</v>
      </c>
      <c r="J4018" s="209">
        <f>TRUNC(F4018*I4018,2)</f>
        <v>7.03</v>
      </c>
    </row>
    <row r="4019" spans="1:10" ht="15" customHeight="1">
      <c r="A4019" s="233" t="s">
        <v>245</v>
      </c>
      <c r="B4019" s="161"/>
      <c r="C4019" s="161">
        <v>88316</v>
      </c>
      <c r="D4019" s="161" t="str">
        <f>IF(B4019="SEPLAG",VLOOKUP(COMPOSIÇÕES!C4019,'MAPA COMPARATIVO'!A:B,2,FALSE),VLOOKUP(C4019,'NAO DESO'!A:B,2,0))</f>
        <v>SERVENTE COM ENCARGOS COMPLEMENTARES</v>
      </c>
      <c r="E4019" s="247" t="s">
        <v>16</v>
      </c>
      <c r="F4019" s="248">
        <v>0.43</v>
      </c>
      <c r="G4019" s="242" t="str">
        <f>IF(B4019="SEPLAG",VLOOKUP(CONCATENATE("MEDIANA - ",C4019),COTAÇÃO,5,FALSE),VLOOKUP($C4019,'NAO DESO'!$A:$D,4,))</f>
        <v>16,83</v>
      </c>
      <c r="H4019" s="242">
        <f>TRUNC(F4019*G4019,2)</f>
        <v>7.23</v>
      </c>
      <c r="I4019" s="54" t="str">
        <f>IF(B4019="SEPLAG",VLOOKUP(CONCATENATE("MEDIANA - ",C4019),COTAÇÃO,5,FALSE),VLOOKUP($C4019,DESON!$A:$D,4,))</f>
        <v>15,16</v>
      </c>
      <c r="J4019" s="209">
        <f>TRUNC(F4019*I4019,2)</f>
        <v>6.51</v>
      </c>
    </row>
    <row r="4020" spans="1:10" ht="39" customHeight="1">
      <c r="A4020" s="233" t="s">
        <v>245</v>
      </c>
      <c r="B4020" s="161"/>
      <c r="C4020" s="161">
        <v>100761</v>
      </c>
      <c r="D4020" s="161" t="str">
        <f>IF(B4020="SEPLAG",VLOOKUP(COMPOSIÇÕES!C4020,'MAPA COMPARATIVO'!A:B,2,FALSE),VLOOKUP(C4020,'NAO DESO'!A:B,2,0))</f>
        <v>PINTURA COM TINTA ALQUÍDICA DE ACABAMENTO (ESMALTE SINTÉTICO FOSCO) PULVERIZADA SOBRE SUPERFÍCIES METÁLICAS (EXCETO PERFIL) EXECUTADO EM OBRA (02 DEMÃOS). AF_01/2020_P</v>
      </c>
      <c r="E4020" s="247" t="s">
        <v>12</v>
      </c>
      <c r="F4020" s="248">
        <v>0.5</v>
      </c>
      <c r="G4020" s="242" t="str">
        <f>IF(B4020="SEPLAG",VLOOKUP(CONCATENATE("MEDIANA - ",C4020),COTAÇÃO,5,FALSE),VLOOKUP($C4020,'NAO DESO'!$A:$D,4,))</f>
        <v>37,28</v>
      </c>
      <c r="H4020" s="242">
        <f>TRUNC(F4020*G4020,2)</f>
        <v>18.64</v>
      </c>
      <c r="I4020" s="54" t="str">
        <f>IF(B4020="SEPLAG",VLOOKUP(CONCATENATE("MEDIANA - ",C4020),COTAÇÃO,5,FALSE),VLOOKUP($C4020,DESON!$A:$D,4,))</f>
        <v>34,93</v>
      </c>
      <c r="J4020" s="209">
        <f>TRUNC(F4020*I4020,2)</f>
        <v>17.46</v>
      </c>
    </row>
    <row r="4021" spans="1:10" ht="15" customHeight="1">
      <c r="A4021" s="233" t="s">
        <v>188</v>
      </c>
      <c r="B4021" s="161" t="s">
        <v>14504</v>
      </c>
      <c r="C4021" s="161" t="s">
        <v>14438</v>
      </c>
      <c r="D4021" s="161" t="str">
        <f>IF(B4021="SEPLAG",VLOOKUP(COMPOSIÇÕES!C4021,'MAPA COMPARATIVO'!A:B,2,FALSE),VLOOKUP(C4021,'NAO DESO'!A:B,2,0))</f>
        <v>REDUÇÃO CONCÊNTRICA P/ELETROCALHA 100X50 MM</v>
      </c>
      <c r="E4021" s="247" t="s">
        <v>24</v>
      </c>
      <c r="F4021" s="248">
        <v>1</v>
      </c>
      <c r="G4021" s="242">
        <f>IF(B4021="SEPLAG",VLOOKUP(CONCATENATE("MEDIANA - ",C4021),COTAÇÃO,5,FALSE),VLOOKUP($C4021,'NAO DESO'!$A:$D,4,))</f>
        <v>18.97</v>
      </c>
      <c r="H4021" s="242">
        <f>TRUNC(F4021*G4021,2)</f>
        <v>18.97</v>
      </c>
      <c r="I4021" s="54">
        <f>IF(B4021="SEPLAG",VLOOKUP(CONCATENATE("MEDIANA - ",C4021),COTAÇÃO,5,FALSE),VLOOKUP($C4021,DESON!$A:$D,4,))</f>
        <v>18.97</v>
      </c>
      <c r="J4021" s="209">
        <f>TRUNC(F4021*I4021,2)</f>
        <v>18.97</v>
      </c>
    </row>
    <row r="4022" spans="1:10" ht="15" customHeight="1">
      <c r="A4022" s="210" t="str">
        <f>CONCATENATE("TOTAL DO ITEM NÃO DESON. - ",C4015)</f>
        <v>TOTAL DO ITEM NÃO DESON. - SEPLAG ELE 78/2</v>
      </c>
      <c r="B4022" s="432"/>
      <c r="C4022" s="432"/>
      <c r="D4022" s="432"/>
      <c r="E4022" s="430"/>
      <c r="F4022" s="1189"/>
      <c r="G4022" s="1189"/>
      <c r="H4022" s="1189">
        <f>SUM(H4018:H4021)</f>
        <v>52.71</v>
      </c>
      <c r="I4022" s="213"/>
      <c r="J4022" s="259"/>
    </row>
    <row r="4023" spans="1:10" ht="15.75" customHeight="1" thickBot="1">
      <c r="A4023" s="216" t="str">
        <f>CONCATENATE("TOTAL DO ITEM DESON. - ",C4015)</f>
        <v>TOTAL DO ITEM DESON. - SEPLAG ELE 78/2</v>
      </c>
      <c r="B4023" s="1148"/>
      <c r="C4023" s="1148"/>
      <c r="D4023" s="1148"/>
      <c r="E4023" s="1142"/>
      <c r="F4023" s="1190"/>
      <c r="G4023" s="1190"/>
      <c r="H4023" s="1190"/>
      <c r="I4023" s="228"/>
      <c r="J4023" s="219">
        <f>SUM(J4018:J4022)</f>
        <v>49.97</v>
      </c>
    </row>
    <row r="4024" spans="1:10" ht="15" customHeight="1" thickBot="1">
      <c r="A4024" s="421"/>
      <c r="B4024" s="1138"/>
      <c r="C4024" s="1138"/>
      <c r="D4024" s="1138"/>
      <c r="E4024" s="1154"/>
      <c r="F4024" s="1196"/>
      <c r="G4024" s="1196"/>
      <c r="H4024" s="1196"/>
      <c r="I4024" s="423"/>
      <c r="J4024" s="422"/>
    </row>
    <row r="4025" spans="1:10" ht="25.5" customHeight="1">
      <c r="A4025" s="256"/>
      <c r="B4025" s="1152"/>
      <c r="C4025" s="1222" t="s">
        <v>14612</v>
      </c>
      <c r="D4025" s="152" t="s">
        <v>13368</v>
      </c>
      <c r="E4025" s="1152" t="s">
        <v>24</v>
      </c>
      <c r="F4025" s="1177" t="s">
        <v>18</v>
      </c>
      <c r="G4025" s="1178" t="s">
        <v>7015</v>
      </c>
      <c r="H4025" s="1179"/>
      <c r="I4025" s="200" t="s">
        <v>7016</v>
      </c>
      <c r="J4025" s="201"/>
    </row>
    <row r="4026" spans="1:10" ht="15" customHeight="1">
      <c r="A4026" s="257"/>
      <c r="B4026" s="430"/>
      <c r="C4026" s="430"/>
      <c r="D4026" s="430"/>
      <c r="E4026" s="430"/>
      <c r="F4026" s="1180"/>
      <c r="G4026" s="1180" t="s">
        <v>19</v>
      </c>
      <c r="H4026" s="1180" t="s">
        <v>20</v>
      </c>
      <c r="I4026" s="204" t="s">
        <v>19</v>
      </c>
      <c r="J4026" s="206" t="s">
        <v>20</v>
      </c>
    </row>
    <row r="4027" spans="1:10" ht="15" customHeight="1">
      <c r="A4027" s="233"/>
      <c r="B4027" s="161"/>
      <c r="C4027" s="161"/>
      <c r="D4027" s="161"/>
      <c r="E4027" s="247"/>
      <c r="F4027" s="248"/>
      <c r="G4027" s="248"/>
      <c r="H4027" s="248"/>
      <c r="I4027" s="214"/>
      <c r="J4027" s="227"/>
    </row>
    <row r="4028" spans="1:10" ht="15" customHeight="1">
      <c r="A4028" s="233" t="s">
        <v>245</v>
      </c>
      <c r="B4028" s="161"/>
      <c r="C4028" s="161">
        <v>88264</v>
      </c>
      <c r="D4028" s="161" t="str">
        <f>IF(B4028="SEPLAG",VLOOKUP(COMPOSIÇÕES!C4028,'MAPA COMPARATIVO'!A:B,2,FALSE),VLOOKUP(C4028,'NAO DESO'!A:B,2,0))</f>
        <v>ELETRICISTA COM ENCARGOS COMPLEMENTARES</v>
      </c>
      <c r="E4028" s="247" t="s">
        <v>16</v>
      </c>
      <c r="F4028" s="248">
        <v>0.36099999999999999</v>
      </c>
      <c r="G4028" s="242" t="str">
        <f>IF(B4028="SEPLAG",VLOOKUP(CONCATENATE("MEDIANA - ",C4028),COTAÇÃO,5,FALSE),VLOOKUP($C4028,'NAO DESO'!$A:$D,4,))</f>
        <v>21,87</v>
      </c>
      <c r="H4028" s="242">
        <f>TRUNC(F4028*G4028,2)</f>
        <v>7.89</v>
      </c>
      <c r="I4028" s="54" t="str">
        <f>IF(B4028="SEPLAG",VLOOKUP(CONCATENATE("MEDIANA - ",C4028),COTAÇÃO,5,FALSE),VLOOKUP($C4028,DESON!$A:$D,4,))</f>
        <v>19,53</v>
      </c>
      <c r="J4028" s="209">
        <f>TRUNC(F4028*I4028,2)</f>
        <v>7.05</v>
      </c>
    </row>
    <row r="4029" spans="1:10" ht="15" customHeight="1">
      <c r="A4029" s="233" t="s">
        <v>245</v>
      </c>
      <c r="B4029" s="161"/>
      <c r="C4029" s="161">
        <v>88316</v>
      </c>
      <c r="D4029" s="161" t="str">
        <f>IF(B4029="SEPLAG",VLOOKUP(COMPOSIÇÕES!C4029,'MAPA COMPARATIVO'!A:B,2,FALSE),VLOOKUP(C4029,'NAO DESO'!A:B,2,0))</f>
        <v>SERVENTE COM ENCARGOS COMPLEMENTARES</v>
      </c>
      <c r="E4029" s="247" t="s">
        <v>16</v>
      </c>
      <c r="F4029" s="248">
        <v>0.43</v>
      </c>
      <c r="G4029" s="242" t="str">
        <f>IF(B4029="SEPLAG",VLOOKUP(CONCATENATE("MEDIANA - ",C4029),COTAÇÃO,5,FALSE),VLOOKUP($C4029,'NAO DESO'!$A:$D,4,))</f>
        <v>16,83</v>
      </c>
      <c r="H4029" s="242">
        <f>TRUNC(F4029*G4029,2)</f>
        <v>7.23</v>
      </c>
      <c r="I4029" s="54" t="str">
        <f>IF(B4029="SEPLAG",VLOOKUP(CONCATENATE("MEDIANA - ",C4029),COTAÇÃO,5,FALSE),VLOOKUP($C4029,DESON!$A:$D,4,))</f>
        <v>15,16</v>
      </c>
      <c r="J4029" s="209">
        <f>TRUNC(F4029*I4029,2)</f>
        <v>6.51</v>
      </c>
    </row>
    <row r="4030" spans="1:10" ht="39" customHeight="1">
      <c r="A4030" s="233" t="s">
        <v>245</v>
      </c>
      <c r="B4030" s="161"/>
      <c r="C4030" s="161">
        <v>100761</v>
      </c>
      <c r="D4030" s="161" t="str">
        <f>IF(B4030="SEPLAG",VLOOKUP(COMPOSIÇÕES!C4030,'MAPA COMPARATIVO'!A:B,2,FALSE),VLOOKUP(C4030,'NAO DESO'!A:B,2,0))</f>
        <v>PINTURA COM TINTA ALQUÍDICA DE ACABAMENTO (ESMALTE SINTÉTICO FOSCO) PULVERIZADA SOBRE SUPERFÍCIES METÁLICAS (EXCETO PERFIL) EXECUTADO EM OBRA (02 DEMÃOS). AF_01/2020_P</v>
      </c>
      <c r="E4030" s="247" t="s">
        <v>12</v>
      </c>
      <c r="F4030" s="248">
        <v>0.5</v>
      </c>
      <c r="G4030" s="242" t="str">
        <f>IF(B4030="SEPLAG",VLOOKUP(CONCATENATE("MEDIANA - ",C4030),COTAÇÃO,5,FALSE),VLOOKUP($C4030,'NAO DESO'!$A:$D,4,))</f>
        <v>37,28</v>
      </c>
      <c r="H4030" s="242">
        <f>TRUNC(F4030*G4030,2)</f>
        <v>18.64</v>
      </c>
      <c r="I4030" s="54" t="str">
        <f>IF(B4030="SEPLAG",VLOOKUP(CONCATENATE("MEDIANA - ",C4030),COTAÇÃO,5,FALSE),VLOOKUP($C4030,DESON!$A:$D,4,))</f>
        <v>34,93</v>
      </c>
      <c r="J4030" s="209">
        <f>TRUNC(F4030*I4030,2)</f>
        <v>17.46</v>
      </c>
    </row>
    <row r="4031" spans="1:10" ht="15" customHeight="1">
      <c r="A4031" s="233" t="s">
        <v>188</v>
      </c>
      <c r="B4031" s="161" t="s">
        <v>14504</v>
      </c>
      <c r="C4031" s="161" t="s">
        <v>14439</v>
      </c>
      <c r="D4031" s="161" t="str">
        <f>IF(B4031="SEPLAG",VLOOKUP(COMPOSIÇÕES!C4031,'MAPA COMPARATIVO'!A:B,2,FALSE),VLOOKUP(C4031,'NAO DESO'!A:B,2,0))</f>
        <v>T HORIZONTAL 90º P/ELETROCALHA 150X50 MM</v>
      </c>
      <c r="E4031" s="247" t="s">
        <v>24</v>
      </c>
      <c r="F4031" s="248">
        <v>1</v>
      </c>
      <c r="G4031" s="242">
        <f>IF(B4031="SEPLAG",VLOOKUP(CONCATENATE("MEDIANA - ",C4031),COTAÇÃO,5,FALSE),VLOOKUP($C4031,'NAO DESO'!$A:$D,4,))</f>
        <v>56.73</v>
      </c>
      <c r="H4031" s="242">
        <f>TRUNC(F4031*G4031,2)</f>
        <v>56.73</v>
      </c>
      <c r="I4031" s="54">
        <f>IF(B4031="SEPLAG",VLOOKUP(CONCATENATE("MEDIANA - ",C4031),COTAÇÃO,5,FALSE),VLOOKUP($C4031,DESON!$A:$D,4,))</f>
        <v>56.73</v>
      </c>
      <c r="J4031" s="209">
        <f>TRUNC(F4031*I4031,2)</f>
        <v>56.73</v>
      </c>
    </row>
    <row r="4032" spans="1:10" ht="15" customHeight="1">
      <c r="A4032" s="210" t="str">
        <f>CONCATENATE("TOTAL DO ITEM NÃO DESON. - ",C4025)</f>
        <v>TOTAL DO ITEM NÃO DESON. - SEPLAG ELE 79/2</v>
      </c>
      <c r="B4032" s="432"/>
      <c r="C4032" s="432"/>
      <c r="D4032" s="432"/>
      <c r="E4032" s="430"/>
      <c r="F4032" s="1189"/>
      <c r="G4032" s="1189"/>
      <c r="H4032" s="1189">
        <f>SUM(H4028:H4031)</f>
        <v>90.490000000000009</v>
      </c>
      <c r="I4032" s="213"/>
      <c r="J4032" s="259"/>
    </row>
    <row r="4033" spans="1:10" ht="15.75" customHeight="1" thickBot="1">
      <c r="A4033" s="216" t="str">
        <f>CONCATENATE("TOTAL DO ITEM DESON. - ",C4025)</f>
        <v>TOTAL DO ITEM DESON. - SEPLAG ELE 79/2</v>
      </c>
      <c r="B4033" s="1148"/>
      <c r="C4033" s="1148"/>
      <c r="D4033" s="1148"/>
      <c r="E4033" s="1142"/>
      <c r="F4033" s="1190"/>
      <c r="G4033" s="1190"/>
      <c r="H4033" s="1190"/>
      <c r="I4033" s="228"/>
      <c r="J4033" s="219">
        <f>SUM(J4028:J4032)</f>
        <v>87.75</v>
      </c>
    </row>
    <row r="4034" spans="1:10" ht="15.75" customHeight="1" thickBot="1">
      <c r="A4034" s="463"/>
      <c r="B4034" s="1153"/>
      <c r="C4034" s="1153"/>
      <c r="D4034" s="1153"/>
      <c r="E4034" s="1226"/>
      <c r="F4034" s="1227"/>
      <c r="G4034" s="1227"/>
      <c r="H4034" s="1227"/>
      <c r="I4034" s="464"/>
      <c r="J4034" s="465"/>
    </row>
    <row r="4035" spans="1:10" ht="25.5" customHeight="1">
      <c r="A4035" s="256"/>
      <c r="B4035" s="1152"/>
      <c r="C4035" s="1152" t="s">
        <v>13370</v>
      </c>
      <c r="D4035" s="152" t="s">
        <v>13371</v>
      </c>
      <c r="E4035" s="1152" t="s">
        <v>24</v>
      </c>
      <c r="F4035" s="1177" t="s">
        <v>18</v>
      </c>
      <c r="G4035" s="1178" t="s">
        <v>7015</v>
      </c>
      <c r="H4035" s="1179"/>
      <c r="I4035" s="200" t="s">
        <v>7016</v>
      </c>
      <c r="J4035" s="201"/>
    </row>
    <row r="4036" spans="1:10" ht="15" customHeight="1">
      <c r="A4036" s="257"/>
      <c r="B4036" s="430"/>
      <c r="C4036" s="430"/>
      <c r="D4036" s="430"/>
      <c r="E4036" s="430"/>
      <c r="F4036" s="1180"/>
      <c r="G4036" s="1180" t="s">
        <v>19</v>
      </c>
      <c r="H4036" s="1180" t="s">
        <v>20</v>
      </c>
      <c r="I4036" s="204" t="s">
        <v>19</v>
      </c>
      <c r="J4036" s="206" t="s">
        <v>20</v>
      </c>
    </row>
    <row r="4037" spans="1:10" ht="15" customHeight="1">
      <c r="A4037" s="233"/>
      <c r="B4037" s="161"/>
      <c r="C4037" s="161"/>
      <c r="D4037" s="161"/>
      <c r="E4037" s="247"/>
      <c r="F4037" s="248"/>
      <c r="G4037" s="248"/>
      <c r="H4037" s="248"/>
      <c r="I4037" s="214"/>
      <c r="J4037" s="227"/>
    </row>
    <row r="4038" spans="1:10" ht="15" customHeight="1">
      <c r="A4038" s="233" t="s">
        <v>245</v>
      </c>
      <c r="B4038" s="161"/>
      <c r="C4038" s="161">
        <v>88264</v>
      </c>
      <c r="D4038" s="161" t="str">
        <f>IF(B4038="SEPLAG",VLOOKUP(COMPOSIÇÕES!C4038,'MAPA COMPARATIVO'!A:B,2,FALSE),VLOOKUP(C4038,'NAO DESO'!A:B,2,0))</f>
        <v>ELETRICISTA COM ENCARGOS COMPLEMENTARES</v>
      </c>
      <c r="E4038" s="247" t="s">
        <v>16</v>
      </c>
      <c r="F4038" s="248">
        <v>0.36099999999999999</v>
      </c>
      <c r="G4038" s="242" t="str">
        <f>IF(B4038="SEPLAG",VLOOKUP(CONCATENATE("MEDIANA - ",C4038),COTAÇÃO,5,FALSE),VLOOKUP($C4038,'NAO DESO'!$A:$D,4,))</f>
        <v>21,87</v>
      </c>
      <c r="H4038" s="242">
        <f>TRUNC(F4038*G4038,2)</f>
        <v>7.89</v>
      </c>
      <c r="I4038" s="54" t="str">
        <f>IF(B4038="SEPLAG",VLOOKUP(CONCATENATE("MEDIANA - ",C4038),COTAÇÃO,5,FALSE),VLOOKUP($C4038,DESON!$A:$D,4,))</f>
        <v>19,53</v>
      </c>
      <c r="J4038" s="209">
        <f>TRUNC(F4038*I4038,2)</f>
        <v>7.05</v>
      </c>
    </row>
    <row r="4039" spans="1:10" ht="15" customHeight="1">
      <c r="A4039" s="233" t="s">
        <v>245</v>
      </c>
      <c r="B4039" s="161"/>
      <c r="C4039" s="161">
        <v>88316</v>
      </c>
      <c r="D4039" s="161" t="str">
        <f>IF(B4039="SEPLAG",VLOOKUP(COMPOSIÇÕES!C4039,'MAPA COMPARATIVO'!A:B,2,FALSE),VLOOKUP(C4039,'NAO DESO'!A:B,2,0))</f>
        <v>SERVENTE COM ENCARGOS COMPLEMENTARES</v>
      </c>
      <c r="E4039" s="247" t="s">
        <v>16</v>
      </c>
      <c r="F4039" s="248">
        <v>0.43</v>
      </c>
      <c r="G4039" s="242" t="str">
        <f>IF(B4039="SEPLAG",VLOOKUP(CONCATENATE("MEDIANA - ",C4039),COTAÇÃO,5,FALSE),VLOOKUP($C4039,'NAO DESO'!$A:$D,4,))</f>
        <v>16,83</v>
      </c>
      <c r="H4039" s="242">
        <f>TRUNC(F4039*G4039,2)</f>
        <v>7.23</v>
      </c>
      <c r="I4039" s="54" t="str">
        <f>IF(B4039="SEPLAG",VLOOKUP(CONCATENATE("MEDIANA - ",C4039),COTAÇÃO,5,FALSE),VLOOKUP($C4039,DESON!$A:$D,4,))</f>
        <v>15,16</v>
      </c>
      <c r="J4039" s="209">
        <f>TRUNC(F4039*I4039,2)</f>
        <v>6.51</v>
      </c>
    </row>
    <row r="4040" spans="1:10" ht="39" customHeight="1">
      <c r="A4040" s="233" t="s">
        <v>245</v>
      </c>
      <c r="B4040" s="161"/>
      <c r="C4040" s="161">
        <v>100761</v>
      </c>
      <c r="D4040" s="161" t="str">
        <f>IF(B4040="SEPLAG",VLOOKUP(COMPOSIÇÕES!C4040,'MAPA COMPARATIVO'!A:B,2,FALSE),VLOOKUP(C4040,'NAO DESO'!A:B,2,0))</f>
        <v>PINTURA COM TINTA ALQUÍDICA DE ACABAMENTO (ESMALTE SINTÉTICO FOSCO) PULVERIZADA SOBRE SUPERFÍCIES METÁLICAS (EXCETO PERFIL) EXECUTADO EM OBRA (02 DEMÃOS). AF_01/2020_P</v>
      </c>
      <c r="E4040" s="247" t="s">
        <v>12</v>
      </c>
      <c r="F4040" s="248">
        <v>0.5</v>
      </c>
      <c r="G4040" s="242" t="str">
        <f>IF(B4040="SEPLAG",VLOOKUP(CONCATENATE("MEDIANA - ",C4040),COTAÇÃO,5,FALSE),VLOOKUP($C4040,'NAO DESO'!$A:$D,4,))</f>
        <v>37,28</v>
      </c>
      <c r="H4040" s="242">
        <f>TRUNC(F4040*G4040,2)</f>
        <v>18.64</v>
      </c>
      <c r="I4040" s="54" t="str">
        <f>IF(B4040="SEPLAG",VLOOKUP(CONCATENATE("MEDIANA - ",C4040),COTAÇÃO,5,FALSE),VLOOKUP($C4040,DESON!$A:$D,4,))</f>
        <v>34,93</v>
      </c>
      <c r="J4040" s="209">
        <f>TRUNC(F4040*I4040,2)</f>
        <v>17.46</v>
      </c>
    </row>
    <row r="4041" spans="1:10" ht="15" customHeight="1">
      <c r="A4041" s="233" t="s">
        <v>188</v>
      </c>
      <c r="B4041" s="161" t="s">
        <v>14504</v>
      </c>
      <c r="C4041" s="161" t="s">
        <v>14440</v>
      </c>
      <c r="D4041" s="161" t="str">
        <f>IF(B4041="SEPLAG",VLOOKUP(COMPOSIÇÕES!C4041,'MAPA COMPARATIVO'!A:B,2,FALSE),VLOOKUP(C4041,'NAO DESO'!A:B,2,0))</f>
        <v>T HORIZONTAL 90º P/ELETROCALHA 200X50 MM</v>
      </c>
      <c r="E4041" s="247" t="s">
        <v>24</v>
      </c>
      <c r="F4041" s="248">
        <v>1</v>
      </c>
      <c r="G4041" s="242">
        <f>IF(B4041="SEPLAG",VLOOKUP(CONCATENATE("MEDIANA - ",C4041),COTAÇÃO,5,FALSE),VLOOKUP($C4041,'NAO DESO'!$A:$D,4,))</f>
        <v>55.17</v>
      </c>
      <c r="H4041" s="242">
        <f>TRUNC(F4041*G4041,2)</f>
        <v>55.17</v>
      </c>
      <c r="I4041" s="54">
        <f>IF(B4041="SEPLAG",VLOOKUP(CONCATENATE("MEDIANA - ",C4041),COTAÇÃO,5,FALSE),VLOOKUP($C4041,DESON!$A:$D,4,))</f>
        <v>55.17</v>
      </c>
      <c r="J4041" s="209">
        <f>TRUNC(F4041*I4041,2)</f>
        <v>55.17</v>
      </c>
    </row>
    <row r="4042" spans="1:10" ht="15" customHeight="1">
      <c r="A4042" s="210" t="str">
        <f>CONCATENATE("TOTAL DO ITEM NÃO DESON. - ",C4035)</f>
        <v>TOTAL DO ITEM NÃO DESON. - SEPLAG ELE 80</v>
      </c>
      <c r="B4042" s="432"/>
      <c r="C4042" s="432"/>
      <c r="D4042" s="432"/>
      <c r="E4042" s="430"/>
      <c r="F4042" s="1189"/>
      <c r="G4042" s="1189"/>
      <c r="H4042" s="1189">
        <f>SUM(H4038:H4041)</f>
        <v>88.93</v>
      </c>
      <c r="I4042" s="213"/>
      <c r="J4042" s="259"/>
    </row>
    <row r="4043" spans="1:10" ht="15.75" customHeight="1" thickBot="1">
      <c r="A4043" s="216" t="str">
        <f>CONCATENATE("TOTAL DO ITEM DESON. - ",C4035)</f>
        <v>TOTAL DO ITEM DESON. - SEPLAG ELE 80</v>
      </c>
      <c r="B4043" s="1148"/>
      <c r="C4043" s="1148"/>
      <c r="D4043" s="1148"/>
      <c r="E4043" s="1142"/>
      <c r="F4043" s="1190"/>
      <c r="G4043" s="1190"/>
      <c r="H4043" s="1190"/>
      <c r="I4043" s="228"/>
      <c r="J4043" s="219">
        <f>SUM(J4038:J4042)</f>
        <v>86.19</v>
      </c>
    </row>
    <row r="4044" spans="1:10" ht="15" customHeight="1" thickBot="1">
      <c r="A4044" s="421"/>
      <c r="B4044" s="1138"/>
      <c r="C4044" s="1138"/>
      <c r="D4044" s="1138"/>
      <c r="E4044" s="1154"/>
      <c r="F4044" s="1196"/>
      <c r="G4044" s="1196"/>
      <c r="H4044" s="1196"/>
      <c r="I4044" s="423"/>
      <c r="J4044" s="422"/>
    </row>
    <row r="4045" spans="1:10" ht="25.5" customHeight="1">
      <c r="A4045" s="256"/>
      <c r="B4045" s="1152"/>
      <c r="C4045" s="1152" t="s">
        <v>13373</v>
      </c>
      <c r="D4045" s="152" t="s">
        <v>13374</v>
      </c>
      <c r="E4045" s="1152" t="s">
        <v>24</v>
      </c>
      <c r="F4045" s="1177" t="s">
        <v>18</v>
      </c>
      <c r="G4045" s="1178" t="s">
        <v>7015</v>
      </c>
      <c r="H4045" s="1179"/>
      <c r="I4045" s="200" t="s">
        <v>7016</v>
      </c>
      <c r="J4045" s="201"/>
    </row>
    <row r="4046" spans="1:10" ht="15" customHeight="1">
      <c r="A4046" s="257"/>
      <c r="B4046" s="430"/>
      <c r="C4046" s="430"/>
      <c r="D4046" s="430"/>
      <c r="E4046" s="430"/>
      <c r="F4046" s="1180"/>
      <c r="G4046" s="1180" t="s">
        <v>19</v>
      </c>
      <c r="H4046" s="1180" t="s">
        <v>20</v>
      </c>
      <c r="I4046" s="204" t="s">
        <v>19</v>
      </c>
      <c r="J4046" s="206" t="s">
        <v>20</v>
      </c>
    </row>
    <row r="4047" spans="1:10" ht="15" customHeight="1">
      <c r="A4047" s="233"/>
      <c r="B4047" s="161"/>
      <c r="C4047" s="161"/>
      <c r="D4047" s="161"/>
      <c r="E4047" s="247"/>
      <c r="F4047" s="248"/>
      <c r="G4047" s="248"/>
      <c r="H4047" s="248"/>
      <c r="I4047" s="214"/>
      <c r="J4047" s="227"/>
    </row>
    <row r="4048" spans="1:10" ht="15" customHeight="1">
      <c r="A4048" s="233" t="s">
        <v>245</v>
      </c>
      <c r="B4048" s="161"/>
      <c r="C4048" s="161">
        <v>88264</v>
      </c>
      <c r="D4048" s="161" t="str">
        <f>IF(B4048="SEPLAG",VLOOKUP(COMPOSIÇÕES!C4048,'MAPA COMPARATIVO'!A:B,2,FALSE),VLOOKUP(C4048,'NAO DESO'!A:B,2,0))</f>
        <v>ELETRICISTA COM ENCARGOS COMPLEMENTARES</v>
      </c>
      <c r="E4048" s="247" t="s">
        <v>16</v>
      </c>
      <c r="F4048" s="248">
        <v>0.36099999999999999</v>
      </c>
      <c r="G4048" s="242" t="str">
        <f>IF(B4048="SEPLAG",VLOOKUP(CONCATENATE("MEDIANA - ",C4048),COTAÇÃO,5,FALSE),VLOOKUP($C4048,'NAO DESO'!$A:$D,4,))</f>
        <v>21,87</v>
      </c>
      <c r="H4048" s="242">
        <f>TRUNC(F4048*G4048,2)</f>
        <v>7.89</v>
      </c>
      <c r="I4048" s="54" t="str">
        <f>IF(B4048="SEPLAG",VLOOKUP(CONCATENATE("MEDIANA - ",C4048),COTAÇÃO,5,FALSE),VLOOKUP($C4048,DESON!$A:$D,4,))</f>
        <v>19,53</v>
      </c>
      <c r="J4048" s="209">
        <f>TRUNC(F4048*I4048,2)</f>
        <v>7.05</v>
      </c>
    </row>
    <row r="4049" spans="1:10" ht="15" customHeight="1">
      <c r="A4049" s="233" t="s">
        <v>245</v>
      </c>
      <c r="B4049" s="161"/>
      <c r="C4049" s="161">
        <v>88316</v>
      </c>
      <c r="D4049" s="161" t="str">
        <f>IF(B4049="SEPLAG",VLOOKUP(COMPOSIÇÕES!C4049,'MAPA COMPARATIVO'!A:B,2,FALSE),VLOOKUP(C4049,'NAO DESO'!A:B,2,0))</f>
        <v>SERVENTE COM ENCARGOS COMPLEMENTARES</v>
      </c>
      <c r="E4049" s="247" t="s">
        <v>16</v>
      </c>
      <c r="F4049" s="248">
        <v>0.43</v>
      </c>
      <c r="G4049" s="242" t="str">
        <f>IF(B4049="SEPLAG",VLOOKUP(CONCATENATE("MEDIANA - ",C4049),COTAÇÃO,5,FALSE),VLOOKUP($C4049,'NAO DESO'!$A:$D,4,))</f>
        <v>16,83</v>
      </c>
      <c r="H4049" s="242">
        <f>TRUNC(F4049*G4049,2)</f>
        <v>7.23</v>
      </c>
      <c r="I4049" s="54" t="str">
        <f>IF(B4049="SEPLAG",VLOOKUP(CONCATENATE("MEDIANA - ",C4049),COTAÇÃO,5,FALSE),VLOOKUP($C4049,DESON!$A:$D,4,))</f>
        <v>15,16</v>
      </c>
      <c r="J4049" s="209">
        <f>TRUNC(F4049*I4049,2)</f>
        <v>6.51</v>
      </c>
    </row>
    <row r="4050" spans="1:10" ht="39" customHeight="1">
      <c r="A4050" s="233" t="s">
        <v>245</v>
      </c>
      <c r="B4050" s="161"/>
      <c r="C4050" s="161">
        <v>100761</v>
      </c>
      <c r="D4050" s="161" t="str">
        <f>IF(B4050="SEPLAG",VLOOKUP(COMPOSIÇÕES!C4050,'MAPA COMPARATIVO'!A:B,2,FALSE),VLOOKUP(C4050,'NAO DESO'!A:B,2,0))</f>
        <v>PINTURA COM TINTA ALQUÍDICA DE ACABAMENTO (ESMALTE SINTÉTICO FOSCO) PULVERIZADA SOBRE SUPERFÍCIES METÁLICAS (EXCETO PERFIL) EXECUTADO EM OBRA (02 DEMÃOS). AF_01/2020_P</v>
      </c>
      <c r="E4050" s="247" t="s">
        <v>12</v>
      </c>
      <c r="F4050" s="248">
        <v>0.5</v>
      </c>
      <c r="G4050" s="242" t="str">
        <f>IF(B4050="SEPLAG",VLOOKUP(CONCATENATE("MEDIANA - ",C4050),COTAÇÃO,5,FALSE),VLOOKUP($C4050,'NAO DESO'!$A:$D,4,))</f>
        <v>37,28</v>
      </c>
      <c r="H4050" s="242">
        <f>TRUNC(F4050*G4050,2)</f>
        <v>18.64</v>
      </c>
      <c r="I4050" s="54" t="str">
        <f>IF(B4050="SEPLAG",VLOOKUP(CONCATENATE("MEDIANA - ",C4050),COTAÇÃO,5,FALSE),VLOOKUP($C4050,DESON!$A:$D,4,))</f>
        <v>34,93</v>
      </c>
      <c r="J4050" s="209">
        <f>TRUNC(F4050*I4050,2)</f>
        <v>17.46</v>
      </c>
    </row>
    <row r="4051" spans="1:10" ht="15" customHeight="1">
      <c r="A4051" s="233" t="s">
        <v>188</v>
      </c>
      <c r="B4051" s="161" t="s">
        <v>14504</v>
      </c>
      <c r="C4051" s="161" t="s">
        <v>14441</v>
      </c>
      <c r="D4051" s="161" t="str">
        <f>IF(B4051="SEPLAG",VLOOKUP(COMPOSIÇÕES!C4051,'MAPA COMPARATIVO'!A:B,2,FALSE),VLOOKUP(C4051,'NAO DESO'!A:B,2,0))</f>
        <v>T HORIZONTAL 90º P/ELETROCALHA 300X50 MM</v>
      </c>
      <c r="E4051" s="247" t="s">
        <v>24</v>
      </c>
      <c r="F4051" s="248">
        <v>1</v>
      </c>
      <c r="G4051" s="242">
        <f>IF(B4051="SEPLAG",VLOOKUP(CONCATENATE("MEDIANA - ",C4051),COTAÇÃO,5,FALSE),VLOOKUP($C4051,'NAO DESO'!$A:$D,4,))</f>
        <v>110.24</v>
      </c>
      <c r="H4051" s="242">
        <f>TRUNC(F4051*G4051,2)</f>
        <v>110.24</v>
      </c>
      <c r="I4051" s="54">
        <f>IF(B4051="SEPLAG",VLOOKUP(CONCATENATE("MEDIANA - ",C4051),COTAÇÃO,5,FALSE),VLOOKUP($C4051,DESON!$A:$D,4,))</f>
        <v>110.24</v>
      </c>
      <c r="J4051" s="209">
        <f>TRUNC(F4051*I4051,2)</f>
        <v>110.24</v>
      </c>
    </row>
    <row r="4052" spans="1:10" ht="15" customHeight="1">
      <c r="A4052" s="210" t="str">
        <f>CONCATENATE("TOTAL DO ITEM NÃO DESON. - ",C4045)</f>
        <v>TOTAL DO ITEM NÃO DESON. - SEPLAG ELE 81</v>
      </c>
      <c r="B4052" s="432"/>
      <c r="C4052" s="432"/>
      <c r="D4052" s="432"/>
      <c r="E4052" s="430"/>
      <c r="F4052" s="1189"/>
      <c r="G4052" s="1189"/>
      <c r="H4052" s="1189">
        <f>SUM(H4048:H4051)</f>
        <v>144</v>
      </c>
      <c r="I4052" s="213"/>
      <c r="J4052" s="259"/>
    </row>
    <row r="4053" spans="1:10" ht="15.75" customHeight="1" thickBot="1">
      <c r="A4053" s="216" t="str">
        <f>CONCATENATE("TOTAL DO ITEM DESON. - ",C4045)</f>
        <v>TOTAL DO ITEM DESON. - SEPLAG ELE 81</v>
      </c>
      <c r="B4053" s="1148"/>
      <c r="C4053" s="1148"/>
      <c r="D4053" s="1148"/>
      <c r="E4053" s="1142"/>
      <c r="F4053" s="1190"/>
      <c r="G4053" s="1190"/>
      <c r="H4053" s="1190"/>
      <c r="I4053" s="228"/>
      <c r="J4053" s="219">
        <f>SUM(J4048:J4052)</f>
        <v>141.26</v>
      </c>
    </row>
    <row r="4054" spans="1:10" ht="15" customHeight="1" thickBot="1">
      <c r="A4054" s="421"/>
      <c r="B4054" s="1138"/>
      <c r="C4054" s="1138"/>
      <c r="D4054" s="1138"/>
      <c r="E4054" s="1154"/>
      <c r="F4054" s="1196"/>
      <c r="G4054" s="1196"/>
      <c r="H4054" s="1196"/>
      <c r="I4054" s="423"/>
      <c r="J4054" s="422"/>
    </row>
    <row r="4055" spans="1:10" ht="25.5" customHeight="1">
      <c r="A4055" s="256"/>
      <c r="B4055" s="1152"/>
      <c r="C4055" s="1152" t="s">
        <v>13367</v>
      </c>
      <c r="D4055" s="152" t="s">
        <v>13376</v>
      </c>
      <c r="E4055" s="1152" t="s">
        <v>24</v>
      </c>
      <c r="F4055" s="1177" t="s">
        <v>18</v>
      </c>
      <c r="G4055" s="1178" t="s">
        <v>7015</v>
      </c>
      <c r="H4055" s="1179"/>
      <c r="I4055" s="200" t="s">
        <v>7016</v>
      </c>
      <c r="J4055" s="201"/>
    </row>
    <row r="4056" spans="1:10" ht="15" customHeight="1">
      <c r="A4056" s="257"/>
      <c r="B4056" s="430"/>
      <c r="C4056" s="430"/>
      <c r="D4056" s="430"/>
      <c r="E4056" s="430"/>
      <c r="F4056" s="1180"/>
      <c r="G4056" s="1180" t="s">
        <v>19</v>
      </c>
      <c r="H4056" s="1180" t="s">
        <v>20</v>
      </c>
      <c r="I4056" s="204" t="s">
        <v>19</v>
      </c>
      <c r="J4056" s="206" t="s">
        <v>20</v>
      </c>
    </row>
    <row r="4057" spans="1:10" ht="15" customHeight="1">
      <c r="A4057" s="233"/>
      <c r="B4057" s="161"/>
      <c r="C4057" s="161"/>
      <c r="D4057" s="161"/>
      <c r="E4057" s="247"/>
      <c r="F4057" s="248"/>
      <c r="G4057" s="248"/>
      <c r="H4057" s="248"/>
      <c r="I4057" s="214"/>
      <c r="J4057" s="227"/>
    </row>
    <row r="4058" spans="1:10" ht="15" customHeight="1">
      <c r="A4058" s="233" t="s">
        <v>245</v>
      </c>
      <c r="B4058" s="161"/>
      <c r="C4058" s="161">
        <v>88264</v>
      </c>
      <c r="D4058" s="161" t="str">
        <f>IF(B4058="SEPLAG",VLOOKUP(COMPOSIÇÕES!C4058,'MAPA COMPARATIVO'!A:B,2,FALSE),VLOOKUP(C4058,'NAO DESO'!A:B,2,0))</f>
        <v>ELETRICISTA COM ENCARGOS COMPLEMENTARES</v>
      </c>
      <c r="E4058" s="247" t="s">
        <v>16</v>
      </c>
      <c r="F4058" s="248">
        <v>0.36099999999999999</v>
      </c>
      <c r="G4058" s="242" t="str">
        <f>IF(B4058="SEPLAG",VLOOKUP(CONCATENATE("MEDIANA - ",C4058),COTAÇÃO,5,FALSE),VLOOKUP($C4058,'NAO DESO'!$A:$D,4,))</f>
        <v>21,87</v>
      </c>
      <c r="H4058" s="242">
        <f>TRUNC(F4058*G4058,2)</f>
        <v>7.89</v>
      </c>
      <c r="I4058" s="54" t="str">
        <f>IF(B4058="SEPLAG",VLOOKUP(CONCATENATE("MEDIANA - ",C4058),COTAÇÃO,5,FALSE),VLOOKUP($C4058,DESON!$A:$D,4,))</f>
        <v>19,53</v>
      </c>
      <c r="J4058" s="209">
        <f>TRUNC(F4058*I4058,2)</f>
        <v>7.05</v>
      </c>
    </row>
    <row r="4059" spans="1:10" ht="15" customHeight="1">
      <c r="A4059" s="233" t="s">
        <v>245</v>
      </c>
      <c r="B4059" s="161"/>
      <c r="C4059" s="161">
        <v>88316</v>
      </c>
      <c r="D4059" s="161" t="str">
        <f>IF(B4059="SEPLAG",VLOOKUP(COMPOSIÇÕES!C4059,'MAPA COMPARATIVO'!A:B,2,FALSE),VLOOKUP(C4059,'NAO DESO'!A:B,2,0))</f>
        <v>SERVENTE COM ENCARGOS COMPLEMENTARES</v>
      </c>
      <c r="E4059" s="247" t="s">
        <v>16</v>
      </c>
      <c r="F4059" s="248">
        <v>0.43</v>
      </c>
      <c r="G4059" s="242" t="str">
        <f>IF(B4059="SEPLAG",VLOOKUP(CONCATENATE("MEDIANA - ",C4059),COTAÇÃO,5,FALSE),VLOOKUP($C4059,'NAO DESO'!$A:$D,4,))</f>
        <v>16,83</v>
      </c>
      <c r="H4059" s="242">
        <f>TRUNC(F4059*G4059,2)</f>
        <v>7.23</v>
      </c>
      <c r="I4059" s="54" t="str">
        <f>IF(B4059="SEPLAG",VLOOKUP(CONCATENATE("MEDIANA - ",C4059),COTAÇÃO,5,FALSE),VLOOKUP($C4059,DESON!$A:$D,4,))</f>
        <v>15,16</v>
      </c>
      <c r="J4059" s="209">
        <f>TRUNC(F4059*I4059,2)</f>
        <v>6.51</v>
      </c>
    </row>
    <row r="4060" spans="1:10" ht="39" customHeight="1">
      <c r="A4060" s="233" t="s">
        <v>245</v>
      </c>
      <c r="B4060" s="161"/>
      <c r="C4060" s="161">
        <v>100761</v>
      </c>
      <c r="D4060" s="161" t="str">
        <f>IF(B4060="SEPLAG",VLOOKUP(COMPOSIÇÕES!C4060,'MAPA COMPARATIVO'!A:B,2,FALSE),VLOOKUP(C4060,'NAO DESO'!A:B,2,0))</f>
        <v>PINTURA COM TINTA ALQUÍDICA DE ACABAMENTO (ESMALTE SINTÉTICO FOSCO) PULVERIZADA SOBRE SUPERFÍCIES METÁLICAS (EXCETO PERFIL) EXECUTADO EM OBRA (02 DEMÃOS). AF_01/2020_P</v>
      </c>
      <c r="E4060" s="247" t="s">
        <v>12</v>
      </c>
      <c r="F4060" s="248">
        <v>0.5</v>
      </c>
      <c r="G4060" s="242" t="str">
        <f>IF(B4060="SEPLAG",VLOOKUP(CONCATENATE("MEDIANA - ",C4060),COTAÇÃO,5,FALSE),VLOOKUP($C4060,'NAO DESO'!$A:$D,4,))</f>
        <v>37,28</v>
      </c>
      <c r="H4060" s="242">
        <f>TRUNC(F4060*G4060,2)</f>
        <v>18.64</v>
      </c>
      <c r="I4060" s="54" t="str">
        <f>IF(B4060="SEPLAG",VLOOKUP(CONCATENATE("MEDIANA - ",C4060),COTAÇÃO,5,FALSE),VLOOKUP($C4060,DESON!$A:$D,4,))</f>
        <v>34,93</v>
      </c>
      <c r="J4060" s="209">
        <f>TRUNC(F4060*I4060,2)</f>
        <v>17.46</v>
      </c>
    </row>
    <row r="4061" spans="1:10" ht="15" customHeight="1">
      <c r="A4061" s="233" t="s">
        <v>188</v>
      </c>
      <c r="B4061" s="161" t="s">
        <v>14504</v>
      </c>
      <c r="C4061" s="161" t="s">
        <v>14442</v>
      </c>
      <c r="D4061" s="161" t="str">
        <f>IF(B4061="SEPLAG",VLOOKUP(COMPOSIÇÕES!C4061,'MAPA COMPARATIVO'!A:B,2,FALSE),VLOOKUP(C4061,'NAO DESO'!A:B,2,0))</f>
        <v>T HORIZONTAL 90º P/ELETROCALHA 100X50 MM</v>
      </c>
      <c r="E4061" s="247" t="s">
        <v>24</v>
      </c>
      <c r="F4061" s="248">
        <v>1</v>
      </c>
      <c r="G4061" s="242">
        <f>IF(B4061="SEPLAG",VLOOKUP(CONCATENATE("MEDIANA - ",C4061),COTAÇÃO,5,FALSE),VLOOKUP($C4061,'NAO DESO'!$A:$D,4,))</f>
        <v>43.91</v>
      </c>
      <c r="H4061" s="242">
        <f>TRUNC(F4061*G4061,2)</f>
        <v>43.91</v>
      </c>
      <c r="I4061" s="54">
        <f>IF(B4061="SEPLAG",VLOOKUP(CONCATENATE("MEDIANA - ",C4061),COTAÇÃO,5,FALSE),VLOOKUP($C4061,DESON!$A:$D,4,))</f>
        <v>43.91</v>
      </c>
      <c r="J4061" s="209">
        <f>TRUNC(F4061*I4061,2)</f>
        <v>43.91</v>
      </c>
    </row>
    <row r="4062" spans="1:10" ht="15" customHeight="1">
      <c r="A4062" s="210" t="str">
        <f>CONCATENATE("TOTAL DO ITEM NÃO DESON. - ",C4055)</f>
        <v>TOTAL DO ITEM NÃO DESON. - SEPLAG ELE 82</v>
      </c>
      <c r="B4062" s="432"/>
      <c r="C4062" s="432"/>
      <c r="D4062" s="432"/>
      <c r="E4062" s="430"/>
      <c r="F4062" s="1189"/>
      <c r="G4062" s="1189"/>
      <c r="H4062" s="1189">
        <f>SUM(H4058:H4061)</f>
        <v>77.67</v>
      </c>
      <c r="I4062" s="213"/>
      <c r="J4062" s="259"/>
    </row>
    <row r="4063" spans="1:10" ht="15.75" customHeight="1" thickBot="1">
      <c r="A4063" s="216" t="str">
        <f>CONCATENATE("TOTAL DO ITEM DESON. - ",C4055)</f>
        <v>TOTAL DO ITEM DESON. - SEPLAG ELE 82</v>
      </c>
      <c r="B4063" s="1148"/>
      <c r="C4063" s="1148"/>
      <c r="D4063" s="1148"/>
      <c r="E4063" s="1142"/>
      <c r="F4063" s="1190"/>
      <c r="G4063" s="1190"/>
      <c r="H4063" s="1190"/>
      <c r="I4063" s="228"/>
      <c r="J4063" s="219">
        <f>SUM(J4058:J4062)</f>
        <v>74.929999999999993</v>
      </c>
    </row>
    <row r="4064" spans="1:10" ht="15" customHeight="1" thickBot="1">
      <c r="A4064" s="421"/>
      <c r="B4064" s="1138"/>
      <c r="C4064" s="1138"/>
      <c r="D4064" s="1138"/>
      <c r="E4064" s="1154"/>
      <c r="F4064" s="1196"/>
      <c r="G4064" s="1196"/>
      <c r="H4064" s="1196"/>
      <c r="I4064" s="423"/>
      <c r="J4064" s="422"/>
    </row>
    <row r="4065" spans="1:10" ht="25.5" customHeight="1">
      <c r="A4065" s="256"/>
      <c r="B4065" s="1152"/>
      <c r="C4065" s="1152" t="s">
        <v>13378</v>
      </c>
      <c r="D4065" s="152" t="s">
        <v>13379</v>
      </c>
      <c r="E4065" s="1152" t="s">
        <v>24</v>
      </c>
      <c r="F4065" s="1177" t="s">
        <v>18</v>
      </c>
      <c r="G4065" s="1178" t="s">
        <v>7015</v>
      </c>
      <c r="H4065" s="1179"/>
      <c r="I4065" s="200" t="s">
        <v>7016</v>
      </c>
      <c r="J4065" s="201"/>
    </row>
    <row r="4066" spans="1:10" ht="15" customHeight="1">
      <c r="A4066" s="257"/>
      <c r="B4066" s="430"/>
      <c r="C4066" s="430"/>
      <c r="D4066" s="430"/>
      <c r="E4066" s="430"/>
      <c r="F4066" s="1180"/>
      <c r="G4066" s="1180" t="s">
        <v>19</v>
      </c>
      <c r="H4066" s="1180" t="s">
        <v>20</v>
      </c>
      <c r="I4066" s="204" t="s">
        <v>19</v>
      </c>
      <c r="J4066" s="206" t="s">
        <v>20</v>
      </c>
    </row>
    <row r="4067" spans="1:10" ht="15" customHeight="1">
      <c r="A4067" s="233"/>
      <c r="B4067" s="161"/>
      <c r="C4067" s="161"/>
      <c r="D4067" s="161"/>
      <c r="E4067" s="247"/>
      <c r="F4067" s="248"/>
      <c r="G4067" s="248"/>
      <c r="H4067" s="248"/>
      <c r="I4067" s="214"/>
      <c r="J4067" s="227"/>
    </row>
    <row r="4068" spans="1:10" ht="15" customHeight="1">
      <c r="A4068" s="233" t="s">
        <v>245</v>
      </c>
      <c r="B4068" s="161"/>
      <c r="C4068" s="161">
        <v>88264</v>
      </c>
      <c r="D4068" s="161" t="str">
        <f>IF(B4068="SEPLAG",VLOOKUP(COMPOSIÇÕES!C4068,'MAPA COMPARATIVO'!A:B,2,FALSE),VLOOKUP(C4068,'NAO DESO'!A:B,2,0))</f>
        <v>ELETRICISTA COM ENCARGOS COMPLEMENTARES</v>
      </c>
      <c r="E4068" s="247" t="s">
        <v>16</v>
      </c>
      <c r="F4068" s="248">
        <v>0.36099999999999999</v>
      </c>
      <c r="G4068" s="242" t="str">
        <f>IF(B4068="SEPLAG",VLOOKUP(CONCATENATE("MEDIANA - ",C4068),COTAÇÃO,5,FALSE),VLOOKUP($C4068,'NAO DESO'!$A:$D,4,))</f>
        <v>21,87</v>
      </c>
      <c r="H4068" s="242">
        <f>TRUNC(F4068*G4068,2)</f>
        <v>7.89</v>
      </c>
      <c r="I4068" s="54" t="str">
        <f>IF(B4068="SEPLAG",VLOOKUP(CONCATENATE("MEDIANA - ",C4068),COTAÇÃO,5,FALSE),VLOOKUP($C4068,DESON!$A:$D,4,))</f>
        <v>19,53</v>
      </c>
      <c r="J4068" s="209">
        <f>TRUNC(F4068*I4068,2)</f>
        <v>7.05</v>
      </c>
    </row>
    <row r="4069" spans="1:10" ht="15" customHeight="1">
      <c r="A4069" s="233" t="s">
        <v>245</v>
      </c>
      <c r="B4069" s="161"/>
      <c r="C4069" s="161">
        <v>88316</v>
      </c>
      <c r="D4069" s="161" t="str">
        <f>IF(B4069="SEPLAG",VLOOKUP(COMPOSIÇÕES!C4069,'MAPA COMPARATIVO'!A:B,2,FALSE),VLOOKUP(C4069,'NAO DESO'!A:B,2,0))</f>
        <v>SERVENTE COM ENCARGOS COMPLEMENTARES</v>
      </c>
      <c r="E4069" s="247" t="s">
        <v>16</v>
      </c>
      <c r="F4069" s="248">
        <v>0.43</v>
      </c>
      <c r="G4069" s="242" t="str">
        <f>IF(B4069="SEPLAG",VLOOKUP(CONCATENATE("MEDIANA - ",C4069),COTAÇÃO,5,FALSE),VLOOKUP($C4069,'NAO DESO'!$A:$D,4,))</f>
        <v>16,83</v>
      </c>
      <c r="H4069" s="242">
        <f>TRUNC(F4069*G4069,2)</f>
        <v>7.23</v>
      </c>
      <c r="I4069" s="54" t="str">
        <f>IF(B4069="SEPLAG",VLOOKUP(CONCATENATE("MEDIANA - ",C4069),COTAÇÃO,5,FALSE),VLOOKUP($C4069,DESON!$A:$D,4,))</f>
        <v>15,16</v>
      </c>
      <c r="J4069" s="209">
        <f>TRUNC(F4069*I4069,2)</f>
        <v>6.51</v>
      </c>
    </row>
    <row r="4070" spans="1:10" ht="39" customHeight="1">
      <c r="A4070" s="233" t="s">
        <v>245</v>
      </c>
      <c r="B4070" s="161"/>
      <c r="C4070" s="161">
        <v>100761</v>
      </c>
      <c r="D4070" s="161" t="str">
        <f>IF(B4070="SEPLAG",VLOOKUP(COMPOSIÇÕES!C4070,'MAPA COMPARATIVO'!A:B,2,FALSE),VLOOKUP(C4070,'NAO DESO'!A:B,2,0))</f>
        <v>PINTURA COM TINTA ALQUÍDICA DE ACABAMENTO (ESMALTE SINTÉTICO FOSCO) PULVERIZADA SOBRE SUPERFÍCIES METÁLICAS (EXCETO PERFIL) EXECUTADO EM OBRA (02 DEMÃOS). AF_01/2020_P</v>
      </c>
      <c r="E4070" s="247" t="s">
        <v>12</v>
      </c>
      <c r="F4070" s="248">
        <v>0.3</v>
      </c>
      <c r="G4070" s="242" t="str">
        <f>IF(B4070="SEPLAG",VLOOKUP(CONCATENATE("MEDIANA - ",C4070),COTAÇÃO,5,FALSE),VLOOKUP($C4070,'NAO DESO'!$A:$D,4,))</f>
        <v>37,28</v>
      </c>
      <c r="H4070" s="242">
        <f>TRUNC(F4070*G4070,2)</f>
        <v>11.18</v>
      </c>
      <c r="I4070" s="54" t="str">
        <f>IF(B4070="SEPLAG",VLOOKUP(CONCATENATE("MEDIANA - ",C4070),COTAÇÃO,5,FALSE),VLOOKUP($C4070,DESON!$A:$D,4,))</f>
        <v>34,93</v>
      </c>
      <c r="J4070" s="209">
        <f>TRUNC(F4070*I4070,2)</f>
        <v>10.47</v>
      </c>
    </row>
    <row r="4071" spans="1:10" ht="15" customHeight="1">
      <c r="A4071" s="233" t="s">
        <v>188</v>
      </c>
      <c r="B4071" s="161" t="s">
        <v>14504</v>
      </c>
      <c r="C4071" s="161" t="s">
        <v>14443</v>
      </c>
      <c r="D4071" s="161" t="str">
        <f>IF(B4071="SEPLAG",VLOOKUP(COMPOSIÇÕES!C4071,'MAPA COMPARATIVO'!A:B,2,FALSE),VLOOKUP(C4071,'NAO DESO'!A:B,2,0))</f>
        <v>T HORIZONTAL 90º P/ELETROCALHA 50X50 MM</v>
      </c>
      <c r="E4071" s="247" t="s">
        <v>24</v>
      </c>
      <c r="F4071" s="248">
        <v>1</v>
      </c>
      <c r="G4071" s="242">
        <f>IF(B4071="SEPLAG",VLOOKUP(CONCATENATE("MEDIANA - ",C4071),COTAÇÃO,5,FALSE),VLOOKUP($C4071,'NAO DESO'!$A:$D,4,))</f>
        <v>27.46</v>
      </c>
      <c r="H4071" s="242">
        <f>TRUNC(F4071*G4071,2)</f>
        <v>27.46</v>
      </c>
      <c r="I4071" s="54">
        <f>IF(B4071="SEPLAG",VLOOKUP(CONCATENATE("MEDIANA - ",C4071),COTAÇÃO,5,FALSE),VLOOKUP($C4071,DESON!$A:$D,4,))</f>
        <v>27.46</v>
      </c>
      <c r="J4071" s="209">
        <f>TRUNC(F4071*I4071,2)</f>
        <v>27.46</v>
      </c>
    </row>
    <row r="4072" spans="1:10" ht="15" customHeight="1">
      <c r="A4072" s="210" t="str">
        <f>CONCATENATE("TOTAL DO ITEM NÃO DESON. - ",C4065)</f>
        <v>TOTAL DO ITEM NÃO DESON. - SEPLAG ELE 83</v>
      </c>
      <c r="B4072" s="432"/>
      <c r="C4072" s="432"/>
      <c r="D4072" s="432"/>
      <c r="E4072" s="430"/>
      <c r="F4072" s="1189"/>
      <c r="G4072" s="1189"/>
      <c r="H4072" s="1189">
        <f>SUM(H4068:H4071)</f>
        <v>53.760000000000005</v>
      </c>
      <c r="I4072" s="213"/>
      <c r="J4072" s="259"/>
    </row>
    <row r="4073" spans="1:10" ht="15.75" customHeight="1" thickBot="1">
      <c r="A4073" s="216" t="str">
        <f>CONCATENATE("TOTAL DO ITEM DESON. - ",C4065)</f>
        <v>TOTAL DO ITEM DESON. - SEPLAG ELE 83</v>
      </c>
      <c r="B4073" s="1148"/>
      <c r="C4073" s="1148"/>
      <c r="D4073" s="1148"/>
      <c r="E4073" s="1142"/>
      <c r="F4073" s="1190"/>
      <c r="G4073" s="1190"/>
      <c r="H4073" s="1190"/>
      <c r="I4073" s="228"/>
      <c r="J4073" s="219">
        <f>SUM(J4068:J4072)</f>
        <v>51.49</v>
      </c>
    </row>
    <row r="4074" spans="1:10" ht="15" customHeight="1" thickBot="1">
      <c r="A4074" s="421"/>
      <c r="B4074" s="1138"/>
      <c r="C4074" s="1138"/>
      <c r="D4074" s="1138"/>
      <c r="E4074" s="1154"/>
      <c r="F4074" s="1196"/>
      <c r="G4074" s="1196"/>
      <c r="H4074" s="1196"/>
      <c r="I4074" s="423"/>
      <c r="J4074" s="422"/>
    </row>
    <row r="4075" spans="1:10" ht="25.5" customHeight="1">
      <c r="A4075" s="256"/>
      <c r="B4075" s="1152"/>
      <c r="C4075" s="1152" t="s">
        <v>13384</v>
      </c>
      <c r="D4075" s="152" t="s">
        <v>13382</v>
      </c>
      <c r="E4075" s="1152" t="s">
        <v>24</v>
      </c>
      <c r="F4075" s="1177" t="s">
        <v>18</v>
      </c>
      <c r="G4075" s="1178" t="s">
        <v>7015</v>
      </c>
      <c r="H4075" s="1179"/>
      <c r="I4075" s="200" t="s">
        <v>7016</v>
      </c>
      <c r="J4075" s="201"/>
    </row>
    <row r="4076" spans="1:10" ht="15" customHeight="1">
      <c r="A4076" s="257"/>
      <c r="B4076" s="430"/>
      <c r="C4076" s="430"/>
      <c r="D4076" s="430"/>
      <c r="E4076" s="430"/>
      <c r="F4076" s="1180"/>
      <c r="G4076" s="1180" t="s">
        <v>19</v>
      </c>
      <c r="H4076" s="1180" t="s">
        <v>20</v>
      </c>
      <c r="I4076" s="204" t="s">
        <v>19</v>
      </c>
      <c r="J4076" s="206" t="s">
        <v>20</v>
      </c>
    </row>
    <row r="4077" spans="1:10" ht="15" customHeight="1">
      <c r="A4077" s="233"/>
      <c r="B4077" s="161"/>
      <c r="C4077" s="161"/>
      <c r="D4077" s="161"/>
      <c r="E4077" s="247"/>
      <c r="F4077" s="248"/>
      <c r="G4077" s="248"/>
      <c r="H4077" s="248"/>
      <c r="I4077" s="214"/>
      <c r="J4077" s="227"/>
    </row>
    <row r="4078" spans="1:10" ht="15" customHeight="1">
      <c r="A4078" s="233" t="s">
        <v>245</v>
      </c>
      <c r="B4078" s="161"/>
      <c r="C4078" s="161">
        <v>88264</v>
      </c>
      <c r="D4078" s="161" t="str">
        <f>IF(B4078="SEPLAG",VLOOKUP(COMPOSIÇÕES!C4078,'MAPA COMPARATIVO'!A:B,2,FALSE),VLOOKUP(C4078,'NAO DESO'!A:B,2,0))</f>
        <v>ELETRICISTA COM ENCARGOS COMPLEMENTARES</v>
      </c>
      <c r="E4078" s="247" t="s">
        <v>16</v>
      </c>
      <c r="F4078" s="248">
        <v>0.1</v>
      </c>
      <c r="G4078" s="242" t="str">
        <f>IF(B4078="SEPLAG",VLOOKUP(CONCATENATE("MEDIANA - ",C4078),COTAÇÃO,5,FALSE),VLOOKUP($C4078,'NAO DESO'!$A:$D,4,))</f>
        <v>21,87</v>
      </c>
      <c r="H4078" s="242">
        <f>TRUNC(F4078*G4078,2)</f>
        <v>2.1800000000000002</v>
      </c>
      <c r="I4078" s="54" t="str">
        <f>IF(B4078="SEPLAG",VLOOKUP(CONCATENATE("MEDIANA - ",C4078),COTAÇÃO,5,FALSE),VLOOKUP($C4078,DESON!$A:$D,4,))</f>
        <v>19,53</v>
      </c>
      <c r="J4078" s="209">
        <f>TRUNC(F4078*I4078,2)</f>
        <v>1.95</v>
      </c>
    </row>
    <row r="4079" spans="1:10" ht="15" customHeight="1">
      <c r="A4079" s="233" t="s">
        <v>245</v>
      </c>
      <c r="B4079" s="161"/>
      <c r="C4079" s="161">
        <v>88316</v>
      </c>
      <c r="D4079" s="161" t="str">
        <f>IF(B4079="SEPLAG",VLOOKUP(COMPOSIÇÕES!C4079,'MAPA COMPARATIVO'!A:B,2,FALSE),VLOOKUP(C4079,'NAO DESO'!A:B,2,0))</f>
        <v>SERVENTE COM ENCARGOS COMPLEMENTARES</v>
      </c>
      <c r="E4079" s="247" t="s">
        <v>16</v>
      </c>
      <c r="F4079" s="248">
        <v>0.1</v>
      </c>
      <c r="G4079" s="242" t="str">
        <f>IF(B4079="SEPLAG",VLOOKUP(CONCATENATE("MEDIANA - ",C4079),COTAÇÃO,5,FALSE),VLOOKUP($C4079,'NAO DESO'!$A:$D,4,))</f>
        <v>16,83</v>
      </c>
      <c r="H4079" s="242">
        <f>TRUNC(F4079*G4079,2)</f>
        <v>1.68</v>
      </c>
      <c r="I4079" s="54" t="str">
        <f>IF(B4079="SEPLAG",VLOOKUP(CONCATENATE("MEDIANA - ",C4079),COTAÇÃO,5,FALSE),VLOOKUP($C4079,DESON!$A:$D,4,))</f>
        <v>15,16</v>
      </c>
      <c r="J4079" s="209">
        <f>TRUNC(F4079*I4079,2)</f>
        <v>1.51</v>
      </c>
    </row>
    <row r="4080" spans="1:10" ht="15" customHeight="1">
      <c r="A4080" s="233" t="s">
        <v>188</v>
      </c>
      <c r="B4080" s="161" t="s">
        <v>14504</v>
      </c>
      <c r="C4080" s="161" t="s">
        <v>14444</v>
      </c>
      <c r="D4080" s="161" t="str">
        <f>IF(B4080="SEPLAG",VLOOKUP(COMPOSIÇÕES!C4080,'MAPA COMPARATIVO'!A:B,2,FALSE),VLOOKUP(C4080,'NAO DESO'!A:B,2,0))</f>
        <v>TALA PLANA PERFURADA 100MM PARA ELETROCALHA METÁLICA.</v>
      </c>
      <c r="E4080" s="247" t="s">
        <v>24</v>
      </c>
      <c r="F4080" s="248">
        <v>1</v>
      </c>
      <c r="G4080" s="242">
        <f>IF(B4080="SEPLAG",VLOOKUP(CONCATENATE("MEDIANA - ",C4080),COTAÇÃO,5,FALSE),VLOOKUP($C4080,'NAO DESO'!$A:$D,4,))</f>
        <v>4.3499999999999996</v>
      </c>
      <c r="H4080" s="242">
        <f>TRUNC(F4080*G4080,2)</f>
        <v>4.3499999999999996</v>
      </c>
      <c r="I4080" s="54">
        <f>IF(B4080="SEPLAG",VLOOKUP(CONCATENATE("MEDIANA - ",C4080),COTAÇÃO,5,FALSE),VLOOKUP($C4080,DESON!$A:$D,4,))</f>
        <v>4.3499999999999996</v>
      </c>
      <c r="J4080" s="209">
        <f>TRUNC(F4080*I4080,2)</f>
        <v>4.3499999999999996</v>
      </c>
    </row>
    <row r="4081" spans="1:10" ht="15" customHeight="1">
      <c r="A4081" s="210" t="str">
        <f>CONCATENATE("TOTAL DO ITEM NÃO DESON. - ",C4075)</f>
        <v>TOTAL DO ITEM NÃO DESON. - SEPLAG ELE 84</v>
      </c>
      <c r="B4081" s="432"/>
      <c r="C4081" s="432"/>
      <c r="D4081" s="432"/>
      <c r="E4081" s="430"/>
      <c r="F4081" s="1189"/>
      <c r="G4081" s="1189"/>
      <c r="H4081" s="1189">
        <f>SUM(H4078:H4080)</f>
        <v>8.2100000000000009</v>
      </c>
      <c r="I4081" s="213"/>
      <c r="J4081" s="259"/>
    </row>
    <row r="4082" spans="1:10" ht="15.75" customHeight="1" thickBot="1">
      <c r="A4082" s="216" t="str">
        <f>CONCATENATE("TOTAL DO ITEM DESON. - ",C4075)</f>
        <v>TOTAL DO ITEM DESON. - SEPLAG ELE 84</v>
      </c>
      <c r="B4082" s="1148"/>
      <c r="C4082" s="1148"/>
      <c r="D4082" s="1148"/>
      <c r="E4082" s="1142"/>
      <c r="F4082" s="1190"/>
      <c r="G4082" s="1190"/>
      <c r="H4082" s="1190"/>
      <c r="I4082" s="228"/>
      <c r="J4082" s="219">
        <f>SUM(J4078:J4081)</f>
        <v>7.81</v>
      </c>
    </row>
    <row r="4083" spans="1:10" ht="15" customHeight="1" thickBot="1">
      <c r="A4083" s="421"/>
      <c r="B4083" s="1138"/>
      <c r="C4083" s="1138"/>
      <c r="D4083" s="1138"/>
      <c r="E4083" s="1154"/>
      <c r="F4083" s="1196"/>
      <c r="G4083" s="1196"/>
      <c r="H4083" s="1196"/>
      <c r="I4083" s="423"/>
      <c r="J4083" s="422"/>
    </row>
    <row r="4084" spans="1:10" ht="15" customHeight="1">
      <c r="A4084" s="256"/>
      <c r="B4084" s="1152"/>
      <c r="C4084" s="1152" t="s">
        <v>13385</v>
      </c>
      <c r="D4084" s="152" t="s">
        <v>13386</v>
      </c>
      <c r="E4084" s="1152" t="s">
        <v>24</v>
      </c>
      <c r="F4084" s="1177" t="s">
        <v>18</v>
      </c>
      <c r="G4084" s="1178" t="s">
        <v>7015</v>
      </c>
      <c r="H4084" s="1179"/>
      <c r="I4084" s="200" t="s">
        <v>7016</v>
      </c>
      <c r="J4084" s="201"/>
    </row>
    <row r="4085" spans="1:10" ht="15" customHeight="1">
      <c r="A4085" s="257"/>
      <c r="B4085" s="430"/>
      <c r="C4085" s="430"/>
      <c r="D4085" s="430"/>
      <c r="E4085" s="430"/>
      <c r="F4085" s="1180"/>
      <c r="G4085" s="1180" t="s">
        <v>19</v>
      </c>
      <c r="H4085" s="1180" t="s">
        <v>20</v>
      </c>
      <c r="I4085" s="204" t="s">
        <v>19</v>
      </c>
      <c r="J4085" s="206" t="s">
        <v>20</v>
      </c>
    </row>
    <row r="4086" spans="1:10" ht="15" customHeight="1">
      <c r="A4086" s="233"/>
      <c r="B4086" s="161"/>
      <c r="C4086" s="161"/>
      <c r="D4086" s="161"/>
      <c r="E4086" s="247"/>
      <c r="F4086" s="248"/>
      <c r="G4086" s="248"/>
      <c r="H4086" s="248"/>
      <c r="I4086" s="214"/>
      <c r="J4086" s="227"/>
    </row>
    <row r="4087" spans="1:10" ht="15" customHeight="1">
      <c r="A4087" s="233" t="s">
        <v>245</v>
      </c>
      <c r="B4087" s="161"/>
      <c r="C4087" s="161">
        <v>88247</v>
      </c>
      <c r="D4087" s="161" t="str">
        <f>IF(B4087="SEPLAG",VLOOKUP(COMPOSIÇÕES!C4087,'MAPA COMPARATIVO'!A:B,2,FALSE),VLOOKUP(C4087,'NAO DESO'!A:B,2,0))</f>
        <v>AUXILIAR DE ELETRICISTA COM ENCARGOS COMPLEMENTARES</v>
      </c>
      <c r="E4087" s="247" t="s">
        <v>16</v>
      </c>
      <c r="F4087" s="248">
        <v>2.5000000000000001E-2</v>
      </c>
      <c r="G4087" s="242" t="str">
        <f>IF(B4087="SEPLAG",VLOOKUP(CONCATENATE("MEDIANA - ",C4087),COTAÇÃO,5,FALSE),VLOOKUP($C4087,'NAO DESO'!$A:$D,4,))</f>
        <v>16,84</v>
      </c>
      <c r="H4087" s="242">
        <f>TRUNC(F4087*G4087,2)</f>
        <v>0.42</v>
      </c>
      <c r="I4087" s="54" t="str">
        <f>IF(B4087="SEPLAG",VLOOKUP(CONCATENATE("MEDIANA - ",C4087),COTAÇÃO,5,FALSE),VLOOKUP($C4087,DESON!$A:$D,4,))</f>
        <v>15,19</v>
      </c>
      <c r="J4087" s="209">
        <f>TRUNC(F4087*I4087,2)</f>
        <v>0.37</v>
      </c>
    </row>
    <row r="4088" spans="1:10" ht="15" customHeight="1">
      <c r="A4088" s="233" t="s">
        <v>245</v>
      </c>
      <c r="B4088" s="161"/>
      <c r="C4088" s="161">
        <v>88264</v>
      </c>
      <c r="D4088" s="161" t="str">
        <f>IF(B4088="SEPLAG",VLOOKUP(COMPOSIÇÕES!C4088,'MAPA COMPARATIVO'!A:B,2,FALSE),VLOOKUP(C4088,'NAO DESO'!A:B,2,0))</f>
        <v>ELETRICISTA COM ENCARGOS COMPLEMENTARES</v>
      </c>
      <c r="E4088" s="247" t="s">
        <v>16</v>
      </c>
      <c r="F4088" s="248">
        <v>0.05</v>
      </c>
      <c r="G4088" s="242" t="str">
        <f>IF(B4088="SEPLAG",VLOOKUP(CONCATENATE("MEDIANA - ",C4088),COTAÇÃO,5,FALSE),VLOOKUP($C4088,'NAO DESO'!$A:$D,4,))</f>
        <v>21,87</v>
      </c>
      <c r="H4088" s="242">
        <f>TRUNC(F4088*G4088,2)</f>
        <v>1.0900000000000001</v>
      </c>
      <c r="I4088" s="54" t="str">
        <f>IF(B4088="SEPLAG",VLOOKUP(CONCATENATE("MEDIANA - ",C4088),COTAÇÃO,5,FALSE),VLOOKUP($C4088,DESON!$A:$D,4,))</f>
        <v>19,53</v>
      </c>
      <c r="J4088" s="209">
        <f>TRUNC(F4088*I4088,2)</f>
        <v>0.97</v>
      </c>
    </row>
    <row r="4089" spans="1:10" ht="26.25" customHeight="1">
      <c r="A4089" s="233" t="s">
        <v>39</v>
      </c>
      <c r="B4089" s="161"/>
      <c r="C4089" s="161">
        <v>395</v>
      </c>
      <c r="D4089" s="161" t="str">
        <f>IF(B4089="SEPLAG",VLOOKUP(COMPOSIÇÕES!C4089,'MAPA COMPARATIVO'!A:B,2,FALSE),VLOOKUP(C4089,'NAO DESO'!A:B,2,0))</f>
        <v>ABRACADEIRA EM ACO PARA AMARRACAO DE ELETRODUTOS, TIPO D, COM 1 1/4" E PARAFUSO DE FIXACAO</v>
      </c>
      <c r="E4089" s="247" t="s">
        <v>427</v>
      </c>
      <c r="F4089" s="248">
        <v>1</v>
      </c>
      <c r="G4089" s="242">
        <f>IF(B4089="SEPLAG",VLOOKUP(CONCATENATE("MEDIANA - ",C4089),COTAÇÃO,5,FALSE),VLOOKUP($C4089,'NAO DESO'!$A:$D,4,))</f>
        <v>4.18</v>
      </c>
      <c r="H4089" s="242">
        <f>TRUNC(F4089*G4089,2)</f>
        <v>4.18</v>
      </c>
      <c r="I4089" s="54" t="str">
        <f>IF(B4089="SEPLAG",VLOOKUP(CONCATENATE("MEDIANA - ",C4089),COTAÇÃO,5,FALSE),VLOOKUP($C4089,DESON!$A:$D,4,))</f>
        <v>4,18</v>
      </c>
      <c r="J4089" s="209">
        <f>TRUNC(F4089*I4089,2)</f>
        <v>4.18</v>
      </c>
    </row>
    <row r="4090" spans="1:10" ht="15" customHeight="1">
      <c r="A4090" s="210" t="str">
        <f>CONCATENATE("TOTAL DO ITEM NÃO DESON. - ",C4084)</f>
        <v>TOTAL DO ITEM NÃO DESON. - SEPLAG ELE 85</v>
      </c>
      <c r="B4090" s="432"/>
      <c r="C4090" s="432"/>
      <c r="D4090" s="432"/>
      <c r="E4090" s="430"/>
      <c r="F4090" s="1189"/>
      <c r="G4090" s="1189"/>
      <c r="H4090" s="1189">
        <f>SUM(H4087:H4089)</f>
        <v>5.6899999999999995</v>
      </c>
      <c r="I4090" s="213"/>
      <c r="J4090" s="259"/>
    </row>
    <row r="4091" spans="1:10" ht="15.75" customHeight="1" thickBot="1">
      <c r="A4091" s="216" t="str">
        <f>CONCATENATE("TOTAL DO ITEM DESON. - ",C4084)</f>
        <v>TOTAL DO ITEM DESON. - SEPLAG ELE 85</v>
      </c>
      <c r="B4091" s="1148"/>
      <c r="C4091" s="1148"/>
      <c r="D4091" s="1148"/>
      <c r="E4091" s="1142"/>
      <c r="F4091" s="1190"/>
      <c r="G4091" s="1190"/>
      <c r="H4091" s="1190"/>
      <c r="I4091" s="228"/>
      <c r="J4091" s="219">
        <f>SUM(J4087:J4090)</f>
        <v>5.52</v>
      </c>
    </row>
    <row r="4092" spans="1:10" ht="15" customHeight="1" thickBot="1">
      <c r="A4092" s="421"/>
      <c r="B4092" s="1138"/>
      <c r="C4092" s="1138"/>
      <c r="D4092" s="1138"/>
      <c r="E4092" s="1154"/>
      <c r="F4092" s="1196"/>
      <c r="G4092" s="1196"/>
      <c r="H4092" s="1196"/>
      <c r="I4092" s="423"/>
      <c r="J4092" s="422"/>
    </row>
    <row r="4093" spans="1:10" ht="15" customHeight="1">
      <c r="A4093" s="256"/>
      <c r="B4093" s="1152"/>
      <c r="C4093" s="1152" t="s">
        <v>13387</v>
      </c>
      <c r="D4093" s="152" t="s">
        <v>13388</v>
      </c>
      <c r="E4093" s="1152" t="s">
        <v>24</v>
      </c>
      <c r="F4093" s="1177" t="s">
        <v>18</v>
      </c>
      <c r="G4093" s="1178" t="s">
        <v>7015</v>
      </c>
      <c r="H4093" s="1179"/>
      <c r="I4093" s="200" t="s">
        <v>7016</v>
      </c>
      <c r="J4093" s="201"/>
    </row>
    <row r="4094" spans="1:10" ht="15" customHeight="1">
      <c r="A4094" s="257"/>
      <c r="B4094" s="430"/>
      <c r="C4094" s="430"/>
      <c r="D4094" s="430"/>
      <c r="E4094" s="430"/>
      <c r="F4094" s="1180"/>
      <c r="G4094" s="1180" t="s">
        <v>19</v>
      </c>
      <c r="H4094" s="1180" t="s">
        <v>20</v>
      </c>
      <c r="I4094" s="204" t="s">
        <v>19</v>
      </c>
      <c r="J4094" s="206" t="s">
        <v>20</v>
      </c>
    </row>
    <row r="4095" spans="1:10" ht="15" customHeight="1">
      <c r="A4095" s="233"/>
      <c r="B4095" s="161"/>
      <c r="C4095" s="161"/>
      <c r="D4095" s="161"/>
      <c r="E4095" s="247"/>
      <c r="F4095" s="248"/>
      <c r="G4095" s="248"/>
      <c r="H4095" s="248"/>
      <c r="I4095" s="214"/>
      <c r="J4095" s="227"/>
    </row>
    <row r="4096" spans="1:10" ht="15" customHeight="1">
      <c r="A4096" s="233" t="s">
        <v>245</v>
      </c>
      <c r="B4096" s="161"/>
      <c r="C4096" s="161">
        <v>88247</v>
      </c>
      <c r="D4096" s="161" t="str">
        <f>IF(B4096="SEPLAG",VLOOKUP(COMPOSIÇÕES!C4096,'MAPA COMPARATIVO'!A:B,2,FALSE),VLOOKUP(C4096,'NAO DESO'!A:B,2,0))</f>
        <v>AUXILIAR DE ELETRICISTA COM ENCARGOS COMPLEMENTARES</v>
      </c>
      <c r="E4096" s="247" t="s">
        <v>16</v>
      </c>
      <c r="F4096" s="248">
        <v>2.5000000000000001E-2</v>
      </c>
      <c r="G4096" s="242" t="str">
        <f>IF(B4096="SEPLAG",VLOOKUP(CONCATENATE("MEDIANA - ",C4096),COTAÇÃO,5,FALSE),VLOOKUP($C4096,'NAO DESO'!$A:$D,4,))</f>
        <v>16,84</v>
      </c>
      <c r="H4096" s="242">
        <f>TRUNC(F4096*G4096,2)</f>
        <v>0.42</v>
      </c>
      <c r="I4096" s="54" t="str">
        <f>IF(B4096="SEPLAG",VLOOKUP(CONCATENATE("MEDIANA - ",C4096),COTAÇÃO,5,FALSE),VLOOKUP($C4096,DESON!$A:$D,4,))</f>
        <v>15,19</v>
      </c>
      <c r="J4096" s="209">
        <f>TRUNC(F4096*I4096,2)</f>
        <v>0.37</v>
      </c>
    </row>
    <row r="4097" spans="1:10" ht="15" customHeight="1">
      <c r="A4097" s="233" t="s">
        <v>245</v>
      </c>
      <c r="B4097" s="161"/>
      <c r="C4097" s="161">
        <v>88264</v>
      </c>
      <c r="D4097" s="161" t="str">
        <f>IF(B4097="SEPLAG",VLOOKUP(COMPOSIÇÕES!C4097,'MAPA COMPARATIVO'!A:B,2,FALSE),VLOOKUP(C4097,'NAO DESO'!A:B,2,0))</f>
        <v>ELETRICISTA COM ENCARGOS COMPLEMENTARES</v>
      </c>
      <c r="E4097" s="247" t="s">
        <v>16</v>
      </c>
      <c r="F4097" s="248">
        <v>0.05</v>
      </c>
      <c r="G4097" s="242" t="str">
        <f>IF(B4097="SEPLAG",VLOOKUP(CONCATENATE("MEDIANA - ",C4097),COTAÇÃO,5,FALSE),VLOOKUP($C4097,'NAO DESO'!$A:$D,4,))</f>
        <v>21,87</v>
      </c>
      <c r="H4097" s="242">
        <f>TRUNC(F4097*G4097,2)</f>
        <v>1.0900000000000001</v>
      </c>
      <c r="I4097" s="54" t="str">
        <f>IF(B4097="SEPLAG",VLOOKUP(CONCATENATE("MEDIANA - ",C4097),COTAÇÃO,5,FALSE),VLOOKUP($C4097,DESON!$A:$D,4,))</f>
        <v>19,53</v>
      </c>
      <c r="J4097" s="209">
        <f>TRUNC(F4097*I4097,2)</f>
        <v>0.97</v>
      </c>
    </row>
    <row r="4098" spans="1:10" ht="26.25" customHeight="1">
      <c r="A4098" s="233" t="s">
        <v>39</v>
      </c>
      <c r="B4098" s="161"/>
      <c r="C4098" s="161">
        <v>39132</v>
      </c>
      <c r="D4098" s="161" t="str">
        <f>IF(B4098="SEPLAG",VLOOKUP(COMPOSIÇÕES!C4098,'MAPA COMPARATIVO'!A:B,2,FALSE),VLOOKUP(C4098,'NAO DESO'!A:B,2,0))</f>
        <v>ABRACADEIRA EM ACO PARA AMARRACAO DE ELETRODUTOS, TIPO D, COM 2" E CUNHA DE FIXACAO</v>
      </c>
      <c r="E4098" s="247" t="s">
        <v>427</v>
      </c>
      <c r="F4098" s="248">
        <v>1</v>
      </c>
      <c r="G4098" s="242">
        <f>IF(B4098="SEPLAG",VLOOKUP(CONCATENATE("MEDIANA - ",C4098),COTAÇÃO,5,FALSE),VLOOKUP($C4098,'NAO DESO'!$A:$D,4,))</f>
        <v>4.5</v>
      </c>
      <c r="H4098" s="242">
        <f>TRUNC(F4098*G4098,2)</f>
        <v>4.5</v>
      </c>
      <c r="I4098" s="54" t="str">
        <f>IF(B4098="SEPLAG",VLOOKUP(CONCATENATE("MEDIANA - ",C4098),COTAÇÃO,5,FALSE),VLOOKUP($C4098,DESON!$A:$D,4,))</f>
        <v>4,50</v>
      </c>
      <c r="J4098" s="209">
        <f>TRUNC(F4098*I4098,2)</f>
        <v>4.5</v>
      </c>
    </row>
    <row r="4099" spans="1:10" ht="15" customHeight="1">
      <c r="A4099" s="210" t="str">
        <f>CONCATENATE("TOTAL DO ITEM NÃO DESON. - ",C4093)</f>
        <v>TOTAL DO ITEM NÃO DESON. - SEPLAG ELE 86</v>
      </c>
      <c r="B4099" s="432"/>
      <c r="C4099" s="432"/>
      <c r="D4099" s="432"/>
      <c r="E4099" s="430"/>
      <c r="F4099" s="1189"/>
      <c r="G4099" s="1189"/>
      <c r="H4099" s="1189">
        <f>SUM(H4096:H4098)</f>
        <v>6.01</v>
      </c>
      <c r="I4099" s="213"/>
      <c r="J4099" s="259"/>
    </row>
    <row r="4100" spans="1:10" ht="15.75" customHeight="1" thickBot="1">
      <c r="A4100" s="216" t="str">
        <f>CONCATENATE("TOTAL DO ITEM DESON. - ",C4093)</f>
        <v>TOTAL DO ITEM DESON. - SEPLAG ELE 86</v>
      </c>
      <c r="B4100" s="1148"/>
      <c r="C4100" s="1148"/>
      <c r="D4100" s="1148"/>
      <c r="E4100" s="1142"/>
      <c r="F4100" s="1190"/>
      <c r="G4100" s="1190"/>
      <c r="H4100" s="1190"/>
      <c r="I4100" s="228"/>
      <c r="J4100" s="219">
        <f>SUM(J4096:J4099)</f>
        <v>5.84</v>
      </c>
    </row>
    <row r="4101" spans="1:10" ht="15" customHeight="1" thickBot="1">
      <c r="A4101" s="421"/>
      <c r="B4101" s="1138"/>
      <c r="C4101" s="1138"/>
      <c r="D4101" s="1138"/>
      <c r="E4101" s="1154"/>
      <c r="F4101" s="1196"/>
      <c r="G4101" s="1196"/>
      <c r="H4101" s="1196"/>
      <c r="I4101" s="423"/>
      <c r="J4101" s="422"/>
    </row>
    <row r="4102" spans="1:10" ht="25.5" customHeight="1">
      <c r="A4102" s="256"/>
      <c r="B4102" s="1152"/>
      <c r="C4102" s="1152" t="s">
        <v>13381</v>
      </c>
      <c r="D4102" s="152" t="s">
        <v>13389</v>
      </c>
      <c r="E4102" s="1152" t="s">
        <v>24</v>
      </c>
      <c r="F4102" s="1177" t="s">
        <v>18</v>
      </c>
      <c r="G4102" s="1178" t="s">
        <v>7015</v>
      </c>
      <c r="H4102" s="1179"/>
      <c r="I4102" s="200" t="s">
        <v>7016</v>
      </c>
      <c r="J4102" s="201"/>
    </row>
    <row r="4103" spans="1:10" ht="15" customHeight="1">
      <c r="A4103" s="257"/>
      <c r="B4103" s="430"/>
      <c r="C4103" s="430"/>
      <c r="D4103" s="430"/>
      <c r="E4103" s="430"/>
      <c r="F4103" s="1180"/>
      <c r="G4103" s="1180" t="s">
        <v>19</v>
      </c>
      <c r="H4103" s="1180" t="s">
        <v>20</v>
      </c>
      <c r="I4103" s="204" t="s">
        <v>19</v>
      </c>
      <c r="J4103" s="206" t="s">
        <v>20</v>
      </c>
    </row>
    <row r="4104" spans="1:10" ht="15" customHeight="1">
      <c r="A4104" s="233"/>
      <c r="B4104" s="161"/>
      <c r="C4104" s="161"/>
      <c r="D4104" s="161"/>
      <c r="E4104" s="247"/>
      <c r="F4104" s="248"/>
      <c r="G4104" s="248"/>
      <c r="H4104" s="248"/>
      <c r="I4104" s="214"/>
      <c r="J4104" s="227"/>
    </row>
    <row r="4105" spans="1:10" ht="15" customHeight="1">
      <c r="A4105" s="233" t="s">
        <v>245</v>
      </c>
      <c r="B4105" s="161"/>
      <c r="C4105" s="161">
        <v>88247</v>
      </c>
      <c r="D4105" s="161" t="str">
        <f>IF(B4105="SEPLAG",VLOOKUP(COMPOSIÇÕES!C4105,'MAPA COMPARATIVO'!A:B,2,FALSE),VLOOKUP(C4105,'NAO DESO'!A:B,2,0))</f>
        <v>AUXILIAR DE ELETRICISTA COM ENCARGOS COMPLEMENTARES</v>
      </c>
      <c r="E4105" s="247" t="s">
        <v>16</v>
      </c>
      <c r="F4105" s="248">
        <v>0.28000000000000003</v>
      </c>
      <c r="G4105" s="242" t="str">
        <f>IF(B4105="SEPLAG",VLOOKUP(CONCATENATE("MEDIANA - ",C4105),COTAÇÃO,5,FALSE),VLOOKUP($C4105,'NAO DESO'!$A:$D,4,))</f>
        <v>16,84</v>
      </c>
      <c r="H4105" s="242">
        <f>TRUNC(F4105*G4105,2)</f>
        <v>4.71</v>
      </c>
      <c r="I4105" s="54" t="str">
        <f>IF(B4105="SEPLAG",VLOOKUP(CONCATENATE("MEDIANA - ",C4105),COTAÇÃO,5,FALSE),VLOOKUP($C4105,DESON!$A:$D,4,))</f>
        <v>15,19</v>
      </c>
      <c r="J4105" s="209">
        <f>TRUNC(F4105*I4105,2)</f>
        <v>4.25</v>
      </c>
    </row>
    <row r="4106" spans="1:10" ht="15" customHeight="1">
      <c r="A4106" s="233" t="s">
        <v>245</v>
      </c>
      <c r="B4106" s="161"/>
      <c r="C4106" s="161">
        <v>88264</v>
      </c>
      <c r="D4106" s="161" t="str">
        <f>IF(B4106="SEPLAG",VLOOKUP(COMPOSIÇÕES!C4106,'MAPA COMPARATIVO'!A:B,2,FALSE),VLOOKUP(C4106,'NAO DESO'!A:B,2,0))</f>
        <v>ELETRICISTA COM ENCARGOS COMPLEMENTARES</v>
      </c>
      <c r="E4106" s="247" t="s">
        <v>16</v>
      </c>
      <c r="F4106" s="248">
        <v>0.28000000000000003</v>
      </c>
      <c r="G4106" s="242" t="str">
        <f>IF(B4106="SEPLAG",VLOOKUP(CONCATENATE("MEDIANA - ",C4106),COTAÇÃO,5,FALSE),VLOOKUP($C4106,'NAO DESO'!$A:$D,4,))</f>
        <v>21,87</v>
      </c>
      <c r="H4106" s="242">
        <f>TRUNC(F4106*G4106,2)</f>
        <v>6.12</v>
      </c>
      <c r="I4106" s="54" t="str">
        <f>IF(B4106="SEPLAG",VLOOKUP(CONCATENATE("MEDIANA - ",C4106),COTAÇÃO,5,FALSE),VLOOKUP($C4106,DESON!$A:$D,4,))</f>
        <v>19,53</v>
      </c>
      <c r="J4106" s="209">
        <f>TRUNC(F4106*I4106,2)</f>
        <v>5.46</v>
      </c>
    </row>
    <row r="4107" spans="1:10" ht="39" customHeight="1">
      <c r="A4107" s="233" t="s">
        <v>39</v>
      </c>
      <c r="B4107" s="161"/>
      <c r="C4107" s="161">
        <v>91173</v>
      </c>
      <c r="D4107" s="161" t="str">
        <f>IF(B4107="SEPLAG",VLOOKUP(COMPOSIÇÕES!C4107,'MAPA COMPARATIVO'!A:B,2,FALSE),VLOOKUP(C4107,'NAO DESO'!A:B,2,0))</f>
        <v>FIXAÇÃO DE TUBOS VERTICAIS DE PPR DIÂMETROS MENORES OU IGUAIS A 40 MM COM ABRAÇADEIRA METÁLICA RÍGIDA TIPO D 1/2", FIXADA EM PERFILADO EM ALVENARIA. AF_05/2015</v>
      </c>
      <c r="E4107" s="247" t="s">
        <v>40</v>
      </c>
      <c r="F4107" s="248">
        <v>2</v>
      </c>
      <c r="G4107" s="242" t="str">
        <f>IF(B4107="SEPLAG",VLOOKUP(CONCATENATE("MEDIANA - ",C4107),COTAÇÃO,5,FALSE),VLOOKUP($C4107,'NAO DESO'!$A:$D,4,))</f>
        <v>1,51</v>
      </c>
      <c r="H4107" s="242">
        <f>TRUNC(F4107*G4107,2)</f>
        <v>3.02</v>
      </c>
      <c r="I4107" s="54" t="str">
        <f>IF(B4107="SEPLAG",VLOOKUP(CONCATENATE("MEDIANA - ",C4107),COTAÇÃO,5,FALSE),VLOOKUP($C4107,DESON!$A:$D,4,))</f>
        <v>1,42</v>
      </c>
      <c r="J4107" s="209">
        <f>TRUNC(F4107*I4107,2)</f>
        <v>2.84</v>
      </c>
    </row>
    <row r="4108" spans="1:10" ht="26.25" customHeight="1">
      <c r="A4108" s="233" t="s">
        <v>39</v>
      </c>
      <c r="B4108" s="161"/>
      <c r="C4108" s="161">
        <v>2643</v>
      </c>
      <c r="D4108" s="161" t="str">
        <f>IF(B4108="SEPLAG",VLOOKUP(COMPOSIÇÕES!C4108,'MAPA COMPARATIVO'!A:B,2,FALSE),VLOOKUP(C4108,'NAO DESO'!A:B,2,0))</f>
        <v>LUVA PARA ELETRODUTO, EM ACO GALVANIZADO ELETROLITICO, DIAMETRO DE 50 MM (2")</v>
      </c>
      <c r="E4108" s="247" t="s">
        <v>427</v>
      </c>
      <c r="F4108" s="248">
        <v>0.33300000000000002</v>
      </c>
      <c r="G4108" s="242">
        <f>IF(B4108="SEPLAG",VLOOKUP(CONCATENATE("MEDIANA - ",C4108),COTAÇÃO,5,FALSE),VLOOKUP($C4108,'NAO DESO'!$A:$D,4,))</f>
        <v>8.2799999999999994</v>
      </c>
      <c r="H4108" s="242">
        <f>TRUNC(F4108*G4108,2)</f>
        <v>2.75</v>
      </c>
      <c r="I4108" s="54" t="str">
        <f>IF(B4108="SEPLAG",VLOOKUP(CONCATENATE("MEDIANA - ",C4108),COTAÇÃO,5,FALSE),VLOOKUP($C4108,DESON!$A:$D,4,))</f>
        <v>8,28</v>
      </c>
      <c r="J4108" s="209">
        <f>TRUNC(F4108*I4108,2)</f>
        <v>2.75</v>
      </c>
    </row>
    <row r="4109" spans="1:10" ht="26.25" customHeight="1">
      <c r="A4109" s="233" t="s">
        <v>39</v>
      </c>
      <c r="B4109" s="161"/>
      <c r="C4109" s="161">
        <v>2644</v>
      </c>
      <c r="D4109" s="161" t="str">
        <f>IF(B4109="SEPLAG",VLOOKUP(COMPOSIÇÕES!C4109,'MAPA COMPARATIVO'!A:B,2,FALSE),VLOOKUP(C4109,'NAO DESO'!A:B,2,0))</f>
        <v>LUVA PARA ELETRODUTO, EM ACO GALVANIZADO ELETROLITICO, DIAMETRO DE 40 MM (1 1/2")</v>
      </c>
      <c r="E4109" s="247" t="s">
        <v>427</v>
      </c>
      <c r="F4109" s="248">
        <v>1.05</v>
      </c>
      <c r="G4109" s="242">
        <f>IF(B4109="SEPLAG",VLOOKUP(CONCATENATE("MEDIANA - ",C4109),COTAÇÃO,5,FALSE),VLOOKUP($C4109,'NAO DESO'!$A:$D,4,))</f>
        <v>5.94</v>
      </c>
      <c r="H4109" s="242">
        <f>TRUNC(F4109*G4109,2)</f>
        <v>6.23</v>
      </c>
      <c r="I4109" s="54" t="str">
        <f>IF(B4109="SEPLAG",VLOOKUP(CONCATENATE("MEDIANA - ",C4109),COTAÇÃO,5,FALSE),VLOOKUP($C4109,DESON!$A:$D,4,))</f>
        <v>5,94</v>
      </c>
      <c r="J4109" s="209">
        <f>TRUNC(F4109*I4109,2)</f>
        <v>6.23</v>
      </c>
    </row>
    <row r="4110" spans="1:10" ht="15" customHeight="1">
      <c r="A4110" s="210" t="str">
        <f>CONCATENATE("TOTAL DO ITEM NÃO DESON. - ",C4102)</f>
        <v>TOTAL DO ITEM NÃO DESON. - SEPLAG ELE 87</v>
      </c>
      <c r="B4110" s="432"/>
      <c r="C4110" s="432"/>
      <c r="D4110" s="432"/>
      <c r="E4110" s="430"/>
      <c r="F4110" s="1189"/>
      <c r="G4110" s="1189"/>
      <c r="H4110" s="1189">
        <f>SUM(H4105:H4109)</f>
        <v>22.830000000000002</v>
      </c>
      <c r="I4110" s="213"/>
      <c r="J4110" s="259"/>
    </row>
    <row r="4111" spans="1:10" ht="15.75" customHeight="1" thickBot="1">
      <c r="A4111" s="216" t="str">
        <f>CONCATENATE("TOTAL DO ITEM DESON. - ",C4102)</f>
        <v>TOTAL DO ITEM DESON. - SEPLAG ELE 87</v>
      </c>
      <c r="B4111" s="1148"/>
      <c r="C4111" s="1148"/>
      <c r="D4111" s="1148"/>
      <c r="E4111" s="1142"/>
      <c r="F4111" s="1190"/>
      <c r="G4111" s="1190"/>
      <c r="H4111" s="1190"/>
      <c r="I4111" s="228"/>
      <c r="J4111" s="219">
        <f>SUM(J4105:J4110)</f>
        <v>21.53</v>
      </c>
    </row>
    <row r="4112" spans="1:10" ht="15" customHeight="1" thickBot="1">
      <c r="A4112" s="421"/>
      <c r="B4112" s="1138"/>
      <c r="C4112" s="1138"/>
      <c r="D4112" s="1138"/>
      <c r="E4112" s="1154"/>
      <c r="F4112" s="1196"/>
      <c r="G4112" s="1196"/>
      <c r="H4112" s="1196"/>
      <c r="I4112" s="423"/>
      <c r="J4112" s="422"/>
    </row>
    <row r="4113" spans="1:10" ht="15" customHeight="1">
      <c r="A4113" s="256"/>
      <c r="B4113" s="1152"/>
      <c r="C4113" s="1152" t="s">
        <v>13390</v>
      </c>
      <c r="D4113" s="152" t="s">
        <v>13391</v>
      </c>
      <c r="E4113" s="1152" t="s">
        <v>24</v>
      </c>
      <c r="F4113" s="1177" t="s">
        <v>18</v>
      </c>
      <c r="G4113" s="1178" t="s">
        <v>7015</v>
      </c>
      <c r="H4113" s="1179"/>
      <c r="I4113" s="200" t="s">
        <v>7016</v>
      </c>
      <c r="J4113" s="201"/>
    </row>
    <row r="4114" spans="1:10" ht="15" customHeight="1">
      <c r="A4114" s="257"/>
      <c r="B4114" s="430"/>
      <c r="C4114" s="430"/>
      <c r="D4114" s="430"/>
      <c r="E4114" s="430"/>
      <c r="F4114" s="1180"/>
      <c r="G4114" s="1180" t="s">
        <v>19</v>
      </c>
      <c r="H4114" s="1180" t="s">
        <v>20</v>
      </c>
      <c r="I4114" s="204" t="s">
        <v>19</v>
      </c>
      <c r="J4114" s="206" t="s">
        <v>20</v>
      </c>
    </row>
    <row r="4115" spans="1:10" ht="15" customHeight="1">
      <c r="A4115" s="233"/>
      <c r="B4115" s="161"/>
      <c r="C4115" s="161"/>
      <c r="D4115" s="161"/>
      <c r="E4115" s="247"/>
      <c r="F4115" s="248"/>
      <c r="G4115" s="248"/>
      <c r="H4115" s="248"/>
      <c r="I4115" s="214"/>
      <c r="J4115" s="227"/>
    </row>
    <row r="4116" spans="1:10" ht="15" customHeight="1">
      <c r="A4116" s="233" t="s">
        <v>245</v>
      </c>
      <c r="B4116" s="161"/>
      <c r="C4116" s="161">
        <v>88264</v>
      </c>
      <c r="D4116" s="161" t="str">
        <f>IF(B4116="SEPLAG",VLOOKUP(COMPOSIÇÕES!C4116,'MAPA COMPARATIVO'!A:B,2,FALSE),VLOOKUP(C4116,'NAO DESO'!A:B,2,0))</f>
        <v>ELETRICISTA COM ENCARGOS COMPLEMENTARES</v>
      </c>
      <c r="E4116" s="247" t="s">
        <v>16</v>
      </c>
      <c r="F4116" s="248">
        <v>0.18</v>
      </c>
      <c r="G4116" s="242" t="str">
        <f>IF(B4116="SEPLAG",VLOOKUP(CONCATENATE("MEDIANA - ",C4116),COTAÇÃO,5,FALSE),VLOOKUP($C4116,'NAO DESO'!$A:$D,4,))</f>
        <v>21,87</v>
      </c>
      <c r="H4116" s="242">
        <f>TRUNC(F4116*G4116,2)</f>
        <v>3.93</v>
      </c>
      <c r="I4116" s="54" t="str">
        <f>IF(B4116="SEPLAG",VLOOKUP(CONCATENATE("MEDIANA - ",C4116),COTAÇÃO,5,FALSE),VLOOKUP($C4116,DESON!$A:$D,4,))</f>
        <v>19,53</v>
      </c>
      <c r="J4116" s="209">
        <f>TRUNC(F4116*I4116,2)</f>
        <v>3.51</v>
      </c>
    </row>
    <row r="4117" spans="1:10" ht="15" customHeight="1">
      <c r="A4117" s="233" t="s">
        <v>245</v>
      </c>
      <c r="B4117" s="161"/>
      <c r="C4117" s="161">
        <v>88316</v>
      </c>
      <c r="D4117" s="161" t="str">
        <f>IF(B4117="SEPLAG",VLOOKUP(COMPOSIÇÕES!C4117,'MAPA COMPARATIVO'!A:B,2,FALSE),VLOOKUP(C4117,'NAO DESO'!A:B,2,0))</f>
        <v>SERVENTE COM ENCARGOS COMPLEMENTARES</v>
      </c>
      <c r="E4117" s="247" t="s">
        <v>16</v>
      </c>
      <c r="F4117" s="248">
        <v>0.09</v>
      </c>
      <c r="G4117" s="242" t="str">
        <f>IF(B4117="SEPLAG",VLOOKUP(CONCATENATE("MEDIANA - ",C4117),COTAÇÃO,5,FALSE),VLOOKUP($C4117,'NAO DESO'!$A:$D,4,))</f>
        <v>16,83</v>
      </c>
      <c r="H4117" s="242">
        <f>TRUNC(F4117*G4117,2)</f>
        <v>1.51</v>
      </c>
      <c r="I4117" s="54" t="str">
        <f>IF(B4117="SEPLAG",VLOOKUP(CONCATENATE("MEDIANA - ",C4117),COTAÇÃO,5,FALSE),VLOOKUP($C4117,DESON!$A:$D,4,))</f>
        <v>15,16</v>
      </c>
      <c r="J4117" s="209">
        <f>TRUNC(F4117*I4117,2)</f>
        <v>1.36</v>
      </c>
    </row>
    <row r="4118" spans="1:10" ht="15" customHeight="1">
      <c r="A4118" s="233" t="s">
        <v>188</v>
      </c>
      <c r="B4118" s="161" t="s">
        <v>14504</v>
      </c>
      <c r="C4118" s="161" t="s">
        <v>14445</v>
      </c>
      <c r="D4118" s="161" t="str">
        <f>IF(B4118="SEPLAG",VLOOKUP(COMPOSIÇÕES!C4118,'MAPA COMPARATIVO'!A:B,2,FALSE),VLOOKUP(C4118,'NAO DESO'!A:B,2,0))</f>
        <v>Rack Piso Fechado 44U x 700mm</v>
      </c>
      <c r="E4118" s="247" t="s">
        <v>24</v>
      </c>
      <c r="F4118" s="248">
        <v>1</v>
      </c>
      <c r="G4118" s="242">
        <f>IF(B4118="SEPLAG",VLOOKUP(CONCATENATE("MEDIANA - ",C4118),COTAÇÃO,5,FALSE),VLOOKUP($C4118,'NAO DESO'!$A:$D,4,))</f>
        <v>3559.46</v>
      </c>
      <c r="H4118" s="242">
        <f>TRUNC(F4118*G4118,2)</f>
        <v>3559.46</v>
      </c>
      <c r="I4118" s="54">
        <f>IF(B4118="SEPLAG",VLOOKUP(CONCATENATE("MEDIANA - ",C4118),COTAÇÃO,5,FALSE),VLOOKUP($C4118,DESON!$A:$D,4,))</f>
        <v>3559.46</v>
      </c>
      <c r="J4118" s="209">
        <f>TRUNC(F4118*I4118,2)</f>
        <v>3559.46</v>
      </c>
    </row>
    <row r="4119" spans="1:10" ht="15" customHeight="1">
      <c r="A4119" s="210" t="str">
        <f>CONCATENATE("TOTAL DO ITEM NÃO DESON. - ",C4113)</f>
        <v>TOTAL DO ITEM NÃO DESON. - SEPLAG ELE 88</v>
      </c>
      <c r="B4119" s="432"/>
      <c r="C4119" s="432"/>
      <c r="D4119" s="432"/>
      <c r="E4119" s="430"/>
      <c r="F4119" s="1189"/>
      <c r="G4119" s="1189"/>
      <c r="H4119" s="1189">
        <f>SUM(H4116:H4118)</f>
        <v>3564.9</v>
      </c>
      <c r="I4119" s="213"/>
      <c r="J4119" s="259"/>
    </row>
    <row r="4120" spans="1:10" ht="15.75" customHeight="1" thickBot="1">
      <c r="A4120" s="216" t="str">
        <f>CONCATENATE("TOTAL DO ITEM DESON. - ",C4113)</f>
        <v>TOTAL DO ITEM DESON. - SEPLAG ELE 88</v>
      </c>
      <c r="B4120" s="1148"/>
      <c r="C4120" s="1148"/>
      <c r="D4120" s="1148"/>
      <c r="E4120" s="1142"/>
      <c r="F4120" s="1190"/>
      <c r="G4120" s="1190"/>
      <c r="H4120" s="1190"/>
      <c r="I4120" s="228"/>
      <c r="J4120" s="219">
        <f>SUM(J4116:J4119)</f>
        <v>3564.33</v>
      </c>
    </row>
    <row r="4121" spans="1:10" ht="15" customHeight="1">
      <c r="A4121" s="457"/>
      <c r="B4121" s="1150"/>
      <c r="C4121" s="1150"/>
      <c r="D4121" s="1150"/>
      <c r="E4121" s="1223"/>
      <c r="F4121" s="1224"/>
      <c r="G4121" s="1224"/>
      <c r="H4121" s="1224"/>
      <c r="I4121" s="459"/>
      <c r="J4121" s="458"/>
    </row>
    <row r="4122" spans="1:10" ht="15" customHeight="1" thickBot="1"/>
    <row r="4123" spans="1:10" ht="25.5" customHeight="1">
      <c r="A4123" s="256"/>
      <c r="B4123" s="1146"/>
      <c r="C4123" s="1146" t="s">
        <v>14553</v>
      </c>
      <c r="D4123" s="1146" t="s">
        <v>14554</v>
      </c>
      <c r="E4123" s="1152" t="s">
        <v>24</v>
      </c>
      <c r="F4123" s="1225" t="s">
        <v>18</v>
      </c>
      <c r="G4123" s="1178" t="s">
        <v>7015</v>
      </c>
      <c r="H4123" s="1179"/>
      <c r="I4123" s="200" t="s">
        <v>7016</v>
      </c>
      <c r="J4123" s="201"/>
    </row>
    <row r="4124" spans="1:10" ht="15" customHeight="1">
      <c r="A4124" s="257"/>
      <c r="B4124" s="432"/>
      <c r="C4124" s="432"/>
      <c r="D4124" s="432"/>
      <c r="E4124" s="430"/>
      <c r="F4124" s="1189"/>
      <c r="G4124" s="1189" t="s">
        <v>19</v>
      </c>
      <c r="H4124" s="1189" t="s">
        <v>20</v>
      </c>
      <c r="I4124" s="205" t="s">
        <v>19</v>
      </c>
      <c r="J4124" s="431" t="s">
        <v>20</v>
      </c>
    </row>
    <row r="4125" spans="1:10" ht="15" customHeight="1">
      <c r="A4125" s="233"/>
      <c r="B4125" s="161"/>
      <c r="C4125" s="161"/>
      <c r="D4125" s="161" t="s">
        <v>7584</v>
      </c>
      <c r="E4125" s="247"/>
      <c r="F4125" s="248"/>
      <c r="G4125" s="248"/>
      <c r="H4125" s="248"/>
      <c r="I4125" s="214"/>
      <c r="J4125" s="227"/>
    </row>
    <row r="4126" spans="1:10" ht="15" customHeight="1">
      <c r="A4126" s="233" t="s">
        <v>188</v>
      </c>
      <c r="B4126" s="161" t="s">
        <v>14504</v>
      </c>
      <c r="C4126" s="161" t="s">
        <v>14556</v>
      </c>
      <c r="D4126" s="161" t="str">
        <f>IF(B4126="SEPLAG",VLOOKUP(COMPOSIÇÕES!C4126,'MAPA COMPARATIVO'!A:B,2,FALSE),VLOOKUP(C4126,'NAO DESO'!A:B,2,0))</f>
        <v>Luminária LED SLIM de Sobrepor 36w</v>
      </c>
      <c r="E4126" s="247" t="s">
        <v>7201</v>
      </c>
      <c r="F4126" s="248">
        <v>1</v>
      </c>
      <c r="G4126" s="242">
        <f>IF(B4126="SEPLAG",VLOOKUP(CONCATENATE("MEDIANA - ",C4126),COTAÇÃO,5,FALSE),VLOOKUP($C4126,'NAO DESO'!$A:$D,4,))</f>
        <v>49.295999999999999</v>
      </c>
      <c r="H4126" s="242">
        <f>TRUNC(F4126*G4126,2)</f>
        <v>49.29</v>
      </c>
      <c r="I4126" s="54">
        <f>IF(B4126="SEPLAG",VLOOKUP(CONCATENATE("MEDIANA - ",C4126),COTAÇÃO,5,FALSE),VLOOKUP($C4126,DESON!$A:$D,4,))</f>
        <v>49.295999999999999</v>
      </c>
      <c r="J4126" s="209">
        <f>TRUNC(F4126*I4126,2)</f>
        <v>49.29</v>
      </c>
    </row>
    <row r="4127" spans="1:10" ht="15" customHeight="1">
      <c r="A4127" s="233" t="s">
        <v>245</v>
      </c>
      <c r="B4127" s="161"/>
      <c r="C4127" s="161">
        <v>88247</v>
      </c>
      <c r="D4127" s="161" t="str">
        <f>IF(B4127="SEPLAG",VLOOKUP(COMPOSIÇÕES!C4127,'MAPA COMPARATIVO'!A:B,2,FALSE),VLOOKUP(C4127,'NAO DESO'!A:B,2,0))</f>
        <v>AUXILIAR DE ELETRICISTA COM ENCARGOS COMPLEMENTARES</v>
      </c>
      <c r="E4127" s="247" t="s">
        <v>16</v>
      </c>
      <c r="F4127" s="248">
        <v>0.18329999999999999</v>
      </c>
      <c r="G4127" s="242" t="str">
        <f>IF(B4127="SEPLAG",VLOOKUP(CONCATENATE("MEDIANA - ",C4127),COTAÇÃO,5,FALSE),VLOOKUP($C4127,'NAO DESO'!$A:$D,4,))</f>
        <v>16,84</v>
      </c>
      <c r="H4127" s="242">
        <f>TRUNC(F4127*G4127,2)</f>
        <v>3.08</v>
      </c>
      <c r="I4127" s="54" t="str">
        <f>IF(B4127="SEPLAG",VLOOKUP(CONCATENATE("MEDIANA - ",C4127),COTAÇÃO,5,FALSE),VLOOKUP($C4127,DESON!$A:$D,4,))</f>
        <v>15,19</v>
      </c>
      <c r="J4127" s="209">
        <f>TRUNC(F4127*I4127,2)</f>
        <v>2.78</v>
      </c>
    </row>
    <row r="4128" spans="1:10" ht="15" customHeight="1">
      <c r="A4128" s="233" t="s">
        <v>245</v>
      </c>
      <c r="B4128" s="161"/>
      <c r="C4128" s="161">
        <v>88264</v>
      </c>
      <c r="D4128" s="161" t="str">
        <f>IF(B4128="SEPLAG",VLOOKUP(COMPOSIÇÕES!C4128,'MAPA COMPARATIVO'!A:B,2,FALSE),VLOOKUP(C4128,'NAO DESO'!A:B,2,0))</f>
        <v>ELETRICISTA COM ENCARGOS COMPLEMENTARES</v>
      </c>
      <c r="E4128" s="247" t="s">
        <v>16</v>
      </c>
      <c r="F4128" s="248">
        <v>0.45179999999999998</v>
      </c>
      <c r="G4128" s="242" t="str">
        <f>IF(B4128="SEPLAG",VLOOKUP(CONCATENATE("MEDIANA - ",C4128),COTAÇÃO,5,FALSE),VLOOKUP($C4128,'NAO DESO'!$A:$D,4,))</f>
        <v>21,87</v>
      </c>
      <c r="H4128" s="242">
        <f>TRUNC(F4128*G4128,2)</f>
        <v>9.8800000000000008</v>
      </c>
      <c r="I4128" s="54" t="str">
        <f>IF(B4128="SEPLAG",VLOOKUP(CONCATENATE("MEDIANA - ",C4128),COTAÇÃO,5,FALSE),VLOOKUP($C4128,DESON!$A:$D,4,))</f>
        <v>19,53</v>
      </c>
      <c r="J4128" s="209">
        <f>TRUNC(F4128*I4128,2)</f>
        <v>8.82</v>
      </c>
    </row>
    <row r="4129" spans="1:10" ht="15" customHeight="1">
      <c r="A4129" s="210" t="str">
        <f>CONCATENATE("TOTAL DO ITEM NÃO DESON. - ",C4123)</f>
        <v>TOTAL DO ITEM NÃO DESON. - SEPLAG ELE 89</v>
      </c>
      <c r="B4129" s="432"/>
      <c r="C4129" s="432"/>
      <c r="D4129" s="432"/>
      <c r="E4129" s="430"/>
      <c r="F4129" s="1189"/>
      <c r="G4129" s="1189"/>
      <c r="H4129" s="1189">
        <f>SUM(H4126:H4128)</f>
        <v>62.25</v>
      </c>
      <c r="I4129" s="213"/>
      <c r="J4129" s="259"/>
    </row>
    <row r="4130" spans="1:10" ht="15.75" customHeight="1" thickBot="1">
      <c r="A4130" s="216" t="str">
        <f>CONCATENATE("TOTAL DO ITEM DESON. - ",C4123)</f>
        <v>TOTAL DO ITEM DESON. - SEPLAG ELE 89</v>
      </c>
      <c r="B4130" s="1148"/>
      <c r="C4130" s="1148"/>
      <c r="D4130" s="1148"/>
      <c r="E4130" s="1142"/>
      <c r="F4130" s="1190"/>
      <c r="G4130" s="1190"/>
      <c r="H4130" s="1190"/>
      <c r="I4130" s="228"/>
      <c r="J4130" s="219">
        <f>SUM(J4126:J4129)</f>
        <v>60.89</v>
      </c>
    </row>
    <row r="4131" spans="1:10" ht="15" customHeight="1" thickBot="1"/>
    <row r="4132" spans="1:10" ht="15" customHeight="1">
      <c r="A4132" s="256"/>
      <c r="B4132" s="1146"/>
      <c r="C4132" s="1146" t="s">
        <v>14557</v>
      </c>
      <c r="D4132" s="1146" t="s">
        <v>14558</v>
      </c>
      <c r="E4132" s="1152" t="s">
        <v>24</v>
      </c>
      <c r="F4132" s="1225" t="s">
        <v>18</v>
      </c>
      <c r="G4132" s="1178" t="s">
        <v>7015</v>
      </c>
      <c r="H4132" s="1179"/>
      <c r="I4132" s="200" t="s">
        <v>7016</v>
      </c>
      <c r="J4132" s="201"/>
    </row>
    <row r="4133" spans="1:10" ht="15" customHeight="1">
      <c r="A4133" s="257"/>
      <c r="B4133" s="432"/>
      <c r="C4133" s="432"/>
      <c r="D4133" s="432"/>
      <c r="E4133" s="430"/>
      <c r="F4133" s="1189"/>
      <c r="G4133" s="1189" t="s">
        <v>19</v>
      </c>
      <c r="H4133" s="1189" t="s">
        <v>20</v>
      </c>
      <c r="I4133" s="205" t="s">
        <v>19</v>
      </c>
      <c r="J4133" s="431" t="s">
        <v>20</v>
      </c>
    </row>
    <row r="4134" spans="1:10" ht="15" customHeight="1">
      <c r="A4134" s="233"/>
      <c r="B4134" s="161"/>
      <c r="C4134" s="161"/>
      <c r="D4134" s="161"/>
      <c r="E4134" s="247"/>
      <c r="F4134" s="248"/>
      <c r="G4134" s="248"/>
      <c r="H4134" s="248"/>
      <c r="I4134" s="214"/>
      <c r="J4134" s="227"/>
    </row>
    <row r="4135" spans="1:10" ht="15" customHeight="1">
      <c r="A4135" s="233" t="s">
        <v>188</v>
      </c>
      <c r="B4135" s="161" t="s">
        <v>14504</v>
      </c>
      <c r="C4135" s="161" t="s">
        <v>14562</v>
      </c>
      <c r="D4135" s="161" t="str">
        <f>IF(B4135="SEPLAG",VLOOKUP(COMPOSIÇÕES!C4135,'MAPA COMPARATIVO'!A:B,2,FALSE),VLOOKUP(C4135,'NAO DESO'!A:B,2,0))</f>
        <v>Luminária LED externa,Refletor LED 100W</v>
      </c>
      <c r="E4135" s="247" t="s">
        <v>7201</v>
      </c>
      <c r="F4135" s="248">
        <v>1</v>
      </c>
      <c r="G4135" s="242">
        <f>IF(B4135="SEPLAG",VLOOKUP(CONCATENATE("MEDIANA - ",C4135),COTAÇÃO,5,FALSE),VLOOKUP($C4135,'NAO DESO'!$A:$D,4,))</f>
        <v>123.31</v>
      </c>
      <c r="H4135" s="242">
        <f>TRUNC(F4135*G4135,2)</f>
        <v>123.31</v>
      </c>
      <c r="I4135" s="54">
        <f>IF(B4135="SEPLAG",VLOOKUP(CONCATENATE("MEDIANA - ",C4135),COTAÇÃO,5,FALSE),VLOOKUP($C4135,DESON!$A:$D,4,))</f>
        <v>123.31</v>
      </c>
      <c r="J4135" s="209">
        <f>TRUNC(F4135*I4135,2)</f>
        <v>123.31</v>
      </c>
    </row>
    <row r="4136" spans="1:10" ht="15" customHeight="1">
      <c r="A4136" s="233" t="s">
        <v>245</v>
      </c>
      <c r="B4136" s="161"/>
      <c r="C4136" s="161">
        <v>88247</v>
      </c>
      <c r="D4136" s="161" t="str">
        <f>IF(B4136="SEPLAG",VLOOKUP(COMPOSIÇÕES!C4136,'MAPA COMPARATIVO'!A:B,2,FALSE),VLOOKUP(C4136,'NAO DESO'!A:B,2,0))</f>
        <v>AUXILIAR DE ELETRICISTA COM ENCARGOS COMPLEMENTARES</v>
      </c>
      <c r="E4136" s="247" t="s">
        <v>16</v>
      </c>
      <c r="F4136" s="248">
        <v>0.18329999999999999</v>
      </c>
      <c r="G4136" s="242" t="str">
        <f>IF(B4136="SEPLAG",VLOOKUP(CONCATENATE("MEDIANA - ",C4136),COTAÇÃO,5,FALSE),VLOOKUP($C4136,'NAO DESO'!$A:$D,4,))</f>
        <v>16,84</v>
      </c>
      <c r="H4136" s="242">
        <f>TRUNC(F4136*G4136,2)</f>
        <v>3.08</v>
      </c>
      <c r="I4136" s="54" t="str">
        <f>IF(B4136="SEPLAG",VLOOKUP(CONCATENATE("MEDIANA - ",C4136),COTAÇÃO,5,FALSE),VLOOKUP($C4136,DESON!$A:$D,4,))</f>
        <v>15,19</v>
      </c>
      <c r="J4136" s="209">
        <f>TRUNC(F4136*I4136,2)</f>
        <v>2.78</v>
      </c>
    </row>
    <row r="4137" spans="1:10" ht="15" customHeight="1">
      <c r="A4137" s="233" t="s">
        <v>245</v>
      </c>
      <c r="B4137" s="161"/>
      <c r="C4137" s="161">
        <v>88264</v>
      </c>
      <c r="D4137" s="161" t="str">
        <f>IF(B4137="SEPLAG",VLOOKUP(COMPOSIÇÕES!C4137,'MAPA COMPARATIVO'!A:B,2,FALSE),VLOOKUP(C4137,'NAO DESO'!A:B,2,0))</f>
        <v>ELETRICISTA COM ENCARGOS COMPLEMENTARES</v>
      </c>
      <c r="E4137" s="247" t="s">
        <v>16</v>
      </c>
      <c r="F4137" s="248">
        <v>0.45179999999999998</v>
      </c>
      <c r="G4137" s="242" t="str">
        <f>IF(B4137="SEPLAG",VLOOKUP(CONCATENATE("MEDIANA - ",C4137),COTAÇÃO,5,FALSE),VLOOKUP($C4137,'NAO DESO'!$A:$D,4,))</f>
        <v>21,87</v>
      </c>
      <c r="H4137" s="242">
        <f>TRUNC(F4137*G4137,2)</f>
        <v>9.8800000000000008</v>
      </c>
      <c r="I4137" s="54" t="str">
        <f>IF(B4137="SEPLAG",VLOOKUP(CONCATENATE("MEDIANA - ",C4137),COTAÇÃO,5,FALSE),VLOOKUP($C4137,DESON!$A:$D,4,))</f>
        <v>19,53</v>
      </c>
      <c r="J4137" s="209">
        <f>TRUNC(F4137*I4137,2)</f>
        <v>8.82</v>
      </c>
    </row>
    <row r="4138" spans="1:10" ht="15" customHeight="1">
      <c r="A4138" s="210" t="str">
        <f>CONCATENATE("TOTAL DO ITEM NÃO DESON. - ",C4132)</f>
        <v>TOTAL DO ITEM NÃO DESON. - SEPLAG ELE 90</v>
      </c>
      <c r="B4138" s="432"/>
      <c r="C4138" s="432"/>
      <c r="D4138" s="432"/>
      <c r="E4138" s="430"/>
      <c r="F4138" s="1189"/>
      <c r="G4138" s="1189"/>
      <c r="H4138" s="1189">
        <f>SUM(H4135:H4137)</f>
        <v>136.27000000000001</v>
      </c>
      <c r="I4138" s="213"/>
      <c r="J4138" s="259"/>
    </row>
    <row r="4139" spans="1:10" ht="15.75" customHeight="1" thickBot="1">
      <c r="A4139" s="216" t="str">
        <f>CONCATENATE("TOTAL DO ITEM DESON. - ",C4132)</f>
        <v>TOTAL DO ITEM DESON. - SEPLAG ELE 90</v>
      </c>
      <c r="B4139" s="1148"/>
      <c r="C4139" s="1148"/>
      <c r="D4139" s="1148"/>
      <c r="E4139" s="1142"/>
      <c r="F4139" s="1190"/>
      <c r="G4139" s="1190"/>
      <c r="H4139" s="1190"/>
      <c r="I4139" s="228"/>
      <c r="J4139" s="219">
        <f>SUM(J4135:J4138)</f>
        <v>134.91</v>
      </c>
    </row>
    <row r="4140" spans="1:10" ht="15" customHeight="1" thickBot="1"/>
    <row r="4141" spans="1:10" ht="15" customHeight="1">
      <c r="A4141" s="256"/>
      <c r="B4141" s="1146"/>
      <c r="C4141" s="1146" t="s">
        <v>14559</v>
      </c>
      <c r="D4141" s="1146" t="s">
        <v>14560</v>
      </c>
      <c r="E4141" s="1152" t="s">
        <v>24</v>
      </c>
      <c r="F4141" s="1225" t="s">
        <v>18</v>
      </c>
      <c r="G4141" s="1178" t="s">
        <v>7015</v>
      </c>
      <c r="H4141" s="1179"/>
      <c r="I4141" s="200" t="s">
        <v>7016</v>
      </c>
      <c r="J4141" s="201"/>
    </row>
    <row r="4142" spans="1:10" ht="15" customHeight="1">
      <c r="A4142" s="257"/>
      <c r="B4142" s="432"/>
      <c r="C4142" s="432"/>
      <c r="D4142" s="432"/>
      <c r="E4142" s="430"/>
      <c r="F4142" s="1189"/>
      <c r="G4142" s="1189" t="s">
        <v>19</v>
      </c>
      <c r="H4142" s="1189" t="s">
        <v>20</v>
      </c>
      <c r="I4142" s="205" t="s">
        <v>19</v>
      </c>
      <c r="J4142" s="431" t="s">
        <v>20</v>
      </c>
    </row>
    <row r="4143" spans="1:10" ht="15" customHeight="1">
      <c r="A4143" s="233"/>
      <c r="B4143" s="161"/>
      <c r="C4143" s="161"/>
      <c r="D4143" s="161"/>
      <c r="E4143" s="247"/>
      <c r="F4143" s="248"/>
      <c r="G4143" s="248"/>
      <c r="H4143" s="248"/>
      <c r="I4143" s="214"/>
      <c r="J4143" s="227"/>
    </row>
    <row r="4144" spans="1:10" ht="15" customHeight="1">
      <c r="A4144" s="233" t="s">
        <v>188</v>
      </c>
      <c r="B4144" s="161" t="s">
        <v>14504</v>
      </c>
      <c r="C4144" s="161" t="s">
        <v>14563</v>
      </c>
      <c r="D4144" s="161" t="str">
        <f>IF(B4144="SEPLAG",VLOOKUP(COMPOSIÇÕES!C4144,'MAPA COMPARATIVO'!A:B,2,FALSE),VLOOKUP(C4144,'NAO DESO'!A:B,2,0))</f>
        <v>Luminária LED externa,Refletor LED 150W</v>
      </c>
      <c r="E4144" s="247" t="s">
        <v>7201</v>
      </c>
      <c r="F4144" s="248">
        <v>1</v>
      </c>
      <c r="G4144" s="242">
        <f>IF(B4144="SEPLAG",VLOOKUP(CONCATENATE("MEDIANA - ",C4144),COTAÇÃO,5,FALSE),VLOOKUP($C4144,'NAO DESO'!$A:$D,4,))</f>
        <v>279.95</v>
      </c>
      <c r="H4144" s="242">
        <f>TRUNC(F4144*G4144,2)</f>
        <v>279.95</v>
      </c>
      <c r="I4144" s="54">
        <f>IF(B4144="SEPLAG",VLOOKUP(CONCATENATE("MEDIANA - ",C4144),COTAÇÃO,5,FALSE),VLOOKUP($C4144,DESON!$A:$D,4,))</f>
        <v>279.95</v>
      </c>
      <c r="J4144" s="209">
        <f>TRUNC(F4144*I4144,2)</f>
        <v>279.95</v>
      </c>
    </row>
    <row r="4145" spans="1:10" ht="15" customHeight="1">
      <c r="A4145" s="233" t="s">
        <v>245</v>
      </c>
      <c r="B4145" s="161"/>
      <c r="C4145" s="161">
        <v>88247</v>
      </c>
      <c r="D4145" s="161" t="str">
        <f>IF(B4145="SEPLAG",VLOOKUP(COMPOSIÇÕES!C4145,'MAPA COMPARATIVO'!A:B,2,FALSE),VLOOKUP(C4145,'NAO DESO'!A:B,2,0))</f>
        <v>AUXILIAR DE ELETRICISTA COM ENCARGOS COMPLEMENTARES</v>
      </c>
      <c r="E4145" s="247" t="s">
        <v>16</v>
      </c>
      <c r="F4145" s="248">
        <v>0.18329999999999999</v>
      </c>
      <c r="G4145" s="242" t="str">
        <f>IF(B4145="SEPLAG",VLOOKUP(CONCATENATE("MEDIANA - ",C4145),COTAÇÃO,5,FALSE),VLOOKUP($C4145,'NAO DESO'!$A:$D,4,))</f>
        <v>16,84</v>
      </c>
      <c r="H4145" s="242">
        <f>TRUNC(F4145*G4145,2)</f>
        <v>3.08</v>
      </c>
      <c r="I4145" s="54" t="str">
        <f>IF(B4145="SEPLAG",VLOOKUP(CONCATENATE("MEDIANA - ",C4145),COTAÇÃO,5,FALSE),VLOOKUP($C4145,DESON!$A:$D,4,))</f>
        <v>15,19</v>
      </c>
      <c r="J4145" s="209">
        <f>TRUNC(F4145*I4145,2)</f>
        <v>2.78</v>
      </c>
    </row>
    <row r="4146" spans="1:10" ht="15" customHeight="1">
      <c r="A4146" s="233" t="s">
        <v>245</v>
      </c>
      <c r="B4146" s="161"/>
      <c r="C4146" s="161">
        <v>88264</v>
      </c>
      <c r="D4146" s="161" t="str">
        <f>IF(B4146="SEPLAG",VLOOKUP(COMPOSIÇÕES!C4146,'MAPA COMPARATIVO'!A:B,2,FALSE),VLOOKUP(C4146,'NAO DESO'!A:B,2,0))</f>
        <v>ELETRICISTA COM ENCARGOS COMPLEMENTARES</v>
      </c>
      <c r="E4146" s="247" t="s">
        <v>16</v>
      </c>
      <c r="F4146" s="248">
        <v>0.45179999999999998</v>
      </c>
      <c r="G4146" s="242" t="str">
        <f>IF(B4146="SEPLAG",VLOOKUP(CONCATENATE("MEDIANA - ",C4146),COTAÇÃO,5,FALSE),VLOOKUP($C4146,'NAO DESO'!$A:$D,4,))</f>
        <v>21,87</v>
      </c>
      <c r="H4146" s="242">
        <f>TRUNC(F4146*G4146,2)</f>
        <v>9.8800000000000008</v>
      </c>
      <c r="I4146" s="54" t="str">
        <f>IF(B4146="SEPLAG",VLOOKUP(CONCATENATE("MEDIANA - ",C4146),COTAÇÃO,5,FALSE),VLOOKUP($C4146,DESON!$A:$D,4,))</f>
        <v>19,53</v>
      </c>
      <c r="J4146" s="209">
        <f>TRUNC(F4146*I4146,2)</f>
        <v>8.82</v>
      </c>
    </row>
    <row r="4147" spans="1:10" ht="15" customHeight="1">
      <c r="A4147" s="210" t="str">
        <f>CONCATENATE("TOTAL DO ITEM NÃO DESON. - ",C4141)</f>
        <v>TOTAL DO ITEM NÃO DESON. - SEPLAG ELE 91</v>
      </c>
      <c r="B4147" s="432"/>
      <c r="C4147" s="432"/>
      <c r="D4147" s="432"/>
      <c r="E4147" s="430"/>
      <c r="F4147" s="1189"/>
      <c r="G4147" s="1189"/>
      <c r="H4147" s="1189">
        <f>SUM(H4144:H4146)</f>
        <v>292.90999999999997</v>
      </c>
      <c r="I4147" s="213"/>
      <c r="J4147" s="259"/>
    </row>
    <row r="4148" spans="1:10" ht="15.75" customHeight="1" thickBot="1">
      <c r="A4148" s="216" t="str">
        <f>CONCATENATE("TOTAL DO ITEM DESON. - ",C4141)</f>
        <v>TOTAL DO ITEM DESON. - SEPLAG ELE 91</v>
      </c>
      <c r="B4148" s="1148"/>
      <c r="C4148" s="1148"/>
      <c r="D4148" s="1148"/>
      <c r="E4148" s="1142"/>
      <c r="F4148" s="1190"/>
      <c r="G4148" s="1190"/>
      <c r="H4148" s="1190"/>
      <c r="I4148" s="228"/>
      <c r="J4148" s="219">
        <f>SUM(J4144:J4147)</f>
        <v>291.54999999999995</v>
      </c>
    </row>
    <row r="4149" spans="1:10" ht="15" customHeight="1" thickBot="1"/>
    <row r="4150" spans="1:10" ht="15" customHeight="1">
      <c r="A4150" s="256"/>
      <c r="B4150" s="1146"/>
      <c r="C4150" s="1146" t="s">
        <v>14568</v>
      </c>
      <c r="D4150" s="1146" t="s">
        <v>14569</v>
      </c>
      <c r="E4150" s="1152" t="s">
        <v>24</v>
      </c>
      <c r="F4150" s="1225" t="s">
        <v>18</v>
      </c>
      <c r="G4150" s="1178" t="s">
        <v>7015</v>
      </c>
      <c r="H4150" s="1179"/>
      <c r="I4150" s="200" t="s">
        <v>7016</v>
      </c>
      <c r="J4150" s="201"/>
    </row>
    <row r="4151" spans="1:10" ht="15" customHeight="1">
      <c r="A4151" s="257"/>
      <c r="B4151" s="432"/>
      <c r="C4151" s="432"/>
      <c r="D4151" s="432"/>
      <c r="E4151" s="430"/>
      <c r="F4151" s="1189"/>
      <c r="G4151" s="1189" t="s">
        <v>19</v>
      </c>
      <c r="H4151" s="1189" t="s">
        <v>20</v>
      </c>
      <c r="I4151" s="205" t="s">
        <v>19</v>
      </c>
      <c r="J4151" s="431" t="s">
        <v>20</v>
      </c>
    </row>
    <row r="4152" spans="1:10" ht="15" customHeight="1">
      <c r="A4152" s="233"/>
      <c r="B4152" s="161"/>
      <c r="C4152" s="161"/>
      <c r="D4152" s="161"/>
      <c r="E4152" s="247"/>
      <c r="F4152" s="248"/>
      <c r="G4152" s="248"/>
      <c r="H4152" s="248"/>
      <c r="I4152" s="214"/>
      <c r="J4152" s="227"/>
    </row>
    <row r="4153" spans="1:10" ht="15" customHeight="1">
      <c r="A4153" s="233" t="s">
        <v>188</v>
      </c>
      <c r="B4153" s="161" t="s">
        <v>14504</v>
      </c>
      <c r="C4153" s="161" t="s">
        <v>14570</v>
      </c>
      <c r="D4153" s="161" t="str">
        <f>IF(B4153="SEPLAG",VLOOKUP(COMPOSIÇÕES!C4153,'MAPA COMPARATIVO'!A:B,2,FALSE),VLOOKUP(C4153,'NAO DESO'!A:B,2,0))</f>
        <v>Fita Led Premium Alto Brilho Branco Frio</v>
      </c>
      <c r="E4153" s="247" t="s">
        <v>7201</v>
      </c>
      <c r="F4153" s="248">
        <v>1</v>
      </c>
      <c r="G4153" s="242">
        <f>IF(B4153="SEPLAG",VLOOKUP(CONCATENATE("MEDIANA - ",C4153),COTAÇÃO,5,FALSE),VLOOKUP($C4153,'NAO DESO'!$A:$D,4,))</f>
        <v>69.481999999999999</v>
      </c>
      <c r="H4153" s="242">
        <f>TRUNC(F4153*G4153,2)</f>
        <v>69.48</v>
      </c>
      <c r="I4153" s="54">
        <f>IF(B4153="SEPLAG",VLOOKUP(CONCATENATE("MEDIANA - ",C4153),COTAÇÃO,5,FALSE),VLOOKUP($C4153,DESON!$A:$D,4,))</f>
        <v>69.481999999999999</v>
      </c>
      <c r="J4153" s="209">
        <f>TRUNC(F4153*I4153,2)</f>
        <v>69.48</v>
      </c>
    </row>
    <row r="4154" spans="1:10" ht="15" customHeight="1">
      <c r="A4154" s="233" t="s">
        <v>245</v>
      </c>
      <c r="B4154" s="161"/>
      <c r="C4154" s="161">
        <v>88247</v>
      </c>
      <c r="D4154" s="161" t="str">
        <f>IF(B4154="SEPLAG",VLOOKUP(COMPOSIÇÕES!C4154,'MAPA COMPARATIVO'!A:B,2,FALSE),VLOOKUP(C4154,'NAO DESO'!A:B,2,0))</f>
        <v>AUXILIAR DE ELETRICISTA COM ENCARGOS COMPLEMENTARES</v>
      </c>
      <c r="E4154" s="247" t="s">
        <v>16</v>
      </c>
      <c r="F4154" s="248">
        <v>0.18329999999999999</v>
      </c>
      <c r="G4154" s="242" t="str">
        <f>IF(B4154="SEPLAG",VLOOKUP(CONCATENATE("MEDIANA - ",C4154),COTAÇÃO,5,FALSE),VLOOKUP($C4154,'NAO DESO'!$A:$D,4,))</f>
        <v>16,84</v>
      </c>
      <c r="H4154" s="242">
        <f>TRUNC(F4154*G4154,2)</f>
        <v>3.08</v>
      </c>
      <c r="I4154" s="54" t="str">
        <f>IF(B4154="SEPLAG",VLOOKUP(CONCATENATE("MEDIANA - ",C4154),COTAÇÃO,5,FALSE),VLOOKUP($C4154,DESON!$A:$D,4,))</f>
        <v>15,19</v>
      </c>
      <c r="J4154" s="209">
        <f>TRUNC(F4154*I4154,2)</f>
        <v>2.78</v>
      </c>
    </row>
    <row r="4155" spans="1:10" ht="15" customHeight="1">
      <c r="A4155" s="233" t="s">
        <v>245</v>
      </c>
      <c r="B4155" s="161"/>
      <c r="C4155" s="161">
        <v>88264</v>
      </c>
      <c r="D4155" s="161" t="str">
        <f>IF(B4155="SEPLAG",VLOOKUP(COMPOSIÇÕES!C4155,'MAPA COMPARATIVO'!A:B,2,FALSE),VLOOKUP(C4155,'NAO DESO'!A:B,2,0))</f>
        <v>ELETRICISTA COM ENCARGOS COMPLEMENTARES</v>
      </c>
      <c r="E4155" s="247" t="s">
        <v>16</v>
      </c>
      <c r="F4155" s="248">
        <v>0.45179999999999998</v>
      </c>
      <c r="G4155" s="242" t="str">
        <f>IF(B4155="SEPLAG",VLOOKUP(CONCATENATE("MEDIANA - ",C4155),COTAÇÃO,5,FALSE),VLOOKUP($C4155,'NAO DESO'!$A:$D,4,))</f>
        <v>21,87</v>
      </c>
      <c r="H4155" s="242">
        <f>TRUNC(F4155*G4155,2)</f>
        <v>9.8800000000000008</v>
      </c>
      <c r="I4155" s="54" t="str">
        <f>IF(B4155="SEPLAG",VLOOKUP(CONCATENATE("MEDIANA - ",C4155),COTAÇÃO,5,FALSE),VLOOKUP($C4155,DESON!$A:$D,4,))</f>
        <v>19,53</v>
      </c>
      <c r="J4155" s="209">
        <f>TRUNC(F4155*I4155,2)</f>
        <v>8.82</v>
      </c>
    </row>
    <row r="4156" spans="1:10" ht="15" customHeight="1">
      <c r="A4156" s="210" t="str">
        <f>CONCATENATE("TOTAL DO ITEM NÃO DESON. - ",C4150)</f>
        <v>TOTAL DO ITEM NÃO DESON. - SEPLAG ELE 92</v>
      </c>
      <c r="B4156" s="432"/>
      <c r="C4156" s="432"/>
      <c r="D4156" s="432"/>
      <c r="E4156" s="430"/>
      <c r="F4156" s="1189"/>
      <c r="G4156" s="1189"/>
      <c r="H4156" s="1189">
        <f>SUM(H4153:H4155)</f>
        <v>82.44</v>
      </c>
      <c r="I4156" s="213"/>
      <c r="J4156" s="259"/>
    </row>
    <row r="4157" spans="1:10" ht="15.75" customHeight="1" thickBot="1">
      <c r="A4157" s="216" t="str">
        <f>CONCATENATE("TOTAL DO ITEM DESON. - ",C4150)</f>
        <v>TOTAL DO ITEM DESON. - SEPLAG ELE 92</v>
      </c>
      <c r="B4157" s="1148"/>
      <c r="C4157" s="1148"/>
      <c r="D4157" s="1148"/>
      <c r="E4157" s="1142"/>
      <c r="F4157" s="1190"/>
      <c r="G4157" s="1190"/>
      <c r="H4157" s="1190"/>
      <c r="I4157" s="228"/>
      <c r="J4157" s="219">
        <f>SUM(J4153:J4156)</f>
        <v>81.080000000000013</v>
      </c>
    </row>
    <row r="4158" spans="1:10" ht="15" customHeight="1" thickBot="1"/>
    <row r="4159" spans="1:10" ht="38.25" customHeight="1">
      <c r="A4159" s="256"/>
      <c r="B4159" s="1146"/>
      <c r="C4159" s="1146" t="s">
        <v>14572</v>
      </c>
      <c r="D4159" s="1146" t="s">
        <v>14573</v>
      </c>
      <c r="E4159" s="1152" t="s">
        <v>24</v>
      </c>
      <c r="F4159" s="1225" t="s">
        <v>18</v>
      </c>
      <c r="G4159" s="1178" t="s">
        <v>7015</v>
      </c>
      <c r="H4159" s="1179"/>
      <c r="I4159" s="200" t="s">
        <v>7016</v>
      </c>
      <c r="J4159" s="201"/>
    </row>
    <row r="4160" spans="1:10" ht="15" customHeight="1">
      <c r="A4160" s="257"/>
      <c r="B4160" s="432"/>
      <c r="C4160" s="432"/>
      <c r="D4160" s="432"/>
      <c r="E4160" s="430"/>
      <c r="F4160" s="1189"/>
      <c r="G4160" s="1189" t="s">
        <v>19</v>
      </c>
      <c r="H4160" s="1189" t="s">
        <v>20</v>
      </c>
      <c r="I4160" s="205" t="s">
        <v>19</v>
      </c>
      <c r="J4160" s="431" t="s">
        <v>20</v>
      </c>
    </row>
    <row r="4161" spans="1:10" ht="15" customHeight="1">
      <c r="A4161" s="233"/>
      <c r="B4161" s="161"/>
      <c r="C4161" s="161"/>
      <c r="D4161" s="161"/>
      <c r="E4161" s="247"/>
      <c r="F4161" s="248"/>
      <c r="G4161" s="248"/>
      <c r="H4161" s="248"/>
      <c r="I4161" s="214"/>
      <c r="J4161" s="227"/>
    </row>
    <row r="4162" spans="1:10" ht="15" customHeight="1">
      <c r="A4162" s="233" t="s">
        <v>188</v>
      </c>
      <c r="B4162" s="161" t="s">
        <v>79</v>
      </c>
      <c r="C4162" s="161">
        <v>39028</v>
      </c>
      <c r="D4162" s="161" t="str">
        <f>IF(B4162="SEPLAG",VLOOKUP(COMPOSIÇÕES!C4162,'MAPA COMPARATIVO'!A:B,2,FALSE),VLOOKUP(C4162,'NAO DESO'!A:B,2,0))</f>
        <v>PERFILADO PERFURADO SIMPLES 38 X 38 MM, CHAPA 22</v>
      </c>
      <c r="E4162" s="247" t="s">
        <v>7201</v>
      </c>
      <c r="F4162" s="248">
        <v>1.2</v>
      </c>
      <c r="G4162" s="242">
        <f>IF(B4162="SEPLAG",VLOOKUP(CONCATENATE("MEDIANA - ",C4162),COTAÇÃO,5,FALSE),VLOOKUP($C4162,'NAO DESO'!$A:$D,4,))</f>
        <v>13.03</v>
      </c>
      <c r="H4162" s="242">
        <f t="shared" ref="H4162:H4169" si="226">TRUNC(F4162*G4162,2)</f>
        <v>15.63</v>
      </c>
      <c r="I4162" s="54" t="str">
        <f>IF(B4162="SEPLAG",VLOOKUP(CONCATENATE("MEDIANA - ",C4162),COTAÇÃO,5,FALSE),VLOOKUP($C4162,DESON!$A:$D,4,))</f>
        <v>13,03</v>
      </c>
      <c r="J4162" s="209">
        <f t="shared" ref="J4162:J4169" si="227">TRUNC(F4162*I4162,2)</f>
        <v>15.63</v>
      </c>
    </row>
    <row r="4163" spans="1:10" ht="15" customHeight="1">
      <c r="A4163" s="233"/>
      <c r="B4163" s="161" t="s">
        <v>14504</v>
      </c>
      <c r="C4163" s="161" t="s">
        <v>14393</v>
      </c>
      <c r="D4163" s="161" t="str">
        <f>IF(B4163="SEPLAG",VLOOKUP(COMPOSIÇÕES!C4163,'MAPA COMPARATIVO'!A:B,2,FALSE),VLOOKUP(C4163,'NAO DESO'!A:B,2,0))</f>
        <v>ARRUELA LISA REDONDA (DIÂMETRO 6,35MM (1/4") PESO/100PÇ: 0,204 KG)</v>
      </c>
      <c r="E4163" s="247" t="s">
        <v>24</v>
      </c>
      <c r="F4163" s="248">
        <v>1.33</v>
      </c>
      <c r="G4163" s="242">
        <f>IF(B4163="SEPLAG",VLOOKUP(CONCATENATE("MEDIANA - ",C4163),COTAÇÃO,5,FALSE),VLOOKUP($C4163,'NAO DESO'!$A:$D,4,))</f>
        <v>0.23</v>
      </c>
      <c r="H4163" s="242">
        <f t="shared" si="226"/>
        <v>0.3</v>
      </c>
      <c r="I4163" s="54">
        <f>IF(B4163="SEPLAG",VLOOKUP(CONCATENATE("MEDIANA - ",C4163),COTAÇÃO,5,FALSE),VLOOKUP($C4163,DESON!$A:$D,4,))</f>
        <v>0.23</v>
      </c>
      <c r="J4163" s="209">
        <f t="shared" si="227"/>
        <v>0.3</v>
      </c>
    </row>
    <row r="4164" spans="1:10" ht="39" customHeight="1">
      <c r="A4164" s="233"/>
      <c r="B4164" s="161" t="s">
        <v>14504</v>
      </c>
      <c r="C4164" s="161" t="s">
        <v>14395</v>
      </c>
      <c r="D4164" s="161" t="str">
        <f>IF(B4164="SEPLAG",VLOOKUP(COMPOSIÇÕES!C4164,'MAPA COMPARATIVO'!A:B,2,FALSE),VLOOKUP(C4164,'NAO DESO'!A:B,2,0))</f>
        <v>PARAFUSO (ROSCA: INTEIRA APLICAÇÃO: ELETROCALHA E PERFILADO CABEÇA: LENTILHA MATERIAL: INOX ACABAMENTO: CROMADO BITOLA: 1/4" [6,35MM] X1/2" [12,7MM]  PESO/100PÇ: 0,541KG)</v>
      </c>
      <c r="E4164" s="247" t="s">
        <v>24</v>
      </c>
      <c r="F4164" s="248">
        <v>1.33</v>
      </c>
      <c r="G4164" s="242">
        <f>IF(B4164="SEPLAG",VLOOKUP(CONCATENATE("MEDIANA - ",C4164),COTAÇÃO,5,FALSE),VLOOKUP($C4164,'NAO DESO'!$A:$D,4,))</f>
        <v>0.46</v>
      </c>
      <c r="H4164" s="242">
        <f t="shared" si="226"/>
        <v>0.61</v>
      </c>
      <c r="I4164" s="54">
        <f>IF(B4164="SEPLAG",VLOOKUP(CONCATENATE("MEDIANA - ",C4164),COTAÇÃO,5,FALSE),VLOOKUP($C4164,DESON!$A:$D,4,))</f>
        <v>0.46</v>
      </c>
      <c r="J4164" s="209">
        <f t="shared" si="227"/>
        <v>0.61</v>
      </c>
    </row>
    <row r="4165" spans="1:10" ht="26.25" customHeight="1">
      <c r="A4165" s="233"/>
      <c r="B4165" s="161" t="s">
        <v>14504</v>
      </c>
      <c r="C4165" s="161" t="s">
        <v>14396</v>
      </c>
      <c r="D4165" s="161" t="str">
        <f>IF(B4165="SEPLAG",VLOOKUP(COMPOSIÇÕES!C4165,'MAPA COMPARATIVO'!A:B,2,FALSE),VLOOKUP(C4165,'NAO DESO'!A:B,2,0))</f>
        <v>PORCA SEXTAVADA ( MATERIAL: AÇO|  DIÂMETRO : 6,35MM [1/4"] PESO/100 PÇ : 0,320 KG)</v>
      </c>
      <c r="E4165" s="247" t="s">
        <v>24</v>
      </c>
      <c r="F4165" s="248">
        <v>1.33</v>
      </c>
      <c r="G4165" s="242">
        <f>IF(B4165="SEPLAG",VLOOKUP(CONCATENATE("MEDIANA - ",C4165),COTAÇÃO,5,FALSE),VLOOKUP($C4165,'NAO DESO'!$A:$D,4,))</f>
        <v>0.32</v>
      </c>
      <c r="H4165" s="242">
        <f t="shared" si="226"/>
        <v>0.42</v>
      </c>
      <c r="I4165" s="54">
        <f>IF(B4165="SEPLAG",VLOOKUP(CONCATENATE("MEDIANA - ",C4165),COTAÇÃO,5,FALSE),VLOOKUP($C4165,DESON!$A:$D,4,))</f>
        <v>0.32</v>
      </c>
      <c r="J4165" s="209">
        <f t="shared" si="227"/>
        <v>0.42</v>
      </c>
    </row>
    <row r="4166" spans="1:10" ht="26.25" customHeight="1">
      <c r="A4166" s="233"/>
      <c r="B4166" s="161" t="s">
        <v>14504</v>
      </c>
      <c r="C4166" s="161" t="s">
        <v>14397</v>
      </c>
      <c r="D4166" s="161" t="str">
        <f>IF(B4166="SEPLAG",VLOOKUP(COMPOSIÇÕES!C4166,'MAPA COMPARATIVO'!A:B,2,FALSE),VLOOKUP(C4166,'NAO DESO'!A:B,2,0))</f>
        <v>TALA RETA (TIPO: AUTOPORTANTE TRATAMENTO: PRÉ-ZINCADO CHAPA: N°18 MEDIDA: 50MM APLICAÇÃO: EMENDA PARA ELETROCALHA)</v>
      </c>
      <c r="E4166" s="247" t="s">
        <v>24</v>
      </c>
      <c r="F4166" s="248">
        <v>1</v>
      </c>
      <c r="G4166" s="242">
        <f>IF(B4166="SEPLAG",VLOOKUP(CONCATENATE("MEDIANA - ",C4166),COTAÇÃO,5,FALSE),VLOOKUP($C4166,'NAO DESO'!$A:$D,4,))</f>
        <v>3.3</v>
      </c>
      <c r="H4166" s="242">
        <f t="shared" si="226"/>
        <v>3.3</v>
      </c>
      <c r="I4166" s="54">
        <f>IF(B4166="SEPLAG",VLOOKUP(CONCATENATE("MEDIANA - ",C4166),COTAÇÃO,5,FALSE),VLOOKUP($C4166,DESON!$A:$D,4,))</f>
        <v>3.3</v>
      </c>
      <c r="J4166" s="209">
        <f t="shared" si="227"/>
        <v>3.3</v>
      </c>
    </row>
    <row r="4167" spans="1:10" ht="39" customHeight="1">
      <c r="A4167" s="233"/>
      <c r="B4167" s="161" t="s">
        <v>14504</v>
      </c>
      <c r="C4167" s="161" t="s">
        <v>14399</v>
      </c>
      <c r="D4167" s="161" t="str">
        <f>IF(B4167="SEPLAG",VLOOKUP(COMPOSIÇÕES!C4167,'MAPA COMPARATIVO'!A:B,2,FALSE),VLOOKUP(C4167,'NAO DESO'!A:B,2,0))</f>
        <v xml:space="preserve">FIXAÇÃO DE ELETROCALHA/LEITO HORIZONTAL COM LARGURA MENOR OU IGUAL A 200 MM EM LAJE, COM SUPORTE EM PERFILADO, INCLUSIVE PERFILADO, VERGALHÃO E ACESSÓRIOS, </v>
      </c>
      <c r="E4167" s="247" t="s">
        <v>24</v>
      </c>
      <c r="F4167" s="248">
        <v>1</v>
      </c>
      <c r="G4167" s="242">
        <f>IF(B4167="SEPLAG",VLOOKUP(CONCATENATE("MEDIANA - ",C4167),COTAÇÃO,5,FALSE),VLOOKUP($C4167,'NAO DESO'!$A:$D,4,))</f>
        <v>10.59</v>
      </c>
      <c r="H4167" s="242">
        <f t="shared" si="226"/>
        <v>10.59</v>
      </c>
      <c r="I4167" s="54">
        <f>IF(B4167="SEPLAG",VLOOKUP(CONCATENATE("MEDIANA - ",C4167),COTAÇÃO,5,FALSE),VLOOKUP($C4167,DESON!$A:$D,4,))</f>
        <v>10.59</v>
      </c>
      <c r="J4167" s="209">
        <f t="shared" si="227"/>
        <v>10.59</v>
      </c>
    </row>
    <row r="4168" spans="1:10" ht="15" customHeight="1">
      <c r="A4168" s="233" t="s">
        <v>245</v>
      </c>
      <c r="B4168" s="161"/>
      <c r="C4168" s="161">
        <v>88247</v>
      </c>
      <c r="D4168" s="161" t="str">
        <f>IF(B4168="SEPLAG",VLOOKUP(COMPOSIÇÕES!C4168,'MAPA COMPARATIVO'!A:B,2,FALSE),VLOOKUP(C4168,'NAO DESO'!A:B,2,0))</f>
        <v>AUXILIAR DE ELETRICISTA COM ENCARGOS COMPLEMENTARES</v>
      </c>
      <c r="E4168" s="247" t="s">
        <v>16</v>
      </c>
      <c r="F4168" s="248">
        <v>0.38</v>
      </c>
      <c r="G4168" s="242" t="str">
        <f>IF(B4168="SEPLAG",VLOOKUP(CONCATENATE("MEDIANA - ",C4168),COTAÇÃO,5,FALSE),VLOOKUP($C4168,'NAO DESO'!$A:$D,4,))</f>
        <v>16,84</v>
      </c>
      <c r="H4168" s="242">
        <f t="shared" si="226"/>
        <v>6.39</v>
      </c>
      <c r="I4168" s="54" t="str">
        <f>IF(B4168="SEPLAG",VLOOKUP(CONCATENATE("MEDIANA - ",C4168),COTAÇÃO,5,FALSE),VLOOKUP($C4168,DESON!$A:$D,4,))</f>
        <v>15,19</v>
      </c>
      <c r="J4168" s="209">
        <f t="shared" si="227"/>
        <v>5.77</v>
      </c>
    </row>
    <row r="4169" spans="1:10" ht="15" customHeight="1">
      <c r="A4169" s="233" t="s">
        <v>245</v>
      </c>
      <c r="B4169" s="161"/>
      <c r="C4169" s="161">
        <v>88264</v>
      </c>
      <c r="D4169" s="161" t="str">
        <f>IF(B4169="SEPLAG",VLOOKUP(COMPOSIÇÕES!C4169,'MAPA COMPARATIVO'!A:B,2,FALSE),VLOOKUP(C4169,'NAO DESO'!A:B,2,0))</f>
        <v>ELETRICISTA COM ENCARGOS COMPLEMENTARES</v>
      </c>
      <c r="E4169" s="247" t="s">
        <v>16</v>
      </c>
      <c r="F4169" s="248">
        <v>0.38</v>
      </c>
      <c r="G4169" s="242" t="str">
        <f>IF(B4169="SEPLAG",VLOOKUP(CONCATENATE("MEDIANA - ",C4169),COTAÇÃO,5,FALSE),VLOOKUP($C4169,'NAO DESO'!$A:$D,4,))</f>
        <v>21,87</v>
      </c>
      <c r="H4169" s="242">
        <f t="shared" si="226"/>
        <v>8.31</v>
      </c>
      <c r="I4169" s="54" t="str">
        <f>IF(B4169="SEPLAG",VLOOKUP(CONCATENATE("MEDIANA - ",C4169),COTAÇÃO,5,FALSE),VLOOKUP($C4169,DESON!$A:$D,4,))</f>
        <v>19,53</v>
      </c>
      <c r="J4169" s="209">
        <f t="shared" si="227"/>
        <v>7.42</v>
      </c>
    </row>
    <row r="4170" spans="1:10" ht="15" customHeight="1">
      <c r="A4170" s="210" t="str">
        <f>CONCATENATE("TOTAL DO ITEM NÃO DESON. - ",C4159)</f>
        <v>TOTAL DO ITEM NÃO DESON. - SEPLAG ELE 93</v>
      </c>
      <c r="B4170" s="432"/>
      <c r="C4170" s="432"/>
      <c r="D4170" s="432"/>
      <c r="E4170" s="430"/>
      <c r="F4170" s="1189"/>
      <c r="G4170" s="1189"/>
      <c r="H4170" s="1189">
        <f>SUM(H4162:H4169)</f>
        <v>45.550000000000004</v>
      </c>
      <c r="I4170" s="213"/>
      <c r="J4170" s="259"/>
    </row>
    <row r="4171" spans="1:10" ht="15.75" customHeight="1" thickBot="1">
      <c r="A4171" s="216" t="str">
        <f>CONCATENATE("TOTAL DO ITEM DESON. - ",C4159)</f>
        <v>TOTAL DO ITEM DESON. - SEPLAG ELE 93</v>
      </c>
      <c r="B4171" s="1148"/>
      <c r="C4171" s="1148"/>
      <c r="D4171" s="1148"/>
      <c r="E4171" s="1142"/>
      <c r="F4171" s="1190"/>
      <c r="G4171" s="1190"/>
      <c r="H4171" s="1190"/>
      <c r="I4171" s="228"/>
      <c r="J4171" s="219">
        <f>SUM(J4162:J4170)</f>
        <v>44.040000000000006</v>
      </c>
    </row>
    <row r="4172" spans="1:10" ht="15" customHeight="1" thickBot="1"/>
    <row r="4173" spans="1:10" ht="15" customHeight="1">
      <c r="A4173" s="256"/>
      <c r="B4173" s="1146"/>
      <c r="C4173" s="1146" t="s">
        <v>14596</v>
      </c>
      <c r="D4173" s="1146" t="s">
        <v>14597</v>
      </c>
      <c r="E4173" s="1152" t="s">
        <v>24</v>
      </c>
      <c r="F4173" s="1225" t="s">
        <v>18</v>
      </c>
      <c r="G4173" s="1178" t="s">
        <v>7015</v>
      </c>
      <c r="H4173" s="1179"/>
      <c r="I4173" s="200" t="s">
        <v>7016</v>
      </c>
      <c r="J4173" s="201"/>
    </row>
    <row r="4174" spans="1:10" ht="15" customHeight="1">
      <c r="A4174" s="257"/>
      <c r="B4174" s="432"/>
      <c r="C4174" s="432"/>
      <c r="D4174" s="432"/>
      <c r="E4174" s="430"/>
      <c r="F4174" s="1189"/>
      <c r="G4174" s="1189" t="s">
        <v>19</v>
      </c>
      <c r="H4174" s="1189" t="s">
        <v>20</v>
      </c>
      <c r="I4174" s="205" t="s">
        <v>19</v>
      </c>
      <c r="J4174" s="431" t="s">
        <v>20</v>
      </c>
    </row>
    <row r="4175" spans="1:10" ht="15" customHeight="1">
      <c r="A4175" s="233"/>
      <c r="B4175" s="161"/>
      <c r="C4175" s="161"/>
      <c r="D4175" s="161"/>
      <c r="E4175" s="247"/>
      <c r="F4175" s="248"/>
      <c r="G4175" s="248"/>
      <c r="H4175" s="248"/>
      <c r="I4175" s="214"/>
      <c r="J4175" s="227"/>
    </row>
    <row r="4176" spans="1:10" ht="15" customHeight="1">
      <c r="A4176" s="233" t="s">
        <v>188</v>
      </c>
      <c r="B4176" s="161" t="s">
        <v>14504</v>
      </c>
      <c r="C4176" s="161" t="s">
        <v>14591</v>
      </c>
      <c r="D4176" s="161" t="s">
        <v>14592</v>
      </c>
      <c r="E4176" s="247" t="s">
        <v>7201</v>
      </c>
      <c r="F4176" s="248">
        <v>1</v>
      </c>
      <c r="G4176" s="242">
        <f>IF(B4176="SEPLAG",VLOOKUP(CONCATENATE("MEDIANA - ",C4176),COTAÇÃO,5,FALSE),VLOOKUP($C4176,'NAO DESO'!$A:$D,4,))</f>
        <v>169.9</v>
      </c>
      <c r="H4176" s="242">
        <f>TRUNC(F4176*G4176,2)</f>
        <v>169.9</v>
      </c>
      <c r="I4176" s="54">
        <f>IF(B4176="SEPLAG",VLOOKUP(CONCATENATE("MEDIANA - ",C4176),COTAÇÃO,5,FALSE),VLOOKUP($C4176,DESON!$A:$D,4,))</f>
        <v>169.9</v>
      </c>
      <c r="J4176" s="209">
        <f>TRUNC(F4176*I4176,2)</f>
        <v>169.9</v>
      </c>
    </row>
    <row r="4177" spans="1:10" ht="15" customHeight="1">
      <c r="A4177" s="233" t="s">
        <v>245</v>
      </c>
      <c r="B4177" s="161"/>
      <c r="C4177" s="161">
        <v>88247</v>
      </c>
      <c r="D4177" s="161" t="str">
        <f>IF(B4177="SEPLAG",VLOOKUP(COMPOSIÇÕES!C4177,'MAPA COMPARATIVO'!A:B,2,FALSE),VLOOKUP(C4177,'NAO DESO'!A:B,2,0))</f>
        <v>AUXILIAR DE ELETRICISTA COM ENCARGOS COMPLEMENTARES</v>
      </c>
      <c r="E4177" s="247" t="s">
        <v>16</v>
      </c>
      <c r="F4177" s="248">
        <v>0.18329999999999999</v>
      </c>
      <c r="G4177" s="242" t="str">
        <f>IF(B4177="SEPLAG",VLOOKUP(CONCATENATE("MEDIANA - ",C4177),COTAÇÃO,5,FALSE),VLOOKUP($C4177,'NAO DESO'!$A:$D,4,))</f>
        <v>16,84</v>
      </c>
      <c r="H4177" s="242">
        <f>TRUNC(F4177*G4177,2)</f>
        <v>3.08</v>
      </c>
      <c r="I4177" s="54" t="str">
        <f>IF(B4177="SEPLAG",VLOOKUP(CONCATENATE("MEDIANA - ",C4177),COTAÇÃO,5,FALSE),VLOOKUP($C4177,DESON!$A:$D,4,))</f>
        <v>15,19</v>
      </c>
      <c r="J4177" s="209">
        <f>TRUNC(F4177*I4177,2)</f>
        <v>2.78</v>
      </c>
    </row>
    <row r="4178" spans="1:10" ht="15" customHeight="1">
      <c r="A4178" s="233" t="s">
        <v>245</v>
      </c>
      <c r="B4178" s="161"/>
      <c r="C4178" s="161">
        <v>88264</v>
      </c>
      <c r="D4178" s="161" t="str">
        <f>IF(B4178="SEPLAG",VLOOKUP(COMPOSIÇÕES!C4178,'MAPA COMPARATIVO'!A:B,2,FALSE),VLOOKUP(C4178,'NAO DESO'!A:B,2,0))</f>
        <v>ELETRICISTA COM ENCARGOS COMPLEMENTARES</v>
      </c>
      <c r="E4178" s="247" t="s">
        <v>16</v>
      </c>
      <c r="F4178" s="248">
        <v>0.45179999999999998</v>
      </c>
      <c r="G4178" s="242" t="str">
        <f>IF(B4178="SEPLAG",VLOOKUP(CONCATENATE("MEDIANA - ",C4178),COTAÇÃO,5,FALSE),VLOOKUP($C4178,'NAO DESO'!$A:$D,4,))</f>
        <v>21,87</v>
      </c>
      <c r="H4178" s="242">
        <f>TRUNC(F4178*G4178,2)</f>
        <v>9.8800000000000008</v>
      </c>
      <c r="I4178" s="54" t="str">
        <f>IF(B4178="SEPLAG",VLOOKUP(CONCATENATE("MEDIANA - ",C4178),COTAÇÃO,5,FALSE),VLOOKUP($C4178,DESON!$A:$D,4,))</f>
        <v>19,53</v>
      </c>
      <c r="J4178" s="209">
        <f>TRUNC(F4178*I4178,2)</f>
        <v>8.82</v>
      </c>
    </row>
    <row r="4179" spans="1:10" ht="15" customHeight="1">
      <c r="A4179" s="210" t="str">
        <f>CONCATENATE("TOTAL DO ITEM NÃO DESON. - ",C4173)</f>
        <v>TOTAL DO ITEM NÃO DESON. - SEPLAG ELE 94</v>
      </c>
      <c r="B4179" s="432"/>
      <c r="C4179" s="432"/>
      <c r="D4179" s="432"/>
      <c r="E4179" s="430"/>
      <c r="F4179" s="1189"/>
      <c r="G4179" s="1189"/>
      <c r="H4179" s="1189">
        <f>SUM(H4176:H4178)</f>
        <v>182.86</v>
      </c>
      <c r="I4179" s="213"/>
      <c r="J4179" s="259"/>
    </row>
    <row r="4180" spans="1:10" ht="15.75" customHeight="1" thickBot="1">
      <c r="A4180" s="216" t="str">
        <f>CONCATENATE("TOTAL DO ITEM DESON. - ",C4173)</f>
        <v>TOTAL DO ITEM DESON. - SEPLAG ELE 94</v>
      </c>
      <c r="B4180" s="1148"/>
      <c r="C4180" s="1148"/>
      <c r="D4180" s="1148"/>
      <c r="E4180" s="1142"/>
      <c r="F4180" s="1190"/>
      <c r="G4180" s="1190"/>
      <c r="H4180" s="1190"/>
      <c r="I4180" s="228"/>
      <c r="J4180" s="219">
        <f>SUM(J4176:J4179)</f>
        <v>181.5</v>
      </c>
    </row>
    <row r="4181" spans="1:10" ht="15" customHeight="1"/>
    <row r="4182" spans="1:10" ht="15" customHeight="1"/>
    <row r="4183" spans="1:10" ht="27" customHeight="1"/>
    <row r="4184" spans="1:10" ht="15" customHeight="1" thickBot="1"/>
    <row r="4185" spans="1:10" ht="15.75" customHeight="1" thickBot="1">
      <c r="A4185" s="413" t="s">
        <v>14510</v>
      </c>
      <c r="B4185" s="1130"/>
      <c r="C4185" s="1130"/>
      <c r="D4185" s="1130"/>
      <c r="E4185" s="1130"/>
      <c r="F4185" s="1173"/>
      <c r="G4185" s="1173"/>
      <c r="H4185" s="1173"/>
      <c r="I4185" s="414"/>
      <c r="J4185" s="415"/>
    </row>
    <row r="4186" spans="1:10" ht="15" customHeight="1">
      <c r="A4186" s="466"/>
      <c r="B4186" s="1228"/>
      <c r="C4186" s="1154"/>
      <c r="D4186" s="1154"/>
      <c r="E4186" s="1154"/>
      <c r="F4186" s="1229"/>
      <c r="G4186" s="1229"/>
      <c r="H4186" s="1229"/>
      <c r="I4186" s="467"/>
      <c r="J4186" s="468"/>
    </row>
    <row r="4187" spans="1:10" ht="25.5" customHeight="1">
      <c r="A4187" s="153"/>
      <c r="B4187" s="430"/>
      <c r="C4187" s="1155" t="s">
        <v>7257</v>
      </c>
      <c r="D4187" s="1155" t="s">
        <v>7259</v>
      </c>
      <c r="E4187" s="1155" t="s">
        <v>24</v>
      </c>
      <c r="F4187" s="1180" t="s">
        <v>18</v>
      </c>
      <c r="G4187" s="1180" t="s">
        <v>7015</v>
      </c>
      <c r="H4187" s="1180"/>
      <c r="I4187" s="204" t="s">
        <v>7016</v>
      </c>
      <c r="J4187" s="204"/>
    </row>
    <row r="4188" spans="1:10" ht="15" customHeight="1">
      <c r="A4188" s="153"/>
      <c r="B4188" s="430"/>
      <c r="C4188" s="1155"/>
      <c r="D4188" s="1155"/>
      <c r="E4188" s="1155"/>
      <c r="F4188" s="1180"/>
      <c r="G4188" s="1180" t="s">
        <v>19</v>
      </c>
      <c r="H4188" s="1180" t="s">
        <v>20</v>
      </c>
      <c r="I4188" s="204" t="s">
        <v>19</v>
      </c>
      <c r="J4188" s="204" t="s">
        <v>20</v>
      </c>
    </row>
    <row r="4189" spans="1:10" ht="15" customHeight="1">
      <c r="A4189" s="162"/>
      <c r="B4189" s="1155"/>
      <c r="C4189" s="1155"/>
      <c r="D4189" s="157"/>
      <c r="E4189" s="1155"/>
      <c r="F4189" s="1180"/>
      <c r="G4189" s="1180"/>
      <c r="H4189" s="1180"/>
      <c r="I4189" s="238"/>
      <c r="J4189" s="238"/>
    </row>
    <row r="4190" spans="1:10" ht="26.25" customHeight="1">
      <c r="A4190" s="154" t="s">
        <v>245</v>
      </c>
      <c r="B4190" s="241"/>
      <c r="C4190" s="1181">
        <v>818</v>
      </c>
      <c r="D4190" s="161" t="str">
        <f>IF(B4190="SEPLAG",VLOOKUP(COMPOSIÇÕES!C4190,'MAPA COMPARATIVO'!A:B,2,FALSE),VLOOKUP(C4190,'NAO DESO'!A:B,2,0))</f>
        <v>BUCHA DE REDUCAO DE PVC, SOLDAVEL, CURTA, COM 60 X 50 MM, PARA AGUA FRIA PREDIAL</v>
      </c>
      <c r="E4190" s="241" t="str">
        <f>VLOOKUP($C4190,'NAO DESO'!$A:$D,3,)</f>
        <v xml:space="preserve">UN    </v>
      </c>
      <c r="F4190" s="242">
        <v>1</v>
      </c>
      <c r="G4190" s="242">
        <f>IF(B4190="SEPLAG",VLOOKUP(CONCATENATE("MEDIANA - ",C4190),COTAÇÃO,5,FALSE),VLOOKUP($C4190,'NAO DESO'!$A:$D,4,))</f>
        <v>5.84</v>
      </c>
      <c r="H4190" s="242">
        <f>TRUNC(F4190*G4190,2)</f>
        <v>5.84</v>
      </c>
      <c r="I4190" s="54" t="str">
        <f>IF(B4190="SEPLAG",VLOOKUP(CONCATENATE("MEDIANA - ",C4190),COTAÇÃO,5,FALSE),VLOOKUP($C4190,DESON!$A:$D,4,))</f>
        <v>5,84</v>
      </c>
      <c r="J4190" s="209">
        <f>TRUNC(F4190*I4190,2)</f>
        <v>5.84</v>
      </c>
    </row>
    <row r="4191" spans="1:10" ht="15" customHeight="1">
      <c r="A4191" s="154" t="s">
        <v>245</v>
      </c>
      <c r="B4191" s="241"/>
      <c r="C4191" s="1181">
        <v>122</v>
      </c>
      <c r="D4191" s="161" t="str">
        <f>IF(B4191="SEPLAG",VLOOKUP(COMPOSIÇÕES!C4191,'MAPA COMPARATIVO'!A:B,2,FALSE),VLOOKUP(C4191,'NAO DESO'!A:B,2,0))</f>
        <v>ADESIVO PLASTICO PARA PVC, FRASCO COM *850* GR</v>
      </c>
      <c r="E4191" s="241" t="str">
        <f>VLOOKUP($C4191,'NAO DESO'!$A:$D,3,)</f>
        <v xml:space="preserve">UN    </v>
      </c>
      <c r="F4191" s="242">
        <v>1.9E-2</v>
      </c>
      <c r="G4191" s="242">
        <f>IF(B4191="SEPLAG",VLOOKUP(CONCATENATE("MEDIANA - ",C4191),COTAÇÃO,5,FALSE),VLOOKUP($C4191,'NAO DESO'!$A:$D,4,))</f>
        <v>76.94</v>
      </c>
      <c r="H4191" s="242">
        <f>TRUNC(F4191*G4191,2)</f>
        <v>1.46</v>
      </c>
      <c r="I4191" s="54" t="str">
        <f>IF(B4191="SEPLAG",VLOOKUP(CONCATENATE("MEDIANA - ",C4191),COTAÇÃO,5,FALSE),VLOOKUP($C4191,DESON!$A:$D,4,))</f>
        <v>76,94</v>
      </c>
      <c r="J4191" s="209">
        <f>TRUNC(F4191*I4191,2)</f>
        <v>1.46</v>
      </c>
    </row>
    <row r="4192" spans="1:10" ht="15" customHeight="1">
      <c r="A4192" s="154" t="s">
        <v>245</v>
      </c>
      <c r="B4192" s="241"/>
      <c r="C4192" s="1181">
        <v>20083</v>
      </c>
      <c r="D4192" s="161" t="str">
        <f>IF(B4192="SEPLAG",VLOOKUP(COMPOSIÇÕES!C4192,'MAPA COMPARATIVO'!A:B,2,FALSE),VLOOKUP(C4192,'NAO DESO'!A:B,2,0))</f>
        <v>SOLUCAO PREPARADORA / LIMPADORA PARA PVC, FRASCO COM 1000 CM3</v>
      </c>
      <c r="E4192" s="241" t="str">
        <f>VLOOKUP($C4192,'NAO DESO'!$A:$D,3,)</f>
        <v xml:space="preserve">UN    </v>
      </c>
      <c r="F4192" s="242">
        <v>2.1999999999999999E-2</v>
      </c>
      <c r="G4192" s="242">
        <f>IF(B4192="SEPLAG",VLOOKUP(CONCATENATE("MEDIANA - ",C4192),COTAÇÃO,5,FALSE),VLOOKUP($C4192,'NAO DESO'!$A:$D,4,))</f>
        <v>87.17</v>
      </c>
      <c r="H4192" s="242">
        <f>TRUNC(F4192*G4192,2)</f>
        <v>1.91</v>
      </c>
      <c r="I4192" s="54" t="str">
        <f>IF(B4192="SEPLAG",VLOOKUP(CONCATENATE("MEDIANA - ",C4192),COTAÇÃO,5,FALSE),VLOOKUP($C4192,DESON!$A:$D,4,))</f>
        <v>87,17</v>
      </c>
      <c r="J4192" s="209">
        <f>TRUNC(F4192*I4192,2)</f>
        <v>1.91</v>
      </c>
    </row>
    <row r="4193" spans="1:10" ht="26.25" customHeight="1">
      <c r="A4193" s="154" t="s">
        <v>245</v>
      </c>
      <c r="B4193" s="241"/>
      <c r="C4193" s="1181">
        <v>88248</v>
      </c>
      <c r="D4193" s="161" t="str">
        <f>IF(B4193="SEPLAG",VLOOKUP(COMPOSIÇÕES!C4193,'MAPA COMPARATIVO'!A:B,2,FALSE),VLOOKUP(C4193,'NAO DESO'!A:B,2,0))</f>
        <v>AUXILIAR DE ENCANADOR OU BOMBEIRO HIDRÁULICO COM ENCARGOS COMPLEMENTARES</v>
      </c>
      <c r="E4193" s="241" t="str">
        <f>VLOOKUP($C4193,'NAO DESO'!$A:$D,3,)</f>
        <v>H</v>
      </c>
      <c r="F4193" s="242">
        <v>2.4E-2</v>
      </c>
      <c r="G4193" s="242" t="str">
        <f>IF(B4193="SEPLAG",VLOOKUP(CONCATENATE("MEDIANA - ",C4193),COTAÇÃO,5,FALSE),VLOOKUP($C4193,'NAO DESO'!$A:$D,4,))</f>
        <v>17,33</v>
      </c>
      <c r="H4193" s="242">
        <f>TRUNC(F4193*G4193,2)</f>
        <v>0.41</v>
      </c>
      <c r="I4193" s="54" t="str">
        <f>IF(B4193="SEPLAG",VLOOKUP(CONCATENATE("MEDIANA - ",C4193),COTAÇÃO,5,FALSE),VLOOKUP($C4193,DESON!$A:$D,4,))</f>
        <v>15,54</v>
      </c>
      <c r="J4193" s="209">
        <f>TRUNC(F4193*I4193,2)</f>
        <v>0.37</v>
      </c>
    </row>
    <row r="4194" spans="1:10" ht="26.25" customHeight="1">
      <c r="A4194" s="154" t="s">
        <v>245</v>
      </c>
      <c r="B4194" s="241"/>
      <c r="C4194" s="1181">
        <v>88267</v>
      </c>
      <c r="D4194" s="161" t="str">
        <f>IF(B4194="SEPLAG",VLOOKUP(COMPOSIÇÕES!C4194,'MAPA COMPARATIVO'!A:B,2,FALSE),VLOOKUP(C4194,'NAO DESO'!A:B,2,0))</f>
        <v>ENCANADOR OU BOMBEIRO HIDRÁULICO COM ENCARGOS COMPLEMENTARES</v>
      </c>
      <c r="E4194" s="241" t="str">
        <f>VLOOKUP($C4194,'NAO DESO'!$A:$D,3,)</f>
        <v>H</v>
      </c>
      <c r="F4194" s="242">
        <v>7.0000000000000007E-2</v>
      </c>
      <c r="G4194" s="242" t="str">
        <f>IF(B4194="SEPLAG",VLOOKUP(CONCATENATE("MEDIANA - ",C4194),COTAÇÃO,5,FALSE),VLOOKUP($C4194,'NAO DESO'!$A:$D,4,))</f>
        <v>21,03</v>
      </c>
      <c r="H4194" s="242">
        <f>TRUNC(F4194*G4194,2)</f>
        <v>1.47</v>
      </c>
      <c r="I4194" s="54" t="str">
        <f>IF(B4194="SEPLAG",VLOOKUP(CONCATENATE("MEDIANA - ",C4194),COTAÇÃO,5,FALSE),VLOOKUP($C4194,DESON!$A:$D,4,))</f>
        <v>18,72</v>
      </c>
      <c r="J4194" s="209">
        <f>TRUNC(F4194*I4194,2)</f>
        <v>1.31</v>
      </c>
    </row>
    <row r="4195" spans="1:10" ht="15" customHeight="1">
      <c r="A4195" s="210" t="str">
        <f>CONCATENATE("TOTAL DO ITEM NÃO DESON. - ",C4187)</f>
        <v>TOTAL DO ITEM NÃO DESON. - SEPLAG HIDR 01</v>
      </c>
      <c r="B4195" s="430"/>
      <c r="C4195" s="430"/>
      <c r="D4195" s="430"/>
      <c r="E4195" s="430"/>
      <c r="F4195" s="1180"/>
      <c r="G4195" s="1180"/>
      <c r="H4195" s="1182">
        <f>SUM(H4190:H4194)</f>
        <v>11.09</v>
      </c>
      <c r="I4195" s="231"/>
      <c r="J4195" s="469"/>
    </row>
    <row r="4196" spans="1:10" ht="15.75" customHeight="1" thickBot="1">
      <c r="A4196" s="216" t="str">
        <f>CONCATENATE("TOTAL DO ITEM DESON. - ",C4187)</f>
        <v>TOTAL DO ITEM DESON. - SEPLAG HIDR 01</v>
      </c>
      <c r="B4196" s="430"/>
      <c r="C4196" s="430"/>
      <c r="D4196" s="430"/>
      <c r="E4196" s="430"/>
      <c r="F4196" s="1180"/>
      <c r="G4196" s="1180"/>
      <c r="H4196" s="1182"/>
      <c r="I4196" s="231"/>
      <c r="J4196" s="238">
        <f>SUM(J4190:J4194)</f>
        <v>10.889999999999999</v>
      </c>
    </row>
    <row r="4197" spans="1:10" ht="15" customHeight="1" thickBot="1">
      <c r="A4197" s="470"/>
      <c r="B4197" s="1156"/>
      <c r="C4197" s="1156"/>
      <c r="D4197" s="1156"/>
      <c r="E4197" s="1156"/>
      <c r="F4197" s="1230"/>
      <c r="G4197" s="1230"/>
      <c r="H4197" s="1231"/>
      <c r="I4197" s="455"/>
      <c r="J4197" s="471"/>
    </row>
    <row r="4198" spans="1:10" ht="25.5" customHeight="1">
      <c r="A4198" s="256"/>
      <c r="B4198" s="1152"/>
      <c r="C4198" s="1176" t="s">
        <v>7261</v>
      </c>
      <c r="D4198" s="156" t="s">
        <v>7260</v>
      </c>
      <c r="E4198" s="1176" t="s">
        <v>24</v>
      </c>
      <c r="F4198" s="1177" t="s">
        <v>18</v>
      </c>
      <c r="G4198" s="1177" t="s">
        <v>7015</v>
      </c>
      <c r="H4198" s="1177"/>
      <c r="I4198" s="199" t="s">
        <v>7016</v>
      </c>
      <c r="J4198" s="252"/>
    </row>
    <row r="4199" spans="1:10" ht="15" customHeight="1">
      <c r="A4199" s="257"/>
      <c r="B4199" s="430"/>
      <c r="C4199" s="1155"/>
      <c r="D4199" s="157"/>
      <c r="E4199" s="1155"/>
      <c r="F4199" s="1180"/>
      <c r="G4199" s="1180" t="s">
        <v>19</v>
      </c>
      <c r="H4199" s="1180" t="s">
        <v>20</v>
      </c>
      <c r="I4199" s="204" t="s">
        <v>19</v>
      </c>
      <c r="J4199" s="206" t="s">
        <v>20</v>
      </c>
    </row>
    <row r="4200" spans="1:10" ht="15" customHeight="1">
      <c r="A4200" s="258"/>
      <c r="B4200" s="1155"/>
      <c r="C4200" s="1155"/>
      <c r="D4200" s="157"/>
      <c r="E4200" s="1155"/>
      <c r="F4200" s="1180"/>
      <c r="G4200" s="1180"/>
      <c r="H4200" s="1180"/>
      <c r="I4200" s="238"/>
      <c r="J4200" s="259"/>
    </row>
    <row r="4201" spans="1:10" ht="26.25" customHeight="1">
      <c r="A4201" s="208" t="s">
        <v>245</v>
      </c>
      <c r="B4201" s="241"/>
      <c r="C4201" s="1181">
        <v>813</v>
      </c>
      <c r="D4201" s="161" t="str">
        <f>IF(B4201="SEPLAG",VLOOKUP(COMPOSIÇÕES!C4201,'MAPA COMPARATIVO'!A:B,2,FALSE),VLOOKUP(C4201,'NAO DESO'!A:B,2,0))</f>
        <v>BUCHA DE REDUCAO DE PVC, SOLDAVEL, LONGA, COM 50 X 25 MM, PARA AGUA FRIA PREDIAL</v>
      </c>
      <c r="E4201" s="241" t="str">
        <f>VLOOKUP($C4201,'NAO DESO'!$A:$D,3,)</f>
        <v xml:space="preserve">UN    </v>
      </c>
      <c r="F4201" s="242">
        <v>1</v>
      </c>
      <c r="G4201" s="242">
        <f>IF(B4201="SEPLAG",VLOOKUP(CONCATENATE("MEDIANA - ",C4201),COTAÇÃO,5,FALSE),VLOOKUP($C4201,'NAO DESO'!$A:$D,4,))</f>
        <v>4.49</v>
      </c>
      <c r="H4201" s="242">
        <f>TRUNC(F4201*G4201,2)</f>
        <v>4.49</v>
      </c>
      <c r="I4201" s="54" t="str">
        <f>IF(B4201="SEPLAG",VLOOKUP(CONCATENATE("MEDIANA - ",C4201),COTAÇÃO,5,FALSE),VLOOKUP($C4201,DESON!$A:$D,4,))</f>
        <v>4,49</v>
      </c>
      <c r="J4201" s="209">
        <f>TRUNC(F4201*I4201,2)</f>
        <v>4.49</v>
      </c>
    </row>
    <row r="4202" spans="1:10" ht="15" customHeight="1">
      <c r="A4202" s="208" t="s">
        <v>245</v>
      </c>
      <c r="B4202" s="241"/>
      <c r="C4202" s="1181">
        <v>122</v>
      </c>
      <c r="D4202" s="161" t="str">
        <f>IF(B4202="SEPLAG",VLOOKUP(COMPOSIÇÕES!C4202,'MAPA COMPARATIVO'!A:B,2,FALSE),VLOOKUP(C4202,'NAO DESO'!A:B,2,0))</f>
        <v>ADESIVO PLASTICO PARA PVC, FRASCO COM *850* GR</v>
      </c>
      <c r="E4202" s="241" t="str">
        <f>VLOOKUP($C4202,'NAO DESO'!$A:$D,3,)</f>
        <v xml:space="preserve">UN    </v>
      </c>
      <c r="F4202" s="242">
        <v>1.9E-2</v>
      </c>
      <c r="G4202" s="242">
        <f>IF(B4202="SEPLAG",VLOOKUP(CONCATENATE("MEDIANA - ",C4202),COTAÇÃO,5,FALSE),VLOOKUP($C4202,'NAO DESO'!$A:$D,4,))</f>
        <v>76.94</v>
      </c>
      <c r="H4202" s="242">
        <f>TRUNC(F4202*G4202,2)</f>
        <v>1.46</v>
      </c>
      <c r="I4202" s="54" t="str">
        <f>IF(B4202="SEPLAG",VLOOKUP(CONCATENATE("MEDIANA - ",C4202),COTAÇÃO,5,FALSE),VLOOKUP($C4202,DESON!$A:$D,4,))</f>
        <v>76,94</v>
      </c>
      <c r="J4202" s="209">
        <f>TRUNC(F4202*I4202,2)</f>
        <v>1.46</v>
      </c>
    </row>
    <row r="4203" spans="1:10" ht="15" customHeight="1">
      <c r="A4203" s="208" t="s">
        <v>245</v>
      </c>
      <c r="B4203" s="241"/>
      <c r="C4203" s="1181">
        <v>20083</v>
      </c>
      <c r="D4203" s="161" t="str">
        <f>IF(B4203="SEPLAG",VLOOKUP(COMPOSIÇÕES!C4203,'MAPA COMPARATIVO'!A:B,2,FALSE),VLOOKUP(C4203,'NAO DESO'!A:B,2,0))</f>
        <v>SOLUCAO PREPARADORA / LIMPADORA PARA PVC, FRASCO COM 1000 CM3</v>
      </c>
      <c r="E4203" s="241" t="str">
        <f>VLOOKUP($C4203,'NAO DESO'!$A:$D,3,)</f>
        <v xml:space="preserve">UN    </v>
      </c>
      <c r="F4203" s="242">
        <v>2.1999999999999999E-2</v>
      </c>
      <c r="G4203" s="242">
        <f>IF(B4203="SEPLAG",VLOOKUP(CONCATENATE("MEDIANA - ",C4203),COTAÇÃO,5,FALSE),VLOOKUP($C4203,'NAO DESO'!$A:$D,4,))</f>
        <v>87.17</v>
      </c>
      <c r="H4203" s="242">
        <f>TRUNC(F4203*G4203,2)</f>
        <v>1.91</v>
      </c>
      <c r="I4203" s="54" t="str">
        <f>IF(B4203="SEPLAG",VLOOKUP(CONCATENATE("MEDIANA - ",C4203),COTAÇÃO,5,FALSE),VLOOKUP($C4203,DESON!$A:$D,4,))</f>
        <v>87,17</v>
      </c>
      <c r="J4203" s="209">
        <f>TRUNC(F4203*I4203,2)</f>
        <v>1.91</v>
      </c>
    </row>
    <row r="4204" spans="1:10" ht="26.25" customHeight="1">
      <c r="A4204" s="208" t="s">
        <v>245</v>
      </c>
      <c r="B4204" s="241"/>
      <c r="C4204" s="1181">
        <v>88248</v>
      </c>
      <c r="D4204" s="161" t="str">
        <f>IF(B4204="SEPLAG",VLOOKUP(COMPOSIÇÕES!C4204,'MAPA COMPARATIVO'!A:B,2,FALSE),VLOOKUP(C4204,'NAO DESO'!A:B,2,0))</f>
        <v>AUXILIAR DE ENCANADOR OU BOMBEIRO HIDRÁULICO COM ENCARGOS COMPLEMENTARES</v>
      </c>
      <c r="E4204" s="241" t="str">
        <f>VLOOKUP($C4204,'NAO DESO'!$A:$D,3,)</f>
        <v>H</v>
      </c>
      <c r="F4204" s="242">
        <v>2.4E-2</v>
      </c>
      <c r="G4204" s="242" t="str">
        <f>IF(B4204="SEPLAG",VLOOKUP(CONCATENATE("MEDIANA - ",C4204),COTAÇÃO,5,FALSE),VLOOKUP($C4204,'NAO DESO'!$A:$D,4,))</f>
        <v>17,33</v>
      </c>
      <c r="H4204" s="242">
        <f>TRUNC(F4204*G4204,2)</f>
        <v>0.41</v>
      </c>
      <c r="I4204" s="54" t="str">
        <f>IF(B4204="SEPLAG",VLOOKUP(CONCATENATE("MEDIANA - ",C4204),COTAÇÃO,5,FALSE),VLOOKUP($C4204,DESON!$A:$D,4,))</f>
        <v>15,54</v>
      </c>
      <c r="J4204" s="209">
        <f>TRUNC(F4204*I4204,2)</f>
        <v>0.37</v>
      </c>
    </row>
    <row r="4205" spans="1:10" ht="26.25" customHeight="1">
      <c r="A4205" s="208" t="s">
        <v>245</v>
      </c>
      <c r="B4205" s="241"/>
      <c r="C4205" s="1181">
        <v>88267</v>
      </c>
      <c r="D4205" s="161" t="str">
        <f>IF(B4205="SEPLAG",VLOOKUP(COMPOSIÇÕES!C4205,'MAPA COMPARATIVO'!A:B,2,FALSE),VLOOKUP(C4205,'NAO DESO'!A:B,2,0))</f>
        <v>ENCANADOR OU BOMBEIRO HIDRÁULICO COM ENCARGOS COMPLEMENTARES</v>
      </c>
      <c r="E4205" s="241" t="str">
        <f>VLOOKUP($C4205,'NAO DESO'!$A:$D,3,)</f>
        <v>H</v>
      </c>
      <c r="F4205" s="242">
        <v>7.0000000000000007E-2</v>
      </c>
      <c r="G4205" s="242" t="str">
        <f>IF(B4205="SEPLAG",VLOOKUP(CONCATENATE("MEDIANA - ",C4205),COTAÇÃO,5,FALSE),VLOOKUP($C4205,'NAO DESO'!$A:$D,4,))</f>
        <v>21,03</v>
      </c>
      <c r="H4205" s="242">
        <f>TRUNC(F4205*G4205,2)</f>
        <v>1.47</v>
      </c>
      <c r="I4205" s="54" t="str">
        <f>IF(B4205="SEPLAG",VLOOKUP(CONCATENATE("MEDIANA - ",C4205),COTAÇÃO,5,FALSE),VLOOKUP($C4205,DESON!$A:$D,4,))</f>
        <v>18,72</v>
      </c>
      <c r="J4205" s="209">
        <f>TRUNC(F4205*I4205,2)</f>
        <v>1.31</v>
      </c>
    </row>
    <row r="4206" spans="1:10" ht="15" customHeight="1">
      <c r="A4206" s="210" t="str">
        <f>CONCATENATE("TOTAL DO ITEM NÃO DESON. - ",C4198)</f>
        <v>TOTAL DO ITEM NÃO DESON. - SEPLAG HIDR 02</v>
      </c>
      <c r="B4206" s="430"/>
      <c r="C4206" s="430"/>
      <c r="D4206" s="430"/>
      <c r="E4206" s="430"/>
      <c r="F4206" s="1180"/>
      <c r="G4206" s="1180"/>
      <c r="H4206" s="1182">
        <f>SUM(H4201:H4205)</f>
        <v>9.74</v>
      </c>
      <c r="I4206" s="231"/>
      <c r="J4206" s="215"/>
    </row>
    <row r="4207" spans="1:10" ht="15.75" customHeight="1" thickBot="1">
      <c r="A4207" s="216" t="str">
        <f>CONCATENATE("TOTAL DO ITEM DESON. - ",C4198)</f>
        <v>TOTAL DO ITEM DESON. - SEPLAG HIDR 02</v>
      </c>
      <c r="B4207" s="1142"/>
      <c r="C4207" s="1142"/>
      <c r="D4207" s="1142"/>
      <c r="E4207" s="1142"/>
      <c r="F4207" s="1211"/>
      <c r="G4207" s="1211"/>
      <c r="H4207" s="1187"/>
      <c r="I4207" s="260"/>
      <c r="J4207" s="219">
        <f>SUM(J4201:J4205)</f>
        <v>9.5400000000000009</v>
      </c>
    </row>
    <row r="4208" spans="1:10" ht="15" customHeight="1" thickBot="1">
      <c r="A4208" s="421"/>
      <c r="B4208" s="1138"/>
      <c r="C4208" s="1138"/>
      <c r="D4208" s="1138"/>
      <c r="E4208" s="1154"/>
      <c r="F4208" s="1196"/>
      <c r="G4208" s="1196"/>
      <c r="H4208" s="1196"/>
      <c r="I4208" s="422"/>
      <c r="J4208" s="422"/>
    </row>
    <row r="4209" spans="1:10" ht="25.5" customHeight="1">
      <c r="A4209" s="256"/>
      <c r="B4209" s="1152"/>
      <c r="C4209" s="1176" t="s">
        <v>7262</v>
      </c>
      <c r="D4209" s="156" t="s">
        <v>7258</v>
      </c>
      <c r="E4209" s="1176" t="s">
        <v>24</v>
      </c>
      <c r="F4209" s="1177" t="s">
        <v>18</v>
      </c>
      <c r="G4209" s="1178" t="s">
        <v>7015</v>
      </c>
      <c r="H4209" s="1179"/>
      <c r="I4209" s="200" t="s">
        <v>7016</v>
      </c>
      <c r="J4209" s="201"/>
    </row>
    <row r="4210" spans="1:10" ht="15" customHeight="1">
      <c r="A4210" s="203"/>
      <c r="B4210" s="430"/>
      <c r="C4210" s="1155"/>
      <c r="D4210" s="157"/>
      <c r="E4210" s="1155"/>
      <c r="F4210" s="1180"/>
      <c r="G4210" s="1180" t="s">
        <v>19</v>
      </c>
      <c r="H4210" s="1180" t="s">
        <v>20</v>
      </c>
      <c r="I4210" s="204" t="s">
        <v>19</v>
      </c>
      <c r="J4210" s="206" t="s">
        <v>20</v>
      </c>
    </row>
    <row r="4211" spans="1:10" ht="15" customHeight="1">
      <c r="A4211" s="258"/>
      <c r="B4211" s="1155"/>
      <c r="C4211" s="1155"/>
      <c r="D4211" s="157"/>
      <c r="E4211" s="1155"/>
      <c r="F4211" s="1180"/>
      <c r="G4211" s="1180"/>
      <c r="H4211" s="1180"/>
      <c r="I4211" s="238"/>
      <c r="J4211" s="259"/>
    </row>
    <row r="4212" spans="1:10" ht="26.25" customHeight="1">
      <c r="A4212" s="208" t="s">
        <v>245</v>
      </c>
      <c r="B4212" s="241"/>
      <c r="C4212" s="1181">
        <v>816</v>
      </c>
      <c r="D4212" s="161" t="str">
        <f>IF(B4212="SEPLAG",VLOOKUP(COMPOSIÇÕES!C4212,'MAPA COMPARATIVO'!A:B,2,FALSE),VLOOKUP(C4212,'NAO DESO'!A:B,2,0))</f>
        <v>BUCHA DE REDUCAO DE PVC, SOLDAVEL, LONGA, COM 60 X 25 MM, PARA AGUA FRIA PREDIAL</v>
      </c>
      <c r="E4212" s="241" t="str">
        <f>VLOOKUP($C4212,'NAO DESO'!$A:$D,3,)</f>
        <v xml:space="preserve">UN    </v>
      </c>
      <c r="F4212" s="242">
        <v>1</v>
      </c>
      <c r="G4212" s="242">
        <f>IF(B4212="SEPLAG",VLOOKUP(CONCATENATE("MEDIANA - ",C4212),COTAÇÃO,5,FALSE),VLOOKUP($C4212,'NAO DESO'!$A:$D,4,))</f>
        <v>9.6999999999999993</v>
      </c>
      <c r="H4212" s="242">
        <f>TRUNC(F4212*G4212,2)</f>
        <v>9.6999999999999993</v>
      </c>
      <c r="I4212" s="54" t="str">
        <f>IF(B4212="SEPLAG",VLOOKUP(CONCATENATE("MEDIANA - ",C4212),COTAÇÃO,5,FALSE),VLOOKUP($C4212,DESON!$A:$D,4,))</f>
        <v>9,70</v>
      </c>
      <c r="J4212" s="209">
        <f>TRUNC(F4212*I4212,2)</f>
        <v>9.6999999999999993</v>
      </c>
    </row>
    <row r="4213" spans="1:10" ht="15" customHeight="1">
      <c r="A4213" s="208" t="s">
        <v>245</v>
      </c>
      <c r="B4213" s="241"/>
      <c r="C4213" s="1181">
        <v>122</v>
      </c>
      <c r="D4213" s="161" t="str">
        <f>IF(B4213="SEPLAG",VLOOKUP(COMPOSIÇÕES!C4213,'MAPA COMPARATIVO'!A:B,2,FALSE),VLOOKUP(C4213,'NAO DESO'!A:B,2,0))</f>
        <v>ADESIVO PLASTICO PARA PVC, FRASCO COM *850* GR</v>
      </c>
      <c r="E4213" s="241" t="str">
        <f>VLOOKUP($C4213,'NAO DESO'!$A:$D,3,)</f>
        <v xml:space="preserve">UN    </v>
      </c>
      <c r="F4213" s="242">
        <v>1.9E-2</v>
      </c>
      <c r="G4213" s="242">
        <f>IF(B4213="SEPLAG",VLOOKUP(CONCATENATE("MEDIANA - ",C4213),COTAÇÃO,5,FALSE),VLOOKUP($C4213,'NAO DESO'!$A:$D,4,))</f>
        <v>76.94</v>
      </c>
      <c r="H4213" s="242">
        <f>TRUNC(F4213*G4213,2)</f>
        <v>1.46</v>
      </c>
      <c r="I4213" s="54" t="str">
        <f>IF(B4213="SEPLAG",VLOOKUP(CONCATENATE("MEDIANA - ",C4213),COTAÇÃO,5,FALSE),VLOOKUP($C4213,DESON!$A:$D,4,))</f>
        <v>76,94</v>
      </c>
      <c r="J4213" s="209">
        <f>TRUNC(F4213*I4213,2)</f>
        <v>1.46</v>
      </c>
    </row>
    <row r="4214" spans="1:10" ht="15" customHeight="1">
      <c r="A4214" s="208" t="s">
        <v>245</v>
      </c>
      <c r="B4214" s="241"/>
      <c r="C4214" s="1181">
        <v>20083</v>
      </c>
      <c r="D4214" s="161" t="str">
        <f>IF(B4214="SEPLAG",VLOOKUP(COMPOSIÇÕES!C4214,'MAPA COMPARATIVO'!A:B,2,FALSE),VLOOKUP(C4214,'NAO DESO'!A:B,2,0))</f>
        <v>SOLUCAO PREPARADORA / LIMPADORA PARA PVC, FRASCO COM 1000 CM3</v>
      </c>
      <c r="E4214" s="241" t="str">
        <f>VLOOKUP($C4214,'NAO DESO'!$A:$D,3,)</f>
        <v xml:space="preserve">UN    </v>
      </c>
      <c r="F4214" s="242">
        <v>2.1999999999999999E-2</v>
      </c>
      <c r="G4214" s="242">
        <f>IF(B4214="SEPLAG",VLOOKUP(CONCATENATE("MEDIANA - ",C4214),COTAÇÃO,5,FALSE),VLOOKUP($C4214,'NAO DESO'!$A:$D,4,))</f>
        <v>87.17</v>
      </c>
      <c r="H4214" s="242">
        <f>TRUNC(F4214*G4214,2)</f>
        <v>1.91</v>
      </c>
      <c r="I4214" s="54" t="str">
        <f>IF(B4214="SEPLAG",VLOOKUP(CONCATENATE("MEDIANA - ",C4214),COTAÇÃO,5,FALSE),VLOOKUP($C4214,DESON!$A:$D,4,))</f>
        <v>87,17</v>
      </c>
      <c r="J4214" s="209">
        <f>TRUNC(F4214*I4214,2)</f>
        <v>1.91</v>
      </c>
    </row>
    <row r="4215" spans="1:10" ht="26.25" customHeight="1">
      <c r="A4215" s="208" t="s">
        <v>245</v>
      </c>
      <c r="B4215" s="241"/>
      <c r="C4215" s="1181">
        <v>88248</v>
      </c>
      <c r="D4215" s="161" t="str">
        <f>IF(B4215="SEPLAG",VLOOKUP(COMPOSIÇÕES!C4215,'MAPA COMPARATIVO'!A:B,2,FALSE),VLOOKUP(C4215,'NAO DESO'!A:B,2,0))</f>
        <v>AUXILIAR DE ENCANADOR OU BOMBEIRO HIDRÁULICO COM ENCARGOS COMPLEMENTARES</v>
      </c>
      <c r="E4215" s="241" t="str">
        <f>VLOOKUP($C4215,'NAO DESO'!$A:$D,3,)</f>
        <v>H</v>
      </c>
      <c r="F4215" s="242">
        <v>2.4E-2</v>
      </c>
      <c r="G4215" s="242" t="str">
        <f>IF(B4215="SEPLAG",VLOOKUP(CONCATENATE("MEDIANA - ",C4215),COTAÇÃO,5,FALSE),VLOOKUP($C4215,'NAO DESO'!$A:$D,4,))</f>
        <v>17,33</v>
      </c>
      <c r="H4215" s="242">
        <f>TRUNC(F4215*G4215,2)</f>
        <v>0.41</v>
      </c>
      <c r="I4215" s="54" t="str">
        <f>IF(B4215="SEPLAG",VLOOKUP(CONCATENATE("MEDIANA - ",C4215),COTAÇÃO,5,FALSE),VLOOKUP($C4215,DESON!$A:$D,4,))</f>
        <v>15,54</v>
      </c>
      <c r="J4215" s="209">
        <f>TRUNC(F4215*I4215,2)</f>
        <v>0.37</v>
      </c>
    </row>
    <row r="4216" spans="1:10" ht="26.25" customHeight="1">
      <c r="A4216" s="208" t="s">
        <v>245</v>
      </c>
      <c r="B4216" s="241"/>
      <c r="C4216" s="1181">
        <v>88267</v>
      </c>
      <c r="D4216" s="161" t="str">
        <f>IF(B4216="SEPLAG",VLOOKUP(COMPOSIÇÕES!C4216,'MAPA COMPARATIVO'!A:B,2,FALSE),VLOOKUP(C4216,'NAO DESO'!A:B,2,0))</f>
        <v>ENCANADOR OU BOMBEIRO HIDRÁULICO COM ENCARGOS COMPLEMENTARES</v>
      </c>
      <c r="E4216" s="241" t="str">
        <f>VLOOKUP($C4216,'NAO DESO'!$A:$D,3,)</f>
        <v>H</v>
      </c>
      <c r="F4216" s="242">
        <v>7.0000000000000007E-2</v>
      </c>
      <c r="G4216" s="242" t="str">
        <f>IF(B4216="SEPLAG",VLOOKUP(CONCATENATE("MEDIANA - ",C4216),COTAÇÃO,5,FALSE),VLOOKUP($C4216,'NAO DESO'!$A:$D,4,))</f>
        <v>21,03</v>
      </c>
      <c r="H4216" s="242">
        <f>TRUNC(F4216*G4216,2)</f>
        <v>1.47</v>
      </c>
      <c r="I4216" s="54" t="str">
        <f>IF(B4216="SEPLAG",VLOOKUP(CONCATENATE("MEDIANA - ",C4216),COTAÇÃO,5,FALSE),VLOOKUP($C4216,DESON!$A:$D,4,))</f>
        <v>18,72</v>
      </c>
      <c r="J4216" s="209">
        <f>TRUNC(F4216*I4216,2)</f>
        <v>1.31</v>
      </c>
    </row>
    <row r="4217" spans="1:10" ht="15" customHeight="1">
      <c r="A4217" s="210" t="str">
        <f>CONCATENATE("TOTAL DO ITEM NÃO DESON. - ",C4209)</f>
        <v>TOTAL DO ITEM NÃO DESON. - SEPLAG HIDR 03</v>
      </c>
      <c r="B4217" s="430"/>
      <c r="C4217" s="430"/>
      <c r="D4217" s="430"/>
      <c r="E4217" s="430"/>
      <c r="F4217" s="1180"/>
      <c r="G4217" s="1180"/>
      <c r="H4217" s="1182">
        <f>SUM(H4212:H4216)</f>
        <v>14.950000000000001</v>
      </c>
      <c r="I4217" s="231"/>
      <c r="J4217" s="215"/>
    </row>
    <row r="4218" spans="1:10" ht="15.75" customHeight="1" thickBot="1">
      <c r="A4218" s="216" t="str">
        <f>CONCATENATE("TOTAL DO ITEM DESON. - ",C4209)</f>
        <v>TOTAL DO ITEM DESON. - SEPLAG HIDR 03</v>
      </c>
      <c r="B4218" s="1142"/>
      <c r="C4218" s="1142"/>
      <c r="D4218" s="1142"/>
      <c r="E4218" s="1142"/>
      <c r="F4218" s="1211"/>
      <c r="G4218" s="1211"/>
      <c r="H4218" s="1187"/>
      <c r="I4218" s="260"/>
      <c r="J4218" s="219">
        <f>SUM(J4212:J4216)</f>
        <v>14.75</v>
      </c>
    </row>
    <row r="4219" spans="1:10" ht="15" customHeight="1" thickBot="1">
      <c r="A4219" s="421"/>
      <c r="B4219" s="1138"/>
      <c r="C4219" s="1138"/>
      <c r="D4219" s="1138"/>
      <c r="E4219" s="1154"/>
      <c r="F4219" s="1196"/>
      <c r="G4219" s="1196"/>
      <c r="H4219" s="1196"/>
      <c r="I4219" s="422"/>
      <c r="J4219" s="422"/>
    </row>
    <row r="4220" spans="1:10" ht="25.5" customHeight="1">
      <c r="A4220" s="256"/>
      <c r="B4220" s="1152"/>
      <c r="C4220" s="1176" t="s">
        <v>7263</v>
      </c>
      <c r="D4220" s="156" t="s">
        <v>7264</v>
      </c>
      <c r="E4220" s="1176" t="s">
        <v>24</v>
      </c>
      <c r="F4220" s="1177" t="s">
        <v>18</v>
      </c>
      <c r="G4220" s="1178" t="s">
        <v>7015</v>
      </c>
      <c r="H4220" s="1179"/>
      <c r="I4220" s="200" t="s">
        <v>7016</v>
      </c>
      <c r="J4220" s="201"/>
    </row>
    <row r="4221" spans="1:10" ht="15" customHeight="1">
      <c r="A4221" s="203"/>
      <c r="B4221" s="430"/>
      <c r="C4221" s="1155"/>
      <c r="D4221" s="157"/>
      <c r="E4221" s="1155"/>
      <c r="F4221" s="1180"/>
      <c r="G4221" s="1180" t="s">
        <v>19</v>
      </c>
      <c r="H4221" s="1180" t="s">
        <v>20</v>
      </c>
      <c r="I4221" s="204" t="s">
        <v>19</v>
      </c>
      <c r="J4221" s="206" t="s">
        <v>20</v>
      </c>
    </row>
    <row r="4222" spans="1:10" ht="15" customHeight="1">
      <c r="A4222" s="258"/>
      <c r="B4222" s="1155"/>
      <c r="C4222" s="1155"/>
      <c r="D4222" s="157"/>
      <c r="E4222" s="1155"/>
      <c r="F4222" s="1180"/>
      <c r="G4222" s="1180"/>
      <c r="H4222" s="1180"/>
      <c r="I4222" s="238"/>
      <c r="J4222" s="259"/>
    </row>
    <row r="4223" spans="1:10" ht="26.25" customHeight="1">
      <c r="A4223" s="208" t="s">
        <v>245</v>
      </c>
      <c r="B4223" s="241"/>
      <c r="C4223" s="1181">
        <v>821</v>
      </c>
      <c r="D4223" s="161" t="str">
        <f>IF(B4223="SEPLAG",VLOOKUP(COMPOSIÇÕES!C4223,'MAPA COMPARATIVO'!A:B,2,FALSE),VLOOKUP(C4223,'NAO DESO'!A:B,2,0))</f>
        <v>BUCHA DE REDUCAO DE PVC, SOLDAVEL, LONGA, COM 75 X 50 MM, PARA AGUA FRIA PREDIAL</v>
      </c>
      <c r="E4223" s="241" t="str">
        <f>VLOOKUP($C4223,'NAO DESO'!$A:$D,3,)</f>
        <v xml:space="preserve">UN    </v>
      </c>
      <c r="F4223" s="242">
        <v>1</v>
      </c>
      <c r="G4223" s="242">
        <f>IF(B4223="SEPLAG",VLOOKUP(CONCATENATE("MEDIANA - ",C4223),COTAÇÃO,5,FALSE),VLOOKUP($C4223,'NAO DESO'!$A:$D,4,))</f>
        <v>18.04</v>
      </c>
      <c r="H4223" s="242">
        <f>TRUNC(F4223*G4223,2)</f>
        <v>18.04</v>
      </c>
      <c r="I4223" s="54" t="str">
        <f>IF(B4223="SEPLAG",VLOOKUP(CONCATENATE("MEDIANA - ",C4223),COTAÇÃO,5,FALSE),VLOOKUP($C4223,DESON!$A:$D,4,))</f>
        <v>18,04</v>
      </c>
      <c r="J4223" s="209">
        <f>TRUNC(F4223*I4223,2)</f>
        <v>18.04</v>
      </c>
    </row>
    <row r="4224" spans="1:10" ht="15" customHeight="1">
      <c r="A4224" s="208" t="s">
        <v>245</v>
      </c>
      <c r="B4224" s="241"/>
      <c r="C4224" s="1181">
        <v>122</v>
      </c>
      <c r="D4224" s="161" t="str">
        <f>IF(B4224="SEPLAG",VLOOKUP(COMPOSIÇÕES!C4224,'MAPA COMPARATIVO'!A:B,2,FALSE),VLOOKUP(C4224,'NAO DESO'!A:B,2,0))</f>
        <v>ADESIVO PLASTICO PARA PVC, FRASCO COM *850* GR</v>
      </c>
      <c r="E4224" s="241" t="str">
        <f>VLOOKUP($C4224,'NAO DESO'!$A:$D,3,)</f>
        <v xml:space="preserve">UN    </v>
      </c>
      <c r="F4224" s="242">
        <v>1.9E-2</v>
      </c>
      <c r="G4224" s="242">
        <f>IF(B4224="SEPLAG",VLOOKUP(CONCATENATE("MEDIANA - ",C4224),COTAÇÃO,5,FALSE),VLOOKUP($C4224,'NAO DESO'!$A:$D,4,))</f>
        <v>76.94</v>
      </c>
      <c r="H4224" s="242">
        <f>TRUNC(F4224*G4224,2)</f>
        <v>1.46</v>
      </c>
      <c r="I4224" s="54" t="str">
        <f>IF(B4224="SEPLAG",VLOOKUP(CONCATENATE("MEDIANA - ",C4224),COTAÇÃO,5,FALSE),VLOOKUP($C4224,DESON!$A:$D,4,))</f>
        <v>76,94</v>
      </c>
      <c r="J4224" s="209">
        <f>TRUNC(F4224*I4224,2)</f>
        <v>1.46</v>
      </c>
    </row>
    <row r="4225" spans="1:10" ht="15" customHeight="1">
      <c r="A4225" s="208" t="s">
        <v>245</v>
      </c>
      <c r="B4225" s="241"/>
      <c r="C4225" s="1181">
        <v>20083</v>
      </c>
      <c r="D4225" s="161" t="str">
        <f>IF(B4225="SEPLAG",VLOOKUP(COMPOSIÇÕES!C4225,'MAPA COMPARATIVO'!A:B,2,FALSE),VLOOKUP(C4225,'NAO DESO'!A:B,2,0))</f>
        <v>SOLUCAO PREPARADORA / LIMPADORA PARA PVC, FRASCO COM 1000 CM3</v>
      </c>
      <c r="E4225" s="241" t="str">
        <f>VLOOKUP($C4225,'NAO DESO'!$A:$D,3,)</f>
        <v xml:space="preserve">UN    </v>
      </c>
      <c r="F4225" s="242">
        <v>2.1999999999999999E-2</v>
      </c>
      <c r="G4225" s="242">
        <f>IF(B4225="SEPLAG",VLOOKUP(CONCATENATE("MEDIANA - ",C4225),COTAÇÃO,5,FALSE),VLOOKUP($C4225,'NAO DESO'!$A:$D,4,))</f>
        <v>87.17</v>
      </c>
      <c r="H4225" s="242">
        <f>TRUNC(F4225*G4225,2)</f>
        <v>1.91</v>
      </c>
      <c r="I4225" s="54" t="str">
        <f>IF(B4225="SEPLAG",VLOOKUP(CONCATENATE("MEDIANA - ",C4225),COTAÇÃO,5,FALSE),VLOOKUP($C4225,DESON!$A:$D,4,))</f>
        <v>87,17</v>
      </c>
      <c r="J4225" s="209">
        <f>TRUNC(F4225*I4225,2)</f>
        <v>1.91</v>
      </c>
    </row>
    <row r="4226" spans="1:10" ht="26.25" customHeight="1">
      <c r="A4226" s="208" t="s">
        <v>245</v>
      </c>
      <c r="B4226" s="241"/>
      <c r="C4226" s="1181">
        <v>88248</v>
      </c>
      <c r="D4226" s="161" t="str">
        <f>IF(B4226="SEPLAG",VLOOKUP(COMPOSIÇÕES!C4226,'MAPA COMPARATIVO'!A:B,2,FALSE),VLOOKUP(C4226,'NAO DESO'!A:B,2,0))</f>
        <v>AUXILIAR DE ENCANADOR OU BOMBEIRO HIDRÁULICO COM ENCARGOS COMPLEMENTARES</v>
      </c>
      <c r="E4226" s="241" t="str">
        <f>VLOOKUP($C4226,'NAO DESO'!$A:$D,3,)</f>
        <v>H</v>
      </c>
      <c r="F4226" s="242">
        <v>2.4E-2</v>
      </c>
      <c r="G4226" s="242" t="str">
        <f>IF(B4226="SEPLAG",VLOOKUP(CONCATENATE("MEDIANA - ",C4226),COTAÇÃO,5,FALSE),VLOOKUP($C4226,'NAO DESO'!$A:$D,4,))</f>
        <v>17,33</v>
      </c>
      <c r="H4226" s="242">
        <f>TRUNC(F4226*G4226,2)</f>
        <v>0.41</v>
      </c>
      <c r="I4226" s="54" t="str">
        <f>IF(B4226="SEPLAG",VLOOKUP(CONCATENATE("MEDIANA - ",C4226),COTAÇÃO,5,FALSE),VLOOKUP($C4226,DESON!$A:$D,4,))</f>
        <v>15,54</v>
      </c>
      <c r="J4226" s="209">
        <f>TRUNC(F4226*I4226,2)</f>
        <v>0.37</v>
      </c>
    </row>
    <row r="4227" spans="1:10" ht="26.25" customHeight="1">
      <c r="A4227" s="208" t="s">
        <v>245</v>
      </c>
      <c r="B4227" s="241"/>
      <c r="C4227" s="1181">
        <v>88267</v>
      </c>
      <c r="D4227" s="161" t="str">
        <f>IF(B4227="SEPLAG",VLOOKUP(COMPOSIÇÕES!C4227,'MAPA COMPARATIVO'!A:B,2,FALSE),VLOOKUP(C4227,'NAO DESO'!A:B,2,0))</f>
        <v>ENCANADOR OU BOMBEIRO HIDRÁULICO COM ENCARGOS COMPLEMENTARES</v>
      </c>
      <c r="E4227" s="241" t="str">
        <f>VLOOKUP($C4227,'NAO DESO'!$A:$D,3,)</f>
        <v>H</v>
      </c>
      <c r="F4227" s="242">
        <v>7.0000000000000007E-2</v>
      </c>
      <c r="G4227" s="242" t="str">
        <f>IF(B4227="SEPLAG",VLOOKUP(CONCATENATE("MEDIANA - ",C4227),COTAÇÃO,5,FALSE),VLOOKUP($C4227,'NAO DESO'!$A:$D,4,))</f>
        <v>21,03</v>
      </c>
      <c r="H4227" s="242">
        <f>TRUNC(F4227*G4227,2)</f>
        <v>1.47</v>
      </c>
      <c r="I4227" s="54" t="str">
        <f>IF(B4227="SEPLAG",VLOOKUP(CONCATENATE("MEDIANA - ",C4227),COTAÇÃO,5,FALSE),VLOOKUP($C4227,DESON!$A:$D,4,))</f>
        <v>18,72</v>
      </c>
      <c r="J4227" s="209">
        <f>TRUNC(F4227*I4227,2)</f>
        <v>1.31</v>
      </c>
    </row>
    <row r="4228" spans="1:10" ht="15" customHeight="1">
      <c r="A4228" s="210" t="str">
        <f>CONCATENATE("TOTAL DO ITEM NÃO DESON. - ",C4220)</f>
        <v>TOTAL DO ITEM NÃO DESON. - SEPLAG HIDR 04</v>
      </c>
      <c r="B4228" s="430"/>
      <c r="C4228" s="430"/>
      <c r="D4228" s="430"/>
      <c r="E4228" s="430"/>
      <c r="F4228" s="1180"/>
      <c r="G4228" s="1180"/>
      <c r="H4228" s="1182">
        <f>SUM(H4223:H4227)</f>
        <v>23.29</v>
      </c>
      <c r="I4228" s="231"/>
      <c r="J4228" s="215"/>
    </row>
    <row r="4229" spans="1:10" ht="15.75" customHeight="1" thickBot="1">
      <c r="A4229" s="216" t="str">
        <f>CONCATENATE("TOTAL DO ITEM DESON. - ",C4220)</f>
        <v>TOTAL DO ITEM DESON. - SEPLAG HIDR 04</v>
      </c>
      <c r="B4229" s="1142"/>
      <c r="C4229" s="1142"/>
      <c r="D4229" s="1142"/>
      <c r="E4229" s="1142"/>
      <c r="F4229" s="1211"/>
      <c r="G4229" s="1211"/>
      <c r="H4229" s="1187"/>
      <c r="I4229" s="260"/>
      <c r="J4229" s="219">
        <f>SUM(J4223:J4227)</f>
        <v>23.09</v>
      </c>
    </row>
    <row r="4230" spans="1:10" ht="15" customHeight="1" thickBot="1">
      <c r="A4230" s="421"/>
      <c r="B4230" s="1138"/>
      <c r="C4230" s="1138"/>
      <c r="D4230" s="1138"/>
      <c r="E4230" s="1154"/>
      <c r="F4230" s="1196"/>
      <c r="G4230" s="1196"/>
      <c r="H4230" s="1196"/>
      <c r="I4230" s="422"/>
      <c r="J4230" s="422"/>
    </row>
    <row r="4231" spans="1:10" ht="25.5" customHeight="1">
      <c r="A4231" s="256"/>
      <c r="B4231" s="1152"/>
      <c r="C4231" s="1176" t="s">
        <v>7265</v>
      </c>
      <c r="D4231" s="156" t="s">
        <v>7724</v>
      </c>
      <c r="E4231" s="1176" t="s">
        <v>24</v>
      </c>
      <c r="F4231" s="1177" t="s">
        <v>18</v>
      </c>
      <c r="G4231" s="1178" t="s">
        <v>7015</v>
      </c>
      <c r="H4231" s="1179"/>
      <c r="I4231" s="200" t="s">
        <v>7016</v>
      </c>
      <c r="J4231" s="201"/>
    </row>
    <row r="4232" spans="1:10" ht="15" customHeight="1">
      <c r="A4232" s="203"/>
      <c r="B4232" s="430"/>
      <c r="C4232" s="1155"/>
      <c r="D4232" s="157"/>
      <c r="E4232" s="1155"/>
      <c r="F4232" s="1180"/>
      <c r="G4232" s="1180" t="s">
        <v>19</v>
      </c>
      <c r="H4232" s="1180" t="s">
        <v>20</v>
      </c>
      <c r="I4232" s="204" t="s">
        <v>19</v>
      </c>
      <c r="J4232" s="206" t="s">
        <v>20</v>
      </c>
    </row>
    <row r="4233" spans="1:10" ht="15" customHeight="1">
      <c r="A4233" s="258"/>
      <c r="B4233" s="1155"/>
      <c r="C4233" s="1155"/>
      <c r="D4233" s="157"/>
      <c r="E4233" s="1155"/>
      <c r="F4233" s="1180"/>
      <c r="G4233" s="1180"/>
      <c r="H4233" s="1180"/>
      <c r="I4233" s="238"/>
      <c r="J4233" s="259"/>
    </row>
    <row r="4234" spans="1:10" ht="26.25" customHeight="1">
      <c r="A4234" s="208" t="s">
        <v>245</v>
      </c>
      <c r="B4234" s="241"/>
      <c r="C4234" s="1181">
        <v>3538</v>
      </c>
      <c r="D4234" s="161" t="str">
        <f>IF(B4234="SEPLAG",VLOOKUP(COMPOSIÇÕES!C4234,'MAPA COMPARATIVO'!A:B,2,FALSE),VLOOKUP(C4234,'NAO DESO'!A:B,2,0))</f>
        <v>JOELHO DE REDUCAO, PVC SOLDAVEL, 90 GRAUS,  32 MM X 25 MM, PARA AGUA FRIA PREDIAL</v>
      </c>
      <c r="E4234" s="241" t="str">
        <f>VLOOKUP($C4234,'NAO DESO'!$A:$D,3,)</f>
        <v xml:space="preserve">UN    </v>
      </c>
      <c r="F4234" s="242">
        <v>1</v>
      </c>
      <c r="G4234" s="242">
        <f>IF(B4234="SEPLAG",VLOOKUP(CONCATENATE("MEDIANA - ",C4234),COTAÇÃO,5,FALSE),VLOOKUP($C4234,'NAO DESO'!$A:$D,4,))</f>
        <v>4.2300000000000004</v>
      </c>
      <c r="H4234" s="242">
        <f>TRUNC(F4234*G4234,2)</f>
        <v>4.2300000000000004</v>
      </c>
      <c r="I4234" s="54" t="str">
        <f>IF(B4234="SEPLAG",VLOOKUP(CONCATENATE("MEDIANA - ",C4234),COTAÇÃO,5,FALSE),VLOOKUP($C4234,DESON!$A:$D,4,))</f>
        <v>4,23</v>
      </c>
      <c r="J4234" s="209">
        <f>TRUNC(F4234*I4234,2)</f>
        <v>4.2300000000000004</v>
      </c>
    </row>
    <row r="4235" spans="1:10" ht="15" customHeight="1">
      <c r="A4235" s="208" t="s">
        <v>245</v>
      </c>
      <c r="B4235" s="241"/>
      <c r="C4235" s="1181">
        <v>122</v>
      </c>
      <c r="D4235" s="161" t="str">
        <f>IF(B4235="SEPLAG",VLOOKUP(COMPOSIÇÕES!C4235,'MAPA COMPARATIVO'!A:B,2,FALSE),VLOOKUP(C4235,'NAO DESO'!A:B,2,0))</f>
        <v>ADESIVO PLASTICO PARA PVC, FRASCO COM *850* GR</v>
      </c>
      <c r="E4235" s="241" t="str">
        <f>VLOOKUP($C4235,'NAO DESO'!$A:$D,3,)</f>
        <v xml:space="preserve">UN    </v>
      </c>
      <c r="F4235" s="242">
        <v>1.9E-2</v>
      </c>
      <c r="G4235" s="242">
        <f>IF(B4235="SEPLAG",VLOOKUP(CONCATENATE("MEDIANA - ",C4235),COTAÇÃO,5,FALSE),VLOOKUP($C4235,'NAO DESO'!$A:$D,4,))</f>
        <v>76.94</v>
      </c>
      <c r="H4235" s="242">
        <f>TRUNC(F4235*G4235,2)</f>
        <v>1.46</v>
      </c>
      <c r="I4235" s="54" t="str">
        <f>IF(B4235="SEPLAG",VLOOKUP(CONCATENATE("MEDIANA - ",C4235),COTAÇÃO,5,FALSE),VLOOKUP($C4235,DESON!$A:$D,4,))</f>
        <v>76,94</v>
      </c>
      <c r="J4235" s="209">
        <f>TRUNC(F4235*I4235,2)</f>
        <v>1.46</v>
      </c>
    </row>
    <row r="4236" spans="1:10" ht="15" customHeight="1">
      <c r="A4236" s="208" t="s">
        <v>245</v>
      </c>
      <c r="B4236" s="241"/>
      <c r="C4236" s="1181">
        <v>20083</v>
      </c>
      <c r="D4236" s="161" t="str">
        <f>IF(B4236="SEPLAG",VLOOKUP(COMPOSIÇÕES!C4236,'MAPA COMPARATIVO'!A:B,2,FALSE),VLOOKUP(C4236,'NAO DESO'!A:B,2,0))</f>
        <v>SOLUCAO PREPARADORA / LIMPADORA PARA PVC, FRASCO COM 1000 CM3</v>
      </c>
      <c r="E4236" s="241" t="str">
        <f>VLOOKUP($C4236,'NAO DESO'!$A:$D,3,)</f>
        <v xml:space="preserve">UN    </v>
      </c>
      <c r="F4236" s="242">
        <v>2.1999999999999999E-2</v>
      </c>
      <c r="G4236" s="242">
        <f>IF(B4236="SEPLAG",VLOOKUP(CONCATENATE("MEDIANA - ",C4236),COTAÇÃO,5,FALSE),VLOOKUP($C4236,'NAO DESO'!$A:$D,4,))</f>
        <v>87.17</v>
      </c>
      <c r="H4236" s="242">
        <f>TRUNC(F4236*G4236,2)</f>
        <v>1.91</v>
      </c>
      <c r="I4236" s="54" t="str">
        <f>IF(B4236="SEPLAG",VLOOKUP(CONCATENATE("MEDIANA - ",C4236),COTAÇÃO,5,FALSE),VLOOKUP($C4236,DESON!$A:$D,4,))</f>
        <v>87,17</v>
      </c>
      <c r="J4236" s="209">
        <f>TRUNC(F4236*I4236,2)</f>
        <v>1.91</v>
      </c>
    </row>
    <row r="4237" spans="1:10" ht="26.25" customHeight="1">
      <c r="A4237" s="208" t="s">
        <v>245</v>
      </c>
      <c r="B4237" s="241"/>
      <c r="C4237" s="1181">
        <v>88248</v>
      </c>
      <c r="D4237" s="161" t="str">
        <f>IF(B4237="SEPLAG",VLOOKUP(COMPOSIÇÕES!C4237,'MAPA COMPARATIVO'!A:B,2,FALSE),VLOOKUP(C4237,'NAO DESO'!A:B,2,0))</f>
        <v>AUXILIAR DE ENCANADOR OU BOMBEIRO HIDRÁULICO COM ENCARGOS COMPLEMENTARES</v>
      </c>
      <c r="E4237" s="241" t="str">
        <f>VLOOKUP($C4237,'NAO DESO'!$A:$D,3,)</f>
        <v>H</v>
      </c>
      <c r="F4237" s="242">
        <v>2.4E-2</v>
      </c>
      <c r="G4237" s="242" t="str">
        <f>IF(B4237="SEPLAG",VLOOKUP(CONCATENATE("MEDIANA - ",C4237),COTAÇÃO,5,FALSE),VLOOKUP($C4237,'NAO DESO'!$A:$D,4,))</f>
        <v>17,33</v>
      </c>
      <c r="H4237" s="242">
        <f>TRUNC(F4237*G4237,2)</f>
        <v>0.41</v>
      </c>
      <c r="I4237" s="54" t="str">
        <f>IF(B4237="SEPLAG",VLOOKUP(CONCATENATE("MEDIANA - ",C4237),COTAÇÃO,5,FALSE),VLOOKUP($C4237,DESON!$A:$D,4,))</f>
        <v>15,54</v>
      </c>
      <c r="J4237" s="209">
        <f>TRUNC(F4237*I4237,2)</f>
        <v>0.37</v>
      </c>
    </row>
    <row r="4238" spans="1:10" ht="26.25" customHeight="1">
      <c r="A4238" s="208" t="s">
        <v>245</v>
      </c>
      <c r="B4238" s="241"/>
      <c r="C4238" s="1181">
        <v>88267</v>
      </c>
      <c r="D4238" s="161" t="str">
        <f>IF(B4238="SEPLAG",VLOOKUP(COMPOSIÇÕES!C4238,'MAPA COMPARATIVO'!A:B,2,FALSE),VLOOKUP(C4238,'NAO DESO'!A:B,2,0))</f>
        <v>ENCANADOR OU BOMBEIRO HIDRÁULICO COM ENCARGOS COMPLEMENTARES</v>
      </c>
      <c r="E4238" s="241" t="str">
        <f>VLOOKUP($C4238,'NAO DESO'!$A:$D,3,)</f>
        <v>H</v>
      </c>
      <c r="F4238" s="242">
        <v>7.0000000000000007E-2</v>
      </c>
      <c r="G4238" s="242" t="str">
        <f>IF(B4238="SEPLAG",VLOOKUP(CONCATENATE("MEDIANA - ",C4238),COTAÇÃO,5,FALSE),VLOOKUP($C4238,'NAO DESO'!$A:$D,4,))</f>
        <v>21,03</v>
      </c>
      <c r="H4238" s="242">
        <f>TRUNC(F4238*G4238,2)</f>
        <v>1.47</v>
      </c>
      <c r="I4238" s="54" t="str">
        <f>IF(B4238="SEPLAG",VLOOKUP(CONCATENATE("MEDIANA - ",C4238),COTAÇÃO,5,FALSE),VLOOKUP($C4238,DESON!$A:$D,4,))</f>
        <v>18,72</v>
      </c>
      <c r="J4238" s="209">
        <f>TRUNC(F4238*I4238,2)</f>
        <v>1.31</v>
      </c>
    </row>
    <row r="4239" spans="1:10" ht="15" customHeight="1">
      <c r="A4239" s="210" t="str">
        <f>CONCATENATE("TOTAL DO ITEM NÃO DESON. - ",C4231)</f>
        <v>TOTAL DO ITEM NÃO DESON. - SEPLAG HIDR 05</v>
      </c>
      <c r="B4239" s="430"/>
      <c r="C4239" s="430"/>
      <c r="D4239" s="430"/>
      <c r="E4239" s="430"/>
      <c r="F4239" s="1180"/>
      <c r="G4239" s="1180"/>
      <c r="H4239" s="1182">
        <f>SUM(H4234:H4238)</f>
        <v>9.48</v>
      </c>
      <c r="I4239" s="231"/>
      <c r="J4239" s="215"/>
    </row>
    <row r="4240" spans="1:10" ht="15.75" customHeight="1" thickBot="1">
      <c r="A4240" s="216" t="str">
        <f>CONCATENATE("TOTAL DO ITEM DESON. - ",C4231)</f>
        <v>TOTAL DO ITEM DESON. - SEPLAG HIDR 05</v>
      </c>
      <c r="B4240" s="1142"/>
      <c r="C4240" s="1142"/>
      <c r="D4240" s="1142"/>
      <c r="E4240" s="1142"/>
      <c r="F4240" s="1211"/>
      <c r="G4240" s="1211"/>
      <c r="H4240" s="1187"/>
      <c r="I4240" s="260"/>
      <c r="J4240" s="219">
        <f>SUM(J4234:J4238)</f>
        <v>9.2800000000000011</v>
      </c>
    </row>
    <row r="4241" spans="1:10" ht="15" customHeight="1" thickBot="1">
      <c r="A4241" s="421"/>
      <c r="B4241" s="1138"/>
      <c r="C4241" s="1138"/>
      <c r="D4241" s="1138"/>
      <c r="E4241" s="1154"/>
      <c r="F4241" s="1196"/>
      <c r="G4241" s="1196"/>
      <c r="H4241" s="1196"/>
      <c r="I4241" s="422"/>
      <c r="J4241" s="422"/>
    </row>
    <row r="4242" spans="1:10" ht="25.5" customHeight="1">
      <c r="A4242" s="256"/>
      <c r="B4242" s="1152"/>
      <c r="C4242" s="1176" t="s">
        <v>7266</v>
      </c>
      <c r="D4242" s="156" t="s">
        <v>7725</v>
      </c>
      <c r="E4242" s="1176" t="s">
        <v>24</v>
      </c>
      <c r="F4242" s="1177" t="s">
        <v>18</v>
      </c>
      <c r="G4242" s="1178" t="s">
        <v>7015</v>
      </c>
      <c r="H4242" s="1179"/>
      <c r="I4242" s="200" t="s">
        <v>7016</v>
      </c>
      <c r="J4242" s="201"/>
    </row>
    <row r="4243" spans="1:10" ht="15" customHeight="1">
      <c r="A4243" s="203"/>
      <c r="B4243" s="430"/>
      <c r="C4243" s="1155"/>
      <c r="D4243" s="157"/>
      <c r="E4243" s="1155"/>
      <c r="F4243" s="1180"/>
      <c r="G4243" s="1180" t="s">
        <v>19</v>
      </c>
      <c r="H4243" s="1180" t="s">
        <v>20</v>
      </c>
      <c r="I4243" s="204" t="s">
        <v>19</v>
      </c>
      <c r="J4243" s="206" t="s">
        <v>20</v>
      </c>
    </row>
    <row r="4244" spans="1:10" ht="15" customHeight="1">
      <c r="A4244" s="258"/>
      <c r="B4244" s="1155"/>
      <c r="C4244" s="1155"/>
      <c r="D4244" s="157"/>
      <c r="E4244" s="1155"/>
      <c r="F4244" s="1180"/>
      <c r="G4244" s="1180"/>
      <c r="H4244" s="1180"/>
      <c r="I4244" s="238"/>
      <c r="J4244" s="259"/>
    </row>
    <row r="4245" spans="1:10" ht="26.25" customHeight="1">
      <c r="A4245" s="208" t="s">
        <v>245</v>
      </c>
      <c r="B4245" s="241"/>
      <c r="C4245" s="1181">
        <v>820</v>
      </c>
      <c r="D4245" s="161" t="str">
        <f>IF(B4245="SEPLAG",VLOOKUP(COMPOSIÇÕES!C4245,'MAPA COMPARATIVO'!A:B,2,FALSE),VLOOKUP(C4245,'NAO DESO'!A:B,2,0))</f>
        <v>BUCHA DE REDUCAO DE PVC, SOLDAVEL, LONGA, COM 50 X 32 MM, PARA AGUA FRIA PREDIAL</v>
      </c>
      <c r="E4245" s="241" t="str">
        <f>VLOOKUP($C4245,'NAO DESO'!$A:$D,3,)</f>
        <v xml:space="preserve">UN    </v>
      </c>
      <c r="F4245" s="242">
        <v>1</v>
      </c>
      <c r="G4245" s="242">
        <f>IF(B4245="SEPLAG",VLOOKUP(CONCATENATE("MEDIANA - ",C4245),COTAÇÃO,5,FALSE),VLOOKUP($C4245,'NAO DESO'!$A:$D,4,))</f>
        <v>5.7</v>
      </c>
      <c r="H4245" s="242">
        <f>TRUNC(F4245*G4245,2)</f>
        <v>5.7</v>
      </c>
      <c r="I4245" s="54" t="str">
        <f>IF(B4245="SEPLAG",VLOOKUP(CONCATENATE("MEDIANA - ",C4245),COTAÇÃO,5,FALSE),VLOOKUP($C4245,DESON!$A:$D,4,))</f>
        <v>5,70</v>
      </c>
      <c r="J4245" s="209">
        <f>TRUNC(F4245*I4245,2)</f>
        <v>5.7</v>
      </c>
    </row>
    <row r="4246" spans="1:10" ht="15" customHeight="1">
      <c r="A4246" s="208" t="s">
        <v>245</v>
      </c>
      <c r="B4246" s="241"/>
      <c r="C4246" s="1181">
        <v>122</v>
      </c>
      <c r="D4246" s="161" t="str">
        <f>IF(B4246="SEPLAG",VLOOKUP(COMPOSIÇÕES!C4246,'MAPA COMPARATIVO'!A:B,2,FALSE),VLOOKUP(C4246,'NAO DESO'!A:B,2,0))</f>
        <v>ADESIVO PLASTICO PARA PVC, FRASCO COM *850* GR</v>
      </c>
      <c r="E4246" s="241" t="str">
        <f>VLOOKUP($C4246,'NAO DESO'!$A:$D,3,)</f>
        <v xml:space="preserve">UN    </v>
      </c>
      <c r="F4246" s="242">
        <v>1.9E-2</v>
      </c>
      <c r="G4246" s="242">
        <f>IF(B4246="SEPLAG",VLOOKUP(CONCATENATE("MEDIANA - ",C4246),COTAÇÃO,5,FALSE),VLOOKUP($C4246,'NAO DESO'!$A:$D,4,))</f>
        <v>76.94</v>
      </c>
      <c r="H4246" s="242">
        <f>TRUNC(F4246*G4246,2)</f>
        <v>1.46</v>
      </c>
      <c r="I4246" s="54" t="str">
        <f>IF(B4246="SEPLAG",VLOOKUP(CONCATENATE("MEDIANA - ",C4246),COTAÇÃO,5,FALSE),VLOOKUP($C4246,DESON!$A:$D,4,))</f>
        <v>76,94</v>
      </c>
      <c r="J4246" s="209">
        <f>TRUNC(F4246*I4246,2)</f>
        <v>1.46</v>
      </c>
    </row>
    <row r="4247" spans="1:10" ht="15" customHeight="1">
      <c r="A4247" s="208" t="s">
        <v>245</v>
      </c>
      <c r="B4247" s="241"/>
      <c r="C4247" s="1181">
        <v>20083</v>
      </c>
      <c r="D4247" s="161" t="str">
        <f>IF(B4247="SEPLAG",VLOOKUP(COMPOSIÇÕES!C4247,'MAPA COMPARATIVO'!A:B,2,FALSE),VLOOKUP(C4247,'NAO DESO'!A:B,2,0))</f>
        <v>SOLUCAO PREPARADORA / LIMPADORA PARA PVC, FRASCO COM 1000 CM3</v>
      </c>
      <c r="E4247" s="241" t="str">
        <f>VLOOKUP($C4247,'NAO DESO'!$A:$D,3,)</f>
        <v xml:space="preserve">UN    </v>
      </c>
      <c r="F4247" s="242">
        <v>2.1999999999999999E-2</v>
      </c>
      <c r="G4247" s="242">
        <f>IF(B4247="SEPLAG",VLOOKUP(CONCATENATE("MEDIANA - ",C4247),COTAÇÃO,5,FALSE),VLOOKUP($C4247,'NAO DESO'!$A:$D,4,))</f>
        <v>87.17</v>
      </c>
      <c r="H4247" s="242">
        <f>TRUNC(F4247*G4247,2)</f>
        <v>1.91</v>
      </c>
      <c r="I4247" s="54" t="str">
        <f>IF(B4247="SEPLAG",VLOOKUP(CONCATENATE("MEDIANA - ",C4247),COTAÇÃO,5,FALSE),VLOOKUP($C4247,DESON!$A:$D,4,))</f>
        <v>87,17</v>
      </c>
      <c r="J4247" s="209">
        <f>TRUNC(F4247*I4247,2)</f>
        <v>1.91</v>
      </c>
    </row>
    <row r="4248" spans="1:10" ht="26.25" customHeight="1">
      <c r="A4248" s="208" t="s">
        <v>245</v>
      </c>
      <c r="B4248" s="241"/>
      <c r="C4248" s="1181">
        <v>88248</v>
      </c>
      <c r="D4248" s="161" t="str">
        <f>IF(B4248="SEPLAG",VLOOKUP(COMPOSIÇÕES!C4248,'MAPA COMPARATIVO'!A:B,2,FALSE),VLOOKUP(C4248,'NAO DESO'!A:B,2,0))</f>
        <v>AUXILIAR DE ENCANADOR OU BOMBEIRO HIDRÁULICO COM ENCARGOS COMPLEMENTARES</v>
      </c>
      <c r="E4248" s="241" t="str">
        <f>VLOOKUP($C4248,'NAO DESO'!$A:$D,3,)</f>
        <v>H</v>
      </c>
      <c r="F4248" s="242">
        <v>2.4E-2</v>
      </c>
      <c r="G4248" s="242" t="str">
        <f>IF(B4248="SEPLAG",VLOOKUP(CONCATENATE("MEDIANA - ",C4248),COTAÇÃO,5,FALSE),VLOOKUP($C4248,'NAO DESO'!$A:$D,4,))</f>
        <v>17,33</v>
      </c>
      <c r="H4248" s="242">
        <f>TRUNC(F4248*G4248,2)</f>
        <v>0.41</v>
      </c>
      <c r="I4248" s="54" t="str">
        <f>IF(B4248="SEPLAG",VLOOKUP(CONCATENATE("MEDIANA - ",C4248),COTAÇÃO,5,FALSE),VLOOKUP($C4248,DESON!$A:$D,4,))</f>
        <v>15,54</v>
      </c>
      <c r="J4248" s="209">
        <f>TRUNC(F4248*I4248,2)</f>
        <v>0.37</v>
      </c>
    </row>
    <row r="4249" spans="1:10" ht="26.25" customHeight="1">
      <c r="A4249" s="208" t="s">
        <v>245</v>
      </c>
      <c r="B4249" s="241"/>
      <c r="C4249" s="1181">
        <v>88267</v>
      </c>
      <c r="D4249" s="161" t="str">
        <f>IF(B4249="SEPLAG",VLOOKUP(COMPOSIÇÕES!C4249,'MAPA COMPARATIVO'!A:B,2,FALSE),VLOOKUP(C4249,'NAO DESO'!A:B,2,0))</f>
        <v>ENCANADOR OU BOMBEIRO HIDRÁULICO COM ENCARGOS COMPLEMENTARES</v>
      </c>
      <c r="E4249" s="241" t="str">
        <f>VLOOKUP($C4249,'NAO DESO'!$A:$D,3,)</f>
        <v>H</v>
      </c>
      <c r="F4249" s="242">
        <v>7.0000000000000007E-2</v>
      </c>
      <c r="G4249" s="242" t="str">
        <f>IF(B4249="SEPLAG",VLOOKUP(CONCATENATE("MEDIANA - ",C4249),COTAÇÃO,5,FALSE),VLOOKUP($C4249,'NAO DESO'!$A:$D,4,))</f>
        <v>21,03</v>
      </c>
      <c r="H4249" s="242">
        <f>TRUNC(F4249*G4249,2)</f>
        <v>1.47</v>
      </c>
      <c r="I4249" s="54" t="str">
        <f>IF(B4249="SEPLAG",VLOOKUP(CONCATENATE("MEDIANA - ",C4249),COTAÇÃO,5,FALSE),VLOOKUP($C4249,DESON!$A:$D,4,))</f>
        <v>18,72</v>
      </c>
      <c r="J4249" s="209">
        <f>TRUNC(F4249*I4249,2)</f>
        <v>1.31</v>
      </c>
    </row>
    <row r="4250" spans="1:10" ht="15" customHeight="1">
      <c r="A4250" s="210" t="str">
        <f>CONCATENATE("TOTAL DO ITEM NÃO DESON. - ",C4242)</f>
        <v>TOTAL DO ITEM NÃO DESON. - SEPLAG HIDR 06</v>
      </c>
      <c r="B4250" s="430"/>
      <c r="C4250" s="430"/>
      <c r="D4250" s="430"/>
      <c r="E4250" s="430"/>
      <c r="F4250" s="1180"/>
      <c r="G4250" s="1180"/>
      <c r="H4250" s="1182">
        <f>SUM(H4245:H4249)</f>
        <v>10.950000000000001</v>
      </c>
      <c r="I4250" s="231"/>
      <c r="J4250" s="215"/>
    </row>
    <row r="4251" spans="1:10" ht="15.75" customHeight="1" thickBot="1">
      <c r="A4251" s="216" t="str">
        <f>CONCATENATE("TOTAL DO ITEM DESON. - ",C4242)</f>
        <v>TOTAL DO ITEM DESON. - SEPLAG HIDR 06</v>
      </c>
      <c r="B4251" s="1142"/>
      <c r="C4251" s="1142"/>
      <c r="D4251" s="1142"/>
      <c r="E4251" s="1142"/>
      <c r="F4251" s="1211"/>
      <c r="G4251" s="1211"/>
      <c r="H4251" s="1187"/>
      <c r="I4251" s="260"/>
      <c r="J4251" s="219">
        <f>SUM(J4245:J4249)</f>
        <v>10.75</v>
      </c>
    </row>
    <row r="4252" spans="1:10" ht="15" customHeight="1" thickBot="1">
      <c r="A4252" s="421"/>
      <c r="B4252" s="1138"/>
      <c r="C4252" s="1138"/>
      <c r="D4252" s="1138"/>
      <c r="E4252" s="1154"/>
      <c r="F4252" s="1196"/>
      <c r="G4252" s="1196"/>
      <c r="H4252" s="1196"/>
      <c r="I4252" s="422"/>
      <c r="J4252" s="422"/>
    </row>
    <row r="4253" spans="1:10" ht="25.5" customHeight="1">
      <c r="A4253" s="256"/>
      <c r="B4253" s="1152"/>
      <c r="C4253" s="1176" t="s">
        <v>7267</v>
      </c>
      <c r="D4253" s="156" t="s">
        <v>7268</v>
      </c>
      <c r="E4253" s="1176" t="s">
        <v>24</v>
      </c>
      <c r="F4253" s="1177" t="s">
        <v>18</v>
      </c>
      <c r="G4253" s="1178" t="s">
        <v>7015</v>
      </c>
      <c r="H4253" s="1179"/>
      <c r="I4253" s="200" t="s">
        <v>7016</v>
      </c>
      <c r="J4253" s="201"/>
    </row>
    <row r="4254" spans="1:10" ht="15" customHeight="1">
      <c r="A4254" s="203"/>
      <c r="B4254" s="430"/>
      <c r="C4254" s="1155"/>
      <c r="D4254" s="157"/>
      <c r="E4254" s="1155"/>
      <c r="F4254" s="1180"/>
      <c r="G4254" s="1180" t="s">
        <v>19</v>
      </c>
      <c r="H4254" s="1180" t="s">
        <v>20</v>
      </c>
      <c r="I4254" s="204" t="s">
        <v>19</v>
      </c>
      <c r="J4254" s="206" t="s">
        <v>20</v>
      </c>
    </row>
    <row r="4255" spans="1:10" ht="15" customHeight="1">
      <c r="A4255" s="258"/>
      <c r="B4255" s="1155"/>
      <c r="C4255" s="1155"/>
      <c r="D4255" s="157" t="s">
        <v>7269</v>
      </c>
      <c r="E4255" s="1155"/>
      <c r="F4255" s="1180"/>
      <c r="G4255" s="1180"/>
      <c r="H4255" s="1180"/>
      <c r="I4255" s="238"/>
      <c r="J4255" s="259"/>
    </row>
    <row r="4256" spans="1:10" ht="15" customHeight="1">
      <c r="A4256" s="208" t="s">
        <v>245</v>
      </c>
      <c r="B4256" s="241" t="s">
        <v>14504</v>
      </c>
      <c r="C4256" s="1181" t="s">
        <v>14446</v>
      </c>
      <c r="D4256" s="161" t="str">
        <f>IF(B4256="SEPLAG",VLOOKUP(COMPOSIÇÕES!C4256,'MAPA COMPARATIVO'!A:B,2,FALSE),VLOOKUP(C4256,'NAO DESO'!A:B,2,0))</f>
        <v>TANQUE DE POLIETILENO 1.000 LITROS, TAMPA ROSCAVEL, TIPO FORTLEV</v>
      </c>
      <c r="E4256" s="241" t="e">
        <f>VLOOKUP($C4256,'NAO DESO'!$A:$D,3,)</f>
        <v>#N/A</v>
      </c>
      <c r="F4256" s="242">
        <v>1</v>
      </c>
      <c r="G4256" s="242">
        <f>IF(B4256="SEPLAG",VLOOKUP(CONCATENATE("MEDIANA - ",C4256),COTAÇÃO,5,FALSE),VLOOKUP($C4256,'NAO DESO'!$A:$D,4,))</f>
        <v>1199</v>
      </c>
      <c r="H4256" s="242">
        <f>TRUNC(F4256*G4256,2)</f>
        <v>1199</v>
      </c>
      <c r="I4256" s="54">
        <f>IF(B4256="SEPLAG",VLOOKUP(CONCATENATE("MEDIANA - ",C4256),COTAÇÃO,5,FALSE),VLOOKUP($C4256,DESON!$A:$D,4,))</f>
        <v>1199</v>
      </c>
      <c r="J4256" s="209">
        <f>TRUNC(F4256*I4256,2)</f>
        <v>1199</v>
      </c>
    </row>
    <row r="4257" spans="1:10" ht="26.25" customHeight="1">
      <c r="A4257" s="208" t="s">
        <v>245</v>
      </c>
      <c r="B4257" s="241"/>
      <c r="C4257" s="1181">
        <v>88248</v>
      </c>
      <c r="D4257" s="161" t="str">
        <f>IF(B4257="SEPLAG",VLOOKUP(COMPOSIÇÕES!C4257,'MAPA COMPARATIVO'!A:B,2,FALSE),VLOOKUP(C4257,'NAO DESO'!A:B,2,0))</f>
        <v>AUXILIAR DE ENCANADOR OU BOMBEIRO HIDRÁULICO COM ENCARGOS COMPLEMENTARES</v>
      </c>
      <c r="E4257" s="241" t="str">
        <f>VLOOKUP($C4257,'NAO DESO'!$A:$D,3,)</f>
        <v>H</v>
      </c>
      <c r="F4257" s="242">
        <v>0.15</v>
      </c>
      <c r="G4257" s="242" t="str">
        <f>IF(B4257="SEPLAG",VLOOKUP(CONCATENATE("MEDIANA - ",C4257),COTAÇÃO,5,FALSE),VLOOKUP($C4257,'NAO DESO'!$A:$D,4,))</f>
        <v>17,33</v>
      </c>
      <c r="H4257" s="242">
        <f>TRUNC(F4257*G4257,2)</f>
        <v>2.59</v>
      </c>
      <c r="I4257" s="54" t="str">
        <f>IF(B4257="SEPLAG",VLOOKUP(CONCATENATE("MEDIANA - ",C4257),COTAÇÃO,5,FALSE),VLOOKUP($C4257,DESON!$A:$D,4,))</f>
        <v>15,54</v>
      </c>
      <c r="J4257" s="209">
        <f>TRUNC(F4257*I4257,2)</f>
        <v>2.33</v>
      </c>
    </row>
    <row r="4258" spans="1:10" ht="26.25" customHeight="1">
      <c r="A4258" s="208" t="s">
        <v>245</v>
      </c>
      <c r="B4258" s="241"/>
      <c r="C4258" s="1181">
        <v>88267</v>
      </c>
      <c r="D4258" s="161" t="str">
        <f>IF(B4258="SEPLAG",VLOOKUP(COMPOSIÇÕES!C4258,'MAPA COMPARATIVO'!A:B,2,FALSE),VLOOKUP(C4258,'NAO DESO'!A:B,2,0))</f>
        <v>ENCANADOR OU BOMBEIRO HIDRÁULICO COM ENCARGOS COMPLEMENTARES</v>
      </c>
      <c r="E4258" s="241" t="str">
        <f>VLOOKUP($C4258,'NAO DESO'!$A:$D,3,)</f>
        <v>H</v>
      </c>
      <c r="F4258" s="242">
        <v>0.15</v>
      </c>
      <c r="G4258" s="242" t="str">
        <f>IF(B4258="SEPLAG",VLOOKUP(CONCATENATE("MEDIANA - ",C4258),COTAÇÃO,5,FALSE),VLOOKUP($C4258,'NAO DESO'!$A:$D,4,))</f>
        <v>21,03</v>
      </c>
      <c r="H4258" s="242">
        <f>TRUNC(F4258*G4258,2)</f>
        <v>3.15</v>
      </c>
      <c r="I4258" s="54" t="str">
        <f>IF(B4258="SEPLAG",VLOOKUP(CONCATENATE("MEDIANA - ",C4258),COTAÇÃO,5,FALSE),VLOOKUP($C4258,DESON!$A:$D,4,))</f>
        <v>18,72</v>
      </c>
      <c r="J4258" s="209">
        <f>TRUNC(F4258*I4258,2)</f>
        <v>2.8</v>
      </c>
    </row>
    <row r="4259" spans="1:10" ht="15" customHeight="1">
      <c r="A4259" s="210" t="str">
        <f>CONCATENATE("TOTAL DO ITEM NÃO DESON. - ",C4253)</f>
        <v>TOTAL DO ITEM NÃO DESON. - SEPLAG HIDR 07</v>
      </c>
      <c r="B4259" s="430"/>
      <c r="C4259" s="430"/>
      <c r="D4259" s="430"/>
      <c r="E4259" s="430"/>
      <c r="F4259" s="1180"/>
      <c r="G4259" s="1180"/>
      <c r="H4259" s="1182">
        <f>SUM(H4256:H4258)</f>
        <v>1204.74</v>
      </c>
      <c r="I4259" s="231"/>
      <c r="J4259" s="215"/>
    </row>
    <row r="4260" spans="1:10" ht="15.75" customHeight="1" thickBot="1">
      <c r="A4260" s="216" t="str">
        <f>CONCATENATE("TOTAL DO ITEM DESON. - ",C4253)</f>
        <v>TOTAL DO ITEM DESON. - SEPLAG HIDR 07</v>
      </c>
      <c r="B4260" s="1142"/>
      <c r="C4260" s="1142"/>
      <c r="D4260" s="1142"/>
      <c r="E4260" s="1142"/>
      <c r="F4260" s="1211"/>
      <c r="G4260" s="1211"/>
      <c r="H4260" s="1187"/>
      <c r="I4260" s="260"/>
      <c r="J4260" s="219">
        <f>SUM(J4256:J4258)</f>
        <v>1204.1299999999999</v>
      </c>
    </row>
    <row r="4261" spans="1:10" ht="15" customHeight="1" thickBot="1">
      <c r="A4261" s="421"/>
      <c r="B4261" s="1138"/>
      <c r="C4261" s="1138"/>
      <c r="D4261" s="1138"/>
      <c r="E4261" s="1154"/>
      <c r="F4261" s="1196"/>
      <c r="G4261" s="1196"/>
      <c r="H4261" s="1196"/>
      <c r="I4261" s="422"/>
      <c r="J4261" s="422"/>
    </row>
    <row r="4262" spans="1:10" ht="25.5" customHeight="1">
      <c r="A4262" s="256"/>
      <c r="B4262" s="1152"/>
      <c r="C4262" s="1176" t="s">
        <v>7270</v>
      </c>
      <c r="D4262" s="156" t="s">
        <v>7271</v>
      </c>
      <c r="E4262" s="1176" t="s">
        <v>24</v>
      </c>
      <c r="F4262" s="1177" t="s">
        <v>18</v>
      </c>
      <c r="G4262" s="1178" t="s">
        <v>7015</v>
      </c>
      <c r="H4262" s="1179"/>
      <c r="I4262" s="200" t="s">
        <v>7016</v>
      </c>
      <c r="J4262" s="201"/>
    </row>
    <row r="4263" spans="1:10" ht="15" customHeight="1">
      <c r="A4263" s="203"/>
      <c r="B4263" s="430"/>
      <c r="C4263" s="1155"/>
      <c r="D4263" s="157"/>
      <c r="E4263" s="1155"/>
      <c r="F4263" s="1180"/>
      <c r="G4263" s="1180" t="s">
        <v>19</v>
      </c>
      <c r="H4263" s="1180" t="s">
        <v>20</v>
      </c>
      <c r="I4263" s="204" t="s">
        <v>19</v>
      </c>
      <c r="J4263" s="206" t="s">
        <v>20</v>
      </c>
    </row>
    <row r="4264" spans="1:10" ht="15" customHeight="1">
      <c r="A4264" s="258"/>
      <c r="B4264" s="1155"/>
      <c r="C4264" s="1155"/>
      <c r="D4264" s="157" t="s">
        <v>7269</v>
      </c>
      <c r="E4264" s="1155"/>
      <c r="F4264" s="1180"/>
      <c r="G4264" s="1180"/>
      <c r="H4264" s="1180"/>
      <c r="I4264" s="238"/>
      <c r="J4264" s="259"/>
    </row>
    <row r="4265" spans="1:10" ht="15" customHeight="1">
      <c r="A4265" s="208" t="s">
        <v>245</v>
      </c>
      <c r="B4265" s="241" t="s">
        <v>14504</v>
      </c>
      <c r="C4265" s="1181" t="s">
        <v>14447</v>
      </c>
      <c r="D4265" s="161" t="str">
        <f>IF(B4265="SEPLAG",VLOOKUP(COMPOSIÇÕES!C4265,'MAPA COMPARATIVO'!A:B,2,FALSE),VLOOKUP(C4265,'NAO DESO'!A:B,2,0))</f>
        <v>TANQUE DE POLIETILENO 2.000 LITROS, TAMPA ROSCAVEL, TIPO FORTLEV</v>
      </c>
      <c r="E4265" s="241" t="e">
        <f>VLOOKUP($C4265,'NAO DESO'!$A:$D,3,)</f>
        <v>#N/A</v>
      </c>
      <c r="F4265" s="242">
        <v>1</v>
      </c>
      <c r="G4265" s="242">
        <f>IF(B4265="SEPLAG",VLOOKUP(CONCATENATE("MEDIANA - ",C4265),COTAÇÃO,5,FALSE),VLOOKUP($C4265,'NAO DESO'!$A:$D,4,))</f>
        <v>2190</v>
      </c>
      <c r="H4265" s="242">
        <f>TRUNC(F4265*G4265,2)</f>
        <v>2190</v>
      </c>
      <c r="I4265" s="54">
        <f>IF(B4265="SEPLAG",VLOOKUP(CONCATENATE("MEDIANA - ",C4265),COTAÇÃO,5,FALSE),VLOOKUP($C4265,DESON!$A:$D,4,))</f>
        <v>2190</v>
      </c>
      <c r="J4265" s="209">
        <f>TRUNC(F4265*I4265,2)</f>
        <v>2190</v>
      </c>
    </row>
    <row r="4266" spans="1:10" ht="26.25" customHeight="1">
      <c r="A4266" s="208" t="s">
        <v>245</v>
      </c>
      <c r="B4266" s="241"/>
      <c r="C4266" s="1181">
        <v>88248</v>
      </c>
      <c r="D4266" s="161" t="str">
        <f>IF(B4266="SEPLAG",VLOOKUP(COMPOSIÇÕES!C4266,'MAPA COMPARATIVO'!A:B,2,FALSE),VLOOKUP(C4266,'NAO DESO'!A:B,2,0))</f>
        <v>AUXILIAR DE ENCANADOR OU BOMBEIRO HIDRÁULICO COM ENCARGOS COMPLEMENTARES</v>
      </c>
      <c r="E4266" s="241" t="str">
        <f>VLOOKUP($C4266,'NAO DESO'!$A:$D,3,)</f>
        <v>H</v>
      </c>
      <c r="F4266" s="242">
        <v>0.15</v>
      </c>
      <c r="G4266" s="242" t="str">
        <f>IF(B4266="SEPLAG",VLOOKUP(CONCATENATE("MEDIANA - ",C4266),COTAÇÃO,5,FALSE),VLOOKUP($C4266,'NAO DESO'!$A:$D,4,))</f>
        <v>17,33</v>
      </c>
      <c r="H4266" s="242">
        <f>TRUNC(F4266*G4266,2)</f>
        <v>2.59</v>
      </c>
      <c r="I4266" s="54" t="str">
        <f>IF(B4266="SEPLAG",VLOOKUP(CONCATENATE("MEDIANA - ",C4266),COTAÇÃO,5,FALSE),VLOOKUP($C4266,DESON!$A:$D,4,))</f>
        <v>15,54</v>
      </c>
      <c r="J4266" s="209">
        <f>TRUNC(F4266*I4266,2)</f>
        <v>2.33</v>
      </c>
    </row>
    <row r="4267" spans="1:10" ht="26.25" customHeight="1">
      <c r="A4267" s="208" t="s">
        <v>245</v>
      </c>
      <c r="B4267" s="241"/>
      <c r="C4267" s="1181">
        <v>88267</v>
      </c>
      <c r="D4267" s="161" t="str">
        <f>IF(B4267="SEPLAG",VLOOKUP(COMPOSIÇÕES!C4267,'MAPA COMPARATIVO'!A:B,2,FALSE),VLOOKUP(C4267,'NAO DESO'!A:B,2,0))</f>
        <v>ENCANADOR OU BOMBEIRO HIDRÁULICO COM ENCARGOS COMPLEMENTARES</v>
      </c>
      <c r="E4267" s="241" t="str">
        <f>VLOOKUP($C4267,'NAO DESO'!$A:$D,3,)</f>
        <v>H</v>
      </c>
      <c r="F4267" s="242">
        <v>0.15</v>
      </c>
      <c r="G4267" s="242" t="str">
        <f>IF(B4267="SEPLAG",VLOOKUP(CONCATENATE("MEDIANA - ",C4267),COTAÇÃO,5,FALSE),VLOOKUP($C4267,'NAO DESO'!$A:$D,4,))</f>
        <v>21,03</v>
      </c>
      <c r="H4267" s="242">
        <f>TRUNC(F4267*G4267,2)</f>
        <v>3.15</v>
      </c>
      <c r="I4267" s="54" t="str">
        <f>IF(B4267="SEPLAG",VLOOKUP(CONCATENATE("MEDIANA - ",C4267),COTAÇÃO,5,FALSE),VLOOKUP($C4267,DESON!$A:$D,4,))</f>
        <v>18,72</v>
      </c>
      <c r="J4267" s="209">
        <f>TRUNC(F4267*I4267,2)</f>
        <v>2.8</v>
      </c>
    </row>
    <row r="4268" spans="1:10" ht="15" customHeight="1">
      <c r="A4268" s="210" t="str">
        <f>CONCATENATE("TOTAL DO ITEM NÃO DESON. - ",C4262)</f>
        <v>TOTAL DO ITEM NÃO DESON. - SEPLAG HIDR 08</v>
      </c>
      <c r="B4268" s="430"/>
      <c r="C4268" s="430"/>
      <c r="D4268" s="430"/>
      <c r="E4268" s="430"/>
      <c r="F4268" s="1180"/>
      <c r="G4268" s="1180"/>
      <c r="H4268" s="1182">
        <f>SUM(H4265:H4267)</f>
        <v>2195.7400000000002</v>
      </c>
      <c r="I4268" s="231"/>
      <c r="J4268" s="215"/>
    </row>
    <row r="4269" spans="1:10" ht="15.75" customHeight="1" thickBot="1">
      <c r="A4269" s="216" t="str">
        <f>CONCATENATE("TOTAL DO ITEM DESON. - ",C4262)</f>
        <v>TOTAL DO ITEM DESON. - SEPLAG HIDR 08</v>
      </c>
      <c r="B4269" s="1142"/>
      <c r="C4269" s="1142"/>
      <c r="D4269" s="1142"/>
      <c r="E4269" s="1142"/>
      <c r="F4269" s="1211"/>
      <c r="G4269" s="1211"/>
      <c r="H4269" s="1187"/>
      <c r="I4269" s="260"/>
      <c r="J4269" s="219">
        <f>SUM(J4265:J4267)</f>
        <v>2195.13</v>
      </c>
    </row>
    <row r="4270" spans="1:10" ht="15" customHeight="1" thickBot="1">
      <c r="A4270" s="421"/>
      <c r="B4270" s="1138"/>
      <c r="C4270" s="1138"/>
      <c r="D4270" s="1138"/>
      <c r="E4270" s="1154"/>
      <c r="F4270" s="1196"/>
      <c r="G4270" s="1196"/>
      <c r="H4270" s="1196"/>
      <c r="I4270" s="422"/>
      <c r="J4270" s="422"/>
    </row>
    <row r="4271" spans="1:10" ht="25.5" customHeight="1">
      <c r="A4271" s="256"/>
      <c r="B4271" s="1152"/>
      <c r="C4271" s="1176" t="s">
        <v>7273</v>
      </c>
      <c r="D4271" s="156" t="s">
        <v>7272</v>
      </c>
      <c r="E4271" s="1176" t="s">
        <v>24</v>
      </c>
      <c r="F4271" s="1177" t="s">
        <v>18</v>
      </c>
      <c r="G4271" s="1178" t="s">
        <v>7015</v>
      </c>
      <c r="H4271" s="1179"/>
      <c r="I4271" s="200" t="s">
        <v>7016</v>
      </c>
      <c r="J4271" s="201"/>
    </row>
    <row r="4272" spans="1:10" ht="15" customHeight="1">
      <c r="A4272" s="203"/>
      <c r="B4272" s="430"/>
      <c r="C4272" s="1155"/>
      <c r="D4272" s="157"/>
      <c r="E4272" s="1155"/>
      <c r="F4272" s="1180"/>
      <c r="G4272" s="1180" t="s">
        <v>19</v>
      </c>
      <c r="H4272" s="1180" t="s">
        <v>20</v>
      </c>
      <c r="I4272" s="204" t="s">
        <v>19</v>
      </c>
      <c r="J4272" s="206" t="s">
        <v>20</v>
      </c>
    </row>
    <row r="4273" spans="1:10" ht="15" customHeight="1">
      <c r="A4273" s="258"/>
      <c r="B4273" s="1155"/>
      <c r="C4273" s="1155"/>
      <c r="D4273" s="157" t="s">
        <v>7269</v>
      </c>
      <c r="E4273" s="1155"/>
      <c r="F4273" s="1180"/>
      <c r="G4273" s="1180"/>
      <c r="H4273" s="1180"/>
      <c r="I4273" s="238"/>
      <c r="J4273" s="259"/>
    </row>
    <row r="4274" spans="1:10" ht="15" customHeight="1">
      <c r="A4274" s="208" t="s">
        <v>245</v>
      </c>
      <c r="B4274" s="241" t="s">
        <v>14504</v>
      </c>
      <c r="C4274" s="1181" t="s">
        <v>14448</v>
      </c>
      <c r="D4274" s="161" t="str">
        <f>IF(B4274="SEPLAG",VLOOKUP(COMPOSIÇÕES!C4274,'MAPA COMPARATIVO'!A:B,2,FALSE),VLOOKUP(C4274,'NAO DESO'!A:B,2,0))</f>
        <v>TANQUE DE POLIETILENO 3.000 LITROS, TAMPA ROSCAVEL, TIPO FORTLEV</v>
      </c>
      <c r="E4274" s="241" t="e">
        <f>VLOOKUP($C4274,'NAO DESO'!$A:$D,3,)</f>
        <v>#N/A</v>
      </c>
      <c r="F4274" s="242">
        <v>1</v>
      </c>
      <c r="G4274" s="242">
        <f>IF(B4274="SEPLAG",VLOOKUP(CONCATENATE("MEDIANA - ",C4274),COTAÇÃO,5,FALSE),VLOOKUP($C4274,'NAO DESO'!$A:$D,4,))</f>
        <v>3307.5</v>
      </c>
      <c r="H4274" s="242">
        <f>TRUNC(F4274*G4274,2)</f>
        <v>3307.5</v>
      </c>
      <c r="I4274" s="54">
        <f>IF(B4274="SEPLAG",VLOOKUP(CONCATENATE("MEDIANA - ",C4274),COTAÇÃO,5,FALSE),VLOOKUP($C4274,DESON!$A:$D,4,))</f>
        <v>3307.5</v>
      </c>
      <c r="J4274" s="209">
        <f>TRUNC(F4274*I4274,2)</f>
        <v>3307.5</v>
      </c>
    </row>
    <row r="4275" spans="1:10" ht="26.25" customHeight="1">
      <c r="A4275" s="208" t="s">
        <v>245</v>
      </c>
      <c r="B4275" s="241"/>
      <c r="C4275" s="1181">
        <v>88248</v>
      </c>
      <c r="D4275" s="161" t="str">
        <f>IF(B4275="SEPLAG",VLOOKUP(COMPOSIÇÕES!C4275,'MAPA COMPARATIVO'!A:B,2,FALSE),VLOOKUP(C4275,'NAO DESO'!A:B,2,0))</f>
        <v>AUXILIAR DE ENCANADOR OU BOMBEIRO HIDRÁULICO COM ENCARGOS COMPLEMENTARES</v>
      </c>
      <c r="E4275" s="241" t="str">
        <f>VLOOKUP($C4275,'NAO DESO'!$A:$D,3,)</f>
        <v>H</v>
      </c>
      <c r="F4275" s="242">
        <v>0.15</v>
      </c>
      <c r="G4275" s="242" t="str">
        <f>IF(B4275="SEPLAG",VLOOKUP(CONCATENATE("MEDIANA - ",C4275),COTAÇÃO,5,FALSE),VLOOKUP($C4275,'NAO DESO'!$A:$D,4,))</f>
        <v>17,33</v>
      </c>
      <c r="H4275" s="242">
        <f>TRUNC(F4275*G4275,2)</f>
        <v>2.59</v>
      </c>
      <c r="I4275" s="54" t="str">
        <f>IF(B4275="SEPLAG",VLOOKUP(CONCATENATE("MEDIANA - ",C4275),COTAÇÃO,5,FALSE),VLOOKUP($C4275,DESON!$A:$D,4,))</f>
        <v>15,54</v>
      </c>
      <c r="J4275" s="209">
        <f>TRUNC(F4275*I4275,2)</f>
        <v>2.33</v>
      </c>
    </row>
    <row r="4276" spans="1:10" ht="26.25" customHeight="1">
      <c r="A4276" s="208" t="s">
        <v>245</v>
      </c>
      <c r="B4276" s="241"/>
      <c r="C4276" s="1181">
        <v>88267</v>
      </c>
      <c r="D4276" s="161" t="str">
        <f>IF(B4276="SEPLAG",VLOOKUP(COMPOSIÇÕES!C4276,'MAPA COMPARATIVO'!A:B,2,FALSE),VLOOKUP(C4276,'NAO DESO'!A:B,2,0))</f>
        <v>ENCANADOR OU BOMBEIRO HIDRÁULICO COM ENCARGOS COMPLEMENTARES</v>
      </c>
      <c r="E4276" s="241" t="str">
        <f>VLOOKUP($C4276,'NAO DESO'!$A:$D,3,)</f>
        <v>H</v>
      </c>
      <c r="F4276" s="242">
        <v>0.15</v>
      </c>
      <c r="G4276" s="242" t="str">
        <f>IF(B4276="SEPLAG",VLOOKUP(CONCATENATE("MEDIANA - ",C4276),COTAÇÃO,5,FALSE),VLOOKUP($C4276,'NAO DESO'!$A:$D,4,))</f>
        <v>21,03</v>
      </c>
      <c r="H4276" s="242">
        <f>TRUNC(F4276*G4276,2)</f>
        <v>3.15</v>
      </c>
      <c r="I4276" s="54" t="str">
        <f>IF(B4276="SEPLAG",VLOOKUP(CONCATENATE("MEDIANA - ",C4276),COTAÇÃO,5,FALSE),VLOOKUP($C4276,DESON!$A:$D,4,))</f>
        <v>18,72</v>
      </c>
      <c r="J4276" s="209">
        <f>TRUNC(F4276*I4276,2)</f>
        <v>2.8</v>
      </c>
    </row>
    <row r="4277" spans="1:10" ht="15" customHeight="1">
      <c r="A4277" s="210" t="str">
        <f>CONCATENATE("TOTAL DO ITEM NÃO DESON. - ",C4271)</f>
        <v>TOTAL DO ITEM NÃO DESON. - SEPLAG HIDR 09</v>
      </c>
      <c r="B4277" s="430"/>
      <c r="C4277" s="430"/>
      <c r="D4277" s="430"/>
      <c r="E4277" s="430"/>
      <c r="F4277" s="1180"/>
      <c r="G4277" s="1180"/>
      <c r="H4277" s="1182">
        <f>SUM(H4274:H4276)</f>
        <v>3313.2400000000002</v>
      </c>
      <c r="I4277" s="231"/>
      <c r="J4277" s="215"/>
    </row>
    <row r="4278" spans="1:10" ht="15.75" customHeight="1" thickBot="1">
      <c r="A4278" s="216" t="str">
        <f>CONCATENATE("TOTAL DO ITEM DESON. - ",C4271)</f>
        <v>TOTAL DO ITEM DESON. - SEPLAG HIDR 09</v>
      </c>
      <c r="B4278" s="1142"/>
      <c r="C4278" s="1142"/>
      <c r="D4278" s="1142"/>
      <c r="E4278" s="1142"/>
      <c r="F4278" s="1211"/>
      <c r="G4278" s="1211"/>
      <c r="H4278" s="1187"/>
      <c r="I4278" s="260"/>
      <c r="J4278" s="219">
        <f>SUM(J4274:J4276)</f>
        <v>3312.63</v>
      </c>
    </row>
    <row r="4279" spans="1:10" ht="15" customHeight="1" thickBot="1">
      <c r="A4279" s="421"/>
      <c r="B4279" s="1138"/>
      <c r="C4279" s="1138"/>
      <c r="D4279" s="1138"/>
      <c r="E4279" s="1154"/>
      <c r="F4279" s="1196"/>
      <c r="G4279" s="1196"/>
      <c r="H4279" s="1196"/>
      <c r="I4279" s="422"/>
      <c r="J4279" s="422"/>
    </row>
    <row r="4280" spans="1:10" ht="25.5" customHeight="1">
      <c r="A4280" s="256"/>
      <c r="B4280" s="1152"/>
      <c r="C4280" s="1176" t="s">
        <v>7274</v>
      </c>
      <c r="D4280" s="156" t="s">
        <v>7726</v>
      </c>
      <c r="E4280" s="1176" t="s">
        <v>24</v>
      </c>
      <c r="F4280" s="1177" t="s">
        <v>18</v>
      </c>
      <c r="G4280" s="1178" t="s">
        <v>7015</v>
      </c>
      <c r="H4280" s="1179"/>
      <c r="I4280" s="200" t="s">
        <v>7016</v>
      </c>
      <c r="J4280" s="201"/>
    </row>
    <row r="4281" spans="1:10" ht="15" customHeight="1">
      <c r="A4281" s="203"/>
      <c r="B4281" s="430"/>
      <c r="C4281" s="1155"/>
      <c r="D4281" s="157"/>
      <c r="E4281" s="1155"/>
      <c r="F4281" s="1180"/>
      <c r="G4281" s="1180" t="s">
        <v>19</v>
      </c>
      <c r="H4281" s="1180" t="s">
        <v>20</v>
      </c>
      <c r="I4281" s="204" t="s">
        <v>19</v>
      </c>
      <c r="J4281" s="206" t="s">
        <v>20</v>
      </c>
    </row>
    <row r="4282" spans="1:10" ht="15" customHeight="1">
      <c r="A4282" s="258"/>
      <c r="B4282" s="1155"/>
      <c r="C4282" s="1155"/>
      <c r="D4282" s="157" t="s">
        <v>7269</v>
      </c>
      <c r="E4282" s="1155"/>
      <c r="F4282" s="1180"/>
      <c r="G4282" s="1180"/>
      <c r="H4282" s="1180"/>
      <c r="I4282" s="238"/>
      <c r="J4282" s="259"/>
    </row>
    <row r="4283" spans="1:10" ht="26.25" customHeight="1">
      <c r="A4283" s="208" t="s">
        <v>245</v>
      </c>
      <c r="B4283" s="241"/>
      <c r="C4283" s="1181">
        <v>88248</v>
      </c>
      <c r="D4283" s="161" t="str">
        <f>IF(B4283="SEPLAG",VLOOKUP(COMPOSIÇÕES!C4283,'MAPA COMPARATIVO'!A:B,2,FALSE),VLOOKUP(C4283,'NAO DESO'!A:B,2,0))</f>
        <v>AUXILIAR DE ENCANADOR OU BOMBEIRO HIDRÁULICO COM ENCARGOS COMPLEMENTARES</v>
      </c>
      <c r="E4283" s="241" t="str">
        <f>VLOOKUP($C4283,'NAO DESO'!$A:$D,3,)</f>
        <v>H</v>
      </c>
      <c r="F4283" s="242">
        <v>2</v>
      </c>
      <c r="G4283" s="242" t="str">
        <f>IF(B4283="SEPLAG",VLOOKUP(CONCATENATE("MEDIANA - ",C4283),COTAÇÃO,5,FALSE),VLOOKUP($C4283,'NAO DESO'!$A:$D,4,))</f>
        <v>17,33</v>
      </c>
      <c r="H4283" s="242">
        <f>TRUNC(F4283*G4283,2)</f>
        <v>34.659999999999997</v>
      </c>
      <c r="I4283" s="54" t="str">
        <f>IF(B4283="SEPLAG",VLOOKUP(CONCATENATE("MEDIANA - ",C4283),COTAÇÃO,5,FALSE),VLOOKUP($C4283,DESON!$A:$D,4,))</f>
        <v>15,54</v>
      </c>
      <c r="J4283" s="209">
        <f>TRUNC(F4283*I4283,2)</f>
        <v>31.08</v>
      </c>
    </row>
    <row r="4284" spans="1:10" ht="26.25" customHeight="1">
      <c r="A4284" s="208" t="s">
        <v>245</v>
      </c>
      <c r="B4284" s="241"/>
      <c r="C4284" s="1181">
        <v>88267</v>
      </c>
      <c r="D4284" s="161" t="str">
        <f>IF(B4284="SEPLAG",VLOOKUP(COMPOSIÇÕES!C4284,'MAPA COMPARATIVO'!A:B,2,FALSE),VLOOKUP(C4284,'NAO DESO'!A:B,2,0))</f>
        <v>ENCANADOR OU BOMBEIRO HIDRÁULICO COM ENCARGOS COMPLEMENTARES</v>
      </c>
      <c r="E4284" s="241" t="str">
        <f>VLOOKUP($C4284,'NAO DESO'!$A:$D,3,)</f>
        <v>H</v>
      </c>
      <c r="F4284" s="242">
        <v>2</v>
      </c>
      <c r="G4284" s="242" t="str">
        <f>IF(B4284="SEPLAG",VLOOKUP(CONCATENATE("MEDIANA - ",C4284),COTAÇÃO,5,FALSE),VLOOKUP($C4284,'NAO DESO'!$A:$D,4,))</f>
        <v>21,03</v>
      </c>
      <c r="H4284" s="242">
        <f>TRUNC(F4284*G4284,2)</f>
        <v>42.06</v>
      </c>
      <c r="I4284" s="54" t="str">
        <f>IF(B4284="SEPLAG",VLOOKUP(CONCATENATE("MEDIANA - ",C4284),COTAÇÃO,5,FALSE),VLOOKUP($C4284,DESON!$A:$D,4,))</f>
        <v>18,72</v>
      </c>
      <c r="J4284" s="209">
        <f>TRUNC(F4284*I4284,2)</f>
        <v>37.44</v>
      </c>
    </row>
    <row r="4285" spans="1:10" ht="15" customHeight="1">
      <c r="A4285" s="210" t="str">
        <f>CONCATENATE("TOTAL DO ITEM NÃO DESON. - ",C4280)</f>
        <v>TOTAL DO ITEM NÃO DESON. - SEPLAG HIDR 10</v>
      </c>
      <c r="B4285" s="430"/>
      <c r="C4285" s="430"/>
      <c r="D4285" s="430"/>
      <c r="E4285" s="430"/>
      <c r="F4285" s="1180"/>
      <c r="G4285" s="1180"/>
      <c r="H4285" s="1182">
        <f>SUM(H4283:H4284)</f>
        <v>76.72</v>
      </c>
      <c r="I4285" s="231"/>
      <c r="J4285" s="215"/>
    </row>
    <row r="4286" spans="1:10" ht="15.75" customHeight="1" thickBot="1">
      <c r="A4286" s="216" t="str">
        <f>CONCATENATE("TOTAL DO ITEM DESON. - ",C4280)</f>
        <v>TOTAL DO ITEM DESON. - SEPLAG HIDR 10</v>
      </c>
      <c r="B4286" s="1142"/>
      <c r="C4286" s="1142"/>
      <c r="D4286" s="1142"/>
      <c r="E4286" s="1142"/>
      <c r="F4286" s="1211"/>
      <c r="G4286" s="1211"/>
      <c r="H4286" s="1187"/>
      <c r="I4286" s="260"/>
      <c r="J4286" s="219">
        <f>SUM(J4283:J4284)</f>
        <v>68.52</v>
      </c>
    </row>
    <row r="4287" spans="1:10" ht="15" customHeight="1" thickBot="1">
      <c r="A4287" s="421"/>
      <c r="B4287" s="1138"/>
      <c r="C4287" s="1138"/>
      <c r="D4287" s="1138"/>
      <c r="E4287" s="1154"/>
      <c r="F4287" s="1196"/>
      <c r="G4287" s="1196"/>
      <c r="H4287" s="1196"/>
      <c r="I4287" s="422"/>
      <c r="J4287" s="422"/>
    </row>
    <row r="4288" spans="1:10" ht="25.5" customHeight="1">
      <c r="A4288" s="256"/>
      <c r="B4288" s="1152"/>
      <c r="C4288" s="1176" t="s">
        <v>7275</v>
      </c>
      <c r="D4288" s="156" t="s">
        <v>7727</v>
      </c>
      <c r="E4288" s="1176" t="s">
        <v>24</v>
      </c>
      <c r="F4288" s="1177" t="s">
        <v>18</v>
      </c>
      <c r="G4288" s="1178" t="s">
        <v>7015</v>
      </c>
      <c r="H4288" s="1179"/>
      <c r="I4288" s="200" t="s">
        <v>7016</v>
      </c>
      <c r="J4288" s="201"/>
    </row>
    <row r="4289" spans="1:10" ht="15" customHeight="1">
      <c r="A4289" s="203"/>
      <c r="B4289" s="430"/>
      <c r="C4289" s="1155"/>
      <c r="D4289" s="157"/>
      <c r="E4289" s="1155"/>
      <c r="F4289" s="1180"/>
      <c r="G4289" s="1180" t="s">
        <v>19</v>
      </c>
      <c r="H4289" s="1180" t="s">
        <v>20</v>
      </c>
      <c r="I4289" s="204" t="s">
        <v>19</v>
      </c>
      <c r="J4289" s="206" t="s">
        <v>20</v>
      </c>
    </row>
    <row r="4290" spans="1:10" ht="15" customHeight="1">
      <c r="A4290" s="258"/>
      <c r="B4290" s="1155"/>
      <c r="C4290" s="1155"/>
      <c r="D4290" s="157" t="s">
        <v>7269</v>
      </c>
      <c r="E4290" s="1155"/>
      <c r="F4290" s="1180"/>
      <c r="G4290" s="1180"/>
      <c r="H4290" s="1180"/>
      <c r="I4290" s="238"/>
      <c r="J4290" s="259"/>
    </row>
    <row r="4291" spans="1:10" ht="26.25" customHeight="1">
      <c r="A4291" s="208" t="s">
        <v>245</v>
      </c>
      <c r="B4291" s="241"/>
      <c r="C4291" s="1181">
        <v>88248</v>
      </c>
      <c r="D4291" s="161" t="str">
        <f>IF(B4291="SEPLAG",VLOOKUP(COMPOSIÇÕES!C4291,'MAPA COMPARATIVO'!A:B,2,FALSE),VLOOKUP(C4291,'NAO DESO'!A:B,2,0))</f>
        <v>AUXILIAR DE ENCANADOR OU BOMBEIRO HIDRÁULICO COM ENCARGOS COMPLEMENTARES</v>
      </c>
      <c r="E4291" s="241" t="str">
        <f>VLOOKUP($C4291,'NAO DESO'!$A:$D,3,)</f>
        <v>H</v>
      </c>
      <c r="F4291" s="248">
        <v>2</v>
      </c>
      <c r="G4291" s="242" t="str">
        <f>IF(B4291="SEPLAG",VLOOKUP(CONCATENATE("MEDIANA - ",C4291),COTAÇÃO,5,FALSE),VLOOKUP($C4291,'NAO DESO'!$A:$D,4,))</f>
        <v>17,33</v>
      </c>
      <c r="H4291" s="242">
        <f>TRUNC(F4291*G4291,2)</f>
        <v>34.659999999999997</v>
      </c>
      <c r="I4291" s="54" t="str">
        <f>IF(B4291="SEPLAG",VLOOKUP(CONCATENATE("MEDIANA - ",C4291),COTAÇÃO,5,FALSE),VLOOKUP($C4291,DESON!$A:$D,4,))</f>
        <v>15,54</v>
      </c>
      <c r="J4291" s="209">
        <f>TRUNC(F4291*I4291,2)</f>
        <v>31.08</v>
      </c>
    </row>
    <row r="4292" spans="1:10" ht="26.25" customHeight="1">
      <c r="A4292" s="208" t="s">
        <v>245</v>
      </c>
      <c r="B4292" s="241"/>
      <c r="C4292" s="1181">
        <v>88267</v>
      </c>
      <c r="D4292" s="161" t="str">
        <f>IF(B4292="SEPLAG",VLOOKUP(COMPOSIÇÕES!C4292,'MAPA COMPARATIVO'!A:B,2,FALSE),VLOOKUP(C4292,'NAO DESO'!A:B,2,0))</f>
        <v>ENCANADOR OU BOMBEIRO HIDRÁULICO COM ENCARGOS COMPLEMENTARES</v>
      </c>
      <c r="E4292" s="241" t="str">
        <f>VLOOKUP($C4292,'NAO DESO'!$A:$D,3,)</f>
        <v>H</v>
      </c>
      <c r="F4292" s="248">
        <v>2</v>
      </c>
      <c r="G4292" s="242" t="str">
        <f>IF(B4292="SEPLAG",VLOOKUP(CONCATENATE("MEDIANA - ",C4292),COTAÇÃO,5,FALSE),VLOOKUP($C4292,'NAO DESO'!$A:$D,4,))</f>
        <v>21,03</v>
      </c>
      <c r="H4292" s="242">
        <f>TRUNC(F4292*G4292,2)</f>
        <v>42.06</v>
      </c>
      <c r="I4292" s="54" t="str">
        <f>IF(B4292="SEPLAG",VLOOKUP(CONCATENATE("MEDIANA - ",C4292),COTAÇÃO,5,FALSE),VLOOKUP($C4292,DESON!$A:$D,4,))</f>
        <v>18,72</v>
      </c>
      <c r="J4292" s="209">
        <f>TRUNC(F4292*I4292,2)</f>
        <v>37.44</v>
      </c>
    </row>
    <row r="4293" spans="1:10" ht="15" customHeight="1">
      <c r="A4293" s="210" t="str">
        <f>CONCATENATE("TOTAL DO ITEM NÃO DESON. - ",C4288)</f>
        <v>TOTAL DO ITEM NÃO DESON. - SEPLAG HIDR 11</v>
      </c>
      <c r="B4293" s="430"/>
      <c r="C4293" s="430"/>
      <c r="D4293" s="430"/>
      <c r="E4293" s="430"/>
      <c r="F4293" s="1180"/>
      <c r="G4293" s="1180"/>
      <c r="H4293" s="1182">
        <f>SUM(H4291:H4292)</f>
        <v>76.72</v>
      </c>
      <c r="I4293" s="231"/>
      <c r="J4293" s="215"/>
    </row>
    <row r="4294" spans="1:10" ht="15.75" customHeight="1" thickBot="1">
      <c r="A4294" s="216" t="str">
        <f>CONCATENATE("TOTAL DO ITEM DESON. - ",C4288)</f>
        <v>TOTAL DO ITEM DESON. - SEPLAG HIDR 11</v>
      </c>
      <c r="B4294" s="1142"/>
      <c r="C4294" s="1142"/>
      <c r="D4294" s="1142"/>
      <c r="E4294" s="1142"/>
      <c r="F4294" s="1211"/>
      <c r="G4294" s="1211"/>
      <c r="H4294" s="1187"/>
      <c r="I4294" s="260"/>
      <c r="J4294" s="219">
        <f>SUM(J4291:J4292)</f>
        <v>68.52</v>
      </c>
    </row>
    <row r="4295" spans="1:10" ht="15" customHeight="1" thickBot="1">
      <c r="A4295" s="421"/>
      <c r="B4295" s="1138"/>
      <c r="C4295" s="1138"/>
      <c r="D4295" s="1138"/>
      <c r="E4295" s="1154"/>
      <c r="F4295" s="1196"/>
      <c r="G4295" s="1196"/>
      <c r="H4295" s="1196"/>
      <c r="I4295" s="422"/>
      <c r="J4295" s="422"/>
    </row>
    <row r="4296" spans="1:10" ht="25.5" customHeight="1">
      <c r="A4296" s="256"/>
      <c r="B4296" s="1152"/>
      <c r="C4296" s="1176" t="s">
        <v>7276</v>
      </c>
      <c r="D4296" s="156" t="s">
        <v>7728</v>
      </c>
      <c r="E4296" s="1176" t="s">
        <v>24</v>
      </c>
      <c r="F4296" s="1177" t="s">
        <v>18</v>
      </c>
      <c r="G4296" s="1178" t="s">
        <v>7015</v>
      </c>
      <c r="H4296" s="1179"/>
      <c r="I4296" s="200" t="s">
        <v>7016</v>
      </c>
      <c r="J4296" s="201"/>
    </row>
    <row r="4297" spans="1:10" ht="15" customHeight="1">
      <c r="A4297" s="203"/>
      <c r="B4297" s="430"/>
      <c r="C4297" s="1155"/>
      <c r="D4297" s="157"/>
      <c r="E4297" s="1155"/>
      <c r="F4297" s="1180"/>
      <c r="G4297" s="1180" t="s">
        <v>19</v>
      </c>
      <c r="H4297" s="1180" t="s">
        <v>20</v>
      </c>
      <c r="I4297" s="204" t="s">
        <v>19</v>
      </c>
      <c r="J4297" s="206" t="s">
        <v>20</v>
      </c>
    </row>
    <row r="4298" spans="1:10" ht="15" customHeight="1">
      <c r="A4298" s="258"/>
      <c r="B4298" s="1155"/>
      <c r="C4298" s="1155"/>
      <c r="D4298" s="157" t="s">
        <v>7269</v>
      </c>
      <c r="E4298" s="1155"/>
      <c r="F4298" s="1180"/>
      <c r="G4298" s="1180"/>
      <c r="H4298" s="1180"/>
      <c r="I4298" s="238"/>
      <c r="J4298" s="259"/>
    </row>
    <row r="4299" spans="1:10" ht="26.25" customHeight="1">
      <c r="A4299" s="208" t="s">
        <v>245</v>
      </c>
      <c r="B4299" s="241"/>
      <c r="C4299" s="1181">
        <v>88248</v>
      </c>
      <c r="D4299" s="161" t="str">
        <f>IF(B4299="SEPLAG",VLOOKUP(COMPOSIÇÕES!C4299,'MAPA COMPARATIVO'!A:B,2,FALSE),VLOOKUP(C4299,'NAO DESO'!A:B,2,0))</f>
        <v>AUXILIAR DE ENCANADOR OU BOMBEIRO HIDRÁULICO COM ENCARGOS COMPLEMENTARES</v>
      </c>
      <c r="E4299" s="241" t="str">
        <f>VLOOKUP($C4299,'NAO DESO'!$A:$D,3,)</f>
        <v>H</v>
      </c>
      <c r="F4299" s="242">
        <v>2</v>
      </c>
      <c r="G4299" s="242" t="str">
        <f>IF(B4299="SEPLAG",VLOOKUP(CONCATENATE("MEDIANA - ",C4299),COTAÇÃO,5,FALSE),VLOOKUP($C4299,'NAO DESO'!$A:$D,4,))</f>
        <v>17,33</v>
      </c>
      <c r="H4299" s="242">
        <f>TRUNC(F4299*G4299,2)</f>
        <v>34.659999999999997</v>
      </c>
      <c r="I4299" s="54" t="str">
        <f>IF(B4299="SEPLAG",VLOOKUP(CONCATENATE("MEDIANA - ",C4299),COTAÇÃO,5,FALSE),VLOOKUP($C4299,DESON!$A:$D,4,))</f>
        <v>15,54</v>
      </c>
      <c r="J4299" s="209">
        <f>TRUNC(F4299*I4299,2)</f>
        <v>31.08</v>
      </c>
    </row>
    <row r="4300" spans="1:10" ht="26.25" customHeight="1">
      <c r="A4300" s="208" t="s">
        <v>245</v>
      </c>
      <c r="B4300" s="241"/>
      <c r="C4300" s="1181">
        <v>88267</v>
      </c>
      <c r="D4300" s="161" t="str">
        <f>IF(B4300="SEPLAG",VLOOKUP(COMPOSIÇÕES!C4300,'MAPA COMPARATIVO'!A:B,2,FALSE),VLOOKUP(C4300,'NAO DESO'!A:B,2,0))</f>
        <v>ENCANADOR OU BOMBEIRO HIDRÁULICO COM ENCARGOS COMPLEMENTARES</v>
      </c>
      <c r="E4300" s="241" t="str">
        <f>VLOOKUP($C4300,'NAO DESO'!$A:$D,3,)</f>
        <v>H</v>
      </c>
      <c r="F4300" s="242">
        <v>2</v>
      </c>
      <c r="G4300" s="242" t="str">
        <f>IF(B4300="SEPLAG",VLOOKUP(CONCATENATE("MEDIANA - ",C4300),COTAÇÃO,5,FALSE),VLOOKUP($C4300,'NAO DESO'!$A:$D,4,))</f>
        <v>21,03</v>
      </c>
      <c r="H4300" s="242">
        <f>TRUNC(F4300*G4300,2)</f>
        <v>42.06</v>
      </c>
      <c r="I4300" s="54" t="str">
        <f>IF(B4300="SEPLAG",VLOOKUP(CONCATENATE("MEDIANA - ",C4300),COTAÇÃO,5,FALSE),VLOOKUP($C4300,DESON!$A:$D,4,))</f>
        <v>18,72</v>
      </c>
      <c r="J4300" s="209">
        <f>TRUNC(F4300*I4300,2)</f>
        <v>37.44</v>
      </c>
    </row>
    <row r="4301" spans="1:10" ht="15" customHeight="1">
      <c r="A4301" s="210" t="str">
        <f>CONCATENATE("TOTAL DO ITEM NÃO DESON. - ",C4296)</f>
        <v>TOTAL DO ITEM NÃO DESON. - SEPLAG HIDR 12</v>
      </c>
      <c r="B4301" s="430"/>
      <c r="C4301" s="430"/>
      <c r="D4301" s="430"/>
      <c r="E4301" s="430"/>
      <c r="F4301" s="1180"/>
      <c r="G4301" s="1180"/>
      <c r="H4301" s="1182">
        <f>SUM(H4299:H4300)</f>
        <v>76.72</v>
      </c>
      <c r="I4301" s="231"/>
      <c r="J4301" s="215"/>
    </row>
    <row r="4302" spans="1:10" ht="15.75" customHeight="1" thickBot="1">
      <c r="A4302" s="216" t="str">
        <f>CONCATENATE("TOTAL DO ITEM DESON. - ",C4296)</f>
        <v>TOTAL DO ITEM DESON. - SEPLAG HIDR 12</v>
      </c>
      <c r="B4302" s="1142"/>
      <c r="C4302" s="1142"/>
      <c r="D4302" s="1142"/>
      <c r="E4302" s="1142"/>
      <c r="F4302" s="1211"/>
      <c r="G4302" s="1211"/>
      <c r="H4302" s="1187"/>
      <c r="I4302" s="260"/>
      <c r="J4302" s="219">
        <f>SUM(J4299:J4300)</f>
        <v>68.52</v>
      </c>
    </row>
    <row r="4303" spans="1:10" ht="15" customHeight="1" thickBot="1">
      <c r="A4303" s="421"/>
      <c r="B4303" s="1138"/>
      <c r="C4303" s="1138"/>
      <c r="D4303" s="1138"/>
      <c r="E4303" s="1154"/>
      <c r="F4303" s="1196"/>
      <c r="G4303" s="1196"/>
      <c r="H4303" s="1196"/>
      <c r="I4303" s="422"/>
      <c r="J4303" s="422"/>
    </row>
    <row r="4304" spans="1:10" ht="25.5" customHeight="1">
      <c r="A4304" s="256"/>
      <c r="B4304" s="1152"/>
      <c r="C4304" s="1176" t="s">
        <v>7277</v>
      </c>
      <c r="D4304" s="156" t="s">
        <v>7729</v>
      </c>
      <c r="E4304" s="1176" t="s">
        <v>24</v>
      </c>
      <c r="F4304" s="1177" t="s">
        <v>18</v>
      </c>
      <c r="G4304" s="1178" t="s">
        <v>7015</v>
      </c>
      <c r="H4304" s="1179"/>
      <c r="I4304" s="200" t="s">
        <v>7016</v>
      </c>
      <c r="J4304" s="201"/>
    </row>
    <row r="4305" spans="1:10" ht="15" customHeight="1">
      <c r="A4305" s="203"/>
      <c r="B4305" s="430"/>
      <c r="C4305" s="1155"/>
      <c r="D4305" s="157"/>
      <c r="E4305" s="1155"/>
      <c r="F4305" s="1180"/>
      <c r="G4305" s="1180" t="s">
        <v>19</v>
      </c>
      <c r="H4305" s="1180" t="s">
        <v>20</v>
      </c>
      <c r="I4305" s="204" t="s">
        <v>19</v>
      </c>
      <c r="J4305" s="206" t="s">
        <v>20</v>
      </c>
    </row>
    <row r="4306" spans="1:10" ht="15" customHeight="1">
      <c r="A4306" s="258"/>
      <c r="B4306" s="1155"/>
      <c r="C4306" s="1155"/>
      <c r="D4306" s="157" t="s">
        <v>7269</v>
      </c>
      <c r="E4306" s="1155"/>
      <c r="F4306" s="1180"/>
      <c r="G4306" s="1180"/>
      <c r="H4306" s="1180"/>
      <c r="I4306" s="238"/>
      <c r="J4306" s="259"/>
    </row>
    <row r="4307" spans="1:10" ht="26.25" customHeight="1">
      <c r="A4307" s="208" t="s">
        <v>245</v>
      </c>
      <c r="B4307" s="241"/>
      <c r="C4307" s="1181">
        <v>88248</v>
      </c>
      <c r="D4307" s="161" t="str">
        <f>IF(B4307="SEPLAG",VLOOKUP(COMPOSIÇÕES!C4307,'MAPA COMPARATIVO'!A:B,2,FALSE),VLOOKUP(C4307,'NAO DESO'!A:B,2,0))</f>
        <v>AUXILIAR DE ENCANADOR OU BOMBEIRO HIDRÁULICO COM ENCARGOS COMPLEMENTARES</v>
      </c>
      <c r="E4307" s="241" t="str">
        <f>VLOOKUP($C4307,'NAO DESO'!$A:$D,3,)</f>
        <v>H</v>
      </c>
      <c r="F4307" s="242">
        <v>2</v>
      </c>
      <c r="G4307" s="242" t="str">
        <f>IF(B4307="SEPLAG",VLOOKUP(CONCATENATE("MEDIANA - ",C4307),COTAÇÃO,5,FALSE),VLOOKUP($C4307,'NAO DESO'!$A:$D,4,))</f>
        <v>17,33</v>
      </c>
      <c r="H4307" s="242">
        <f>TRUNC(F4307*G4307,2)</f>
        <v>34.659999999999997</v>
      </c>
      <c r="I4307" s="54" t="str">
        <f>IF(B4307="SEPLAG",VLOOKUP(CONCATENATE("MEDIANA - ",C4307),COTAÇÃO,5,FALSE),VLOOKUP($C4307,DESON!$A:$D,4,))</f>
        <v>15,54</v>
      </c>
      <c r="J4307" s="209">
        <f>TRUNC(F4307*I4307,2)</f>
        <v>31.08</v>
      </c>
    </row>
    <row r="4308" spans="1:10" ht="26.25" customHeight="1">
      <c r="A4308" s="208" t="s">
        <v>245</v>
      </c>
      <c r="B4308" s="241"/>
      <c r="C4308" s="1181">
        <v>88267</v>
      </c>
      <c r="D4308" s="161" t="str">
        <f>IF(B4308="SEPLAG",VLOOKUP(COMPOSIÇÕES!C4308,'MAPA COMPARATIVO'!A:B,2,FALSE),VLOOKUP(C4308,'NAO DESO'!A:B,2,0))</f>
        <v>ENCANADOR OU BOMBEIRO HIDRÁULICO COM ENCARGOS COMPLEMENTARES</v>
      </c>
      <c r="E4308" s="241" t="str">
        <f>VLOOKUP($C4308,'NAO DESO'!$A:$D,3,)</f>
        <v>H</v>
      </c>
      <c r="F4308" s="242">
        <v>2</v>
      </c>
      <c r="G4308" s="242" t="str">
        <f>IF(B4308="SEPLAG",VLOOKUP(CONCATENATE("MEDIANA - ",C4308),COTAÇÃO,5,FALSE),VLOOKUP($C4308,'NAO DESO'!$A:$D,4,))</f>
        <v>21,03</v>
      </c>
      <c r="H4308" s="242">
        <f>TRUNC(F4308*G4308,2)</f>
        <v>42.06</v>
      </c>
      <c r="I4308" s="54" t="str">
        <f>IF(B4308="SEPLAG",VLOOKUP(CONCATENATE("MEDIANA - ",C4308),COTAÇÃO,5,FALSE),VLOOKUP($C4308,DESON!$A:$D,4,))</f>
        <v>18,72</v>
      </c>
      <c r="J4308" s="209">
        <f>TRUNC(F4308*I4308,2)</f>
        <v>37.44</v>
      </c>
    </row>
    <row r="4309" spans="1:10" ht="15" customHeight="1">
      <c r="A4309" s="210" t="str">
        <f>CONCATENATE("TOTAL DO ITEM NÃO DESON. - ",C4304)</f>
        <v>TOTAL DO ITEM NÃO DESON. - SEPLAG HIDR 13</v>
      </c>
      <c r="B4309" s="430"/>
      <c r="C4309" s="430"/>
      <c r="D4309" s="430"/>
      <c r="E4309" s="430"/>
      <c r="F4309" s="1180"/>
      <c r="G4309" s="1180"/>
      <c r="H4309" s="1182">
        <f>SUM(H4307:H4308)</f>
        <v>76.72</v>
      </c>
      <c r="I4309" s="231"/>
      <c r="J4309" s="215"/>
    </row>
    <row r="4310" spans="1:10" ht="15.75" customHeight="1" thickBot="1">
      <c r="A4310" s="216" t="str">
        <f>CONCATENATE("TOTAL DO ITEM DESON. - ",C4304)</f>
        <v>TOTAL DO ITEM DESON. - SEPLAG HIDR 13</v>
      </c>
      <c r="B4310" s="1142"/>
      <c r="C4310" s="1142"/>
      <c r="D4310" s="1142"/>
      <c r="E4310" s="1142"/>
      <c r="F4310" s="1211"/>
      <c r="G4310" s="1211"/>
      <c r="H4310" s="1187"/>
      <c r="I4310" s="260"/>
      <c r="J4310" s="219">
        <f>SUM(J4307:J4308)</f>
        <v>68.52</v>
      </c>
    </row>
    <row r="4311" spans="1:10" ht="15" customHeight="1" thickBot="1">
      <c r="A4311" s="421"/>
      <c r="B4311" s="1138"/>
      <c r="C4311" s="1138"/>
      <c r="D4311" s="1138"/>
      <c r="E4311" s="1154"/>
      <c r="F4311" s="1196"/>
      <c r="G4311" s="1196"/>
      <c r="H4311" s="1196"/>
      <c r="I4311" s="422"/>
      <c r="J4311" s="422"/>
    </row>
    <row r="4312" spans="1:10" ht="25.5" customHeight="1">
      <c r="A4312" s="256"/>
      <c r="B4312" s="1152"/>
      <c r="C4312" s="1176" t="s">
        <v>7302</v>
      </c>
      <c r="D4312" s="156" t="s">
        <v>7303</v>
      </c>
      <c r="E4312" s="1176" t="s">
        <v>24</v>
      </c>
      <c r="F4312" s="1177" t="s">
        <v>18</v>
      </c>
      <c r="G4312" s="1178" t="s">
        <v>7015</v>
      </c>
      <c r="H4312" s="1179"/>
      <c r="I4312" s="200" t="s">
        <v>7016</v>
      </c>
      <c r="J4312" s="201"/>
    </row>
    <row r="4313" spans="1:10" ht="15" customHeight="1">
      <c r="A4313" s="203"/>
      <c r="B4313" s="430"/>
      <c r="C4313" s="1155"/>
      <c r="D4313" s="157"/>
      <c r="E4313" s="1155"/>
      <c r="F4313" s="1180"/>
      <c r="G4313" s="1180" t="s">
        <v>19</v>
      </c>
      <c r="H4313" s="1180" t="s">
        <v>20</v>
      </c>
      <c r="I4313" s="204" t="s">
        <v>19</v>
      </c>
      <c r="J4313" s="206" t="s">
        <v>20</v>
      </c>
    </row>
    <row r="4314" spans="1:10" ht="15" customHeight="1">
      <c r="A4314" s="258"/>
      <c r="B4314" s="1155"/>
      <c r="C4314" s="1155"/>
      <c r="D4314" s="157" t="s">
        <v>7301</v>
      </c>
      <c r="E4314" s="1155"/>
      <c r="F4314" s="1180"/>
      <c r="G4314" s="1180"/>
      <c r="H4314" s="1180"/>
      <c r="I4314" s="238"/>
      <c r="J4314" s="259"/>
    </row>
    <row r="4315" spans="1:10" ht="15" customHeight="1">
      <c r="A4315" s="208" t="s">
        <v>245</v>
      </c>
      <c r="B4315" s="241"/>
      <c r="C4315" s="1181">
        <v>122</v>
      </c>
      <c r="D4315" s="161" t="str">
        <f>IF(B4315="SEPLAG",VLOOKUP(COMPOSIÇÕES!C4315,'MAPA COMPARATIVO'!A:B,2,FALSE),VLOOKUP(C4315,'NAO DESO'!A:B,2,0))</f>
        <v>ADESIVO PLASTICO PARA PVC, FRASCO COM *850* GR</v>
      </c>
      <c r="E4315" s="241" t="str">
        <f>VLOOKUP($C4315,'NAO DESO'!$A:$D,3,)</f>
        <v xml:space="preserve">UN    </v>
      </c>
      <c r="F4315" s="242" t="s">
        <v>7296</v>
      </c>
      <c r="G4315" s="242">
        <f>IF(B4315="SEPLAG",VLOOKUP(CONCATENATE("MEDIANA - ",C4315),COTAÇÃO,5,FALSE),VLOOKUP($C4315,'NAO DESO'!$A:$D,4,))</f>
        <v>76.94</v>
      </c>
      <c r="H4315" s="242">
        <f t="shared" ref="H4315:H4322" si="228">TRUNC(F4315*G4315,2)</f>
        <v>1.1299999999999999</v>
      </c>
      <c r="I4315" s="54" t="str">
        <f>IF(B4315="SEPLAG",VLOOKUP(CONCATENATE("MEDIANA - ",C4315),COTAÇÃO,5,FALSE),VLOOKUP($C4315,DESON!$A:$D,4,))</f>
        <v>76,94</v>
      </c>
      <c r="J4315" s="209">
        <f t="shared" ref="J4315:J4322" si="229">TRUNC(F4315*I4315,2)</f>
        <v>1.1299999999999999</v>
      </c>
    </row>
    <row r="4316" spans="1:10" ht="15" customHeight="1">
      <c r="A4316" s="208" t="s">
        <v>245</v>
      </c>
      <c r="B4316" s="241"/>
      <c r="C4316" s="1181">
        <v>11717</v>
      </c>
      <c r="D4316" s="161" t="str">
        <f>IF(B4316="SEPLAG",VLOOKUP(COMPOSIÇÕES!C4316,'MAPA COMPARATIVO'!A:B,2,FALSE),VLOOKUP(C4316,'NAO DESO'!A:B,2,0))</f>
        <v>CAIXA SIFONADA, PVC, 150 X 150 X 50 MM, COM GRELHA REDONDA, BRANCA</v>
      </c>
      <c r="E4316" s="241" t="str">
        <f>VLOOKUP($C4316,'NAO DESO'!$A:$D,3,)</f>
        <v xml:space="preserve">UN    </v>
      </c>
      <c r="F4316" s="242" t="s">
        <v>7045</v>
      </c>
      <c r="G4316" s="242">
        <f>IF(B4316="SEPLAG",VLOOKUP(CONCATENATE("MEDIANA - ",C4316),COTAÇÃO,5,FALSE),VLOOKUP($C4316,'NAO DESO'!$A:$D,4,))</f>
        <v>54.12</v>
      </c>
      <c r="H4316" s="242">
        <f t="shared" si="228"/>
        <v>54.12</v>
      </c>
      <c r="I4316" s="54" t="str">
        <f>IF(B4316="SEPLAG",VLOOKUP(CONCATENATE("MEDIANA - ",C4316),COTAÇÃO,5,FALSE),VLOOKUP($C4316,DESON!$A:$D,4,))</f>
        <v>54,12</v>
      </c>
      <c r="J4316" s="209">
        <f t="shared" si="229"/>
        <v>54.12</v>
      </c>
    </row>
    <row r="4317" spans="1:10" ht="26.25" customHeight="1">
      <c r="A4317" s="208" t="s">
        <v>245</v>
      </c>
      <c r="B4317" s="241"/>
      <c r="C4317" s="1181">
        <v>20078</v>
      </c>
      <c r="D4317" s="161" t="str">
        <f>IF(B4317="SEPLAG",VLOOKUP(COMPOSIÇÕES!C4317,'MAPA COMPARATIVO'!A:B,2,FALSE),VLOOKUP(C4317,'NAO DESO'!A:B,2,0))</f>
        <v>PASTA LUBRIFICANTE PARA TUBOS E CONEXOES COM JUNTA ELASTICA, EMBALAGEM DE *400* GR (USO EM PVC, ACO, POLIETILENO E OUTROS)</v>
      </c>
      <c r="E4317" s="241" t="str">
        <f>VLOOKUP($C4317,'NAO DESO'!$A:$D,3,)</f>
        <v xml:space="preserve">UN    </v>
      </c>
      <c r="F4317" s="242" t="s">
        <v>7297</v>
      </c>
      <c r="G4317" s="242">
        <f>IF(B4317="SEPLAG",VLOOKUP(CONCATENATE("MEDIANA - ",C4317),COTAÇÃO,5,FALSE),VLOOKUP($C4317,'NAO DESO'!$A:$D,4,))</f>
        <v>31.75</v>
      </c>
      <c r="H4317" s="242">
        <f t="shared" si="228"/>
        <v>0.63</v>
      </c>
      <c r="I4317" s="54" t="str">
        <f>IF(B4317="SEPLAG",VLOOKUP(CONCATENATE("MEDIANA - ",C4317),COTAÇÃO,5,FALSE),VLOOKUP($C4317,DESON!$A:$D,4,))</f>
        <v>31,75</v>
      </c>
      <c r="J4317" s="209">
        <f t="shared" si="229"/>
        <v>0.63</v>
      </c>
    </row>
    <row r="4318" spans="1:10" ht="15" customHeight="1">
      <c r="A4318" s="208" t="s">
        <v>245</v>
      </c>
      <c r="B4318" s="241"/>
      <c r="C4318" s="1181">
        <v>20083</v>
      </c>
      <c r="D4318" s="161" t="str">
        <f>IF(B4318="SEPLAG",VLOOKUP(COMPOSIÇÕES!C4318,'MAPA COMPARATIVO'!A:B,2,FALSE),VLOOKUP(C4318,'NAO DESO'!A:B,2,0))</f>
        <v>SOLUCAO PREPARADORA / LIMPADORA PARA PVC, FRASCO COM 1000 CM3</v>
      </c>
      <c r="E4318" s="241" t="str">
        <f>VLOOKUP($C4318,'NAO DESO'!$A:$D,3,)</f>
        <v xml:space="preserve">UN    </v>
      </c>
      <c r="F4318" s="242" t="s">
        <v>7298</v>
      </c>
      <c r="G4318" s="242">
        <f>IF(B4318="SEPLAG",VLOOKUP(CONCATENATE("MEDIANA - ",C4318),COTAÇÃO,5,FALSE),VLOOKUP($C4318,'NAO DESO'!$A:$D,4,))</f>
        <v>87.17</v>
      </c>
      <c r="H4318" s="242">
        <f t="shared" si="228"/>
        <v>1.96</v>
      </c>
      <c r="I4318" s="54" t="str">
        <f>IF(B4318="SEPLAG",VLOOKUP(CONCATENATE("MEDIANA - ",C4318),COTAÇÃO,5,FALSE),VLOOKUP($C4318,DESON!$A:$D,4,))</f>
        <v>87,17</v>
      </c>
      <c r="J4318" s="209">
        <f t="shared" si="229"/>
        <v>1.96</v>
      </c>
    </row>
    <row r="4319" spans="1:10" ht="26.25" customHeight="1">
      <c r="A4319" s="208" t="s">
        <v>245</v>
      </c>
      <c r="B4319" s="241"/>
      <c r="C4319" s="1181">
        <v>20085</v>
      </c>
      <c r="D4319" s="161" t="str">
        <f>IF(B4319="SEPLAG",VLOOKUP(COMPOSIÇÕES!C4319,'MAPA COMPARATIVO'!A:B,2,FALSE),VLOOKUP(C4319,'NAO DESO'!A:B,2,0))</f>
        <v>ANEL BORRACHA, DN 50 MM, PARA TUBO SERIE REFORCADA ESGOTO PREDIAL</v>
      </c>
      <c r="E4319" s="241" t="str">
        <f>VLOOKUP($C4319,'NAO DESO'!$A:$D,3,)</f>
        <v xml:space="preserve">UN    </v>
      </c>
      <c r="F4319" s="242" t="s">
        <v>7045</v>
      </c>
      <c r="G4319" s="242">
        <f>IF(B4319="SEPLAG",VLOOKUP(CONCATENATE("MEDIANA - ",C4319),COTAÇÃO,5,FALSE),VLOOKUP($C4319,'NAO DESO'!$A:$D,4,))</f>
        <v>3.59</v>
      </c>
      <c r="H4319" s="242">
        <f t="shared" si="228"/>
        <v>3.59</v>
      </c>
      <c r="I4319" s="54" t="str">
        <f>IF(B4319="SEPLAG",VLOOKUP(CONCATENATE("MEDIANA - ",C4319),COTAÇÃO,5,FALSE),VLOOKUP($C4319,DESON!$A:$D,4,))</f>
        <v>3,59</v>
      </c>
      <c r="J4319" s="209">
        <f t="shared" si="229"/>
        <v>3.59</v>
      </c>
    </row>
    <row r="4320" spans="1:10" ht="15" customHeight="1">
      <c r="A4320" s="208" t="s">
        <v>245</v>
      </c>
      <c r="B4320" s="241"/>
      <c r="C4320" s="1181">
        <v>38383</v>
      </c>
      <c r="D4320" s="161" t="str">
        <f>IF(B4320="SEPLAG",VLOOKUP(COMPOSIÇÕES!C4320,'MAPA COMPARATIVO'!A:B,2,FALSE),VLOOKUP(C4320,'NAO DESO'!A:B,2,0))</f>
        <v>LIXA D'AGUA EM FOLHA, GRAO 100</v>
      </c>
      <c r="E4320" s="241" t="str">
        <f>VLOOKUP($C4320,'NAO DESO'!$A:$D,3,)</f>
        <v xml:space="preserve">UN    </v>
      </c>
      <c r="F4320" s="242" t="s">
        <v>7299</v>
      </c>
      <c r="G4320" s="242">
        <f>IF(B4320="SEPLAG",VLOOKUP(CONCATENATE("MEDIANA - ",C4320),COTAÇÃO,5,FALSE),VLOOKUP($C4320,'NAO DESO'!$A:$D,4,))</f>
        <v>2.2000000000000002</v>
      </c>
      <c r="H4320" s="242">
        <f t="shared" si="228"/>
        <v>0.08</v>
      </c>
      <c r="I4320" s="54" t="str">
        <f>IF(B4320="SEPLAG",VLOOKUP(CONCATENATE("MEDIANA - ",C4320),COTAÇÃO,5,FALSE),VLOOKUP($C4320,DESON!$A:$D,4,))</f>
        <v>2,20</v>
      </c>
      <c r="J4320" s="209">
        <f t="shared" si="229"/>
        <v>0.08</v>
      </c>
    </row>
    <row r="4321" spans="1:10" ht="26.25" customHeight="1">
      <c r="A4321" s="208" t="s">
        <v>245</v>
      </c>
      <c r="B4321" s="241"/>
      <c r="C4321" s="1181">
        <v>88248</v>
      </c>
      <c r="D4321" s="161" t="str">
        <f>IF(B4321="SEPLAG",VLOOKUP(COMPOSIÇÕES!C4321,'MAPA COMPARATIVO'!A:B,2,FALSE),VLOOKUP(C4321,'NAO DESO'!A:B,2,0))</f>
        <v>AUXILIAR DE ENCANADOR OU BOMBEIRO HIDRÁULICO COM ENCARGOS COMPLEMENTARES</v>
      </c>
      <c r="E4321" s="241" t="str">
        <f>VLOOKUP($C4321,'NAO DESO'!$A:$D,3,)</f>
        <v>H</v>
      </c>
      <c r="F4321" s="242" t="s">
        <v>7300</v>
      </c>
      <c r="G4321" s="242" t="str">
        <f>IF(B4321="SEPLAG",VLOOKUP(CONCATENATE("MEDIANA - ",C4321),COTAÇÃO,5,FALSE),VLOOKUP($C4321,'NAO DESO'!$A:$D,4,))</f>
        <v>17,33</v>
      </c>
      <c r="H4321" s="242">
        <f t="shared" si="228"/>
        <v>2.33</v>
      </c>
      <c r="I4321" s="54" t="str">
        <f>IF(B4321="SEPLAG",VLOOKUP(CONCATENATE("MEDIANA - ",C4321),COTAÇÃO,5,FALSE),VLOOKUP($C4321,DESON!$A:$D,4,))</f>
        <v>15,54</v>
      </c>
      <c r="J4321" s="209">
        <f t="shared" si="229"/>
        <v>2.09</v>
      </c>
    </row>
    <row r="4322" spans="1:10" ht="26.25" customHeight="1">
      <c r="A4322" s="208" t="s">
        <v>245</v>
      </c>
      <c r="B4322" s="241"/>
      <c r="C4322" s="1181">
        <v>88267</v>
      </c>
      <c r="D4322" s="161" t="str">
        <f>IF(B4322="SEPLAG",VLOOKUP(COMPOSIÇÕES!C4322,'MAPA COMPARATIVO'!A:B,2,FALSE),VLOOKUP(C4322,'NAO DESO'!A:B,2,0))</f>
        <v>ENCANADOR OU BOMBEIRO HIDRÁULICO COM ENCARGOS COMPLEMENTARES</v>
      </c>
      <c r="E4322" s="241" t="str">
        <f>VLOOKUP($C4322,'NAO DESO'!$A:$D,3,)</f>
        <v>H</v>
      </c>
      <c r="F4322" s="242" t="s">
        <v>7300</v>
      </c>
      <c r="G4322" s="242" t="str">
        <f>IF(B4322="SEPLAG",VLOOKUP(CONCATENATE("MEDIANA - ",C4322),COTAÇÃO,5,FALSE),VLOOKUP($C4322,'NAO DESO'!$A:$D,4,))</f>
        <v>21,03</v>
      </c>
      <c r="H4322" s="242">
        <f t="shared" si="228"/>
        <v>2.83</v>
      </c>
      <c r="I4322" s="54" t="str">
        <f>IF(B4322="SEPLAG",VLOOKUP(CONCATENATE("MEDIANA - ",C4322),COTAÇÃO,5,FALSE),VLOOKUP($C4322,DESON!$A:$D,4,))</f>
        <v>18,72</v>
      </c>
      <c r="J4322" s="209">
        <f t="shared" si="229"/>
        <v>2.52</v>
      </c>
    </row>
    <row r="4323" spans="1:10" ht="15" customHeight="1">
      <c r="A4323" s="210" t="str">
        <f>CONCATENATE("TOTAL DO ITEM NÃO DESON. - ",C4312)</f>
        <v>TOTAL DO ITEM NÃO DESON. - SEPLAG HIDR 14</v>
      </c>
      <c r="B4323" s="430"/>
      <c r="C4323" s="430"/>
      <c r="D4323" s="430"/>
      <c r="E4323" s="430"/>
      <c r="F4323" s="1180"/>
      <c r="G4323" s="1180"/>
      <c r="H4323" s="1182">
        <f>SUM(H4315:H4322)</f>
        <v>66.67</v>
      </c>
      <c r="I4323" s="231"/>
      <c r="J4323" s="215"/>
    </row>
    <row r="4324" spans="1:10" ht="15.75" customHeight="1" thickBot="1">
      <c r="A4324" s="216" t="str">
        <f>CONCATENATE("TOTAL DO ITEM DESON. - ",C4312)</f>
        <v>TOTAL DO ITEM DESON. - SEPLAG HIDR 14</v>
      </c>
      <c r="B4324" s="1142"/>
      <c r="C4324" s="1142"/>
      <c r="D4324" s="1142"/>
      <c r="E4324" s="1142"/>
      <c r="F4324" s="1211"/>
      <c r="G4324" s="1211"/>
      <c r="H4324" s="1187"/>
      <c r="I4324" s="260"/>
      <c r="J4324" s="219">
        <f>SUM(J4315:J4322)</f>
        <v>66.12</v>
      </c>
    </row>
    <row r="4325" spans="1:10" ht="15" customHeight="1" thickBot="1">
      <c r="A4325" s="421"/>
      <c r="B4325" s="1138"/>
      <c r="C4325" s="1138"/>
      <c r="D4325" s="1138"/>
      <c r="E4325" s="1154"/>
      <c r="F4325" s="1196"/>
      <c r="G4325" s="1196"/>
      <c r="H4325" s="1196"/>
      <c r="I4325" s="422"/>
      <c r="J4325" s="422"/>
    </row>
    <row r="4326" spans="1:10" ht="25.5" customHeight="1">
      <c r="A4326" s="256"/>
      <c r="B4326" s="1152"/>
      <c r="C4326" s="1176" t="s">
        <v>7306</v>
      </c>
      <c r="D4326" s="156" t="s">
        <v>7304</v>
      </c>
      <c r="E4326" s="1176" t="s">
        <v>24</v>
      </c>
      <c r="F4326" s="1177" t="s">
        <v>18</v>
      </c>
      <c r="G4326" s="1178" t="s">
        <v>7015</v>
      </c>
      <c r="H4326" s="1179"/>
      <c r="I4326" s="200" t="s">
        <v>7016</v>
      </c>
      <c r="J4326" s="201"/>
    </row>
    <row r="4327" spans="1:10" ht="15" customHeight="1">
      <c r="A4327" s="203"/>
      <c r="B4327" s="430"/>
      <c r="C4327" s="1155"/>
      <c r="D4327" s="157"/>
      <c r="E4327" s="1155"/>
      <c r="F4327" s="1180"/>
      <c r="G4327" s="1180" t="s">
        <v>19</v>
      </c>
      <c r="H4327" s="1180" t="s">
        <v>20</v>
      </c>
      <c r="I4327" s="204" t="s">
        <v>19</v>
      </c>
      <c r="J4327" s="206" t="s">
        <v>20</v>
      </c>
    </row>
    <row r="4328" spans="1:10" ht="15" customHeight="1">
      <c r="A4328" s="258"/>
      <c r="B4328" s="1155"/>
      <c r="C4328" s="1155"/>
      <c r="D4328" s="157" t="s">
        <v>7305</v>
      </c>
      <c r="E4328" s="1155"/>
      <c r="F4328" s="1180"/>
      <c r="G4328" s="1180"/>
      <c r="H4328" s="1180"/>
      <c r="I4328" s="238"/>
      <c r="J4328" s="259"/>
    </row>
    <row r="4329" spans="1:10" ht="26.25" customHeight="1">
      <c r="A4329" s="208" t="s">
        <v>245</v>
      </c>
      <c r="B4329" s="241"/>
      <c r="C4329" s="1181">
        <v>3659</v>
      </c>
      <c r="D4329" s="161" t="str">
        <f>IF(B4329="SEPLAG",VLOOKUP(COMPOSIÇÕES!C4329,'MAPA COMPARATIVO'!A:B,2,FALSE),VLOOKUP(C4329,'NAO DESO'!A:B,2,0))</f>
        <v>JUNCAO SIMPLES, PVC, DN 100 X 50 MM, SERIE NORMAL PARA ESGOTO PREDIAL</v>
      </c>
      <c r="E4329" s="241" t="str">
        <f>VLOOKUP($C4329,'NAO DESO'!$A:$D,3,)</f>
        <v xml:space="preserve">UN    </v>
      </c>
      <c r="F4329" s="242">
        <v>1</v>
      </c>
      <c r="G4329" s="242">
        <f>IF(B4329="SEPLAG",VLOOKUP(CONCATENATE("MEDIANA - ",C4329),COTAÇÃO,5,FALSE),VLOOKUP($C4329,'NAO DESO'!$A:$D,4,))</f>
        <v>20.2</v>
      </c>
      <c r="H4329" s="242">
        <f>TRUNC(F4329*G4329,2)</f>
        <v>20.2</v>
      </c>
      <c r="I4329" s="54" t="str">
        <f>IF(B4329="SEPLAG",VLOOKUP(CONCATENATE("MEDIANA - ",C4329),COTAÇÃO,5,FALSE),VLOOKUP($C4329,DESON!$A:$D,4,))</f>
        <v>20,20</v>
      </c>
      <c r="J4329" s="209">
        <f>TRUNC(F4329*I4329,2)</f>
        <v>20.2</v>
      </c>
    </row>
    <row r="4330" spans="1:10" ht="15" customHeight="1">
      <c r="A4330" s="208" t="s">
        <v>245</v>
      </c>
      <c r="B4330" s="241"/>
      <c r="C4330" s="1181">
        <v>88309</v>
      </c>
      <c r="D4330" s="161" t="str">
        <f>IF(B4330="SEPLAG",VLOOKUP(COMPOSIÇÕES!C4330,'MAPA COMPARATIVO'!A:B,2,FALSE),VLOOKUP(C4330,'NAO DESO'!A:B,2,0))</f>
        <v>PEDREIRO COM ENCARGOS COMPLEMENTARES</v>
      </c>
      <c r="E4330" s="241" t="str">
        <f>VLOOKUP($C4330,'NAO DESO'!$A:$D,3,)</f>
        <v>H</v>
      </c>
      <c r="F4330" s="242">
        <v>0.38</v>
      </c>
      <c r="G4330" s="242" t="str">
        <f>IF(B4330="SEPLAG",VLOOKUP(CONCATENATE("MEDIANA - ",C4330),COTAÇÃO,5,FALSE),VLOOKUP($C4330,'NAO DESO'!$A:$D,4,))</f>
        <v>21,10</v>
      </c>
      <c r="H4330" s="242">
        <f>TRUNC(F4330*G4330,2)</f>
        <v>8.01</v>
      </c>
      <c r="I4330" s="54" t="str">
        <f>IF(B4330="SEPLAG",VLOOKUP(CONCATENATE("MEDIANA - ",C4330),COTAÇÃO,5,FALSE),VLOOKUP($C4330,DESON!$A:$D,4,))</f>
        <v>18,86</v>
      </c>
      <c r="J4330" s="209">
        <f>TRUNC(F4330*I4330,2)</f>
        <v>7.16</v>
      </c>
    </row>
    <row r="4331" spans="1:10" ht="15" customHeight="1">
      <c r="A4331" s="208" t="s">
        <v>245</v>
      </c>
      <c r="B4331" s="241"/>
      <c r="C4331" s="1181">
        <v>88316</v>
      </c>
      <c r="D4331" s="161" t="str">
        <f>IF(B4331="SEPLAG",VLOOKUP(COMPOSIÇÕES!C4331,'MAPA COMPARATIVO'!A:B,2,FALSE),VLOOKUP(C4331,'NAO DESO'!A:B,2,0))</f>
        <v>SERVENTE COM ENCARGOS COMPLEMENTARES</v>
      </c>
      <c r="E4331" s="241" t="str">
        <f>VLOOKUP($C4331,'NAO DESO'!$A:$D,3,)</f>
        <v>H</v>
      </c>
      <c r="F4331" s="242">
        <v>1.1399999999999999</v>
      </c>
      <c r="G4331" s="242" t="str">
        <f>IF(B4331="SEPLAG",VLOOKUP(CONCATENATE("MEDIANA - ",C4331),COTAÇÃO,5,FALSE),VLOOKUP($C4331,'NAO DESO'!$A:$D,4,))</f>
        <v>16,83</v>
      </c>
      <c r="H4331" s="242">
        <f>TRUNC(F4331*G4331,2)</f>
        <v>19.18</v>
      </c>
      <c r="I4331" s="54" t="str">
        <f>IF(B4331="SEPLAG",VLOOKUP(CONCATENATE("MEDIANA - ",C4331),COTAÇÃO,5,FALSE),VLOOKUP($C4331,DESON!$A:$D,4,))</f>
        <v>15,16</v>
      </c>
      <c r="J4331" s="209">
        <f>TRUNC(F4331*I4331,2)</f>
        <v>17.28</v>
      </c>
    </row>
    <row r="4332" spans="1:10" ht="15" customHeight="1">
      <c r="A4332" s="210" t="str">
        <f>CONCATENATE("TOTAL DO ITEM NÃO DESON. - ",C4326)</f>
        <v>TOTAL DO ITEM NÃO DESON. - SEPLAG HIDR 15</v>
      </c>
      <c r="B4332" s="430"/>
      <c r="C4332" s="430"/>
      <c r="D4332" s="430"/>
      <c r="E4332" s="430"/>
      <c r="F4332" s="1180"/>
      <c r="G4332" s="1180"/>
      <c r="H4332" s="1182">
        <f>SUM(H4329:H4331)</f>
        <v>47.39</v>
      </c>
      <c r="I4332" s="231"/>
      <c r="J4332" s="215"/>
    </row>
    <row r="4333" spans="1:10" ht="15.75" customHeight="1" thickBot="1">
      <c r="A4333" s="216" t="str">
        <f>CONCATENATE("TOTAL DO ITEM DESON. - ",C4326)</f>
        <v>TOTAL DO ITEM DESON. - SEPLAG HIDR 15</v>
      </c>
      <c r="B4333" s="1142"/>
      <c r="C4333" s="1142"/>
      <c r="D4333" s="1142"/>
      <c r="E4333" s="1142"/>
      <c r="F4333" s="1211"/>
      <c r="G4333" s="1211"/>
      <c r="H4333" s="1187"/>
      <c r="I4333" s="260"/>
      <c r="J4333" s="219">
        <f>SUM(J4329:J4331)</f>
        <v>44.64</v>
      </c>
    </row>
    <row r="4334" spans="1:10" ht="15" customHeight="1" thickBot="1">
      <c r="A4334" s="421"/>
      <c r="B4334" s="1138"/>
      <c r="C4334" s="1138"/>
      <c r="D4334" s="1138"/>
      <c r="E4334" s="1154"/>
      <c r="F4334" s="1196"/>
      <c r="G4334" s="1196"/>
      <c r="H4334" s="1196"/>
      <c r="I4334" s="422"/>
      <c r="J4334" s="422"/>
    </row>
    <row r="4335" spans="1:10" ht="25.5" customHeight="1">
      <c r="A4335" s="256"/>
      <c r="B4335" s="1152"/>
      <c r="C4335" s="1176" t="s">
        <v>7311</v>
      </c>
      <c r="D4335" s="156" t="s">
        <v>7307</v>
      </c>
      <c r="E4335" s="1176" t="s">
        <v>24</v>
      </c>
      <c r="F4335" s="1177" t="s">
        <v>18</v>
      </c>
      <c r="G4335" s="1178" t="s">
        <v>7015</v>
      </c>
      <c r="H4335" s="1179"/>
      <c r="I4335" s="200" t="s">
        <v>7016</v>
      </c>
      <c r="J4335" s="201"/>
    </row>
    <row r="4336" spans="1:10" ht="15" customHeight="1">
      <c r="A4336" s="203"/>
      <c r="B4336" s="430"/>
      <c r="C4336" s="1155"/>
      <c r="D4336" s="157"/>
      <c r="E4336" s="1155"/>
      <c r="F4336" s="1180"/>
      <c r="G4336" s="1180" t="s">
        <v>19</v>
      </c>
      <c r="H4336" s="1180" t="s">
        <v>20</v>
      </c>
      <c r="I4336" s="204" t="s">
        <v>19</v>
      </c>
      <c r="J4336" s="206" t="s">
        <v>20</v>
      </c>
    </row>
    <row r="4337" spans="1:10" ht="15" customHeight="1">
      <c r="A4337" s="258"/>
      <c r="B4337" s="1155"/>
      <c r="C4337" s="1155"/>
      <c r="D4337" s="157" t="s">
        <v>7308</v>
      </c>
      <c r="E4337" s="1155"/>
      <c r="F4337" s="1180"/>
      <c r="G4337" s="1180"/>
      <c r="H4337" s="1180"/>
      <c r="I4337" s="238"/>
      <c r="J4337" s="259"/>
    </row>
    <row r="4338" spans="1:10" ht="26.25" customHeight="1">
      <c r="A4338" s="208" t="s">
        <v>245</v>
      </c>
      <c r="B4338" s="241"/>
      <c r="C4338" s="1181">
        <v>298</v>
      </c>
      <c r="D4338" s="161" t="str">
        <f>IF(B4338="SEPLAG",VLOOKUP(COMPOSIÇÕES!C4338,'MAPA COMPARATIVO'!A:B,2,FALSE),VLOOKUP(C4338,'NAO DESO'!A:B,2,0))</f>
        <v>ANEL BORRACHA, DN 75 MM, PARA TUBO SERIE REFORCADA ESGOTO PREDIAL</v>
      </c>
      <c r="E4338" s="241" t="str">
        <f>VLOOKUP($C4338,'NAO DESO'!$A:$D,3,)</f>
        <v xml:space="preserve">UN    </v>
      </c>
      <c r="F4338" s="242" t="s">
        <v>7045</v>
      </c>
      <c r="G4338" s="242">
        <f>IF(B4338="SEPLAG",VLOOKUP(CONCATENATE("MEDIANA - ",C4338),COTAÇÃO,5,FALSE),VLOOKUP($C4338,'NAO DESO'!$A:$D,4,))</f>
        <v>4.3600000000000003</v>
      </c>
      <c r="H4338" s="242">
        <f>TRUNC(F4338*G4338,2)</f>
        <v>4.3600000000000003</v>
      </c>
      <c r="I4338" s="54" t="str">
        <f>IF(B4338="SEPLAG",VLOOKUP(CONCATENATE("MEDIANA - ",C4338),COTAÇÃO,5,FALSE),VLOOKUP($C4338,DESON!$A:$D,4,))</f>
        <v>4,36</v>
      </c>
      <c r="J4338" s="209">
        <f>TRUNC(F4338*I4338,2)</f>
        <v>4.3600000000000003</v>
      </c>
    </row>
    <row r="4339" spans="1:10" ht="15" customHeight="1">
      <c r="A4339" s="208" t="s">
        <v>245</v>
      </c>
      <c r="B4339" s="241"/>
      <c r="C4339" s="1181">
        <v>20043</v>
      </c>
      <c r="D4339" s="161" t="str">
        <f>IF(B4339="SEPLAG",VLOOKUP(COMPOSIÇÕES!C4339,'MAPA COMPARATIVO'!A:B,2,FALSE),VLOOKUP(C4339,'NAO DESO'!A:B,2,0))</f>
        <v>REDUCAO EXCENTRICA PVC P/ ESG PREDIAL DN 100 X 50MM</v>
      </c>
      <c r="E4339" s="241" t="str">
        <f>VLOOKUP($C4339,'NAO DESO'!$A:$D,3,)</f>
        <v xml:space="preserve">UN    </v>
      </c>
      <c r="F4339" s="242" t="s">
        <v>7045</v>
      </c>
      <c r="G4339" s="242">
        <f>IF(B4339="SEPLAG",VLOOKUP(CONCATENATE("MEDIANA - ",C4339),COTAÇÃO,5,FALSE),VLOOKUP($C4339,'NAO DESO'!$A:$D,4,))</f>
        <v>9.2100000000000009</v>
      </c>
      <c r="H4339" s="242">
        <f>TRUNC(F4339*G4339,2)</f>
        <v>9.2100000000000009</v>
      </c>
      <c r="I4339" s="54" t="str">
        <f>IF(B4339="SEPLAG",VLOOKUP(CONCATENATE("MEDIANA - ",C4339),COTAÇÃO,5,FALSE),VLOOKUP($C4339,DESON!$A:$D,4,))</f>
        <v>9,21</v>
      </c>
      <c r="J4339" s="209">
        <f>TRUNC(F4339*I4339,2)</f>
        <v>9.2100000000000009</v>
      </c>
    </row>
    <row r="4340" spans="1:10" ht="26.25" customHeight="1">
      <c r="A4340" s="208" t="s">
        <v>245</v>
      </c>
      <c r="B4340" s="241"/>
      <c r="C4340" s="1181">
        <v>20078</v>
      </c>
      <c r="D4340" s="161" t="str">
        <f>IF(B4340="SEPLAG",VLOOKUP(COMPOSIÇÕES!C4340,'MAPA COMPARATIVO'!A:B,2,FALSE),VLOOKUP(C4340,'NAO DESO'!A:B,2,0))</f>
        <v>PASTA LUBRIFICANTE PARA TUBOS E CONEXOES COM JUNTA ELASTICA, EMBALAGEM DE *400* GR (USO EM PVC, ACO, POLIETILENO E OUTROS)</v>
      </c>
      <c r="E4340" s="241" t="str">
        <f>VLOOKUP($C4340,'NAO DESO'!$A:$D,3,)</f>
        <v xml:space="preserve">UN    </v>
      </c>
      <c r="F4340" s="242" t="s">
        <v>7309</v>
      </c>
      <c r="G4340" s="242">
        <f>IF(B4340="SEPLAG",VLOOKUP(CONCATENATE("MEDIANA - ",C4340),COTAÇÃO,5,FALSE),VLOOKUP($C4340,'NAO DESO'!$A:$D,4,))</f>
        <v>31.75</v>
      </c>
      <c r="H4340" s="242">
        <f>TRUNC(F4340*G4340,2)</f>
        <v>0.95</v>
      </c>
      <c r="I4340" s="54" t="str">
        <f>IF(B4340="SEPLAG",VLOOKUP(CONCATENATE("MEDIANA - ",C4340),COTAÇÃO,5,FALSE),VLOOKUP($C4340,DESON!$A:$D,4,))</f>
        <v>31,75</v>
      </c>
      <c r="J4340" s="209">
        <f>TRUNC(F4340*I4340,2)</f>
        <v>0.95</v>
      </c>
    </row>
    <row r="4341" spans="1:10" ht="26.25" customHeight="1">
      <c r="A4341" s="208" t="s">
        <v>245</v>
      </c>
      <c r="B4341" s="241"/>
      <c r="C4341" s="1181">
        <v>88248</v>
      </c>
      <c r="D4341" s="161" t="str">
        <f>IF(B4341="SEPLAG",VLOOKUP(COMPOSIÇÕES!C4341,'MAPA COMPARATIVO'!A:B,2,FALSE),VLOOKUP(C4341,'NAO DESO'!A:B,2,0))</f>
        <v>AUXILIAR DE ENCANADOR OU BOMBEIRO HIDRÁULICO COM ENCARGOS COMPLEMENTARES</v>
      </c>
      <c r="E4341" s="241" t="str">
        <f>VLOOKUP($C4341,'NAO DESO'!$A:$D,3,)</f>
        <v>H</v>
      </c>
      <c r="F4341" s="242" t="s">
        <v>7310</v>
      </c>
      <c r="G4341" s="242" t="str">
        <f>IF(B4341="SEPLAG",VLOOKUP(CONCATENATE("MEDIANA - ",C4341),COTAÇÃO,5,FALSE),VLOOKUP($C4341,'NAO DESO'!$A:$D,4,))</f>
        <v>17,33</v>
      </c>
      <c r="H4341" s="242">
        <f>TRUNC(F4341*G4341,2)</f>
        <v>1.21</v>
      </c>
      <c r="I4341" s="54" t="str">
        <f>IF(B4341="SEPLAG",VLOOKUP(CONCATENATE("MEDIANA - ",C4341),COTAÇÃO,5,FALSE),VLOOKUP($C4341,DESON!$A:$D,4,))</f>
        <v>15,54</v>
      </c>
      <c r="J4341" s="209">
        <f>TRUNC(F4341*I4341,2)</f>
        <v>1.08</v>
      </c>
    </row>
    <row r="4342" spans="1:10" ht="26.25" customHeight="1">
      <c r="A4342" s="208" t="s">
        <v>245</v>
      </c>
      <c r="B4342" s="241"/>
      <c r="C4342" s="1181">
        <v>88267</v>
      </c>
      <c r="D4342" s="161" t="str">
        <f>IF(B4342="SEPLAG",VLOOKUP(COMPOSIÇÕES!C4342,'MAPA COMPARATIVO'!A:B,2,FALSE),VLOOKUP(C4342,'NAO DESO'!A:B,2,0))</f>
        <v>ENCANADOR OU BOMBEIRO HIDRÁULICO COM ENCARGOS COMPLEMENTARES</v>
      </c>
      <c r="E4342" s="241" t="str">
        <f>VLOOKUP($C4342,'NAO DESO'!$A:$D,3,)</f>
        <v>H</v>
      </c>
      <c r="F4342" s="242" t="s">
        <v>7310</v>
      </c>
      <c r="G4342" s="242" t="str">
        <f>IF(B4342="SEPLAG",VLOOKUP(CONCATENATE("MEDIANA - ",C4342),COTAÇÃO,5,FALSE),VLOOKUP($C4342,'NAO DESO'!$A:$D,4,))</f>
        <v>21,03</v>
      </c>
      <c r="H4342" s="242">
        <f>TRUNC(F4342*G4342,2)</f>
        <v>1.47</v>
      </c>
      <c r="I4342" s="54" t="str">
        <f>IF(B4342="SEPLAG",VLOOKUP(CONCATENATE("MEDIANA - ",C4342),COTAÇÃO,5,FALSE),VLOOKUP($C4342,DESON!$A:$D,4,))</f>
        <v>18,72</v>
      </c>
      <c r="J4342" s="209">
        <f>TRUNC(F4342*I4342,2)</f>
        <v>1.31</v>
      </c>
    </row>
    <row r="4343" spans="1:10" ht="15" customHeight="1">
      <c r="A4343" s="210" t="str">
        <f>CONCATENATE("TOTAL DO ITEM NÃO DESON. - ",C4335)</f>
        <v>TOTAL DO ITEM NÃO DESON. - SEPLAG HIDR 16</v>
      </c>
      <c r="B4343" s="430"/>
      <c r="C4343" s="430"/>
      <c r="D4343" s="430"/>
      <c r="E4343" s="430"/>
      <c r="F4343" s="1180"/>
      <c r="G4343" s="1180"/>
      <c r="H4343" s="1182">
        <f>SUM(H4338:H4342)</f>
        <v>17.2</v>
      </c>
      <c r="I4343" s="231"/>
      <c r="J4343" s="215"/>
    </row>
    <row r="4344" spans="1:10" ht="15.75" customHeight="1" thickBot="1">
      <c r="A4344" s="216" t="str">
        <f>CONCATENATE("TOTAL DO ITEM DESON. - ",C4335)</f>
        <v>TOTAL DO ITEM DESON. - SEPLAG HIDR 16</v>
      </c>
      <c r="B4344" s="1142"/>
      <c r="C4344" s="1142"/>
      <c r="D4344" s="1142"/>
      <c r="E4344" s="1142"/>
      <c r="F4344" s="1211"/>
      <c r="G4344" s="1211"/>
      <c r="H4344" s="1187"/>
      <c r="I4344" s="260"/>
      <c r="J4344" s="219">
        <f>SUM(J4338:J4342)</f>
        <v>16.91</v>
      </c>
    </row>
    <row r="4345" spans="1:10" ht="15" customHeight="1" thickBot="1">
      <c r="A4345" s="421"/>
      <c r="B4345" s="1138"/>
      <c r="C4345" s="1138"/>
      <c r="D4345" s="1138"/>
      <c r="E4345" s="1154"/>
      <c r="F4345" s="1196"/>
      <c r="G4345" s="1196"/>
      <c r="H4345" s="1196"/>
      <c r="I4345" s="422"/>
      <c r="J4345" s="422"/>
    </row>
    <row r="4346" spans="1:10" ht="15" customHeight="1">
      <c r="A4346" s="256"/>
      <c r="B4346" s="1152"/>
      <c r="C4346" s="1176" t="s">
        <v>7313</v>
      </c>
      <c r="D4346" s="156" t="s">
        <v>7312</v>
      </c>
      <c r="E4346" s="1176" t="s">
        <v>24</v>
      </c>
      <c r="F4346" s="1177" t="s">
        <v>18</v>
      </c>
      <c r="G4346" s="1178" t="s">
        <v>7015</v>
      </c>
      <c r="H4346" s="1179"/>
      <c r="I4346" s="200" t="s">
        <v>7016</v>
      </c>
      <c r="J4346" s="201"/>
    </row>
    <row r="4347" spans="1:10" ht="15" customHeight="1">
      <c r="A4347" s="203"/>
      <c r="B4347" s="430"/>
      <c r="C4347" s="1155"/>
      <c r="D4347" s="157"/>
      <c r="E4347" s="1155"/>
      <c r="F4347" s="1180"/>
      <c r="G4347" s="1180" t="s">
        <v>19</v>
      </c>
      <c r="H4347" s="1180" t="s">
        <v>20</v>
      </c>
      <c r="I4347" s="204" t="s">
        <v>19</v>
      </c>
      <c r="J4347" s="206" t="s">
        <v>20</v>
      </c>
    </row>
    <row r="4348" spans="1:10" ht="15" customHeight="1">
      <c r="A4348" s="258"/>
      <c r="B4348" s="1155"/>
      <c r="C4348" s="1155"/>
      <c r="D4348" s="157"/>
      <c r="E4348" s="1155"/>
      <c r="F4348" s="1180"/>
      <c r="G4348" s="1180"/>
      <c r="H4348" s="1180"/>
      <c r="I4348" s="238"/>
      <c r="J4348" s="259"/>
    </row>
    <row r="4349" spans="1:10" ht="15" customHeight="1">
      <c r="A4349" s="208" t="s">
        <v>245</v>
      </c>
      <c r="B4349" s="241"/>
      <c r="C4349" s="1181">
        <v>39319</v>
      </c>
      <c r="D4349" s="161" t="str">
        <f>IF(B4349="SEPLAG",VLOOKUP(COMPOSIÇÕES!C4349,'MAPA COMPARATIVO'!A:B,2,FALSE),VLOOKUP(C4349,'NAO DESO'!A:B,2,0))</f>
        <v>TERMINAL DE VENTILACAO, 50 MM, SERIE NORMAL, ESGOTO PREDIAL</v>
      </c>
      <c r="E4349" s="241" t="str">
        <f>VLOOKUP($C4349,'NAO DESO'!$A:$D,3,)</f>
        <v xml:space="preserve">UN    </v>
      </c>
      <c r="F4349" s="242">
        <v>1</v>
      </c>
      <c r="G4349" s="242">
        <f>IF(B4349="SEPLAG",VLOOKUP(CONCATENATE("MEDIANA - ",C4349),COTAÇÃO,5,FALSE),VLOOKUP($C4349,'NAO DESO'!$A:$D,4,))</f>
        <v>8.5299999999999994</v>
      </c>
      <c r="H4349" s="242">
        <f>TRUNC(F4349*G4349,2)</f>
        <v>8.5299999999999994</v>
      </c>
      <c r="I4349" s="54" t="str">
        <f>IF(B4349="SEPLAG",VLOOKUP(CONCATENATE("MEDIANA - ",C4349),COTAÇÃO,5,FALSE),VLOOKUP($C4349,DESON!$A:$D,4,))</f>
        <v>8,53</v>
      </c>
      <c r="J4349" s="209">
        <f>TRUNC(F4349*I4349,2)</f>
        <v>8.5299999999999994</v>
      </c>
    </row>
    <row r="4350" spans="1:10" ht="15" customHeight="1">
      <c r="A4350" s="208" t="s">
        <v>245</v>
      </c>
      <c r="B4350" s="241"/>
      <c r="C4350" s="1181">
        <v>88309</v>
      </c>
      <c r="D4350" s="161" t="str">
        <f>IF(B4350="SEPLAG",VLOOKUP(COMPOSIÇÕES!C4350,'MAPA COMPARATIVO'!A:B,2,FALSE),VLOOKUP(C4350,'NAO DESO'!A:B,2,0))</f>
        <v>PEDREIRO COM ENCARGOS COMPLEMENTARES</v>
      </c>
      <c r="E4350" s="241" t="str">
        <f>VLOOKUP($C4350,'NAO DESO'!$A:$D,3,)</f>
        <v>H</v>
      </c>
      <c r="F4350" s="242">
        <v>0.38</v>
      </c>
      <c r="G4350" s="242" t="str">
        <f>IF(B4350="SEPLAG",VLOOKUP(CONCATENATE("MEDIANA - ",C4350),COTAÇÃO,5,FALSE),VLOOKUP($C4350,'NAO DESO'!$A:$D,4,))</f>
        <v>21,10</v>
      </c>
      <c r="H4350" s="242">
        <f>TRUNC(F4350*G4350,2)</f>
        <v>8.01</v>
      </c>
      <c r="I4350" s="54" t="str">
        <f>IF(B4350="SEPLAG",VLOOKUP(CONCATENATE("MEDIANA - ",C4350),COTAÇÃO,5,FALSE),VLOOKUP($C4350,DESON!$A:$D,4,))</f>
        <v>18,86</v>
      </c>
      <c r="J4350" s="209">
        <f>TRUNC(F4350*I4350,2)</f>
        <v>7.16</v>
      </c>
    </row>
    <row r="4351" spans="1:10" ht="15" customHeight="1">
      <c r="A4351" s="208" t="s">
        <v>245</v>
      </c>
      <c r="B4351" s="241"/>
      <c r="C4351" s="1181">
        <v>88316</v>
      </c>
      <c r="D4351" s="161" t="str">
        <f>IF(B4351="SEPLAG",VLOOKUP(COMPOSIÇÕES!C4351,'MAPA COMPARATIVO'!A:B,2,FALSE),VLOOKUP(C4351,'NAO DESO'!A:B,2,0))</f>
        <v>SERVENTE COM ENCARGOS COMPLEMENTARES</v>
      </c>
      <c r="E4351" s="241" t="str">
        <f>VLOOKUP($C4351,'NAO DESO'!$A:$D,3,)</f>
        <v>H</v>
      </c>
      <c r="F4351" s="242">
        <v>1.1399999999999999</v>
      </c>
      <c r="G4351" s="242" t="str">
        <f>IF(B4351="SEPLAG",VLOOKUP(CONCATENATE("MEDIANA - ",C4351),COTAÇÃO,5,FALSE),VLOOKUP($C4351,'NAO DESO'!$A:$D,4,))</f>
        <v>16,83</v>
      </c>
      <c r="H4351" s="242">
        <f>TRUNC(F4351*G4351,2)</f>
        <v>19.18</v>
      </c>
      <c r="I4351" s="54" t="str">
        <f>IF(B4351="SEPLAG",VLOOKUP(CONCATENATE("MEDIANA - ",C4351),COTAÇÃO,5,FALSE),VLOOKUP($C4351,DESON!$A:$D,4,))</f>
        <v>15,16</v>
      </c>
      <c r="J4351" s="209">
        <f>TRUNC(F4351*I4351,2)</f>
        <v>17.28</v>
      </c>
    </row>
    <row r="4352" spans="1:10" ht="15" customHeight="1">
      <c r="A4352" s="210" t="str">
        <f>CONCATENATE("TOTAL DO ITEM NÃO DESON. - ",C4346)</f>
        <v>TOTAL DO ITEM NÃO DESON. - SEPLAG HIDR 17</v>
      </c>
      <c r="B4352" s="430"/>
      <c r="C4352" s="430"/>
      <c r="D4352" s="430"/>
      <c r="E4352" s="430"/>
      <c r="F4352" s="1180"/>
      <c r="G4352" s="1180"/>
      <c r="H4352" s="1182">
        <f>SUM(H4349:H4351)</f>
        <v>35.72</v>
      </c>
      <c r="I4352" s="231"/>
      <c r="J4352" s="215"/>
    </row>
    <row r="4353" spans="1:10" ht="15.75" customHeight="1" thickBot="1">
      <c r="A4353" s="216" t="str">
        <f>CONCATENATE("TOTAL DO ITEM DESON. - ",C4346)</f>
        <v>TOTAL DO ITEM DESON. - SEPLAG HIDR 17</v>
      </c>
      <c r="B4353" s="1142"/>
      <c r="C4353" s="1142"/>
      <c r="D4353" s="1142"/>
      <c r="E4353" s="1142"/>
      <c r="F4353" s="1211"/>
      <c r="G4353" s="1211"/>
      <c r="H4353" s="1187"/>
      <c r="I4353" s="260"/>
      <c r="J4353" s="219">
        <f>SUM(J4349:J4351)</f>
        <v>32.97</v>
      </c>
    </row>
    <row r="4354" spans="1:10" ht="15" customHeight="1" thickBot="1">
      <c r="A4354" s="421"/>
      <c r="B4354" s="1138"/>
      <c r="C4354" s="1138"/>
      <c r="D4354" s="1138"/>
      <c r="E4354" s="1154"/>
      <c r="F4354" s="1196"/>
      <c r="G4354" s="1196"/>
      <c r="H4354" s="1196"/>
      <c r="I4354" s="422"/>
      <c r="J4354" s="422"/>
    </row>
    <row r="4355" spans="1:10" ht="15" customHeight="1">
      <c r="A4355" s="256"/>
      <c r="B4355" s="1152"/>
      <c r="C4355" s="1176" t="s">
        <v>7489</v>
      </c>
      <c r="D4355" s="156" t="s">
        <v>7290</v>
      </c>
      <c r="E4355" s="1176" t="s">
        <v>24</v>
      </c>
      <c r="F4355" s="1177" t="s">
        <v>18</v>
      </c>
      <c r="G4355" s="1178" t="s">
        <v>7015</v>
      </c>
      <c r="H4355" s="1179"/>
      <c r="I4355" s="200" t="s">
        <v>7016</v>
      </c>
      <c r="J4355" s="201"/>
    </row>
    <row r="4356" spans="1:10" ht="15" customHeight="1">
      <c r="A4356" s="257"/>
      <c r="B4356" s="430"/>
      <c r="C4356" s="1155"/>
      <c r="D4356" s="157"/>
      <c r="E4356" s="1155"/>
      <c r="F4356" s="1180"/>
      <c r="G4356" s="1180" t="s">
        <v>19</v>
      </c>
      <c r="H4356" s="1180" t="s">
        <v>20</v>
      </c>
      <c r="I4356" s="204" t="s">
        <v>19</v>
      </c>
      <c r="J4356" s="206" t="s">
        <v>20</v>
      </c>
    </row>
    <row r="4357" spans="1:10" ht="15" customHeight="1">
      <c r="A4357" s="258"/>
      <c r="B4357" s="1155"/>
      <c r="C4357" s="1155"/>
      <c r="D4357" s="157"/>
      <c r="E4357" s="1155"/>
      <c r="F4357" s="1180"/>
      <c r="G4357" s="1180"/>
      <c r="H4357" s="1180"/>
      <c r="I4357" s="238"/>
      <c r="J4357" s="259"/>
    </row>
    <row r="4358" spans="1:10" ht="39" customHeight="1">
      <c r="A4358" s="208" t="s">
        <v>245</v>
      </c>
      <c r="B4358" s="241"/>
      <c r="C4358" s="1181">
        <v>7042</v>
      </c>
      <c r="D4358" s="161" t="str">
        <f>IF(B4358="SEPLAG",VLOOKUP(COMPOSIÇÕES!C4358,'MAPA COMPARATIVO'!A:B,2,FALSE),VLOOKUP(C4358,'NAO DESO'!A:B,2,0))</f>
        <v>MOTOBOMBA TRASH (PARA ÁGUA SUJA) AUTO ESCORVANTE, MOTOR GASOLINA DE 6,41 HP, DIÂMETROS DE SUCÇÃO X RECALQUE: 3" X 3", HM/Q = 10 MCA / 60 M3/H A 23 MCA / 0 M3/H - CHP DIURNO. AF_10/2014</v>
      </c>
      <c r="E4358" s="241" t="str">
        <f>VLOOKUP($C4358,'NAO DESO'!$A:$D,3,)</f>
        <v>CHP</v>
      </c>
      <c r="F4358" s="242">
        <v>2</v>
      </c>
      <c r="G4358" s="242" t="str">
        <f>IF(B4358="SEPLAG",VLOOKUP(CONCATENATE("MEDIANA - ",C4358),COTAÇÃO,5,FALSE),VLOOKUP($C4358,'NAO DESO'!$A:$D,4,))</f>
        <v>26,54</v>
      </c>
      <c r="H4358" s="242">
        <f>TRUNC(F4358*G4358,2)</f>
        <v>53.08</v>
      </c>
      <c r="I4358" s="54" t="str">
        <f>IF(B4358="SEPLAG",VLOOKUP(CONCATENATE("MEDIANA - ",C4358),COTAÇÃO,5,FALSE),VLOOKUP($C4358,DESON!$A:$D,4,))</f>
        <v>26,54</v>
      </c>
      <c r="J4358" s="209">
        <f>TRUNC(F4358*I4358,2)</f>
        <v>53.08</v>
      </c>
    </row>
    <row r="4359" spans="1:10" ht="15" customHeight="1">
      <c r="A4359" s="208" t="s">
        <v>245</v>
      </c>
      <c r="B4359" s="241"/>
      <c r="C4359" s="1181">
        <v>88309</v>
      </c>
      <c r="D4359" s="161" t="str">
        <f>IF(B4359="SEPLAG",VLOOKUP(COMPOSIÇÕES!C4359,'MAPA COMPARATIVO'!A:B,2,FALSE),VLOOKUP(C4359,'NAO DESO'!A:B,2,0))</f>
        <v>PEDREIRO COM ENCARGOS COMPLEMENTARES</v>
      </c>
      <c r="E4359" s="241" t="str">
        <f>VLOOKUP($C4359,'NAO DESO'!$A:$D,3,)</f>
        <v>H</v>
      </c>
      <c r="F4359" s="242">
        <v>2</v>
      </c>
      <c r="G4359" s="242" t="str">
        <f>IF(B4359="SEPLAG",VLOOKUP(CONCATENATE("MEDIANA - ",C4359),COTAÇÃO,5,FALSE),VLOOKUP($C4359,'NAO DESO'!$A:$D,4,))</f>
        <v>21,10</v>
      </c>
      <c r="H4359" s="242">
        <f>TRUNC(F4359*G4359,2)</f>
        <v>42.2</v>
      </c>
      <c r="I4359" s="54" t="str">
        <f>IF(B4359="SEPLAG",VLOOKUP(CONCATENATE("MEDIANA - ",C4359),COTAÇÃO,5,FALSE),VLOOKUP($C4359,DESON!$A:$D,4,))</f>
        <v>18,86</v>
      </c>
      <c r="J4359" s="209">
        <f>TRUNC(F4359*I4359,2)</f>
        <v>37.72</v>
      </c>
    </row>
    <row r="4360" spans="1:10" ht="15" customHeight="1">
      <c r="A4360" s="208" t="s">
        <v>245</v>
      </c>
      <c r="B4360" s="241"/>
      <c r="C4360" s="1181">
        <v>88316</v>
      </c>
      <c r="D4360" s="161" t="str">
        <f>IF(B4360="SEPLAG",VLOOKUP(COMPOSIÇÕES!C4360,'MAPA COMPARATIVO'!A:B,2,FALSE),VLOOKUP(C4360,'NAO DESO'!A:B,2,0))</f>
        <v>SERVENTE COM ENCARGOS COMPLEMENTARES</v>
      </c>
      <c r="E4360" s="241" t="str">
        <f>VLOOKUP($C4360,'NAO DESO'!$A:$D,3,)</f>
        <v>H</v>
      </c>
      <c r="F4360" s="242">
        <v>2</v>
      </c>
      <c r="G4360" s="242" t="str">
        <f>IF(B4360="SEPLAG",VLOOKUP(CONCATENATE("MEDIANA - ",C4360),COTAÇÃO,5,FALSE),VLOOKUP($C4360,'NAO DESO'!$A:$D,4,))</f>
        <v>16,83</v>
      </c>
      <c r="H4360" s="242">
        <f>TRUNC(F4360*G4360,2)</f>
        <v>33.659999999999997</v>
      </c>
      <c r="I4360" s="54" t="str">
        <f>IF(B4360="SEPLAG",VLOOKUP(CONCATENATE("MEDIANA - ",C4360),COTAÇÃO,5,FALSE),VLOOKUP($C4360,DESON!$A:$D,4,))</f>
        <v>15,16</v>
      </c>
      <c r="J4360" s="209">
        <f>TRUNC(F4360*I4360,2)</f>
        <v>30.32</v>
      </c>
    </row>
    <row r="4361" spans="1:10" ht="15" customHeight="1">
      <c r="A4361" s="210" t="str">
        <f>CONCATENATE("TOTAL DO ITEM NÃO DESON. - ",C4355)</f>
        <v>TOTAL DO ITEM NÃO DESON. - SEPLAG HIDR 18</v>
      </c>
      <c r="B4361" s="430"/>
      <c r="C4361" s="430"/>
      <c r="D4361" s="430"/>
      <c r="E4361" s="430"/>
      <c r="F4361" s="1180"/>
      <c r="G4361" s="1180"/>
      <c r="H4361" s="1182">
        <f>SUM(H4358:H4360)</f>
        <v>128.94</v>
      </c>
      <c r="I4361" s="231"/>
      <c r="J4361" s="215"/>
    </row>
    <row r="4362" spans="1:10" ht="15.75" customHeight="1" thickBot="1">
      <c r="A4362" s="216" t="str">
        <f>CONCATENATE("TOTAL DO ITEM DESON. - ",C4355)</f>
        <v>TOTAL DO ITEM DESON. - SEPLAG HIDR 18</v>
      </c>
      <c r="B4362" s="1142"/>
      <c r="C4362" s="1142"/>
      <c r="D4362" s="1142"/>
      <c r="E4362" s="1142"/>
      <c r="F4362" s="1211"/>
      <c r="G4362" s="1211"/>
      <c r="H4362" s="1187"/>
      <c r="I4362" s="260"/>
      <c r="J4362" s="219">
        <f>SUM(J4358:J4360)</f>
        <v>121.12</v>
      </c>
    </row>
    <row r="4363" spans="1:10" ht="15" customHeight="1" thickBot="1">
      <c r="A4363" s="472"/>
      <c r="B4363" s="1157"/>
      <c r="C4363" s="1157"/>
      <c r="D4363" s="1157"/>
      <c r="E4363" s="1157"/>
      <c r="F4363" s="1232"/>
      <c r="G4363" s="1232"/>
      <c r="H4363" s="1233"/>
      <c r="I4363" s="422"/>
      <c r="J4363" s="462"/>
    </row>
    <row r="4364" spans="1:10" ht="38.25" customHeight="1">
      <c r="A4364" s="256"/>
      <c r="B4364" s="1152"/>
      <c r="C4364" s="1176" t="s">
        <v>7490</v>
      </c>
      <c r="D4364" s="156" t="s">
        <v>27948</v>
      </c>
      <c r="E4364" s="1176" t="s">
        <v>24</v>
      </c>
      <c r="F4364" s="1177" t="s">
        <v>18</v>
      </c>
      <c r="G4364" s="1178" t="s">
        <v>7015</v>
      </c>
      <c r="H4364" s="1179"/>
      <c r="I4364" s="200" t="s">
        <v>7016</v>
      </c>
      <c r="J4364" s="201"/>
    </row>
    <row r="4365" spans="1:10" ht="15" customHeight="1">
      <c r="A4365" s="257"/>
      <c r="B4365" s="430"/>
      <c r="C4365" s="1155"/>
      <c r="D4365" s="157"/>
      <c r="E4365" s="1155"/>
      <c r="F4365" s="1180"/>
      <c r="G4365" s="1180" t="s">
        <v>19</v>
      </c>
      <c r="H4365" s="1180" t="s">
        <v>20</v>
      </c>
      <c r="I4365" s="204" t="s">
        <v>19</v>
      </c>
      <c r="J4365" s="206" t="s">
        <v>20</v>
      </c>
    </row>
    <row r="4366" spans="1:10" ht="15" customHeight="1">
      <c r="A4366" s="258"/>
      <c r="B4366" s="1155"/>
      <c r="C4366" s="1155"/>
      <c r="D4366" s="157"/>
      <c r="E4366" s="1155"/>
      <c r="F4366" s="1180"/>
      <c r="G4366" s="1180"/>
      <c r="H4366" s="1180"/>
      <c r="I4366" s="238"/>
      <c r="J4366" s="259"/>
    </row>
    <row r="4367" spans="1:10" ht="39" customHeight="1">
      <c r="A4367" s="208" t="s">
        <v>245</v>
      </c>
      <c r="B4367" s="241"/>
      <c r="C4367" s="1181">
        <v>101159</v>
      </c>
      <c r="D4367" s="161" t="str">
        <f>IF(B4367="SEPLAG",VLOOKUP(COMPOSIÇÕES!C4367,'MAPA COMPARATIVO'!A:B,2,FALSE),VLOOKUP(C4367,'NAO DESO'!A:B,2,0))</f>
        <v>ALVENARIA DE VEDAÇÃO DE BLOCOS CERÂMICOS MACIÇOS DE 5X10X20CM (ESPESSURA 10CM) E ARGAMASSA DE ASSENTAMENTO COM PREPARO EM BETONEIRA. AF_05/2020</v>
      </c>
      <c r="E4367" s="241" t="str">
        <f>VLOOKUP($C4367,'NAO DESO'!$A:$D,3,)</f>
        <v>M2</v>
      </c>
      <c r="F4367" s="242">
        <v>1.1200000000000001</v>
      </c>
      <c r="G4367" s="242" t="str">
        <f>IF(B4367="SEPLAG",VLOOKUP(CONCATENATE("MEDIANA - ",C4367),COTAÇÃO,5,FALSE),VLOOKUP($C4367,'NAO DESO'!$A:$D,4,))</f>
        <v>126,63</v>
      </c>
      <c r="H4367" s="242">
        <f t="shared" ref="H4367:H4379" si="230">TRUNC(F4367*G4367,2)</f>
        <v>141.82</v>
      </c>
      <c r="I4367" s="54" t="str">
        <f>IF(B4367="SEPLAG",VLOOKUP(CONCATENATE("MEDIANA - ",C4367),COTAÇÃO,5,FALSE),VLOOKUP($C4367,DESON!$A:$D,4,))</f>
        <v>120,46</v>
      </c>
      <c r="J4367" s="209">
        <f t="shared" ref="J4367:J4379" si="231">TRUNC(F4367*I4367,2)</f>
        <v>134.91</v>
      </c>
    </row>
    <row r="4368" spans="1:10" ht="64.5" customHeight="1">
      <c r="A4368" s="208" t="s">
        <v>245</v>
      </c>
      <c r="B4368" s="241"/>
      <c r="C4368" s="1181">
        <v>87543</v>
      </c>
      <c r="D4368" s="161" t="str">
        <f>IF(B4368="SEPLAG",VLOOKUP(COMPOSIÇÕES!C4368,'MAPA COMPARATIVO'!A:B,2,FALSE),VLOOKUP(C4368,'NAO DESO'!A:B,2,0))</f>
        <v>MASSA ÚNICA, PARA RECEBIMENTO DE PINTURA OU CERÂMICA, ARGAMASSA INDUSTRIALIZADA, PREPARO MECÂNICO, APLICADO COM EQUIPAMENTO DE MISTURA E PROJEÇÃO DE 1,5 M3/H EM FACES INTERNAS DE PAREDES, ESPESSURA DE 5MM, SEM EXECUÇÃO DE TALISCAS. AF_06/2014</v>
      </c>
      <c r="E4368" s="241" t="str">
        <f>VLOOKUP($C4368,'NAO DESO'!$A:$D,3,)</f>
        <v>M2</v>
      </c>
      <c r="F4368" s="242">
        <v>5.04</v>
      </c>
      <c r="G4368" s="242" t="str">
        <f>IF(B4368="SEPLAG",VLOOKUP(CONCATENATE("MEDIANA - ",C4368),COTAÇÃO,5,FALSE),VLOOKUP($C4368,'NAO DESO'!$A:$D,4,))</f>
        <v>24,40</v>
      </c>
      <c r="H4368" s="242">
        <f t="shared" si="230"/>
        <v>122.97</v>
      </c>
      <c r="I4368" s="54" t="str">
        <f>IF(B4368="SEPLAG",VLOOKUP(CONCATENATE("MEDIANA - ",C4368),COTAÇÃO,5,FALSE),VLOOKUP($C4368,DESON!$A:$D,4,))</f>
        <v>23,82</v>
      </c>
      <c r="J4368" s="209">
        <f t="shared" si="231"/>
        <v>120.05</v>
      </c>
    </row>
    <row r="4369" spans="1:10" ht="39" customHeight="1">
      <c r="A4369" s="208" t="s">
        <v>245</v>
      </c>
      <c r="B4369" s="241"/>
      <c r="C4369" s="1181">
        <v>94970</v>
      </c>
      <c r="D4369" s="161" t="str">
        <f>IF(B4369="SEPLAG",VLOOKUP(COMPOSIÇÕES!C4369,'MAPA COMPARATIVO'!A:B,2,FALSE),VLOOKUP(C4369,'NAO DESO'!A:B,2,0))</f>
        <v>CONCRETO FCK = 20MPA, TRAÇO 1:2,7:3 (EM MASSA SECA DE CIMENTO/ AREIA MÉDIA/ BRITA 1) - PREPARO MECÂNICO COM BETONEIRA 600 L. AF_05/2021</v>
      </c>
      <c r="E4369" s="241" t="str">
        <f>VLOOKUP($C4369,'NAO DESO'!$A:$D,3,)</f>
        <v>M3</v>
      </c>
      <c r="F4369" s="242">
        <v>0.09</v>
      </c>
      <c r="G4369" s="242" t="str">
        <f>IF(B4369="SEPLAG",VLOOKUP(CONCATENATE("MEDIANA - ",C4369),COTAÇÃO,5,FALSE),VLOOKUP($C4369,'NAO DESO'!$A:$D,4,))</f>
        <v>405,57</v>
      </c>
      <c r="H4369" s="242">
        <f t="shared" si="230"/>
        <v>36.5</v>
      </c>
      <c r="I4369" s="54" t="str">
        <f>IF(B4369="SEPLAG",VLOOKUP(CONCATENATE("MEDIANA - ",C4369),COTAÇÃO,5,FALSE),VLOOKUP($C4369,DESON!$A:$D,4,))</f>
        <v>400,17</v>
      </c>
      <c r="J4369" s="209">
        <f t="shared" si="231"/>
        <v>36.01</v>
      </c>
    </row>
    <row r="4370" spans="1:10" ht="26.25" customHeight="1">
      <c r="A4370" s="208" t="s">
        <v>245</v>
      </c>
      <c r="B4370" s="241"/>
      <c r="C4370" s="1181">
        <v>93358</v>
      </c>
      <c r="D4370" s="161" t="str">
        <f>IF(B4370="SEPLAG",VLOOKUP(COMPOSIÇÕES!C4370,'MAPA COMPARATIVO'!A:B,2,FALSE),VLOOKUP(C4370,'NAO DESO'!A:B,2,0))</f>
        <v>ESCAVAÇÃO MANUAL DE VALA COM PROFUNDIDADE MENOR OU IGUAL A 1,30 M. AF_02/2021</v>
      </c>
      <c r="E4370" s="241" t="str">
        <f>VLOOKUP($C4370,'NAO DESO'!$A:$D,3,)</f>
        <v>M3</v>
      </c>
      <c r="F4370" s="242">
        <v>1.41</v>
      </c>
      <c r="G4370" s="242" t="str">
        <f>IF(B4370="SEPLAG",VLOOKUP(CONCATENATE("MEDIANA - ",C4370),COTAÇÃO,5,FALSE),VLOOKUP($C4370,'NAO DESO'!$A:$D,4,))</f>
        <v>66,57</v>
      </c>
      <c r="H4370" s="242">
        <f t="shared" si="230"/>
        <v>93.86</v>
      </c>
      <c r="I4370" s="54" t="str">
        <f>IF(B4370="SEPLAG",VLOOKUP(CONCATENATE("MEDIANA - ",C4370),COTAÇÃO,5,FALSE),VLOOKUP($C4370,DESON!$A:$D,4,))</f>
        <v>59,97</v>
      </c>
      <c r="J4370" s="209">
        <f t="shared" si="231"/>
        <v>84.55</v>
      </c>
    </row>
    <row r="4371" spans="1:10" ht="26.25" customHeight="1">
      <c r="A4371" s="208" t="s">
        <v>245</v>
      </c>
      <c r="B4371" s="241"/>
      <c r="C4371" s="1181">
        <v>101617</v>
      </c>
      <c r="D4371" s="161" t="str">
        <f>IF(B4371="SEPLAG",VLOOKUP(COMPOSIÇÕES!C4371,'MAPA COMPARATIVO'!A:B,2,FALSE),VLOOKUP(C4371,'NAO DESO'!A:B,2,0))</f>
        <v>PREPARO DE FUNDO DE VALA COM LARGURA MAIOR OU IGUAL A 1,5 M E MENOR QUE 2,5 M (ACERTO DO SOLO NATURAL). AF_08/2020</v>
      </c>
      <c r="E4371" s="241" t="str">
        <f>VLOOKUP($C4371,'NAO DESO'!$A:$D,3,)</f>
        <v>M2</v>
      </c>
      <c r="F4371" s="242">
        <v>0.64</v>
      </c>
      <c r="G4371" s="242" t="str">
        <f>IF(B4371="SEPLAG",VLOOKUP(CONCATENATE("MEDIANA - ",C4371),COTAÇÃO,5,FALSE),VLOOKUP($C4371,'NAO DESO'!$A:$D,4,))</f>
        <v>2,38</v>
      </c>
      <c r="H4371" s="242">
        <f t="shared" si="230"/>
        <v>1.52</v>
      </c>
      <c r="I4371" s="54" t="str">
        <f>IF(B4371="SEPLAG",VLOOKUP(CONCATENATE("MEDIANA - ",C4371),COTAÇÃO,5,FALSE),VLOOKUP($C4371,DESON!$A:$D,4,))</f>
        <v>2,15</v>
      </c>
      <c r="J4371" s="209">
        <f t="shared" si="231"/>
        <v>1.37</v>
      </c>
    </row>
    <row r="4372" spans="1:10" ht="15" customHeight="1">
      <c r="A4372" s="208" t="s">
        <v>245</v>
      </c>
      <c r="B4372" s="241"/>
      <c r="C4372" s="1181">
        <v>96995</v>
      </c>
      <c r="D4372" s="161" t="str">
        <f>IF(B4372="SEPLAG",VLOOKUP(COMPOSIÇÕES!C4372,'MAPA COMPARATIVO'!A:B,2,FALSE),VLOOKUP(C4372,'NAO DESO'!A:B,2,0))</f>
        <v>REATERRO MANUAL APILOADO COM SOQUETE. AF_10/2017</v>
      </c>
      <c r="E4372" s="241" t="str">
        <f>VLOOKUP($C4372,'NAO DESO'!$A:$D,3,)</f>
        <v>M3</v>
      </c>
      <c r="F4372" s="242">
        <v>1.1499999999999999</v>
      </c>
      <c r="G4372" s="242" t="str">
        <f>IF(B4372="SEPLAG",VLOOKUP(CONCATENATE("MEDIANA - ",C4372),COTAÇÃO,5,FALSE),VLOOKUP($C4372,'NAO DESO'!$A:$D,4,))</f>
        <v>40,36</v>
      </c>
      <c r="H4372" s="242">
        <f t="shared" si="230"/>
        <v>46.41</v>
      </c>
      <c r="I4372" s="54" t="str">
        <f>IF(B4372="SEPLAG",VLOOKUP(CONCATENATE("MEDIANA - ",C4372),COTAÇÃO,5,FALSE),VLOOKUP($C4372,DESON!$A:$D,4,))</f>
        <v>36,36</v>
      </c>
      <c r="J4372" s="209">
        <f t="shared" si="231"/>
        <v>41.81</v>
      </c>
    </row>
    <row r="4373" spans="1:10" ht="26.25" customHeight="1">
      <c r="A4373" s="208" t="s">
        <v>245</v>
      </c>
      <c r="B4373" s="241"/>
      <c r="C4373" s="1181">
        <v>98557</v>
      </c>
      <c r="D4373" s="161" t="str">
        <f>IF(B4373="SEPLAG",VLOOKUP(COMPOSIÇÕES!C4373,'MAPA COMPARATIVO'!A:B,2,FALSE),VLOOKUP(C4373,'NAO DESO'!A:B,2,0))</f>
        <v>IMPERMEABILIZAÇÃO DE SUPERFÍCIE COM EMULSÃO ASFÁLTICA, 2 DEMÃOS AF_06/2018</v>
      </c>
      <c r="E4373" s="241" t="str">
        <f>VLOOKUP($C4373,'NAO DESO'!$A:$D,3,)</f>
        <v>M2</v>
      </c>
      <c r="F4373" s="242">
        <f>F4368</f>
        <v>5.04</v>
      </c>
      <c r="G4373" s="242" t="str">
        <f>IF(B4373="SEPLAG",VLOOKUP(CONCATENATE("MEDIANA - ",C4373),COTAÇÃO,5,FALSE),VLOOKUP($C4373,'NAO DESO'!$A:$D,4,))</f>
        <v>58,82</v>
      </c>
      <c r="H4373" s="242">
        <f t="shared" si="230"/>
        <v>296.45</v>
      </c>
      <c r="I4373" s="54" t="str">
        <f>IF(B4373="SEPLAG",VLOOKUP(CONCATENATE("MEDIANA - ",C4373),COTAÇÃO,5,FALSE),VLOOKUP($C4373,DESON!$A:$D,4,))</f>
        <v>57,84</v>
      </c>
      <c r="J4373" s="209">
        <f t="shared" si="231"/>
        <v>291.51</v>
      </c>
    </row>
    <row r="4374" spans="1:10" ht="26.25" customHeight="1">
      <c r="A4374" s="208" t="s">
        <v>245</v>
      </c>
      <c r="B4374" s="241"/>
      <c r="C4374" s="1181">
        <v>11301</v>
      </c>
      <c r="D4374" s="161" t="str">
        <f>IF(B4374="SEPLAG",VLOOKUP(COMPOSIÇÕES!C4374,'MAPA COMPARATIVO'!A:B,2,FALSE),VLOOKUP(C4374,'NAO DESO'!A:B,2,0))</f>
        <v>TAMPAO FOFO ARTICULADO, CLASSE B125 CARGA MAX 12,5 T, REDONDO, TAMPA 600 MM (COM INSCRICAO EM RELEVO DO TIPO DE REDE)</v>
      </c>
      <c r="E4374" s="241" t="str">
        <f>VLOOKUP($C4374,'NAO DESO'!$A:$D,3,)</f>
        <v xml:space="preserve">UN    </v>
      </c>
      <c r="F4374" s="242">
        <v>1</v>
      </c>
      <c r="G4374" s="242">
        <f>IF(B4374="SEPLAG",VLOOKUP(CONCATENATE("MEDIANA - ",C4374),COTAÇÃO,5,FALSE),VLOOKUP($C4374,'NAO DESO'!$A:$D,4,))</f>
        <v>660.46</v>
      </c>
      <c r="H4374" s="242">
        <f t="shared" si="230"/>
        <v>660.46</v>
      </c>
      <c r="I4374" s="54" t="str">
        <f>IF(B4374="SEPLAG",VLOOKUP(CONCATENATE("MEDIANA - ",C4374),COTAÇÃO,5,FALSE),VLOOKUP($C4374,DESON!$A:$D,4,))</f>
        <v>660,46</v>
      </c>
      <c r="J4374" s="209">
        <f t="shared" si="231"/>
        <v>660.46</v>
      </c>
    </row>
    <row r="4375" spans="1:10" ht="39" customHeight="1">
      <c r="A4375" s="208" t="s">
        <v>245</v>
      </c>
      <c r="B4375" s="241"/>
      <c r="C4375" s="1181">
        <v>92775</v>
      </c>
      <c r="D4375" s="161" t="str">
        <f>IF(B4375="SEPLAG",VLOOKUP(COMPOSIÇÕES!C4375,'MAPA COMPARATIVO'!A:B,2,FALSE),VLOOKUP(C4375,'NAO DESO'!A:B,2,0))</f>
        <v>ARMAÇÃO DE PILAR OU VIGA DE UMA ESTRUTURA CONVENCIONAL DE CONCRETO ARMADO EM UMA EDIFICAÇÃO TÉRREA OU SOBRADO UTILIZANDO AÇO CA-60 DE 5,0 MM - MONTAGEM. AF_12/2015</v>
      </c>
      <c r="E4375" s="241" t="str">
        <f>VLOOKUP($C4375,'NAO DESO'!$A:$D,3,)</f>
        <v>KG</v>
      </c>
      <c r="F4375" s="242">
        <v>1.29</v>
      </c>
      <c r="G4375" s="242" t="str">
        <f>IF(B4375="SEPLAG",VLOOKUP(CONCATENATE("MEDIANA - ",C4375),COTAÇÃO,5,FALSE),VLOOKUP($C4375,'NAO DESO'!$A:$D,4,))</f>
        <v>18,46</v>
      </c>
      <c r="H4375" s="242">
        <f t="shared" si="230"/>
        <v>23.81</v>
      </c>
      <c r="I4375" s="54" t="str">
        <f>IF(B4375="SEPLAG",VLOOKUP(CONCATENATE("MEDIANA - ",C4375),COTAÇÃO,5,FALSE),VLOOKUP($C4375,DESON!$A:$D,4,))</f>
        <v>17,71</v>
      </c>
      <c r="J4375" s="209">
        <f t="shared" si="231"/>
        <v>22.84</v>
      </c>
    </row>
    <row r="4376" spans="1:10" ht="39" customHeight="1">
      <c r="A4376" s="208" t="s">
        <v>245</v>
      </c>
      <c r="B4376" s="241"/>
      <c r="C4376" s="1181">
        <v>92778</v>
      </c>
      <c r="D4376" s="161" t="str">
        <f>IF(B4376="SEPLAG",VLOOKUP(COMPOSIÇÕES!C4376,'MAPA COMPARATIVO'!A:B,2,FALSE),VLOOKUP(C4376,'NAO DESO'!A:B,2,0))</f>
        <v>ARMAÇÃO DE PILAR OU VIGA DE UMA ESTRUTURA CONVENCIONAL DE CONCRETO ARMADO EM UMA EDIFICAÇÃO TÉRREA OU SOBRADO UTILIZANDO AÇO CA-50 DE 10,0 MM - MONTAGEM. AF_12/2015</v>
      </c>
      <c r="E4376" s="241" t="str">
        <f>VLOOKUP($C4376,'NAO DESO'!$A:$D,3,)</f>
        <v>KG</v>
      </c>
      <c r="F4376" s="242">
        <v>6.91</v>
      </c>
      <c r="G4376" s="242" t="str">
        <f>IF(B4376="SEPLAG",VLOOKUP(CONCATENATE("MEDIANA - ",C4376),COTAÇÃO,5,FALSE),VLOOKUP($C4376,'NAO DESO'!$A:$D,4,))</f>
        <v>14,78</v>
      </c>
      <c r="H4376" s="242">
        <f t="shared" si="230"/>
        <v>102.12</v>
      </c>
      <c r="I4376" s="54" t="str">
        <f>IF(B4376="SEPLAG",VLOOKUP(CONCATENATE("MEDIANA - ",C4376),COTAÇÃO,5,FALSE),VLOOKUP($C4376,DESON!$A:$D,4,))</f>
        <v>14,50</v>
      </c>
      <c r="J4376" s="209">
        <f t="shared" si="231"/>
        <v>100.19</v>
      </c>
    </row>
    <row r="4377" spans="1:10" ht="39" customHeight="1">
      <c r="A4377" s="208" t="s">
        <v>245</v>
      </c>
      <c r="B4377" s="241"/>
      <c r="C4377" s="1181">
        <v>92423</v>
      </c>
      <c r="D4377" s="161" t="str">
        <f>IF(B4377="SEPLAG",VLOOKUP(COMPOSIÇÕES!C4377,'MAPA COMPARATIVO'!A:B,2,FALSE),VLOOKUP(C4377,'NAO DESO'!A:B,2,0))</f>
        <v>MONTAGEM E DESMONTAGEM DE FÔRMA DE PILARES RETANGULARES E ESTRUTURAS SIMILARES, PÉ-DIREITO SIMPLES, EM CHAPA DE MADEIRA COMPENSADA RESINADA, 6 UTILIZAÇÕES. AF_09/2020</v>
      </c>
      <c r="E4377" s="241" t="str">
        <f>VLOOKUP($C4377,'NAO DESO'!$A:$D,3,)</f>
        <v>M2</v>
      </c>
      <c r="F4377" s="242">
        <v>0.84</v>
      </c>
      <c r="G4377" s="242" t="str">
        <f>IF(B4377="SEPLAG",VLOOKUP(CONCATENATE("MEDIANA - ",C4377),COTAÇÃO,5,FALSE),VLOOKUP($C4377,'NAO DESO'!$A:$D,4,))</f>
        <v>67,90</v>
      </c>
      <c r="H4377" s="242">
        <f t="shared" si="230"/>
        <v>57.03</v>
      </c>
      <c r="I4377" s="54" t="str">
        <f>IF(B4377="SEPLAG",VLOOKUP(CONCATENATE("MEDIANA - ",C4377),COTAÇÃO,5,FALSE),VLOOKUP($C4377,DESON!$A:$D,4,))</f>
        <v>65,30</v>
      </c>
      <c r="J4377" s="209">
        <f t="shared" si="231"/>
        <v>54.85</v>
      </c>
    </row>
    <row r="4378" spans="1:10" ht="15" customHeight="1">
      <c r="A4378" s="208" t="s">
        <v>245</v>
      </c>
      <c r="B4378" s="241"/>
      <c r="C4378" s="1181">
        <v>88309</v>
      </c>
      <c r="D4378" s="161" t="str">
        <f>IF(B4378="SEPLAG",VLOOKUP(COMPOSIÇÕES!C4378,'MAPA COMPARATIVO'!A:B,2,FALSE),VLOOKUP(C4378,'NAO DESO'!A:B,2,0))</f>
        <v>PEDREIRO COM ENCARGOS COMPLEMENTARES</v>
      </c>
      <c r="E4378" s="241" t="str">
        <f>VLOOKUP($C4378,'NAO DESO'!$A:$D,3,)</f>
        <v>H</v>
      </c>
      <c r="F4378" s="242">
        <v>1</v>
      </c>
      <c r="G4378" s="242" t="str">
        <f>IF(B4378="SEPLAG",VLOOKUP(CONCATENATE("MEDIANA - ",C4378),COTAÇÃO,5,FALSE),VLOOKUP($C4378,'NAO DESO'!$A:$D,4,))</f>
        <v>21,10</v>
      </c>
      <c r="H4378" s="242">
        <f t="shared" si="230"/>
        <v>21.1</v>
      </c>
      <c r="I4378" s="54" t="str">
        <f>IF(B4378="SEPLAG",VLOOKUP(CONCATENATE("MEDIANA - ",C4378),COTAÇÃO,5,FALSE),VLOOKUP($C4378,DESON!$A:$D,4,))</f>
        <v>18,86</v>
      </c>
      <c r="J4378" s="209">
        <f t="shared" si="231"/>
        <v>18.86</v>
      </c>
    </row>
    <row r="4379" spans="1:10" ht="15" customHeight="1">
      <c r="A4379" s="208" t="s">
        <v>245</v>
      </c>
      <c r="B4379" s="241"/>
      <c r="C4379" s="1181">
        <v>88316</v>
      </c>
      <c r="D4379" s="161" t="str">
        <f>IF(B4379="SEPLAG",VLOOKUP(COMPOSIÇÕES!C4379,'MAPA COMPARATIVO'!A:B,2,FALSE),VLOOKUP(C4379,'NAO DESO'!A:B,2,0))</f>
        <v>SERVENTE COM ENCARGOS COMPLEMENTARES</v>
      </c>
      <c r="E4379" s="241" t="str">
        <f>VLOOKUP($C4379,'NAO DESO'!$A:$D,3,)</f>
        <v>H</v>
      </c>
      <c r="F4379" s="242">
        <v>1</v>
      </c>
      <c r="G4379" s="242" t="str">
        <f>IF(B4379="SEPLAG",VLOOKUP(CONCATENATE("MEDIANA - ",C4379),COTAÇÃO,5,FALSE),VLOOKUP($C4379,'NAO DESO'!$A:$D,4,))</f>
        <v>16,83</v>
      </c>
      <c r="H4379" s="242">
        <f t="shared" si="230"/>
        <v>16.829999999999998</v>
      </c>
      <c r="I4379" s="54" t="str">
        <f>IF(B4379="SEPLAG",VLOOKUP(CONCATENATE("MEDIANA - ",C4379),COTAÇÃO,5,FALSE),VLOOKUP($C4379,DESON!$A:$D,4,))</f>
        <v>15,16</v>
      </c>
      <c r="J4379" s="209">
        <f t="shared" si="231"/>
        <v>15.16</v>
      </c>
    </row>
    <row r="4380" spans="1:10" ht="15" customHeight="1">
      <c r="A4380" s="210" t="str">
        <f>CONCATENATE("TOTAL DO ITEM NÃO DESON. - ",C4364)</f>
        <v>TOTAL DO ITEM NÃO DESON. - SEPLAG HIDR 19</v>
      </c>
      <c r="B4380" s="430"/>
      <c r="C4380" s="430"/>
      <c r="D4380" s="430"/>
      <c r="E4380" s="430"/>
      <c r="F4380" s="1180"/>
      <c r="G4380" s="1180"/>
      <c r="H4380" s="1182">
        <f>SUM(H4367:H4379)</f>
        <v>1620.8799999999999</v>
      </c>
      <c r="I4380" s="231"/>
      <c r="J4380" s="215"/>
    </row>
    <row r="4381" spans="1:10" ht="15.75" customHeight="1" thickBot="1">
      <c r="A4381" s="216" t="str">
        <f>CONCATENATE("TOTAL DO ITEM DESON. - ",C4364)</f>
        <v>TOTAL DO ITEM DESON. - SEPLAG HIDR 19</v>
      </c>
      <c r="B4381" s="1142"/>
      <c r="C4381" s="1142"/>
      <c r="D4381" s="1142"/>
      <c r="E4381" s="1142"/>
      <c r="F4381" s="1211"/>
      <c r="G4381" s="1211"/>
      <c r="H4381" s="1187"/>
      <c r="I4381" s="260"/>
      <c r="J4381" s="219">
        <f>SUM(J4367:J4379)</f>
        <v>1582.57</v>
      </c>
    </row>
    <row r="4382" spans="1:10" ht="15" customHeight="1" thickBot="1">
      <c r="A4382" s="421"/>
      <c r="B4382" s="1138"/>
      <c r="C4382" s="1138"/>
      <c r="D4382" s="1138"/>
      <c r="E4382" s="1154"/>
      <c r="F4382" s="1196"/>
      <c r="G4382" s="1196"/>
      <c r="H4382" s="1196"/>
      <c r="I4382" s="422"/>
      <c r="J4382" s="422"/>
    </row>
    <row r="4383" spans="1:10" ht="38.25" customHeight="1">
      <c r="A4383" s="256"/>
      <c r="B4383" s="1152"/>
      <c r="C4383" s="1176" t="s">
        <v>7491</v>
      </c>
      <c r="D4383" s="156" t="s">
        <v>27949</v>
      </c>
      <c r="E4383" s="1176" t="s">
        <v>24</v>
      </c>
      <c r="F4383" s="1177" t="s">
        <v>18</v>
      </c>
      <c r="G4383" s="1178" t="s">
        <v>7015</v>
      </c>
      <c r="H4383" s="1179"/>
      <c r="I4383" s="200" t="s">
        <v>7016</v>
      </c>
      <c r="J4383" s="201"/>
    </row>
    <row r="4384" spans="1:10" ht="15" customHeight="1">
      <c r="A4384" s="257"/>
      <c r="B4384" s="430"/>
      <c r="C4384" s="1155"/>
      <c r="D4384" s="157"/>
      <c r="E4384" s="1155"/>
      <c r="F4384" s="1180"/>
      <c r="G4384" s="1180" t="s">
        <v>19</v>
      </c>
      <c r="H4384" s="1180" t="s">
        <v>20</v>
      </c>
      <c r="I4384" s="204" t="s">
        <v>19</v>
      </c>
      <c r="J4384" s="206" t="s">
        <v>20</v>
      </c>
    </row>
    <row r="4385" spans="1:10" ht="15" customHeight="1">
      <c r="A4385" s="258"/>
      <c r="B4385" s="1155"/>
      <c r="C4385" s="1155"/>
      <c r="D4385" s="157"/>
      <c r="E4385" s="1155"/>
      <c r="F4385" s="1180"/>
      <c r="G4385" s="1180"/>
      <c r="H4385" s="1180"/>
      <c r="I4385" s="238"/>
      <c r="J4385" s="259"/>
    </row>
    <row r="4386" spans="1:10" ht="39" customHeight="1">
      <c r="A4386" s="208" t="s">
        <v>245</v>
      </c>
      <c r="B4386" s="241"/>
      <c r="C4386" s="1181">
        <v>101159</v>
      </c>
      <c r="D4386" s="161" t="str">
        <f>IF(B4386="SEPLAG",VLOOKUP(COMPOSIÇÕES!C4386,'MAPA COMPARATIVO'!A:B,2,FALSE),VLOOKUP(C4386,'NAO DESO'!A:B,2,0))</f>
        <v>ALVENARIA DE VEDAÇÃO DE BLOCOS CERÂMICOS MACIÇOS DE 5X10X20CM (ESPESSURA 10CM) E ARGAMASSA DE ASSENTAMENTO COM PREPARO EM BETONEIRA. AF_05/2020</v>
      </c>
      <c r="E4386" s="241" t="str">
        <f>VLOOKUP($C4386,'NAO DESO'!$A:$D,3,)</f>
        <v>M2</v>
      </c>
      <c r="F4386" s="242">
        <v>1.4</v>
      </c>
      <c r="G4386" s="242" t="str">
        <f>IF(B4386="SEPLAG",VLOOKUP(CONCATENATE("MEDIANA - ",C4386),COTAÇÃO,5,FALSE),VLOOKUP($C4386,'NAO DESO'!$A:$D,4,))</f>
        <v>126,63</v>
      </c>
      <c r="H4386" s="242">
        <f t="shared" ref="H4386:H4398" si="232">TRUNC(F4386*G4386,2)</f>
        <v>177.28</v>
      </c>
      <c r="I4386" s="54" t="str">
        <f>IF(B4386="SEPLAG",VLOOKUP(CONCATENATE("MEDIANA - ",C4386),COTAÇÃO,5,FALSE),VLOOKUP($C4386,DESON!$A:$D,4,))</f>
        <v>120,46</v>
      </c>
      <c r="J4386" s="209">
        <f t="shared" ref="J4386:J4398" si="233">TRUNC(F4386*I4386,2)</f>
        <v>168.64</v>
      </c>
    </row>
    <row r="4387" spans="1:10" ht="64.5" customHeight="1">
      <c r="A4387" s="208" t="s">
        <v>245</v>
      </c>
      <c r="B4387" s="241"/>
      <c r="C4387" s="1181">
        <v>87543</v>
      </c>
      <c r="D4387" s="161" t="str">
        <f>IF(B4387="SEPLAG",VLOOKUP(COMPOSIÇÕES!C4387,'MAPA COMPARATIVO'!A:B,2,FALSE),VLOOKUP(C4387,'NAO DESO'!A:B,2,0))</f>
        <v>MASSA ÚNICA, PARA RECEBIMENTO DE PINTURA OU CERÂMICA, ARGAMASSA INDUSTRIALIZADA, PREPARO MECÂNICO, APLICADO COM EQUIPAMENTO DE MISTURA E PROJEÇÃO DE 1,5 M3/H EM FACES INTERNAS DE PAREDES, ESPESSURA DE 5MM, SEM EXECUÇÃO DE TALISCAS. AF_06/2014</v>
      </c>
      <c r="E4387" s="241" t="str">
        <f>VLOOKUP($C4387,'NAO DESO'!$A:$D,3,)</f>
        <v>M2</v>
      </c>
      <c r="F4387" s="242">
        <v>5.6</v>
      </c>
      <c r="G4387" s="242" t="str">
        <f>IF(B4387="SEPLAG",VLOOKUP(CONCATENATE("MEDIANA - ",C4387),COTAÇÃO,5,FALSE),VLOOKUP($C4387,'NAO DESO'!$A:$D,4,))</f>
        <v>24,40</v>
      </c>
      <c r="H4387" s="242">
        <f t="shared" si="232"/>
        <v>136.63999999999999</v>
      </c>
      <c r="I4387" s="54" t="str">
        <f>IF(B4387="SEPLAG",VLOOKUP(CONCATENATE("MEDIANA - ",C4387),COTAÇÃO,5,FALSE),VLOOKUP($C4387,DESON!$A:$D,4,))</f>
        <v>23,82</v>
      </c>
      <c r="J4387" s="209">
        <f t="shared" si="233"/>
        <v>133.38999999999999</v>
      </c>
    </row>
    <row r="4388" spans="1:10" ht="39" customHeight="1">
      <c r="A4388" s="208" t="s">
        <v>245</v>
      </c>
      <c r="B4388" s="241"/>
      <c r="C4388" s="1181">
        <v>94970</v>
      </c>
      <c r="D4388" s="161" t="str">
        <f>IF(B4388="SEPLAG",VLOOKUP(COMPOSIÇÕES!C4388,'MAPA COMPARATIVO'!A:B,2,FALSE),VLOOKUP(C4388,'NAO DESO'!A:B,2,0))</f>
        <v>CONCRETO FCK = 20MPA, TRAÇO 1:2,7:3 (EM MASSA SECA DE CIMENTO/ AREIA MÉDIA/ BRITA 1) - PREPARO MECÂNICO COM BETONEIRA 600 L. AF_05/2021</v>
      </c>
      <c r="E4388" s="241" t="str">
        <f>VLOOKUP($C4388,'NAO DESO'!$A:$D,3,)</f>
        <v>M3</v>
      </c>
      <c r="F4388" s="242">
        <v>0.09</v>
      </c>
      <c r="G4388" s="242" t="str">
        <f>IF(B4388="SEPLAG",VLOOKUP(CONCATENATE("MEDIANA - ",C4388),COTAÇÃO,5,FALSE),VLOOKUP($C4388,'NAO DESO'!$A:$D,4,))</f>
        <v>405,57</v>
      </c>
      <c r="H4388" s="242">
        <f t="shared" si="232"/>
        <v>36.5</v>
      </c>
      <c r="I4388" s="54" t="str">
        <f>IF(B4388="SEPLAG",VLOOKUP(CONCATENATE("MEDIANA - ",C4388),COTAÇÃO,5,FALSE),VLOOKUP($C4388,DESON!$A:$D,4,))</f>
        <v>400,17</v>
      </c>
      <c r="J4388" s="209">
        <f t="shared" si="233"/>
        <v>36.01</v>
      </c>
    </row>
    <row r="4389" spans="1:10" ht="26.25" customHeight="1">
      <c r="A4389" s="208" t="s">
        <v>245</v>
      </c>
      <c r="B4389" s="241"/>
      <c r="C4389" s="1181">
        <v>93358</v>
      </c>
      <c r="D4389" s="161" t="str">
        <f>IF(B4389="SEPLAG",VLOOKUP(COMPOSIÇÕES!C4389,'MAPA COMPARATIVO'!A:B,2,FALSE),VLOOKUP(C4389,'NAO DESO'!A:B,2,0))</f>
        <v>ESCAVAÇÃO MANUAL DE VALA COM PROFUNDIDADE MENOR OU IGUAL A 1,30 M. AF_02/2021</v>
      </c>
      <c r="E4389" s="241" t="str">
        <f>VLOOKUP($C4389,'NAO DESO'!$A:$D,3,)</f>
        <v>M3</v>
      </c>
      <c r="F4389" s="242">
        <v>1.66</v>
      </c>
      <c r="G4389" s="242" t="str">
        <f>IF(B4389="SEPLAG",VLOOKUP(CONCATENATE("MEDIANA - ",C4389),COTAÇÃO,5,FALSE),VLOOKUP($C4389,'NAO DESO'!$A:$D,4,))</f>
        <v>66,57</v>
      </c>
      <c r="H4389" s="242">
        <f t="shared" si="232"/>
        <v>110.5</v>
      </c>
      <c r="I4389" s="54" t="str">
        <f>IF(B4389="SEPLAG",VLOOKUP(CONCATENATE("MEDIANA - ",C4389),COTAÇÃO,5,FALSE),VLOOKUP($C4389,DESON!$A:$D,4,))</f>
        <v>59,97</v>
      </c>
      <c r="J4389" s="209">
        <f t="shared" si="233"/>
        <v>99.55</v>
      </c>
    </row>
    <row r="4390" spans="1:10" ht="26.25" customHeight="1">
      <c r="A4390" s="208" t="s">
        <v>245</v>
      </c>
      <c r="B4390" s="241"/>
      <c r="C4390" s="1181">
        <v>101617</v>
      </c>
      <c r="D4390" s="161" t="str">
        <f>IF(B4390="SEPLAG",VLOOKUP(COMPOSIÇÕES!C4390,'MAPA COMPARATIVO'!A:B,2,FALSE),VLOOKUP(C4390,'NAO DESO'!A:B,2,0))</f>
        <v>PREPARO DE FUNDO DE VALA COM LARGURA MAIOR OU IGUAL A 1,5 M E MENOR QUE 2,5 M (ACERTO DO SOLO NATURAL). AF_08/2020</v>
      </c>
      <c r="E4390" s="241" t="str">
        <f>VLOOKUP($C4390,'NAO DESO'!$A:$D,3,)</f>
        <v>M2</v>
      </c>
      <c r="F4390" s="242">
        <v>0.64</v>
      </c>
      <c r="G4390" s="242" t="str">
        <f>IF(B4390="SEPLAG",VLOOKUP(CONCATENATE("MEDIANA - ",C4390),COTAÇÃO,5,FALSE),VLOOKUP($C4390,'NAO DESO'!$A:$D,4,))</f>
        <v>2,38</v>
      </c>
      <c r="H4390" s="242">
        <f t="shared" si="232"/>
        <v>1.52</v>
      </c>
      <c r="I4390" s="54" t="str">
        <f>IF(B4390="SEPLAG",VLOOKUP(CONCATENATE("MEDIANA - ",C4390),COTAÇÃO,5,FALSE),VLOOKUP($C4390,DESON!$A:$D,4,))</f>
        <v>2,15</v>
      </c>
      <c r="J4390" s="209">
        <f t="shared" si="233"/>
        <v>1.37</v>
      </c>
    </row>
    <row r="4391" spans="1:10" ht="15" customHeight="1">
      <c r="A4391" s="208" t="s">
        <v>245</v>
      </c>
      <c r="B4391" s="241"/>
      <c r="C4391" s="1181">
        <v>96995</v>
      </c>
      <c r="D4391" s="161" t="str">
        <f>IF(B4391="SEPLAG",VLOOKUP(COMPOSIÇÕES!C4391,'MAPA COMPARATIVO'!A:B,2,FALSE),VLOOKUP(C4391,'NAO DESO'!A:B,2,0))</f>
        <v>REATERRO MANUAL APILOADO COM SOQUETE. AF_10/2017</v>
      </c>
      <c r="E4391" s="241" t="str">
        <f>VLOOKUP($C4391,'NAO DESO'!$A:$D,3,)</f>
        <v>M3</v>
      </c>
      <c r="F4391" s="242">
        <v>1.34</v>
      </c>
      <c r="G4391" s="242" t="str">
        <f>IF(B4391="SEPLAG",VLOOKUP(CONCATENATE("MEDIANA - ",C4391),COTAÇÃO,5,FALSE),VLOOKUP($C4391,'NAO DESO'!$A:$D,4,))</f>
        <v>40,36</v>
      </c>
      <c r="H4391" s="242">
        <f t="shared" si="232"/>
        <v>54.08</v>
      </c>
      <c r="I4391" s="54" t="str">
        <f>IF(B4391="SEPLAG",VLOOKUP(CONCATENATE("MEDIANA - ",C4391),COTAÇÃO,5,FALSE),VLOOKUP($C4391,DESON!$A:$D,4,))</f>
        <v>36,36</v>
      </c>
      <c r="J4391" s="209">
        <f t="shared" si="233"/>
        <v>48.72</v>
      </c>
    </row>
    <row r="4392" spans="1:10" ht="26.25" customHeight="1">
      <c r="A4392" s="208" t="s">
        <v>245</v>
      </c>
      <c r="B4392" s="241"/>
      <c r="C4392" s="1181">
        <v>98557</v>
      </c>
      <c r="D4392" s="161" t="str">
        <f>IF(B4392="SEPLAG",VLOOKUP(COMPOSIÇÕES!C4392,'MAPA COMPARATIVO'!A:B,2,FALSE),VLOOKUP(C4392,'NAO DESO'!A:B,2,0))</f>
        <v>IMPERMEABILIZAÇÃO DE SUPERFÍCIE COM EMULSÃO ASFÁLTICA, 2 DEMÃOS AF_06/2018</v>
      </c>
      <c r="E4392" s="241" t="str">
        <f>VLOOKUP($C4392,'NAO DESO'!$A:$D,3,)</f>
        <v>M2</v>
      </c>
      <c r="F4392" s="242">
        <f>F4387</f>
        <v>5.6</v>
      </c>
      <c r="G4392" s="242" t="str">
        <f>IF(B4392="SEPLAG",VLOOKUP(CONCATENATE("MEDIANA - ",C4392),COTAÇÃO,5,FALSE),VLOOKUP($C4392,'NAO DESO'!$A:$D,4,))</f>
        <v>58,82</v>
      </c>
      <c r="H4392" s="242">
        <f t="shared" si="232"/>
        <v>329.39</v>
      </c>
      <c r="I4392" s="54" t="str">
        <f>IF(B4392="SEPLAG",VLOOKUP(CONCATENATE("MEDIANA - ",C4392),COTAÇÃO,5,FALSE),VLOOKUP($C4392,DESON!$A:$D,4,))</f>
        <v>57,84</v>
      </c>
      <c r="J4392" s="209">
        <f t="shared" si="233"/>
        <v>323.89999999999998</v>
      </c>
    </row>
    <row r="4393" spans="1:10" ht="26.25" customHeight="1">
      <c r="A4393" s="208" t="s">
        <v>245</v>
      </c>
      <c r="B4393" s="241"/>
      <c r="C4393" s="1181">
        <v>11301</v>
      </c>
      <c r="D4393" s="161" t="str">
        <f>IF(B4393="SEPLAG",VLOOKUP(COMPOSIÇÕES!C4393,'MAPA COMPARATIVO'!A:B,2,FALSE),VLOOKUP(C4393,'NAO DESO'!A:B,2,0))</f>
        <v>TAMPAO FOFO ARTICULADO, CLASSE B125 CARGA MAX 12,5 T, REDONDO, TAMPA 600 MM (COM INSCRICAO EM RELEVO DO TIPO DE REDE)</v>
      </c>
      <c r="E4393" s="241" t="str">
        <f>VLOOKUP($C4393,'NAO DESO'!$A:$D,3,)</f>
        <v xml:space="preserve">UN    </v>
      </c>
      <c r="F4393" s="242">
        <v>1</v>
      </c>
      <c r="G4393" s="242">
        <f>IF(B4393="SEPLAG",VLOOKUP(CONCATENATE("MEDIANA - ",C4393),COTAÇÃO,5,FALSE),VLOOKUP($C4393,'NAO DESO'!$A:$D,4,))</f>
        <v>660.46</v>
      </c>
      <c r="H4393" s="242">
        <f t="shared" si="232"/>
        <v>660.46</v>
      </c>
      <c r="I4393" s="54" t="str">
        <f>IF(B4393="SEPLAG",VLOOKUP(CONCATENATE("MEDIANA - ",C4393),COTAÇÃO,5,FALSE),VLOOKUP($C4393,DESON!$A:$D,4,))</f>
        <v>660,46</v>
      </c>
      <c r="J4393" s="209">
        <f t="shared" si="233"/>
        <v>660.46</v>
      </c>
    </row>
    <row r="4394" spans="1:10" ht="39" customHeight="1">
      <c r="A4394" s="208" t="s">
        <v>245</v>
      </c>
      <c r="B4394" s="241"/>
      <c r="C4394" s="1181">
        <v>92775</v>
      </c>
      <c r="D4394" s="161" t="str">
        <f>IF(B4394="SEPLAG",VLOOKUP(COMPOSIÇÕES!C4394,'MAPA COMPARATIVO'!A:B,2,FALSE),VLOOKUP(C4394,'NAO DESO'!A:B,2,0))</f>
        <v>ARMAÇÃO DE PILAR OU VIGA DE UMA ESTRUTURA CONVENCIONAL DE CONCRETO ARMADO EM UMA EDIFICAÇÃO TÉRREA OU SOBRADO UTILIZANDO AÇO CA-60 DE 5,0 MM - MONTAGEM. AF_12/2015</v>
      </c>
      <c r="E4394" s="241" t="str">
        <f>VLOOKUP($C4394,'NAO DESO'!$A:$D,3,)</f>
        <v>KG</v>
      </c>
      <c r="F4394" s="242">
        <v>1.29</v>
      </c>
      <c r="G4394" s="242" t="str">
        <f>IF(B4394="SEPLAG",VLOOKUP(CONCATENATE("MEDIANA - ",C4394),COTAÇÃO,5,FALSE),VLOOKUP($C4394,'NAO DESO'!$A:$D,4,))</f>
        <v>18,46</v>
      </c>
      <c r="H4394" s="242">
        <f t="shared" si="232"/>
        <v>23.81</v>
      </c>
      <c r="I4394" s="54" t="str">
        <f>IF(B4394="SEPLAG",VLOOKUP(CONCATENATE("MEDIANA - ",C4394),COTAÇÃO,5,FALSE),VLOOKUP($C4394,DESON!$A:$D,4,))</f>
        <v>17,71</v>
      </c>
      <c r="J4394" s="209">
        <f t="shared" si="233"/>
        <v>22.84</v>
      </c>
    </row>
    <row r="4395" spans="1:10" ht="39" customHeight="1">
      <c r="A4395" s="208" t="s">
        <v>245</v>
      </c>
      <c r="B4395" s="241"/>
      <c r="C4395" s="1181">
        <v>92778</v>
      </c>
      <c r="D4395" s="161" t="str">
        <f>IF(B4395="SEPLAG",VLOOKUP(COMPOSIÇÕES!C4395,'MAPA COMPARATIVO'!A:B,2,FALSE),VLOOKUP(C4395,'NAO DESO'!A:B,2,0))</f>
        <v>ARMAÇÃO DE PILAR OU VIGA DE UMA ESTRUTURA CONVENCIONAL DE CONCRETO ARMADO EM UMA EDIFICAÇÃO TÉRREA OU SOBRADO UTILIZANDO AÇO CA-50 DE 10,0 MM - MONTAGEM. AF_12/2015</v>
      </c>
      <c r="E4395" s="241" t="str">
        <f>VLOOKUP($C4395,'NAO DESO'!$A:$D,3,)</f>
        <v>KG</v>
      </c>
      <c r="F4395" s="242">
        <v>6.91</v>
      </c>
      <c r="G4395" s="242" t="str">
        <f>IF(B4395="SEPLAG",VLOOKUP(CONCATENATE("MEDIANA - ",C4395),COTAÇÃO,5,FALSE),VLOOKUP($C4395,'NAO DESO'!$A:$D,4,))</f>
        <v>14,78</v>
      </c>
      <c r="H4395" s="242">
        <f t="shared" si="232"/>
        <v>102.12</v>
      </c>
      <c r="I4395" s="54" t="str">
        <f>IF(B4395="SEPLAG",VLOOKUP(CONCATENATE("MEDIANA - ",C4395),COTAÇÃO,5,FALSE),VLOOKUP($C4395,DESON!$A:$D,4,))</f>
        <v>14,50</v>
      </c>
      <c r="J4395" s="209">
        <f t="shared" si="233"/>
        <v>100.19</v>
      </c>
    </row>
    <row r="4396" spans="1:10" ht="39" customHeight="1">
      <c r="A4396" s="208" t="s">
        <v>245</v>
      </c>
      <c r="B4396" s="241"/>
      <c r="C4396" s="1181">
        <v>92423</v>
      </c>
      <c r="D4396" s="161" t="str">
        <f>IF(B4396="SEPLAG",VLOOKUP(COMPOSIÇÕES!C4396,'MAPA COMPARATIVO'!A:B,2,FALSE),VLOOKUP(C4396,'NAO DESO'!A:B,2,0))</f>
        <v>MONTAGEM E DESMONTAGEM DE FÔRMA DE PILARES RETANGULARES E ESTRUTURAS SIMILARES, PÉ-DIREITO SIMPLES, EM CHAPA DE MADEIRA COMPENSADA RESINADA, 6 UTILIZAÇÕES. AF_09/2020</v>
      </c>
      <c r="E4396" s="241" t="str">
        <f>VLOOKUP($C4396,'NAO DESO'!$A:$D,3,)</f>
        <v>M2</v>
      </c>
      <c r="F4396" s="242">
        <v>0.84</v>
      </c>
      <c r="G4396" s="242" t="str">
        <f>IF(B4396="SEPLAG",VLOOKUP(CONCATENATE("MEDIANA - ",C4396),COTAÇÃO,5,FALSE),VLOOKUP($C4396,'NAO DESO'!$A:$D,4,))</f>
        <v>67,90</v>
      </c>
      <c r="H4396" s="242">
        <f t="shared" si="232"/>
        <v>57.03</v>
      </c>
      <c r="I4396" s="54" t="str">
        <f>IF(B4396="SEPLAG",VLOOKUP(CONCATENATE("MEDIANA - ",C4396),COTAÇÃO,5,FALSE),VLOOKUP($C4396,DESON!$A:$D,4,))</f>
        <v>65,30</v>
      </c>
      <c r="J4396" s="209">
        <f t="shared" si="233"/>
        <v>54.85</v>
      </c>
    </row>
    <row r="4397" spans="1:10" ht="15" customHeight="1">
      <c r="A4397" s="208" t="s">
        <v>245</v>
      </c>
      <c r="B4397" s="241"/>
      <c r="C4397" s="1181">
        <v>88309</v>
      </c>
      <c r="D4397" s="161" t="str">
        <f>IF(B4397="SEPLAG",VLOOKUP(COMPOSIÇÕES!C4397,'MAPA COMPARATIVO'!A:B,2,FALSE),VLOOKUP(C4397,'NAO DESO'!A:B,2,0))</f>
        <v>PEDREIRO COM ENCARGOS COMPLEMENTARES</v>
      </c>
      <c r="E4397" s="241" t="str">
        <f>VLOOKUP($C4397,'NAO DESO'!$A:$D,3,)</f>
        <v>H</v>
      </c>
      <c r="F4397" s="242">
        <v>1</v>
      </c>
      <c r="G4397" s="242" t="str">
        <f>IF(B4397="SEPLAG",VLOOKUP(CONCATENATE("MEDIANA - ",C4397),COTAÇÃO,5,FALSE),VLOOKUP($C4397,'NAO DESO'!$A:$D,4,))</f>
        <v>21,10</v>
      </c>
      <c r="H4397" s="242">
        <f t="shared" si="232"/>
        <v>21.1</v>
      </c>
      <c r="I4397" s="54" t="str">
        <f>IF(B4397="SEPLAG",VLOOKUP(CONCATENATE("MEDIANA - ",C4397),COTAÇÃO,5,FALSE),VLOOKUP($C4397,DESON!$A:$D,4,))</f>
        <v>18,86</v>
      </c>
      <c r="J4397" s="209">
        <f t="shared" si="233"/>
        <v>18.86</v>
      </c>
    </row>
    <row r="4398" spans="1:10" ht="15" customHeight="1">
      <c r="A4398" s="208" t="s">
        <v>245</v>
      </c>
      <c r="B4398" s="241"/>
      <c r="C4398" s="1181">
        <v>88316</v>
      </c>
      <c r="D4398" s="161" t="str">
        <f>IF(B4398="SEPLAG",VLOOKUP(COMPOSIÇÕES!C4398,'MAPA COMPARATIVO'!A:B,2,FALSE),VLOOKUP(C4398,'NAO DESO'!A:B,2,0))</f>
        <v>SERVENTE COM ENCARGOS COMPLEMENTARES</v>
      </c>
      <c r="E4398" s="241" t="str">
        <f>VLOOKUP($C4398,'NAO DESO'!$A:$D,3,)</f>
        <v>H</v>
      </c>
      <c r="F4398" s="242">
        <v>1</v>
      </c>
      <c r="G4398" s="242" t="str">
        <f>IF(B4398="SEPLAG",VLOOKUP(CONCATENATE("MEDIANA - ",C4398),COTAÇÃO,5,FALSE),VLOOKUP($C4398,'NAO DESO'!$A:$D,4,))</f>
        <v>16,83</v>
      </c>
      <c r="H4398" s="242">
        <f t="shared" si="232"/>
        <v>16.829999999999998</v>
      </c>
      <c r="I4398" s="54" t="str">
        <f>IF(B4398="SEPLAG",VLOOKUP(CONCATENATE("MEDIANA - ",C4398),COTAÇÃO,5,FALSE),VLOOKUP($C4398,DESON!$A:$D,4,))</f>
        <v>15,16</v>
      </c>
      <c r="J4398" s="209">
        <f t="shared" si="233"/>
        <v>15.16</v>
      </c>
    </row>
    <row r="4399" spans="1:10" ht="15" customHeight="1">
      <c r="A4399" s="210" t="str">
        <f>CONCATENATE("TOTAL DO ITEM NÃO DESON. - ",C4383)</f>
        <v>TOTAL DO ITEM NÃO DESON. - SEPLAG HIDR 20</v>
      </c>
      <c r="B4399" s="430"/>
      <c r="C4399" s="430"/>
      <c r="D4399" s="430"/>
      <c r="E4399" s="430"/>
      <c r="F4399" s="1180"/>
      <c r="G4399" s="1180"/>
      <c r="H4399" s="1182">
        <f>SUM(H4386:H4398)</f>
        <v>1727.2599999999995</v>
      </c>
      <c r="I4399" s="231"/>
      <c r="J4399" s="215"/>
    </row>
    <row r="4400" spans="1:10" ht="15.75" customHeight="1" thickBot="1">
      <c r="A4400" s="216" t="str">
        <f>CONCATENATE("TOTAL DO ITEM DESON. - ",C4383)</f>
        <v>TOTAL DO ITEM DESON. - SEPLAG HIDR 20</v>
      </c>
      <c r="B4400" s="1142"/>
      <c r="C4400" s="1142"/>
      <c r="D4400" s="1142"/>
      <c r="E4400" s="1142"/>
      <c r="F4400" s="1211"/>
      <c r="G4400" s="1211"/>
      <c r="H4400" s="1187"/>
      <c r="I4400" s="260"/>
      <c r="J4400" s="219">
        <f>SUM(J4386:J4398)</f>
        <v>1683.9399999999998</v>
      </c>
    </row>
    <row r="4401" spans="1:10" ht="15" customHeight="1" thickBot="1">
      <c r="A4401" s="421"/>
      <c r="B4401" s="1138"/>
      <c r="C4401" s="1138"/>
      <c r="D4401" s="1138"/>
      <c r="E4401" s="1154"/>
      <c r="F4401" s="1196"/>
      <c r="G4401" s="1196"/>
      <c r="H4401" s="1196"/>
      <c r="I4401" s="422"/>
      <c r="J4401" s="422"/>
    </row>
    <row r="4402" spans="1:10" ht="38.25" customHeight="1">
      <c r="A4402" s="256"/>
      <c r="B4402" s="1152"/>
      <c r="C4402" s="1176" t="s">
        <v>7492</v>
      </c>
      <c r="D4402" s="156" t="s">
        <v>27950</v>
      </c>
      <c r="E4402" s="1176" t="s">
        <v>24</v>
      </c>
      <c r="F4402" s="1177" t="s">
        <v>18</v>
      </c>
      <c r="G4402" s="1178" t="s">
        <v>7015</v>
      </c>
      <c r="H4402" s="1179"/>
      <c r="I4402" s="200" t="s">
        <v>7016</v>
      </c>
      <c r="J4402" s="201"/>
    </row>
    <row r="4403" spans="1:10" ht="15" customHeight="1">
      <c r="A4403" s="257"/>
      <c r="B4403" s="430"/>
      <c r="C4403" s="1155"/>
      <c r="D4403" s="157"/>
      <c r="E4403" s="1155"/>
      <c r="F4403" s="1180"/>
      <c r="G4403" s="1180" t="s">
        <v>19</v>
      </c>
      <c r="H4403" s="1180" t="s">
        <v>20</v>
      </c>
      <c r="I4403" s="204" t="s">
        <v>19</v>
      </c>
      <c r="J4403" s="206" t="s">
        <v>20</v>
      </c>
    </row>
    <row r="4404" spans="1:10" ht="15" customHeight="1">
      <c r="A4404" s="258"/>
      <c r="B4404" s="1155"/>
      <c r="C4404" s="1155"/>
      <c r="D4404" s="157"/>
      <c r="E4404" s="1155"/>
      <c r="F4404" s="1180"/>
      <c r="G4404" s="1180"/>
      <c r="H4404" s="1180"/>
      <c r="I4404" s="238"/>
      <c r="J4404" s="259"/>
    </row>
    <row r="4405" spans="1:10" ht="39" customHeight="1">
      <c r="A4405" s="208" t="s">
        <v>245</v>
      </c>
      <c r="B4405" s="241"/>
      <c r="C4405" s="1181">
        <v>101159</v>
      </c>
      <c r="D4405" s="161" t="str">
        <f>IF(B4405="SEPLAG",VLOOKUP(COMPOSIÇÕES!C4405,'MAPA COMPARATIVO'!A:B,2,FALSE),VLOOKUP(C4405,'NAO DESO'!A:B,2,0))</f>
        <v>ALVENARIA DE VEDAÇÃO DE BLOCOS CERÂMICOS MACIÇOS DE 5X10X20CM (ESPESSURA 10CM) E ARGAMASSA DE ASSENTAMENTO COM PREPARO EM BETONEIRA. AF_05/2020</v>
      </c>
      <c r="E4405" s="241" t="str">
        <f>VLOOKUP($C4405,'NAO DESO'!$A:$D,3,)</f>
        <v>M2</v>
      </c>
      <c r="F4405" s="242">
        <v>1.54</v>
      </c>
      <c r="G4405" s="242" t="str">
        <f>IF(B4405="SEPLAG",VLOOKUP(CONCATENATE("MEDIANA - ",C4405),COTAÇÃO,5,FALSE),VLOOKUP($C4405,'NAO DESO'!$A:$D,4,))</f>
        <v>126,63</v>
      </c>
      <c r="H4405" s="242">
        <f t="shared" ref="H4405:H4417" si="234">TRUNC(F4405*G4405,2)</f>
        <v>195.01</v>
      </c>
      <c r="I4405" s="54" t="str">
        <f>IF(B4405="SEPLAG",VLOOKUP(CONCATENATE("MEDIANA - ",C4405),COTAÇÃO,5,FALSE),VLOOKUP($C4405,DESON!$A:$D,4,))</f>
        <v>120,46</v>
      </c>
      <c r="J4405" s="209">
        <f t="shared" ref="J4405:J4417" si="235">TRUNC(F4405*I4405,2)</f>
        <v>185.5</v>
      </c>
    </row>
    <row r="4406" spans="1:10" ht="64.5" customHeight="1">
      <c r="A4406" s="208" t="s">
        <v>245</v>
      </c>
      <c r="B4406" s="241"/>
      <c r="C4406" s="1181">
        <v>87543</v>
      </c>
      <c r="D4406" s="161" t="str">
        <f>IF(B4406="SEPLAG",VLOOKUP(COMPOSIÇÕES!C4406,'MAPA COMPARATIVO'!A:B,2,FALSE),VLOOKUP(C4406,'NAO DESO'!A:B,2,0))</f>
        <v>MASSA ÚNICA, PARA RECEBIMENTO DE PINTURA OU CERÂMICA, ARGAMASSA INDUSTRIALIZADA, PREPARO MECÂNICO, APLICADO COM EQUIPAMENTO DE MISTURA E PROJEÇÃO DE 1,5 M3/H EM FACES INTERNAS DE PAREDES, ESPESSURA DE 5MM, SEM EXECUÇÃO DE TALISCAS. AF_06/2014</v>
      </c>
      <c r="E4406" s="241" t="str">
        <f>VLOOKUP($C4406,'NAO DESO'!$A:$D,3,)</f>
        <v>M2</v>
      </c>
      <c r="F4406" s="242">
        <v>5.88</v>
      </c>
      <c r="G4406" s="242" t="str">
        <f>IF(B4406="SEPLAG",VLOOKUP(CONCATENATE("MEDIANA - ",C4406),COTAÇÃO,5,FALSE),VLOOKUP($C4406,'NAO DESO'!$A:$D,4,))</f>
        <v>24,40</v>
      </c>
      <c r="H4406" s="242">
        <f t="shared" si="234"/>
        <v>143.47</v>
      </c>
      <c r="I4406" s="54" t="str">
        <f>IF(B4406="SEPLAG",VLOOKUP(CONCATENATE("MEDIANA - ",C4406),COTAÇÃO,5,FALSE),VLOOKUP($C4406,DESON!$A:$D,4,))</f>
        <v>23,82</v>
      </c>
      <c r="J4406" s="209">
        <f t="shared" si="235"/>
        <v>140.06</v>
      </c>
    </row>
    <row r="4407" spans="1:10" ht="39" customHeight="1">
      <c r="A4407" s="208" t="s">
        <v>245</v>
      </c>
      <c r="B4407" s="241"/>
      <c r="C4407" s="1181">
        <v>94970</v>
      </c>
      <c r="D4407" s="161" t="str">
        <f>IF(B4407="SEPLAG",VLOOKUP(COMPOSIÇÕES!C4407,'MAPA COMPARATIVO'!A:B,2,FALSE),VLOOKUP(C4407,'NAO DESO'!A:B,2,0))</f>
        <v>CONCRETO FCK = 20MPA, TRAÇO 1:2,7:3 (EM MASSA SECA DE CIMENTO/ AREIA MÉDIA/ BRITA 1) - PREPARO MECÂNICO COM BETONEIRA 600 L. AF_05/2021</v>
      </c>
      <c r="E4407" s="241" t="str">
        <f>VLOOKUP($C4407,'NAO DESO'!$A:$D,3,)</f>
        <v>M3</v>
      </c>
      <c r="F4407" s="242">
        <v>0.09</v>
      </c>
      <c r="G4407" s="242" t="str">
        <f>IF(B4407="SEPLAG",VLOOKUP(CONCATENATE("MEDIANA - ",C4407),COTAÇÃO,5,FALSE),VLOOKUP($C4407,'NAO DESO'!$A:$D,4,))</f>
        <v>405,57</v>
      </c>
      <c r="H4407" s="242">
        <f t="shared" si="234"/>
        <v>36.5</v>
      </c>
      <c r="I4407" s="54" t="str">
        <f>IF(B4407="SEPLAG",VLOOKUP(CONCATENATE("MEDIANA - ",C4407),COTAÇÃO,5,FALSE),VLOOKUP($C4407,DESON!$A:$D,4,))</f>
        <v>400,17</v>
      </c>
      <c r="J4407" s="209">
        <f t="shared" si="235"/>
        <v>36.01</v>
      </c>
    </row>
    <row r="4408" spans="1:10" ht="26.25" customHeight="1">
      <c r="A4408" s="208" t="s">
        <v>245</v>
      </c>
      <c r="B4408" s="241"/>
      <c r="C4408" s="1181">
        <v>93358</v>
      </c>
      <c r="D4408" s="161" t="str">
        <f>IF(B4408="SEPLAG",VLOOKUP(COMPOSIÇÕES!C4408,'MAPA COMPARATIVO'!A:B,2,FALSE),VLOOKUP(C4408,'NAO DESO'!A:B,2,0))</f>
        <v>ESCAVAÇÃO MANUAL DE VALA COM PROFUNDIDADE MENOR OU IGUAL A 1,30 M. AF_02/2021</v>
      </c>
      <c r="E4408" s="241" t="str">
        <f>VLOOKUP($C4408,'NAO DESO'!$A:$D,3,)</f>
        <v>M3</v>
      </c>
      <c r="F4408" s="242">
        <v>1.79</v>
      </c>
      <c r="G4408" s="242" t="str">
        <f>IF(B4408="SEPLAG",VLOOKUP(CONCATENATE("MEDIANA - ",C4408),COTAÇÃO,5,FALSE),VLOOKUP($C4408,'NAO DESO'!$A:$D,4,))</f>
        <v>66,57</v>
      </c>
      <c r="H4408" s="242">
        <f t="shared" si="234"/>
        <v>119.16</v>
      </c>
      <c r="I4408" s="54" t="str">
        <f>IF(B4408="SEPLAG",VLOOKUP(CONCATENATE("MEDIANA - ",C4408),COTAÇÃO,5,FALSE),VLOOKUP($C4408,DESON!$A:$D,4,))</f>
        <v>59,97</v>
      </c>
      <c r="J4408" s="209">
        <f t="shared" si="235"/>
        <v>107.34</v>
      </c>
    </row>
    <row r="4409" spans="1:10" ht="26.25" customHeight="1">
      <c r="A4409" s="208" t="s">
        <v>245</v>
      </c>
      <c r="B4409" s="241"/>
      <c r="C4409" s="1181">
        <v>101617</v>
      </c>
      <c r="D4409" s="161" t="str">
        <f>IF(B4409="SEPLAG",VLOOKUP(COMPOSIÇÕES!C4409,'MAPA COMPARATIVO'!A:B,2,FALSE),VLOOKUP(C4409,'NAO DESO'!A:B,2,0))</f>
        <v>PREPARO DE FUNDO DE VALA COM LARGURA MAIOR OU IGUAL A 1,5 M E MENOR QUE 2,5 M (ACERTO DO SOLO NATURAL). AF_08/2020</v>
      </c>
      <c r="E4409" s="241" t="str">
        <f>VLOOKUP($C4409,'NAO DESO'!$A:$D,3,)</f>
        <v>M2</v>
      </c>
      <c r="F4409" s="242">
        <v>0.64</v>
      </c>
      <c r="G4409" s="242" t="str">
        <f>IF(B4409="SEPLAG",VLOOKUP(CONCATENATE("MEDIANA - ",C4409),COTAÇÃO,5,FALSE),VLOOKUP($C4409,'NAO DESO'!$A:$D,4,))</f>
        <v>2,38</v>
      </c>
      <c r="H4409" s="242">
        <f t="shared" si="234"/>
        <v>1.52</v>
      </c>
      <c r="I4409" s="54" t="str">
        <f>IF(B4409="SEPLAG",VLOOKUP(CONCATENATE("MEDIANA - ",C4409),COTAÇÃO,5,FALSE),VLOOKUP($C4409,DESON!$A:$D,4,))</f>
        <v>2,15</v>
      </c>
      <c r="J4409" s="209">
        <f t="shared" si="235"/>
        <v>1.37</v>
      </c>
    </row>
    <row r="4410" spans="1:10" ht="15" customHeight="1">
      <c r="A4410" s="208" t="s">
        <v>245</v>
      </c>
      <c r="B4410" s="241"/>
      <c r="C4410" s="1181">
        <v>96995</v>
      </c>
      <c r="D4410" s="161" t="str">
        <f>IF(B4410="SEPLAG",VLOOKUP(COMPOSIÇÕES!C4410,'MAPA COMPARATIVO'!A:B,2,FALSE),VLOOKUP(C4410,'NAO DESO'!A:B,2,0))</f>
        <v>REATERRO MANUAL APILOADO COM SOQUETE. AF_10/2017</v>
      </c>
      <c r="E4410" s="241" t="str">
        <f>VLOOKUP($C4410,'NAO DESO'!$A:$D,3,)</f>
        <v>M3</v>
      </c>
      <c r="F4410" s="242">
        <v>1.44</v>
      </c>
      <c r="G4410" s="242" t="str">
        <f>IF(B4410="SEPLAG",VLOOKUP(CONCATENATE("MEDIANA - ",C4410),COTAÇÃO,5,FALSE),VLOOKUP($C4410,'NAO DESO'!$A:$D,4,))</f>
        <v>40,36</v>
      </c>
      <c r="H4410" s="242">
        <f t="shared" si="234"/>
        <v>58.11</v>
      </c>
      <c r="I4410" s="54" t="str">
        <f>IF(B4410="SEPLAG",VLOOKUP(CONCATENATE("MEDIANA - ",C4410),COTAÇÃO,5,FALSE),VLOOKUP($C4410,DESON!$A:$D,4,))</f>
        <v>36,36</v>
      </c>
      <c r="J4410" s="209">
        <f t="shared" si="235"/>
        <v>52.35</v>
      </c>
    </row>
    <row r="4411" spans="1:10" ht="26.25" customHeight="1">
      <c r="A4411" s="208" t="s">
        <v>245</v>
      </c>
      <c r="B4411" s="241"/>
      <c r="C4411" s="1181">
        <v>98557</v>
      </c>
      <c r="D4411" s="161" t="str">
        <f>IF(B4411="SEPLAG",VLOOKUP(COMPOSIÇÕES!C4411,'MAPA COMPARATIVO'!A:B,2,FALSE),VLOOKUP(C4411,'NAO DESO'!A:B,2,0))</f>
        <v>IMPERMEABILIZAÇÃO DE SUPERFÍCIE COM EMULSÃO ASFÁLTICA, 2 DEMÃOS AF_06/2018</v>
      </c>
      <c r="E4411" s="241" t="str">
        <f>VLOOKUP($C4411,'NAO DESO'!$A:$D,3,)</f>
        <v>M2</v>
      </c>
      <c r="F4411" s="242">
        <f>F4406</f>
        <v>5.88</v>
      </c>
      <c r="G4411" s="242" t="str">
        <f>IF(B4411="SEPLAG",VLOOKUP(CONCATENATE("MEDIANA - ",C4411),COTAÇÃO,5,FALSE),VLOOKUP($C4411,'NAO DESO'!$A:$D,4,))</f>
        <v>58,82</v>
      </c>
      <c r="H4411" s="242">
        <f t="shared" si="234"/>
        <v>345.86</v>
      </c>
      <c r="I4411" s="54" t="str">
        <f>IF(B4411="SEPLAG",VLOOKUP(CONCATENATE("MEDIANA - ",C4411),COTAÇÃO,5,FALSE),VLOOKUP($C4411,DESON!$A:$D,4,))</f>
        <v>57,84</v>
      </c>
      <c r="J4411" s="209">
        <f t="shared" si="235"/>
        <v>340.09</v>
      </c>
    </row>
    <row r="4412" spans="1:10" ht="26.25" customHeight="1">
      <c r="A4412" s="208" t="s">
        <v>245</v>
      </c>
      <c r="B4412" s="241"/>
      <c r="C4412" s="1181">
        <v>11301</v>
      </c>
      <c r="D4412" s="161" t="str">
        <f>IF(B4412="SEPLAG",VLOOKUP(COMPOSIÇÕES!C4412,'MAPA COMPARATIVO'!A:B,2,FALSE),VLOOKUP(C4412,'NAO DESO'!A:B,2,0))</f>
        <v>TAMPAO FOFO ARTICULADO, CLASSE B125 CARGA MAX 12,5 T, REDONDO, TAMPA 600 MM (COM INSCRICAO EM RELEVO DO TIPO DE REDE)</v>
      </c>
      <c r="E4412" s="241" t="str">
        <f>VLOOKUP($C4412,'NAO DESO'!$A:$D,3,)</f>
        <v xml:space="preserve">UN    </v>
      </c>
      <c r="F4412" s="242">
        <v>1</v>
      </c>
      <c r="G4412" s="242">
        <f>IF(B4412="SEPLAG",VLOOKUP(CONCATENATE("MEDIANA - ",C4412),COTAÇÃO,5,FALSE),VLOOKUP($C4412,'NAO DESO'!$A:$D,4,))</f>
        <v>660.46</v>
      </c>
      <c r="H4412" s="242">
        <f t="shared" si="234"/>
        <v>660.46</v>
      </c>
      <c r="I4412" s="54" t="str">
        <f>IF(B4412="SEPLAG",VLOOKUP(CONCATENATE("MEDIANA - ",C4412),COTAÇÃO,5,FALSE),VLOOKUP($C4412,DESON!$A:$D,4,))</f>
        <v>660,46</v>
      </c>
      <c r="J4412" s="209">
        <f t="shared" si="235"/>
        <v>660.46</v>
      </c>
    </row>
    <row r="4413" spans="1:10" ht="39" customHeight="1">
      <c r="A4413" s="208" t="s">
        <v>245</v>
      </c>
      <c r="B4413" s="241"/>
      <c r="C4413" s="1181">
        <v>92775</v>
      </c>
      <c r="D4413" s="161" t="str">
        <f>IF(B4413="SEPLAG",VLOOKUP(COMPOSIÇÕES!C4413,'MAPA COMPARATIVO'!A:B,2,FALSE),VLOOKUP(C4413,'NAO DESO'!A:B,2,0))</f>
        <v>ARMAÇÃO DE PILAR OU VIGA DE UMA ESTRUTURA CONVENCIONAL DE CONCRETO ARMADO EM UMA EDIFICAÇÃO TÉRREA OU SOBRADO UTILIZANDO AÇO CA-60 DE 5,0 MM - MONTAGEM. AF_12/2015</v>
      </c>
      <c r="E4413" s="241" t="str">
        <f>VLOOKUP($C4413,'NAO DESO'!$A:$D,3,)</f>
        <v>KG</v>
      </c>
      <c r="F4413" s="242">
        <v>1.29</v>
      </c>
      <c r="G4413" s="242" t="str">
        <f>IF(B4413="SEPLAG",VLOOKUP(CONCATENATE("MEDIANA - ",C4413),COTAÇÃO,5,FALSE),VLOOKUP($C4413,'NAO DESO'!$A:$D,4,))</f>
        <v>18,46</v>
      </c>
      <c r="H4413" s="242">
        <f t="shared" si="234"/>
        <v>23.81</v>
      </c>
      <c r="I4413" s="54" t="str">
        <f>IF(B4413="SEPLAG",VLOOKUP(CONCATENATE("MEDIANA - ",C4413),COTAÇÃO,5,FALSE),VLOOKUP($C4413,DESON!$A:$D,4,))</f>
        <v>17,71</v>
      </c>
      <c r="J4413" s="209">
        <f t="shared" si="235"/>
        <v>22.84</v>
      </c>
    </row>
    <row r="4414" spans="1:10" ht="39" customHeight="1">
      <c r="A4414" s="208" t="s">
        <v>245</v>
      </c>
      <c r="B4414" s="241"/>
      <c r="C4414" s="1181">
        <v>92778</v>
      </c>
      <c r="D4414" s="161" t="str">
        <f>IF(B4414="SEPLAG",VLOOKUP(COMPOSIÇÕES!C4414,'MAPA COMPARATIVO'!A:B,2,FALSE),VLOOKUP(C4414,'NAO DESO'!A:B,2,0))</f>
        <v>ARMAÇÃO DE PILAR OU VIGA DE UMA ESTRUTURA CONVENCIONAL DE CONCRETO ARMADO EM UMA EDIFICAÇÃO TÉRREA OU SOBRADO UTILIZANDO AÇO CA-50 DE 10,0 MM - MONTAGEM. AF_12/2015</v>
      </c>
      <c r="E4414" s="241" t="str">
        <f>VLOOKUP($C4414,'NAO DESO'!$A:$D,3,)</f>
        <v>KG</v>
      </c>
      <c r="F4414" s="242">
        <v>6.91</v>
      </c>
      <c r="G4414" s="242" t="str">
        <f>IF(B4414="SEPLAG",VLOOKUP(CONCATENATE("MEDIANA - ",C4414),COTAÇÃO,5,FALSE),VLOOKUP($C4414,'NAO DESO'!$A:$D,4,))</f>
        <v>14,78</v>
      </c>
      <c r="H4414" s="242">
        <f t="shared" si="234"/>
        <v>102.12</v>
      </c>
      <c r="I4414" s="54" t="str">
        <f>IF(B4414="SEPLAG",VLOOKUP(CONCATENATE("MEDIANA - ",C4414),COTAÇÃO,5,FALSE),VLOOKUP($C4414,DESON!$A:$D,4,))</f>
        <v>14,50</v>
      </c>
      <c r="J4414" s="209">
        <f t="shared" si="235"/>
        <v>100.19</v>
      </c>
    </row>
    <row r="4415" spans="1:10" ht="39" customHeight="1">
      <c r="A4415" s="208" t="s">
        <v>245</v>
      </c>
      <c r="B4415" s="241"/>
      <c r="C4415" s="1181">
        <v>92423</v>
      </c>
      <c r="D4415" s="161" t="str">
        <f>IF(B4415="SEPLAG",VLOOKUP(COMPOSIÇÕES!C4415,'MAPA COMPARATIVO'!A:B,2,FALSE),VLOOKUP(C4415,'NAO DESO'!A:B,2,0))</f>
        <v>MONTAGEM E DESMONTAGEM DE FÔRMA DE PILARES RETANGULARES E ESTRUTURAS SIMILARES, PÉ-DIREITO SIMPLES, EM CHAPA DE MADEIRA COMPENSADA RESINADA, 6 UTILIZAÇÕES. AF_09/2020</v>
      </c>
      <c r="E4415" s="241" t="str">
        <f>VLOOKUP($C4415,'NAO DESO'!$A:$D,3,)</f>
        <v>M2</v>
      </c>
      <c r="F4415" s="242">
        <v>0.84</v>
      </c>
      <c r="G4415" s="242" t="str">
        <f>IF(B4415="SEPLAG",VLOOKUP(CONCATENATE("MEDIANA - ",C4415),COTAÇÃO,5,FALSE),VLOOKUP($C4415,'NAO DESO'!$A:$D,4,))</f>
        <v>67,90</v>
      </c>
      <c r="H4415" s="242">
        <f t="shared" si="234"/>
        <v>57.03</v>
      </c>
      <c r="I4415" s="54" t="str">
        <f>IF(B4415="SEPLAG",VLOOKUP(CONCATENATE("MEDIANA - ",C4415),COTAÇÃO,5,FALSE),VLOOKUP($C4415,DESON!$A:$D,4,))</f>
        <v>65,30</v>
      </c>
      <c r="J4415" s="209">
        <f t="shared" si="235"/>
        <v>54.85</v>
      </c>
    </row>
    <row r="4416" spans="1:10" ht="15" customHeight="1">
      <c r="A4416" s="208" t="s">
        <v>245</v>
      </c>
      <c r="B4416" s="241"/>
      <c r="C4416" s="1181">
        <v>88309</v>
      </c>
      <c r="D4416" s="161" t="str">
        <f>IF(B4416="SEPLAG",VLOOKUP(COMPOSIÇÕES!C4416,'MAPA COMPARATIVO'!A:B,2,FALSE),VLOOKUP(C4416,'NAO DESO'!A:B,2,0))</f>
        <v>PEDREIRO COM ENCARGOS COMPLEMENTARES</v>
      </c>
      <c r="E4416" s="241" t="str">
        <f>VLOOKUP($C4416,'NAO DESO'!$A:$D,3,)</f>
        <v>H</v>
      </c>
      <c r="F4416" s="242">
        <v>1</v>
      </c>
      <c r="G4416" s="242" t="str">
        <f>IF(B4416="SEPLAG",VLOOKUP(CONCATENATE("MEDIANA - ",C4416),COTAÇÃO,5,FALSE),VLOOKUP($C4416,'NAO DESO'!$A:$D,4,))</f>
        <v>21,10</v>
      </c>
      <c r="H4416" s="242">
        <f t="shared" si="234"/>
        <v>21.1</v>
      </c>
      <c r="I4416" s="54" t="str">
        <f>IF(B4416="SEPLAG",VLOOKUP(CONCATENATE("MEDIANA - ",C4416),COTAÇÃO,5,FALSE),VLOOKUP($C4416,DESON!$A:$D,4,))</f>
        <v>18,86</v>
      </c>
      <c r="J4416" s="209">
        <f t="shared" si="235"/>
        <v>18.86</v>
      </c>
    </row>
    <row r="4417" spans="1:10" ht="15" customHeight="1">
      <c r="A4417" s="208" t="s">
        <v>245</v>
      </c>
      <c r="B4417" s="241"/>
      <c r="C4417" s="1181">
        <v>88316</v>
      </c>
      <c r="D4417" s="161" t="str">
        <f>IF(B4417="SEPLAG",VLOOKUP(COMPOSIÇÕES!C4417,'MAPA COMPARATIVO'!A:B,2,FALSE),VLOOKUP(C4417,'NAO DESO'!A:B,2,0))</f>
        <v>SERVENTE COM ENCARGOS COMPLEMENTARES</v>
      </c>
      <c r="E4417" s="241" t="str">
        <f>VLOOKUP($C4417,'NAO DESO'!$A:$D,3,)</f>
        <v>H</v>
      </c>
      <c r="F4417" s="242">
        <v>1</v>
      </c>
      <c r="G4417" s="242" t="str">
        <f>IF(B4417="SEPLAG",VLOOKUP(CONCATENATE("MEDIANA - ",C4417),COTAÇÃO,5,FALSE),VLOOKUP($C4417,'NAO DESO'!$A:$D,4,))</f>
        <v>16,83</v>
      </c>
      <c r="H4417" s="242">
        <f t="shared" si="234"/>
        <v>16.829999999999998</v>
      </c>
      <c r="I4417" s="54" t="str">
        <f>IF(B4417="SEPLAG",VLOOKUP(CONCATENATE("MEDIANA - ",C4417),COTAÇÃO,5,FALSE),VLOOKUP($C4417,DESON!$A:$D,4,))</f>
        <v>15,16</v>
      </c>
      <c r="J4417" s="209">
        <f t="shared" si="235"/>
        <v>15.16</v>
      </c>
    </row>
    <row r="4418" spans="1:10" ht="15" customHeight="1">
      <c r="A4418" s="210" t="str">
        <f>CONCATENATE("TOTAL DO ITEM NÃO DESON. - ",C4402)</f>
        <v>TOTAL DO ITEM NÃO DESON. - SEPLAG HIDR 21</v>
      </c>
      <c r="B4418" s="430"/>
      <c r="C4418" s="430"/>
      <c r="D4418" s="430"/>
      <c r="E4418" s="430"/>
      <c r="F4418" s="1180"/>
      <c r="G4418" s="1180"/>
      <c r="H4418" s="1182">
        <f>SUM(H4405:H4417)</f>
        <v>1780.9799999999998</v>
      </c>
      <c r="I4418" s="231"/>
      <c r="J4418" s="215"/>
    </row>
    <row r="4419" spans="1:10" ht="15.75" customHeight="1" thickBot="1">
      <c r="A4419" s="216" t="str">
        <f>CONCATENATE("TOTAL DO ITEM DESON. - ",C4402)</f>
        <v>TOTAL DO ITEM DESON. - SEPLAG HIDR 21</v>
      </c>
      <c r="B4419" s="1142"/>
      <c r="C4419" s="1142"/>
      <c r="D4419" s="1142"/>
      <c r="E4419" s="1142"/>
      <c r="F4419" s="1211"/>
      <c r="G4419" s="1211"/>
      <c r="H4419" s="1187"/>
      <c r="I4419" s="260"/>
      <c r="J4419" s="219">
        <f>SUM(J4405:J4417)</f>
        <v>1735.08</v>
      </c>
    </row>
    <row r="4420" spans="1:10" ht="15" customHeight="1" thickBot="1">
      <c r="A4420" s="421"/>
      <c r="B4420" s="1138"/>
      <c r="C4420" s="1138"/>
      <c r="D4420" s="1138"/>
      <c r="E4420" s="1154"/>
      <c r="F4420" s="1196"/>
      <c r="G4420" s="1196"/>
      <c r="H4420" s="1196"/>
      <c r="I4420" s="422"/>
      <c r="J4420" s="422"/>
    </row>
    <row r="4421" spans="1:10" ht="38.25" customHeight="1">
      <c r="A4421" s="256"/>
      <c r="B4421" s="1152"/>
      <c r="C4421" s="1176" t="s">
        <v>7493</v>
      </c>
      <c r="D4421" s="156" t="s">
        <v>27951</v>
      </c>
      <c r="E4421" s="1176" t="s">
        <v>24</v>
      </c>
      <c r="F4421" s="1177" t="s">
        <v>18</v>
      </c>
      <c r="G4421" s="1178" t="s">
        <v>7015</v>
      </c>
      <c r="H4421" s="1179"/>
      <c r="I4421" s="200" t="s">
        <v>7016</v>
      </c>
      <c r="J4421" s="201"/>
    </row>
    <row r="4422" spans="1:10" ht="15" customHeight="1">
      <c r="A4422" s="257"/>
      <c r="B4422" s="430"/>
      <c r="C4422" s="1155"/>
      <c r="D4422" s="157"/>
      <c r="E4422" s="1155"/>
      <c r="F4422" s="1180"/>
      <c r="G4422" s="1180" t="s">
        <v>19</v>
      </c>
      <c r="H4422" s="1180" t="s">
        <v>20</v>
      </c>
      <c r="I4422" s="204" t="s">
        <v>19</v>
      </c>
      <c r="J4422" s="206" t="s">
        <v>20</v>
      </c>
    </row>
    <row r="4423" spans="1:10" ht="15" customHeight="1">
      <c r="A4423" s="258"/>
      <c r="B4423" s="1155"/>
      <c r="C4423" s="1155"/>
      <c r="D4423" s="157"/>
      <c r="E4423" s="1155"/>
      <c r="F4423" s="1180"/>
      <c r="G4423" s="1180"/>
      <c r="H4423" s="1180"/>
      <c r="I4423" s="238"/>
      <c r="J4423" s="259"/>
    </row>
    <row r="4424" spans="1:10" ht="39" customHeight="1">
      <c r="A4424" s="208" t="s">
        <v>245</v>
      </c>
      <c r="B4424" s="241"/>
      <c r="C4424" s="1181">
        <v>101159</v>
      </c>
      <c r="D4424" s="161" t="str">
        <f>IF(B4424="SEPLAG",VLOOKUP(COMPOSIÇÕES!C4424,'MAPA COMPARATIVO'!A:B,2,FALSE),VLOOKUP(C4424,'NAO DESO'!A:B,2,0))</f>
        <v>ALVENARIA DE VEDAÇÃO DE BLOCOS CERÂMICOS MACIÇOS DE 5X10X20CM (ESPESSURA 10CM) E ARGAMASSA DE ASSENTAMENTO COM PREPARO EM BETONEIRA. AF_05/2020</v>
      </c>
      <c r="E4424" s="241" t="str">
        <f>VLOOKUP($C4424,'NAO DESO'!$A:$D,3,)</f>
        <v>M2</v>
      </c>
      <c r="F4424" s="242">
        <v>1.68</v>
      </c>
      <c r="G4424" s="242" t="str">
        <f>IF(B4424="SEPLAG",VLOOKUP(CONCATENATE("MEDIANA - ",C4424),COTAÇÃO,5,FALSE),VLOOKUP($C4424,'NAO DESO'!$A:$D,4,))</f>
        <v>126,63</v>
      </c>
      <c r="H4424" s="242">
        <f t="shared" ref="H4424:H4436" si="236">TRUNC(F4424*G4424,2)</f>
        <v>212.73</v>
      </c>
      <c r="I4424" s="54" t="str">
        <f>IF(B4424="SEPLAG",VLOOKUP(CONCATENATE("MEDIANA - ",C4424),COTAÇÃO,5,FALSE),VLOOKUP($C4424,DESON!$A:$D,4,))</f>
        <v>120,46</v>
      </c>
      <c r="J4424" s="209">
        <f t="shared" ref="J4424:J4436" si="237">TRUNC(F4424*I4424,2)</f>
        <v>202.37</v>
      </c>
    </row>
    <row r="4425" spans="1:10" ht="64.5" customHeight="1">
      <c r="A4425" s="208" t="s">
        <v>245</v>
      </c>
      <c r="B4425" s="241"/>
      <c r="C4425" s="1181">
        <v>87543</v>
      </c>
      <c r="D4425" s="161" t="str">
        <f>IF(B4425="SEPLAG",VLOOKUP(COMPOSIÇÕES!C4425,'MAPA COMPARATIVO'!A:B,2,FALSE),VLOOKUP(C4425,'NAO DESO'!A:B,2,0))</f>
        <v>MASSA ÚNICA, PARA RECEBIMENTO DE PINTURA OU CERÂMICA, ARGAMASSA INDUSTRIALIZADA, PREPARO MECÂNICO, APLICADO COM EQUIPAMENTO DE MISTURA E PROJEÇÃO DE 1,5 M3/H EM FACES INTERNAS DE PAREDES, ESPESSURA DE 5MM, SEM EXECUÇÃO DE TALISCAS. AF_06/2014</v>
      </c>
      <c r="E4425" s="241" t="str">
        <f>VLOOKUP($C4425,'NAO DESO'!$A:$D,3,)</f>
        <v>M2</v>
      </c>
      <c r="F4425" s="242">
        <v>6.16</v>
      </c>
      <c r="G4425" s="242" t="str">
        <f>IF(B4425="SEPLAG",VLOOKUP(CONCATENATE("MEDIANA - ",C4425),COTAÇÃO,5,FALSE),VLOOKUP($C4425,'NAO DESO'!$A:$D,4,))</f>
        <v>24,40</v>
      </c>
      <c r="H4425" s="242">
        <f t="shared" si="236"/>
        <v>150.30000000000001</v>
      </c>
      <c r="I4425" s="54" t="str">
        <f>IF(B4425="SEPLAG",VLOOKUP(CONCATENATE("MEDIANA - ",C4425),COTAÇÃO,5,FALSE),VLOOKUP($C4425,DESON!$A:$D,4,))</f>
        <v>23,82</v>
      </c>
      <c r="J4425" s="209">
        <f t="shared" si="237"/>
        <v>146.72999999999999</v>
      </c>
    </row>
    <row r="4426" spans="1:10" ht="39" customHeight="1">
      <c r="A4426" s="208" t="s">
        <v>245</v>
      </c>
      <c r="B4426" s="241"/>
      <c r="C4426" s="1181">
        <v>94970</v>
      </c>
      <c r="D4426" s="161" t="str">
        <f>IF(B4426="SEPLAG",VLOOKUP(COMPOSIÇÕES!C4426,'MAPA COMPARATIVO'!A:B,2,FALSE),VLOOKUP(C4426,'NAO DESO'!A:B,2,0))</f>
        <v>CONCRETO FCK = 20MPA, TRAÇO 1:2,7:3 (EM MASSA SECA DE CIMENTO/ AREIA MÉDIA/ BRITA 1) - PREPARO MECÂNICO COM BETONEIRA 600 L. AF_05/2021</v>
      </c>
      <c r="E4426" s="241" t="str">
        <f>VLOOKUP($C4426,'NAO DESO'!$A:$D,3,)</f>
        <v>M3</v>
      </c>
      <c r="F4426" s="242">
        <v>0.09</v>
      </c>
      <c r="G4426" s="242" t="str">
        <f>IF(B4426="SEPLAG",VLOOKUP(CONCATENATE("MEDIANA - ",C4426),COTAÇÃO,5,FALSE),VLOOKUP($C4426,'NAO DESO'!$A:$D,4,))</f>
        <v>405,57</v>
      </c>
      <c r="H4426" s="242">
        <f t="shared" si="236"/>
        <v>36.5</v>
      </c>
      <c r="I4426" s="54" t="str">
        <f>IF(B4426="SEPLAG",VLOOKUP(CONCATENATE("MEDIANA - ",C4426),COTAÇÃO,5,FALSE),VLOOKUP($C4426,DESON!$A:$D,4,))</f>
        <v>400,17</v>
      </c>
      <c r="J4426" s="209">
        <f t="shared" si="237"/>
        <v>36.01</v>
      </c>
    </row>
    <row r="4427" spans="1:10" ht="26.25" customHeight="1">
      <c r="A4427" s="208" t="s">
        <v>245</v>
      </c>
      <c r="B4427" s="241"/>
      <c r="C4427" s="1181">
        <v>93358</v>
      </c>
      <c r="D4427" s="161" t="str">
        <f>IF(B4427="SEPLAG",VLOOKUP(COMPOSIÇÕES!C4427,'MAPA COMPARATIVO'!A:B,2,FALSE),VLOOKUP(C4427,'NAO DESO'!A:B,2,0))</f>
        <v>ESCAVAÇÃO MANUAL DE VALA COM PROFUNDIDADE MENOR OU IGUAL A 1,30 M. AF_02/2021</v>
      </c>
      <c r="E4427" s="241" t="str">
        <f>VLOOKUP($C4427,'NAO DESO'!$A:$D,3,)</f>
        <v>M3</v>
      </c>
      <c r="F4427" s="242">
        <v>1.92</v>
      </c>
      <c r="G4427" s="242" t="str">
        <f>IF(B4427="SEPLAG",VLOOKUP(CONCATENATE("MEDIANA - ",C4427),COTAÇÃO,5,FALSE),VLOOKUP($C4427,'NAO DESO'!$A:$D,4,))</f>
        <v>66,57</v>
      </c>
      <c r="H4427" s="242">
        <f t="shared" si="236"/>
        <v>127.81</v>
      </c>
      <c r="I4427" s="54" t="str">
        <f>IF(B4427="SEPLAG",VLOOKUP(CONCATENATE("MEDIANA - ",C4427),COTAÇÃO,5,FALSE),VLOOKUP($C4427,DESON!$A:$D,4,))</f>
        <v>59,97</v>
      </c>
      <c r="J4427" s="209">
        <f t="shared" si="237"/>
        <v>115.14</v>
      </c>
    </row>
    <row r="4428" spans="1:10" ht="26.25" customHeight="1">
      <c r="A4428" s="208" t="s">
        <v>245</v>
      </c>
      <c r="B4428" s="241"/>
      <c r="C4428" s="1181">
        <v>101617</v>
      </c>
      <c r="D4428" s="161" t="str">
        <f>IF(B4428="SEPLAG",VLOOKUP(COMPOSIÇÕES!C4428,'MAPA COMPARATIVO'!A:B,2,FALSE),VLOOKUP(C4428,'NAO DESO'!A:B,2,0))</f>
        <v>PREPARO DE FUNDO DE VALA COM LARGURA MAIOR OU IGUAL A 1,5 M E MENOR QUE 2,5 M (ACERTO DO SOLO NATURAL). AF_08/2020</v>
      </c>
      <c r="E4428" s="241" t="str">
        <f>VLOOKUP($C4428,'NAO DESO'!$A:$D,3,)</f>
        <v>M2</v>
      </c>
      <c r="F4428" s="242">
        <v>0.64</v>
      </c>
      <c r="G4428" s="242" t="str">
        <f>IF(B4428="SEPLAG",VLOOKUP(CONCATENATE("MEDIANA - ",C4428),COTAÇÃO,5,FALSE),VLOOKUP($C4428,'NAO DESO'!$A:$D,4,))</f>
        <v>2,38</v>
      </c>
      <c r="H4428" s="242">
        <f t="shared" si="236"/>
        <v>1.52</v>
      </c>
      <c r="I4428" s="54" t="str">
        <f>IF(B4428="SEPLAG",VLOOKUP(CONCATENATE("MEDIANA - ",C4428),COTAÇÃO,5,FALSE),VLOOKUP($C4428,DESON!$A:$D,4,))</f>
        <v>2,15</v>
      </c>
      <c r="J4428" s="209">
        <f t="shared" si="237"/>
        <v>1.37</v>
      </c>
    </row>
    <row r="4429" spans="1:10" ht="15" customHeight="1">
      <c r="A4429" s="208" t="s">
        <v>245</v>
      </c>
      <c r="B4429" s="241"/>
      <c r="C4429" s="1181">
        <v>96995</v>
      </c>
      <c r="D4429" s="161" t="str">
        <f>IF(B4429="SEPLAG",VLOOKUP(COMPOSIÇÕES!C4429,'MAPA COMPARATIVO'!A:B,2,FALSE),VLOOKUP(C4429,'NAO DESO'!A:B,2,0))</f>
        <v>REATERRO MANUAL APILOADO COM SOQUETE. AF_10/2017</v>
      </c>
      <c r="E4429" s="241" t="str">
        <f>VLOOKUP($C4429,'NAO DESO'!$A:$D,3,)</f>
        <v>M3</v>
      </c>
      <c r="F4429" s="242">
        <v>1.54</v>
      </c>
      <c r="G4429" s="242" t="str">
        <f>IF(B4429="SEPLAG",VLOOKUP(CONCATENATE("MEDIANA - ",C4429),COTAÇÃO,5,FALSE),VLOOKUP($C4429,'NAO DESO'!$A:$D,4,))</f>
        <v>40,36</v>
      </c>
      <c r="H4429" s="242">
        <f t="shared" si="236"/>
        <v>62.15</v>
      </c>
      <c r="I4429" s="54" t="str">
        <f>IF(B4429="SEPLAG",VLOOKUP(CONCATENATE("MEDIANA - ",C4429),COTAÇÃO,5,FALSE),VLOOKUP($C4429,DESON!$A:$D,4,))</f>
        <v>36,36</v>
      </c>
      <c r="J4429" s="209">
        <f t="shared" si="237"/>
        <v>55.99</v>
      </c>
    </row>
    <row r="4430" spans="1:10" ht="26.25" customHeight="1">
      <c r="A4430" s="208" t="s">
        <v>245</v>
      </c>
      <c r="B4430" s="241"/>
      <c r="C4430" s="1181">
        <v>98557</v>
      </c>
      <c r="D4430" s="161" t="str">
        <f>IF(B4430="SEPLAG",VLOOKUP(COMPOSIÇÕES!C4430,'MAPA COMPARATIVO'!A:B,2,FALSE),VLOOKUP(C4430,'NAO DESO'!A:B,2,0))</f>
        <v>IMPERMEABILIZAÇÃO DE SUPERFÍCIE COM EMULSÃO ASFÁLTICA, 2 DEMÃOS AF_06/2018</v>
      </c>
      <c r="E4430" s="241" t="str">
        <f>VLOOKUP($C4430,'NAO DESO'!$A:$D,3,)</f>
        <v>M2</v>
      </c>
      <c r="F4430" s="242">
        <f>F4425</f>
        <v>6.16</v>
      </c>
      <c r="G4430" s="242" t="str">
        <f>IF(B4430="SEPLAG",VLOOKUP(CONCATENATE("MEDIANA - ",C4430),COTAÇÃO,5,FALSE),VLOOKUP($C4430,'NAO DESO'!$A:$D,4,))</f>
        <v>58,82</v>
      </c>
      <c r="H4430" s="242">
        <f t="shared" si="236"/>
        <v>362.33</v>
      </c>
      <c r="I4430" s="54" t="str">
        <f>IF(B4430="SEPLAG",VLOOKUP(CONCATENATE("MEDIANA - ",C4430),COTAÇÃO,5,FALSE),VLOOKUP($C4430,DESON!$A:$D,4,))</f>
        <v>57,84</v>
      </c>
      <c r="J4430" s="209">
        <f t="shared" si="237"/>
        <v>356.29</v>
      </c>
    </row>
    <row r="4431" spans="1:10" ht="26.25" customHeight="1">
      <c r="A4431" s="208" t="s">
        <v>245</v>
      </c>
      <c r="B4431" s="241"/>
      <c r="C4431" s="1181">
        <v>11301</v>
      </c>
      <c r="D4431" s="161" t="str">
        <f>IF(B4431="SEPLAG",VLOOKUP(COMPOSIÇÕES!C4431,'MAPA COMPARATIVO'!A:B,2,FALSE),VLOOKUP(C4431,'NAO DESO'!A:B,2,0))</f>
        <v>TAMPAO FOFO ARTICULADO, CLASSE B125 CARGA MAX 12,5 T, REDONDO, TAMPA 600 MM (COM INSCRICAO EM RELEVO DO TIPO DE REDE)</v>
      </c>
      <c r="E4431" s="241" t="str">
        <f>VLOOKUP($C4431,'NAO DESO'!$A:$D,3,)</f>
        <v xml:space="preserve">UN    </v>
      </c>
      <c r="F4431" s="242">
        <v>1</v>
      </c>
      <c r="G4431" s="242">
        <f>IF(B4431="SEPLAG",VLOOKUP(CONCATENATE("MEDIANA - ",C4431),COTAÇÃO,5,FALSE),VLOOKUP($C4431,'NAO DESO'!$A:$D,4,))</f>
        <v>660.46</v>
      </c>
      <c r="H4431" s="242">
        <f t="shared" si="236"/>
        <v>660.46</v>
      </c>
      <c r="I4431" s="54" t="str">
        <f>IF(B4431="SEPLAG",VLOOKUP(CONCATENATE("MEDIANA - ",C4431),COTAÇÃO,5,FALSE),VLOOKUP($C4431,DESON!$A:$D,4,))</f>
        <v>660,46</v>
      </c>
      <c r="J4431" s="209">
        <f t="shared" si="237"/>
        <v>660.46</v>
      </c>
    </row>
    <row r="4432" spans="1:10" ht="39" customHeight="1">
      <c r="A4432" s="208" t="s">
        <v>245</v>
      </c>
      <c r="B4432" s="241"/>
      <c r="C4432" s="1181">
        <v>92775</v>
      </c>
      <c r="D4432" s="161" t="str">
        <f>IF(B4432="SEPLAG",VLOOKUP(COMPOSIÇÕES!C4432,'MAPA COMPARATIVO'!A:B,2,FALSE),VLOOKUP(C4432,'NAO DESO'!A:B,2,0))</f>
        <v>ARMAÇÃO DE PILAR OU VIGA DE UMA ESTRUTURA CONVENCIONAL DE CONCRETO ARMADO EM UMA EDIFICAÇÃO TÉRREA OU SOBRADO UTILIZANDO AÇO CA-60 DE 5,0 MM - MONTAGEM. AF_12/2015</v>
      </c>
      <c r="E4432" s="241" t="str">
        <f>VLOOKUP($C4432,'NAO DESO'!$A:$D,3,)</f>
        <v>KG</v>
      </c>
      <c r="F4432" s="242">
        <v>1.29</v>
      </c>
      <c r="G4432" s="242" t="str">
        <f>IF(B4432="SEPLAG",VLOOKUP(CONCATENATE("MEDIANA - ",C4432),COTAÇÃO,5,FALSE),VLOOKUP($C4432,'NAO DESO'!$A:$D,4,))</f>
        <v>18,46</v>
      </c>
      <c r="H4432" s="242">
        <f t="shared" si="236"/>
        <v>23.81</v>
      </c>
      <c r="I4432" s="54" t="str">
        <f>IF(B4432="SEPLAG",VLOOKUP(CONCATENATE("MEDIANA - ",C4432),COTAÇÃO,5,FALSE),VLOOKUP($C4432,DESON!$A:$D,4,))</f>
        <v>17,71</v>
      </c>
      <c r="J4432" s="209">
        <f t="shared" si="237"/>
        <v>22.84</v>
      </c>
    </row>
    <row r="4433" spans="1:10" ht="39" customHeight="1">
      <c r="A4433" s="208" t="s">
        <v>245</v>
      </c>
      <c r="B4433" s="241"/>
      <c r="C4433" s="1181">
        <v>92778</v>
      </c>
      <c r="D4433" s="161" t="str">
        <f>IF(B4433="SEPLAG",VLOOKUP(COMPOSIÇÕES!C4433,'MAPA COMPARATIVO'!A:B,2,FALSE),VLOOKUP(C4433,'NAO DESO'!A:B,2,0))</f>
        <v>ARMAÇÃO DE PILAR OU VIGA DE UMA ESTRUTURA CONVENCIONAL DE CONCRETO ARMADO EM UMA EDIFICAÇÃO TÉRREA OU SOBRADO UTILIZANDO AÇO CA-50 DE 10,0 MM - MONTAGEM. AF_12/2015</v>
      </c>
      <c r="E4433" s="241" t="str">
        <f>VLOOKUP($C4433,'NAO DESO'!$A:$D,3,)</f>
        <v>KG</v>
      </c>
      <c r="F4433" s="242">
        <v>6.91</v>
      </c>
      <c r="G4433" s="242" t="str">
        <f>IF(B4433="SEPLAG",VLOOKUP(CONCATENATE("MEDIANA - ",C4433),COTAÇÃO,5,FALSE),VLOOKUP($C4433,'NAO DESO'!$A:$D,4,))</f>
        <v>14,78</v>
      </c>
      <c r="H4433" s="242">
        <f t="shared" si="236"/>
        <v>102.12</v>
      </c>
      <c r="I4433" s="54" t="str">
        <f>IF(B4433="SEPLAG",VLOOKUP(CONCATENATE("MEDIANA - ",C4433),COTAÇÃO,5,FALSE),VLOOKUP($C4433,DESON!$A:$D,4,))</f>
        <v>14,50</v>
      </c>
      <c r="J4433" s="209">
        <f t="shared" si="237"/>
        <v>100.19</v>
      </c>
    </row>
    <row r="4434" spans="1:10" ht="39" customHeight="1">
      <c r="A4434" s="208" t="s">
        <v>245</v>
      </c>
      <c r="B4434" s="241"/>
      <c r="C4434" s="1181">
        <v>92423</v>
      </c>
      <c r="D4434" s="161" t="str">
        <f>IF(B4434="SEPLAG",VLOOKUP(COMPOSIÇÕES!C4434,'MAPA COMPARATIVO'!A:B,2,FALSE),VLOOKUP(C4434,'NAO DESO'!A:B,2,0))</f>
        <v>MONTAGEM E DESMONTAGEM DE FÔRMA DE PILARES RETANGULARES E ESTRUTURAS SIMILARES, PÉ-DIREITO SIMPLES, EM CHAPA DE MADEIRA COMPENSADA RESINADA, 6 UTILIZAÇÕES. AF_09/2020</v>
      </c>
      <c r="E4434" s="241" t="str">
        <f>VLOOKUP($C4434,'NAO DESO'!$A:$D,3,)</f>
        <v>M2</v>
      </c>
      <c r="F4434" s="242">
        <v>0.84</v>
      </c>
      <c r="G4434" s="242" t="str">
        <f>IF(B4434="SEPLAG",VLOOKUP(CONCATENATE("MEDIANA - ",C4434),COTAÇÃO,5,FALSE),VLOOKUP($C4434,'NAO DESO'!$A:$D,4,))</f>
        <v>67,90</v>
      </c>
      <c r="H4434" s="242">
        <f t="shared" si="236"/>
        <v>57.03</v>
      </c>
      <c r="I4434" s="54" t="str">
        <f>IF(B4434="SEPLAG",VLOOKUP(CONCATENATE("MEDIANA - ",C4434),COTAÇÃO,5,FALSE),VLOOKUP($C4434,DESON!$A:$D,4,))</f>
        <v>65,30</v>
      </c>
      <c r="J4434" s="209">
        <f t="shared" si="237"/>
        <v>54.85</v>
      </c>
    </row>
    <row r="4435" spans="1:10" ht="15" customHeight="1">
      <c r="A4435" s="208" t="s">
        <v>245</v>
      </c>
      <c r="B4435" s="241"/>
      <c r="C4435" s="1181">
        <v>88309</v>
      </c>
      <c r="D4435" s="161" t="str">
        <f>IF(B4435="SEPLAG",VLOOKUP(COMPOSIÇÕES!C4435,'MAPA COMPARATIVO'!A:B,2,FALSE),VLOOKUP(C4435,'NAO DESO'!A:B,2,0))</f>
        <v>PEDREIRO COM ENCARGOS COMPLEMENTARES</v>
      </c>
      <c r="E4435" s="241" t="str">
        <f>VLOOKUP($C4435,'NAO DESO'!$A:$D,3,)</f>
        <v>H</v>
      </c>
      <c r="F4435" s="242">
        <v>1</v>
      </c>
      <c r="G4435" s="242" t="str">
        <f>IF(B4435="SEPLAG",VLOOKUP(CONCATENATE("MEDIANA - ",C4435),COTAÇÃO,5,FALSE),VLOOKUP($C4435,'NAO DESO'!$A:$D,4,))</f>
        <v>21,10</v>
      </c>
      <c r="H4435" s="242">
        <f t="shared" si="236"/>
        <v>21.1</v>
      </c>
      <c r="I4435" s="54" t="str">
        <f>IF(B4435="SEPLAG",VLOOKUP(CONCATENATE("MEDIANA - ",C4435),COTAÇÃO,5,FALSE),VLOOKUP($C4435,DESON!$A:$D,4,))</f>
        <v>18,86</v>
      </c>
      <c r="J4435" s="209">
        <f t="shared" si="237"/>
        <v>18.86</v>
      </c>
    </row>
    <row r="4436" spans="1:10" ht="15" customHeight="1">
      <c r="A4436" s="208" t="s">
        <v>245</v>
      </c>
      <c r="B4436" s="241"/>
      <c r="C4436" s="1181">
        <v>88316</v>
      </c>
      <c r="D4436" s="161" t="str">
        <f>IF(B4436="SEPLAG",VLOOKUP(COMPOSIÇÕES!C4436,'MAPA COMPARATIVO'!A:B,2,FALSE),VLOOKUP(C4436,'NAO DESO'!A:B,2,0))</f>
        <v>SERVENTE COM ENCARGOS COMPLEMENTARES</v>
      </c>
      <c r="E4436" s="241" t="str">
        <f>VLOOKUP($C4436,'NAO DESO'!$A:$D,3,)</f>
        <v>H</v>
      </c>
      <c r="F4436" s="242">
        <v>1</v>
      </c>
      <c r="G4436" s="242" t="str">
        <f>IF(B4436="SEPLAG",VLOOKUP(CONCATENATE("MEDIANA - ",C4436),COTAÇÃO,5,FALSE),VLOOKUP($C4436,'NAO DESO'!$A:$D,4,))</f>
        <v>16,83</v>
      </c>
      <c r="H4436" s="242">
        <f t="shared" si="236"/>
        <v>16.829999999999998</v>
      </c>
      <c r="I4436" s="54" t="str">
        <f>IF(B4436="SEPLAG",VLOOKUP(CONCATENATE("MEDIANA - ",C4436),COTAÇÃO,5,FALSE),VLOOKUP($C4436,DESON!$A:$D,4,))</f>
        <v>15,16</v>
      </c>
      <c r="J4436" s="209">
        <f t="shared" si="237"/>
        <v>15.16</v>
      </c>
    </row>
    <row r="4437" spans="1:10" ht="15" customHeight="1">
      <c r="A4437" s="210" t="str">
        <f>CONCATENATE("TOTAL DO ITEM NÃO DESON. - ",C4421)</f>
        <v>TOTAL DO ITEM NÃO DESON. - SEPLAG HIDR 22</v>
      </c>
      <c r="B4437" s="430"/>
      <c r="C4437" s="430"/>
      <c r="D4437" s="430"/>
      <c r="E4437" s="430"/>
      <c r="F4437" s="1180"/>
      <c r="G4437" s="1180"/>
      <c r="H4437" s="1182">
        <f>SUM(H4424:H4436)</f>
        <v>1834.6899999999998</v>
      </c>
      <c r="I4437" s="231"/>
      <c r="J4437" s="215"/>
    </row>
    <row r="4438" spans="1:10" ht="15.75" customHeight="1" thickBot="1">
      <c r="A4438" s="216" t="str">
        <f>CONCATENATE("TOTAL DO ITEM DESON. - ",C4421)</f>
        <v>TOTAL DO ITEM DESON. - SEPLAG HIDR 22</v>
      </c>
      <c r="B4438" s="1142"/>
      <c r="C4438" s="1142"/>
      <c r="D4438" s="1142"/>
      <c r="E4438" s="1142"/>
      <c r="F4438" s="1211"/>
      <c r="G4438" s="1211"/>
      <c r="H4438" s="1187"/>
      <c r="I4438" s="260"/>
      <c r="J4438" s="219">
        <f>SUM(J4424:J4436)</f>
        <v>1786.26</v>
      </c>
    </row>
    <row r="4439" spans="1:10" ht="15" customHeight="1" thickBot="1">
      <c r="A4439" s="421"/>
      <c r="B4439" s="1138"/>
      <c r="C4439" s="1138"/>
      <c r="D4439" s="1138"/>
      <c r="E4439" s="1154"/>
      <c r="F4439" s="1196"/>
      <c r="G4439" s="1196"/>
      <c r="H4439" s="1196"/>
      <c r="I4439" s="422"/>
      <c r="J4439" s="422"/>
    </row>
    <row r="4440" spans="1:10" ht="38.25" customHeight="1">
      <c r="A4440" s="256"/>
      <c r="B4440" s="1152"/>
      <c r="C4440" s="1176" t="s">
        <v>7494</v>
      </c>
      <c r="D4440" s="156" t="s">
        <v>27952</v>
      </c>
      <c r="E4440" s="1176" t="s">
        <v>24</v>
      </c>
      <c r="F4440" s="1177" t="s">
        <v>18</v>
      </c>
      <c r="G4440" s="1178" t="s">
        <v>7015</v>
      </c>
      <c r="H4440" s="1179"/>
      <c r="I4440" s="200" t="s">
        <v>7016</v>
      </c>
      <c r="J4440" s="201"/>
    </row>
    <row r="4441" spans="1:10" ht="15" customHeight="1">
      <c r="A4441" s="257"/>
      <c r="B4441" s="430"/>
      <c r="C4441" s="1155"/>
      <c r="D4441" s="157"/>
      <c r="E4441" s="1155"/>
      <c r="F4441" s="1180"/>
      <c r="G4441" s="1180" t="s">
        <v>19</v>
      </c>
      <c r="H4441" s="1180" t="s">
        <v>20</v>
      </c>
      <c r="I4441" s="204" t="s">
        <v>19</v>
      </c>
      <c r="J4441" s="206" t="s">
        <v>20</v>
      </c>
    </row>
    <row r="4442" spans="1:10" ht="15" customHeight="1">
      <c r="A4442" s="258"/>
      <c r="B4442" s="1155"/>
      <c r="C4442" s="1155"/>
      <c r="D4442" s="157"/>
      <c r="E4442" s="1155"/>
      <c r="F4442" s="1180"/>
      <c r="G4442" s="1180"/>
      <c r="H4442" s="1180"/>
      <c r="I4442" s="238"/>
      <c r="J4442" s="259"/>
    </row>
    <row r="4443" spans="1:10" ht="39" customHeight="1">
      <c r="A4443" s="208" t="s">
        <v>245</v>
      </c>
      <c r="B4443" s="241"/>
      <c r="C4443" s="1181">
        <v>101159</v>
      </c>
      <c r="D4443" s="161" t="str">
        <f>IF(B4443="SEPLAG",VLOOKUP(COMPOSIÇÕES!C4443,'MAPA COMPARATIVO'!A:B,2,FALSE),VLOOKUP(C4443,'NAO DESO'!A:B,2,0))</f>
        <v>ALVENARIA DE VEDAÇÃO DE BLOCOS CERÂMICOS MACIÇOS DE 5X10X20CM (ESPESSURA 10CM) E ARGAMASSA DE ASSENTAMENTO COM PREPARO EM BETONEIRA. AF_05/2020</v>
      </c>
      <c r="E4443" s="241" t="str">
        <f>VLOOKUP($C4443,'NAO DESO'!$A:$D,3,)</f>
        <v>M2</v>
      </c>
      <c r="F4443" s="242">
        <v>1.82</v>
      </c>
      <c r="G4443" s="242" t="str">
        <f>IF(B4443="SEPLAG",VLOOKUP(CONCATENATE("MEDIANA - ",C4443),COTAÇÃO,5,FALSE),VLOOKUP($C4443,'NAO DESO'!$A:$D,4,))</f>
        <v>126,63</v>
      </c>
      <c r="H4443" s="242">
        <f t="shared" ref="H4443:H4455" si="238">TRUNC(F4443*G4443,2)</f>
        <v>230.46</v>
      </c>
      <c r="I4443" s="54" t="str">
        <f>IF(B4443="SEPLAG",VLOOKUP(CONCATENATE("MEDIANA - ",C4443),COTAÇÃO,5,FALSE),VLOOKUP($C4443,DESON!$A:$D,4,))</f>
        <v>120,46</v>
      </c>
      <c r="J4443" s="209">
        <f t="shared" ref="J4443:J4455" si="239">TRUNC(F4443*I4443,2)</f>
        <v>219.23</v>
      </c>
    </row>
    <row r="4444" spans="1:10" ht="64.5" customHeight="1">
      <c r="A4444" s="208" t="s">
        <v>245</v>
      </c>
      <c r="B4444" s="241"/>
      <c r="C4444" s="1181">
        <v>87543</v>
      </c>
      <c r="D4444" s="161" t="str">
        <f>IF(B4444="SEPLAG",VLOOKUP(COMPOSIÇÕES!C4444,'MAPA COMPARATIVO'!A:B,2,FALSE),VLOOKUP(C4444,'NAO DESO'!A:B,2,0))</f>
        <v>MASSA ÚNICA, PARA RECEBIMENTO DE PINTURA OU CERÂMICA, ARGAMASSA INDUSTRIALIZADA, PREPARO MECÂNICO, APLICADO COM EQUIPAMENTO DE MISTURA E PROJEÇÃO DE 1,5 M3/H EM FACES INTERNAS DE PAREDES, ESPESSURA DE 5MM, SEM EXECUÇÃO DE TALISCAS. AF_06/2014</v>
      </c>
      <c r="E4444" s="241" t="str">
        <f>VLOOKUP($C4444,'NAO DESO'!$A:$D,3,)</f>
        <v>M2</v>
      </c>
      <c r="F4444" s="242">
        <v>6.44</v>
      </c>
      <c r="G4444" s="242" t="str">
        <f>IF(B4444="SEPLAG",VLOOKUP(CONCATENATE("MEDIANA - ",C4444),COTAÇÃO,5,FALSE),VLOOKUP($C4444,'NAO DESO'!$A:$D,4,))</f>
        <v>24,40</v>
      </c>
      <c r="H4444" s="242">
        <f t="shared" si="238"/>
        <v>157.13</v>
      </c>
      <c r="I4444" s="54" t="str">
        <f>IF(B4444="SEPLAG",VLOOKUP(CONCATENATE("MEDIANA - ",C4444),COTAÇÃO,5,FALSE),VLOOKUP($C4444,DESON!$A:$D,4,))</f>
        <v>23,82</v>
      </c>
      <c r="J4444" s="209">
        <f t="shared" si="239"/>
        <v>153.4</v>
      </c>
    </row>
    <row r="4445" spans="1:10" ht="39" customHeight="1">
      <c r="A4445" s="208" t="s">
        <v>245</v>
      </c>
      <c r="B4445" s="241"/>
      <c r="C4445" s="1181">
        <v>94970</v>
      </c>
      <c r="D4445" s="161" t="str">
        <f>IF(B4445="SEPLAG",VLOOKUP(COMPOSIÇÕES!C4445,'MAPA COMPARATIVO'!A:B,2,FALSE),VLOOKUP(C4445,'NAO DESO'!A:B,2,0))</f>
        <v>CONCRETO FCK = 20MPA, TRAÇO 1:2,7:3 (EM MASSA SECA DE CIMENTO/ AREIA MÉDIA/ BRITA 1) - PREPARO MECÂNICO COM BETONEIRA 600 L. AF_05/2021</v>
      </c>
      <c r="E4445" s="241" t="str">
        <f>VLOOKUP($C4445,'NAO DESO'!$A:$D,3,)</f>
        <v>M3</v>
      </c>
      <c r="F4445" s="242">
        <v>0.09</v>
      </c>
      <c r="G4445" s="242" t="str">
        <f>IF(B4445="SEPLAG",VLOOKUP(CONCATENATE("MEDIANA - ",C4445),COTAÇÃO,5,FALSE),VLOOKUP($C4445,'NAO DESO'!$A:$D,4,))</f>
        <v>405,57</v>
      </c>
      <c r="H4445" s="242">
        <f t="shared" si="238"/>
        <v>36.5</v>
      </c>
      <c r="I4445" s="54" t="str">
        <f>IF(B4445="SEPLAG",VLOOKUP(CONCATENATE("MEDIANA - ",C4445),COTAÇÃO,5,FALSE),VLOOKUP($C4445,DESON!$A:$D,4,))</f>
        <v>400,17</v>
      </c>
      <c r="J4445" s="209">
        <f t="shared" si="239"/>
        <v>36.01</v>
      </c>
    </row>
    <row r="4446" spans="1:10" ht="26.25" customHeight="1">
      <c r="A4446" s="208" t="s">
        <v>245</v>
      </c>
      <c r="B4446" s="241"/>
      <c r="C4446" s="1181">
        <v>93358</v>
      </c>
      <c r="D4446" s="161" t="str">
        <f>IF(B4446="SEPLAG",VLOOKUP(COMPOSIÇÕES!C4446,'MAPA COMPARATIVO'!A:B,2,FALSE),VLOOKUP(C4446,'NAO DESO'!A:B,2,0))</f>
        <v>ESCAVAÇÃO MANUAL DE VALA COM PROFUNDIDADE MENOR OU IGUAL A 1,30 M. AF_02/2021</v>
      </c>
      <c r="E4446" s="241" t="str">
        <f>VLOOKUP($C4446,'NAO DESO'!$A:$D,3,)</f>
        <v>M3</v>
      </c>
      <c r="F4446" s="242">
        <v>2.0499999999999998</v>
      </c>
      <c r="G4446" s="242" t="str">
        <f>IF(B4446="SEPLAG",VLOOKUP(CONCATENATE("MEDIANA - ",C4446),COTAÇÃO,5,FALSE),VLOOKUP($C4446,'NAO DESO'!$A:$D,4,))</f>
        <v>66,57</v>
      </c>
      <c r="H4446" s="242">
        <f t="shared" si="238"/>
        <v>136.46</v>
      </c>
      <c r="I4446" s="54" t="str">
        <f>IF(B4446="SEPLAG",VLOOKUP(CONCATENATE("MEDIANA - ",C4446),COTAÇÃO,5,FALSE),VLOOKUP($C4446,DESON!$A:$D,4,))</f>
        <v>59,97</v>
      </c>
      <c r="J4446" s="209">
        <f t="shared" si="239"/>
        <v>122.93</v>
      </c>
    </row>
    <row r="4447" spans="1:10" ht="26.25" customHeight="1">
      <c r="A4447" s="208" t="s">
        <v>245</v>
      </c>
      <c r="B4447" s="241"/>
      <c r="C4447" s="1181">
        <v>101617</v>
      </c>
      <c r="D4447" s="161" t="str">
        <f>IF(B4447="SEPLAG",VLOOKUP(COMPOSIÇÕES!C4447,'MAPA COMPARATIVO'!A:B,2,FALSE),VLOOKUP(C4447,'NAO DESO'!A:B,2,0))</f>
        <v>PREPARO DE FUNDO DE VALA COM LARGURA MAIOR OU IGUAL A 1,5 M E MENOR QUE 2,5 M (ACERTO DO SOLO NATURAL). AF_08/2020</v>
      </c>
      <c r="E4447" s="241" t="str">
        <f>VLOOKUP($C4447,'NAO DESO'!$A:$D,3,)</f>
        <v>M2</v>
      </c>
      <c r="F4447" s="242">
        <v>0.64</v>
      </c>
      <c r="G4447" s="242" t="str">
        <f>IF(B4447="SEPLAG",VLOOKUP(CONCATENATE("MEDIANA - ",C4447),COTAÇÃO,5,FALSE),VLOOKUP($C4447,'NAO DESO'!$A:$D,4,))</f>
        <v>2,38</v>
      </c>
      <c r="H4447" s="242">
        <f t="shared" si="238"/>
        <v>1.52</v>
      </c>
      <c r="I4447" s="54" t="str">
        <f>IF(B4447="SEPLAG",VLOOKUP(CONCATENATE("MEDIANA - ",C4447),COTAÇÃO,5,FALSE),VLOOKUP($C4447,DESON!$A:$D,4,))</f>
        <v>2,15</v>
      </c>
      <c r="J4447" s="209">
        <f t="shared" si="239"/>
        <v>1.37</v>
      </c>
    </row>
    <row r="4448" spans="1:10" ht="15" customHeight="1">
      <c r="A4448" s="208" t="s">
        <v>245</v>
      </c>
      <c r="B4448" s="241"/>
      <c r="C4448" s="1181">
        <v>96995</v>
      </c>
      <c r="D4448" s="161" t="str">
        <f>IF(B4448="SEPLAG",VLOOKUP(COMPOSIÇÕES!C4448,'MAPA COMPARATIVO'!A:B,2,FALSE),VLOOKUP(C4448,'NAO DESO'!A:B,2,0))</f>
        <v>REATERRO MANUAL APILOADO COM SOQUETE. AF_10/2017</v>
      </c>
      <c r="E4448" s="241" t="str">
        <f>VLOOKUP($C4448,'NAO DESO'!$A:$D,3,)</f>
        <v>M3</v>
      </c>
      <c r="F4448" s="242">
        <v>1.63</v>
      </c>
      <c r="G4448" s="242" t="str">
        <f>IF(B4448="SEPLAG",VLOOKUP(CONCATENATE("MEDIANA - ",C4448),COTAÇÃO,5,FALSE),VLOOKUP($C4448,'NAO DESO'!$A:$D,4,))</f>
        <v>40,36</v>
      </c>
      <c r="H4448" s="242">
        <f t="shared" si="238"/>
        <v>65.78</v>
      </c>
      <c r="I4448" s="54" t="str">
        <f>IF(B4448="SEPLAG",VLOOKUP(CONCATENATE("MEDIANA - ",C4448),COTAÇÃO,5,FALSE),VLOOKUP($C4448,DESON!$A:$D,4,))</f>
        <v>36,36</v>
      </c>
      <c r="J4448" s="209">
        <f t="shared" si="239"/>
        <v>59.26</v>
      </c>
    </row>
    <row r="4449" spans="1:10" ht="26.25" customHeight="1">
      <c r="A4449" s="208" t="s">
        <v>245</v>
      </c>
      <c r="B4449" s="241"/>
      <c r="C4449" s="1181">
        <v>98557</v>
      </c>
      <c r="D4449" s="161" t="str">
        <f>IF(B4449="SEPLAG",VLOOKUP(COMPOSIÇÕES!C4449,'MAPA COMPARATIVO'!A:B,2,FALSE),VLOOKUP(C4449,'NAO DESO'!A:B,2,0))</f>
        <v>IMPERMEABILIZAÇÃO DE SUPERFÍCIE COM EMULSÃO ASFÁLTICA, 2 DEMÃOS AF_06/2018</v>
      </c>
      <c r="E4449" s="241" t="str">
        <f>VLOOKUP($C4449,'NAO DESO'!$A:$D,3,)</f>
        <v>M2</v>
      </c>
      <c r="F4449" s="242">
        <f>F4444</f>
        <v>6.44</v>
      </c>
      <c r="G4449" s="242" t="str">
        <f>IF(B4449="SEPLAG",VLOOKUP(CONCATENATE("MEDIANA - ",C4449),COTAÇÃO,5,FALSE),VLOOKUP($C4449,'NAO DESO'!$A:$D,4,))</f>
        <v>58,82</v>
      </c>
      <c r="H4449" s="242">
        <f t="shared" si="238"/>
        <v>378.8</v>
      </c>
      <c r="I4449" s="54" t="str">
        <f>IF(B4449="SEPLAG",VLOOKUP(CONCATENATE("MEDIANA - ",C4449),COTAÇÃO,5,FALSE),VLOOKUP($C4449,DESON!$A:$D,4,))</f>
        <v>57,84</v>
      </c>
      <c r="J4449" s="209">
        <f t="shared" si="239"/>
        <v>372.48</v>
      </c>
    </row>
    <row r="4450" spans="1:10" ht="26.25" customHeight="1">
      <c r="A4450" s="208" t="s">
        <v>245</v>
      </c>
      <c r="B4450" s="241"/>
      <c r="C4450" s="1181">
        <v>11301</v>
      </c>
      <c r="D4450" s="161" t="str">
        <f>IF(B4450="SEPLAG",VLOOKUP(COMPOSIÇÕES!C4450,'MAPA COMPARATIVO'!A:B,2,FALSE),VLOOKUP(C4450,'NAO DESO'!A:B,2,0))</f>
        <v>TAMPAO FOFO ARTICULADO, CLASSE B125 CARGA MAX 12,5 T, REDONDO, TAMPA 600 MM (COM INSCRICAO EM RELEVO DO TIPO DE REDE)</v>
      </c>
      <c r="E4450" s="241" t="str">
        <f>VLOOKUP($C4450,'NAO DESO'!$A:$D,3,)</f>
        <v xml:space="preserve">UN    </v>
      </c>
      <c r="F4450" s="242">
        <v>1</v>
      </c>
      <c r="G4450" s="242">
        <f>IF(B4450="SEPLAG",VLOOKUP(CONCATENATE("MEDIANA - ",C4450),COTAÇÃO,5,FALSE),VLOOKUP($C4450,'NAO DESO'!$A:$D,4,))</f>
        <v>660.46</v>
      </c>
      <c r="H4450" s="242">
        <f t="shared" si="238"/>
        <v>660.46</v>
      </c>
      <c r="I4450" s="54" t="str">
        <f>IF(B4450="SEPLAG",VLOOKUP(CONCATENATE("MEDIANA - ",C4450),COTAÇÃO,5,FALSE),VLOOKUP($C4450,DESON!$A:$D,4,))</f>
        <v>660,46</v>
      </c>
      <c r="J4450" s="209">
        <f t="shared" si="239"/>
        <v>660.46</v>
      </c>
    </row>
    <row r="4451" spans="1:10" ht="39" customHeight="1">
      <c r="A4451" s="208" t="s">
        <v>245</v>
      </c>
      <c r="B4451" s="241"/>
      <c r="C4451" s="1181">
        <v>92775</v>
      </c>
      <c r="D4451" s="161" t="str">
        <f>IF(B4451="SEPLAG",VLOOKUP(COMPOSIÇÕES!C4451,'MAPA COMPARATIVO'!A:B,2,FALSE),VLOOKUP(C4451,'NAO DESO'!A:B,2,0))</f>
        <v>ARMAÇÃO DE PILAR OU VIGA DE UMA ESTRUTURA CONVENCIONAL DE CONCRETO ARMADO EM UMA EDIFICAÇÃO TÉRREA OU SOBRADO UTILIZANDO AÇO CA-60 DE 5,0 MM - MONTAGEM. AF_12/2015</v>
      </c>
      <c r="E4451" s="241" t="str">
        <f>VLOOKUP($C4451,'NAO DESO'!$A:$D,3,)</f>
        <v>KG</v>
      </c>
      <c r="F4451" s="242">
        <v>1.29</v>
      </c>
      <c r="G4451" s="242" t="str">
        <f>IF(B4451="SEPLAG",VLOOKUP(CONCATENATE("MEDIANA - ",C4451),COTAÇÃO,5,FALSE),VLOOKUP($C4451,'NAO DESO'!$A:$D,4,))</f>
        <v>18,46</v>
      </c>
      <c r="H4451" s="242">
        <f t="shared" si="238"/>
        <v>23.81</v>
      </c>
      <c r="I4451" s="54" t="str">
        <f>IF(B4451="SEPLAG",VLOOKUP(CONCATENATE("MEDIANA - ",C4451),COTAÇÃO,5,FALSE),VLOOKUP($C4451,DESON!$A:$D,4,))</f>
        <v>17,71</v>
      </c>
      <c r="J4451" s="209">
        <f t="shared" si="239"/>
        <v>22.84</v>
      </c>
    </row>
    <row r="4452" spans="1:10" ht="39" customHeight="1">
      <c r="A4452" s="208" t="s">
        <v>245</v>
      </c>
      <c r="B4452" s="241"/>
      <c r="C4452" s="1181">
        <v>92778</v>
      </c>
      <c r="D4452" s="161" t="str">
        <f>IF(B4452="SEPLAG",VLOOKUP(COMPOSIÇÕES!C4452,'MAPA COMPARATIVO'!A:B,2,FALSE),VLOOKUP(C4452,'NAO DESO'!A:B,2,0))</f>
        <v>ARMAÇÃO DE PILAR OU VIGA DE UMA ESTRUTURA CONVENCIONAL DE CONCRETO ARMADO EM UMA EDIFICAÇÃO TÉRREA OU SOBRADO UTILIZANDO AÇO CA-50 DE 10,0 MM - MONTAGEM. AF_12/2015</v>
      </c>
      <c r="E4452" s="241" t="str">
        <f>VLOOKUP($C4452,'NAO DESO'!$A:$D,3,)</f>
        <v>KG</v>
      </c>
      <c r="F4452" s="242">
        <v>6.91</v>
      </c>
      <c r="G4452" s="242" t="str">
        <f>IF(B4452="SEPLAG",VLOOKUP(CONCATENATE("MEDIANA - ",C4452),COTAÇÃO,5,FALSE),VLOOKUP($C4452,'NAO DESO'!$A:$D,4,))</f>
        <v>14,78</v>
      </c>
      <c r="H4452" s="242">
        <f t="shared" si="238"/>
        <v>102.12</v>
      </c>
      <c r="I4452" s="54" t="str">
        <f>IF(B4452="SEPLAG",VLOOKUP(CONCATENATE("MEDIANA - ",C4452),COTAÇÃO,5,FALSE),VLOOKUP($C4452,DESON!$A:$D,4,))</f>
        <v>14,50</v>
      </c>
      <c r="J4452" s="209">
        <f t="shared" si="239"/>
        <v>100.19</v>
      </c>
    </row>
    <row r="4453" spans="1:10" ht="39" customHeight="1">
      <c r="A4453" s="208" t="s">
        <v>245</v>
      </c>
      <c r="B4453" s="241"/>
      <c r="C4453" s="1181">
        <v>92423</v>
      </c>
      <c r="D4453" s="161" t="str">
        <f>IF(B4453="SEPLAG",VLOOKUP(COMPOSIÇÕES!C4453,'MAPA COMPARATIVO'!A:B,2,FALSE),VLOOKUP(C4453,'NAO DESO'!A:B,2,0))</f>
        <v>MONTAGEM E DESMONTAGEM DE FÔRMA DE PILARES RETANGULARES E ESTRUTURAS SIMILARES, PÉ-DIREITO SIMPLES, EM CHAPA DE MADEIRA COMPENSADA RESINADA, 6 UTILIZAÇÕES. AF_09/2020</v>
      </c>
      <c r="E4453" s="241" t="str">
        <f>VLOOKUP($C4453,'NAO DESO'!$A:$D,3,)</f>
        <v>M2</v>
      </c>
      <c r="F4453" s="242">
        <v>0.84</v>
      </c>
      <c r="G4453" s="242" t="str">
        <f>IF(B4453="SEPLAG",VLOOKUP(CONCATENATE("MEDIANA - ",C4453),COTAÇÃO,5,FALSE),VLOOKUP($C4453,'NAO DESO'!$A:$D,4,))</f>
        <v>67,90</v>
      </c>
      <c r="H4453" s="242">
        <f t="shared" si="238"/>
        <v>57.03</v>
      </c>
      <c r="I4453" s="54" t="str">
        <f>IF(B4453="SEPLAG",VLOOKUP(CONCATENATE("MEDIANA - ",C4453),COTAÇÃO,5,FALSE),VLOOKUP($C4453,DESON!$A:$D,4,))</f>
        <v>65,30</v>
      </c>
      <c r="J4453" s="209">
        <f t="shared" si="239"/>
        <v>54.85</v>
      </c>
    </row>
    <row r="4454" spans="1:10" ht="15" customHeight="1">
      <c r="A4454" s="208" t="s">
        <v>245</v>
      </c>
      <c r="B4454" s="241"/>
      <c r="C4454" s="1181">
        <v>88309</v>
      </c>
      <c r="D4454" s="161" t="str">
        <f>IF(B4454="SEPLAG",VLOOKUP(COMPOSIÇÕES!C4454,'MAPA COMPARATIVO'!A:B,2,FALSE),VLOOKUP(C4454,'NAO DESO'!A:B,2,0))</f>
        <v>PEDREIRO COM ENCARGOS COMPLEMENTARES</v>
      </c>
      <c r="E4454" s="241" t="str">
        <f>VLOOKUP($C4454,'NAO DESO'!$A:$D,3,)</f>
        <v>H</v>
      </c>
      <c r="F4454" s="242">
        <v>1</v>
      </c>
      <c r="G4454" s="242" t="str">
        <f>IF(B4454="SEPLAG",VLOOKUP(CONCATENATE("MEDIANA - ",C4454),COTAÇÃO,5,FALSE),VLOOKUP($C4454,'NAO DESO'!$A:$D,4,))</f>
        <v>21,10</v>
      </c>
      <c r="H4454" s="242">
        <f t="shared" si="238"/>
        <v>21.1</v>
      </c>
      <c r="I4454" s="54" t="str">
        <f>IF(B4454="SEPLAG",VLOOKUP(CONCATENATE("MEDIANA - ",C4454),COTAÇÃO,5,FALSE),VLOOKUP($C4454,DESON!$A:$D,4,))</f>
        <v>18,86</v>
      </c>
      <c r="J4454" s="209">
        <f t="shared" si="239"/>
        <v>18.86</v>
      </c>
    </row>
    <row r="4455" spans="1:10" ht="15" customHeight="1">
      <c r="A4455" s="208" t="s">
        <v>245</v>
      </c>
      <c r="B4455" s="241"/>
      <c r="C4455" s="1181">
        <v>88316</v>
      </c>
      <c r="D4455" s="161" t="str">
        <f>IF(B4455="SEPLAG",VLOOKUP(COMPOSIÇÕES!C4455,'MAPA COMPARATIVO'!A:B,2,FALSE),VLOOKUP(C4455,'NAO DESO'!A:B,2,0))</f>
        <v>SERVENTE COM ENCARGOS COMPLEMENTARES</v>
      </c>
      <c r="E4455" s="241" t="str">
        <f>VLOOKUP($C4455,'NAO DESO'!$A:$D,3,)</f>
        <v>H</v>
      </c>
      <c r="F4455" s="242">
        <v>1</v>
      </c>
      <c r="G4455" s="242" t="str">
        <f>IF(B4455="SEPLAG",VLOOKUP(CONCATENATE("MEDIANA - ",C4455),COTAÇÃO,5,FALSE),VLOOKUP($C4455,'NAO DESO'!$A:$D,4,))</f>
        <v>16,83</v>
      </c>
      <c r="H4455" s="242">
        <f t="shared" si="238"/>
        <v>16.829999999999998</v>
      </c>
      <c r="I4455" s="54" t="str">
        <f>IF(B4455="SEPLAG",VLOOKUP(CONCATENATE("MEDIANA - ",C4455),COTAÇÃO,5,FALSE),VLOOKUP($C4455,DESON!$A:$D,4,))</f>
        <v>15,16</v>
      </c>
      <c r="J4455" s="209">
        <f t="shared" si="239"/>
        <v>15.16</v>
      </c>
    </row>
    <row r="4456" spans="1:10" ht="15" customHeight="1">
      <c r="A4456" s="210" t="str">
        <f>CONCATENATE("TOTAL DO ITEM NÃO DESON. - ",C4440)</f>
        <v>TOTAL DO ITEM NÃO DESON. - SEPLAG HIDR 23</v>
      </c>
      <c r="B4456" s="430"/>
      <c r="C4456" s="430"/>
      <c r="D4456" s="430"/>
      <c r="E4456" s="430"/>
      <c r="F4456" s="1180"/>
      <c r="G4456" s="1180"/>
      <c r="H4456" s="1182">
        <f>SUM(H4443:H4455)</f>
        <v>1887.9999999999998</v>
      </c>
      <c r="I4456" s="231"/>
      <c r="J4456" s="215"/>
    </row>
    <row r="4457" spans="1:10" ht="15.75" customHeight="1" thickBot="1">
      <c r="A4457" s="216" t="str">
        <f>CONCATENATE("TOTAL DO ITEM DESON. - ",C4440)</f>
        <v>TOTAL DO ITEM DESON. - SEPLAG HIDR 23</v>
      </c>
      <c r="B4457" s="1142"/>
      <c r="C4457" s="1142"/>
      <c r="D4457" s="1142"/>
      <c r="E4457" s="1142"/>
      <c r="F4457" s="1211"/>
      <c r="G4457" s="1211"/>
      <c r="H4457" s="1187"/>
      <c r="I4457" s="260"/>
      <c r="J4457" s="219">
        <f>SUM(J4443:J4455)</f>
        <v>1837.0399999999997</v>
      </c>
    </row>
    <row r="4458" spans="1:10" ht="15" customHeight="1" thickBot="1">
      <c r="A4458" s="421"/>
      <c r="B4458" s="1138"/>
      <c r="C4458" s="1138"/>
      <c r="D4458" s="1138"/>
      <c r="E4458" s="1154"/>
      <c r="F4458" s="1196"/>
      <c r="G4458" s="1196"/>
      <c r="H4458" s="1196"/>
      <c r="I4458" s="422"/>
      <c r="J4458" s="462"/>
    </row>
    <row r="4459" spans="1:10" ht="38.25" customHeight="1">
      <c r="A4459" s="256"/>
      <c r="B4459" s="1152"/>
      <c r="C4459" s="1176" t="s">
        <v>7495</v>
      </c>
      <c r="D4459" s="156" t="s">
        <v>27953</v>
      </c>
      <c r="E4459" s="1176" t="s">
        <v>24</v>
      </c>
      <c r="F4459" s="1177" t="s">
        <v>18</v>
      </c>
      <c r="G4459" s="1178" t="s">
        <v>7015</v>
      </c>
      <c r="H4459" s="1179"/>
      <c r="I4459" s="200" t="s">
        <v>7016</v>
      </c>
      <c r="J4459" s="201"/>
    </row>
    <row r="4460" spans="1:10" ht="15" customHeight="1">
      <c r="A4460" s="257"/>
      <c r="B4460" s="430"/>
      <c r="C4460" s="1155"/>
      <c r="D4460" s="157"/>
      <c r="E4460" s="1155"/>
      <c r="F4460" s="1180"/>
      <c r="G4460" s="1180" t="s">
        <v>19</v>
      </c>
      <c r="H4460" s="1180" t="s">
        <v>20</v>
      </c>
      <c r="I4460" s="204" t="s">
        <v>19</v>
      </c>
      <c r="J4460" s="206" t="s">
        <v>20</v>
      </c>
    </row>
    <row r="4461" spans="1:10" ht="15" customHeight="1">
      <c r="A4461" s="258"/>
      <c r="B4461" s="1155"/>
      <c r="C4461" s="1155"/>
      <c r="D4461" s="157"/>
      <c r="E4461" s="1155"/>
      <c r="F4461" s="1180"/>
      <c r="G4461" s="1180"/>
      <c r="H4461" s="1180"/>
      <c r="I4461" s="238"/>
      <c r="J4461" s="259"/>
    </row>
    <row r="4462" spans="1:10" ht="39" customHeight="1">
      <c r="A4462" s="208" t="s">
        <v>245</v>
      </c>
      <c r="B4462" s="241"/>
      <c r="C4462" s="1181">
        <v>101159</v>
      </c>
      <c r="D4462" s="161" t="str">
        <f>IF(B4462="SEPLAG",VLOOKUP(COMPOSIÇÕES!C4462,'MAPA COMPARATIVO'!A:B,2,FALSE),VLOOKUP(C4462,'NAO DESO'!A:B,2,0))</f>
        <v>ALVENARIA DE VEDAÇÃO DE BLOCOS CERÂMICOS MACIÇOS DE 5X10X20CM (ESPESSURA 10CM) E ARGAMASSA DE ASSENTAMENTO COM PREPARO EM BETONEIRA. AF_05/2020</v>
      </c>
      <c r="E4462" s="241" t="str">
        <f>VLOOKUP($C4462,'NAO DESO'!$A:$D,3,)</f>
        <v>M2</v>
      </c>
      <c r="F4462" s="242">
        <v>1.96</v>
      </c>
      <c r="G4462" s="242" t="str">
        <f>IF(B4462="SEPLAG",VLOOKUP(CONCATENATE("MEDIANA - ",C4462),COTAÇÃO,5,FALSE),VLOOKUP($C4462,'NAO DESO'!$A:$D,4,))</f>
        <v>126,63</v>
      </c>
      <c r="H4462" s="242">
        <f t="shared" ref="H4462:H4474" si="240">TRUNC(F4462*G4462,2)</f>
        <v>248.19</v>
      </c>
      <c r="I4462" s="54" t="str">
        <f>IF(B4462="SEPLAG",VLOOKUP(CONCATENATE("MEDIANA - ",C4462),COTAÇÃO,5,FALSE),VLOOKUP($C4462,DESON!$A:$D,4,))</f>
        <v>120,46</v>
      </c>
      <c r="J4462" s="209">
        <f t="shared" ref="J4462:J4474" si="241">TRUNC(F4462*I4462,2)</f>
        <v>236.1</v>
      </c>
    </row>
    <row r="4463" spans="1:10" ht="64.5" customHeight="1">
      <c r="A4463" s="208" t="s">
        <v>245</v>
      </c>
      <c r="B4463" s="241"/>
      <c r="C4463" s="1181">
        <v>87543</v>
      </c>
      <c r="D4463" s="161" t="str">
        <f>IF(B4463="SEPLAG",VLOOKUP(COMPOSIÇÕES!C4463,'MAPA COMPARATIVO'!A:B,2,FALSE),VLOOKUP(C4463,'NAO DESO'!A:B,2,0))</f>
        <v>MASSA ÚNICA, PARA RECEBIMENTO DE PINTURA OU CERÂMICA, ARGAMASSA INDUSTRIALIZADA, PREPARO MECÂNICO, APLICADO COM EQUIPAMENTO DE MISTURA E PROJEÇÃO DE 1,5 M3/H EM FACES INTERNAS DE PAREDES, ESPESSURA DE 5MM, SEM EXECUÇÃO DE TALISCAS. AF_06/2014</v>
      </c>
      <c r="E4463" s="241" t="str">
        <f>VLOOKUP($C4463,'NAO DESO'!$A:$D,3,)</f>
        <v>M2</v>
      </c>
      <c r="F4463" s="242">
        <v>6.72</v>
      </c>
      <c r="G4463" s="242" t="str">
        <f>IF(B4463="SEPLAG",VLOOKUP(CONCATENATE("MEDIANA - ",C4463),COTAÇÃO,5,FALSE),VLOOKUP($C4463,'NAO DESO'!$A:$D,4,))</f>
        <v>24,40</v>
      </c>
      <c r="H4463" s="242">
        <f t="shared" si="240"/>
        <v>163.96</v>
      </c>
      <c r="I4463" s="54" t="str">
        <f>IF(B4463="SEPLAG",VLOOKUP(CONCATENATE("MEDIANA - ",C4463),COTAÇÃO,5,FALSE),VLOOKUP($C4463,DESON!$A:$D,4,))</f>
        <v>23,82</v>
      </c>
      <c r="J4463" s="209">
        <f t="shared" si="241"/>
        <v>160.07</v>
      </c>
    </row>
    <row r="4464" spans="1:10" ht="39" customHeight="1">
      <c r="A4464" s="208" t="s">
        <v>245</v>
      </c>
      <c r="B4464" s="241"/>
      <c r="C4464" s="1181">
        <v>94970</v>
      </c>
      <c r="D4464" s="161" t="str">
        <f>IF(B4464="SEPLAG",VLOOKUP(COMPOSIÇÕES!C4464,'MAPA COMPARATIVO'!A:B,2,FALSE),VLOOKUP(C4464,'NAO DESO'!A:B,2,0))</f>
        <v>CONCRETO FCK = 20MPA, TRAÇO 1:2,7:3 (EM MASSA SECA DE CIMENTO/ AREIA MÉDIA/ BRITA 1) - PREPARO MECÂNICO COM BETONEIRA 600 L. AF_05/2021</v>
      </c>
      <c r="E4464" s="241" t="str">
        <f>VLOOKUP($C4464,'NAO DESO'!$A:$D,3,)</f>
        <v>M3</v>
      </c>
      <c r="F4464" s="242">
        <v>0.09</v>
      </c>
      <c r="G4464" s="242" t="str">
        <f>IF(B4464="SEPLAG",VLOOKUP(CONCATENATE("MEDIANA - ",C4464),COTAÇÃO,5,FALSE),VLOOKUP($C4464,'NAO DESO'!$A:$D,4,))</f>
        <v>405,57</v>
      </c>
      <c r="H4464" s="242">
        <f t="shared" si="240"/>
        <v>36.5</v>
      </c>
      <c r="I4464" s="54" t="str">
        <f>IF(B4464="SEPLAG",VLOOKUP(CONCATENATE("MEDIANA - ",C4464),COTAÇÃO,5,FALSE),VLOOKUP($C4464,DESON!$A:$D,4,))</f>
        <v>400,17</v>
      </c>
      <c r="J4464" s="209">
        <f t="shared" si="241"/>
        <v>36.01</v>
      </c>
    </row>
    <row r="4465" spans="1:10" ht="26.25" customHeight="1">
      <c r="A4465" s="208" t="s">
        <v>245</v>
      </c>
      <c r="B4465" s="241"/>
      <c r="C4465" s="1181">
        <v>93358</v>
      </c>
      <c r="D4465" s="161" t="str">
        <f>IF(B4465="SEPLAG",VLOOKUP(COMPOSIÇÕES!C4465,'MAPA COMPARATIVO'!A:B,2,FALSE),VLOOKUP(C4465,'NAO DESO'!A:B,2,0))</f>
        <v>ESCAVAÇÃO MANUAL DE VALA COM PROFUNDIDADE MENOR OU IGUAL A 1,30 M. AF_02/2021</v>
      </c>
      <c r="E4465" s="241" t="str">
        <f>VLOOKUP($C4465,'NAO DESO'!$A:$D,3,)</f>
        <v>M3</v>
      </c>
      <c r="F4465" s="242">
        <v>2.1800000000000002</v>
      </c>
      <c r="G4465" s="242" t="str">
        <f>IF(B4465="SEPLAG",VLOOKUP(CONCATENATE("MEDIANA - ",C4465),COTAÇÃO,5,FALSE),VLOOKUP($C4465,'NAO DESO'!$A:$D,4,))</f>
        <v>66,57</v>
      </c>
      <c r="H4465" s="242">
        <f t="shared" si="240"/>
        <v>145.12</v>
      </c>
      <c r="I4465" s="54" t="str">
        <f>IF(B4465="SEPLAG",VLOOKUP(CONCATENATE("MEDIANA - ",C4465),COTAÇÃO,5,FALSE),VLOOKUP($C4465,DESON!$A:$D,4,))</f>
        <v>59,97</v>
      </c>
      <c r="J4465" s="209">
        <f t="shared" si="241"/>
        <v>130.72999999999999</v>
      </c>
    </row>
    <row r="4466" spans="1:10" ht="26.25" customHeight="1">
      <c r="A4466" s="208" t="s">
        <v>245</v>
      </c>
      <c r="B4466" s="241"/>
      <c r="C4466" s="1181">
        <v>101617</v>
      </c>
      <c r="D4466" s="161" t="str">
        <f>IF(B4466="SEPLAG",VLOOKUP(COMPOSIÇÕES!C4466,'MAPA COMPARATIVO'!A:B,2,FALSE),VLOOKUP(C4466,'NAO DESO'!A:B,2,0))</f>
        <v>PREPARO DE FUNDO DE VALA COM LARGURA MAIOR OU IGUAL A 1,5 M E MENOR QUE 2,5 M (ACERTO DO SOLO NATURAL). AF_08/2020</v>
      </c>
      <c r="E4466" s="241" t="str">
        <f>VLOOKUP($C4466,'NAO DESO'!$A:$D,3,)</f>
        <v>M2</v>
      </c>
      <c r="F4466" s="242">
        <v>0.64</v>
      </c>
      <c r="G4466" s="242" t="str">
        <f>IF(B4466="SEPLAG",VLOOKUP(CONCATENATE("MEDIANA - ",C4466),COTAÇÃO,5,FALSE),VLOOKUP($C4466,'NAO DESO'!$A:$D,4,))</f>
        <v>2,38</v>
      </c>
      <c r="H4466" s="242">
        <f t="shared" si="240"/>
        <v>1.52</v>
      </c>
      <c r="I4466" s="54" t="str">
        <f>IF(B4466="SEPLAG",VLOOKUP(CONCATENATE("MEDIANA - ",C4466),COTAÇÃO,5,FALSE),VLOOKUP($C4466,DESON!$A:$D,4,))</f>
        <v>2,15</v>
      </c>
      <c r="J4466" s="209">
        <f t="shared" si="241"/>
        <v>1.37</v>
      </c>
    </row>
    <row r="4467" spans="1:10" ht="15" customHeight="1">
      <c r="A4467" s="208" t="s">
        <v>245</v>
      </c>
      <c r="B4467" s="241"/>
      <c r="C4467" s="1181">
        <v>96995</v>
      </c>
      <c r="D4467" s="161" t="str">
        <f>IF(B4467="SEPLAG",VLOOKUP(COMPOSIÇÕES!C4467,'MAPA COMPARATIVO'!A:B,2,FALSE),VLOOKUP(C4467,'NAO DESO'!A:B,2,0))</f>
        <v>REATERRO MANUAL APILOADO COM SOQUETE. AF_10/2017</v>
      </c>
      <c r="E4467" s="241" t="str">
        <f>VLOOKUP($C4467,'NAO DESO'!$A:$D,3,)</f>
        <v>M3</v>
      </c>
      <c r="F4467" s="242">
        <v>1.73</v>
      </c>
      <c r="G4467" s="242" t="str">
        <f>IF(B4467="SEPLAG",VLOOKUP(CONCATENATE("MEDIANA - ",C4467),COTAÇÃO,5,FALSE),VLOOKUP($C4467,'NAO DESO'!$A:$D,4,))</f>
        <v>40,36</v>
      </c>
      <c r="H4467" s="242">
        <f t="shared" si="240"/>
        <v>69.819999999999993</v>
      </c>
      <c r="I4467" s="54" t="str">
        <f>IF(B4467="SEPLAG",VLOOKUP(CONCATENATE("MEDIANA - ",C4467),COTAÇÃO,5,FALSE),VLOOKUP($C4467,DESON!$A:$D,4,))</f>
        <v>36,36</v>
      </c>
      <c r="J4467" s="209">
        <f t="shared" si="241"/>
        <v>62.9</v>
      </c>
    </row>
    <row r="4468" spans="1:10" ht="26.25" customHeight="1">
      <c r="A4468" s="208" t="s">
        <v>245</v>
      </c>
      <c r="B4468" s="241"/>
      <c r="C4468" s="1181">
        <v>98557</v>
      </c>
      <c r="D4468" s="161" t="str">
        <f>IF(B4468="SEPLAG",VLOOKUP(COMPOSIÇÕES!C4468,'MAPA COMPARATIVO'!A:B,2,FALSE),VLOOKUP(C4468,'NAO DESO'!A:B,2,0))</f>
        <v>IMPERMEABILIZAÇÃO DE SUPERFÍCIE COM EMULSÃO ASFÁLTICA, 2 DEMÃOS AF_06/2018</v>
      </c>
      <c r="E4468" s="241" t="str">
        <f>VLOOKUP($C4468,'NAO DESO'!$A:$D,3,)</f>
        <v>M2</v>
      </c>
      <c r="F4468" s="242">
        <f>F4463</f>
        <v>6.72</v>
      </c>
      <c r="G4468" s="242" t="str">
        <f>IF(B4468="SEPLAG",VLOOKUP(CONCATENATE("MEDIANA - ",C4468),COTAÇÃO,5,FALSE),VLOOKUP($C4468,'NAO DESO'!$A:$D,4,))</f>
        <v>58,82</v>
      </c>
      <c r="H4468" s="242">
        <f t="shared" si="240"/>
        <v>395.27</v>
      </c>
      <c r="I4468" s="54" t="str">
        <f>IF(B4468="SEPLAG",VLOOKUP(CONCATENATE("MEDIANA - ",C4468),COTAÇÃO,5,FALSE),VLOOKUP($C4468,DESON!$A:$D,4,))</f>
        <v>57,84</v>
      </c>
      <c r="J4468" s="209">
        <f t="shared" si="241"/>
        <v>388.68</v>
      </c>
    </row>
    <row r="4469" spans="1:10" ht="26.25" customHeight="1">
      <c r="A4469" s="208" t="s">
        <v>245</v>
      </c>
      <c r="B4469" s="241"/>
      <c r="C4469" s="1181">
        <v>11301</v>
      </c>
      <c r="D4469" s="161" t="str">
        <f>IF(B4469="SEPLAG",VLOOKUP(COMPOSIÇÕES!C4469,'MAPA COMPARATIVO'!A:B,2,FALSE),VLOOKUP(C4469,'NAO DESO'!A:B,2,0))</f>
        <v>TAMPAO FOFO ARTICULADO, CLASSE B125 CARGA MAX 12,5 T, REDONDO, TAMPA 600 MM (COM INSCRICAO EM RELEVO DO TIPO DE REDE)</v>
      </c>
      <c r="E4469" s="241" t="str">
        <f>VLOOKUP($C4469,'NAO DESO'!$A:$D,3,)</f>
        <v xml:space="preserve">UN    </v>
      </c>
      <c r="F4469" s="242">
        <v>1</v>
      </c>
      <c r="G4469" s="242">
        <f>IF(B4469="SEPLAG",VLOOKUP(CONCATENATE("MEDIANA - ",C4469),COTAÇÃO,5,FALSE),VLOOKUP($C4469,'NAO DESO'!$A:$D,4,))</f>
        <v>660.46</v>
      </c>
      <c r="H4469" s="242">
        <f t="shared" si="240"/>
        <v>660.46</v>
      </c>
      <c r="I4469" s="54" t="str">
        <f>IF(B4469="SEPLAG",VLOOKUP(CONCATENATE("MEDIANA - ",C4469),COTAÇÃO,5,FALSE),VLOOKUP($C4469,DESON!$A:$D,4,))</f>
        <v>660,46</v>
      </c>
      <c r="J4469" s="209">
        <f t="shared" si="241"/>
        <v>660.46</v>
      </c>
    </row>
    <row r="4470" spans="1:10" ht="39" customHeight="1">
      <c r="A4470" s="208" t="s">
        <v>245</v>
      </c>
      <c r="B4470" s="241"/>
      <c r="C4470" s="1181">
        <v>92775</v>
      </c>
      <c r="D4470" s="161" t="str">
        <f>IF(B4470="SEPLAG",VLOOKUP(COMPOSIÇÕES!C4470,'MAPA COMPARATIVO'!A:B,2,FALSE),VLOOKUP(C4470,'NAO DESO'!A:B,2,0))</f>
        <v>ARMAÇÃO DE PILAR OU VIGA DE UMA ESTRUTURA CONVENCIONAL DE CONCRETO ARMADO EM UMA EDIFICAÇÃO TÉRREA OU SOBRADO UTILIZANDO AÇO CA-60 DE 5,0 MM - MONTAGEM. AF_12/2015</v>
      </c>
      <c r="E4470" s="241" t="str">
        <f>VLOOKUP($C4470,'NAO DESO'!$A:$D,3,)</f>
        <v>KG</v>
      </c>
      <c r="F4470" s="242">
        <v>1.29</v>
      </c>
      <c r="G4470" s="242" t="str">
        <f>IF(B4470="SEPLAG",VLOOKUP(CONCATENATE("MEDIANA - ",C4470),COTAÇÃO,5,FALSE),VLOOKUP($C4470,'NAO DESO'!$A:$D,4,))</f>
        <v>18,46</v>
      </c>
      <c r="H4470" s="242">
        <f t="shared" si="240"/>
        <v>23.81</v>
      </c>
      <c r="I4470" s="54" t="str">
        <f>IF(B4470="SEPLAG",VLOOKUP(CONCATENATE("MEDIANA - ",C4470),COTAÇÃO,5,FALSE),VLOOKUP($C4470,DESON!$A:$D,4,))</f>
        <v>17,71</v>
      </c>
      <c r="J4470" s="209">
        <f t="shared" si="241"/>
        <v>22.84</v>
      </c>
    </row>
    <row r="4471" spans="1:10" ht="39" customHeight="1">
      <c r="A4471" s="208" t="s">
        <v>245</v>
      </c>
      <c r="B4471" s="241"/>
      <c r="C4471" s="1181">
        <v>92778</v>
      </c>
      <c r="D4471" s="161" t="str">
        <f>IF(B4471="SEPLAG",VLOOKUP(COMPOSIÇÕES!C4471,'MAPA COMPARATIVO'!A:B,2,FALSE),VLOOKUP(C4471,'NAO DESO'!A:B,2,0))</f>
        <v>ARMAÇÃO DE PILAR OU VIGA DE UMA ESTRUTURA CONVENCIONAL DE CONCRETO ARMADO EM UMA EDIFICAÇÃO TÉRREA OU SOBRADO UTILIZANDO AÇO CA-50 DE 10,0 MM - MONTAGEM. AF_12/2015</v>
      </c>
      <c r="E4471" s="241" t="str">
        <f>VLOOKUP($C4471,'NAO DESO'!$A:$D,3,)</f>
        <v>KG</v>
      </c>
      <c r="F4471" s="242">
        <v>6.91</v>
      </c>
      <c r="G4471" s="242" t="str">
        <f>IF(B4471="SEPLAG",VLOOKUP(CONCATENATE("MEDIANA - ",C4471),COTAÇÃO,5,FALSE),VLOOKUP($C4471,'NAO DESO'!$A:$D,4,))</f>
        <v>14,78</v>
      </c>
      <c r="H4471" s="242">
        <f t="shared" si="240"/>
        <v>102.12</v>
      </c>
      <c r="I4471" s="54" t="str">
        <f>IF(B4471="SEPLAG",VLOOKUP(CONCATENATE("MEDIANA - ",C4471),COTAÇÃO,5,FALSE),VLOOKUP($C4471,DESON!$A:$D,4,))</f>
        <v>14,50</v>
      </c>
      <c r="J4471" s="209">
        <f t="shared" si="241"/>
        <v>100.19</v>
      </c>
    </row>
    <row r="4472" spans="1:10" ht="39" customHeight="1">
      <c r="A4472" s="208" t="s">
        <v>245</v>
      </c>
      <c r="B4472" s="241"/>
      <c r="C4472" s="1181">
        <v>92423</v>
      </c>
      <c r="D4472" s="161" t="str">
        <f>IF(B4472="SEPLAG",VLOOKUP(COMPOSIÇÕES!C4472,'MAPA COMPARATIVO'!A:B,2,FALSE),VLOOKUP(C4472,'NAO DESO'!A:B,2,0))</f>
        <v>MONTAGEM E DESMONTAGEM DE FÔRMA DE PILARES RETANGULARES E ESTRUTURAS SIMILARES, PÉ-DIREITO SIMPLES, EM CHAPA DE MADEIRA COMPENSADA RESINADA, 6 UTILIZAÇÕES. AF_09/2020</v>
      </c>
      <c r="E4472" s="241" t="str">
        <f>VLOOKUP($C4472,'NAO DESO'!$A:$D,3,)</f>
        <v>M2</v>
      </c>
      <c r="F4472" s="242">
        <v>0.84</v>
      </c>
      <c r="G4472" s="242" t="str">
        <f>IF(B4472="SEPLAG",VLOOKUP(CONCATENATE("MEDIANA - ",C4472),COTAÇÃO,5,FALSE),VLOOKUP($C4472,'NAO DESO'!$A:$D,4,))</f>
        <v>67,90</v>
      </c>
      <c r="H4472" s="242">
        <f t="shared" si="240"/>
        <v>57.03</v>
      </c>
      <c r="I4472" s="54" t="str">
        <f>IF(B4472="SEPLAG",VLOOKUP(CONCATENATE("MEDIANA - ",C4472),COTAÇÃO,5,FALSE),VLOOKUP($C4472,DESON!$A:$D,4,))</f>
        <v>65,30</v>
      </c>
      <c r="J4472" s="209">
        <f t="shared" si="241"/>
        <v>54.85</v>
      </c>
    </row>
    <row r="4473" spans="1:10" ht="15" customHeight="1">
      <c r="A4473" s="208" t="s">
        <v>245</v>
      </c>
      <c r="B4473" s="241"/>
      <c r="C4473" s="1181">
        <v>88309</v>
      </c>
      <c r="D4473" s="161" t="str">
        <f>IF(B4473="SEPLAG",VLOOKUP(COMPOSIÇÕES!C4473,'MAPA COMPARATIVO'!A:B,2,FALSE),VLOOKUP(C4473,'NAO DESO'!A:B,2,0))</f>
        <v>PEDREIRO COM ENCARGOS COMPLEMENTARES</v>
      </c>
      <c r="E4473" s="241" t="str">
        <f>VLOOKUP($C4473,'NAO DESO'!$A:$D,3,)</f>
        <v>H</v>
      </c>
      <c r="F4473" s="242">
        <v>1</v>
      </c>
      <c r="G4473" s="242" t="str">
        <f>IF(B4473="SEPLAG",VLOOKUP(CONCATENATE("MEDIANA - ",C4473),COTAÇÃO,5,FALSE),VLOOKUP($C4473,'NAO DESO'!$A:$D,4,))</f>
        <v>21,10</v>
      </c>
      <c r="H4473" s="242">
        <f t="shared" si="240"/>
        <v>21.1</v>
      </c>
      <c r="I4473" s="54" t="str">
        <f>IF(B4473="SEPLAG",VLOOKUP(CONCATENATE("MEDIANA - ",C4473),COTAÇÃO,5,FALSE),VLOOKUP($C4473,DESON!$A:$D,4,))</f>
        <v>18,86</v>
      </c>
      <c r="J4473" s="209">
        <f t="shared" si="241"/>
        <v>18.86</v>
      </c>
    </row>
    <row r="4474" spans="1:10" ht="15" customHeight="1">
      <c r="A4474" s="208" t="s">
        <v>245</v>
      </c>
      <c r="B4474" s="241"/>
      <c r="C4474" s="1181">
        <v>88316</v>
      </c>
      <c r="D4474" s="161" t="str">
        <f>IF(B4474="SEPLAG",VLOOKUP(COMPOSIÇÕES!C4474,'MAPA COMPARATIVO'!A:B,2,FALSE),VLOOKUP(C4474,'NAO DESO'!A:B,2,0))</f>
        <v>SERVENTE COM ENCARGOS COMPLEMENTARES</v>
      </c>
      <c r="E4474" s="241" t="str">
        <f>VLOOKUP($C4474,'NAO DESO'!$A:$D,3,)</f>
        <v>H</v>
      </c>
      <c r="F4474" s="242">
        <v>1</v>
      </c>
      <c r="G4474" s="242" t="str">
        <f>IF(B4474="SEPLAG",VLOOKUP(CONCATENATE("MEDIANA - ",C4474),COTAÇÃO,5,FALSE),VLOOKUP($C4474,'NAO DESO'!$A:$D,4,))</f>
        <v>16,83</v>
      </c>
      <c r="H4474" s="242">
        <f t="shared" si="240"/>
        <v>16.829999999999998</v>
      </c>
      <c r="I4474" s="54" t="str">
        <f>IF(B4474="SEPLAG",VLOOKUP(CONCATENATE("MEDIANA - ",C4474),COTAÇÃO,5,FALSE),VLOOKUP($C4474,DESON!$A:$D,4,))</f>
        <v>15,16</v>
      </c>
      <c r="J4474" s="209">
        <f t="shared" si="241"/>
        <v>15.16</v>
      </c>
    </row>
    <row r="4475" spans="1:10" ht="15" customHeight="1">
      <c r="A4475" s="210" t="str">
        <f>CONCATENATE("TOTAL DO ITEM NÃO DESON. - ",C4459)</f>
        <v>TOTAL DO ITEM NÃO DESON. - SEPLAG HIDR 24</v>
      </c>
      <c r="B4475" s="430"/>
      <c r="C4475" s="430"/>
      <c r="D4475" s="430"/>
      <c r="E4475" s="430"/>
      <c r="F4475" s="1180"/>
      <c r="G4475" s="1180"/>
      <c r="H4475" s="1182">
        <f>SUM(H4462:H4474)</f>
        <v>1941.7299999999998</v>
      </c>
      <c r="I4475" s="231"/>
      <c r="J4475" s="215"/>
    </row>
    <row r="4476" spans="1:10" ht="15.75" customHeight="1" thickBot="1">
      <c r="A4476" s="216" t="str">
        <f>CONCATENATE("TOTAL DO ITEM DESON. - ",C4459)</f>
        <v>TOTAL DO ITEM DESON. - SEPLAG HIDR 24</v>
      </c>
      <c r="B4476" s="1142"/>
      <c r="C4476" s="1142"/>
      <c r="D4476" s="1142"/>
      <c r="E4476" s="1142"/>
      <c r="F4476" s="1211"/>
      <c r="G4476" s="1211"/>
      <c r="H4476" s="1187"/>
      <c r="I4476" s="260"/>
      <c r="J4476" s="219">
        <f>SUM(J4462:J4474)</f>
        <v>1888.2199999999998</v>
      </c>
    </row>
    <row r="4477" spans="1:10" ht="15" customHeight="1" thickBot="1">
      <c r="A4477" s="421"/>
      <c r="B4477" s="1138"/>
      <c r="C4477" s="1138"/>
      <c r="D4477" s="1138"/>
      <c r="E4477" s="1154"/>
      <c r="F4477" s="1196"/>
      <c r="G4477" s="1196"/>
      <c r="H4477" s="1196"/>
      <c r="I4477" s="422"/>
      <c r="J4477" s="422"/>
    </row>
    <row r="4478" spans="1:10" ht="38.25" customHeight="1">
      <c r="A4478" s="256"/>
      <c r="B4478" s="1152"/>
      <c r="C4478" s="1176" t="s">
        <v>7496</v>
      </c>
      <c r="D4478" s="156" t="s">
        <v>27954</v>
      </c>
      <c r="E4478" s="1176" t="s">
        <v>24</v>
      </c>
      <c r="F4478" s="1177" t="s">
        <v>18</v>
      </c>
      <c r="G4478" s="1178" t="s">
        <v>7015</v>
      </c>
      <c r="H4478" s="1179"/>
      <c r="I4478" s="200" t="s">
        <v>7016</v>
      </c>
      <c r="J4478" s="201"/>
    </row>
    <row r="4479" spans="1:10" ht="15" customHeight="1">
      <c r="A4479" s="257"/>
      <c r="B4479" s="430"/>
      <c r="C4479" s="1155"/>
      <c r="D4479" s="157"/>
      <c r="E4479" s="1155"/>
      <c r="F4479" s="1180"/>
      <c r="G4479" s="1180" t="s">
        <v>19</v>
      </c>
      <c r="H4479" s="1180" t="s">
        <v>20</v>
      </c>
      <c r="I4479" s="204" t="s">
        <v>19</v>
      </c>
      <c r="J4479" s="206" t="s">
        <v>20</v>
      </c>
    </row>
    <row r="4480" spans="1:10" ht="15" customHeight="1">
      <c r="A4480" s="258"/>
      <c r="B4480" s="1155"/>
      <c r="C4480" s="1155"/>
      <c r="D4480" s="157"/>
      <c r="E4480" s="1155"/>
      <c r="F4480" s="1180"/>
      <c r="G4480" s="1180"/>
      <c r="H4480" s="1180"/>
      <c r="I4480" s="238"/>
      <c r="J4480" s="259"/>
    </row>
    <row r="4481" spans="1:10" ht="39" customHeight="1">
      <c r="A4481" s="208" t="s">
        <v>245</v>
      </c>
      <c r="B4481" s="241"/>
      <c r="C4481" s="1181">
        <v>101159</v>
      </c>
      <c r="D4481" s="161" t="str">
        <f>IF(B4481="SEPLAG",VLOOKUP(COMPOSIÇÕES!C4481,'MAPA COMPARATIVO'!A:B,2,FALSE),VLOOKUP(C4481,'NAO DESO'!A:B,2,0))</f>
        <v>ALVENARIA DE VEDAÇÃO DE BLOCOS CERÂMICOS MACIÇOS DE 5X10X20CM (ESPESSURA 10CM) E ARGAMASSA DE ASSENTAMENTO COM PREPARO EM BETONEIRA. AF_05/2020</v>
      </c>
      <c r="E4481" s="241" t="str">
        <f>VLOOKUP($C4481,'NAO DESO'!$A:$D,3,)</f>
        <v>M2</v>
      </c>
      <c r="F4481" s="242">
        <v>2.2400000000000002</v>
      </c>
      <c r="G4481" s="242" t="str">
        <f>IF(B4481="SEPLAG",VLOOKUP(CONCATENATE("MEDIANA - ",C4481),COTAÇÃO,5,FALSE),VLOOKUP($C4481,'NAO DESO'!$A:$D,4,))</f>
        <v>126,63</v>
      </c>
      <c r="H4481" s="242">
        <f t="shared" ref="H4481:H4493" si="242">TRUNC(F4481*G4481,2)</f>
        <v>283.64999999999998</v>
      </c>
      <c r="I4481" s="54" t="str">
        <f>IF(B4481="SEPLAG",VLOOKUP(CONCATENATE("MEDIANA - ",C4481),COTAÇÃO,5,FALSE),VLOOKUP($C4481,DESON!$A:$D,4,))</f>
        <v>120,46</v>
      </c>
      <c r="J4481" s="209">
        <f t="shared" ref="J4481:J4493" si="243">TRUNC(F4481*I4481,2)</f>
        <v>269.83</v>
      </c>
    </row>
    <row r="4482" spans="1:10" ht="64.5" customHeight="1">
      <c r="A4482" s="208" t="s">
        <v>245</v>
      </c>
      <c r="B4482" s="241"/>
      <c r="C4482" s="1181">
        <v>87543</v>
      </c>
      <c r="D4482" s="161" t="str">
        <f>IF(B4482="SEPLAG",VLOOKUP(COMPOSIÇÕES!C4482,'MAPA COMPARATIVO'!A:B,2,FALSE),VLOOKUP(C4482,'NAO DESO'!A:B,2,0))</f>
        <v>MASSA ÚNICA, PARA RECEBIMENTO DE PINTURA OU CERÂMICA, ARGAMASSA INDUSTRIALIZADA, PREPARO MECÂNICO, APLICADO COM EQUIPAMENTO DE MISTURA E PROJEÇÃO DE 1,5 M3/H EM FACES INTERNAS DE PAREDES, ESPESSURA DE 5MM, SEM EXECUÇÃO DE TALISCAS. AF_06/2014</v>
      </c>
      <c r="E4482" s="241" t="str">
        <f>VLOOKUP($C4482,'NAO DESO'!$A:$D,3,)</f>
        <v>M2</v>
      </c>
      <c r="F4482" s="242">
        <v>7.28</v>
      </c>
      <c r="G4482" s="242" t="str">
        <f>IF(B4482="SEPLAG",VLOOKUP(CONCATENATE("MEDIANA - ",C4482),COTAÇÃO,5,FALSE),VLOOKUP($C4482,'NAO DESO'!$A:$D,4,))</f>
        <v>24,40</v>
      </c>
      <c r="H4482" s="242">
        <f t="shared" si="242"/>
        <v>177.63</v>
      </c>
      <c r="I4482" s="54" t="str">
        <f>IF(B4482="SEPLAG",VLOOKUP(CONCATENATE("MEDIANA - ",C4482),COTAÇÃO,5,FALSE),VLOOKUP($C4482,DESON!$A:$D,4,))</f>
        <v>23,82</v>
      </c>
      <c r="J4482" s="209">
        <f t="shared" si="243"/>
        <v>173.4</v>
      </c>
    </row>
    <row r="4483" spans="1:10" ht="39" customHeight="1">
      <c r="A4483" s="208" t="s">
        <v>245</v>
      </c>
      <c r="B4483" s="241"/>
      <c r="C4483" s="1181">
        <v>94970</v>
      </c>
      <c r="D4483" s="161" t="str">
        <f>IF(B4483="SEPLAG",VLOOKUP(COMPOSIÇÕES!C4483,'MAPA COMPARATIVO'!A:B,2,FALSE),VLOOKUP(C4483,'NAO DESO'!A:B,2,0))</f>
        <v>CONCRETO FCK = 20MPA, TRAÇO 1:2,7:3 (EM MASSA SECA DE CIMENTO/ AREIA MÉDIA/ BRITA 1) - PREPARO MECÂNICO COM BETONEIRA 600 L. AF_05/2021</v>
      </c>
      <c r="E4483" s="241" t="str">
        <f>VLOOKUP($C4483,'NAO DESO'!$A:$D,3,)</f>
        <v>M3</v>
      </c>
      <c r="F4483" s="242">
        <v>0.09</v>
      </c>
      <c r="G4483" s="242" t="str">
        <f>IF(B4483="SEPLAG",VLOOKUP(CONCATENATE("MEDIANA - ",C4483),COTAÇÃO,5,FALSE),VLOOKUP($C4483,'NAO DESO'!$A:$D,4,))</f>
        <v>405,57</v>
      </c>
      <c r="H4483" s="242">
        <f t="shared" si="242"/>
        <v>36.5</v>
      </c>
      <c r="I4483" s="54" t="str">
        <f>IF(B4483="SEPLAG",VLOOKUP(CONCATENATE("MEDIANA - ",C4483),COTAÇÃO,5,FALSE),VLOOKUP($C4483,DESON!$A:$D,4,))</f>
        <v>400,17</v>
      </c>
      <c r="J4483" s="209">
        <f t="shared" si="243"/>
        <v>36.01</v>
      </c>
    </row>
    <row r="4484" spans="1:10" ht="26.25" customHeight="1">
      <c r="A4484" s="208" t="s">
        <v>245</v>
      </c>
      <c r="B4484" s="241"/>
      <c r="C4484" s="1181">
        <v>93358</v>
      </c>
      <c r="D4484" s="161" t="str">
        <f>IF(B4484="SEPLAG",VLOOKUP(COMPOSIÇÕES!C4484,'MAPA COMPARATIVO'!A:B,2,FALSE),VLOOKUP(C4484,'NAO DESO'!A:B,2,0))</f>
        <v>ESCAVAÇÃO MANUAL DE VALA COM PROFUNDIDADE MENOR OU IGUAL A 1,30 M. AF_02/2021</v>
      </c>
      <c r="E4484" s="241" t="str">
        <f>VLOOKUP($C4484,'NAO DESO'!$A:$D,3,)</f>
        <v>M3</v>
      </c>
      <c r="F4484" s="242">
        <v>2.4300000000000002</v>
      </c>
      <c r="G4484" s="242" t="str">
        <f>IF(B4484="SEPLAG",VLOOKUP(CONCATENATE("MEDIANA - ",C4484),COTAÇÃO,5,FALSE),VLOOKUP($C4484,'NAO DESO'!$A:$D,4,))</f>
        <v>66,57</v>
      </c>
      <c r="H4484" s="242">
        <f t="shared" si="242"/>
        <v>161.76</v>
      </c>
      <c r="I4484" s="54" t="str">
        <f>IF(B4484="SEPLAG",VLOOKUP(CONCATENATE("MEDIANA - ",C4484),COTAÇÃO,5,FALSE),VLOOKUP($C4484,DESON!$A:$D,4,))</f>
        <v>59,97</v>
      </c>
      <c r="J4484" s="209">
        <f t="shared" si="243"/>
        <v>145.72</v>
      </c>
    </row>
    <row r="4485" spans="1:10" ht="26.25" customHeight="1">
      <c r="A4485" s="208" t="s">
        <v>245</v>
      </c>
      <c r="B4485" s="241"/>
      <c r="C4485" s="1181">
        <v>101617</v>
      </c>
      <c r="D4485" s="161" t="str">
        <f>IF(B4485="SEPLAG",VLOOKUP(COMPOSIÇÕES!C4485,'MAPA COMPARATIVO'!A:B,2,FALSE),VLOOKUP(C4485,'NAO DESO'!A:B,2,0))</f>
        <v>PREPARO DE FUNDO DE VALA COM LARGURA MAIOR OU IGUAL A 1,5 M E MENOR QUE 2,5 M (ACERTO DO SOLO NATURAL). AF_08/2020</v>
      </c>
      <c r="E4485" s="241" t="str">
        <f>VLOOKUP($C4485,'NAO DESO'!$A:$D,3,)</f>
        <v>M2</v>
      </c>
      <c r="F4485" s="242">
        <v>0.64</v>
      </c>
      <c r="G4485" s="242" t="str">
        <f>IF(B4485="SEPLAG",VLOOKUP(CONCATENATE("MEDIANA - ",C4485),COTAÇÃO,5,FALSE),VLOOKUP($C4485,'NAO DESO'!$A:$D,4,))</f>
        <v>2,38</v>
      </c>
      <c r="H4485" s="242">
        <f t="shared" si="242"/>
        <v>1.52</v>
      </c>
      <c r="I4485" s="54" t="str">
        <f>IF(B4485="SEPLAG",VLOOKUP(CONCATENATE("MEDIANA - ",C4485),COTAÇÃO,5,FALSE),VLOOKUP($C4485,DESON!$A:$D,4,))</f>
        <v>2,15</v>
      </c>
      <c r="J4485" s="209">
        <f t="shared" si="243"/>
        <v>1.37</v>
      </c>
    </row>
    <row r="4486" spans="1:10" ht="15" customHeight="1">
      <c r="A4486" s="208" t="s">
        <v>245</v>
      </c>
      <c r="B4486" s="241"/>
      <c r="C4486" s="1181">
        <v>96995</v>
      </c>
      <c r="D4486" s="161" t="str">
        <f>IF(B4486="SEPLAG",VLOOKUP(COMPOSIÇÕES!C4486,'MAPA COMPARATIVO'!A:B,2,FALSE),VLOOKUP(C4486,'NAO DESO'!A:B,2,0))</f>
        <v>REATERRO MANUAL APILOADO COM SOQUETE. AF_10/2017</v>
      </c>
      <c r="E4486" s="241" t="str">
        <f>VLOOKUP($C4486,'NAO DESO'!$A:$D,3,)</f>
        <v>M3</v>
      </c>
      <c r="F4486" s="242">
        <v>1.92</v>
      </c>
      <c r="G4486" s="242" t="str">
        <f>IF(B4486="SEPLAG",VLOOKUP(CONCATENATE("MEDIANA - ",C4486),COTAÇÃO,5,FALSE),VLOOKUP($C4486,'NAO DESO'!$A:$D,4,))</f>
        <v>40,36</v>
      </c>
      <c r="H4486" s="242">
        <f t="shared" si="242"/>
        <v>77.489999999999995</v>
      </c>
      <c r="I4486" s="54" t="str">
        <f>IF(B4486="SEPLAG",VLOOKUP(CONCATENATE("MEDIANA - ",C4486),COTAÇÃO,5,FALSE),VLOOKUP($C4486,DESON!$A:$D,4,))</f>
        <v>36,36</v>
      </c>
      <c r="J4486" s="209">
        <f t="shared" si="243"/>
        <v>69.81</v>
      </c>
    </row>
    <row r="4487" spans="1:10" ht="26.25" customHeight="1">
      <c r="A4487" s="208" t="s">
        <v>245</v>
      </c>
      <c r="B4487" s="241"/>
      <c r="C4487" s="1181">
        <v>98557</v>
      </c>
      <c r="D4487" s="161" t="str">
        <f>IF(B4487="SEPLAG",VLOOKUP(COMPOSIÇÕES!C4487,'MAPA COMPARATIVO'!A:B,2,FALSE),VLOOKUP(C4487,'NAO DESO'!A:B,2,0))</f>
        <v>IMPERMEABILIZAÇÃO DE SUPERFÍCIE COM EMULSÃO ASFÁLTICA, 2 DEMÃOS AF_06/2018</v>
      </c>
      <c r="E4487" s="241" t="str">
        <f>VLOOKUP($C4487,'NAO DESO'!$A:$D,3,)</f>
        <v>M2</v>
      </c>
      <c r="F4487" s="242">
        <f>F4482</f>
        <v>7.28</v>
      </c>
      <c r="G4487" s="242" t="str">
        <f>IF(B4487="SEPLAG",VLOOKUP(CONCATENATE("MEDIANA - ",C4487),COTAÇÃO,5,FALSE),VLOOKUP($C4487,'NAO DESO'!$A:$D,4,))</f>
        <v>58,82</v>
      </c>
      <c r="H4487" s="242">
        <f t="shared" si="242"/>
        <v>428.2</v>
      </c>
      <c r="I4487" s="54" t="str">
        <f>IF(B4487="SEPLAG",VLOOKUP(CONCATENATE("MEDIANA - ",C4487),COTAÇÃO,5,FALSE),VLOOKUP($C4487,DESON!$A:$D,4,))</f>
        <v>57,84</v>
      </c>
      <c r="J4487" s="209">
        <f t="shared" si="243"/>
        <v>421.07</v>
      </c>
    </row>
    <row r="4488" spans="1:10" ht="26.25" customHeight="1">
      <c r="A4488" s="208" t="s">
        <v>245</v>
      </c>
      <c r="B4488" s="241"/>
      <c r="C4488" s="1181">
        <v>11301</v>
      </c>
      <c r="D4488" s="161" t="str">
        <f>IF(B4488="SEPLAG",VLOOKUP(COMPOSIÇÕES!C4488,'MAPA COMPARATIVO'!A:B,2,FALSE),VLOOKUP(C4488,'NAO DESO'!A:B,2,0))</f>
        <v>TAMPAO FOFO ARTICULADO, CLASSE B125 CARGA MAX 12,5 T, REDONDO, TAMPA 600 MM (COM INSCRICAO EM RELEVO DO TIPO DE REDE)</v>
      </c>
      <c r="E4488" s="241" t="str">
        <f>VLOOKUP($C4488,'NAO DESO'!$A:$D,3,)</f>
        <v xml:space="preserve">UN    </v>
      </c>
      <c r="F4488" s="242">
        <v>1</v>
      </c>
      <c r="G4488" s="242">
        <f>IF(B4488="SEPLAG",VLOOKUP(CONCATENATE("MEDIANA - ",C4488),COTAÇÃO,5,FALSE),VLOOKUP($C4488,'NAO DESO'!$A:$D,4,))</f>
        <v>660.46</v>
      </c>
      <c r="H4488" s="242">
        <f t="shared" si="242"/>
        <v>660.46</v>
      </c>
      <c r="I4488" s="54" t="str">
        <f>IF(B4488="SEPLAG",VLOOKUP(CONCATENATE("MEDIANA - ",C4488),COTAÇÃO,5,FALSE),VLOOKUP($C4488,DESON!$A:$D,4,))</f>
        <v>660,46</v>
      </c>
      <c r="J4488" s="209">
        <f t="shared" si="243"/>
        <v>660.46</v>
      </c>
    </row>
    <row r="4489" spans="1:10" ht="39" customHeight="1">
      <c r="A4489" s="208" t="s">
        <v>245</v>
      </c>
      <c r="B4489" s="241"/>
      <c r="C4489" s="1181">
        <v>92775</v>
      </c>
      <c r="D4489" s="161" t="str">
        <f>IF(B4489="SEPLAG",VLOOKUP(COMPOSIÇÕES!C4489,'MAPA COMPARATIVO'!A:B,2,FALSE),VLOOKUP(C4489,'NAO DESO'!A:B,2,0))</f>
        <v>ARMAÇÃO DE PILAR OU VIGA DE UMA ESTRUTURA CONVENCIONAL DE CONCRETO ARMADO EM UMA EDIFICAÇÃO TÉRREA OU SOBRADO UTILIZANDO AÇO CA-60 DE 5,0 MM - MONTAGEM. AF_12/2015</v>
      </c>
      <c r="E4489" s="241" t="str">
        <f>VLOOKUP($C4489,'NAO DESO'!$A:$D,3,)</f>
        <v>KG</v>
      </c>
      <c r="F4489" s="242">
        <v>1.29</v>
      </c>
      <c r="G4489" s="242" t="str">
        <f>IF(B4489="SEPLAG",VLOOKUP(CONCATENATE("MEDIANA - ",C4489),COTAÇÃO,5,FALSE),VLOOKUP($C4489,'NAO DESO'!$A:$D,4,))</f>
        <v>18,46</v>
      </c>
      <c r="H4489" s="242">
        <f t="shared" si="242"/>
        <v>23.81</v>
      </c>
      <c r="I4489" s="54" t="str">
        <f>IF(B4489="SEPLAG",VLOOKUP(CONCATENATE("MEDIANA - ",C4489),COTAÇÃO,5,FALSE),VLOOKUP($C4489,DESON!$A:$D,4,))</f>
        <v>17,71</v>
      </c>
      <c r="J4489" s="209">
        <f t="shared" si="243"/>
        <v>22.84</v>
      </c>
    </row>
    <row r="4490" spans="1:10" ht="39" customHeight="1">
      <c r="A4490" s="208" t="s">
        <v>245</v>
      </c>
      <c r="B4490" s="241"/>
      <c r="C4490" s="1181">
        <v>92778</v>
      </c>
      <c r="D4490" s="161" t="str">
        <f>IF(B4490="SEPLAG",VLOOKUP(COMPOSIÇÕES!C4490,'MAPA COMPARATIVO'!A:B,2,FALSE),VLOOKUP(C4490,'NAO DESO'!A:B,2,0))</f>
        <v>ARMAÇÃO DE PILAR OU VIGA DE UMA ESTRUTURA CONVENCIONAL DE CONCRETO ARMADO EM UMA EDIFICAÇÃO TÉRREA OU SOBRADO UTILIZANDO AÇO CA-50 DE 10,0 MM - MONTAGEM. AF_12/2015</v>
      </c>
      <c r="E4490" s="241" t="str">
        <f>VLOOKUP($C4490,'NAO DESO'!$A:$D,3,)</f>
        <v>KG</v>
      </c>
      <c r="F4490" s="242">
        <v>6.91</v>
      </c>
      <c r="G4490" s="242" t="str">
        <f>IF(B4490="SEPLAG",VLOOKUP(CONCATENATE("MEDIANA - ",C4490),COTAÇÃO,5,FALSE),VLOOKUP($C4490,'NAO DESO'!$A:$D,4,))</f>
        <v>14,78</v>
      </c>
      <c r="H4490" s="242">
        <f t="shared" si="242"/>
        <v>102.12</v>
      </c>
      <c r="I4490" s="54" t="str">
        <f>IF(B4490="SEPLAG",VLOOKUP(CONCATENATE("MEDIANA - ",C4490),COTAÇÃO,5,FALSE),VLOOKUP($C4490,DESON!$A:$D,4,))</f>
        <v>14,50</v>
      </c>
      <c r="J4490" s="209">
        <f t="shared" si="243"/>
        <v>100.19</v>
      </c>
    </row>
    <row r="4491" spans="1:10" ht="39" customHeight="1">
      <c r="A4491" s="208" t="s">
        <v>245</v>
      </c>
      <c r="B4491" s="241"/>
      <c r="C4491" s="1181">
        <v>92423</v>
      </c>
      <c r="D4491" s="161" t="str">
        <f>IF(B4491="SEPLAG",VLOOKUP(COMPOSIÇÕES!C4491,'MAPA COMPARATIVO'!A:B,2,FALSE),VLOOKUP(C4491,'NAO DESO'!A:B,2,0))</f>
        <v>MONTAGEM E DESMONTAGEM DE FÔRMA DE PILARES RETANGULARES E ESTRUTURAS SIMILARES, PÉ-DIREITO SIMPLES, EM CHAPA DE MADEIRA COMPENSADA RESINADA, 6 UTILIZAÇÕES. AF_09/2020</v>
      </c>
      <c r="E4491" s="241" t="str">
        <f>VLOOKUP($C4491,'NAO DESO'!$A:$D,3,)</f>
        <v>M2</v>
      </c>
      <c r="F4491" s="242">
        <v>0.84</v>
      </c>
      <c r="G4491" s="242" t="str">
        <f>IF(B4491="SEPLAG",VLOOKUP(CONCATENATE("MEDIANA - ",C4491),COTAÇÃO,5,FALSE),VLOOKUP($C4491,'NAO DESO'!$A:$D,4,))</f>
        <v>67,90</v>
      </c>
      <c r="H4491" s="242">
        <f t="shared" si="242"/>
        <v>57.03</v>
      </c>
      <c r="I4491" s="54" t="str">
        <f>IF(B4491="SEPLAG",VLOOKUP(CONCATENATE("MEDIANA - ",C4491),COTAÇÃO,5,FALSE),VLOOKUP($C4491,DESON!$A:$D,4,))</f>
        <v>65,30</v>
      </c>
      <c r="J4491" s="209">
        <f t="shared" si="243"/>
        <v>54.85</v>
      </c>
    </row>
    <row r="4492" spans="1:10" ht="15" customHeight="1">
      <c r="A4492" s="208" t="s">
        <v>245</v>
      </c>
      <c r="B4492" s="241"/>
      <c r="C4492" s="1181">
        <v>88309</v>
      </c>
      <c r="D4492" s="161" t="str">
        <f>IF(B4492="SEPLAG",VLOOKUP(COMPOSIÇÕES!C4492,'MAPA COMPARATIVO'!A:B,2,FALSE),VLOOKUP(C4492,'NAO DESO'!A:B,2,0))</f>
        <v>PEDREIRO COM ENCARGOS COMPLEMENTARES</v>
      </c>
      <c r="E4492" s="241" t="str">
        <f>VLOOKUP($C4492,'NAO DESO'!$A:$D,3,)</f>
        <v>H</v>
      </c>
      <c r="F4492" s="242">
        <v>1</v>
      </c>
      <c r="G4492" s="242" t="str">
        <f>IF(B4492="SEPLAG",VLOOKUP(CONCATENATE("MEDIANA - ",C4492),COTAÇÃO,5,FALSE),VLOOKUP($C4492,'NAO DESO'!$A:$D,4,))</f>
        <v>21,10</v>
      </c>
      <c r="H4492" s="242">
        <f t="shared" si="242"/>
        <v>21.1</v>
      </c>
      <c r="I4492" s="54" t="str">
        <f>IF(B4492="SEPLAG",VLOOKUP(CONCATENATE("MEDIANA - ",C4492),COTAÇÃO,5,FALSE),VLOOKUP($C4492,DESON!$A:$D,4,))</f>
        <v>18,86</v>
      </c>
      <c r="J4492" s="209">
        <f t="shared" si="243"/>
        <v>18.86</v>
      </c>
    </row>
    <row r="4493" spans="1:10" ht="15" customHeight="1">
      <c r="A4493" s="208" t="s">
        <v>245</v>
      </c>
      <c r="B4493" s="241"/>
      <c r="C4493" s="1181">
        <v>88316</v>
      </c>
      <c r="D4493" s="161" t="str">
        <f>IF(B4493="SEPLAG",VLOOKUP(COMPOSIÇÕES!C4493,'MAPA COMPARATIVO'!A:B,2,FALSE),VLOOKUP(C4493,'NAO DESO'!A:B,2,0))</f>
        <v>SERVENTE COM ENCARGOS COMPLEMENTARES</v>
      </c>
      <c r="E4493" s="241" t="str">
        <f>VLOOKUP($C4493,'NAO DESO'!$A:$D,3,)</f>
        <v>H</v>
      </c>
      <c r="F4493" s="242">
        <v>1</v>
      </c>
      <c r="G4493" s="242" t="str">
        <f>IF(B4493="SEPLAG",VLOOKUP(CONCATENATE("MEDIANA - ",C4493),COTAÇÃO,5,FALSE),VLOOKUP($C4493,'NAO DESO'!$A:$D,4,))</f>
        <v>16,83</v>
      </c>
      <c r="H4493" s="242">
        <f t="shared" si="242"/>
        <v>16.829999999999998</v>
      </c>
      <c r="I4493" s="54" t="str">
        <f>IF(B4493="SEPLAG",VLOOKUP(CONCATENATE("MEDIANA - ",C4493),COTAÇÃO,5,FALSE),VLOOKUP($C4493,DESON!$A:$D,4,))</f>
        <v>15,16</v>
      </c>
      <c r="J4493" s="209">
        <f t="shared" si="243"/>
        <v>15.16</v>
      </c>
    </row>
    <row r="4494" spans="1:10" ht="15" customHeight="1">
      <c r="A4494" s="210" t="str">
        <f>CONCATENATE("TOTAL DO ITEM NÃO DESON. - ",C4478)</f>
        <v>TOTAL DO ITEM NÃO DESON. - SEPLAG HIDR 25</v>
      </c>
      <c r="B4494" s="430"/>
      <c r="C4494" s="430"/>
      <c r="D4494" s="430"/>
      <c r="E4494" s="430"/>
      <c r="F4494" s="1180"/>
      <c r="G4494" s="1180"/>
      <c r="H4494" s="1182">
        <f>SUM(H4481:H4493)</f>
        <v>2048.1</v>
      </c>
      <c r="I4494" s="231"/>
      <c r="J4494" s="215"/>
    </row>
    <row r="4495" spans="1:10" ht="15.75" customHeight="1" thickBot="1">
      <c r="A4495" s="216" t="str">
        <f>CONCATENATE("TOTAL DO ITEM DESON. - ",C4478)</f>
        <v>TOTAL DO ITEM DESON. - SEPLAG HIDR 25</v>
      </c>
      <c r="B4495" s="1142"/>
      <c r="C4495" s="1142"/>
      <c r="D4495" s="1142"/>
      <c r="E4495" s="1142"/>
      <c r="F4495" s="1211"/>
      <c r="G4495" s="1211"/>
      <c r="H4495" s="1187"/>
      <c r="I4495" s="260"/>
      <c r="J4495" s="219">
        <f>SUM(J4481:J4493)</f>
        <v>1989.57</v>
      </c>
    </row>
    <row r="4496" spans="1:10" ht="15" customHeight="1" thickBot="1">
      <c r="A4496" s="421"/>
      <c r="B4496" s="1138"/>
      <c r="C4496" s="1138"/>
      <c r="D4496" s="1138"/>
      <c r="E4496" s="1154"/>
      <c r="F4496" s="1196"/>
      <c r="G4496" s="1196"/>
      <c r="H4496" s="1196"/>
      <c r="I4496" s="422"/>
      <c r="J4496" s="422"/>
    </row>
    <row r="4497" spans="1:10" ht="38.25" customHeight="1">
      <c r="A4497" s="256"/>
      <c r="B4497" s="1152"/>
      <c r="C4497" s="1176" t="s">
        <v>7497</v>
      </c>
      <c r="D4497" s="156" t="s">
        <v>27955</v>
      </c>
      <c r="E4497" s="1176" t="s">
        <v>24</v>
      </c>
      <c r="F4497" s="1177" t="s">
        <v>18</v>
      </c>
      <c r="G4497" s="1178" t="s">
        <v>7015</v>
      </c>
      <c r="H4497" s="1179"/>
      <c r="I4497" s="200" t="s">
        <v>7016</v>
      </c>
      <c r="J4497" s="201"/>
    </row>
    <row r="4498" spans="1:10" ht="15" customHeight="1">
      <c r="A4498" s="257"/>
      <c r="B4498" s="430"/>
      <c r="C4498" s="1155"/>
      <c r="D4498" s="157"/>
      <c r="E4498" s="1155"/>
      <c r="F4498" s="1180"/>
      <c r="G4498" s="1180" t="s">
        <v>19</v>
      </c>
      <c r="H4498" s="1180" t="s">
        <v>20</v>
      </c>
      <c r="I4498" s="204" t="s">
        <v>19</v>
      </c>
      <c r="J4498" s="206" t="s">
        <v>20</v>
      </c>
    </row>
    <row r="4499" spans="1:10" ht="15" customHeight="1">
      <c r="A4499" s="258"/>
      <c r="B4499" s="1155"/>
      <c r="C4499" s="1155"/>
      <c r="D4499" s="157"/>
      <c r="E4499" s="1155"/>
      <c r="F4499" s="1180"/>
      <c r="G4499" s="1180"/>
      <c r="H4499" s="1180"/>
      <c r="I4499" s="238"/>
      <c r="J4499" s="259"/>
    </row>
    <row r="4500" spans="1:10" ht="39" customHeight="1">
      <c r="A4500" s="208" t="s">
        <v>245</v>
      </c>
      <c r="B4500" s="241"/>
      <c r="C4500" s="1181">
        <v>101159</v>
      </c>
      <c r="D4500" s="161" t="str">
        <f>IF(B4500="SEPLAG",VLOOKUP(COMPOSIÇÕES!C4500,'MAPA COMPARATIVO'!A:B,2,FALSE),VLOOKUP(C4500,'NAO DESO'!A:B,2,0))</f>
        <v>ALVENARIA DE VEDAÇÃO DE BLOCOS CERÂMICOS MACIÇOS DE 5X10X20CM (ESPESSURA 10CM) E ARGAMASSA DE ASSENTAMENTO COM PREPARO EM BETONEIRA. AF_05/2020</v>
      </c>
      <c r="E4500" s="241" t="str">
        <f>VLOOKUP($C4500,'NAO DESO'!$A:$D,3,)</f>
        <v>M2</v>
      </c>
      <c r="F4500" s="242">
        <v>4.4800000000000004</v>
      </c>
      <c r="G4500" s="242" t="str">
        <f>IF(B4500="SEPLAG",VLOOKUP(CONCATENATE("MEDIANA - ",C4500),COTAÇÃO,5,FALSE),VLOOKUP($C4500,'NAO DESO'!$A:$D,4,))</f>
        <v>126,63</v>
      </c>
      <c r="H4500" s="242">
        <f t="shared" ref="H4500:H4512" si="244">TRUNC(F4500*G4500,2)</f>
        <v>567.29999999999995</v>
      </c>
      <c r="I4500" s="54" t="str">
        <f>IF(B4500="SEPLAG",VLOOKUP(CONCATENATE("MEDIANA - ",C4500),COTAÇÃO,5,FALSE),VLOOKUP($C4500,DESON!$A:$D,4,))</f>
        <v>120,46</v>
      </c>
      <c r="J4500" s="209">
        <f t="shared" ref="J4500:J4512" si="245">TRUNC(F4500*I4500,2)</f>
        <v>539.66</v>
      </c>
    </row>
    <row r="4501" spans="1:10" ht="64.5" customHeight="1">
      <c r="A4501" s="208" t="s">
        <v>245</v>
      </c>
      <c r="B4501" s="241"/>
      <c r="C4501" s="1181">
        <v>87543</v>
      </c>
      <c r="D4501" s="161" t="str">
        <f>IF(B4501="SEPLAG",VLOOKUP(COMPOSIÇÕES!C4501,'MAPA COMPARATIVO'!A:B,2,FALSE),VLOOKUP(C4501,'NAO DESO'!A:B,2,0))</f>
        <v>MASSA ÚNICA, PARA RECEBIMENTO DE PINTURA OU CERÂMICA, ARGAMASSA INDUSTRIALIZADA, PREPARO MECÂNICO, APLICADO COM EQUIPAMENTO DE MISTURA E PROJEÇÃO DE 1,5 M3/H EM FACES INTERNAS DE PAREDES, ESPESSURA DE 5MM, SEM EXECUÇÃO DE TALISCAS. AF_06/2014</v>
      </c>
      <c r="E4501" s="241" t="str">
        <f>VLOOKUP($C4501,'NAO DESO'!$A:$D,3,)</f>
        <v>M2</v>
      </c>
      <c r="F4501" s="242">
        <v>11.76</v>
      </c>
      <c r="G4501" s="242" t="str">
        <f>IF(B4501="SEPLAG",VLOOKUP(CONCATENATE("MEDIANA - ",C4501),COTAÇÃO,5,FALSE),VLOOKUP($C4501,'NAO DESO'!$A:$D,4,))</f>
        <v>24,40</v>
      </c>
      <c r="H4501" s="242">
        <f t="shared" si="244"/>
        <v>286.94</v>
      </c>
      <c r="I4501" s="54" t="str">
        <f>IF(B4501="SEPLAG",VLOOKUP(CONCATENATE("MEDIANA - ",C4501),COTAÇÃO,5,FALSE),VLOOKUP($C4501,DESON!$A:$D,4,))</f>
        <v>23,82</v>
      </c>
      <c r="J4501" s="209">
        <f t="shared" si="245"/>
        <v>280.12</v>
      </c>
    </row>
    <row r="4502" spans="1:10" ht="39" customHeight="1">
      <c r="A4502" s="208" t="s">
        <v>245</v>
      </c>
      <c r="B4502" s="241"/>
      <c r="C4502" s="1181">
        <v>94970</v>
      </c>
      <c r="D4502" s="161" t="str">
        <f>IF(B4502="SEPLAG",VLOOKUP(COMPOSIÇÕES!C4502,'MAPA COMPARATIVO'!A:B,2,FALSE),VLOOKUP(C4502,'NAO DESO'!A:B,2,0))</f>
        <v>CONCRETO FCK = 20MPA, TRAÇO 1:2,7:3 (EM MASSA SECA DE CIMENTO/ AREIA MÉDIA/ BRITA 1) - PREPARO MECÂNICO COM BETONEIRA 600 L. AF_05/2021</v>
      </c>
      <c r="E4502" s="241" t="str">
        <f>VLOOKUP($C4502,'NAO DESO'!$A:$D,3,)</f>
        <v>M3</v>
      </c>
      <c r="F4502" s="242">
        <v>0.14000000000000001</v>
      </c>
      <c r="G4502" s="242" t="str">
        <f>IF(B4502="SEPLAG",VLOOKUP(CONCATENATE("MEDIANA - ",C4502),COTAÇÃO,5,FALSE),VLOOKUP($C4502,'NAO DESO'!$A:$D,4,))</f>
        <v>405,57</v>
      </c>
      <c r="H4502" s="242">
        <f t="shared" si="244"/>
        <v>56.77</v>
      </c>
      <c r="I4502" s="54" t="str">
        <f>IF(B4502="SEPLAG",VLOOKUP(CONCATENATE("MEDIANA - ",C4502),COTAÇÃO,5,FALSE),VLOOKUP($C4502,DESON!$A:$D,4,))</f>
        <v>400,17</v>
      </c>
      <c r="J4502" s="209">
        <f t="shared" si="245"/>
        <v>56.02</v>
      </c>
    </row>
    <row r="4503" spans="1:10" ht="26.25" customHeight="1">
      <c r="A4503" s="208" t="s">
        <v>245</v>
      </c>
      <c r="B4503" s="241"/>
      <c r="C4503" s="1181">
        <v>93358</v>
      </c>
      <c r="D4503" s="161" t="str">
        <f>IF(B4503="SEPLAG",VLOOKUP(COMPOSIÇÕES!C4503,'MAPA COMPARATIVO'!A:B,2,FALSE),VLOOKUP(C4503,'NAO DESO'!A:B,2,0))</f>
        <v>ESCAVAÇÃO MANUAL DE VALA COM PROFUNDIDADE MENOR OU IGUAL A 1,30 M. AF_02/2021</v>
      </c>
      <c r="E4503" s="241" t="str">
        <f>VLOOKUP($C4503,'NAO DESO'!$A:$D,3,)</f>
        <v>M3</v>
      </c>
      <c r="F4503" s="242">
        <v>4.4800000000000004</v>
      </c>
      <c r="G4503" s="242" t="str">
        <f>IF(B4503="SEPLAG",VLOOKUP(CONCATENATE("MEDIANA - ",C4503),COTAÇÃO,5,FALSE),VLOOKUP($C4503,'NAO DESO'!$A:$D,4,))</f>
        <v>66,57</v>
      </c>
      <c r="H4503" s="242">
        <f t="shared" si="244"/>
        <v>298.23</v>
      </c>
      <c r="I4503" s="54" t="str">
        <f>IF(B4503="SEPLAG",VLOOKUP(CONCATENATE("MEDIANA - ",C4503),COTAÇÃO,5,FALSE),VLOOKUP($C4503,DESON!$A:$D,4,))</f>
        <v>59,97</v>
      </c>
      <c r="J4503" s="209">
        <f t="shared" si="245"/>
        <v>268.66000000000003</v>
      </c>
    </row>
    <row r="4504" spans="1:10" ht="26.25" customHeight="1">
      <c r="A4504" s="208" t="s">
        <v>245</v>
      </c>
      <c r="B4504" s="241"/>
      <c r="C4504" s="1181">
        <v>101617</v>
      </c>
      <c r="D4504" s="161" t="str">
        <f>IF(B4504="SEPLAG",VLOOKUP(COMPOSIÇÕES!C4504,'MAPA COMPARATIVO'!A:B,2,FALSE),VLOOKUP(C4504,'NAO DESO'!A:B,2,0))</f>
        <v>PREPARO DE FUNDO DE VALA COM LARGURA MAIOR OU IGUAL A 1,5 M E MENOR QUE 2,5 M (ACERTO DO SOLO NATURAL). AF_08/2020</v>
      </c>
      <c r="E4504" s="241" t="str">
        <f>VLOOKUP($C4504,'NAO DESO'!$A:$D,3,)</f>
        <v>M2</v>
      </c>
      <c r="F4504" s="242">
        <v>0.64</v>
      </c>
      <c r="G4504" s="242" t="str">
        <f>IF(B4504="SEPLAG",VLOOKUP(CONCATENATE("MEDIANA - ",C4504),COTAÇÃO,5,FALSE),VLOOKUP($C4504,'NAO DESO'!$A:$D,4,))</f>
        <v>2,38</v>
      </c>
      <c r="H4504" s="242">
        <f t="shared" si="244"/>
        <v>1.52</v>
      </c>
      <c r="I4504" s="54" t="str">
        <f>IF(B4504="SEPLAG",VLOOKUP(CONCATENATE("MEDIANA - ",C4504),COTAÇÃO,5,FALSE),VLOOKUP($C4504,DESON!$A:$D,4,))</f>
        <v>2,15</v>
      </c>
      <c r="J4504" s="209">
        <f t="shared" si="245"/>
        <v>1.37</v>
      </c>
    </row>
    <row r="4505" spans="1:10" ht="15" customHeight="1">
      <c r="A4505" s="208" t="s">
        <v>245</v>
      </c>
      <c r="B4505" s="241"/>
      <c r="C4505" s="1181">
        <v>96995</v>
      </c>
      <c r="D4505" s="161" t="str">
        <f>IF(B4505="SEPLAG",VLOOKUP(COMPOSIÇÕES!C4505,'MAPA COMPARATIVO'!A:B,2,FALSE),VLOOKUP(C4505,'NAO DESO'!A:B,2,0))</f>
        <v>REATERRO MANUAL APILOADO COM SOQUETE. AF_10/2017</v>
      </c>
      <c r="E4505" s="241" t="str">
        <f>VLOOKUP($C4505,'NAO DESO'!$A:$D,3,)</f>
        <v>M3</v>
      </c>
      <c r="F4505" s="242">
        <v>3.46</v>
      </c>
      <c r="G4505" s="242" t="str">
        <f>IF(B4505="SEPLAG",VLOOKUP(CONCATENATE("MEDIANA - ",C4505),COTAÇÃO,5,FALSE),VLOOKUP($C4505,'NAO DESO'!$A:$D,4,))</f>
        <v>40,36</v>
      </c>
      <c r="H4505" s="242">
        <f t="shared" si="244"/>
        <v>139.63999999999999</v>
      </c>
      <c r="I4505" s="54" t="str">
        <f>IF(B4505="SEPLAG",VLOOKUP(CONCATENATE("MEDIANA - ",C4505),COTAÇÃO,5,FALSE),VLOOKUP($C4505,DESON!$A:$D,4,))</f>
        <v>36,36</v>
      </c>
      <c r="J4505" s="209">
        <f t="shared" si="245"/>
        <v>125.8</v>
      </c>
    </row>
    <row r="4506" spans="1:10" ht="26.25" customHeight="1">
      <c r="A4506" s="208" t="s">
        <v>245</v>
      </c>
      <c r="B4506" s="241"/>
      <c r="C4506" s="1181">
        <v>98557</v>
      </c>
      <c r="D4506" s="161" t="str">
        <f>IF(B4506="SEPLAG",VLOOKUP(COMPOSIÇÕES!C4506,'MAPA COMPARATIVO'!A:B,2,FALSE),VLOOKUP(C4506,'NAO DESO'!A:B,2,0))</f>
        <v>IMPERMEABILIZAÇÃO DE SUPERFÍCIE COM EMULSÃO ASFÁLTICA, 2 DEMÃOS AF_06/2018</v>
      </c>
      <c r="E4506" s="241" t="str">
        <f>VLOOKUP($C4506,'NAO DESO'!$A:$D,3,)</f>
        <v>M2</v>
      </c>
      <c r="F4506" s="242">
        <f>F4501</f>
        <v>11.76</v>
      </c>
      <c r="G4506" s="242" t="str">
        <f>IF(B4506="SEPLAG",VLOOKUP(CONCATENATE("MEDIANA - ",C4506),COTAÇÃO,5,FALSE),VLOOKUP($C4506,'NAO DESO'!$A:$D,4,))</f>
        <v>58,82</v>
      </c>
      <c r="H4506" s="242">
        <f t="shared" si="244"/>
        <v>691.72</v>
      </c>
      <c r="I4506" s="54" t="str">
        <f>IF(B4506="SEPLAG",VLOOKUP(CONCATENATE("MEDIANA - ",C4506),COTAÇÃO,5,FALSE),VLOOKUP($C4506,DESON!$A:$D,4,))</f>
        <v>57,84</v>
      </c>
      <c r="J4506" s="209">
        <f t="shared" si="245"/>
        <v>680.19</v>
      </c>
    </row>
    <row r="4507" spans="1:10" ht="26.25" customHeight="1">
      <c r="A4507" s="208" t="s">
        <v>245</v>
      </c>
      <c r="B4507" s="241"/>
      <c r="C4507" s="1181">
        <v>11301</v>
      </c>
      <c r="D4507" s="161" t="str">
        <f>IF(B4507="SEPLAG",VLOOKUP(COMPOSIÇÕES!C4507,'MAPA COMPARATIVO'!A:B,2,FALSE),VLOOKUP(C4507,'NAO DESO'!A:B,2,0))</f>
        <v>TAMPAO FOFO ARTICULADO, CLASSE B125 CARGA MAX 12,5 T, REDONDO, TAMPA 600 MM (COM INSCRICAO EM RELEVO DO TIPO DE REDE)</v>
      </c>
      <c r="E4507" s="241" t="str">
        <f>VLOOKUP($C4507,'NAO DESO'!$A:$D,3,)</f>
        <v xml:space="preserve">UN    </v>
      </c>
      <c r="F4507" s="242">
        <v>1</v>
      </c>
      <c r="G4507" s="242">
        <f>IF(B4507="SEPLAG",VLOOKUP(CONCATENATE("MEDIANA - ",C4507),COTAÇÃO,5,FALSE),VLOOKUP($C4507,'NAO DESO'!$A:$D,4,))</f>
        <v>660.46</v>
      </c>
      <c r="H4507" s="242">
        <f t="shared" si="244"/>
        <v>660.46</v>
      </c>
      <c r="I4507" s="54" t="str">
        <f>IF(B4507="SEPLAG",VLOOKUP(CONCATENATE("MEDIANA - ",C4507),COTAÇÃO,5,FALSE),VLOOKUP($C4507,DESON!$A:$D,4,))</f>
        <v>660,46</v>
      </c>
      <c r="J4507" s="209">
        <f t="shared" si="245"/>
        <v>660.46</v>
      </c>
    </row>
    <row r="4508" spans="1:10" ht="39" customHeight="1">
      <c r="A4508" s="208" t="s">
        <v>245</v>
      </c>
      <c r="B4508" s="241"/>
      <c r="C4508" s="1181">
        <v>92775</v>
      </c>
      <c r="D4508" s="161" t="str">
        <f>IF(B4508="SEPLAG",VLOOKUP(COMPOSIÇÕES!C4508,'MAPA COMPARATIVO'!A:B,2,FALSE),VLOOKUP(C4508,'NAO DESO'!A:B,2,0))</f>
        <v>ARMAÇÃO DE PILAR OU VIGA DE UMA ESTRUTURA CONVENCIONAL DE CONCRETO ARMADO EM UMA EDIFICAÇÃO TÉRREA OU SOBRADO UTILIZANDO AÇO CA-60 DE 5,0 MM - MONTAGEM. AF_12/2015</v>
      </c>
      <c r="E4508" s="241" t="str">
        <f>VLOOKUP($C4508,'NAO DESO'!$A:$D,3,)</f>
        <v>KG</v>
      </c>
      <c r="F4508" s="242">
        <v>1.66</v>
      </c>
      <c r="G4508" s="242" t="str">
        <f>IF(B4508="SEPLAG",VLOOKUP(CONCATENATE("MEDIANA - ",C4508),COTAÇÃO,5,FALSE),VLOOKUP($C4508,'NAO DESO'!$A:$D,4,))</f>
        <v>18,46</v>
      </c>
      <c r="H4508" s="242">
        <f t="shared" si="244"/>
        <v>30.64</v>
      </c>
      <c r="I4508" s="54" t="str">
        <f>IF(B4508="SEPLAG",VLOOKUP(CONCATENATE("MEDIANA - ",C4508),COTAÇÃO,5,FALSE),VLOOKUP($C4508,DESON!$A:$D,4,))</f>
        <v>17,71</v>
      </c>
      <c r="J4508" s="209">
        <f t="shared" si="245"/>
        <v>29.39</v>
      </c>
    </row>
    <row r="4509" spans="1:10" ht="39" customHeight="1">
      <c r="A4509" s="208" t="s">
        <v>245</v>
      </c>
      <c r="B4509" s="241"/>
      <c r="C4509" s="1181">
        <v>92778</v>
      </c>
      <c r="D4509" s="161" t="str">
        <f>IF(B4509="SEPLAG",VLOOKUP(COMPOSIÇÕES!C4509,'MAPA COMPARATIVO'!A:B,2,FALSE),VLOOKUP(C4509,'NAO DESO'!A:B,2,0))</f>
        <v>ARMAÇÃO DE PILAR OU VIGA DE UMA ESTRUTURA CONVENCIONAL DE CONCRETO ARMADO EM UMA EDIFICAÇÃO TÉRREA OU SOBRADO UTILIZANDO AÇO CA-50 DE 10,0 MM - MONTAGEM. AF_12/2015</v>
      </c>
      <c r="E4509" s="241" t="str">
        <f>VLOOKUP($C4509,'NAO DESO'!$A:$D,3,)</f>
        <v>KG</v>
      </c>
      <c r="F4509" s="242">
        <v>8.8800000000000008</v>
      </c>
      <c r="G4509" s="242" t="str">
        <f>IF(B4509="SEPLAG",VLOOKUP(CONCATENATE("MEDIANA - ",C4509),COTAÇÃO,5,FALSE),VLOOKUP($C4509,'NAO DESO'!$A:$D,4,))</f>
        <v>14,78</v>
      </c>
      <c r="H4509" s="242">
        <f t="shared" si="244"/>
        <v>131.24</v>
      </c>
      <c r="I4509" s="54" t="str">
        <f>IF(B4509="SEPLAG",VLOOKUP(CONCATENATE("MEDIANA - ",C4509),COTAÇÃO,5,FALSE),VLOOKUP($C4509,DESON!$A:$D,4,))</f>
        <v>14,50</v>
      </c>
      <c r="J4509" s="209">
        <f t="shared" si="245"/>
        <v>128.76</v>
      </c>
    </row>
    <row r="4510" spans="1:10" ht="39" customHeight="1">
      <c r="A4510" s="208" t="s">
        <v>245</v>
      </c>
      <c r="B4510" s="241"/>
      <c r="C4510" s="1181">
        <v>92423</v>
      </c>
      <c r="D4510" s="161" t="str">
        <f>IF(B4510="SEPLAG",VLOOKUP(COMPOSIÇÕES!C4510,'MAPA COMPARATIVO'!A:B,2,FALSE),VLOOKUP(C4510,'NAO DESO'!A:B,2,0))</f>
        <v>MONTAGEM E DESMONTAGEM DE FÔRMA DE PILARES RETANGULARES E ESTRUTURAS SIMILARES, PÉ-DIREITO SIMPLES, EM CHAPA DE MADEIRA COMPENSADA RESINADA, 6 UTILIZAÇÕES. AF_09/2020</v>
      </c>
      <c r="E4510" s="241" t="str">
        <f>VLOOKUP($C4510,'NAO DESO'!$A:$D,3,)</f>
        <v>M2</v>
      </c>
      <c r="F4510" s="242">
        <v>1.08</v>
      </c>
      <c r="G4510" s="242" t="str">
        <f>IF(B4510="SEPLAG",VLOOKUP(CONCATENATE("MEDIANA - ",C4510),COTAÇÃO,5,FALSE),VLOOKUP($C4510,'NAO DESO'!$A:$D,4,))</f>
        <v>67,90</v>
      </c>
      <c r="H4510" s="242">
        <f t="shared" si="244"/>
        <v>73.33</v>
      </c>
      <c r="I4510" s="54" t="str">
        <f>IF(B4510="SEPLAG",VLOOKUP(CONCATENATE("MEDIANA - ",C4510),COTAÇÃO,5,FALSE),VLOOKUP($C4510,DESON!$A:$D,4,))</f>
        <v>65,30</v>
      </c>
      <c r="J4510" s="209">
        <f t="shared" si="245"/>
        <v>70.52</v>
      </c>
    </row>
    <row r="4511" spans="1:10" ht="15" customHeight="1">
      <c r="A4511" s="208" t="s">
        <v>245</v>
      </c>
      <c r="B4511" s="241"/>
      <c r="C4511" s="1181">
        <v>88309</v>
      </c>
      <c r="D4511" s="161" t="str">
        <f>IF(B4511="SEPLAG",VLOOKUP(COMPOSIÇÕES!C4511,'MAPA COMPARATIVO'!A:B,2,FALSE),VLOOKUP(C4511,'NAO DESO'!A:B,2,0))</f>
        <v>PEDREIRO COM ENCARGOS COMPLEMENTARES</v>
      </c>
      <c r="E4511" s="241" t="str">
        <f>VLOOKUP($C4511,'NAO DESO'!$A:$D,3,)</f>
        <v>H</v>
      </c>
      <c r="F4511" s="242">
        <v>1</v>
      </c>
      <c r="G4511" s="242" t="str">
        <f>IF(B4511="SEPLAG",VLOOKUP(CONCATENATE("MEDIANA - ",C4511),COTAÇÃO,5,FALSE),VLOOKUP($C4511,'NAO DESO'!$A:$D,4,))</f>
        <v>21,10</v>
      </c>
      <c r="H4511" s="242">
        <f t="shared" si="244"/>
        <v>21.1</v>
      </c>
      <c r="I4511" s="54" t="str">
        <f>IF(B4511="SEPLAG",VLOOKUP(CONCATENATE("MEDIANA - ",C4511),COTAÇÃO,5,FALSE),VLOOKUP($C4511,DESON!$A:$D,4,))</f>
        <v>18,86</v>
      </c>
      <c r="J4511" s="209">
        <f t="shared" si="245"/>
        <v>18.86</v>
      </c>
    </row>
    <row r="4512" spans="1:10" ht="15" customHeight="1">
      <c r="A4512" s="208" t="s">
        <v>245</v>
      </c>
      <c r="B4512" s="241"/>
      <c r="C4512" s="1181">
        <v>88316</v>
      </c>
      <c r="D4512" s="161" t="str">
        <f>IF(B4512="SEPLAG",VLOOKUP(COMPOSIÇÕES!C4512,'MAPA COMPARATIVO'!A:B,2,FALSE),VLOOKUP(C4512,'NAO DESO'!A:B,2,0))</f>
        <v>SERVENTE COM ENCARGOS COMPLEMENTARES</v>
      </c>
      <c r="E4512" s="241" t="str">
        <f>VLOOKUP($C4512,'NAO DESO'!$A:$D,3,)</f>
        <v>H</v>
      </c>
      <c r="F4512" s="242">
        <v>1</v>
      </c>
      <c r="G4512" s="242" t="str">
        <f>IF(B4512="SEPLAG",VLOOKUP(CONCATENATE("MEDIANA - ",C4512),COTAÇÃO,5,FALSE),VLOOKUP($C4512,'NAO DESO'!$A:$D,4,))</f>
        <v>16,83</v>
      </c>
      <c r="H4512" s="242">
        <f t="shared" si="244"/>
        <v>16.829999999999998</v>
      </c>
      <c r="I4512" s="54" t="str">
        <f>IF(B4512="SEPLAG",VLOOKUP(CONCATENATE("MEDIANA - ",C4512),COTAÇÃO,5,FALSE),VLOOKUP($C4512,DESON!$A:$D,4,))</f>
        <v>15,16</v>
      </c>
      <c r="J4512" s="209">
        <f t="shared" si="245"/>
        <v>15.16</v>
      </c>
    </row>
    <row r="4513" spans="1:10" ht="15" customHeight="1">
      <c r="A4513" s="210" t="str">
        <f>CONCATENATE("TOTAL DO ITEM NÃO DESON. - ",C4497)</f>
        <v>TOTAL DO ITEM NÃO DESON. - SEPLAG HIDR 26</v>
      </c>
      <c r="B4513" s="430"/>
      <c r="C4513" s="430"/>
      <c r="D4513" s="430"/>
      <c r="E4513" s="430"/>
      <c r="F4513" s="1180"/>
      <c r="G4513" s="1180"/>
      <c r="H4513" s="1182">
        <f>SUM(H4500:H4512)</f>
        <v>2975.72</v>
      </c>
      <c r="I4513" s="231"/>
      <c r="J4513" s="215"/>
    </row>
    <row r="4514" spans="1:10" ht="15.75" customHeight="1" thickBot="1">
      <c r="A4514" s="216" t="str">
        <f>CONCATENATE("TOTAL DO ITEM DESON. - ",C4497)</f>
        <v>TOTAL DO ITEM DESON. - SEPLAG HIDR 26</v>
      </c>
      <c r="B4514" s="1142"/>
      <c r="C4514" s="1142"/>
      <c r="D4514" s="1142"/>
      <c r="E4514" s="1142"/>
      <c r="F4514" s="1211"/>
      <c r="G4514" s="1211"/>
      <c r="H4514" s="1187"/>
      <c r="I4514" s="260"/>
      <c r="J4514" s="219">
        <f>SUM(J4500:J4512)</f>
        <v>2874.9699999999993</v>
      </c>
    </row>
    <row r="4515" spans="1:10" ht="15" customHeight="1" thickBot="1">
      <c r="A4515" s="421"/>
      <c r="B4515" s="1138"/>
      <c r="C4515" s="1138"/>
      <c r="D4515" s="1138"/>
      <c r="E4515" s="1154"/>
      <c r="F4515" s="1196"/>
      <c r="G4515" s="1196"/>
      <c r="H4515" s="1196"/>
      <c r="I4515" s="422"/>
      <c r="J4515" s="422"/>
    </row>
    <row r="4516" spans="1:10" ht="38.25" customHeight="1">
      <c r="A4516" s="256"/>
      <c r="B4516" s="1152"/>
      <c r="C4516" s="1176" t="s">
        <v>7498</v>
      </c>
      <c r="D4516" s="156" t="s">
        <v>27956</v>
      </c>
      <c r="E4516" s="1176" t="s">
        <v>24</v>
      </c>
      <c r="F4516" s="1177" t="s">
        <v>18</v>
      </c>
      <c r="G4516" s="1178" t="s">
        <v>7015</v>
      </c>
      <c r="H4516" s="1179"/>
      <c r="I4516" s="200" t="s">
        <v>7016</v>
      </c>
      <c r="J4516" s="201"/>
    </row>
    <row r="4517" spans="1:10" ht="15" customHeight="1">
      <c r="A4517" s="257"/>
      <c r="B4517" s="430"/>
      <c r="C4517" s="1155"/>
      <c r="D4517" s="157"/>
      <c r="E4517" s="1155"/>
      <c r="F4517" s="1180"/>
      <c r="G4517" s="1180" t="s">
        <v>19</v>
      </c>
      <c r="H4517" s="1180" t="s">
        <v>20</v>
      </c>
      <c r="I4517" s="204" t="s">
        <v>19</v>
      </c>
      <c r="J4517" s="206" t="s">
        <v>20</v>
      </c>
    </row>
    <row r="4518" spans="1:10" ht="15" customHeight="1">
      <c r="A4518" s="258"/>
      <c r="B4518" s="1155"/>
      <c r="C4518" s="1155"/>
      <c r="D4518" s="157"/>
      <c r="E4518" s="1155"/>
      <c r="F4518" s="1180"/>
      <c r="G4518" s="1180"/>
      <c r="H4518" s="1180"/>
      <c r="I4518" s="238"/>
      <c r="J4518" s="259"/>
    </row>
    <row r="4519" spans="1:10" ht="39" customHeight="1">
      <c r="A4519" s="208" t="s">
        <v>245</v>
      </c>
      <c r="B4519" s="241"/>
      <c r="C4519" s="1181">
        <v>101159</v>
      </c>
      <c r="D4519" s="161" t="str">
        <f>IF(B4519="SEPLAG",VLOOKUP(COMPOSIÇÕES!C4519,'MAPA COMPARATIVO'!A:B,2,FALSE),VLOOKUP(C4519,'NAO DESO'!A:B,2,0))</f>
        <v>ALVENARIA DE VEDAÇÃO DE BLOCOS CERÂMICOS MACIÇOS DE 5X10X20CM (ESPESSURA 10CM) E ARGAMASSA DE ASSENTAMENTO COM PREPARO EM BETONEIRA. AF_05/2020</v>
      </c>
      <c r="E4519" s="241" t="str">
        <f>VLOOKUP($C4519,'NAO DESO'!$A:$D,3,)</f>
        <v>M2</v>
      </c>
      <c r="F4519" s="242">
        <v>1.44</v>
      </c>
      <c r="G4519" s="242" t="str">
        <f>IF(B4519="SEPLAG",VLOOKUP(CONCATENATE("MEDIANA - ",C4519),COTAÇÃO,5,FALSE),VLOOKUP($C4519,'NAO DESO'!$A:$D,4,))</f>
        <v>126,63</v>
      </c>
      <c r="H4519" s="242">
        <f t="shared" ref="H4519:H4531" si="246">TRUNC(F4519*G4519,2)</f>
        <v>182.34</v>
      </c>
      <c r="I4519" s="54" t="str">
        <f>IF(B4519="SEPLAG",VLOOKUP(CONCATENATE("MEDIANA - ",C4519),COTAÇÃO,5,FALSE),VLOOKUP($C4519,DESON!$A:$D,4,))</f>
        <v>120,46</v>
      </c>
      <c r="J4519" s="209">
        <f t="shared" ref="J4519:J4531" si="247">TRUNC(F4519*I4519,2)</f>
        <v>173.46</v>
      </c>
    </row>
    <row r="4520" spans="1:10" ht="64.5" customHeight="1">
      <c r="A4520" s="208" t="s">
        <v>245</v>
      </c>
      <c r="B4520" s="241"/>
      <c r="C4520" s="1181">
        <v>87543</v>
      </c>
      <c r="D4520" s="161" t="str">
        <f>IF(B4520="SEPLAG",VLOOKUP(COMPOSIÇÕES!C4520,'MAPA COMPARATIVO'!A:B,2,FALSE),VLOOKUP(C4520,'NAO DESO'!A:B,2,0))</f>
        <v>MASSA ÚNICA, PARA RECEBIMENTO DE PINTURA OU CERÂMICA, ARGAMASSA INDUSTRIALIZADA, PREPARO MECÂNICO, APLICADO COM EQUIPAMENTO DE MISTURA E PROJEÇÃO DE 1,5 M3/H EM FACES INTERNAS DE PAREDES, ESPESSURA DE 5MM, SEM EXECUÇÃO DE TALISCAS. AF_06/2014</v>
      </c>
      <c r="E4520" s="241" t="str">
        <f>VLOOKUP($C4520,'NAO DESO'!$A:$D,3,)</f>
        <v>M2</v>
      </c>
      <c r="F4520" s="242">
        <v>6.48</v>
      </c>
      <c r="G4520" s="242" t="str">
        <f>IF(B4520="SEPLAG",VLOOKUP(CONCATENATE("MEDIANA - ",C4520),COTAÇÃO,5,FALSE),VLOOKUP($C4520,'NAO DESO'!$A:$D,4,))</f>
        <v>24,40</v>
      </c>
      <c r="H4520" s="242">
        <f t="shared" si="246"/>
        <v>158.11000000000001</v>
      </c>
      <c r="I4520" s="54" t="str">
        <f>IF(B4520="SEPLAG",VLOOKUP(CONCATENATE("MEDIANA - ",C4520),COTAÇÃO,5,FALSE),VLOOKUP($C4520,DESON!$A:$D,4,))</f>
        <v>23,82</v>
      </c>
      <c r="J4520" s="209">
        <f t="shared" si="247"/>
        <v>154.35</v>
      </c>
    </row>
    <row r="4521" spans="1:10" ht="39" customHeight="1">
      <c r="A4521" s="208" t="s">
        <v>245</v>
      </c>
      <c r="B4521" s="241"/>
      <c r="C4521" s="1181">
        <v>94970</v>
      </c>
      <c r="D4521" s="161" t="str">
        <f>IF(B4521="SEPLAG",VLOOKUP(COMPOSIÇÕES!C4521,'MAPA COMPARATIVO'!A:B,2,FALSE),VLOOKUP(C4521,'NAO DESO'!A:B,2,0))</f>
        <v>CONCRETO FCK = 20MPA, TRAÇO 1:2,7:3 (EM MASSA SECA DE CIMENTO/ AREIA MÉDIA/ BRITA 1) - PREPARO MECÂNICO COM BETONEIRA 600 L. AF_05/2021</v>
      </c>
      <c r="E4521" s="241" t="str">
        <f>VLOOKUP($C4521,'NAO DESO'!$A:$D,3,)</f>
        <v>M3</v>
      </c>
      <c r="F4521" s="242">
        <v>0.14000000000000001</v>
      </c>
      <c r="G4521" s="242" t="str">
        <f>IF(B4521="SEPLAG",VLOOKUP(CONCATENATE("MEDIANA - ",C4521),COTAÇÃO,5,FALSE),VLOOKUP($C4521,'NAO DESO'!$A:$D,4,))</f>
        <v>405,57</v>
      </c>
      <c r="H4521" s="242">
        <f t="shared" si="246"/>
        <v>56.77</v>
      </c>
      <c r="I4521" s="54" t="str">
        <f>IF(B4521="SEPLAG",VLOOKUP(CONCATENATE("MEDIANA - ",C4521),COTAÇÃO,5,FALSE),VLOOKUP($C4521,DESON!$A:$D,4,))</f>
        <v>400,17</v>
      </c>
      <c r="J4521" s="209">
        <f t="shared" si="247"/>
        <v>56.02</v>
      </c>
    </row>
    <row r="4522" spans="1:10" ht="26.25" customHeight="1">
      <c r="A4522" s="208" t="s">
        <v>245</v>
      </c>
      <c r="B4522" s="241"/>
      <c r="C4522" s="1181">
        <v>93358</v>
      </c>
      <c r="D4522" s="161" t="str">
        <f>IF(B4522="SEPLAG",VLOOKUP(COMPOSIÇÕES!C4522,'MAPA COMPARATIVO'!A:B,2,FALSE),VLOOKUP(C4522,'NAO DESO'!A:B,2,0))</f>
        <v>ESCAVAÇÃO MANUAL DE VALA COM PROFUNDIDADE MENOR OU IGUAL A 1,30 M. AF_02/2021</v>
      </c>
      <c r="E4522" s="241" t="str">
        <f>VLOOKUP($C4522,'NAO DESO'!$A:$D,3,)</f>
        <v>M3</v>
      </c>
      <c r="F4522" s="242">
        <v>1.78</v>
      </c>
      <c r="G4522" s="242" t="str">
        <f>IF(B4522="SEPLAG",VLOOKUP(CONCATENATE("MEDIANA - ",C4522),COTAÇÃO,5,FALSE),VLOOKUP($C4522,'NAO DESO'!$A:$D,4,))</f>
        <v>66,57</v>
      </c>
      <c r="H4522" s="242">
        <f t="shared" si="246"/>
        <v>118.49</v>
      </c>
      <c r="I4522" s="54" t="str">
        <f>IF(B4522="SEPLAG",VLOOKUP(CONCATENATE("MEDIANA - ",C4522),COTAÇÃO,5,FALSE),VLOOKUP($C4522,DESON!$A:$D,4,))</f>
        <v>59,97</v>
      </c>
      <c r="J4522" s="209">
        <f t="shared" si="247"/>
        <v>106.74</v>
      </c>
    </row>
    <row r="4523" spans="1:10" ht="26.25" customHeight="1">
      <c r="A4523" s="208" t="s">
        <v>245</v>
      </c>
      <c r="B4523" s="241"/>
      <c r="C4523" s="1181">
        <v>101617</v>
      </c>
      <c r="D4523" s="161" t="str">
        <f>IF(B4523="SEPLAG",VLOOKUP(COMPOSIÇÕES!C4523,'MAPA COMPARATIVO'!A:B,2,FALSE),VLOOKUP(C4523,'NAO DESO'!A:B,2,0))</f>
        <v>PREPARO DE FUNDO DE VALA COM LARGURA MAIOR OU IGUAL A 1,5 M E MENOR QUE 2,5 M (ACERTO DO SOLO NATURAL). AF_08/2020</v>
      </c>
      <c r="E4523" s="241" t="str">
        <f>VLOOKUP($C4523,'NAO DESO'!$A:$D,3,)</f>
        <v>M2</v>
      </c>
      <c r="F4523" s="242">
        <v>1</v>
      </c>
      <c r="G4523" s="242" t="str">
        <f>IF(B4523="SEPLAG",VLOOKUP(CONCATENATE("MEDIANA - ",C4523),COTAÇÃO,5,FALSE),VLOOKUP($C4523,'NAO DESO'!$A:$D,4,))</f>
        <v>2,38</v>
      </c>
      <c r="H4523" s="242">
        <f t="shared" si="246"/>
        <v>2.38</v>
      </c>
      <c r="I4523" s="54" t="str">
        <f>IF(B4523="SEPLAG",VLOOKUP(CONCATENATE("MEDIANA - ",C4523),COTAÇÃO,5,FALSE),VLOOKUP($C4523,DESON!$A:$D,4,))</f>
        <v>2,15</v>
      </c>
      <c r="J4523" s="209">
        <f t="shared" si="247"/>
        <v>2.15</v>
      </c>
    </row>
    <row r="4524" spans="1:10" ht="15" customHeight="1">
      <c r="A4524" s="208" t="s">
        <v>245</v>
      </c>
      <c r="B4524" s="241"/>
      <c r="C4524" s="1181">
        <v>96995</v>
      </c>
      <c r="D4524" s="161" t="str">
        <f>IF(B4524="SEPLAG",VLOOKUP(COMPOSIÇÕES!C4524,'MAPA COMPARATIVO'!A:B,2,FALSE),VLOOKUP(C4524,'NAO DESO'!A:B,2,0))</f>
        <v>REATERRO MANUAL APILOADO COM SOQUETE. AF_10/2017</v>
      </c>
      <c r="E4524" s="241" t="str">
        <f>VLOOKUP($C4524,'NAO DESO'!$A:$D,3,)</f>
        <v>M3</v>
      </c>
      <c r="F4524" s="242">
        <v>1.38</v>
      </c>
      <c r="G4524" s="242" t="str">
        <f>IF(B4524="SEPLAG",VLOOKUP(CONCATENATE("MEDIANA - ",C4524),COTAÇÃO,5,FALSE),VLOOKUP($C4524,'NAO DESO'!$A:$D,4,))</f>
        <v>40,36</v>
      </c>
      <c r="H4524" s="242">
        <f t="shared" si="246"/>
        <v>55.69</v>
      </c>
      <c r="I4524" s="54" t="str">
        <f>IF(B4524="SEPLAG",VLOOKUP(CONCATENATE("MEDIANA - ",C4524),COTAÇÃO,5,FALSE),VLOOKUP($C4524,DESON!$A:$D,4,))</f>
        <v>36,36</v>
      </c>
      <c r="J4524" s="209">
        <f t="shared" si="247"/>
        <v>50.17</v>
      </c>
    </row>
    <row r="4525" spans="1:10" ht="26.25" customHeight="1">
      <c r="A4525" s="208" t="s">
        <v>245</v>
      </c>
      <c r="B4525" s="241"/>
      <c r="C4525" s="1181">
        <v>98557</v>
      </c>
      <c r="D4525" s="161" t="str">
        <f>IF(B4525="SEPLAG",VLOOKUP(COMPOSIÇÕES!C4525,'MAPA COMPARATIVO'!A:B,2,FALSE),VLOOKUP(C4525,'NAO DESO'!A:B,2,0))</f>
        <v>IMPERMEABILIZAÇÃO DE SUPERFÍCIE COM EMULSÃO ASFÁLTICA, 2 DEMÃOS AF_06/2018</v>
      </c>
      <c r="E4525" s="241" t="str">
        <f>VLOOKUP($C4525,'NAO DESO'!$A:$D,3,)</f>
        <v>M2</v>
      </c>
      <c r="F4525" s="242">
        <f>F4520</f>
        <v>6.48</v>
      </c>
      <c r="G4525" s="242" t="str">
        <f>IF(B4525="SEPLAG",VLOOKUP(CONCATENATE("MEDIANA - ",C4525),COTAÇÃO,5,FALSE),VLOOKUP($C4525,'NAO DESO'!$A:$D,4,))</f>
        <v>58,82</v>
      </c>
      <c r="H4525" s="242">
        <f t="shared" si="246"/>
        <v>381.15</v>
      </c>
      <c r="I4525" s="54" t="str">
        <f>IF(B4525="SEPLAG",VLOOKUP(CONCATENATE("MEDIANA - ",C4525),COTAÇÃO,5,FALSE),VLOOKUP($C4525,DESON!$A:$D,4,))</f>
        <v>57,84</v>
      </c>
      <c r="J4525" s="209">
        <f t="shared" si="247"/>
        <v>374.8</v>
      </c>
    </row>
    <row r="4526" spans="1:10" ht="26.25" customHeight="1">
      <c r="A4526" s="208" t="s">
        <v>245</v>
      </c>
      <c r="B4526" s="241"/>
      <c r="C4526" s="1181">
        <v>11301</v>
      </c>
      <c r="D4526" s="161" t="str">
        <f>IF(B4526="SEPLAG",VLOOKUP(COMPOSIÇÕES!C4526,'MAPA COMPARATIVO'!A:B,2,FALSE),VLOOKUP(C4526,'NAO DESO'!A:B,2,0))</f>
        <v>TAMPAO FOFO ARTICULADO, CLASSE B125 CARGA MAX 12,5 T, REDONDO, TAMPA 600 MM (COM INSCRICAO EM RELEVO DO TIPO DE REDE)</v>
      </c>
      <c r="E4526" s="241" t="str">
        <f>VLOOKUP($C4526,'NAO DESO'!$A:$D,3,)</f>
        <v xml:space="preserve">UN    </v>
      </c>
      <c r="F4526" s="242">
        <v>1</v>
      </c>
      <c r="G4526" s="242">
        <f>IF(B4526="SEPLAG",VLOOKUP(CONCATENATE("MEDIANA - ",C4526),COTAÇÃO,5,FALSE),VLOOKUP($C4526,'NAO DESO'!$A:$D,4,))</f>
        <v>660.46</v>
      </c>
      <c r="H4526" s="242">
        <f t="shared" si="246"/>
        <v>660.46</v>
      </c>
      <c r="I4526" s="54" t="str">
        <f>IF(B4526="SEPLAG",VLOOKUP(CONCATENATE("MEDIANA - ",C4526),COTAÇÃO,5,FALSE),VLOOKUP($C4526,DESON!$A:$D,4,))</f>
        <v>660,46</v>
      </c>
      <c r="J4526" s="209">
        <f t="shared" si="247"/>
        <v>660.46</v>
      </c>
    </row>
    <row r="4527" spans="1:10" ht="39" customHeight="1">
      <c r="A4527" s="208" t="s">
        <v>245</v>
      </c>
      <c r="B4527" s="241"/>
      <c r="C4527" s="1181">
        <v>92775</v>
      </c>
      <c r="D4527" s="161" t="str">
        <f>IF(B4527="SEPLAG",VLOOKUP(COMPOSIÇÕES!C4527,'MAPA COMPARATIVO'!A:B,2,FALSE),VLOOKUP(C4527,'NAO DESO'!A:B,2,0))</f>
        <v>ARMAÇÃO DE PILAR OU VIGA DE UMA ESTRUTURA CONVENCIONAL DE CONCRETO ARMADO EM UMA EDIFICAÇÃO TÉRREA OU SOBRADO UTILIZANDO AÇO CA-60 DE 5,0 MM - MONTAGEM. AF_12/2015</v>
      </c>
      <c r="E4527" s="241" t="str">
        <f>VLOOKUP($C4527,'NAO DESO'!$A:$D,3,)</f>
        <v>KG</v>
      </c>
      <c r="F4527" s="242">
        <v>1.66</v>
      </c>
      <c r="G4527" s="242" t="str">
        <f>IF(B4527="SEPLAG",VLOOKUP(CONCATENATE("MEDIANA - ",C4527),COTAÇÃO,5,FALSE),VLOOKUP($C4527,'NAO DESO'!$A:$D,4,))</f>
        <v>18,46</v>
      </c>
      <c r="H4527" s="242">
        <f t="shared" si="246"/>
        <v>30.64</v>
      </c>
      <c r="I4527" s="54" t="str">
        <f>IF(B4527="SEPLAG",VLOOKUP(CONCATENATE("MEDIANA - ",C4527),COTAÇÃO,5,FALSE),VLOOKUP($C4527,DESON!$A:$D,4,))</f>
        <v>17,71</v>
      </c>
      <c r="J4527" s="209">
        <f t="shared" si="247"/>
        <v>29.39</v>
      </c>
    </row>
    <row r="4528" spans="1:10" ht="39" customHeight="1">
      <c r="A4528" s="208" t="s">
        <v>245</v>
      </c>
      <c r="B4528" s="241"/>
      <c r="C4528" s="1181">
        <v>92778</v>
      </c>
      <c r="D4528" s="161" t="str">
        <f>IF(B4528="SEPLAG",VLOOKUP(COMPOSIÇÕES!C4528,'MAPA COMPARATIVO'!A:B,2,FALSE),VLOOKUP(C4528,'NAO DESO'!A:B,2,0))</f>
        <v>ARMAÇÃO DE PILAR OU VIGA DE UMA ESTRUTURA CONVENCIONAL DE CONCRETO ARMADO EM UMA EDIFICAÇÃO TÉRREA OU SOBRADO UTILIZANDO AÇO CA-50 DE 10,0 MM - MONTAGEM. AF_12/2015</v>
      </c>
      <c r="E4528" s="241" t="str">
        <f>VLOOKUP($C4528,'NAO DESO'!$A:$D,3,)</f>
        <v>KG</v>
      </c>
      <c r="F4528" s="242">
        <v>8.8800000000000008</v>
      </c>
      <c r="G4528" s="242" t="str">
        <f>IF(B4528="SEPLAG",VLOOKUP(CONCATENATE("MEDIANA - ",C4528),COTAÇÃO,5,FALSE),VLOOKUP($C4528,'NAO DESO'!$A:$D,4,))</f>
        <v>14,78</v>
      </c>
      <c r="H4528" s="242">
        <f t="shared" si="246"/>
        <v>131.24</v>
      </c>
      <c r="I4528" s="54" t="str">
        <f>IF(B4528="SEPLAG",VLOOKUP(CONCATENATE("MEDIANA - ",C4528),COTAÇÃO,5,FALSE),VLOOKUP($C4528,DESON!$A:$D,4,))</f>
        <v>14,50</v>
      </c>
      <c r="J4528" s="209">
        <f t="shared" si="247"/>
        <v>128.76</v>
      </c>
    </row>
    <row r="4529" spans="1:10" ht="39" customHeight="1">
      <c r="A4529" s="208" t="s">
        <v>245</v>
      </c>
      <c r="B4529" s="241"/>
      <c r="C4529" s="1181">
        <v>92423</v>
      </c>
      <c r="D4529" s="161" t="str">
        <f>IF(B4529="SEPLAG",VLOOKUP(COMPOSIÇÕES!C4529,'MAPA COMPARATIVO'!A:B,2,FALSE),VLOOKUP(C4529,'NAO DESO'!A:B,2,0))</f>
        <v>MONTAGEM E DESMONTAGEM DE FÔRMA DE PILARES RETANGULARES E ESTRUTURAS SIMILARES, PÉ-DIREITO SIMPLES, EM CHAPA DE MADEIRA COMPENSADA RESINADA, 6 UTILIZAÇÕES. AF_09/2020</v>
      </c>
      <c r="E4529" s="241" t="str">
        <f>VLOOKUP($C4529,'NAO DESO'!$A:$D,3,)</f>
        <v>M2</v>
      </c>
      <c r="F4529" s="242">
        <v>1.08</v>
      </c>
      <c r="G4529" s="242" t="str">
        <f>IF(B4529="SEPLAG",VLOOKUP(CONCATENATE("MEDIANA - ",C4529),COTAÇÃO,5,FALSE),VLOOKUP($C4529,'NAO DESO'!$A:$D,4,))</f>
        <v>67,90</v>
      </c>
      <c r="H4529" s="242">
        <f t="shared" si="246"/>
        <v>73.33</v>
      </c>
      <c r="I4529" s="54" t="str">
        <f>IF(B4529="SEPLAG",VLOOKUP(CONCATENATE("MEDIANA - ",C4529),COTAÇÃO,5,FALSE),VLOOKUP($C4529,DESON!$A:$D,4,))</f>
        <v>65,30</v>
      </c>
      <c r="J4529" s="209">
        <f t="shared" si="247"/>
        <v>70.52</v>
      </c>
    </row>
    <row r="4530" spans="1:10" ht="15" customHeight="1">
      <c r="A4530" s="208" t="s">
        <v>245</v>
      </c>
      <c r="B4530" s="241"/>
      <c r="C4530" s="1181">
        <v>88309</v>
      </c>
      <c r="D4530" s="161" t="str">
        <f>IF(B4530="SEPLAG",VLOOKUP(COMPOSIÇÕES!C4530,'MAPA COMPARATIVO'!A:B,2,FALSE),VLOOKUP(C4530,'NAO DESO'!A:B,2,0))</f>
        <v>PEDREIRO COM ENCARGOS COMPLEMENTARES</v>
      </c>
      <c r="E4530" s="241" t="str">
        <f>VLOOKUP($C4530,'NAO DESO'!$A:$D,3,)</f>
        <v>H</v>
      </c>
      <c r="F4530" s="242">
        <v>1</v>
      </c>
      <c r="G4530" s="242" t="str">
        <f>IF(B4530="SEPLAG",VLOOKUP(CONCATENATE("MEDIANA - ",C4530),COTAÇÃO,5,FALSE),VLOOKUP($C4530,'NAO DESO'!$A:$D,4,))</f>
        <v>21,10</v>
      </c>
      <c r="H4530" s="242">
        <f t="shared" si="246"/>
        <v>21.1</v>
      </c>
      <c r="I4530" s="54" t="str">
        <f>IF(B4530="SEPLAG",VLOOKUP(CONCATENATE("MEDIANA - ",C4530),COTAÇÃO,5,FALSE),VLOOKUP($C4530,DESON!$A:$D,4,))</f>
        <v>18,86</v>
      </c>
      <c r="J4530" s="209">
        <f t="shared" si="247"/>
        <v>18.86</v>
      </c>
    </row>
    <row r="4531" spans="1:10" ht="15" customHeight="1">
      <c r="A4531" s="208" t="s">
        <v>245</v>
      </c>
      <c r="B4531" s="241"/>
      <c r="C4531" s="1181">
        <v>88316</v>
      </c>
      <c r="D4531" s="161" t="str">
        <f>IF(B4531="SEPLAG",VLOOKUP(COMPOSIÇÕES!C4531,'MAPA COMPARATIVO'!A:B,2,FALSE),VLOOKUP(C4531,'NAO DESO'!A:B,2,0))</f>
        <v>SERVENTE COM ENCARGOS COMPLEMENTARES</v>
      </c>
      <c r="E4531" s="241" t="str">
        <f>VLOOKUP($C4531,'NAO DESO'!$A:$D,3,)</f>
        <v>H</v>
      </c>
      <c r="F4531" s="242">
        <v>1</v>
      </c>
      <c r="G4531" s="242" t="str">
        <f>IF(B4531="SEPLAG",VLOOKUP(CONCATENATE("MEDIANA - ",C4531),COTAÇÃO,5,FALSE),VLOOKUP($C4531,'NAO DESO'!$A:$D,4,))</f>
        <v>16,83</v>
      </c>
      <c r="H4531" s="242">
        <f t="shared" si="246"/>
        <v>16.829999999999998</v>
      </c>
      <c r="I4531" s="54" t="str">
        <f>IF(B4531="SEPLAG",VLOOKUP(CONCATENATE("MEDIANA - ",C4531),COTAÇÃO,5,FALSE),VLOOKUP($C4531,DESON!$A:$D,4,))</f>
        <v>15,16</v>
      </c>
      <c r="J4531" s="209">
        <f t="shared" si="247"/>
        <v>15.16</v>
      </c>
    </row>
    <row r="4532" spans="1:10" ht="15" customHeight="1">
      <c r="A4532" s="210" t="str">
        <f>CONCATENATE("TOTAL DO ITEM NÃO DESON. - ",C4516)</f>
        <v>TOTAL DO ITEM NÃO DESON. - SEPLAG HIDR 27</v>
      </c>
      <c r="B4532" s="430"/>
      <c r="C4532" s="430"/>
      <c r="D4532" s="430"/>
      <c r="E4532" s="430"/>
      <c r="F4532" s="1180"/>
      <c r="G4532" s="1180"/>
      <c r="H4532" s="1182">
        <f>SUM(H4519:H4531)</f>
        <v>1888.5299999999997</v>
      </c>
      <c r="I4532" s="231"/>
      <c r="J4532" s="215"/>
    </row>
    <row r="4533" spans="1:10" ht="15.75" customHeight="1" thickBot="1">
      <c r="A4533" s="216" t="str">
        <f>CONCATENATE("TOTAL DO ITEM DESON. - ",C4516)</f>
        <v>TOTAL DO ITEM DESON. - SEPLAG HIDR 27</v>
      </c>
      <c r="B4533" s="1142"/>
      <c r="C4533" s="1142"/>
      <c r="D4533" s="1142"/>
      <c r="E4533" s="1142"/>
      <c r="F4533" s="1211"/>
      <c r="G4533" s="1211"/>
      <c r="H4533" s="1187"/>
      <c r="I4533" s="260"/>
      <c r="J4533" s="219">
        <f>SUM(J4519:J4531)</f>
        <v>1840.8400000000001</v>
      </c>
    </row>
    <row r="4534" spans="1:10" ht="15" customHeight="1" thickBot="1">
      <c r="A4534" s="421"/>
      <c r="B4534" s="1138"/>
      <c r="C4534" s="1138"/>
      <c r="D4534" s="1138"/>
      <c r="E4534" s="1154"/>
      <c r="F4534" s="1196"/>
      <c r="G4534" s="1196"/>
      <c r="H4534" s="1196"/>
      <c r="I4534" s="422"/>
      <c r="J4534" s="422"/>
    </row>
    <row r="4535" spans="1:10" ht="38.25" customHeight="1">
      <c r="A4535" s="473" t="s">
        <v>421</v>
      </c>
      <c r="B4535" s="1234"/>
      <c r="C4535" s="1176" t="s">
        <v>7499</v>
      </c>
      <c r="D4535" s="156" t="s">
        <v>27957</v>
      </c>
      <c r="E4535" s="1176" t="s">
        <v>24</v>
      </c>
      <c r="F4535" s="1177" t="s">
        <v>18</v>
      </c>
      <c r="G4535" s="1178" t="s">
        <v>7015</v>
      </c>
      <c r="H4535" s="1179"/>
      <c r="I4535" s="200" t="s">
        <v>7016</v>
      </c>
      <c r="J4535" s="201"/>
    </row>
    <row r="4536" spans="1:10" ht="15" customHeight="1">
      <c r="A4536" s="257"/>
      <c r="B4536" s="430"/>
      <c r="C4536" s="1155"/>
      <c r="D4536" s="157"/>
      <c r="E4536" s="1155"/>
      <c r="F4536" s="1180"/>
      <c r="G4536" s="1180" t="s">
        <v>19</v>
      </c>
      <c r="H4536" s="1180" t="s">
        <v>20</v>
      </c>
      <c r="I4536" s="204" t="s">
        <v>19</v>
      </c>
      <c r="J4536" s="206" t="s">
        <v>20</v>
      </c>
    </row>
    <row r="4537" spans="1:10" ht="15" customHeight="1">
      <c r="A4537" s="258"/>
      <c r="B4537" s="1155"/>
      <c r="C4537" s="1155"/>
      <c r="D4537" s="157"/>
      <c r="E4537" s="1155"/>
      <c r="F4537" s="1180"/>
      <c r="G4537" s="1180"/>
      <c r="H4537" s="1180"/>
      <c r="I4537" s="238"/>
      <c r="J4537" s="259"/>
    </row>
    <row r="4538" spans="1:10" ht="39" customHeight="1">
      <c r="A4538" s="208" t="s">
        <v>245</v>
      </c>
      <c r="B4538" s="241"/>
      <c r="C4538" s="1181">
        <v>101159</v>
      </c>
      <c r="D4538" s="161" t="str">
        <f>IF(B4538="SEPLAG",VLOOKUP(COMPOSIÇÕES!C4538,'MAPA COMPARATIVO'!A:B,2,FALSE),VLOOKUP(C4538,'NAO DESO'!A:B,2,0))</f>
        <v>ALVENARIA DE VEDAÇÃO DE BLOCOS CERÂMICOS MACIÇOS DE 5X10X20CM (ESPESSURA 10CM) E ARGAMASSA DE ASSENTAMENTO COM PREPARO EM BETONEIRA. AF_05/2020</v>
      </c>
      <c r="E4538" s="241" t="str">
        <f>VLOOKUP($C4538,'NAO DESO'!$A:$D,3,)</f>
        <v>M2</v>
      </c>
      <c r="F4538" s="242">
        <v>1.8</v>
      </c>
      <c r="G4538" s="242" t="str">
        <f>IF(B4538="SEPLAG",VLOOKUP(CONCATENATE("MEDIANA - ",C4538),COTAÇÃO,5,FALSE),VLOOKUP($C4538,'NAO DESO'!$A:$D,4,))</f>
        <v>126,63</v>
      </c>
      <c r="H4538" s="242">
        <f t="shared" ref="H4538:H4550" si="248">TRUNC(F4538*G4538,2)</f>
        <v>227.93</v>
      </c>
      <c r="I4538" s="54" t="str">
        <f>IF(B4538="SEPLAG",VLOOKUP(CONCATENATE("MEDIANA - ",C4538),COTAÇÃO,5,FALSE),VLOOKUP($C4538,DESON!$A:$D,4,))</f>
        <v>120,46</v>
      </c>
      <c r="J4538" s="209">
        <f t="shared" ref="J4538:J4550" si="249">TRUNC(F4538*I4538,2)</f>
        <v>216.82</v>
      </c>
    </row>
    <row r="4539" spans="1:10" ht="64.5" customHeight="1">
      <c r="A4539" s="208" t="s">
        <v>245</v>
      </c>
      <c r="B4539" s="241"/>
      <c r="C4539" s="1181">
        <v>87543</v>
      </c>
      <c r="D4539" s="161" t="str">
        <f>IF(B4539="SEPLAG",VLOOKUP(COMPOSIÇÕES!C4539,'MAPA COMPARATIVO'!A:B,2,FALSE),VLOOKUP(C4539,'NAO DESO'!A:B,2,0))</f>
        <v>MASSA ÚNICA, PARA RECEBIMENTO DE PINTURA OU CERÂMICA, ARGAMASSA INDUSTRIALIZADA, PREPARO MECÂNICO, APLICADO COM EQUIPAMENTO DE MISTURA E PROJEÇÃO DE 1,5 M3/H EM FACES INTERNAS DE PAREDES, ESPESSURA DE 5MM, SEM EXECUÇÃO DE TALISCAS. AF_06/2014</v>
      </c>
      <c r="E4539" s="241" t="str">
        <f>VLOOKUP($C4539,'NAO DESO'!$A:$D,3,)</f>
        <v>M2</v>
      </c>
      <c r="F4539" s="242">
        <v>7.2</v>
      </c>
      <c r="G4539" s="242" t="str">
        <f>IF(B4539="SEPLAG",VLOOKUP(CONCATENATE("MEDIANA - ",C4539),COTAÇÃO,5,FALSE),VLOOKUP($C4539,'NAO DESO'!$A:$D,4,))</f>
        <v>24,40</v>
      </c>
      <c r="H4539" s="242">
        <f t="shared" si="248"/>
        <v>175.68</v>
      </c>
      <c r="I4539" s="54" t="str">
        <f>IF(B4539="SEPLAG",VLOOKUP(CONCATENATE("MEDIANA - ",C4539),COTAÇÃO,5,FALSE),VLOOKUP($C4539,DESON!$A:$D,4,))</f>
        <v>23,82</v>
      </c>
      <c r="J4539" s="209">
        <f t="shared" si="249"/>
        <v>171.5</v>
      </c>
    </row>
    <row r="4540" spans="1:10" ht="39" customHeight="1">
      <c r="A4540" s="208" t="s">
        <v>245</v>
      </c>
      <c r="B4540" s="241"/>
      <c r="C4540" s="1181">
        <v>94970</v>
      </c>
      <c r="D4540" s="161" t="str">
        <f>IF(B4540="SEPLAG",VLOOKUP(COMPOSIÇÕES!C4540,'MAPA COMPARATIVO'!A:B,2,FALSE),VLOOKUP(C4540,'NAO DESO'!A:B,2,0))</f>
        <v>CONCRETO FCK = 20MPA, TRAÇO 1:2,7:3 (EM MASSA SECA DE CIMENTO/ AREIA MÉDIA/ BRITA 1) - PREPARO MECÂNICO COM BETONEIRA 600 L. AF_05/2021</v>
      </c>
      <c r="E4540" s="241" t="str">
        <f>VLOOKUP($C4540,'NAO DESO'!$A:$D,3,)</f>
        <v>M3</v>
      </c>
      <c r="F4540" s="242">
        <v>0.1</v>
      </c>
      <c r="G4540" s="242" t="str">
        <f>IF(B4540="SEPLAG",VLOOKUP(CONCATENATE("MEDIANA - ",C4540),COTAÇÃO,5,FALSE),VLOOKUP($C4540,'NAO DESO'!$A:$D,4,))</f>
        <v>405,57</v>
      </c>
      <c r="H4540" s="242">
        <f t="shared" si="248"/>
        <v>40.549999999999997</v>
      </c>
      <c r="I4540" s="54" t="str">
        <f>IF(B4540="SEPLAG",VLOOKUP(CONCATENATE("MEDIANA - ",C4540),COTAÇÃO,5,FALSE),VLOOKUP($C4540,DESON!$A:$D,4,))</f>
        <v>400,17</v>
      </c>
      <c r="J4540" s="209">
        <f t="shared" si="249"/>
        <v>40.01</v>
      </c>
    </row>
    <row r="4541" spans="1:10" ht="26.25" customHeight="1">
      <c r="A4541" s="208" t="s">
        <v>245</v>
      </c>
      <c r="B4541" s="241"/>
      <c r="C4541" s="1181">
        <v>93358</v>
      </c>
      <c r="D4541" s="161" t="str">
        <f>IF(B4541="SEPLAG",VLOOKUP(COMPOSIÇÕES!C4541,'MAPA COMPARATIVO'!A:B,2,FALSE),VLOOKUP(C4541,'NAO DESO'!A:B,2,0))</f>
        <v>ESCAVAÇÃO MANUAL DE VALA COM PROFUNDIDADE MENOR OU IGUAL A 1,30 M. AF_02/2021</v>
      </c>
      <c r="E4541" s="241" t="str">
        <f>VLOOKUP($C4541,'NAO DESO'!$A:$D,3,)</f>
        <v>M3</v>
      </c>
      <c r="F4541" s="242">
        <v>2.11</v>
      </c>
      <c r="G4541" s="242" t="str">
        <f>IF(B4541="SEPLAG",VLOOKUP(CONCATENATE("MEDIANA - ",C4541),COTAÇÃO,5,FALSE),VLOOKUP($C4541,'NAO DESO'!$A:$D,4,))</f>
        <v>66,57</v>
      </c>
      <c r="H4541" s="242">
        <f t="shared" si="248"/>
        <v>140.46</v>
      </c>
      <c r="I4541" s="54" t="str">
        <f>IF(B4541="SEPLAG",VLOOKUP(CONCATENATE("MEDIANA - ",C4541),COTAÇÃO,5,FALSE),VLOOKUP($C4541,DESON!$A:$D,4,))</f>
        <v>59,97</v>
      </c>
      <c r="J4541" s="209">
        <f t="shared" si="249"/>
        <v>126.53</v>
      </c>
    </row>
    <row r="4542" spans="1:10" ht="26.25" customHeight="1">
      <c r="A4542" s="208" t="s">
        <v>245</v>
      </c>
      <c r="B4542" s="241"/>
      <c r="C4542" s="1181">
        <v>101617</v>
      </c>
      <c r="D4542" s="161" t="str">
        <f>IF(B4542="SEPLAG",VLOOKUP(COMPOSIÇÕES!C4542,'MAPA COMPARATIVO'!A:B,2,FALSE),VLOOKUP(C4542,'NAO DESO'!A:B,2,0))</f>
        <v>PREPARO DE FUNDO DE VALA COM LARGURA MAIOR OU IGUAL A 1,5 M E MENOR QUE 2,5 M (ACERTO DO SOLO NATURAL). AF_08/2020</v>
      </c>
      <c r="E4542" s="241" t="str">
        <f>VLOOKUP($C4542,'NAO DESO'!$A:$D,3,)</f>
        <v>M2</v>
      </c>
      <c r="F4542" s="242">
        <v>1</v>
      </c>
      <c r="G4542" s="242" t="str">
        <f>IF(B4542="SEPLAG",VLOOKUP(CONCATENATE("MEDIANA - ",C4542),COTAÇÃO,5,FALSE),VLOOKUP($C4542,'NAO DESO'!$A:$D,4,))</f>
        <v>2,38</v>
      </c>
      <c r="H4542" s="242">
        <f t="shared" si="248"/>
        <v>2.38</v>
      </c>
      <c r="I4542" s="54" t="str">
        <f>IF(B4542="SEPLAG",VLOOKUP(CONCATENATE("MEDIANA - ",C4542),COTAÇÃO,5,FALSE),VLOOKUP($C4542,DESON!$A:$D,4,))</f>
        <v>2,15</v>
      </c>
      <c r="J4542" s="209">
        <f t="shared" si="249"/>
        <v>2.15</v>
      </c>
    </row>
    <row r="4543" spans="1:10" ht="15" customHeight="1">
      <c r="A4543" s="208" t="s">
        <v>245</v>
      </c>
      <c r="B4543" s="241"/>
      <c r="C4543" s="1181">
        <v>96995</v>
      </c>
      <c r="D4543" s="161" t="str">
        <f>IF(B4543="SEPLAG",VLOOKUP(COMPOSIÇÕES!C4543,'MAPA COMPARATIVO'!A:B,2,FALSE),VLOOKUP(C4543,'NAO DESO'!A:B,2,0))</f>
        <v>REATERRO MANUAL APILOADO COM SOQUETE. AF_10/2017</v>
      </c>
      <c r="E4543" s="241" t="str">
        <f>VLOOKUP($C4543,'NAO DESO'!$A:$D,3,)</f>
        <v>M3</v>
      </c>
      <c r="F4543" s="242">
        <v>1.61</v>
      </c>
      <c r="G4543" s="242" t="str">
        <f>IF(B4543="SEPLAG",VLOOKUP(CONCATENATE("MEDIANA - ",C4543),COTAÇÃO,5,FALSE),VLOOKUP($C4543,'NAO DESO'!$A:$D,4,))</f>
        <v>40,36</v>
      </c>
      <c r="H4543" s="242">
        <f t="shared" si="248"/>
        <v>64.97</v>
      </c>
      <c r="I4543" s="54" t="str">
        <f>IF(B4543="SEPLAG",VLOOKUP(CONCATENATE("MEDIANA - ",C4543),COTAÇÃO,5,FALSE),VLOOKUP($C4543,DESON!$A:$D,4,))</f>
        <v>36,36</v>
      </c>
      <c r="J4543" s="209">
        <f t="shared" si="249"/>
        <v>58.53</v>
      </c>
    </row>
    <row r="4544" spans="1:10" ht="26.25" customHeight="1">
      <c r="A4544" s="208" t="s">
        <v>245</v>
      </c>
      <c r="B4544" s="241"/>
      <c r="C4544" s="1181">
        <v>98557</v>
      </c>
      <c r="D4544" s="161" t="str">
        <f>IF(B4544="SEPLAG",VLOOKUP(COMPOSIÇÕES!C4544,'MAPA COMPARATIVO'!A:B,2,FALSE),VLOOKUP(C4544,'NAO DESO'!A:B,2,0))</f>
        <v>IMPERMEABILIZAÇÃO DE SUPERFÍCIE COM EMULSÃO ASFÁLTICA, 2 DEMÃOS AF_06/2018</v>
      </c>
      <c r="E4544" s="241" t="str">
        <f>VLOOKUP($C4544,'NAO DESO'!$A:$D,3,)</f>
        <v>M2</v>
      </c>
      <c r="F4544" s="242">
        <f>F4539</f>
        <v>7.2</v>
      </c>
      <c r="G4544" s="242" t="str">
        <f>IF(B4544="SEPLAG",VLOOKUP(CONCATENATE("MEDIANA - ",C4544),COTAÇÃO,5,FALSE),VLOOKUP($C4544,'NAO DESO'!$A:$D,4,))</f>
        <v>58,82</v>
      </c>
      <c r="H4544" s="242">
        <f t="shared" si="248"/>
        <v>423.5</v>
      </c>
      <c r="I4544" s="54" t="str">
        <f>IF(B4544="SEPLAG",VLOOKUP(CONCATENATE("MEDIANA - ",C4544),COTAÇÃO,5,FALSE),VLOOKUP($C4544,DESON!$A:$D,4,))</f>
        <v>57,84</v>
      </c>
      <c r="J4544" s="209">
        <f t="shared" si="249"/>
        <v>416.44</v>
      </c>
    </row>
    <row r="4545" spans="1:10" ht="26.25" customHeight="1">
      <c r="A4545" s="208" t="s">
        <v>245</v>
      </c>
      <c r="B4545" s="241"/>
      <c r="C4545" s="1181">
        <v>11301</v>
      </c>
      <c r="D4545" s="161" t="str">
        <f>IF(B4545="SEPLAG",VLOOKUP(COMPOSIÇÕES!C4545,'MAPA COMPARATIVO'!A:B,2,FALSE),VLOOKUP(C4545,'NAO DESO'!A:B,2,0))</f>
        <v>TAMPAO FOFO ARTICULADO, CLASSE B125 CARGA MAX 12,5 T, REDONDO, TAMPA 600 MM (COM INSCRICAO EM RELEVO DO TIPO DE REDE)</v>
      </c>
      <c r="E4545" s="241" t="str">
        <f>VLOOKUP($C4545,'NAO DESO'!$A:$D,3,)</f>
        <v xml:space="preserve">UN    </v>
      </c>
      <c r="F4545" s="242">
        <v>1</v>
      </c>
      <c r="G4545" s="242">
        <f>IF(B4545="SEPLAG",VLOOKUP(CONCATENATE("MEDIANA - ",C4545),COTAÇÃO,5,FALSE),VLOOKUP($C4545,'NAO DESO'!$A:$D,4,))</f>
        <v>660.46</v>
      </c>
      <c r="H4545" s="242">
        <f t="shared" si="248"/>
        <v>660.46</v>
      </c>
      <c r="I4545" s="54" t="str">
        <f>IF(B4545="SEPLAG",VLOOKUP(CONCATENATE("MEDIANA - ",C4545),COTAÇÃO,5,FALSE),VLOOKUP($C4545,DESON!$A:$D,4,))</f>
        <v>660,46</v>
      </c>
      <c r="J4545" s="209">
        <f t="shared" si="249"/>
        <v>660.46</v>
      </c>
    </row>
    <row r="4546" spans="1:10" ht="39" customHeight="1">
      <c r="A4546" s="208" t="s">
        <v>245</v>
      </c>
      <c r="B4546" s="241"/>
      <c r="C4546" s="1181">
        <v>92775</v>
      </c>
      <c r="D4546" s="161" t="str">
        <f>IF(B4546="SEPLAG",VLOOKUP(COMPOSIÇÕES!C4546,'MAPA COMPARATIVO'!A:B,2,FALSE),VLOOKUP(C4546,'NAO DESO'!A:B,2,0))</f>
        <v>ARMAÇÃO DE PILAR OU VIGA DE UMA ESTRUTURA CONVENCIONAL DE CONCRETO ARMADO EM UMA EDIFICAÇÃO TÉRREA OU SOBRADO UTILIZANDO AÇO CA-60 DE 5,0 MM - MONTAGEM. AF_12/2015</v>
      </c>
      <c r="E4546" s="241" t="str">
        <f>VLOOKUP($C4546,'NAO DESO'!$A:$D,3,)</f>
        <v>KG</v>
      </c>
      <c r="F4546" s="242">
        <v>1.66</v>
      </c>
      <c r="G4546" s="242" t="str">
        <f>IF(B4546="SEPLAG",VLOOKUP(CONCATENATE("MEDIANA - ",C4546),COTAÇÃO,5,FALSE),VLOOKUP($C4546,'NAO DESO'!$A:$D,4,))</f>
        <v>18,46</v>
      </c>
      <c r="H4546" s="242">
        <f t="shared" si="248"/>
        <v>30.64</v>
      </c>
      <c r="I4546" s="54" t="str">
        <f>IF(B4546="SEPLAG",VLOOKUP(CONCATENATE("MEDIANA - ",C4546),COTAÇÃO,5,FALSE),VLOOKUP($C4546,DESON!$A:$D,4,))</f>
        <v>17,71</v>
      </c>
      <c r="J4546" s="209">
        <f t="shared" si="249"/>
        <v>29.39</v>
      </c>
    </row>
    <row r="4547" spans="1:10" ht="39" customHeight="1">
      <c r="A4547" s="208" t="s">
        <v>245</v>
      </c>
      <c r="B4547" s="241"/>
      <c r="C4547" s="1181">
        <v>92778</v>
      </c>
      <c r="D4547" s="161" t="str">
        <f>IF(B4547="SEPLAG",VLOOKUP(COMPOSIÇÕES!C4547,'MAPA COMPARATIVO'!A:B,2,FALSE),VLOOKUP(C4547,'NAO DESO'!A:B,2,0))</f>
        <v>ARMAÇÃO DE PILAR OU VIGA DE UMA ESTRUTURA CONVENCIONAL DE CONCRETO ARMADO EM UMA EDIFICAÇÃO TÉRREA OU SOBRADO UTILIZANDO AÇO CA-50 DE 10,0 MM - MONTAGEM. AF_12/2015</v>
      </c>
      <c r="E4547" s="241" t="str">
        <f>VLOOKUP($C4547,'NAO DESO'!$A:$D,3,)</f>
        <v>KG</v>
      </c>
      <c r="F4547" s="242">
        <v>8.8800000000000008</v>
      </c>
      <c r="G4547" s="242" t="str">
        <f>IF(B4547="SEPLAG",VLOOKUP(CONCATENATE("MEDIANA - ",C4547),COTAÇÃO,5,FALSE),VLOOKUP($C4547,'NAO DESO'!$A:$D,4,))</f>
        <v>14,78</v>
      </c>
      <c r="H4547" s="242">
        <f t="shared" si="248"/>
        <v>131.24</v>
      </c>
      <c r="I4547" s="54" t="str">
        <f>IF(B4547="SEPLAG",VLOOKUP(CONCATENATE("MEDIANA - ",C4547),COTAÇÃO,5,FALSE),VLOOKUP($C4547,DESON!$A:$D,4,))</f>
        <v>14,50</v>
      </c>
      <c r="J4547" s="209">
        <f t="shared" si="249"/>
        <v>128.76</v>
      </c>
    </row>
    <row r="4548" spans="1:10" ht="39" customHeight="1">
      <c r="A4548" s="208" t="s">
        <v>245</v>
      </c>
      <c r="B4548" s="241"/>
      <c r="C4548" s="1181">
        <v>92423</v>
      </c>
      <c r="D4548" s="161" t="str">
        <f>IF(B4548="SEPLAG",VLOOKUP(COMPOSIÇÕES!C4548,'MAPA COMPARATIVO'!A:B,2,FALSE),VLOOKUP(C4548,'NAO DESO'!A:B,2,0))</f>
        <v>MONTAGEM E DESMONTAGEM DE FÔRMA DE PILARES RETANGULARES E ESTRUTURAS SIMILARES, PÉ-DIREITO SIMPLES, EM CHAPA DE MADEIRA COMPENSADA RESINADA, 6 UTILIZAÇÕES. AF_09/2020</v>
      </c>
      <c r="E4548" s="241" t="str">
        <f>VLOOKUP($C4548,'NAO DESO'!$A:$D,3,)</f>
        <v>M2</v>
      </c>
      <c r="F4548" s="242">
        <v>1.08</v>
      </c>
      <c r="G4548" s="242" t="str">
        <f>IF(B4548="SEPLAG",VLOOKUP(CONCATENATE("MEDIANA - ",C4548),COTAÇÃO,5,FALSE),VLOOKUP($C4548,'NAO DESO'!$A:$D,4,))</f>
        <v>67,90</v>
      </c>
      <c r="H4548" s="242">
        <f t="shared" si="248"/>
        <v>73.33</v>
      </c>
      <c r="I4548" s="54" t="str">
        <f>IF(B4548="SEPLAG",VLOOKUP(CONCATENATE("MEDIANA - ",C4548),COTAÇÃO,5,FALSE),VLOOKUP($C4548,DESON!$A:$D,4,))</f>
        <v>65,30</v>
      </c>
      <c r="J4548" s="209">
        <f t="shared" si="249"/>
        <v>70.52</v>
      </c>
    </row>
    <row r="4549" spans="1:10" ht="15" customHeight="1">
      <c r="A4549" s="208" t="s">
        <v>245</v>
      </c>
      <c r="B4549" s="241"/>
      <c r="C4549" s="1181">
        <v>88309</v>
      </c>
      <c r="D4549" s="161" t="str">
        <f>IF(B4549="SEPLAG",VLOOKUP(COMPOSIÇÕES!C4549,'MAPA COMPARATIVO'!A:B,2,FALSE),VLOOKUP(C4549,'NAO DESO'!A:B,2,0))</f>
        <v>PEDREIRO COM ENCARGOS COMPLEMENTARES</v>
      </c>
      <c r="E4549" s="241" t="str">
        <f>VLOOKUP($C4549,'NAO DESO'!$A:$D,3,)</f>
        <v>H</v>
      </c>
      <c r="F4549" s="242">
        <v>1</v>
      </c>
      <c r="G4549" s="242" t="str">
        <f>IF(B4549="SEPLAG",VLOOKUP(CONCATENATE("MEDIANA - ",C4549),COTAÇÃO,5,FALSE),VLOOKUP($C4549,'NAO DESO'!$A:$D,4,))</f>
        <v>21,10</v>
      </c>
      <c r="H4549" s="242">
        <f t="shared" si="248"/>
        <v>21.1</v>
      </c>
      <c r="I4549" s="54" t="str">
        <f>IF(B4549="SEPLAG",VLOOKUP(CONCATENATE("MEDIANA - ",C4549),COTAÇÃO,5,FALSE),VLOOKUP($C4549,DESON!$A:$D,4,))</f>
        <v>18,86</v>
      </c>
      <c r="J4549" s="209">
        <f t="shared" si="249"/>
        <v>18.86</v>
      </c>
    </row>
    <row r="4550" spans="1:10" ht="15" customHeight="1">
      <c r="A4550" s="208" t="s">
        <v>245</v>
      </c>
      <c r="B4550" s="241"/>
      <c r="C4550" s="1181">
        <v>88316</v>
      </c>
      <c r="D4550" s="161" t="str">
        <f>IF(B4550="SEPLAG",VLOOKUP(COMPOSIÇÕES!C4550,'MAPA COMPARATIVO'!A:B,2,FALSE),VLOOKUP(C4550,'NAO DESO'!A:B,2,0))</f>
        <v>SERVENTE COM ENCARGOS COMPLEMENTARES</v>
      </c>
      <c r="E4550" s="241" t="str">
        <f>VLOOKUP($C4550,'NAO DESO'!$A:$D,3,)</f>
        <v>H</v>
      </c>
      <c r="F4550" s="242">
        <v>1</v>
      </c>
      <c r="G4550" s="242" t="str">
        <f>IF(B4550="SEPLAG",VLOOKUP(CONCATENATE("MEDIANA - ",C4550),COTAÇÃO,5,FALSE),VLOOKUP($C4550,'NAO DESO'!$A:$D,4,))</f>
        <v>16,83</v>
      </c>
      <c r="H4550" s="242">
        <f t="shared" si="248"/>
        <v>16.829999999999998</v>
      </c>
      <c r="I4550" s="54" t="str">
        <f>IF(B4550="SEPLAG",VLOOKUP(CONCATENATE("MEDIANA - ",C4550),COTAÇÃO,5,FALSE),VLOOKUP($C4550,DESON!$A:$D,4,))</f>
        <v>15,16</v>
      </c>
      <c r="J4550" s="209">
        <f t="shared" si="249"/>
        <v>15.16</v>
      </c>
    </row>
    <row r="4551" spans="1:10" ht="15" customHeight="1">
      <c r="A4551" s="210" t="str">
        <f>CONCATENATE("TOTAL DO ITEM NÃO DESON. - ",C4535)</f>
        <v>TOTAL DO ITEM NÃO DESON. - SEPLAG HIDR 28</v>
      </c>
      <c r="B4551" s="430"/>
      <c r="C4551" s="430"/>
      <c r="D4551" s="430"/>
      <c r="E4551" s="430"/>
      <c r="F4551" s="1180"/>
      <c r="G4551" s="1180"/>
      <c r="H4551" s="1182">
        <f>SUM(H4538:H4550)</f>
        <v>2009.07</v>
      </c>
      <c r="I4551" s="231"/>
      <c r="J4551" s="215"/>
    </row>
    <row r="4552" spans="1:10" ht="15.75" customHeight="1" thickBot="1">
      <c r="A4552" s="216" t="str">
        <f>CONCATENATE("TOTAL DO ITEM DESON. - ",C4535)</f>
        <v>TOTAL DO ITEM DESON. - SEPLAG HIDR 28</v>
      </c>
      <c r="B4552" s="1142"/>
      <c r="C4552" s="1142"/>
      <c r="D4552" s="1142"/>
      <c r="E4552" s="1142"/>
      <c r="F4552" s="1211"/>
      <c r="G4552" s="1211"/>
      <c r="H4552" s="1187"/>
      <c r="I4552" s="260"/>
      <c r="J4552" s="219">
        <f>SUM(J4538:J4550)</f>
        <v>1955.13</v>
      </c>
    </row>
    <row r="4553" spans="1:10" ht="15" customHeight="1" thickBot="1">
      <c r="A4553" s="421"/>
      <c r="B4553" s="1138"/>
      <c r="C4553" s="1138"/>
      <c r="D4553" s="1138"/>
      <c r="E4553" s="1154"/>
      <c r="F4553" s="1196"/>
      <c r="G4553" s="1196"/>
      <c r="H4553" s="1196"/>
      <c r="I4553" s="422"/>
      <c r="J4553" s="422"/>
    </row>
    <row r="4554" spans="1:10" ht="38.25" customHeight="1">
      <c r="A4554" s="473" t="s">
        <v>421</v>
      </c>
      <c r="B4554" s="1234"/>
      <c r="C4554" s="1176" t="s">
        <v>7500</v>
      </c>
      <c r="D4554" s="156" t="s">
        <v>27958</v>
      </c>
      <c r="E4554" s="1176" t="s">
        <v>24</v>
      </c>
      <c r="F4554" s="1177" t="s">
        <v>18</v>
      </c>
      <c r="G4554" s="1178" t="s">
        <v>7015</v>
      </c>
      <c r="H4554" s="1179"/>
      <c r="I4554" s="200" t="s">
        <v>7016</v>
      </c>
      <c r="J4554" s="201"/>
    </row>
    <row r="4555" spans="1:10" ht="15" customHeight="1">
      <c r="A4555" s="257"/>
      <c r="B4555" s="430"/>
      <c r="C4555" s="1155"/>
      <c r="D4555" s="157"/>
      <c r="E4555" s="1155"/>
      <c r="F4555" s="1180"/>
      <c r="G4555" s="1180" t="s">
        <v>19</v>
      </c>
      <c r="H4555" s="1180" t="s">
        <v>20</v>
      </c>
      <c r="I4555" s="204" t="s">
        <v>19</v>
      </c>
      <c r="J4555" s="206" t="s">
        <v>20</v>
      </c>
    </row>
    <row r="4556" spans="1:10" ht="15" customHeight="1">
      <c r="A4556" s="258"/>
      <c r="B4556" s="1155"/>
      <c r="C4556" s="1155"/>
      <c r="D4556" s="157"/>
      <c r="E4556" s="1155"/>
      <c r="F4556" s="1180"/>
      <c r="G4556" s="1180"/>
      <c r="H4556" s="1180"/>
      <c r="I4556" s="238"/>
      <c r="J4556" s="259"/>
    </row>
    <row r="4557" spans="1:10" ht="39" customHeight="1">
      <c r="A4557" s="208" t="s">
        <v>245</v>
      </c>
      <c r="B4557" s="241"/>
      <c r="C4557" s="1181">
        <v>101159</v>
      </c>
      <c r="D4557" s="161" t="str">
        <f>IF(B4557="SEPLAG",VLOOKUP(COMPOSIÇÕES!C4557,'MAPA COMPARATIVO'!A:B,2,FALSE),VLOOKUP(C4557,'NAO DESO'!A:B,2,0))</f>
        <v>ALVENARIA DE VEDAÇÃO DE BLOCOS CERÂMICOS MACIÇOS DE 5X10X20CM (ESPESSURA 10CM) E ARGAMASSA DE ASSENTAMENTO COM PREPARO EM BETONEIRA. AF_05/2020</v>
      </c>
      <c r="E4557" s="241" t="str">
        <f>VLOOKUP($C4557,'NAO DESO'!$A:$D,3,)</f>
        <v>M2</v>
      </c>
      <c r="F4557" s="242">
        <v>2.7</v>
      </c>
      <c r="G4557" s="242" t="str">
        <f>IF(B4557="SEPLAG",VLOOKUP(CONCATENATE("MEDIANA - ",C4557),COTAÇÃO,5,FALSE),VLOOKUP($C4557,'NAO DESO'!$A:$D,4,))</f>
        <v>126,63</v>
      </c>
      <c r="H4557" s="242">
        <f t="shared" ref="H4557:H4569" si="250">TRUNC(F4557*G4557,2)</f>
        <v>341.9</v>
      </c>
      <c r="I4557" s="54" t="str">
        <f>IF(B4557="SEPLAG",VLOOKUP(CONCATENATE("MEDIANA - ",C4557),COTAÇÃO,5,FALSE),VLOOKUP($C4557,DESON!$A:$D,4,))</f>
        <v>120,46</v>
      </c>
      <c r="J4557" s="209">
        <f t="shared" ref="J4557:J4569" si="251">TRUNC(F4557*I4557,2)</f>
        <v>325.24</v>
      </c>
    </row>
    <row r="4558" spans="1:10" ht="64.5" customHeight="1">
      <c r="A4558" s="208" t="s">
        <v>245</v>
      </c>
      <c r="B4558" s="241"/>
      <c r="C4558" s="1181">
        <v>87543</v>
      </c>
      <c r="D4558" s="161" t="str">
        <f>IF(B4558="SEPLAG",VLOOKUP(COMPOSIÇÕES!C4558,'MAPA COMPARATIVO'!A:B,2,FALSE),VLOOKUP(C4558,'NAO DESO'!A:B,2,0))</f>
        <v>MASSA ÚNICA, PARA RECEBIMENTO DE PINTURA OU CERÂMICA, ARGAMASSA INDUSTRIALIZADA, PREPARO MECÂNICO, APLICADO COM EQUIPAMENTO DE MISTURA E PROJEÇÃO DE 1,5 M3/H EM FACES INTERNAS DE PAREDES, ESPESSURA DE 5MM, SEM EXECUÇÃO DE TALISCAS. AF_06/2014</v>
      </c>
      <c r="E4558" s="241" t="str">
        <f>VLOOKUP($C4558,'NAO DESO'!$A:$D,3,)</f>
        <v>M2</v>
      </c>
      <c r="F4558" s="242">
        <v>9</v>
      </c>
      <c r="G4558" s="242" t="str">
        <f>IF(B4558="SEPLAG",VLOOKUP(CONCATENATE("MEDIANA - ",C4558),COTAÇÃO,5,FALSE),VLOOKUP($C4558,'NAO DESO'!$A:$D,4,))</f>
        <v>24,40</v>
      </c>
      <c r="H4558" s="242">
        <f t="shared" si="250"/>
        <v>219.6</v>
      </c>
      <c r="I4558" s="54" t="str">
        <f>IF(B4558="SEPLAG",VLOOKUP(CONCATENATE("MEDIANA - ",C4558),COTAÇÃO,5,FALSE),VLOOKUP($C4558,DESON!$A:$D,4,))</f>
        <v>23,82</v>
      </c>
      <c r="J4558" s="209">
        <f t="shared" si="251"/>
        <v>214.38</v>
      </c>
    </row>
    <row r="4559" spans="1:10" ht="39" customHeight="1">
      <c r="A4559" s="208" t="s">
        <v>245</v>
      </c>
      <c r="B4559" s="241"/>
      <c r="C4559" s="1181">
        <v>94970</v>
      </c>
      <c r="D4559" s="161" t="str">
        <f>IF(B4559="SEPLAG",VLOOKUP(COMPOSIÇÕES!C4559,'MAPA COMPARATIVO'!A:B,2,FALSE),VLOOKUP(C4559,'NAO DESO'!A:B,2,0))</f>
        <v>CONCRETO FCK = 20MPA, TRAÇO 1:2,7:3 (EM MASSA SECA DE CIMENTO/ AREIA MÉDIA/ BRITA 1) - PREPARO MECÂNICO COM BETONEIRA 600 L. AF_05/2021</v>
      </c>
      <c r="E4559" s="241" t="str">
        <f>VLOOKUP($C4559,'NAO DESO'!$A:$D,3,)</f>
        <v>M3</v>
      </c>
      <c r="F4559" s="242">
        <v>0.1</v>
      </c>
      <c r="G4559" s="242" t="str">
        <f>IF(B4559="SEPLAG",VLOOKUP(CONCATENATE("MEDIANA - ",C4559),COTAÇÃO,5,FALSE),VLOOKUP($C4559,'NAO DESO'!$A:$D,4,))</f>
        <v>405,57</v>
      </c>
      <c r="H4559" s="242">
        <f t="shared" si="250"/>
        <v>40.549999999999997</v>
      </c>
      <c r="I4559" s="54" t="str">
        <f>IF(B4559="SEPLAG",VLOOKUP(CONCATENATE("MEDIANA - ",C4559),COTAÇÃO,5,FALSE),VLOOKUP($C4559,DESON!$A:$D,4,))</f>
        <v>400,17</v>
      </c>
      <c r="J4559" s="209">
        <f t="shared" si="251"/>
        <v>40.01</v>
      </c>
    </row>
    <row r="4560" spans="1:10" ht="26.25" customHeight="1">
      <c r="A4560" s="208" t="s">
        <v>245</v>
      </c>
      <c r="B4560" s="241"/>
      <c r="C4560" s="1181">
        <v>93358</v>
      </c>
      <c r="D4560" s="161" t="str">
        <f>IF(B4560="SEPLAG",VLOOKUP(COMPOSIÇÕES!C4560,'MAPA COMPARATIVO'!A:B,2,FALSE),VLOOKUP(C4560,'NAO DESO'!A:B,2,0))</f>
        <v>ESCAVAÇÃO MANUAL DE VALA COM PROFUNDIDADE MENOR OU IGUAL A 1,30 M. AF_02/2021</v>
      </c>
      <c r="E4560" s="241" t="str">
        <f>VLOOKUP($C4560,'NAO DESO'!$A:$D,3,)</f>
        <v>M3</v>
      </c>
      <c r="F4560" s="242">
        <v>2.92</v>
      </c>
      <c r="G4560" s="242" t="str">
        <f>IF(B4560="SEPLAG",VLOOKUP(CONCATENATE("MEDIANA - ",C4560),COTAÇÃO,5,FALSE),VLOOKUP($C4560,'NAO DESO'!$A:$D,4,))</f>
        <v>66,57</v>
      </c>
      <c r="H4560" s="242">
        <f t="shared" si="250"/>
        <v>194.38</v>
      </c>
      <c r="I4560" s="54" t="str">
        <f>IF(B4560="SEPLAG",VLOOKUP(CONCATENATE("MEDIANA - ",C4560),COTAÇÃO,5,FALSE),VLOOKUP($C4560,DESON!$A:$D,4,))</f>
        <v>59,97</v>
      </c>
      <c r="J4560" s="209">
        <f t="shared" si="251"/>
        <v>175.11</v>
      </c>
    </row>
    <row r="4561" spans="1:10" ht="26.25" customHeight="1">
      <c r="A4561" s="208" t="s">
        <v>245</v>
      </c>
      <c r="B4561" s="241"/>
      <c r="C4561" s="1181">
        <v>101617</v>
      </c>
      <c r="D4561" s="161" t="str">
        <f>IF(B4561="SEPLAG",VLOOKUP(COMPOSIÇÕES!C4561,'MAPA COMPARATIVO'!A:B,2,FALSE),VLOOKUP(C4561,'NAO DESO'!A:B,2,0))</f>
        <v>PREPARO DE FUNDO DE VALA COM LARGURA MAIOR OU IGUAL A 1,5 M E MENOR QUE 2,5 M (ACERTO DO SOLO NATURAL). AF_08/2020</v>
      </c>
      <c r="E4561" s="241" t="str">
        <f>VLOOKUP($C4561,'NAO DESO'!$A:$D,3,)</f>
        <v>M2</v>
      </c>
      <c r="F4561" s="242">
        <v>1</v>
      </c>
      <c r="G4561" s="242" t="str">
        <f>IF(B4561="SEPLAG",VLOOKUP(CONCATENATE("MEDIANA - ",C4561),COTAÇÃO,5,FALSE),VLOOKUP($C4561,'NAO DESO'!$A:$D,4,))</f>
        <v>2,38</v>
      </c>
      <c r="H4561" s="242">
        <f t="shared" si="250"/>
        <v>2.38</v>
      </c>
      <c r="I4561" s="54" t="str">
        <f>IF(B4561="SEPLAG",VLOOKUP(CONCATENATE("MEDIANA - ",C4561),COTAÇÃO,5,FALSE),VLOOKUP($C4561,DESON!$A:$D,4,))</f>
        <v>2,15</v>
      </c>
      <c r="J4561" s="209">
        <f t="shared" si="251"/>
        <v>2.15</v>
      </c>
    </row>
    <row r="4562" spans="1:10" ht="15" customHeight="1">
      <c r="A4562" s="208" t="s">
        <v>245</v>
      </c>
      <c r="B4562" s="241"/>
      <c r="C4562" s="1181">
        <v>96995</v>
      </c>
      <c r="D4562" s="161" t="str">
        <f>IF(B4562="SEPLAG",VLOOKUP(COMPOSIÇÕES!C4562,'MAPA COMPARATIVO'!A:B,2,FALSE),VLOOKUP(C4562,'NAO DESO'!A:B,2,0))</f>
        <v>REATERRO MANUAL APILOADO COM SOQUETE. AF_10/2017</v>
      </c>
      <c r="E4562" s="241" t="str">
        <f>VLOOKUP($C4562,'NAO DESO'!$A:$D,3,)</f>
        <v>M3</v>
      </c>
      <c r="F4562" s="242">
        <v>2.17</v>
      </c>
      <c r="G4562" s="242" t="str">
        <f>IF(B4562="SEPLAG",VLOOKUP(CONCATENATE("MEDIANA - ",C4562),COTAÇÃO,5,FALSE),VLOOKUP($C4562,'NAO DESO'!$A:$D,4,))</f>
        <v>40,36</v>
      </c>
      <c r="H4562" s="242">
        <f t="shared" si="250"/>
        <v>87.58</v>
      </c>
      <c r="I4562" s="54" t="str">
        <f>IF(B4562="SEPLAG",VLOOKUP(CONCATENATE("MEDIANA - ",C4562),COTAÇÃO,5,FALSE),VLOOKUP($C4562,DESON!$A:$D,4,))</f>
        <v>36,36</v>
      </c>
      <c r="J4562" s="209">
        <f t="shared" si="251"/>
        <v>78.900000000000006</v>
      </c>
    </row>
    <row r="4563" spans="1:10" ht="26.25" customHeight="1">
      <c r="A4563" s="208" t="s">
        <v>245</v>
      </c>
      <c r="B4563" s="241"/>
      <c r="C4563" s="1181">
        <v>98557</v>
      </c>
      <c r="D4563" s="161" t="str">
        <f>IF(B4563="SEPLAG",VLOOKUP(COMPOSIÇÕES!C4563,'MAPA COMPARATIVO'!A:B,2,FALSE),VLOOKUP(C4563,'NAO DESO'!A:B,2,0))</f>
        <v>IMPERMEABILIZAÇÃO DE SUPERFÍCIE COM EMULSÃO ASFÁLTICA, 2 DEMÃOS AF_06/2018</v>
      </c>
      <c r="E4563" s="241" t="str">
        <f>VLOOKUP($C4563,'NAO DESO'!$A:$D,3,)</f>
        <v>M2</v>
      </c>
      <c r="F4563" s="242">
        <f>F4558</f>
        <v>9</v>
      </c>
      <c r="G4563" s="242" t="str">
        <f>IF(B4563="SEPLAG",VLOOKUP(CONCATENATE("MEDIANA - ",C4563),COTAÇÃO,5,FALSE),VLOOKUP($C4563,'NAO DESO'!$A:$D,4,))</f>
        <v>58,82</v>
      </c>
      <c r="H4563" s="242">
        <f t="shared" si="250"/>
        <v>529.38</v>
      </c>
      <c r="I4563" s="54" t="str">
        <f>IF(B4563="SEPLAG",VLOOKUP(CONCATENATE("MEDIANA - ",C4563),COTAÇÃO,5,FALSE),VLOOKUP($C4563,DESON!$A:$D,4,))</f>
        <v>57,84</v>
      </c>
      <c r="J4563" s="209">
        <f t="shared" si="251"/>
        <v>520.55999999999995</v>
      </c>
    </row>
    <row r="4564" spans="1:10" ht="26.25" customHeight="1">
      <c r="A4564" s="208" t="s">
        <v>245</v>
      </c>
      <c r="B4564" s="241"/>
      <c r="C4564" s="1181">
        <v>11301</v>
      </c>
      <c r="D4564" s="161" t="str">
        <f>IF(B4564="SEPLAG",VLOOKUP(COMPOSIÇÕES!C4564,'MAPA COMPARATIVO'!A:B,2,FALSE),VLOOKUP(C4564,'NAO DESO'!A:B,2,0))</f>
        <v>TAMPAO FOFO ARTICULADO, CLASSE B125 CARGA MAX 12,5 T, REDONDO, TAMPA 600 MM (COM INSCRICAO EM RELEVO DO TIPO DE REDE)</v>
      </c>
      <c r="E4564" s="241" t="str">
        <f>VLOOKUP($C4564,'NAO DESO'!$A:$D,3,)</f>
        <v xml:space="preserve">UN    </v>
      </c>
      <c r="F4564" s="242">
        <v>1</v>
      </c>
      <c r="G4564" s="242">
        <f>IF(B4564="SEPLAG",VLOOKUP(CONCATENATE("MEDIANA - ",C4564),COTAÇÃO,5,FALSE),VLOOKUP($C4564,'NAO DESO'!$A:$D,4,))</f>
        <v>660.46</v>
      </c>
      <c r="H4564" s="242">
        <f t="shared" si="250"/>
        <v>660.46</v>
      </c>
      <c r="I4564" s="54" t="str">
        <f>IF(B4564="SEPLAG",VLOOKUP(CONCATENATE("MEDIANA - ",C4564),COTAÇÃO,5,FALSE),VLOOKUP($C4564,DESON!$A:$D,4,))</f>
        <v>660,46</v>
      </c>
      <c r="J4564" s="209">
        <f t="shared" si="251"/>
        <v>660.46</v>
      </c>
    </row>
    <row r="4565" spans="1:10" ht="39" customHeight="1">
      <c r="A4565" s="208" t="s">
        <v>245</v>
      </c>
      <c r="B4565" s="241"/>
      <c r="C4565" s="1181">
        <v>92775</v>
      </c>
      <c r="D4565" s="161" t="str">
        <f>IF(B4565="SEPLAG",VLOOKUP(COMPOSIÇÕES!C4565,'MAPA COMPARATIVO'!A:B,2,FALSE),VLOOKUP(C4565,'NAO DESO'!A:B,2,0))</f>
        <v>ARMAÇÃO DE PILAR OU VIGA DE UMA ESTRUTURA CONVENCIONAL DE CONCRETO ARMADO EM UMA EDIFICAÇÃO TÉRREA OU SOBRADO UTILIZANDO AÇO CA-60 DE 5,0 MM - MONTAGEM. AF_12/2015</v>
      </c>
      <c r="E4565" s="241" t="str">
        <f>VLOOKUP($C4565,'NAO DESO'!$A:$D,3,)</f>
        <v>KG</v>
      </c>
      <c r="F4565" s="242">
        <v>1.66</v>
      </c>
      <c r="G4565" s="242" t="str">
        <f>IF(B4565="SEPLAG",VLOOKUP(CONCATENATE("MEDIANA - ",C4565),COTAÇÃO,5,FALSE),VLOOKUP($C4565,'NAO DESO'!$A:$D,4,))</f>
        <v>18,46</v>
      </c>
      <c r="H4565" s="242">
        <f t="shared" si="250"/>
        <v>30.64</v>
      </c>
      <c r="I4565" s="54" t="str">
        <f>IF(B4565="SEPLAG",VLOOKUP(CONCATENATE("MEDIANA - ",C4565),COTAÇÃO,5,FALSE),VLOOKUP($C4565,DESON!$A:$D,4,))</f>
        <v>17,71</v>
      </c>
      <c r="J4565" s="209">
        <f t="shared" si="251"/>
        <v>29.39</v>
      </c>
    </row>
    <row r="4566" spans="1:10" ht="39" customHeight="1">
      <c r="A4566" s="208" t="s">
        <v>245</v>
      </c>
      <c r="B4566" s="241"/>
      <c r="C4566" s="1181">
        <v>92778</v>
      </c>
      <c r="D4566" s="161" t="str">
        <f>IF(B4566="SEPLAG",VLOOKUP(COMPOSIÇÕES!C4566,'MAPA COMPARATIVO'!A:B,2,FALSE),VLOOKUP(C4566,'NAO DESO'!A:B,2,0))</f>
        <v>ARMAÇÃO DE PILAR OU VIGA DE UMA ESTRUTURA CONVENCIONAL DE CONCRETO ARMADO EM UMA EDIFICAÇÃO TÉRREA OU SOBRADO UTILIZANDO AÇO CA-50 DE 10,0 MM - MONTAGEM. AF_12/2015</v>
      </c>
      <c r="E4566" s="241" t="str">
        <f>VLOOKUP($C4566,'NAO DESO'!$A:$D,3,)</f>
        <v>KG</v>
      </c>
      <c r="F4566" s="242">
        <v>8.8800000000000008</v>
      </c>
      <c r="G4566" s="242" t="str">
        <f>IF(B4566="SEPLAG",VLOOKUP(CONCATENATE("MEDIANA - ",C4566),COTAÇÃO,5,FALSE),VLOOKUP($C4566,'NAO DESO'!$A:$D,4,))</f>
        <v>14,78</v>
      </c>
      <c r="H4566" s="242">
        <f t="shared" si="250"/>
        <v>131.24</v>
      </c>
      <c r="I4566" s="54" t="str">
        <f>IF(B4566="SEPLAG",VLOOKUP(CONCATENATE("MEDIANA - ",C4566),COTAÇÃO,5,FALSE),VLOOKUP($C4566,DESON!$A:$D,4,))</f>
        <v>14,50</v>
      </c>
      <c r="J4566" s="209">
        <f t="shared" si="251"/>
        <v>128.76</v>
      </c>
    </row>
    <row r="4567" spans="1:10" ht="39" customHeight="1">
      <c r="A4567" s="208" t="s">
        <v>245</v>
      </c>
      <c r="B4567" s="241"/>
      <c r="C4567" s="1181">
        <v>92423</v>
      </c>
      <c r="D4567" s="161" t="str">
        <f>IF(B4567="SEPLAG",VLOOKUP(COMPOSIÇÕES!C4567,'MAPA COMPARATIVO'!A:B,2,FALSE),VLOOKUP(C4567,'NAO DESO'!A:B,2,0))</f>
        <v>MONTAGEM E DESMONTAGEM DE FÔRMA DE PILARES RETANGULARES E ESTRUTURAS SIMILARES, PÉ-DIREITO SIMPLES, EM CHAPA DE MADEIRA COMPENSADA RESINADA, 6 UTILIZAÇÕES. AF_09/2020</v>
      </c>
      <c r="E4567" s="241" t="str">
        <f>VLOOKUP($C4567,'NAO DESO'!$A:$D,3,)</f>
        <v>M2</v>
      </c>
      <c r="F4567" s="242">
        <v>1.08</v>
      </c>
      <c r="G4567" s="242" t="str">
        <f>IF(B4567="SEPLAG",VLOOKUP(CONCATENATE("MEDIANA - ",C4567),COTAÇÃO,5,FALSE),VLOOKUP($C4567,'NAO DESO'!$A:$D,4,))</f>
        <v>67,90</v>
      </c>
      <c r="H4567" s="242">
        <f t="shared" si="250"/>
        <v>73.33</v>
      </c>
      <c r="I4567" s="54" t="str">
        <f>IF(B4567="SEPLAG",VLOOKUP(CONCATENATE("MEDIANA - ",C4567),COTAÇÃO,5,FALSE),VLOOKUP($C4567,DESON!$A:$D,4,))</f>
        <v>65,30</v>
      </c>
      <c r="J4567" s="209">
        <f t="shared" si="251"/>
        <v>70.52</v>
      </c>
    </row>
    <row r="4568" spans="1:10" ht="15" customHeight="1">
      <c r="A4568" s="208" t="s">
        <v>245</v>
      </c>
      <c r="B4568" s="241"/>
      <c r="C4568" s="1181">
        <v>88309</v>
      </c>
      <c r="D4568" s="161" t="str">
        <f>IF(B4568="SEPLAG",VLOOKUP(COMPOSIÇÕES!C4568,'MAPA COMPARATIVO'!A:B,2,FALSE),VLOOKUP(C4568,'NAO DESO'!A:B,2,0))</f>
        <v>PEDREIRO COM ENCARGOS COMPLEMENTARES</v>
      </c>
      <c r="E4568" s="241" t="str">
        <f>VLOOKUP($C4568,'NAO DESO'!$A:$D,3,)</f>
        <v>H</v>
      </c>
      <c r="F4568" s="242">
        <v>1</v>
      </c>
      <c r="G4568" s="242" t="str">
        <f>IF(B4568="SEPLAG",VLOOKUP(CONCATENATE("MEDIANA - ",C4568),COTAÇÃO,5,FALSE),VLOOKUP($C4568,'NAO DESO'!$A:$D,4,))</f>
        <v>21,10</v>
      </c>
      <c r="H4568" s="242">
        <f t="shared" si="250"/>
        <v>21.1</v>
      </c>
      <c r="I4568" s="54" t="str">
        <f>IF(B4568="SEPLAG",VLOOKUP(CONCATENATE("MEDIANA - ",C4568),COTAÇÃO,5,FALSE),VLOOKUP($C4568,DESON!$A:$D,4,))</f>
        <v>18,86</v>
      </c>
      <c r="J4568" s="209">
        <f t="shared" si="251"/>
        <v>18.86</v>
      </c>
    </row>
    <row r="4569" spans="1:10" ht="15" customHeight="1">
      <c r="A4569" s="208" t="s">
        <v>245</v>
      </c>
      <c r="B4569" s="241"/>
      <c r="C4569" s="1181">
        <v>88316</v>
      </c>
      <c r="D4569" s="161" t="str">
        <f>IF(B4569="SEPLAG",VLOOKUP(COMPOSIÇÕES!C4569,'MAPA COMPARATIVO'!A:B,2,FALSE),VLOOKUP(C4569,'NAO DESO'!A:B,2,0))</f>
        <v>SERVENTE COM ENCARGOS COMPLEMENTARES</v>
      </c>
      <c r="E4569" s="241" t="str">
        <f>VLOOKUP($C4569,'NAO DESO'!$A:$D,3,)</f>
        <v>H</v>
      </c>
      <c r="F4569" s="242">
        <v>1</v>
      </c>
      <c r="G4569" s="242" t="str">
        <f>IF(B4569="SEPLAG",VLOOKUP(CONCATENATE("MEDIANA - ",C4569),COTAÇÃO,5,FALSE),VLOOKUP($C4569,'NAO DESO'!$A:$D,4,))</f>
        <v>16,83</v>
      </c>
      <c r="H4569" s="242">
        <f t="shared" si="250"/>
        <v>16.829999999999998</v>
      </c>
      <c r="I4569" s="54" t="str">
        <f>IF(B4569="SEPLAG",VLOOKUP(CONCATENATE("MEDIANA - ",C4569),COTAÇÃO,5,FALSE),VLOOKUP($C4569,DESON!$A:$D,4,))</f>
        <v>15,16</v>
      </c>
      <c r="J4569" s="209">
        <f t="shared" si="251"/>
        <v>15.16</v>
      </c>
    </row>
    <row r="4570" spans="1:10" ht="15" customHeight="1">
      <c r="A4570" s="210" t="str">
        <f>CONCATENATE("TOTAL DO ITEM NÃO DESON. - ",C4554)</f>
        <v>TOTAL DO ITEM NÃO DESON. - SEPLAG HIDR 29</v>
      </c>
      <c r="B4570" s="430"/>
      <c r="C4570" s="430"/>
      <c r="D4570" s="430"/>
      <c r="E4570" s="430"/>
      <c r="F4570" s="1180"/>
      <c r="G4570" s="1180"/>
      <c r="H4570" s="1182">
        <f>SUM(H4557:H4569)</f>
        <v>2349.3699999999994</v>
      </c>
      <c r="I4570" s="231"/>
      <c r="J4570" s="215"/>
    </row>
    <row r="4571" spans="1:10" ht="15.75" customHeight="1" thickBot="1">
      <c r="A4571" s="216" t="str">
        <f>CONCATENATE("TOTAL DO ITEM DESON. - ",C4554)</f>
        <v>TOTAL DO ITEM DESON. - SEPLAG HIDR 29</v>
      </c>
      <c r="B4571" s="1142"/>
      <c r="C4571" s="1142"/>
      <c r="D4571" s="1142"/>
      <c r="E4571" s="1142"/>
      <c r="F4571" s="1211"/>
      <c r="G4571" s="1211"/>
      <c r="H4571" s="1187"/>
      <c r="I4571" s="260"/>
      <c r="J4571" s="219">
        <f>SUM(J4557:J4569)</f>
        <v>2279.5</v>
      </c>
    </row>
    <row r="4572" spans="1:10" ht="15" customHeight="1" thickBot="1">
      <c r="A4572" s="421"/>
      <c r="B4572" s="1138"/>
      <c r="C4572" s="1138"/>
      <c r="D4572" s="1138"/>
      <c r="E4572" s="1154"/>
      <c r="F4572" s="1196"/>
      <c r="G4572" s="1196"/>
      <c r="H4572" s="1196"/>
      <c r="I4572" s="422"/>
      <c r="J4572" s="422"/>
    </row>
    <row r="4573" spans="1:10" ht="38.25" customHeight="1">
      <c r="A4573" s="473" t="s">
        <v>421</v>
      </c>
      <c r="B4573" s="1234"/>
      <c r="C4573" s="1176" t="s">
        <v>7501</v>
      </c>
      <c r="D4573" s="156" t="s">
        <v>27959</v>
      </c>
      <c r="E4573" s="1176" t="s">
        <v>24</v>
      </c>
      <c r="F4573" s="1177" t="s">
        <v>18</v>
      </c>
      <c r="G4573" s="1178" t="s">
        <v>7015</v>
      </c>
      <c r="H4573" s="1179"/>
      <c r="I4573" s="200" t="s">
        <v>7016</v>
      </c>
      <c r="J4573" s="201"/>
    </row>
    <row r="4574" spans="1:10" ht="15" customHeight="1">
      <c r="A4574" s="203"/>
      <c r="B4574" s="430"/>
      <c r="C4574" s="1155"/>
      <c r="D4574" s="157"/>
      <c r="E4574" s="1155"/>
      <c r="F4574" s="1180"/>
      <c r="G4574" s="1180" t="s">
        <v>19</v>
      </c>
      <c r="H4574" s="1180" t="s">
        <v>20</v>
      </c>
      <c r="I4574" s="204" t="s">
        <v>19</v>
      </c>
      <c r="J4574" s="206" t="s">
        <v>20</v>
      </c>
    </row>
    <row r="4575" spans="1:10" ht="15" customHeight="1">
      <c r="A4575" s="258"/>
      <c r="B4575" s="1155"/>
      <c r="C4575" s="1155"/>
      <c r="D4575" s="157"/>
      <c r="E4575" s="1155"/>
      <c r="F4575" s="1180"/>
      <c r="G4575" s="1180"/>
      <c r="H4575" s="1180"/>
      <c r="I4575" s="238"/>
      <c r="J4575" s="259"/>
    </row>
    <row r="4576" spans="1:10" ht="39" customHeight="1">
      <c r="A4576" s="208" t="s">
        <v>245</v>
      </c>
      <c r="B4576" s="241"/>
      <c r="C4576" s="1181">
        <v>101159</v>
      </c>
      <c r="D4576" s="161" t="str">
        <f>IF(B4576="SEPLAG",VLOOKUP(COMPOSIÇÕES!C4576,'MAPA COMPARATIVO'!A:B,2,FALSE),VLOOKUP(C4576,'NAO DESO'!A:B,2,0))</f>
        <v>ALVENARIA DE VEDAÇÃO DE BLOCOS CERÂMICOS MACIÇOS DE 5X10X20CM (ESPESSURA 10CM) E ARGAMASSA DE ASSENTAMENTO COM PREPARO EM BETONEIRA. AF_05/2020</v>
      </c>
      <c r="E4576" s="241" t="str">
        <f>VLOOKUP($C4576,'NAO DESO'!$A:$D,3,)</f>
        <v>M2</v>
      </c>
      <c r="F4576" s="242">
        <v>2.88</v>
      </c>
      <c r="G4576" s="242" t="str">
        <f>IF(B4576="SEPLAG",VLOOKUP(CONCATENATE("MEDIANA - ",C4576),COTAÇÃO,5,FALSE),VLOOKUP($C4576,'NAO DESO'!$A:$D,4,))</f>
        <v>126,63</v>
      </c>
      <c r="H4576" s="242">
        <f t="shared" ref="H4576:H4588" si="252">TRUNC(F4576*G4576,2)</f>
        <v>364.69</v>
      </c>
      <c r="I4576" s="54" t="str">
        <f>IF(B4576="SEPLAG",VLOOKUP(CONCATENATE("MEDIANA - ",C4576),COTAÇÃO,5,FALSE),VLOOKUP($C4576,DESON!$A:$D,4,))</f>
        <v>120,46</v>
      </c>
      <c r="J4576" s="209">
        <f t="shared" ref="J4576:J4588" si="253">TRUNC(F4576*I4576,2)</f>
        <v>346.92</v>
      </c>
    </row>
    <row r="4577" spans="1:10" ht="64.5" customHeight="1">
      <c r="A4577" s="208" t="s">
        <v>245</v>
      </c>
      <c r="B4577" s="241"/>
      <c r="C4577" s="1181">
        <v>87543</v>
      </c>
      <c r="D4577" s="161" t="str">
        <f>IF(B4577="SEPLAG",VLOOKUP(COMPOSIÇÕES!C4577,'MAPA COMPARATIVO'!A:B,2,FALSE),VLOOKUP(C4577,'NAO DESO'!A:B,2,0))</f>
        <v>MASSA ÚNICA, PARA RECEBIMENTO DE PINTURA OU CERÂMICA, ARGAMASSA INDUSTRIALIZADA, PREPARO MECÂNICO, APLICADO COM EQUIPAMENTO DE MISTURA E PROJEÇÃO DE 1,5 M3/H EM FACES INTERNAS DE PAREDES, ESPESSURA DE 5MM, SEM EXECUÇÃO DE TALISCAS. AF_06/2014</v>
      </c>
      <c r="E4577" s="241" t="str">
        <f>VLOOKUP($C4577,'NAO DESO'!$A:$D,3,)</f>
        <v>M2</v>
      </c>
      <c r="F4577" s="242">
        <v>9.36</v>
      </c>
      <c r="G4577" s="242" t="str">
        <f>IF(B4577="SEPLAG",VLOOKUP(CONCATENATE("MEDIANA - ",C4577),COTAÇÃO,5,FALSE),VLOOKUP($C4577,'NAO DESO'!$A:$D,4,))</f>
        <v>24,40</v>
      </c>
      <c r="H4577" s="242">
        <f t="shared" si="252"/>
        <v>228.38</v>
      </c>
      <c r="I4577" s="54" t="str">
        <f>IF(B4577="SEPLAG",VLOOKUP(CONCATENATE("MEDIANA - ",C4577),COTAÇÃO,5,FALSE),VLOOKUP($C4577,DESON!$A:$D,4,))</f>
        <v>23,82</v>
      </c>
      <c r="J4577" s="209">
        <f t="shared" si="253"/>
        <v>222.95</v>
      </c>
    </row>
    <row r="4578" spans="1:10" ht="39" customHeight="1">
      <c r="A4578" s="208" t="s">
        <v>245</v>
      </c>
      <c r="B4578" s="241"/>
      <c r="C4578" s="1181">
        <v>94970</v>
      </c>
      <c r="D4578" s="161" t="str">
        <f>IF(B4578="SEPLAG",VLOOKUP(COMPOSIÇÕES!C4578,'MAPA COMPARATIVO'!A:B,2,FALSE),VLOOKUP(C4578,'NAO DESO'!A:B,2,0))</f>
        <v>CONCRETO FCK = 20MPA, TRAÇO 1:2,7:3 (EM MASSA SECA DE CIMENTO/ AREIA MÉDIA/ BRITA 1) - PREPARO MECÂNICO COM BETONEIRA 600 L. AF_05/2021</v>
      </c>
      <c r="E4578" s="241" t="str">
        <f>VLOOKUP($C4578,'NAO DESO'!$A:$D,3,)</f>
        <v>M3</v>
      </c>
      <c r="F4578" s="242">
        <v>0.1</v>
      </c>
      <c r="G4578" s="242" t="str">
        <f>IF(B4578="SEPLAG",VLOOKUP(CONCATENATE("MEDIANA - ",C4578),COTAÇÃO,5,FALSE),VLOOKUP($C4578,'NAO DESO'!$A:$D,4,))</f>
        <v>405,57</v>
      </c>
      <c r="H4578" s="242">
        <f t="shared" si="252"/>
        <v>40.549999999999997</v>
      </c>
      <c r="I4578" s="54" t="str">
        <f>IF(B4578="SEPLAG",VLOOKUP(CONCATENATE("MEDIANA - ",C4578),COTAÇÃO,5,FALSE),VLOOKUP($C4578,DESON!$A:$D,4,))</f>
        <v>400,17</v>
      </c>
      <c r="J4578" s="209">
        <f t="shared" si="253"/>
        <v>40.01</v>
      </c>
    </row>
    <row r="4579" spans="1:10" ht="26.25" customHeight="1">
      <c r="A4579" s="208" t="s">
        <v>245</v>
      </c>
      <c r="B4579" s="241"/>
      <c r="C4579" s="1181">
        <v>93358</v>
      </c>
      <c r="D4579" s="161" t="str">
        <f>IF(B4579="SEPLAG",VLOOKUP(COMPOSIÇÕES!C4579,'MAPA COMPARATIVO'!A:B,2,FALSE),VLOOKUP(C4579,'NAO DESO'!A:B,2,0))</f>
        <v>ESCAVAÇÃO MANUAL DE VALA COM PROFUNDIDADE MENOR OU IGUAL A 1,30 M. AF_02/2021</v>
      </c>
      <c r="E4579" s="241" t="str">
        <f>VLOOKUP($C4579,'NAO DESO'!$A:$D,3,)</f>
        <v>M3</v>
      </c>
      <c r="F4579" s="242">
        <v>3.08</v>
      </c>
      <c r="G4579" s="242" t="str">
        <f>IF(B4579="SEPLAG",VLOOKUP(CONCATENATE("MEDIANA - ",C4579),COTAÇÃO,5,FALSE),VLOOKUP($C4579,'NAO DESO'!$A:$D,4,))</f>
        <v>66,57</v>
      </c>
      <c r="H4579" s="242">
        <f t="shared" si="252"/>
        <v>205.03</v>
      </c>
      <c r="I4579" s="54" t="str">
        <f>IF(B4579="SEPLAG",VLOOKUP(CONCATENATE("MEDIANA - ",C4579),COTAÇÃO,5,FALSE),VLOOKUP($C4579,DESON!$A:$D,4,))</f>
        <v>59,97</v>
      </c>
      <c r="J4579" s="209">
        <f t="shared" si="253"/>
        <v>184.7</v>
      </c>
    </row>
    <row r="4580" spans="1:10" ht="26.25" customHeight="1">
      <c r="A4580" s="208" t="s">
        <v>245</v>
      </c>
      <c r="B4580" s="241"/>
      <c r="C4580" s="1181">
        <v>101617</v>
      </c>
      <c r="D4580" s="161" t="str">
        <f>IF(B4580="SEPLAG",VLOOKUP(COMPOSIÇÕES!C4580,'MAPA COMPARATIVO'!A:B,2,FALSE),VLOOKUP(C4580,'NAO DESO'!A:B,2,0))</f>
        <v>PREPARO DE FUNDO DE VALA COM LARGURA MAIOR OU IGUAL A 1,5 M E MENOR QUE 2,5 M (ACERTO DO SOLO NATURAL). AF_08/2020</v>
      </c>
      <c r="E4580" s="241" t="str">
        <f>VLOOKUP($C4580,'NAO DESO'!$A:$D,3,)</f>
        <v>M2</v>
      </c>
      <c r="F4580" s="242">
        <v>1</v>
      </c>
      <c r="G4580" s="242" t="str">
        <f>IF(B4580="SEPLAG",VLOOKUP(CONCATENATE("MEDIANA - ",C4580),COTAÇÃO,5,FALSE),VLOOKUP($C4580,'NAO DESO'!$A:$D,4,))</f>
        <v>2,38</v>
      </c>
      <c r="H4580" s="242">
        <f t="shared" si="252"/>
        <v>2.38</v>
      </c>
      <c r="I4580" s="54" t="str">
        <f>IF(B4580="SEPLAG",VLOOKUP(CONCATENATE("MEDIANA - ",C4580),COTAÇÃO,5,FALSE),VLOOKUP($C4580,DESON!$A:$D,4,))</f>
        <v>2,15</v>
      </c>
      <c r="J4580" s="209">
        <f t="shared" si="253"/>
        <v>2.15</v>
      </c>
    </row>
    <row r="4581" spans="1:10" ht="15" customHeight="1">
      <c r="A4581" s="208" t="s">
        <v>245</v>
      </c>
      <c r="B4581" s="241"/>
      <c r="C4581" s="1181">
        <v>96995</v>
      </c>
      <c r="D4581" s="161" t="str">
        <f>IF(B4581="SEPLAG",VLOOKUP(COMPOSIÇÕES!C4581,'MAPA COMPARATIVO'!A:B,2,FALSE),VLOOKUP(C4581,'NAO DESO'!A:B,2,0))</f>
        <v>REATERRO MANUAL APILOADO COM SOQUETE. AF_10/2017</v>
      </c>
      <c r="E4581" s="241" t="str">
        <f>VLOOKUP($C4581,'NAO DESO'!$A:$D,3,)</f>
        <v>M3</v>
      </c>
      <c r="F4581" s="242">
        <v>2.2799999999999998</v>
      </c>
      <c r="G4581" s="242" t="str">
        <f>IF(B4581="SEPLAG",VLOOKUP(CONCATENATE("MEDIANA - ",C4581),COTAÇÃO,5,FALSE),VLOOKUP($C4581,'NAO DESO'!$A:$D,4,))</f>
        <v>40,36</v>
      </c>
      <c r="H4581" s="242">
        <f t="shared" si="252"/>
        <v>92.02</v>
      </c>
      <c r="I4581" s="54" t="str">
        <f>IF(B4581="SEPLAG",VLOOKUP(CONCATENATE("MEDIANA - ",C4581),COTAÇÃO,5,FALSE),VLOOKUP($C4581,DESON!$A:$D,4,))</f>
        <v>36,36</v>
      </c>
      <c r="J4581" s="209">
        <f t="shared" si="253"/>
        <v>82.9</v>
      </c>
    </row>
    <row r="4582" spans="1:10" ht="26.25" customHeight="1">
      <c r="A4582" s="208" t="s">
        <v>245</v>
      </c>
      <c r="B4582" s="241"/>
      <c r="C4582" s="1181">
        <v>98557</v>
      </c>
      <c r="D4582" s="161" t="str">
        <f>IF(B4582="SEPLAG",VLOOKUP(COMPOSIÇÕES!C4582,'MAPA COMPARATIVO'!A:B,2,FALSE),VLOOKUP(C4582,'NAO DESO'!A:B,2,0))</f>
        <v>IMPERMEABILIZAÇÃO DE SUPERFÍCIE COM EMULSÃO ASFÁLTICA, 2 DEMÃOS AF_06/2018</v>
      </c>
      <c r="E4582" s="241" t="str">
        <f>VLOOKUP($C4582,'NAO DESO'!$A:$D,3,)</f>
        <v>M2</v>
      </c>
      <c r="F4582" s="242">
        <f>F4577</f>
        <v>9.36</v>
      </c>
      <c r="G4582" s="242" t="str">
        <f>IF(B4582="SEPLAG",VLOOKUP(CONCATENATE("MEDIANA - ",C4582),COTAÇÃO,5,FALSE),VLOOKUP($C4582,'NAO DESO'!$A:$D,4,))</f>
        <v>58,82</v>
      </c>
      <c r="H4582" s="242">
        <f t="shared" si="252"/>
        <v>550.54999999999995</v>
      </c>
      <c r="I4582" s="54" t="str">
        <f>IF(B4582="SEPLAG",VLOOKUP(CONCATENATE("MEDIANA - ",C4582),COTAÇÃO,5,FALSE),VLOOKUP($C4582,DESON!$A:$D,4,))</f>
        <v>57,84</v>
      </c>
      <c r="J4582" s="209">
        <f t="shared" si="253"/>
        <v>541.38</v>
      </c>
    </row>
    <row r="4583" spans="1:10" ht="26.25" customHeight="1">
      <c r="A4583" s="208" t="s">
        <v>245</v>
      </c>
      <c r="B4583" s="241"/>
      <c r="C4583" s="1181">
        <v>11301</v>
      </c>
      <c r="D4583" s="161" t="str">
        <f>IF(B4583="SEPLAG",VLOOKUP(COMPOSIÇÕES!C4583,'MAPA COMPARATIVO'!A:B,2,FALSE),VLOOKUP(C4583,'NAO DESO'!A:B,2,0))</f>
        <v>TAMPAO FOFO ARTICULADO, CLASSE B125 CARGA MAX 12,5 T, REDONDO, TAMPA 600 MM (COM INSCRICAO EM RELEVO DO TIPO DE REDE)</v>
      </c>
      <c r="E4583" s="241" t="str">
        <f>VLOOKUP($C4583,'NAO DESO'!$A:$D,3,)</f>
        <v xml:space="preserve">UN    </v>
      </c>
      <c r="F4583" s="242">
        <v>1</v>
      </c>
      <c r="G4583" s="242">
        <f>IF(B4583="SEPLAG",VLOOKUP(CONCATENATE("MEDIANA - ",C4583),COTAÇÃO,5,FALSE),VLOOKUP($C4583,'NAO DESO'!$A:$D,4,))</f>
        <v>660.46</v>
      </c>
      <c r="H4583" s="242">
        <f t="shared" si="252"/>
        <v>660.46</v>
      </c>
      <c r="I4583" s="54" t="str">
        <f>IF(B4583="SEPLAG",VLOOKUP(CONCATENATE("MEDIANA - ",C4583),COTAÇÃO,5,FALSE),VLOOKUP($C4583,DESON!$A:$D,4,))</f>
        <v>660,46</v>
      </c>
      <c r="J4583" s="209">
        <f t="shared" si="253"/>
        <v>660.46</v>
      </c>
    </row>
    <row r="4584" spans="1:10" ht="39" customHeight="1">
      <c r="A4584" s="208" t="s">
        <v>245</v>
      </c>
      <c r="B4584" s="241"/>
      <c r="C4584" s="1181">
        <v>92775</v>
      </c>
      <c r="D4584" s="161" t="str">
        <f>IF(B4584="SEPLAG",VLOOKUP(COMPOSIÇÕES!C4584,'MAPA COMPARATIVO'!A:B,2,FALSE),VLOOKUP(C4584,'NAO DESO'!A:B,2,0))</f>
        <v>ARMAÇÃO DE PILAR OU VIGA DE UMA ESTRUTURA CONVENCIONAL DE CONCRETO ARMADO EM UMA EDIFICAÇÃO TÉRREA OU SOBRADO UTILIZANDO AÇO CA-60 DE 5,0 MM - MONTAGEM. AF_12/2015</v>
      </c>
      <c r="E4584" s="241" t="str">
        <f>VLOOKUP($C4584,'NAO DESO'!$A:$D,3,)</f>
        <v>KG</v>
      </c>
      <c r="F4584" s="242">
        <v>1.66</v>
      </c>
      <c r="G4584" s="242" t="str">
        <f>IF(B4584="SEPLAG",VLOOKUP(CONCATENATE("MEDIANA - ",C4584),COTAÇÃO,5,FALSE),VLOOKUP($C4584,'NAO DESO'!$A:$D,4,))</f>
        <v>18,46</v>
      </c>
      <c r="H4584" s="242">
        <f t="shared" si="252"/>
        <v>30.64</v>
      </c>
      <c r="I4584" s="54" t="str">
        <f>IF(B4584="SEPLAG",VLOOKUP(CONCATENATE("MEDIANA - ",C4584),COTAÇÃO,5,FALSE),VLOOKUP($C4584,DESON!$A:$D,4,))</f>
        <v>17,71</v>
      </c>
      <c r="J4584" s="209">
        <f t="shared" si="253"/>
        <v>29.39</v>
      </c>
    </row>
    <row r="4585" spans="1:10" ht="39" customHeight="1">
      <c r="A4585" s="208" t="s">
        <v>245</v>
      </c>
      <c r="B4585" s="241"/>
      <c r="C4585" s="1181">
        <v>92778</v>
      </c>
      <c r="D4585" s="161" t="str">
        <f>IF(B4585="SEPLAG",VLOOKUP(COMPOSIÇÕES!C4585,'MAPA COMPARATIVO'!A:B,2,FALSE),VLOOKUP(C4585,'NAO DESO'!A:B,2,0))</f>
        <v>ARMAÇÃO DE PILAR OU VIGA DE UMA ESTRUTURA CONVENCIONAL DE CONCRETO ARMADO EM UMA EDIFICAÇÃO TÉRREA OU SOBRADO UTILIZANDO AÇO CA-50 DE 10,0 MM - MONTAGEM. AF_12/2015</v>
      </c>
      <c r="E4585" s="241" t="str">
        <f>VLOOKUP($C4585,'NAO DESO'!$A:$D,3,)</f>
        <v>KG</v>
      </c>
      <c r="F4585" s="242">
        <v>8.8800000000000008</v>
      </c>
      <c r="G4585" s="242" t="str">
        <f>IF(B4585="SEPLAG",VLOOKUP(CONCATENATE("MEDIANA - ",C4585),COTAÇÃO,5,FALSE),VLOOKUP($C4585,'NAO DESO'!$A:$D,4,))</f>
        <v>14,78</v>
      </c>
      <c r="H4585" s="242">
        <f t="shared" si="252"/>
        <v>131.24</v>
      </c>
      <c r="I4585" s="54" t="str">
        <f>IF(B4585="SEPLAG",VLOOKUP(CONCATENATE("MEDIANA - ",C4585),COTAÇÃO,5,FALSE),VLOOKUP($C4585,DESON!$A:$D,4,))</f>
        <v>14,50</v>
      </c>
      <c r="J4585" s="209">
        <f t="shared" si="253"/>
        <v>128.76</v>
      </c>
    </row>
    <row r="4586" spans="1:10" ht="39" customHeight="1">
      <c r="A4586" s="208" t="s">
        <v>245</v>
      </c>
      <c r="B4586" s="241"/>
      <c r="C4586" s="1181">
        <v>92423</v>
      </c>
      <c r="D4586" s="161" t="str">
        <f>IF(B4586="SEPLAG",VLOOKUP(COMPOSIÇÕES!C4586,'MAPA COMPARATIVO'!A:B,2,FALSE),VLOOKUP(C4586,'NAO DESO'!A:B,2,0))</f>
        <v>MONTAGEM E DESMONTAGEM DE FÔRMA DE PILARES RETANGULARES E ESTRUTURAS SIMILARES, PÉ-DIREITO SIMPLES, EM CHAPA DE MADEIRA COMPENSADA RESINADA, 6 UTILIZAÇÕES. AF_09/2020</v>
      </c>
      <c r="E4586" s="241" t="str">
        <f>VLOOKUP($C4586,'NAO DESO'!$A:$D,3,)</f>
        <v>M2</v>
      </c>
      <c r="F4586" s="242">
        <v>1.08</v>
      </c>
      <c r="G4586" s="242" t="str">
        <f>IF(B4586="SEPLAG",VLOOKUP(CONCATENATE("MEDIANA - ",C4586),COTAÇÃO,5,FALSE),VLOOKUP($C4586,'NAO DESO'!$A:$D,4,))</f>
        <v>67,90</v>
      </c>
      <c r="H4586" s="242">
        <f t="shared" si="252"/>
        <v>73.33</v>
      </c>
      <c r="I4586" s="54" t="str">
        <f>IF(B4586="SEPLAG",VLOOKUP(CONCATENATE("MEDIANA - ",C4586),COTAÇÃO,5,FALSE),VLOOKUP($C4586,DESON!$A:$D,4,))</f>
        <v>65,30</v>
      </c>
      <c r="J4586" s="209">
        <f t="shared" si="253"/>
        <v>70.52</v>
      </c>
    </row>
    <row r="4587" spans="1:10" ht="15" customHeight="1">
      <c r="A4587" s="208" t="s">
        <v>245</v>
      </c>
      <c r="B4587" s="241"/>
      <c r="C4587" s="1181">
        <v>88309</v>
      </c>
      <c r="D4587" s="161" t="str">
        <f>IF(B4587="SEPLAG",VLOOKUP(COMPOSIÇÕES!C4587,'MAPA COMPARATIVO'!A:B,2,FALSE),VLOOKUP(C4587,'NAO DESO'!A:B,2,0))</f>
        <v>PEDREIRO COM ENCARGOS COMPLEMENTARES</v>
      </c>
      <c r="E4587" s="241" t="str">
        <f>VLOOKUP($C4587,'NAO DESO'!$A:$D,3,)</f>
        <v>H</v>
      </c>
      <c r="F4587" s="242">
        <v>1</v>
      </c>
      <c r="G4587" s="242" t="str">
        <f>IF(B4587="SEPLAG",VLOOKUP(CONCATENATE("MEDIANA - ",C4587),COTAÇÃO,5,FALSE),VLOOKUP($C4587,'NAO DESO'!$A:$D,4,))</f>
        <v>21,10</v>
      </c>
      <c r="H4587" s="242">
        <f t="shared" si="252"/>
        <v>21.1</v>
      </c>
      <c r="I4587" s="54" t="str">
        <f>IF(B4587="SEPLAG",VLOOKUP(CONCATENATE("MEDIANA - ",C4587),COTAÇÃO,5,FALSE),VLOOKUP($C4587,DESON!$A:$D,4,))</f>
        <v>18,86</v>
      </c>
      <c r="J4587" s="209">
        <f t="shared" si="253"/>
        <v>18.86</v>
      </c>
    </row>
    <row r="4588" spans="1:10" ht="15" customHeight="1">
      <c r="A4588" s="208" t="s">
        <v>245</v>
      </c>
      <c r="B4588" s="241"/>
      <c r="C4588" s="1181">
        <v>88316</v>
      </c>
      <c r="D4588" s="161" t="str">
        <f>IF(B4588="SEPLAG",VLOOKUP(COMPOSIÇÕES!C4588,'MAPA COMPARATIVO'!A:B,2,FALSE),VLOOKUP(C4588,'NAO DESO'!A:B,2,0))</f>
        <v>SERVENTE COM ENCARGOS COMPLEMENTARES</v>
      </c>
      <c r="E4588" s="241" t="str">
        <f>VLOOKUP($C4588,'NAO DESO'!$A:$D,3,)</f>
        <v>H</v>
      </c>
      <c r="F4588" s="242">
        <v>1</v>
      </c>
      <c r="G4588" s="242" t="str">
        <f>IF(B4588="SEPLAG",VLOOKUP(CONCATENATE("MEDIANA - ",C4588),COTAÇÃO,5,FALSE),VLOOKUP($C4588,'NAO DESO'!$A:$D,4,))</f>
        <v>16,83</v>
      </c>
      <c r="H4588" s="242">
        <f t="shared" si="252"/>
        <v>16.829999999999998</v>
      </c>
      <c r="I4588" s="54" t="str">
        <f>IF(B4588="SEPLAG",VLOOKUP(CONCATENATE("MEDIANA - ",C4588),COTAÇÃO,5,FALSE),VLOOKUP($C4588,DESON!$A:$D,4,))</f>
        <v>15,16</v>
      </c>
      <c r="J4588" s="209">
        <f t="shared" si="253"/>
        <v>15.16</v>
      </c>
    </row>
    <row r="4589" spans="1:10" ht="15" customHeight="1">
      <c r="A4589" s="210" t="str">
        <f>CONCATENATE("TOTAL DO ITEM NÃO DESON. - ",C4573)</f>
        <v>TOTAL DO ITEM NÃO DESON. - SEPLAG HIDR 30</v>
      </c>
      <c r="B4589" s="430"/>
      <c r="C4589" s="430"/>
      <c r="D4589" s="430"/>
      <c r="E4589" s="430"/>
      <c r="F4589" s="1180"/>
      <c r="G4589" s="1180"/>
      <c r="H4589" s="1182">
        <f>SUM(H4576:H4588)</f>
        <v>2417.1999999999994</v>
      </c>
      <c r="I4589" s="231"/>
      <c r="J4589" s="215"/>
    </row>
    <row r="4590" spans="1:10" ht="15.75" customHeight="1" thickBot="1">
      <c r="A4590" s="216" t="str">
        <f>CONCATENATE("TOTAL DO ITEM DESON. - ",C4573)</f>
        <v>TOTAL DO ITEM DESON. - SEPLAG HIDR 30</v>
      </c>
      <c r="B4590" s="1142"/>
      <c r="C4590" s="1142"/>
      <c r="D4590" s="1142"/>
      <c r="E4590" s="1142"/>
      <c r="F4590" s="1211"/>
      <c r="G4590" s="1211"/>
      <c r="H4590" s="1187"/>
      <c r="I4590" s="260"/>
      <c r="J4590" s="219">
        <f>SUM(J4576:J4588)</f>
        <v>2344.16</v>
      </c>
    </row>
    <row r="4591" spans="1:10" ht="15" customHeight="1" thickBot="1">
      <c r="A4591" s="421"/>
      <c r="B4591" s="1138"/>
      <c r="C4591" s="1138"/>
      <c r="D4591" s="1138"/>
      <c r="E4591" s="1154"/>
      <c r="F4591" s="1196"/>
      <c r="G4591" s="1196"/>
      <c r="H4591" s="1196"/>
      <c r="I4591" s="422"/>
      <c r="J4591" s="422"/>
    </row>
    <row r="4592" spans="1:10" ht="38.25" customHeight="1">
      <c r="A4592" s="473" t="s">
        <v>421</v>
      </c>
      <c r="B4592" s="1234"/>
      <c r="C4592" s="1176" t="s">
        <v>7502</v>
      </c>
      <c r="D4592" s="156" t="s">
        <v>27960</v>
      </c>
      <c r="E4592" s="1176" t="s">
        <v>24</v>
      </c>
      <c r="F4592" s="1177" t="s">
        <v>18</v>
      </c>
      <c r="G4592" s="1178" t="s">
        <v>7015</v>
      </c>
      <c r="H4592" s="1179"/>
      <c r="I4592" s="200" t="s">
        <v>7016</v>
      </c>
      <c r="J4592" s="201"/>
    </row>
    <row r="4593" spans="1:10" ht="15" customHeight="1">
      <c r="A4593" s="257"/>
      <c r="B4593" s="430"/>
      <c r="C4593" s="1155"/>
      <c r="D4593" s="157"/>
      <c r="E4593" s="1155"/>
      <c r="F4593" s="1180"/>
      <c r="G4593" s="1180" t="s">
        <v>19</v>
      </c>
      <c r="H4593" s="1180" t="s">
        <v>20</v>
      </c>
      <c r="I4593" s="204" t="s">
        <v>19</v>
      </c>
      <c r="J4593" s="206" t="s">
        <v>20</v>
      </c>
    </row>
    <row r="4594" spans="1:10" ht="15" customHeight="1">
      <c r="A4594" s="258"/>
      <c r="B4594" s="1155"/>
      <c r="C4594" s="1155"/>
      <c r="D4594" s="157"/>
      <c r="E4594" s="1155"/>
      <c r="F4594" s="1180"/>
      <c r="G4594" s="1180"/>
      <c r="H4594" s="1180"/>
      <c r="I4594" s="238"/>
      <c r="J4594" s="259"/>
    </row>
    <row r="4595" spans="1:10" ht="39" customHeight="1">
      <c r="A4595" s="208" t="s">
        <v>245</v>
      </c>
      <c r="B4595" s="241"/>
      <c r="C4595" s="1181">
        <v>101159</v>
      </c>
      <c r="D4595" s="161" t="str">
        <f>IF(B4595="SEPLAG",VLOOKUP(COMPOSIÇÕES!C4595,'MAPA COMPARATIVO'!A:B,2,FALSE),VLOOKUP(C4595,'NAO DESO'!A:B,2,0))</f>
        <v>ALVENARIA DE VEDAÇÃO DE BLOCOS CERÂMICOS MACIÇOS DE 5X10X20CM (ESPESSURA 10CM) E ARGAMASSA DE ASSENTAMENTO COM PREPARO EM BETONEIRA. AF_05/2020</v>
      </c>
      <c r="E4595" s="241" t="str">
        <f>VLOOKUP($C4595,'NAO DESO'!$A:$D,3,)</f>
        <v>M2</v>
      </c>
      <c r="F4595" s="242">
        <v>3.06</v>
      </c>
      <c r="G4595" s="242" t="str">
        <f>IF(B4595="SEPLAG",VLOOKUP(CONCATENATE("MEDIANA - ",C4595),COTAÇÃO,5,FALSE),VLOOKUP($C4595,'NAO DESO'!$A:$D,4,))</f>
        <v>126,63</v>
      </c>
      <c r="H4595" s="242">
        <f t="shared" ref="H4595:H4607" si="254">TRUNC(F4595*G4595,2)</f>
        <v>387.48</v>
      </c>
      <c r="I4595" s="54" t="str">
        <f>IF(B4595="SEPLAG",VLOOKUP(CONCATENATE("MEDIANA - ",C4595),COTAÇÃO,5,FALSE),VLOOKUP($C4595,DESON!$A:$D,4,))</f>
        <v>120,46</v>
      </c>
      <c r="J4595" s="209">
        <f t="shared" ref="J4595:J4607" si="255">TRUNC(F4595*I4595,2)</f>
        <v>368.6</v>
      </c>
    </row>
    <row r="4596" spans="1:10" ht="64.5" customHeight="1">
      <c r="A4596" s="208" t="s">
        <v>245</v>
      </c>
      <c r="B4596" s="241"/>
      <c r="C4596" s="1181">
        <v>87543</v>
      </c>
      <c r="D4596" s="161" t="str">
        <f>IF(B4596="SEPLAG",VLOOKUP(COMPOSIÇÕES!C4596,'MAPA COMPARATIVO'!A:B,2,FALSE),VLOOKUP(C4596,'NAO DESO'!A:B,2,0))</f>
        <v>MASSA ÚNICA, PARA RECEBIMENTO DE PINTURA OU CERÂMICA, ARGAMASSA INDUSTRIALIZADA, PREPARO MECÂNICO, APLICADO COM EQUIPAMENTO DE MISTURA E PROJEÇÃO DE 1,5 M3/H EM FACES INTERNAS DE PAREDES, ESPESSURA DE 5MM, SEM EXECUÇÃO DE TALISCAS. AF_06/2014</v>
      </c>
      <c r="E4596" s="241" t="str">
        <f>VLOOKUP($C4596,'NAO DESO'!$A:$D,3,)</f>
        <v>M2</v>
      </c>
      <c r="F4596" s="242">
        <v>9.7200000000000006</v>
      </c>
      <c r="G4596" s="242" t="str">
        <f>IF(B4596="SEPLAG",VLOOKUP(CONCATENATE("MEDIANA - ",C4596),COTAÇÃO,5,FALSE),VLOOKUP($C4596,'NAO DESO'!$A:$D,4,))</f>
        <v>24,40</v>
      </c>
      <c r="H4596" s="242">
        <f t="shared" si="254"/>
        <v>237.16</v>
      </c>
      <c r="I4596" s="54" t="str">
        <f>IF(B4596="SEPLAG",VLOOKUP(CONCATENATE("MEDIANA - ",C4596),COTAÇÃO,5,FALSE),VLOOKUP($C4596,DESON!$A:$D,4,))</f>
        <v>23,82</v>
      </c>
      <c r="J4596" s="209">
        <f t="shared" si="255"/>
        <v>231.53</v>
      </c>
    </row>
    <row r="4597" spans="1:10" ht="39" customHeight="1">
      <c r="A4597" s="208" t="s">
        <v>245</v>
      </c>
      <c r="B4597" s="241"/>
      <c r="C4597" s="1181">
        <v>94970</v>
      </c>
      <c r="D4597" s="161" t="str">
        <f>IF(B4597="SEPLAG",VLOOKUP(COMPOSIÇÕES!C4597,'MAPA COMPARATIVO'!A:B,2,FALSE),VLOOKUP(C4597,'NAO DESO'!A:B,2,0))</f>
        <v>CONCRETO FCK = 20MPA, TRAÇO 1:2,7:3 (EM MASSA SECA DE CIMENTO/ AREIA MÉDIA/ BRITA 1) - PREPARO MECÂNICO COM BETONEIRA 600 L. AF_05/2021</v>
      </c>
      <c r="E4597" s="241" t="str">
        <f>VLOOKUP($C4597,'NAO DESO'!$A:$D,3,)</f>
        <v>M3</v>
      </c>
      <c r="F4597" s="242">
        <v>0.1</v>
      </c>
      <c r="G4597" s="242" t="str">
        <f>IF(B4597="SEPLAG",VLOOKUP(CONCATENATE("MEDIANA - ",C4597),COTAÇÃO,5,FALSE),VLOOKUP($C4597,'NAO DESO'!$A:$D,4,))</f>
        <v>405,57</v>
      </c>
      <c r="H4597" s="242">
        <f t="shared" si="254"/>
        <v>40.549999999999997</v>
      </c>
      <c r="I4597" s="54" t="str">
        <f>IF(B4597="SEPLAG",VLOOKUP(CONCATENATE("MEDIANA - ",C4597),COTAÇÃO,5,FALSE),VLOOKUP($C4597,DESON!$A:$D,4,))</f>
        <v>400,17</v>
      </c>
      <c r="J4597" s="209">
        <f t="shared" si="255"/>
        <v>40.01</v>
      </c>
    </row>
    <row r="4598" spans="1:10" ht="26.25" customHeight="1">
      <c r="A4598" s="208" t="s">
        <v>245</v>
      </c>
      <c r="B4598" s="241"/>
      <c r="C4598" s="1181">
        <v>93358</v>
      </c>
      <c r="D4598" s="161" t="str">
        <f>IF(B4598="SEPLAG",VLOOKUP(COMPOSIÇÕES!C4598,'MAPA COMPARATIVO'!A:B,2,FALSE),VLOOKUP(C4598,'NAO DESO'!A:B,2,0))</f>
        <v>ESCAVAÇÃO MANUAL DE VALA COM PROFUNDIDADE MENOR OU IGUAL A 1,30 M. AF_02/2021</v>
      </c>
      <c r="E4598" s="241" t="str">
        <f>VLOOKUP($C4598,'NAO DESO'!$A:$D,3,)</f>
        <v>M3</v>
      </c>
      <c r="F4598" s="242">
        <v>3.24</v>
      </c>
      <c r="G4598" s="242" t="str">
        <f>IF(B4598="SEPLAG",VLOOKUP(CONCATENATE("MEDIANA - ",C4598),COTAÇÃO,5,FALSE),VLOOKUP($C4598,'NAO DESO'!$A:$D,4,))</f>
        <v>66,57</v>
      </c>
      <c r="H4598" s="242">
        <f t="shared" si="254"/>
        <v>215.68</v>
      </c>
      <c r="I4598" s="54" t="str">
        <f>IF(B4598="SEPLAG",VLOOKUP(CONCATENATE("MEDIANA - ",C4598),COTAÇÃO,5,FALSE),VLOOKUP($C4598,DESON!$A:$D,4,))</f>
        <v>59,97</v>
      </c>
      <c r="J4598" s="209">
        <f t="shared" si="255"/>
        <v>194.3</v>
      </c>
    </row>
    <row r="4599" spans="1:10" ht="26.25" customHeight="1">
      <c r="A4599" s="208" t="s">
        <v>245</v>
      </c>
      <c r="B4599" s="241"/>
      <c r="C4599" s="1181">
        <v>101617</v>
      </c>
      <c r="D4599" s="161" t="str">
        <f>IF(B4599="SEPLAG",VLOOKUP(COMPOSIÇÕES!C4599,'MAPA COMPARATIVO'!A:B,2,FALSE),VLOOKUP(C4599,'NAO DESO'!A:B,2,0))</f>
        <v>PREPARO DE FUNDO DE VALA COM LARGURA MAIOR OU IGUAL A 1,5 M E MENOR QUE 2,5 M (ACERTO DO SOLO NATURAL). AF_08/2020</v>
      </c>
      <c r="E4599" s="241" t="str">
        <f>VLOOKUP($C4599,'NAO DESO'!$A:$D,3,)</f>
        <v>M2</v>
      </c>
      <c r="F4599" s="242">
        <v>1</v>
      </c>
      <c r="G4599" s="242" t="str">
        <f>IF(B4599="SEPLAG",VLOOKUP(CONCATENATE("MEDIANA - ",C4599),COTAÇÃO,5,FALSE),VLOOKUP($C4599,'NAO DESO'!$A:$D,4,))</f>
        <v>2,38</v>
      </c>
      <c r="H4599" s="242">
        <f t="shared" si="254"/>
        <v>2.38</v>
      </c>
      <c r="I4599" s="54" t="str">
        <f>IF(B4599="SEPLAG",VLOOKUP(CONCATENATE("MEDIANA - ",C4599),COTAÇÃO,5,FALSE),VLOOKUP($C4599,DESON!$A:$D,4,))</f>
        <v>2,15</v>
      </c>
      <c r="J4599" s="209">
        <f t="shared" si="255"/>
        <v>2.15</v>
      </c>
    </row>
    <row r="4600" spans="1:10" ht="15" customHeight="1">
      <c r="A4600" s="208" t="s">
        <v>245</v>
      </c>
      <c r="B4600" s="241"/>
      <c r="C4600" s="1181">
        <v>96995</v>
      </c>
      <c r="D4600" s="161" t="str">
        <f>IF(B4600="SEPLAG",VLOOKUP(COMPOSIÇÕES!C4600,'MAPA COMPARATIVO'!A:B,2,FALSE),VLOOKUP(C4600,'NAO DESO'!A:B,2,0))</f>
        <v>REATERRO MANUAL APILOADO COM SOQUETE. AF_10/2017</v>
      </c>
      <c r="E4600" s="241" t="str">
        <f>VLOOKUP($C4600,'NAO DESO'!$A:$D,3,)</f>
        <v>M3</v>
      </c>
      <c r="F4600" s="242">
        <v>2.39</v>
      </c>
      <c r="G4600" s="242" t="str">
        <f>IF(B4600="SEPLAG",VLOOKUP(CONCATENATE("MEDIANA - ",C4600),COTAÇÃO,5,FALSE),VLOOKUP($C4600,'NAO DESO'!$A:$D,4,))</f>
        <v>40,36</v>
      </c>
      <c r="H4600" s="242">
        <f t="shared" si="254"/>
        <v>96.46</v>
      </c>
      <c r="I4600" s="54" t="str">
        <f>IF(B4600="SEPLAG",VLOOKUP(CONCATENATE("MEDIANA - ",C4600),COTAÇÃO,5,FALSE),VLOOKUP($C4600,DESON!$A:$D,4,))</f>
        <v>36,36</v>
      </c>
      <c r="J4600" s="209">
        <f t="shared" si="255"/>
        <v>86.9</v>
      </c>
    </row>
    <row r="4601" spans="1:10" ht="26.25" customHeight="1">
      <c r="A4601" s="208" t="s">
        <v>245</v>
      </c>
      <c r="B4601" s="241"/>
      <c r="C4601" s="1181">
        <v>98557</v>
      </c>
      <c r="D4601" s="161" t="str">
        <f>IF(B4601="SEPLAG",VLOOKUP(COMPOSIÇÕES!C4601,'MAPA COMPARATIVO'!A:B,2,FALSE),VLOOKUP(C4601,'NAO DESO'!A:B,2,0))</f>
        <v>IMPERMEABILIZAÇÃO DE SUPERFÍCIE COM EMULSÃO ASFÁLTICA, 2 DEMÃOS AF_06/2018</v>
      </c>
      <c r="E4601" s="241" t="str">
        <f>VLOOKUP($C4601,'NAO DESO'!$A:$D,3,)</f>
        <v>M2</v>
      </c>
      <c r="F4601" s="242">
        <f>F4596</f>
        <v>9.7200000000000006</v>
      </c>
      <c r="G4601" s="242" t="str">
        <f>IF(B4601="SEPLAG",VLOOKUP(CONCATENATE("MEDIANA - ",C4601),COTAÇÃO,5,FALSE),VLOOKUP($C4601,'NAO DESO'!$A:$D,4,))</f>
        <v>58,82</v>
      </c>
      <c r="H4601" s="242">
        <f t="shared" si="254"/>
        <v>571.73</v>
      </c>
      <c r="I4601" s="54" t="str">
        <f>IF(B4601="SEPLAG",VLOOKUP(CONCATENATE("MEDIANA - ",C4601),COTAÇÃO,5,FALSE),VLOOKUP($C4601,DESON!$A:$D,4,))</f>
        <v>57,84</v>
      </c>
      <c r="J4601" s="209">
        <f t="shared" si="255"/>
        <v>562.20000000000005</v>
      </c>
    </row>
    <row r="4602" spans="1:10" ht="26.25" customHeight="1">
      <c r="A4602" s="208" t="s">
        <v>245</v>
      </c>
      <c r="B4602" s="241"/>
      <c r="C4602" s="1181">
        <v>11301</v>
      </c>
      <c r="D4602" s="161" t="str">
        <f>IF(B4602="SEPLAG",VLOOKUP(COMPOSIÇÕES!C4602,'MAPA COMPARATIVO'!A:B,2,FALSE),VLOOKUP(C4602,'NAO DESO'!A:B,2,0))</f>
        <v>TAMPAO FOFO ARTICULADO, CLASSE B125 CARGA MAX 12,5 T, REDONDO, TAMPA 600 MM (COM INSCRICAO EM RELEVO DO TIPO DE REDE)</v>
      </c>
      <c r="E4602" s="241" t="str">
        <f>VLOOKUP($C4602,'NAO DESO'!$A:$D,3,)</f>
        <v xml:space="preserve">UN    </v>
      </c>
      <c r="F4602" s="242">
        <v>1</v>
      </c>
      <c r="G4602" s="242">
        <f>IF(B4602="SEPLAG",VLOOKUP(CONCATENATE("MEDIANA - ",C4602),COTAÇÃO,5,FALSE),VLOOKUP($C4602,'NAO DESO'!$A:$D,4,))</f>
        <v>660.46</v>
      </c>
      <c r="H4602" s="242">
        <f t="shared" si="254"/>
        <v>660.46</v>
      </c>
      <c r="I4602" s="54" t="str">
        <f>IF(B4602="SEPLAG",VLOOKUP(CONCATENATE("MEDIANA - ",C4602),COTAÇÃO,5,FALSE),VLOOKUP($C4602,DESON!$A:$D,4,))</f>
        <v>660,46</v>
      </c>
      <c r="J4602" s="209">
        <f t="shared" si="255"/>
        <v>660.46</v>
      </c>
    </row>
    <row r="4603" spans="1:10" ht="39" customHeight="1">
      <c r="A4603" s="208" t="s">
        <v>245</v>
      </c>
      <c r="B4603" s="241"/>
      <c r="C4603" s="1181">
        <v>92775</v>
      </c>
      <c r="D4603" s="161" t="str">
        <f>IF(B4603="SEPLAG",VLOOKUP(COMPOSIÇÕES!C4603,'MAPA COMPARATIVO'!A:B,2,FALSE),VLOOKUP(C4603,'NAO DESO'!A:B,2,0))</f>
        <v>ARMAÇÃO DE PILAR OU VIGA DE UMA ESTRUTURA CONVENCIONAL DE CONCRETO ARMADO EM UMA EDIFICAÇÃO TÉRREA OU SOBRADO UTILIZANDO AÇO CA-60 DE 5,0 MM - MONTAGEM. AF_12/2015</v>
      </c>
      <c r="E4603" s="241" t="str">
        <f>VLOOKUP($C4603,'NAO DESO'!$A:$D,3,)</f>
        <v>KG</v>
      </c>
      <c r="F4603" s="242">
        <v>1.66</v>
      </c>
      <c r="G4603" s="242" t="str">
        <f>IF(B4603="SEPLAG",VLOOKUP(CONCATENATE("MEDIANA - ",C4603),COTAÇÃO,5,FALSE),VLOOKUP($C4603,'NAO DESO'!$A:$D,4,))</f>
        <v>18,46</v>
      </c>
      <c r="H4603" s="242">
        <f t="shared" si="254"/>
        <v>30.64</v>
      </c>
      <c r="I4603" s="54" t="str">
        <f>IF(B4603="SEPLAG",VLOOKUP(CONCATENATE("MEDIANA - ",C4603),COTAÇÃO,5,FALSE),VLOOKUP($C4603,DESON!$A:$D,4,))</f>
        <v>17,71</v>
      </c>
      <c r="J4603" s="209">
        <f t="shared" si="255"/>
        <v>29.39</v>
      </c>
    </row>
    <row r="4604" spans="1:10" ht="39" customHeight="1">
      <c r="A4604" s="208" t="s">
        <v>245</v>
      </c>
      <c r="B4604" s="241"/>
      <c r="C4604" s="1181">
        <v>92778</v>
      </c>
      <c r="D4604" s="161" t="str">
        <f>IF(B4604="SEPLAG",VLOOKUP(COMPOSIÇÕES!C4604,'MAPA COMPARATIVO'!A:B,2,FALSE),VLOOKUP(C4604,'NAO DESO'!A:B,2,0))</f>
        <v>ARMAÇÃO DE PILAR OU VIGA DE UMA ESTRUTURA CONVENCIONAL DE CONCRETO ARMADO EM UMA EDIFICAÇÃO TÉRREA OU SOBRADO UTILIZANDO AÇO CA-50 DE 10,0 MM - MONTAGEM. AF_12/2015</v>
      </c>
      <c r="E4604" s="241" t="str">
        <f>VLOOKUP($C4604,'NAO DESO'!$A:$D,3,)</f>
        <v>KG</v>
      </c>
      <c r="F4604" s="242">
        <v>8.8800000000000008</v>
      </c>
      <c r="G4604" s="242" t="str">
        <f>IF(B4604="SEPLAG",VLOOKUP(CONCATENATE("MEDIANA - ",C4604),COTAÇÃO,5,FALSE),VLOOKUP($C4604,'NAO DESO'!$A:$D,4,))</f>
        <v>14,78</v>
      </c>
      <c r="H4604" s="242">
        <f t="shared" si="254"/>
        <v>131.24</v>
      </c>
      <c r="I4604" s="54" t="str">
        <f>IF(B4604="SEPLAG",VLOOKUP(CONCATENATE("MEDIANA - ",C4604),COTAÇÃO,5,FALSE),VLOOKUP($C4604,DESON!$A:$D,4,))</f>
        <v>14,50</v>
      </c>
      <c r="J4604" s="209">
        <f t="shared" si="255"/>
        <v>128.76</v>
      </c>
    </row>
    <row r="4605" spans="1:10" ht="39" customHeight="1">
      <c r="A4605" s="208" t="s">
        <v>245</v>
      </c>
      <c r="B4605" s="241"/>
      <c r="C4605" s="1181">
        <v>92423</v>
      </c>
      <c r="D4605" s="161" t="str">
        <f>IF(B4605="SEPLAG",VLOOKUP(COMPOSIÇÕES!C4605,'MAPA COMPARATIVO'!A:B,2,FALSE),VLOOKUP(C4605,'NAO DESO'!A:B,2,0))</f>
        <v>MONTAGEM E DESMONTAGEM DE FÔRMA DE PILARES RETANGULARES E ESTRUTURAS SIMILARES, PÉ-DIREITO SIMPLES, EM CHAPA DE MADEIRA COMPENSADA RESINADA, 6 UTILIZAÇÕES. AF_09/2020</v>
      </c>
      <c r="E4605" s="241" t="str">
        <f>VLOOKUP($C4605,'NAO DESO'!$A:$D,3,)</f>
        <v>M2</v>
      </c>
      <c r="F4605" s="242">
        <v>1.08</v>
      </c>
      <c r="G4605" s="242" t="str">
        <f>IF(B4605="SEPLAG",VLOOKUP(CONCATENATE("MEDIANA - ",C4605),COTAÇÃO,5,FALSE),VLOOKUP($C4605,'NAO DESO'!$A:$D,4,))</f>
        <v>67,90</v>
      </c>
      <c r="H4605" s="242">
        <f t="shared" si="254"/>
        <v>73.33</v>
      </c>
      <c r="I4605" s="54" t="str">
        <f>IF(B4605="SEPLAG",VLOOKUP(CONCATENATE("MEDIANA - ",C4605),COTAÇÃO,5,FALSE),VLOOKUP($C4605,DESON!$A:$D,4,))</f>
        <v>65,30</v>
      </c>
      <c r="J4605" s="209">
        <f t="shared" si="255"/>
        <v>70.52</v>
      </c>
    </row>
    <row r="4606" spans="1:10" ht="15" customHeight="1">
      <c r="A4606" s="208" t="s">
        <v>245</v>
      </c>
      <c r="B4606" s="241"/>
      <c r="C4606" s="1181">
        <v>88309</v>
      </c>
      <c r="D4606" s="161" t="str">
        <f>IF(B4606="SEPLAG",VLOOKUP(COMPOSIÇÕES!C4606,'MAPA COMPARATIVO'!A:B,2,FALSE),VLOOKUP(C4606,'NAO DESO'!A:B,2,0))</f>
        <v>PEDREIRO COM ENCARGOS COMPLEMENTARES</v>
      </c>
      <c r="E4606" s="241" t="str">
        <f>VLOOKUP($C4606,'NAO DESO'!$A:$D,3,)</f>
        <v>H</v>
      </c>
      <c r="F4606" s="242">
        <v>1</v>
      </c>
      <c r="G4606" s="242" t="str">
        <f>IF(B4606="SEPLAG",VLOOKUP(CONCATENATE("MEDIANA - ",C4606),COTAÇÃO,5,FALSE),VLOOKUP($C4606,'NAO DESO'!$A:$D,4,))</f>
        <v>21,10</v>
      </c>
      <c r="H4606" s="242">
        <f t="shared" si="254"/>
        <v>21.1</v>
      </c>
      <c r="I4606" s="54" t="str">
        <f>IF(B4606="SEPLAG",VLOOKUP(CONCATENATE("MEDIANA - ",C4606),COTAÇÃO,5,FALSE),VLOOKUP($C4606,DESON!$A:$D,4,))</f>
        <v>18,86</v>
      </c>
      <c r="J4606" s="209">
        <f t="shared" si="255"/>
        <v>18.86</v>
      </c>
    </row>
    <row r="4607" spans="1:10" ht="15" customHeight="1">
      <c r="A4607" s="208" t="s">
        <v>245</v>
      </c>
      <c r="B4607" s="241"/>
      <c r="C4607" s="1181">
        <v>88316</v>
      </c>
      <c r="D4607" s="161" t="str">
        <f>IF(B4607="SEPLAG",VLOOKUP(COMPOSIÇÕES!C4607,'MAPA COMPARATIVO'!A:B,2,FALSE),VLOOKUP(C4607,'NAO DESO'!A:B,2,0))</f>
        <v>SERVENTE COM ENCARGOS COMPLEMENTARES</v>
      </c>
      <c r="E4607" s="241" t="str">
        <f>VLOOKUP($C4607,'NAO DESO'!$A:$D,3,)</f>
        <v>H</v>
      </c>
      <c r="F4607" s="242">
        <v>1</v>
      </c>
      <c r="G4607" s="242" t="str">
        <f>IF(B4607="SEPLAG",VLOOKUP(CONCATENATE("MEDIANA - ",C4607),COTAÇÃO,5,FALSE),VLOOKUP($C4607,'NAO DESO'!$A:$D,4,))</f>
        <v>16,83</v>
      </c>
      <c r="H4607" s="242">
        <f t="shared" si="254"/>
        <v>16.829999999999998</v>
      </c>
      <c r="I4607" s="54" t="str">
        <f>IF(B4607="SEPLAG",VLOOKUP(CONCATENATE("MEDIANA - ",C4607),COTAÇÃO,5,FALSE),VLOOKUP($C4607,DESON!$A:$D,4,))</f>
        <v>15,16</v>
      </c>
      <c r="J4607" s="209">
        <f t="shared" si="255"/>
        <v>15.16</v>
      </c>
    </row>
    <row r="4608" spans="1:10" ht="15" customHeight="1">
      <c r="A4608" s="210" t="str">
        <f>CONCATENATE("TOTAL DO ITEM NÃO DESON. - ",C4592)</f>
        <v>TOTAL DO ITEM NÃO DESON. - SEPLAG HIDR 31</v>
      </c>
      <c r="B4608" s="430"/>
      <c r="C4608" s="430"/>
      <c r="D4608" s="430"/>
      <c r="E4608" s="430"/>
      <c r="F4608" s="1180"/>
      <c r="G4608" s="1180"/>
      <c r="H4608" s="1182">
        <f>SUM(H4595:H4607)</f>
        <v>2485.0399999999995</v>
      </c>
      <c r="I4608" s="231"/>
      <c r="J4608" s="215"/>
    </row>
    <row r="4609" spans="1:10" ht="15.75" customHeight="1" thickBot="1">
      <c r="A4609" s="216" t="str">
        <f>CONCATENATE("TOTAL DO ITEM DESON. - ",C4592)</f>
        <v>TOTAL DO ITEM DESON. - SEPLAG HIDR 31</v>
      </c>
      <c r="B4609" s="1142"/>
      <c r="C4609" s="1142"/>
      <c r="D4609" s="1142"/>
      <c r="E4609" s="1142"/>
      <c r="F4609" s="1211"/>
      <c r="G4609" s="1211"/>
      <c r="H4609" s="1187"/>
      <c r="I4609" s="260"/>
      <c r="J4609" s="219">
        <f>SUM(J4595:J4607)</f>
        <v>2408.84</v>
      </c>
    </row>
    <row r="4610" spans="1:10" ht="15" customHeight="1" thickBot="1">
      <c r="A4610" s="421"/>
      <c r="B4610" s="1138"/>
      <c r="C4610" s="1138"/>
      <c r="D4610" s="1138"/>
      <c r="E4610" s="1154"/>
      <c r="F4610" s="1196"/>
      <c r="G4610" s="1196"/>
      <c r="H4610" s="1196"/>
      <c r="I4610" s="422"/>
      <c r="J4610" s="422"/>
    </row>
    <row r="4611" spans="1:10" ht="38.25" customHeight="1">
      <c r="A4611" s="473" t="s">
        <v>421</v>
      </c>
      <c r="B4611" s="1234"/>
      <c r="C4611" s="1176" t="s">
        <v>7503</v>
      </c>
      <c r="D4611" s="156" t="s">
        <v>27961</v>
      </c>
      <c r="E4611" s="1176" t="s">
        <v>24</v>
      </c>
      <c r="F4611" s="1177" t="s">
        <v>18</v>
      </c>
      <c r="G4611" s="1178" t="s">
        <v>7015</v>
      </c>
      <c r="H4611" s="1179"/>
      <c r="I4611" s="200" t="s">
        <v>7016</v>
      </c>
      <c r="J4611" s="201"/>
    </row>
    <row r="4612" spans="1:10" ht="15" customHeight="1">
      <c r="A4612" s="257"/>
      <c r="B4612" s="430"/>
      <c r="C4612" s="1155"/>
      <c r="D4612" s="157"/>
      <c r="E4612" s="1155"/>
      <c r="F4612" s="1180"/>
      <c r="G4612" s="1180" t="s">
        <v>19</v>
      </c>
      <c r="H4612" s="1180" t="s">
        <v>20</v>
      </c>
      <c r="I4612" s="204" t="s">
        <v>19</v>
      </c>
      <c r="J4612" s="206" t="s">
        <v>20</v>
      </c>
    </row>
    <row r="4613" spans="1:10" ht="15" customHeight="1">
      <c r="A4613" s="258"/>
      <c r="B4613" s="1155"/>
      <c r="C4613" s="1155"/>
      <c r="D4613" s="157"/>
      <c r="E4613" s="1155"/>
      <c r="F4613" s="1180"/>
      <c r="G4613" s="1180"/>
      <c r="H4613" s="1180"/>
      <c r="I4613" s="238"/>
      <c r="J4613" s="259"/>
    </row>
    <row r="4614" spans="1:10" ht="39" customHeight="1">
      <c r="A4614" s="208" t="s">
        <v>245</v>
      </c>
      <c r="B4614" s="241"/>
      <c r="C4614" s="1181">
        <v>101159</v>
      </c>
      <c r="D4614" s="161" t="str">
        <f>IF(B4614="SEPLAG",VLOOKUP(COMPOSIÇÕES!C4614,'MAPA COMPARATIVO'!A:B,2,FALSE),VLOOKUP(C4614,'NAO DESO'!A:B,2,0))</f>
        <v>ALVENARIA DE VEDAÇÃO DE BLOCOS CERÂMICOS MACIÇOS DE 5X10X20CM (ESPESSURA 10CM) E ARGAMASSA DE ASSENTAMENTO COM PREPARO EM BETONEIRA. AF_05/2020</v>
      </c>
      <c r="E4614" s="241" t="str">
        <f>VLOOKUP($C4614,'NAO DESO'!$A:$D,3,)</f>
        <v>M2</v>
      </c>
      <c r="F4614" s="242">
        <v>3.24</v>
      </c>
      <c r="G4614" s="242" t="str">
        <f>IF(B4614="SEPLAG",VLOOKUP(CONCATENATE("MEDIANA - ",C4614),COTAÇÃO,5,FALSE),VLOOKUP($C4614,'NAO DESO'!$A:$D,4,))</f>
        <v>126,63</v>
      </c>
      <c r="H4614" s="242">
        <f t="shared" ref="H4614:H4626" si="256">TRUNC(F4614*G4614,2)</f>
        <v>410.28</v>
      </c>
      <c r="I4614" s="54" t="str">
        <f>IF(B4614="SEPLAG",VLOOKUP(CONCATENATE("MEDIANA - ",C4614),COTAÇÃO,5,FALSE),VLOOKUP($C4614,DESON!$A:$D,4,))</f>
        <v>120,46</v>
      </c>
      <c r="J4614" s="209">
        <f t="shared" ref="J4614:J4626" si="257">TRUNC(F4614*I4614,2)</f>
        <v>390.29</v>
      </c>
    </row>
    <row r="4615" spans="1:10" ht="64.5" customHeight="1">
      <c r="A4615" s="208" t="s">
        <v>245</v>
      </c>
      <c r="B4615" s="241"/>
      <c r="C4615" s="1181">
        <v>87543</v>
      </c>
      <c r="D4615" s="161" t="str">
        <f>IF(B4615="SEPLAG",VLOOKUP(COMPOSIÇÕES!C4615,'MAPA COMPARATIVO'!A:B,2,FALSE),VLOOKUP(C4615,'NAO DESO'!A:B,2,0))</f>
        <v>MASSA ÚNICA, PARA RECEBIMENTO DE PINTURA OU CERÂMICA, ARGAMASSA INDUSTRIALIZADA, PREPARO MECÂNICO, APLICADO COM EQUIPAMENTO DE MISTURA E PROJEÇÃO DE 1,5 M3/H EM FACES INTERNAS DE PAREDES, ESPESSURA DE 5MM, SEM EXECUÇÃO DE TALISCAS. AF_06/2014</v>
      </c>
      <c r="E4615" s="241" t="str">
        <f>VLOOKUP($C4615,'NAO DESO'!$A:$D,3,)</f>
        <v>M2</v>
      </c>
      <c r="F4615" s="242">
        <v>10.08</v>
      </c>
      <c r="G4615" s="242" t="str">
        <f>IF(B4615="SEPLAG",VLOOKUP(CONCATENATE("MEDIANA - ",C4615),COTAÇÃO,5,FALSE),VLOOKUP($C4615,'NAO DESO'!$A:$D,4,))</f>
        <v>24,40</v>
      </c>
      <c r="H4615" s="242">
        <f t="shared" si="256"/>
        <v>245.95</v>
      </c>
      <c r="I4615" s="54" t="str">
        <f>IF(B4615="SEPLAG",VLOOKUP(CONCATENATE("MEDIANA - ",C4615),COTAÇÃO,5,FALSE),VLOOKUP($C4615,DESON!$A:$D,4,))</f>
        <v>23,82</v>
      </c>
      <c r="J4615" s="209">
        <f t="shared" si="257"/>
        <v>240.1</v>
      </c>
    </row>
    <row r="4616" spans="1:10" ht="39" customHeight="1">
      <c r="A4616" s="208" t="s">
        <v>245</v>
      </c>
      <c r="B4616" s="241"/>
      <c r="C4616" s="1181">
        <v>94970</v>
      </c>
      <c r="D4616" s="161" t="str">
        <f>IF(B4616="SEPLAG",VLOOKUP(COMPOSIÇÕES!C4616,'MAPA COMPARATIVO'!A:B,2,FALSE),VLOOKUP(C4616,'NAO DESO'!A:B,2,0))</f>
        <v>CONCRETO FCK = 20MPA, TRAÇO 1:2,7:3 (EM MASSA SECA DE CIMENTO/ AREIA MÉDIA/ BRITA 1) - PREPARO MECÂNICO COM BETONEIRA 600 L. AF_05/2021</v>
      </c>
      <c r="E4616" s="241" t="str">
        <f>VLOOKUP($C4616,'NAO DESO'!$A:$D,3,)</f>
        <v>M3</v>
      </c>
      <c r="F4616" s="242">
        <v>0.1</v>
      </c>
      <c r="G4616" s="242" t="str">
        <f>IF(B4616="SEPLAG",VLOOKUP(CONCATENATE("MEDIANA - ",C4616),COTAÇÃO,5,FALSE),VLOOKUP($C4616,'NAO DESO'!$A:$D,4,))</f>
        <v>405,57</v>
      </c>
      <c r="H4616" s="242">
        <f t="shared" si="256"/>
        <v>40.549999999999997</v>
      </c>
      <c r="I4616" s="54" t="str">
        <f>IF(B4616="SEPLAG",VLOOKUP(CONCATENATE("MEDIANA - ",C4616),COTAÇÃO,5,FALSE),VLOOKUP($C4616,DESON!$A:$D,4,))</f>
        <v>400,17</v>
      </c>
      <c r="J4616" s="209">
        <f t="shared" si="257"/>
        <v>40.01</v>
      </c>
    </row>
    <row r="4617" spans="1:10" ht="26.25" customHeight="1">
      <c r="A4617" s="208" t="s">
        <v>245</v>
      </c>
      <c r="B4617" s="241"/>
      <c r="C4617" s="1181">
        <v>93358</v>
      </c>
      <c r="D4617" s="161" t="str">
        <f>IF(B4617="SEPLAG",VLOOKUP(COMPOSIÇÕES!C4617,'MAPA COMPARATIVO'!A:B,2,FALSE),VLOOKUP(C4617,'NAO DESO'!A:B,2,0))</f>
        <v>ESCAVAÇÃO MANUAL DE VALA COM PROFUNDIDADE MENOR OU IGUAL A 1,30 M. AF_02/2021</v>
      </c>
      <c r="E4617" s="241" t="str">
        <f>VLOOKUP($C4617,'NAO DESO'!$A:$D,3,)</f>
        <v>M3</v>
      </c>
      <c r="F4617" s="242">
        <v>3.4</v>
      </c>
      <c r="G4617" s="242" t="str">
        <f>IF(B4617="SEPLAG",VLOOKUP(CONCATENATE("MEDIANA - ",C4617),COTAÇÃO,5,FALSE),VLOOKUP($C4617,'NAO DESO'!$A:$D,4,))</f>
        <v>66,57</v>
      </c>
      <c r="H4617" s="242">
        <f t="shared" si="256"/>
        <v>226.33</v>
      </c>
      <c r="I4617" s="54" t="str">
        <f>IF(B4617="SEPLAG",VLOOKUP(CONCATENATE("MEDIANA - ",C4617),COTAÇÃO,5,FALSE),VLOOKUP($C4617,DESON!$A:$D,4,))</f>
        <v>59,97</v>
      </c>
      <c r="J4617" s="209">
        <f t="shared" si="257"/>
        <v>203.89</v>
      </c>
    </row>
    <row r="4618" spans="1:10" ht="26.25" customHeight="1">
      <c r="A4618" s="208" t="s">
        <v>245</v>
      </c>
      <c r="B4618" s="241"/>
      <c r="C4618" s="1181">
        <v>101617</v>
      </c>
      <c r="D4618" s="161" t="str">
        <f>IF(B4618="SEPLAG",VLOOKUP(COMPOSIÇÕES!C4618,'MAPA COMPARATIVO'!A:B,2,FALSE),VLOOKUP(C4618,'NAO DESO'!A:B,2,0))</f>
        <v>PREPARO DE FUNDO DE VALA COM LARGURA MAIOR OU IGUAL A 1,5 M E MENOR QUE 2,5 M (ACERTO DO SOLO NATURAL). AF_08/2020</v>
      </c>
      <c r="E4618" s="241" t="str">
        <f>VLOOKUP($C4618,'NAO DESO'!$A:$D,3,)</f>
        <v>M2</v>
      </c>
      <c r="F4618" s="242">
        <v>1</v>
      </c>
      <c r="G4618" s="242" t="str">
        <f>IF(B4618="SEPLAG",VLOOKUP(CONCATENATE("MEDIANA - ",C4618),COTAÇÃO,5,FALSE),VLOOKUP($C4618,'NAO DESO'!$A:$D,4,))</f>
        <v>2,38</v>
      </c>
      <c r="H4618" s="242">
        <f t="shared" si="256"/>
        <v>2.38</v>
      </c>
      <c r="I4618" s="54" t="str">
        <f>IF(B4618="SEPLAG",VLOOKUP(CONCATENATE("MEDIANA - ",C4618),COTAÇÃO,5,FALSE),VLOOKUP($C4618,DESON!$A:$D,4,))</f>
        <v>2,15</v>
      </c>
      <c r="J4618" s="209">
        <f t="shared" si="257"/>
        <v>2.15</v>
      </c>
    </row>
    <row r="4619" spans="1:10" ht="15" customHeight="1">
      <c r="A4619" s="208" t="s">
        <v>245</v>
      </c>
      <c r="B4619" s="241"/>
      <c r="C4619" s="1181">
        <v>96995</v>
      </c>
      <c r="D4619" s="161" t="str">
        <f>IF(B4619="SEPLAG",VLOOKUP(COMPOSIÇÕES!C4619,'MAPA COMPARATIVO'!A:B,2,FALSE),VLOOKUP(C4619,'NAO DESO'!A:B,2,0))</f>
        <v>REATERRO MANUAL APILOADO COM SOQUETE. AF_10/2017</v>
      </c>
      <c r="E4619" s="241" t="str">
        <f>VLOOKUP($C4619,'NAO DESO'!$A:$D,3,)</f>
        <v>M3</v>
      </c>
      <c r="F4619" s="242">
        <v>2.5</v>
      </c>
      <c r="G4619" s="242" t="str">
        <f>IF(B4619="SEPLAG",VLOOKUP(CONCATENATE("MEDIANA - ",C4619),COTAÇÃO,5,FALSE),VLOOKUP($C4619,'NAO DESO'!$A:$D,4,))</f>
        <v>40,36</v>
      </c>
      <c r="H4619" s="242">
        <f t="shared" si="256"/>
        <v>100.9</v>
      </c>
      <c r="I4619" s="54" t="str">
        <f>IF(B4619="SEPLAG",VLOOKUP(CONCATENATE("MEDIANA - ",C4619),COTAÇÃO,5,FALSE),VLOOKUP($C4619,DESON!$A:$D,4,))</f>
        <v>36,36</v>
      </c>
      <c r="J4619" s="209">
        <f t="shared" si="257"/>
        <v>90.9</v>
      </c>
    </row>
    <row r="4620" spans="1:10" ht="26.25" customHeight="1">
      <c r="A4620" s="208" t="s">
        <v>245</v>
      </c>
      <c r="B4620" s="241"/>
      <c r="C4620" s="1181">
        <v>98557</v>
      </c>
      <c r="D4620" s="161" t="str">
        <f>IF(B4620="SEPLAG",VLOOKUP(COMPOSIÇÕES!C4620,'MAPA COMPARATIVO'!A:B,2,FALSE),VLOOKUP(C4620,'NAO DESO'!A:B,2,0))</f>
        <v>IMPERMEABILIZAÇÃO DE SUPERFÍCIE COM EMULSÃO ASFÁLTICA, 2 DEMÃOS AF_06/2018</v>
      </c>
      <c r="E4620" s="241" t="str">
        <f>VLOOKUP($C4620,'NAO DESO'!$A:$D,3,)</f>
        <v>M2</v>
      </c>
      <c r="F4620" s="242">
        <f>F4615</f>
        <v>10.08</v>
      </c>
      <c r="G4620" s="242" t="str">
        <f>IF(B4620="SEPLAG",VLOOKUP(CONCATENATE("MEDIANA - ",C4620),COTAÇÃO,5,FALSE),VLOOKUP($C4620,'NAO DESO'!$A:$D,4,))</f>
        <v>58,82</v>
      </c>
      <c r="H4620" s="242">
        <f t="shared" si="256"/>
        <v>592.9</v>
      </c>
      <c r="I4620" s="54" t="str">
        <f>IF(B4620="SEPLAG",VLOOKUP(CONCATENATE("MEDIANA - ",C4620),COTAÇÃO,5,FALSE),VLOOKUP($C4620,DESON!$A:$D,4,))</f>
        <v>57,84</v>
      </c>
      <c r="J4620" s="209">
        <f t="shared" si="257"/>
        <v>583.02</v>
      </c>
    </row>
    <row r="4621" spans="1:10" ht="26.25" customHeight="1">
      <c r="A4621" s="208" t="s">
        <v>245</v>
      </c>
      <c r="B4621" s="241"/>
      <c r="C4621" s="1181">
        <v>11301</v>
      </c>
      <c r="D4621" s="161" t="str">
        <f>IF(B4621="SEPLAG",VLOOKUP(COMPOSIÇÕES!C4621,'MAPA COMPARATIVO'!A:B,2,FALSE),VLOOKUP(C4621,'NAO DESO'!A:B,2,0))</f>
        <v>TAMPAO FOFO ARTICULADO, CLASSE B125 CARGA MAX 12,5 T, REDONDO, TAMPA 600 MM (COM INSCRICAO EM RELEVO DO TIPO DE REDE)</v>
      </c>
      <c r="E4621" s="241" t="str">
        <f>VLOOKUP($C4621,'NAO DESO'!$A:$D,3,)</f>
        <v xml:space="preserve">UN    </v>
      </c>
      <c r="F4621" s="242">
        <v>1</v>
      </c>
      <c r="G4621" s="242">
        <f>IF(B4621="SEPLAG",VLOOKUP(CONCATENATE("MEDIANA - ",C4621),COTAÇÃO,5,FALSE),VLOOKUP($C4621,'NAO DESO'!$A:$D,4,))</f>
        <v>660.46</v>
      </c>
      <c r="H4621" s="242">
        <f t="shared" si="256"/>
        <v>660.46</v>
      </c>
      <c r="I4621" s="54" t="str">
        <f>IF(B4621="SEPLAG",VLOOKUP(CONCATENATE("MEDIANA - ",C4621),COTAÇÃO,5,FALSE),VLOOKUP($C4621,DESON!$A:$D,4,))</f>
        <v>660,46</v>
      </c>
      <c r="J4621" s="209">
        <f t="shared" si="257"/>
        <v>660.46</v>
      </c>
    </row>
    <row r="4622" spans="1:10" ht="39" customHeight="1">
      <c r="A4622" s="208" t="s">
        <v>245</v>
      </c>
      <c r="B4622" s="241"/>
      <c r="C4622" s="1181">
        <v>92775</v>
      </c>
      <c r="D4622" s="161" t="str">
        <f>IF(B4622="SEPLAG",VLOOKUP(COMPOSIÇÕES!C4622,'MAPA COMPARATIVO'!A:B,2,FALSE),VLOOKUP(C4622,'NAO DESO'!A:B,2,0))</f>
        <v>ARMAÇÃO DE PILAR OU VIGA DE UMA ESTRUTURA CONVENCIONAL DE CONCRETO ARMADO EM UMA EDIFICAÇÃO TÉRREA OU SOBRADO UTILIZANDO AÇO CA-60 DE 5,0 MM - MONTAGEM. AF_12/2015</v>
      </c>
      <c r="E4622" s="241" t="str">
        <f>VLOOKUP($C4622,'NAO DESO'!$A:$D,3,)</f>
        <v>KG</v>
      </c>
      <c r="F4622" s="242">
        <v>1.66</v>
      </c>
      <c r="G4622" s="242" t="str">
        <f>IF(B4622="SEPLAG",VLOOKUP(CONCATENATE("MEDIANA - ",C4622),COTAÇÃO,5,FALSE),VLOOKUP($C4622,'NAO DESO'!$A:$D,4,))</f>
        <v>18,46</v>
      </c>
      <c r="H4622" s="242">
        <f t="shared" si="256"/>
        <v>30.64</v>
      </c>
      <c r="I4622" s="54" t="str">
        <f>IF(B4622="SEPLAG",VLOOKUP(CONCATENATE("MEDIANA - ",C4622),COTAÇÃO,5,FALSE),VLOOKUP($C4622,DESON!$A:$D,4,))</f>
        <v>17,71</v>
      </c>
      <c r="J4622" s="209">
        <f t="shared" si="257"/>
        <v>29.39</v>
      </c>
    </row>
    <row r="4623" spans="1:10" ht="39" customHeight="1">
      <c r="A4623" s="208" t="s">
        <v>245</v>
      </c>
      <c r="B4623" s="241"/>
      <c r="C4623" s="1181">
        <v>92778</v>
      </c>
      <c r="D4623" s="161" t="str">
        <f>IF(B4623="SEPLAG",VLOOKUP(COMPOSIÇÕES!C4623,'MAPA COMPARATIVO'!A:B,2,FALSE),VLOOKUP(C4623,'NAO DESO'!A:B,2,0))</f>
        <v>ARMAÇÃO DE PILAR OU VIGA DE UMA ESTRUTURA CONVENCIONAL DE CONCRETO ARMADO EM UMA EDIFICAÇÃO TÉRREA OU SOBRADO UTILIZANDO AÇO CA-50 DE 10,0 MM - MONTAGEM. AF_12/2015</v>
      </c>
      <c r="E4623" s="241" t="str">
        <f>VLOOKUP($C4623,'NAO DESO'!$A:$D,3,)</f>
        <v>KG</v>
      </c>
      <c r="F4623" s="242">
        <v>8.8800000000000008</v>
      </c>
      <c r="G4623" s="242" t="str">
        <f>IF(B4623="SEPLAG",VLOOKUP(CONCATENATE("MEDIANA - ",C4623),COTAÇÃO,5,FALSE),VLOOKUP($C4623,'NAO DESO'!$A:$D,4,))</f>
        <v>14,78</v>
      </c>
      <c r="H4623" s="242">
        <f t="shared" si="256"/>
        <v>131.24</v>
      </c>
      <c r="I4623" s="54" t="str">
        <f>IF(B4623="SEPLAG",VLOOKUP(CONCATENATE("MEDIANA - ",C4623),COTAÇÃO,5,FALSE),VLOOKUP($C4623,DESON!$A:$D,4,))</f>
        <v>14,50</v>
      </c>
      <c r="J4623" s="209">
        <f t="shared" si="257"/>
        <v>128.76</v>
      </c>
    </row>
    <row r="4624" spans="1:10" ht="39" customHeight="1">
      <c r="A4624" s="208" t="s">
        <v>245</v>
      </c>
      <c r="B4624" s="241"/>
      <c r="C4624" s="1181">
        <v>92423</v>
      </c>
      <c r="D4624" s="161" t="str">
        <f>IF(B4624="SEPLAG",VLOOKUP(COMPOSIÇÕES!C4624,'MAPA COMPARATIVO'!A:B,2,FALSE),VLOOKUP(C4624,'NAO DESO'!A:B,2,0))</f>
        <v>MONTAGEM E DESMONTAGEM DE FÔRMA DE PILARES RETANGULARES E ESTRUTURAS SIMILARES, PÉ-DIREITO SIMPLES, EM CHAPA DE MADEIRA COMPENSADA RESINADA, 6 UTILIZAÇÕES. AF_09/2020</v>
      </c>
      <c r="E4624" s="241" t="str">
        <f>VLOOKUP($C4624,'NAO DESO'!$A:$D,3,)</f>
        <v>M2</v>
      </c>
      <c r="F4624" s="242">
        <v>1.08</v>
      </c>
      <c r="G4624" s="242" t="str">
        <f>IF(B4624="SEPLAG",VLOOKUP(CONCATENATE("MEDIANA - ",C4624),COTAÇÃO,5,FALSE),VLOOKUP($C4624,'NAO DESO'!$A:$D,4,))</f>
        <v>67,90</v>
      </c>
      <c r="H4624" s="242">
        <f t="shared" si="256"/>
        <v>73.33</v>
      </c>
      <c r="I4624" s="54" t="str">
        <f>IF(B4624="SEPLAG",VLOOKUP(CONCATENATE("MEDIANA - ",C4624),COTAÇÃO,5,FALSE),VLOOKUP($C4624,DESON!$A:$D,4,))</f>
        <v>65,30</v>
      </c>
      <c r="J4624" s="209">
        <f t="shared" si="257"/>
        <v>70.52</v>
      </c>
    </row>
    <row r="4625" spans="1:10" ht="15" customHeight="1">
      <c r="A4625" s="208" t="s">
        <v>245</v>
      </c>
      <c r="B4625" s="241"/>
      <c r="C4625" s="1181">
        <v>88309</v>
      </c>
      <c r="D4625" s="161" t="str">
        <f>IF(B4625="SEPLAG",VLOOKUP(COMPOSIÇÕES!C4625,'MAPA COMPARATIVO'!A:B,2,FALSE),VLOOKUP(C4625,'NAO DESO'!A:B,2,0))</f>
        <v>PEDREIRO COM ENCARGOS COMPLEMENTARES</v>
      </c>
      <c r="E4625" s="241" t="str">
        <f>VLOOKUP($C4625,'NAO DESO'!$A:$D,3,)</f>
        <v>H</v>
      </c>
      <c r="F4625" s="242">
        <v>1</v>
      </c>
      <c r="G4625" s="242" t="str">
        <f>IF(B4625="SEPLAG",VLOOKUP(CONCATENATE("MEDIANA - ",C4625),COTAÇÃO,5,FALSE),VLOOKUP($C4625,'NAO DESO'!$A:$D,4,))</f>
        <v>21,10</v>
      </c>
      <c r="H4625" s="242">
        <f t="shared" si="256"/>
        <v>21.1</v>
      </c>
      <c r="I4625" s="54" t="str">
        <f>IF(B4625="SEPLAG",VLOOKUP(CONCATENATE("MEDIANA - ",C4625),COTAÇÃO,5,FALSE),VLOOKUP($C4625,DESON!$A:$D,4,))</f>
        <v>18,86</v>
      </c>
      <c r="J4625" s="209">
        <f t="shared" si="257"/>
        <v>18.86</v>
      </c>
    </row>
    <row r="4626" spans="1:10" ht="15" customHeight="1">
      <c r="A4626" s="208" t="s">
        <v>245</v>
      </c>
      <c r="B4626" s="241"/>
      <c r="C4626" s="1181">
        <v>88316</v>
      </c>
      <c r="D4626" s="161" t="str">
        <f>IF(B4626="SEPLAG",VLOOKUP(COMPOSIÇÕES!C4626,'MAPA COMPARATIVO'!A:B,2,FALSE),VLOOKUP(C4626,'NAO DESO'!A:B,2,0))</f>
        <v>SERVENTE COM ENCARGOS COMPLEMENTARES</v>
      </c>
      <c r="E4626" s="241" t="str">
        <f>VLOOKUP($C4626,'NAO DESO'!$A:$D,3,)</f>
        <v>H</v>
      </c>
      <c r="F4626" s="242">
        <v>1</v>
      </c>
      <c r="G4626" s="242" t="str">
        <f>IF(B4626="SEPLAG",VLOOKUP(CONCATENATE("MEDIANA - ",C4626),COTAÇÃO,5,FALSE),VLOOKUP($C4626,'NAO DESO'!$A:$D,4,))</f>
        <v>16,83</v>
      </c>
      <c r="H4626" s="242">
        <f t="shared" si="256"/>
        <v>16.829999999999998</v>
      </c>
      <c r="I4626" s="54" t="str">
        <f>IF(B4626="SEPLAG",VLOOKUP(CONCATENATE("MEDIANA - ",C4626),COTAÇÃO,5,FALSE),VLOOKUP($C4626,DESON!$A:$D,4,))</f>
        <v>15,16</v>
      </c>
      <c r="J4626" s="209">
        <f t="shared" si="257"/>
        <v>15.16</v>
      </c>
    </row>
    <row r="4627" spans="1:10" ht="15" customHeight="1">
      <c r="A4627" s="210" t="str">
        <f>CONCATENATE("TOTAL DO ITEM NÃO DESON. - ",C4611)</f>
        <v>TOTAL DO ITEM NÃO DESON. - SEPLAG HIDR 32</v>
      </c>
      <c r="B4627" s="430"/>
      <c r="C4627" s="430"/>
      <c r="D4627" s="430"/>
      <c r="E4627" s="430"/>
      <c r="F4627" s="1180"/>
      <c r="G4627" s="1180"/>
      <c r="H4627" s="1182">
        <f>SUM(H4614:H4626)</f>
        <v>2552.89</v>
      </c>
      <c r="I4627" s="231"/>
      <c r="J4627" s="215"/>
    </row>
    <row r="4628" spans="1:10" ht="15.75" customHeight="1" thickBot="1">
      <c r="A4628" s="216" t="str">
        <f>CONCATENATE("TOTAL DO ITEM DESON. - ",C4611)</f>
        <v>TOTAL DO ITEM DESON. - SEPLAG HIDR 32</v>
      </c>
      <c r="B4628" s="1142"/>
      <c r="C4628" s="1142"/>
      <c r="D4628" s="1142"/>
      <c r="E4628" s="1142"/>
      <c r="F4628" s="1211"/>
      <c r="G4628" s="1211"/>
      <c r="H4628" s="1187"/>
      <c r="I4628" s="260"/>
      <c r="J4628" s="219">
        <f>SUM(J4614:J4626)</f>
        <v>2473.5099999999993</v>
      </c>
    </row>
    <row r="4629" spans="1:10" ht="15" customHeight="1" thickBot="1">
      <c r="A4629" s="421"/>
      <c r="B4629" s="1138"/>
      <c r="C4629" s="1138"/>
      <c r="D4629" s="1138"/>
      <c r="E4629" s="1154"/>
      <c r="F4629" s="1196"/>
      <c r="G4629" s="1196"/>
      <c r="H4629" s="1196"/>
      <c r="I4629" s="422"/>
      <c r="J4629" s="422"/>
    </row>
    <row r="4630" spans="1:10" ht="38.25" customHeight="1">
      <c r="A4630" s="473" t="s">
        <v>421</v>
      </c>
      <c r="B4630" s="1234"/>
      <c r="C4630" s="1176" t="s">
        <v>7504</v>
      </c>
      <c r="D4630" s="156" t="s">
        <v>27962</v>
      </c>
      <c r="E4630" s="1176" t="s">
        <v>24</v>
      </c>
      <c r="F4630" s="1177" t="s">
        <v>18</v>
      </c>
      <c r="G4630" s="1178" t="s">
        <v>7015</v>
      </c>
      <c r="H4630" s="1179"/>
      <c r="I4630" s="200" t="s">
        <v>7016</v>
      </c>
      <c r="J4630" s="201"/>
    </row>
    <row r="4631" spans="1:10" ht="15" customHeight="1">
      <c r="A4631" s="257"/>
      <c r="B4631" s="430"/>
      <c r="C4631" s="1155"/>
      <c r="D4631" s="157"/>
      <c r="E4631" s="1155"/>
      <c r="F4631" s="1180"/>
      <c r="G4631" s="1180" t="s">
        <v>19</v>
      </c>
      <c r="H4631" s="1180" t="s">
        <v>20</v>
      </c>
      <c r="I4631" s="204" t="s">
        <v>19</v>
      </c>
      <c r="J4631" s="206" t="s">
        <v>20</v>
      </c>
    </row>
    <row r="4632" spans="1:10" ht="15" customHeight="1">
      <c r="A4632" s="258"/>
      <c r="B4632" s="1155"/>
      <c r="C4632" s="1155"/>
      <c r="D4632" s="157"/>
      <c r="E4632" s="1155"/>
      <c r="F4632" s="1180"/>
      <c r="G4632" s="1180"/>
      <c r="H4632" s="1180"/>
      <c r="I4632" s="238"/>
      <c r="J4632" s="259"/>
    </row>
    <row r="4633" spans="1:10" ht="39" customHeight="1">
      <c r="A4633" s="208" t="s">
        <v>245</v>
      </c>
      <c r="B4633" s="241"/>
      <c r="C4633" s="1181">
        <v>101159</v>
      </c>
      <c r="D4633" s="161" t="str">
        <f>IF(B4633="SEPLAG",VLOOKUP(COMPOSIÇÕES!C4633,'MAPA COMPARATIVO'!A:B,2,FALSE),VLOOKUP(C4633,'NAO DESO'!A:B,2,0))</f>
        <v>ALVENARIA DE VEDAÇÃO DE BLOCOS CERÂMICOS MACIÇOS DE 5X10X20CM (ESPESSURA 10CM) E ARGAMASSA DE ASSENTAMENTO COM PREPARO EM BETONEIRA. AF_05/2020</v>
      </c>
      <c r="E4633" s="241" t="str">
        <f>VLOOKUP($C4633,'NAO DESO'!$A:$D,3,)</f>
        <v>M2</v>
      </c>
      <c r="F4633" s="242">
        <v>3.42</v>
      </c>
      <c r="G4633" s="242" t="str">
        <f>IF(B4633="SEPLAG",VLOOKUP(CONCATENATE("MEDIANA - ",C4633),COTAÇÃO,5,FALSE),VLOOKUP($C4633,'NAO DESO'!$A:$D,4,))</f>
        <v>126,63</v>
      </c>
      <c r="H4633" s="242">
        <f t="shared" ref="H4633:H4645" si="258">TRUNC(F4633*G4633,2)</f>
        <v>433.07</v>
      </c>
      <c r="I4633" s="54" t="str">
        <f>IF(B4633="SEPLAG",VLOOKUP(CONCATENATE("MEDIANA - ",C4633),COTAÇÃO,5,FALSE),VLOOKUP($C4633,DESON!$A:$D,4,))</f>
        <v>120,46</v>
      </c>
      <c r="J4633" s="209">
        <f t="shared" ref="J4633:J4645" si="259">TRUNC(F4633*I4633,2)</f>
        <v>411.97</v>
      </c>
    </row>
    <row r="4634" spans="1:10" ht="64.5" customHeight="1">
      <c r="A4634" s="208" t="s">
        <v>245</v>
      </c>
      <c r="B4634" s="241"/>
      <c r="C4634" s="1181">
        <v>87543</v>
      </c>
      <c r="D4634" s="161" t="str">
        <f>IF(B4634="SEPLAG",VLOOKUP(COMPOSIÇÕES!C4634,'MAPA COMPARATIVO'!A:B,2,FALSE),VLOOKUP(C4634,'NAO DESO'!A:B,2,0))</f>
        <v>MASSA ÚNICA, PARA RECEBIMENTO DE PINTURA OU CERÂMICA, ARGAMASSA INDUSTRIALIZADA, PREPARO MECÂNICO, APLICADO COM EQUIPAMENTO DE MISTURA E PROJEÇÃO DE 1,5 M3/H EM FACES INTERNAS DE PAREDES, ESPESSURA DE 5MM, SEM EXECUÇÃO DE TALISCAS. AF_06/2014</v>
      </c>
      <c r="E4634" s="241" t="str">
        <f>VLOOKUP($C4634,'NAO DESO'!$A:$D,3,)</f>
        <v>M2</v>
      </c>
      <c r="F4634" s="242">
        <v>10.44</v>
      </c>
      <c r="G4634" s="242" t="str">
        <f>IF(B4634="SEPLAG",VLOOKUP(CONCATENATE("MEDIANA - ",C4634),COTAÇÃO,5,FALSE),VLOOKUP($C4634,'NAO DESO'!$A:$D,4,))</f>
        <v>24,40</v>
      </c>
      <c r="H4634" s="242">
        <f t="shared" si="258"/>
        <v>254.73</v>
      </c>
      <c r="I4634" s="54" t="str">
        <f>IF(B4634="SEPLAG",VLOOKUP(CONCATENATE("MEDIANA - ",C4634),COTAÇÃO,5,FALSE),VLOOKUP($C4634,DESON!$A:$D,4,))</f>
        <v>23,82</v>
      </c>
      <c r="J4634" s="209">
        <f t="shared" si="259"/>
        <v>248.68</v>
      </c>
    </row>
    <row r="4635" spans="1:10" ht="39" customHeight="1">
      <c r="A4635" s="208" t="s">
        <v>245</v>
      </c>
      <c r="B4635" s="241"/>
      <c r="C4635" s="1181">
        <v>94970</v>
      </c>
      <c r="D4635" s="161" t="str">
        <f>IF(B4635="SEPLAG",VLOOKUP(COMPOSIÇÕES!C4635,'MAPA COMPARATIVO'!A:B,2,FALSE),VLOOKUP(C4635,'NAO DESO'!A:B,2,0))</f>
        <v>CONCRETO FCK = 20MPA, TRAÇO 1:2,7:3 (EM MASSA SECA DE CIMENTO/ AREIA MÉDIA/ BRITA 1) - PREPARO MECÂNICO COM BETONEIRA 600 L. AF_05/2021</v>
      </c>
      <c r="E4635" s="241" t="str">
        <f>VLOOKUP($C4635,'NAO DESO'!$A:$D,3,)</f>
        <v>M3</v>
      </c>
      <c r="F4635" s="242">
        <v>0.1</v>
      </c>
      <c r="G4635" s="242" t="str">
        <f>IF(B4635="SEPLAG",VLOOKUP(CONCATENATE("MEDIANA - ",C4635),COTAÇÃO,5,FALSE),VLOOKUP($C4635,'NAO DESO'!$A:$D,4,))</f>
        <v>405,57</v>
      </c>
      <c r="H4635" s="242">
        <f t="shared" si="258"/>
        <v>40.549999999999997</v>
      </c>
      <c r="I4635" s="54" t="str">
        <f>IF(B4635="SEPLAG",VLOOKUP(CONCATENATE("MEDIANA - ",C4635),COTAÇÃO,5,FALSE),VLOOKUP($C4635,DESON!$A:$D,4,))</f>
        <v>400,17</v>
      </c>
      <c r="J4635" s="209">
        <f t="shared" si="259"/>
        <v>40.01</v>
      </c>
    </row>
    <row r="4636" spans="1:10" ht="26.25" customHeight="1">
      <c r="A4636" s="208" t="s">
        <v>245</v>
      </c>
      <c r="B4636" s="241"/>
      <c r="C4636" s="1181">
        <v>93358</v>
      </c>
      <c r="D4636" s="161" t="str">
        <f>IF(B4636="SEPLAG",VLOOKUP(COMPOSIÇÕES!C4636,'MAPA COMPARATIVO'!A:B,2,FALSE),VLOOKUP(C4636,'NAO DESO'!A:B,2,0))</f>
        <v>ESCAVAÇÃO MANUAL DE VALA COM PROFUNDIDADE MENOR OU IGUAL A 1,30 M. AF_02/2021</v>
      </c>
      <c r="E4636" s="241" t="str">
        <f>VLOOKUP($C4636,'NAO DESO'!$A:$D,3,)</f>
        <v>M3</v>
      </c>
      <c r="F4636" s="242">
        <v>3.56</v>
      </c>
      <c r="G4636" s="242" t="str">
        <f>IF(B4636="SEPLAG",VLOOKUP(CONCATENATE("MEDIANA - ",C4636),COTAÇÃO,5,FALSE),VLOOKUP($C4636,'NAO DESO'!$A:$D,4,))</f>
        <v>66,57</v>
      </c>
      <c r="H4636" s="242">
        <f t="shared" si="258"/>
        <v>236.98</v>
      </c>
      <c r="I4636" s="54" t="str">
        <f>IF(B4636="SEPLAG",VLOOKUP(CONCATENATE("MEDIANA - ",C4636),COTAÇÃO,5,FALSE),VLOOKUP($C4636,DESON!$A:$D,4,))</f>
        <v>59,97</v>
      </c>
      <c r="J4636" s="209">
        <f t="shared" si="259"/>
        <v>213.49</v>
      </c>
    </row>
    <row r="4637" spans="1:10" ht="26.25" customHeight="1">
      <c r="A4637" s="208" t="s">
        <v>245</v>
      </c>
      <c r="B4637" s="241"/>
      <c r="C4637" s="1181">
        <v>101617</v>
      </c>
      <c r="D4637" s="161" t="str">
        <f>IF(B4637="SEPLAG",VLOOKUP(COMPOSIÇÕES!C4637,'MAPA COMPARATIVO'!A:B,2,FALSE),VLOOKUP(C4637,'NAO DESO'!A:B,2,0))</f>
        <v>PREPARO DE FUNDO DE VALA COM LARGURA MAIOR OU IGUAL A 1,5 M E MENOR QUE 2,5 M (ACERTO DO SOLO NATURAL). AF_08/2020</v>
      </c>
      <c r="E4637" s="241" t="str">
        <f>VLOOKUP($C4637,'NAO DESO'!$A:$D,3,)</f>
        <v>M2</v>
      </c>
      <c r="F4637" s="242">
        <v>1</v>
      </c>
      <c r="G4637" s="242" t="str">
        <f>IF(B4637="SEPLAG",VLOOKUP(CONCATENATE("MEDIANA - ",C4637),COTAÇÃO,5,FALSE),VLOOKUP($C4637,'NAO DESO'!$A:$D,4,))</f>
        <v>2,38</v>
      </c>
      <c r="H4637" s="242">
        <f t="shared" si="258"/>
        <v>2.38</v>
      </c>
      <c r="I4637" s="54" t="str">
        <f>IF(B4637="SEPLAG",VLOOKUP(CONCATENATE("MEDIANA - ",C4637),COTAÇÃO,5,FALSE),VLOOKUP($C4637,DESON!$A:$D,4,))</f>
        <v>2,15</v>
      </c>
      <c r="J4637" s="209">
        <f t="shared" si="259"/>
        <v>2.15</v>
      </c>
    </row>
    <row r="4638" spans="1:10" ht="15" customHeight="1">
      <c r="A4638" s="208" t="s">
        <v>245</v>
      </c>
      <c r="B4638" s="241"/>
      <c r="C4638" s="1181">
        <v>96995</v>
      </c>
      <c r="D4638" s="161" t="str">
        <f>IF(B4638="SEPLAG",VLOOKUP(COMPOSIÇÕES!C4638,'MAPA COMPARATIVO'!A:B,2,FALSE),VLOOKUP(C4638,'NAO DESO'!A:B,2,0))</f>
        <v>REATERRO MANUAL APILOADO COM SOQUETE. AF_10/2017</v>
      </c>
      <c r="E4638" s="241" t="str">
        <f>VLOOKUP($C4638,'NAO DESO'!$A:$D,3,)</f>
        <v>M3</v>
      </c>
      <c r="F4638" s="242">
        <v>2.61</v>
      </c>
      <c r="G4638" s="242" t="str">
        <f>IF(B4638="SEPLAG",VLOOKUP(CONCATENATE("MEDIANA - ",C4638),COTAÇÃO,5,FALSE),VLOOKUP($C4638,'NAO DESO'!$A:$D,4,))</f>
        <v>40,36</v>
      </c>
      <c r="H4638" s="242">
        <f t="shared" si="258"/>
        <v>105.33</v>
      </c>
      <c r="I4638" s="54" t="str">
        <f>IF(B4638="SEPLAG",VLOOKUP(CONCATENATE("MEDIANA - ",C4638),COTAÇÃO,5,FALSE),VLOOKUP($C4638,DESON!$A:$D,4,))</f>
        <v>36,36</v>
      </c>
      <c r="J4638" s="209">
        <f t="shared" si="259"/>
        <v>94.89</v>
      </c>
    </row>
    <row r="4639" spans="1:10" ht="26.25" customHeight="1">
      <c r="A4639" s="208" t="s">
        <v>245</v>
      </c>
      <c r="B4639" s="241"/>
      <c r="C4639" s="1181">
        <v>98557</v>
      </c>
      <c r="D4639" s="161" t="str">
        <f>IF(B4639="SEPLAG",VLOOKUP(COMPOSIÇÕES!C4639,'MAPA COMPARATIVO'!A:B,2,FALSE),VLOOKUP(C4639,'NAO DESO'!A:B,2,0))</f>
        <v>IMPERMEABILIZAÇÃO DE SUPERFÍCIE COM EMULSÃO ASFÁLTICA, 2 DEMÃOS AF_06/2018</v>
      </c>
      <c r="E4639" s="241" t="str">
        <f>VLOOKUP($C4639,'NAO DESO'!$A:$D,3,)</f>
        <v>M2</v>
      </c>
      <c r="F4639" s="242">
        <f>F4634</f>
        <v>10.44</v>
      </c>
      <c r="G4639" s="242" t="str">
        <f>IF(B4639="SEPLAG",VLOOKUP(CONCATENATE("MEDIANA - ",C4639),COTAÇÃO,5,FALSE),VLOOKUP($C4639,'NAO DESO'!$A:$D,4,))</f>
        <v>58,82</v>
      </c>
      <c r="H4639" s="242">
        <f t="shared" si="258"/>
        <v>614.08000000000004</v>
      </c>
      <c r="I4639" s="54" t="str">
        <f>IF(B4639="SEPLAG",VLOOKUP(CONCATENATE("MEDIANA - ",C4639),COTAÇÃO,5,FALSE),VLOOKUP($C4639,DESON!$A:$D,4,))</f>
        <v>57,84</v>
      </c>
      <c r="J4639" s="209">
        <f t="shared" si="259"/>
        <v>603.84</v>
      </c>
    </row>
    <row r="4640" spans="1:10" ht="26.25" customHeight="1">
      <c r="A4640" s="208" t="s">
        <v>245</v>
      </c>
      <c r="B4640" s="241"/>
      <c r="C4640" s="1181">
        <v>11301</v>
      </c>
      <c r="D4640" s="161" t="str">
        <f>IF(B4640="SEPLAG",VLOOKUP(COMPOSIÇÕES!C4640,'MAPA COMPARATIVO'!A:B,2,FALSE),VLOOKUP(C4640,'NAO DESO'!A:B,2,0))</f>
        <v>TAMPAO FOFO ARTICULADO, CLASSE B125 CARGA MAX 12,5 T, REDONDO, TAMPA 600 MM (COM INSCRICAO EM RELEVO DO TIPO DE REDE)</v>
      </c>
      <c r="E4640" s="241" t="str">
        <f>VLOOKUP($C4640,'NAO DESO'!$A:$D,3,)</f>
        <v xml:space="preserve">UN    </v>
      </c>
      <c r="F4640" s="242">
        <v>1</v>
      </c>
      <c r="G4640" s="242">
        <f>IF(B4640="SEPLAG",VLOOKUP(CONCATENATE("MEDIANA - ",C4640),COTAÇÃO,5,FALSE),VLOOKUP($C4640,'NAO DESO'!$A:$D,4,))</f>
        <v>660.46</v>
      </c>
      <c r="H4640" s="242">
        <f t="shared" si="258"/>
        <v>660.46</v>
      </c>
      <c r="I4640" s="54" t="str">
        <f>IF(B4640="SEPLAG",VLOOKUP(CONCATENATE("MEDIANA - ",C4640),COTAÇÃO,5,FALSE),VLOOKUP($C4640,DESON!$A:$D,4,))</f>
        <v>660,46</v>
      </c>
      <c r="J4640" s="209">
        <f t="shared" si="259"/>
        <v>660.46</v>
      </c>
    </row>
    <row r="4641" spans="1:10" ht="39" customHeight="1">
      <c r="A4641" s="208" t="s">
        <v>245</v>
      </c>
      <c r="B4641" s="241"/>
      <c r="C4641" s="1181">
        <v>92775</v>
      </c>
      <c r="D4641" s="161" t="str">
        <f>IF(B4641="SEPLAG",VLOOKUP(COMPOSIÇÕES!C4641,'MAPA COMPARATIVO'!A:B,2,FALSE),VLOOKUP(C4641,'NAO DESO'!A:B,2,0))</f>
        <v>ARMAÇÃO DE PILAR OU VIGA DE UMA ESTRUTURA CONVENCIONAL DE CONCRETO ARMADO EM UMA EDIFICAÇÃO TÉRREA OU SOBRADO UTILIZANDO AÇO CA-60 DE 5,0 MM - MONTAGEM. AF_12/2015</v>
      </c>
      <c r="E4641" s="241" t="str">
        <f>VLOOKUP($C4641,'NAO DESO'!$A:$D,3,)</f>
        <v>KG</v>
      </c>
      <c r="F4641" s="242">
        <v>1.66</v>
      </c>
      <c r="G4641" s="242" t="str">
        <f>IF(B4641="SEPLAG",VLOOKUP(CONCATENATE("MEDIANA - ",C4641),COTAÇÃO,5,FALSE),VLOOKUP($C4641,'NAO DESO'!$A:$D,4,))</f>
        <v>18,46</v>
      </c>
      <c r="H4641" s="242">
        <f t="shared" si="258"/>
        <v>30.64</v>
      </c>
      <c r="I4641" s="54" t="str">
        <f>IF(B4641="SEPLAG",VLOOKUP(CONCATENATE("MEDIANA - ",C4641),COTAÇÃO,5,FALSE),VLOOKUP($C4641,DESON!$A:$D,4,))</f>
        <v>17,71</v>
      </c>
      <c r="J4641" s="209">
        <f t="shared" si="259"/>
        <v>29.39</v>
      </c>
    </row>
    <row r="4642" spans="1:10" ht="39" customHeight="1">
      <c r="A4642" s="208" t="s">
        <v>245</v>
      </c>
      <c r="B4642" s="241"/>
      <c r="C4642" s="1181">
        <v>92778</v>
      </c>
      <c r="D4642" s="161" t="str">
        <f>IF(B4642="SEPLAG",VLOOKUP(COMPOSIÇÕES!C4642,'MAPA COMPARATIVO'!A:B,2,FALSE),VLOOKUP(C4642,'NAO DESO'!A:B,2,0))</f>
        <v>ARMAÇÃO DE PILAR OU VIGA DE UMA ESTRUTURA CONVENCIONAL DE CONCRETO ARMADO EM UMA EDIFICAÇÃO TÉRREA OU SOBRADO UTILIZANDO AÇO CA-50 DE 10,0 MM - MONTAGEM. AF_12/2015</v>
      </c>
      <c r="E4642" s="241" t="str">
        <f>VLOOKUP($C4642,'NAO DESO'!$A:$D,3,)</f>
        <v>KG</v>
      </c>
      <c r="F4642" s="242">
        <v>8.8800000000000008</v>
      </c>
      <c r="G4642" s="242" t="str">
        <f>IF(B4642="SEPLAG",VLOOKUP(CONCATENATE("MEDIANA - ",C4642),COTAÇÃO,5,FALSE),VLOOKUP($C4642,'NAO DESO'!$A:$D,4,))</f>
        <v>14,78</v>
      </c>
      <c r="H4642" s="242">
        <f t="shared" si="258"/>
        <v>131.24</v>
      </c>
      <c r="I4642" s="54" t="str">
        <f>IF(B4642="SEPLAG",VLOOKUP(CONCATENATE("MEDIANA - ",C4642),COTAÇÃO,5,FALSE),VLOOKUP($C4642,DESON!$A:$D,4,))</f>
        <v>14,50</v>
      </c>
      <c r="J4642" s="209">
        <f t="shared" si="259"/>
        <v>128.76</v>
      </c>
    </row>
    <row r="4643" spans="1:10" ht="39" customHeight="1">
      <c r="A4643" s="208" t="s">
        <v>245</v>
      </c>
      <c r="B4643" s="241"/>
      <c r="C4643" s="1181">
        <v>92423</v>
      </c>
      <c r="D4643" s="161" t="str">
        <f>IF(B4643="SEPLAG",VLOOKUP(COMPOSIÇÕES!C4643,'MAPA COMPARATIVO'!A:B,2,FALSE),VLOOKUP(C4643,'NAO DESO'!A:B,2,0))</f>
        <v>MONTAGEM E DESMONTAGEM DE FÔRMA DE PILARES RETANGULARES E ESTRUTURAS SIMILARES, PÉ-DIREITO SIMPLES, EM CHAPA DE MADEIRA COMPENSADA RESINADA, 6 UTILIZAÇÕES. AF_09/2020</v>
      </c>
      <c r="E4643" s="241" t="str">
        <f>VLOOKUP($C4643,'NAO DESO'!$A:$D,3,)</f>
        <v>M2</v>
      </c>
      <c r="F4643" s="242">
        <v>1.08</v>
      </c>
      <c r="G4643" s="242" t="str">
        <f>IF(B4643="SEPLAG",VLOOKUP(CONCATENATE("MEDIANA - ",C4643),COTAÇÃO,5,FALSE),VLOOKUP($C4643,'NAO DESO'!$A:$D,4,))</f>
        <v>67,90</v>
      </c>
      <c r="H4643" s="242">
        <f t="shared" si="258"/>
        <v>73.33</v>
      </c>
      <c r="I4643" s="54" t="str">
        <f>IF(B4643="SEPLAG",VLOOKUP(CONCATENATE("MEDIANA - ",C4643),COTAÇÃO,5,FALSE),VLOOKUP($C4643,DESON!$A:$D,4,))</f>
        <v>65,30</v>
      </c>
      <c r="J4643" s="209">
        <f t="shared" si="259"/>
        <v>70.52</v>
      </c>
    </row>
    <row r="4644" spans="1:10" ht="15" customHeight="1">
      <c r="A4644" s="208" t="s">
        <v>245</v>
      </c>
      <c r="B4644" s="241"/>
      <c r="C4644" s="1181">
        <v>88309</v>
      </c>
      <c r="D4644" s="161" t="str">
        <f>IF(B4644="SEPLAG",VLOOKUP(COMPOSIÇÕES!C4644,'MAPA COMPARATIVO'!A:B,2,FALSE),VLOOKUP(C4644,'NAO DESO'!A:B,2,0))</f>
        <v>PEDREIRO COM ENCARGOS COMPLEMENTARES</v>
      </c>
      <c r="E4644" s="241" t="str">
        <f>VLOOKUP($C4644,'NAO DESO'!$A:$D,3,)</f>
        <v>H</v>
      </c>
      <c r="F4644" s="242">
        <v>1</v>
      </c>
      <c r="G4644" s="242" t="str">
        <f>IF(B4644="SEPLAG",VLOOKUP(CONCATENATE("MEDIANA - ",C4644),COTAÇÃO,5,FALSE),VLOOKUP($C4644,'NAO DESO'!$A:$D,4,))</f>
        <v>21,10</v>
      </c>
      <c r="H4644" s="242">
        <f t="shared" si="258"/>
        <v>21.1</v>
      </c>
      <c r="I4644" s="54" t="str">
        <f>IF(B4644="SEPLAG",VLOOKUP(CONCATENATE("MEDIANA - ",C4644),COTAÇÃO,5,FALSE),VLOOKUP($C4644,DESON!$A:$D,4,))</f>
        <v>18,86</v>
      </c>
      <c r="J4644" s="209">
        <f t="shared" si="259"/>
        <v>18.86</v>
      </c>
    </row>
    <row r="4645" spans="1:10" ht="15" customHeight="1">
      <c r="A4645" s="208" t="s">
        <v>245</v>
      </c>
      <c r="B4645" s="241"/>
      <c r="C4645" s="1181">
        <v>88316</v>
      </c>
      <c r="D4645" s="161" t="str">
        <f>IF(B4645="SEPLAG",VLOOKUP(COMPOSIÇÕES!C4645,'MAPA COMPARATIVO'!A:B,2,FALSE),VLOOKUP(C4645,'NAO DESO'!A:B,2,0))</f>
        <v>SERVENTE COM ENCARGOS COMPLEMENTARES</v>
      </c>
      <c r="E4645" s="241" t="str">
        <f>VLOOKUP($C4645,'NAO DESO'!$A:$D,3,)</f>
        <v>H</v>
      </c>
      <c r="F4645" s="242">
        <v>1</v>
      </c>
      <c r="G4645" s="242" t="str">
        <f>IF(B4645="SEPLAG",VLOOKUP(CONCATENATE("MEDIANA - ",C4645),COTAÇÃO,5,FALSE),VLOOKUP($C4645,'NAO DESO'!$A:$D,4,))</f>
        <v>16,83</v>
      </c>
      <c r="H4645" s="242">
        <f t="shared" si="258"/>
        <v>16.829999999999998</v>
      </c>
      <c r="I4645" s="54" t="str">
        <f>IF(B4645="SEPLAG",VLOOKUP(CONCATENATE("MEDIANA - ",C4645),COTAÇÃO,5,FALSE),VLOOKUP($C4645,DESON!$A:$D,4,))</f>
        <v>15,16</v>
      </c>
      <c r="J4645" s="209">
        <f t="shared" si="259"/>
        <v>15.16</v>
      </c>
    </row>
    <row r="4646" spans="1:10" ht="15" customHeight="1">
      <c r="A4646" s="210" t="str">
        <f>CONCATENATE("TOTAL DO ITEM NÃO DESON. - ",C4630)</f>
        <v>TOTAL DO ITEM NÃO DESON. - SEPLAG HIDR 33</v>
      </c>
      <c r="B4646" s="430"/>
      <c r="C4646" s="430"/>
      <c r="D4646" s="430"/>
      <c r="E4646" s="430"/>
      <c r="F4646" s="1180"/>
      <c r="G4646" s="1180"/>
      <c r="H4646" s="1182">
        <f>SUM(H4633:H4645)</f>
        <v>2620.7199999999998</v>
      </c>
      <c r="I4646" s="231"/>
      <c r="J4646" s="215"/>
    </row>
    <row r="4647" spans="1:10" ht="15.75" customHeight="1" thickBot="1">
      <c r="A4647" s="216" t="str">
        <f>CONCATENATE("TOTAL DO ITEM DESON. - ",C4630)</f>
        <v>TOTAL DO ITEM DESON. - SEPLAG HIDR 33</v>
      </c>
      <c r="B4647" s="1142"/>
      <c r="C4647" s="1142"/>
      <c r="D4647" s="1142"/>
      <c r="E4647" s="1142"/>
      <c r="F4647" s="1211"/>
      <c r="G4647" s="1211"/>
      <c r="H4647" s="1187"/>
      <c r="I4647" s="260"/>
      <c r="J4647" s="219">
        <f>SUM(J4633:J4645)</f>
        <v>2538.1800000000003</v>
      </c>
    </row>
    <row r="4648" spans="1:10" ht="15" customHeight="1" thickBot="1">
      <c r="A4648" s="421"/>
      <c r="B4648" s="1138"/>
      <c r="C4648" s="1138"/>
      <c r="D4648" s="1138"/>
      <c r="E4648" s="1154"/>
      <c r="F4648" s="1196"/>
      <c r="G4648" s="1196"/>
      <c r="H4648" s="1196"/>
      <c r="I4648" s="422"/>
      <c r="J4648" s="422"/>
    </row>
    <row r="4649" spans="1:10" ht="38.25" customHeight="1">
      <c r="A4649" s="473" t="s">
        <v>421</v>
      </c>
      <c r="B4649" s="1234"/>
      <c r="C4649" s="1176" t="s">
        <v>7505</v>
      </c>
      <c r="D4649" s="156" t="s">
        <v>27963</v>
      </c>
      <c r="E4649" s="1176" t="s">
        <v>24</v>
      </c>
      <c r="F4649" s="1177" t="s">
        <v>18</v>
      </c>
      <c r="G4649" s="1178" t="s">
        <v>7015</v>
      </c>
      <c r="H4649" s="1179"/>
      <c r="I4649" s="200" t="s">
        <v>7016</v>
      </c>
      <c r="J4649" s="201"/>
    </row>
    <row r="4650" spans="1:10" ht="15" customHeight="1">
      <c r="A4650" s="257"/>
      <c r="B4650" s="430"/>
      <c r="C4650" s="1155"/>
      <c r="D4650" s="157"/>
      <c r="E4650" s="1155"/>
      <c r="F4650" s="1180"/>
      <c r="G4650" s="1180" t="s">
        <v>19</v>
      </c>
      <c r="H4650" s="1180" t="s">
        <v>20</v>
      </c>
      <c r="I4650" s="204" t="s">
        <v>19</v>
      </c>
      <c r="J4650" s="206" t="s">
        <v>20</v>
      </c>
    </row>
    <row r="4651" spans="1:10" ht="15" customHeight="1">
      <c r="A4651" s="258"/>
      <c r="B4651" s="1155"/>
      <c r="C4651" s="1155"/>
      <c r="D4651" s="157"/>
      <c r="E4651" s="1155"/>
      <c r="F4651" s="1180"/>
      <c r="G4651" s="1180"/>
      <c r="H4651" s="1180"/>
      <c r="I4651" s="238"/>
      <c r="J4651" s="259"/>
    </row>
    <row r="4652" spans="1:10" ht="39" customHeight="1">
      <c r="A4652" s="208" t="s">
        <v>245</v>
      </c>
      <c r="B4652" s="241"/>
      <c r="C4652" s="1181">
        <v>101159</v>
      </c>
      <c r="D4652" s="161" t="str">
        <f>IF(B4652="SEPLAG",VLOOKUP(COMPOSIÇÕES!C4652,'MAPA COMPARATIVO'!A:B,2,FALSE),VLOOKUP(C4652,'NAO DESO'!A:B,2,0))</f>
        <v>ALVENARIA DE VEDAÇÃO DE BLOCOS CERÂMICOS MACIÇOS DE 5X10X20CM (ESPESSURA 10CM) E ARGAMASSA DE ASSENTAMENTO COM PREPARO EM BETONEIRA. AF_05/2020</v>
      </c>
      <c r="E4652" s="241" t="str">
        <f>VLOOKUP($C4652,'NAO DESO'!$A:$D,3,)</f>
        <v>M2</v>
      </c>
      <c r="F4652" s="242">
        <v>3.78</v>
      </c>
      <c r="G4652" s="242" t="str">
        <f>IF(B4652="SEPLAG",VLOOKUP(CONCATENATE("MEDIANA - ",C4652),COTAÇÃO,5,FALSE),VLOOKUP($C4652,'NAO DESO'!$A:$D,4,))</f>
        <v>126,63</v>
      </c>
      <c r="H4652" s="242">
        <f t="shared" ref="H4652:H4664" si="260">TRUNC(F4652*G4652,2)</f>
        <v>478.66</v>
      </c>
      <c r="I4652" s="54" t="str">
        <f>IF(B4652="SEPLAG",VLOOKUP(CONCATENATE("MEDIANA - ",C4652),COTAÇÃO,5,FALSE),VLOOKUP($C4652,DESON!$A:$D,4,))</f>
        <v>120,46</v>
      </c>
      <c r="J4652" s="209">
        <f t="shared" ref="J4652:J4664" si="261">TRUNC(F4652*I4652,2)</f>
        <v>455.33</v>
      </c>
    </row>
    <row r="4653" spans="1:10" ht="64.5" customHeight="1">
      <c r="A4653" s="208" t="s">
        <v>245</v>
      </c>
      <c r="B4653" s="241"/>
      <c r="C4653" s="1181">
        <v>87543</v>
      </c>
      <c r="D4653" s="161" t="str">
        <f>IF(B4653="SEPLAG",VLOOKUP(COMPOSIÇÕES!C4653,'MAPA COMPARATIVO'!A:B,2,FALSE),VLOOKUP(C4653,'NAO DESO'!A:B,2,0))</f>
        <v>MASSA ÚNICA, PARA RECEBIMENTO DE PINTURA OU CERÂMICA, ARGAMASSA INDUSTRIALIZADA, PREPARO MECÂNICO, APLICADO COM EQUIPAMENTO DE MISTURA E PROJEÇÃO DE 1,5 M3/H EM FACES INTERNAS DE PAREDES, ESPESSURA DE 5MM, SEM EXECUÇÃO DE TALISCAS. AF_06/2014</v>
      </c>
      <c r="E4653" s="241" t="str">
        <f>VLOOKUP($C4653,'NAO DESO'!$A:$D,3,)</f>
        <v>M2</v>
      </c>
      <c r="F4653" s="242">
        <v>11.16</v>
      </c>
      <c r="G4653" s="242" t="str">
        <f>IF(B4653="SEPLAG",VLOOKUP(CONCATENATE("MEDIANA - ",C4653),COTAÇÃO,5,FALSE),VLOOKUP($C4653,'NAO DESO'!$A:$D,4,))</f>
        <v>24,40</v>
      </c>
      <c r="H4653" s="242">
        <f t="shared" si="260"/>
        <v>272.3</v>
      </c>
      <c r="I4653" s="54" t="str">
        <f>IF(B4653="SEPLAG",VLOOKUP(CONCATENATE("MEDIANA - ",C4653),COTAÇÃO,5,FALSE),VLOOKUP($C4653,DESON!$A:$D,4,))</f>
        <v>23,82</v>
      </c>
      <c r="J4653" s="209">
        <f t="shared" si="261"/>
        <v>265.83</v>
      </c>
    </row>
    <row r="4654" spans="1:10" ht="39" customHeight="1">
      <c r="A4654" s="208" t="s">
        <v>245</v>
      </c>
      <c r="B4654" s="241"/>
      <c r="C4654" s="1181">
        <v>94970</v>
      </c>
      <c r="D4654" s="161" t="str">
        <f>IF(B4654="SEPLAG",VLOOKUP(COMPOSIÇÕES!C4654,'MAPA COMPARATIVO'!A:B,2,FALSE),VLOOKUP(C4654,'NAO DESO'!A:B,2,0))</f>
        <v>CONCRETO FCK = 20MPA, TRAÇO 1:2,7:3 (EM MASSA SECA DE CIMENTO/ AREIA MÉDIA/ BRITA 1) - PREPARO MECÂNICO COM BETONEIRA 600 L. AF_05/2021</v>
      </c>
      <c r="E4654" s="241" t="str">
        <f>VLOOKUP($C4654,'NAO DESO'!$A:$D,3,)</f>
        <v>M3</v>
      </c>
      <c r="F4654" s="242">
        <v>0.1</v>
      </c>
      <c r="G4654" s="242" t="str">
        <f>IF(B4654="SEPLAG",VLOOKUP(CONCATENATE("MEDIANA - ",C4654),COTAÇÃO,5,FALSE),VLOOKUP($C4654,'NAO DESO'!$A:$D,4,))</f>
        <v>405,57</v>
      </c>
      <c r="H4654" s="242">
        <f t="shared" si="260"/>
        <v>40.549999999999997</v>
      </c>
      <c r="I4654" s="54" t="str">
        <f>IF(B4654="SEPLAG",VLOOKUP(CONCATENATE("MEDIANA - ",C4654),COTAÇÃO,5,FALSE),VLOOKUP($C4654,DESON!$A:$D,4,))</f>
        <v>400,17</v>
      </c>
      <c r="J4654" s="209">
        <f t="shared" si="261"/>
        <v>40.01</v>
      </c>
    </row>
    <row r="4655" spans="1:10" ht="26.25" customHeight="1">
      <c r="A4655" s="208" t="s">
        <v>245</v>
      </c>
      <c r="B4655" s="241"/>
      <c r="C4655" s="1181">
        <v>93358</v>
      </c>
      <c r="D4655" s="161" t="str">
        <f>IF(B4655="SEPLAG",VLOOKUP(COMPOSIÇÕES!C4655,'MAPA COMPARATIVO'!A:B,2,FALSE),VLOOKUP(C4655,'NAO DESO'!A:B,2,0))</f>
        <v>ESCAVAÇÃO MANUAL DE VALA COM PROFUNDIDADE MENOR OU IGUAL A 1,30 M. AF_02/2021</v>
      </c>
      <c r="E4655" s="241" t="str">
        <f>VLOOKUP($C4655,'NAO DESO'!$A:$D,3,)</f>
        <v>M3</v>
      </c>
      <c r="F4655" s="242">
        <v>3.89</v>
      </c>
      <c r="G4655" s="242" t="str">
        <f>IF(B4655="SEPLAG",VLOOKUP(CONCATENATE("MEDIANA - ",C4655),COTAÇÃO,5,FALSE),VLOOKUP($C4655,'NAO DESO'!$A:$D,4,))</f>
        <v>66,57</v>
      </c>
      <c r="H4655" s="242">
        <f t="shared" si="260"/>
        <v>258.95</v>
      </c>
      <c r="I4655" s="54" t="str">
        <f>IF(B4655="SEPLAG",VLOOKUP(CONCATENATE("MEDIANA - ",C4655),COTAÇÃO,5,FALSE),VLOOKUP($C4655,DESON!$A:$D,4,))</f>
        <v>59,97</v>
      </c>
      <c r="J4655" s="209">
        <f t="shared" si="261"/>
        <v>233.28</v>
      </c>
    </row>
    <row r="4656" spans="1:10" ht="26.25" customHeight="1">
      <c r="A4656" s="208" t="s">
        <v>245</v>
      </c>
      <c r="B4656" s="241"/>
      <c r="C4656" s="1181">
        <v>101617</v>
      </c>
      <c r="D4656" s="161" t="str">
        <f>IF(B4656="SEPLAG",VLOOKUP(COMPOSIÇÕES!C4656,'MAPA COMPARATIVO'!A:B,2,FALSE),VLOOKUP(C4656,'NAO DESO'!A:B,2,0))</f>
        <v>PREPARO DE FUNDO DE VALA COM LARGURA MAIOR OU IGUAL A 1,5 M E MENOR QUE 2,5 M (ACERTO DO SOLO NATURAL). AF_08/2020</v>
      </c>
      <c r="E4656" s="241" t="str">
        <f>VLOOKUP($C4656,'NAO DESO'!$A:$D,3,)</f>
        <v>M2</v>
      </c>
      <c r="F4656" s="242">
        <v>1</v>
      </c>
      <c r="G4656" s="242" t="str">
        <f>IF(B4656="SEPLAG",VLOOKUP(CONCATENATE("MEDIANA - ",C4656),COTAÇÃO,5,FALSE),VLOOKUP($C4656,'NAO DESO'!$A:$D,4,))</f>
        <v>2,38</v>
      </c>
      <c r="H4656" s="242">
        <f t="shared" si="260"/>
        <v>2.38</v>
      </c>
      <c r="I4656" s="54" t="str">
        <f>IF(B4656="SEPLAG",VLOOKUP(CONCATENATE("MEDIANA - ",C4656),COTAÇÃO,5,FALSE),VLOOKUP($C4656,DESON!$A:$D,4,))</f>
        <v>2,15</v>
      </c>
      <c r="J4656" s="209">
        <f t="shared" si="261"/>
        <v>2.15</v>
      </c>
    </row>
    <row r="4657" spans="1:10" ht="15" customHeight="1">
      <c r="A4657" s="208" t="s">
        <v>245</v>
      </c>
      <c r="B4657" s="241"/>
      <c r="C4657" s="1181">
        <v>96995</v>
      </c>
      <c r="D4657" s="161" t="str">
        <f>IF(B4657="SEPLAG",VLOOKUP(COMPOSIÇÕES!C4657,'MAPA COMPARATIVO'!A:B,2,FALSE),VLOOKUP(C4657,'NAO DESO'!A:B,2,0))</f>
        <v>REATERRO MANUAL APILOADO COM SOQUETE. AF_10/2017</v>
      </c>
      <c r="E4657" s="241" t="str">
        <f>VLOOKUP($C4657,'NAO DESO'!$A:$D,3,)</f>
        <v>M3</v>
      </c>
      <c r="F4657" s="242">
        <v>2.84</v>
      </c>
      <c r="G4657" s="242" t="str">
        <f>IF(B4657="SEPLAG",VLOOKUP(CONCATENATE("MEDIANA - ",C4657),COTAÇÃO,5,FALSE),VLOOKUP($C4657,'NAO DESO'!$A:$D,4,))</f>
        <v>40,36</v>
      </c>
      <c r="H4657" s="242">
        <f t="shared" si="260"/>
        <v>114.62</v>
      </c>
      <c r="I4657" s="54" t="str">
        <f>IF(B4657="SEPLAG",VLOOKUP(CONCATENATE("MEDIANA - ",C4657),COTAÇÃO,5,FALSE),VLOOKUP($C4657,DESON!$A:$D,4,))</f>
        <v>36,36</v>
      </c>
      <c r="J4657" s="209">
        <f t="shared" si="261"/>
        <v>103.26</v>
      </c>
    </row>
    <row r="4658" spans="1:10" ht="26.25" customHeight="1">
      <c r="A4658" s="208" t="s">
        <v>245</v>
      </c>
      <c r="B4658" s="241"/>
      <c r="C4658" s="1181">
        <v>98557</v>
      </c>
      <c r="D4658" s="161" t="str">
        <f>IF(B4658="SEPLAG",VLOOKUP(COMPOSIÇÕES!C4658,'MAPA COMPARATIVO'!A:B,2,FALSE),VLOOKUP(C4658,'NAO DESO'!A:B,2,0))</f>
        <v>IMPERMEABILIZAÇÃO DE SUPERFÍCIE COM EMULSÃO ASFÁLTICA, 2 DEMÃOS AF_06/2018</v>
      </c>
      <c r="E4658" s="241" t="str">
        <f>VLOOKUP($C4658,'NAO DESO'!$A:$D,3,)</f>
        <v>M2</v>
      </c>
      <c r="F4658" s="242">
        <f>F4653</f>
        <v>11.16</v>
      </c>
      <c r="G4658" s="242" t="str">
        <f>IF(B4658="SEPLAG",VLOOKUP(CONCATENATE("MEDIANA - ",C4658),COTAÇÃO,5,FALSE),VLOOKUP($C4658,'NAO DESO'!$A:$D,4,))</f>
        <v>58,82</v>
      </c>
      <c r="H4658" s="242">
        <f t="shared" si="260"/>
        <v>656.43</v>
      </c>
      <c r="I4658" s="54" t="str">
        <f>IF(B4658="SEPLAG",VLOOKUP(CONCATENATE("MEDIANA - ",C4658),COTAÇÃO,5,FALSE),VLOOKUP($C4658,DESON!$A:$D,4,))</f>
        <v>57,84</v>
      </c>
      <c r="J4658" s="209">
        <f t="shared" si="261"/>
        <v>645.49</v>
      </c>
    </row>
    <row r="4659" spans="1:10" ht="26.25" customHeight="1">
      <c r="A4659" s="208" t="s">
        <v>245</v>
      </c>
      <c r="B4659" s="241"/>
      <c r="C4659" s="1181">
        <v>11301</v>
      </c>
      <c r="D4659" s="161" t="str">
        <f>IF(B4659="SEPLAG",VLOOKUP(COMPOSIÇÕES!C4659,'MAPA COMPARATIVO'!A:B,2,FALSE),VLOOKUP(C4659,'NAO DESO'!A:B,2,0))</f>
        <v>TAMPAO FOFO ARTICULADO, CLASSE B125 CARGA MAX 12,5 T, REDONDO, TAMPA 600 MM (COM INSCRICAO EM RELEVO DO TIPO DE REDE)</v>
      </c>
      <c r="E4659" s="241" t="str">
        <f>VLOOKUP($C4659,'NAO DESO'!$A:$D,3,)</f>
        <v xml:space="preserve">UN    </v>
      </c>
      <c r="F4659" s="242">
        <v>1</v>
      </c>
      <c r="G4659" s="242">
        <f>IF(B4659="SEPLAG",VLOOKUP(CONCATENATE("MEDIANA - ",C4659),COTAÇÃO,5,FALSE),VLOOKUP($C4659,'NAO DESO'!$A:$D,4,))</f>
        <v>660.46</v>
      </c>
      <c r="H4659" s="242">
        <f t="shared" si="260"/>
        <v>660.46</v>
      </c>
      <c r="I4659" s="54" t="str">
        <f>IF(B4659="SEPLAG",VLOOKUP(CONCATENATE("MEDIANA - ",C4659),COTAÇÃO,5,FALSE),VLOOKUP($C4659,DESON!$A:$D,4,))</f>
        <v>660,46</v>
      </c>
      <c r="J4659" s="209">
        <f t="shared" si="261"/>
        <v>660.46</v>
      </c>
    </row>
    <row r="4660" spans="1:10" ht="39" customHeight="1">
      <c r="A4660" s="208" t="s">
        <v>245</v>
      </c>
      <c r="B4660" s="241"/>
      <c r="C4660" s="1181">
        <v>92775</v>
      </c>
      <c r="D4660" s="161" t="str">
        <f>IF(B4660="SEPLAG",VLOOKUP(COMPOSIÇÕES!C4660,'MAPA COMPARATIVO'!A:B,2,FALSE),VLOOKUP(C4660,'NAO DESO'!A:B,2,0))</f>
        <v>ARMAÇÃO DE PILAR OU VIGA DE UMA ESTRUTURA CONVENCIONAL DE CONCRETO ARMADO EM UMA EDIFICAÇÃO TÉRREA OU SOBRADO UTILIZANDO AÇO CA-60 DE 5,0 MM - MONTAGEM. AF_12/2015</v>
      </c>
      <c r="E4660" s="241" t="str">
        <f>VLOOKUP($C4660,'NAO DESO'!$A:$D,3,)</f>
        <v>KG</v>
      </c>
      <c r="F4660" s="242">
        <v>1.66</v>
      </c>
      <c r="G4660" s="242" t="str">
        <f>IF(B4660="SEPLAG",VLOOKUP(CONCATENATE("MEDIANA - ",C4660),COTAÇÃO,5,FALSE),VLOOKUP($C4660,'NAO DESO'!$A:$D,4,))</f>
        <v>18,46</v>
      </c>
      <c r="H4660" s="242">
        <f t="shared" si="260"/>
        <v>30.64</v>
      </c>
      <c r="I4660" s="54" t="str">
        <f>IF(B4660="SEPLAG",VLOOKUP(CONCATENATE("MEDIANA - ",C4660),COTAÇÃO,5,FALSE),VLOOKUP($C4660,DESON!$A:$D,4,))</f>
        <v>17,71</v>
      </c>
      <c r="J4660" s="209">
        <f t="shared" si="261"/>
        <v>29.39</v>
      </c>
    </row>
    <row r="4661" spans="1:10" ht="39" customHeight="1">
      <c r="A4661" s="208" t="s">
        <v>245</v>
      </c>
      <c r="B4661" s="241"/>
      <c r="C4661" s="1181">
        <v>92778</v>
      </c>
      <c r="D4661" s="161" t="str">
        <f>IF(B4661="SEPLAG",VLOOKUP(COMPOSIÇÕES!C4661,'MAPA COMPARATIVO'!A:B,2,FALSE),VLOOKUP(C4661,'NAO DESO'!A:B,2,0))</f>
        <v>ARMAÇÃO DE PILAR OU VIGA DE UMA ESTRUTURA CONVENCIONAL DE CONCRETO ARMADO EM UMA EDIFICAÇÃO TÉRREA OU SOBRADO UTILIZANDO AÇO CA-50 DE 10,0 MM - MONTAGEM. AF_12/2015</v>
      </c>
      <c r="E4661" s="241" t="str">
        <f>VLOOKUP($C4661,'NAO DESO'!$A:$D,3,)</f>
        <v>KG</v>
      </c>
      <c r="F4661" s="242">
        <v>8.8800000000000008</v>
      </c>
      <c r="G4661" s="242" t="str">
        <f>IF(B4661="SEPLAG",VLOOKUP(CONCATENATE("MEDIANA - ",C4661),COTAÇÃO,5,FALSE),VLOOKUP($C4661,'NAO DESO'!$A:$D,4,))</f>
        <v>14,78</v>
      </c>
      <c r="H4661" s="242">
        <f t="shared" si="260"/>
        <v>131.24</v>
      </c>
      <c r="I4661" s="54" t="str">
        <f>IF(B4661="SEPLAG",VLOOKUP(CONCATENATE("MEDIANA - ",C4661),COTAÇÃO,5,FALSE),VLOOKUP($C4661,DESON!$A:$D,4,))</f>
        <v>14,50</v>
      </c>
      <c r="J4661" s="209">
        <f t="shared" si="261"/>
        <v>128.76</v>
      </c>
    </row>
    <row r="4662" spans="1:10" ht="39" customHeight="1">
      <c r="A4662" s="208" t="s">
        <v>245</v>
      </c>
      <c r="B4662" s="241"/>
      <c r="C4662" s="1181">
        <v>92423</v>
      </c>
      <c r="D4662" s="161" t="str">
        <f>IF(B4662="SEPLAG",VLOOKUP(COMPOSIÇÕES!C4662,'MAPA COMPARATIVO'!A:B,2,FALSE),VLOOKUP(C4662,'NAO DESO'!A:B,2,0))</f>
        <v>MONTAGEM E DESMONTAGEM DE FÔRMA DE PILARES RETANGULARES E ESTRUTURAS SIMILARES, PÉ-DIREITO SIMPLES, EM CHAPA DE MADEIRA COMPENSADA RESINADA, 6 UTILIZAÇÕES. AF_09/2020</v>
      </c>
      <c r="E4662" s="241" t="str">
        <f>VLOOKUP($C4662,'NAO DESO'!$A:$D,3,)</f>
        <v>M2</v>
      </c>
      <c r="F4662" s="242">
        <v>1.08</v>
      </c>
      <c r="G4662" s="242" t="str">
        <f>IF(B4662="SEPLAG",VLOOKUP(CONCATENATE("MEDIANA - ",C4662),COTAÇÃO,5,FALSE),VLOOKUP($C4662,'NAO DESO'!$A:$D,4,))</f>
        <v>67,90</v>
      </c>
      <c r="H4662" s="242">
        <f t="shared" si="260"/>
        <v>73.33</v>
      </c>
      <c r="I4662" s="54" t="str">
        <f>IF(B4662="SEPLAG",VLOOKUP(CONCATENATE("MEDIANA - ",C4662),COTAÇÃO,5,FALSE),VLOOKUP($C4662,DESON!$A:$D,4,))</f>
        <v>65,30</v>
      </c>
      <c r="J4662" s="209">
        <f t="shared" si="261"/>
        <v>70.52</v>
      </c>
    </row>
    <row r="4663" spans="1:10" ht="15" customHeight="1">
      <c r="A4663" s="208" t="s">
        <v>245</v>
      </c>
      <c r="B4663" s="241"/>
      <c r="C4663" s="1181">
        <v>88309</v>
      </c>
      <c r="D4663" s="161" t="str">
        <f>IF(B4663="SEPLAG",VLOOKUP(COMPOSIÇÕES!C4663,'MAPA COMPARATIVO'!A:B,2,FALSE),VLOOKUP(C4663,'NAO DESO'!A:B,2,0))</f>
        <v>PEDREIRO COM ENCARGOS COMPLEMENTARES</v>
      </c>
      <c r="E4663" s="241" t="str">
        <f>VLOOKUP($C4663,'NAO DESO'!$A:$D,3,)</f>
        <v>H</v>
      </c>
      <c r="F4663" s="242">
        <v>1</v>
      </c>
      <c r="G4663" s="242" t="str">
        <f>IF(B4663="SEPLAG",VLOOKUP(CONCATENATE("MEDIANA - ",C4663),COTAÇÃO,5,FALSE),VLOOKUP($C4663,'NAO DESO'!$A:$D,4,))</f>
        <v>21,10</v>
      </c>
      <c r="H4663" s="242">
        <f t="shared" si="260"/>
        <v>21.1</v>
      </c>
      <c r="I4663" s="54" t="str">
        <f>IF(B4663="SEPLAG",VLOOKUP(CONCATENATE("MEDIANA - ",C4663),COTAÇÃO,5,FALSE),VLOOKUP($C4663,DESON!$A:$D,4,))</f>
        <v>18,86</v>
      </c>
      <c r="J4663" s="209">
        <f t="shared" si="261"/>
        <v>18.86</v>
      </c>
    </row>
    <row r="4664" spans="1:10" ht="15" customHeight="1">
      <c r="A4664" s="208" t="s">
        <v>245</v>
      </c>
      <c r="B4664" s="241"/>
      <c r="C4664" s="1181">
        <v>88316</v>
      </c>
      <c r="D4664" s="161" t="str">
        <f>IF(B4664="SEPLAG",VLOOKUP(COMPOSIÇÕES!C4664,'MAPA COMPARATIVO'!A:B,2,FALSE),VLOOKUP(C4664,'NAO DESO'!A:B,2,0))</f>
        <v>SERVENTE COM ENCARGOS COMPLEMENTARES</v>
      </c>
      <c r="E4664" s="241" t="str">
        <f>VLOOKUP($C4664,'NAO DESO'!$A:$D,3,)</f>
        <v>H</v>
      </c>
      <c r="F4664" s="242">
        <v>1</v>
      </c>
      <c r="G4664" s="242" t="str">
        <f>IF(B4664="SEPLAG",VLOOKUP(CONCATENATE("MEDIANA - ",C4664),COTAÇÃO,5,FALSE),VLOOKUP($C4664,'NAO DESO'!$A:$D,4,))</f>
        <v>16,83</v>
      </c>
      <c r="H4664" s="242">
        <f t="shared" si="260"/>
        <v>16.829999999999998</v>
      </c>
      <c r="I4664" s="54" t="str">
        <f>IF(B4664="SEPLAG",VLOOKUP(CONCATENATE("MEDIANA - ",C4664),COTAÇÃO,5,FALSE),VLOOKUP($C4664,DESON!$A:$D,4,))</f>
        <v>15,16</v>
      </c>
      <c r="J4664" s="209">
        <f t="shared" si="261"/>
        <v>15.16</v>
      </c>
    </row>
    <row r="4665" spans="1:10" ht="15" customHeight="1">
      <c r="A4665" s="210" t="str">
        <f>CONCATENATE("TOTAL DO ITEM NÃO DESON. - ",C4649)</f>
        <v>TOTAL DO ITEM NÃO DESON. - SEPLAG HIDR 34</v>
      </c>
      <c r="B4665" s="430"/>
      <c r="C4665" s="430"/>
      <c r="D4665" s="430"/>
      <c r="E4665" s="430"/>
      <c r="F4665" s="1180"/>
      <c r="G4665" s="1180"/>
      <c r="H4665" s="1182">
        <f>SUM(H4652:H4664)</f>
        <v>2757.4899999999993</v>
      </c>
      <c r="I4665" s="231"/>
      <c r="J4665" s="215"/>
    </row>
    <row r="4666" spans="1:10" ht="15.75" customHeight="1" thickBot="1">
      <c r="A4666" s="216" t="str">
        <f>CONCATENATE("TOTAL DO ITEM DESON. - ",C4649)</f>
        <v>TOTAL DO ITEM DESON. - SEPLAG HIDR 34</v>
      </c>
      <c r="B4666" s="1142"/>
      <c r="C4666" s="1142"/>
      <c r="D4666" s="1142"/>
      <c r="E4666" s="1142"/>
      <c r="F4666" s="1211"/>
      <c r="G4666" s="1211"/>
      <c r="H4666" s="1187"/>
      <c r="I4666" s="260"/>
      <c r="J4666" s="219">
        <f>SUM(J4652:J4664)</f>
        <v>2668.5</v>
      </c>
    </row>
    <row r="4667" spans="1:10" ht="15" customHeight="1" thickBot="1">
      <c r="A4667" s="421"/>
      <c r="B4667" s="1138"/>
      <c r="C4667" s="1138"/>
      <c r="D4667" s="1138"/>
      <c r="E4667" s="1154"/>
      <c r="F4667" s="1196"/>
      <c r="G4667" s="1196"/>
      <c r="H4667" s="1196"/>
      <c r="I4667" s="422"/>
      <c r="J4667" s="422"/>
    </row>
    <row r="4668" spans="1:10" ht="38.25" customHeight="1">
      <c r="A4668" s="473" t="s">
        <v>421</v>
      </c>
      <c r="B4668" s="1234"/>
      <c r="C4668" s="1176" t="s">
        <v>7506</v>
      </c>
      <c r="D4668" s="156" t="s">
        <v>27964</v>
      </c>
      <c r="E4668" s="1176" t="s">
        <v>24</v>
      </c>
      <c r="F4668" s="1177" t="s">
        <v>18</v>
      </c>
      <c r="G4668" s="1178" t="s">
        <v>7015</v>
      </c>
      <c r="H4668" s="1179"/>
      <c r="I4668" s="200" t="s">
        <v>7016</v>
      </c>
      <c r="J4668" s="201"/>
    </row>
    <row r="4669" spans="1:10" ht="15" customHeight="1">
      <c r="A4669" s="257"/>
      <c r="B4669" s="430"/>
      <c r="C4669" s="1155"/>
      <c r="D4669" s="157"/>
      <c r="E4669" s="1155"/>
      <c r="F4669" s="1180"/>
      <c r="G4669" s="1180" t="s">
        <v>19</v>
      </c>
      <c r="H4669" s="1180" t="s">
        <v>20</v>
      </c>
      <c r="I4669" s="204" t="s">
        <v>19</v>
      </c>
      <c r="J4669" s="206" t="s">
        <v>20</v>
      </c>
    </row>
    <row r="4670" spans="1:10" ht="15" customHeight="1">
      <c r="A4670" s="258"/>
      <c r="B4670" s="1155"/>
      <c r="C4670" s="1155"/>
      <c r="D4670" s="157"/>
      <c r="E4670" s="1155"/>
      <c r="F4670" s="1180"/>
      <c r="G4670" s="1180"/>
      <c r="H4670" s="1180"/>
      <c r="I4670" s="238"/>
      <c r="J4670" s="259"/>
    </row>
    <row r="4671" spans="1:10" ht="39" customHeight="1">
      <c r="A4671" s="208" t="s">
        <v>245</v>
      </c>
      <c r="B4671" s="241"/>
      <c r="C4671" s="1181">
        <v>101159</v>
      </c>
      <c r="D4671" s="161" t="str">
        <f>IF(B4671="SEPLAG",VLOOKUP(COMPOSIÇÕES!C4671,'MAPA COMPARATIVO'!A:B,2,FALSE),VLOOKUP(C4671,'NAO DESO'!A:B,2,0))</f>
        <v>ALVENARIA DE VEDAÇÃO DE BLOCOS CERÂMICOS MACIÇOS DE 5X10X20CM (ESPESSURA 10CM) E ARGAMASSA DE ASSENTAMENTO COM PREPARO EM BETONEIRA. AF_05/2020</v>
      </c>
      <c r="E4671" s="241" t="str">
        <f>VLOOKUP($C4671,'NAO DESO'!$A:$D,3,)</f>
        <v>M2</v>
      </c>
      <c r="F4671" s="242">
        <v>3.96</v>
      </c>
      <c r="G4671" s="242" t="str">
        <f>IF(B4671="SEPLAG",VLOOKUP(CONCATENATE("MEDIANA - ",C4671),COTAÇÃO,5,FALSE),VLOOKUP($C4671,'NAO DESO'!$A:$D,4,))</f>
        <v>126,63</v>
      </c>
      <c r="H4671" s="242">
        <f t="shared" ref="H4671:H4683" si="262">TRUNC(F4671*G4671,2)</f>
        <v>501.45</v>
      </c>
      <c r="I4671" s="54" t="str">
        <f>IF(B4671="SEPLAG",VLOOKUP(CONCATENATE("MEDIANA - ",C4671),COTAÇÃO,5,FALSE),VLOOKUP($C4671,DESON!$A:$D,4,))</f>
        <v>120,46</v>
      </c>
      <c r="J4671" s="209">
        <f t="shared" ref="J4671:J4683" si="263">TRUNC(F4671*I4671,2)</f>
        <v>477.02</v>
      </c>
    </row>
    <row r="4672" spans="1:10" ht="64.5" customHeight="1">
      <c r="A4672" s="208" t="s">
        <v>245</v>
      </c>
      <c r="B4672" s="241"/>
      <c r="C4672" s="1181">
        <v>87543</v>
      </c>
      <c r="D4672" s="161" t="str">
        <f>IF(B4672="SEPLAG",VLOOKUP(COMPOSIÇÕES!C4672,'MAPA COMPARATIVO'!A:B,2,FALSE),VLOOKUP(C4672,'NAO DESO'!A:B,2,0))</f>
        <v>MASSA ÚNICA, PARA RECEBIMENTO DE PINTURA OU CERÂMICA, ARGAMASSA INDUSTRIALIZADA, PREPARO MECÂNICO, APLICADO COM EQUIPAMENTO DE MISTURA E PROJEÇÃO DE 1,5 M3/H EM FACES INTERNAS DE PAREDES, ESPESSURA DE 5MM, SEM EXECUÇÃO DE TALISCAS. AF_06/2014</v>
      </c>
      <c r="E4672" s="241" t="str">
        <f>VLOOKUP($C4672,'NAO DESO'!$A:$D,3,)</f>
        <v>M2</v>
      </c>
      <c r="F4672" s="242">
        <v>11.52</v>
      </c>
      <c r="G4672" s="242" t="str">
        <f>IF(B4672="SEPLAG",VLOOKUP(CONCATENATE("MEDIANA - ",C4672),COTAÇÃO,5,FALSE),VLOOKUP($C4672,'NAO DESO'!$A:$D,4,))</f>
        <v>24,40</v>
      </c>
      <c r="H4672" s="242">
        <f t="shared" si="262"/>
        <v>281.08</v>
      </c>
      <c r="I4672" s="54" t="str">
        <f>IF(B4672="SEPLAG",VLOOKUP(CONCATENATE("MEDIANA - ",C4672),COTAÇÃO,5,FALSE),VLOOKUP($C4672,DESON!$A:$D,4,))</f>
        <v>23,82</v>
      </c>
      <c r="J4672" s="209">
        <f t="shared" si="263"/>
        <v>274.39999999999998</v>
      </c>
    </row>
    <row r="4673" spans="1:10" ht="39" customHeight="1">
      <c r="A4673" s="208" t="s">
        <v>245</v>
      </c>
      <c r="B4673" s="241"/>
      <c r="C4673" s="1181">
        <v>94970</v>
      </c>
      <c r="D4673" s="161" t="str">
        <f>IF(B4673="SEPLAG",VLOOKUP(COMPOSIÇÕES!C4673,'MAPA COMPARATIVO'!A:B,2,FALSE),VLOOKUP(C4673,'NAO DESO'!A:B,2,0))</f>
        <v>CONCRETO FCK = 20MPA, TRAÇO 1:2,7:3 (EM MASSA SECA DE CIMENTO/ AREIA MÉDIA/ BRITA 1) - PREPARO MECÂNICO COM BETONEIRA 600 L. AF_05/2021</v>
      </c>
      <c r="E4673" s="241" t="str">
        <f>VLOOKUP($C4673,'NAO DESO'!$A:$D,3,)</f>
        <v>M3</v>
      </c>
      <c r="F4673" s="242">
        <v>0.1</v>
      </c>
      <c r="G4673" s="242" t="str">
        <f>IF(B4673="SEPLAG",VLOOKUP(CONCATENATE("MEDIANA - ",C4673),COTAÇÃO,5,FALSE),VLOOKUP($C4673,'NAO DESO'!$A:$D,4,))</f>
        <v>405,57</v>
      </c>
      <c r="H4673" s="242">
        <f t="shared" si="262"/>
        <v>40.549999999999997</v>
      </c>
      <c r="I4673" s="54" t="str">
        <f>IF(B4673="SEPLAG",VLOOKUP(CONCATENATE("MEDIANA - ",C4673),COTAÇÃO,5,FALSE),VLOOKUP($C4673,DESON!$A:$D,4,))</f>
        <v>400,17</v>
      </c>
      <c r="J4673" s="209">
        <f t="shared" si="263"/>
        <v>40.01</v>
      </c>
    </row>
    <row r="4674" spans="1:10" ht="26.25" customHeight="1">
      <c r="A4674" s="208" t="s">
        <v>245</v>
      </c>
      <c r="B4674" s="241"/>
      <c r="C4674" s="1181">
        <v>93358</v>
      </c>
      <c r="D4674" s="161" t="str">
        <f>IF(B4674="SEPLAG",VLOOKUP(COMPOSIÇÕES!C4674,'MAPA COMPARATIVO'!A:B,2,FALSE),VLOOKUP(C4674,'NAO DESO'!A:B,2,0))</f>
        <v>ESCAVAÇÃO MANUAL DE VALA COM PROFUNDIDADE MENOR OU IGUAL A 1,30 M. AF_02/2021</v>
      </c>
      <c r="E4674" s="241" t="str">
        <f>VLOOKUP($C4674,'NAO DESO'!$A:$D,3,)</f>
        <v>M3</v>
      </c>
      <c r="F4674" s="242">
        <v>4.05</v>
      </c>
      <c r="G4674" s="242" t="str">
        <f>IF(B4674="SEPLAG",VLOOKUP(CONCATENATE("MEDIANA - ",C4674),COTAÇÃO,5,FALSE),VLOOKUP($C4674,'NAO DESO'!$A:$D,4,))</f>
        <v>66,57</v>
      </c>
      <c r="H4674" s="242">
        <f t="shared" si="262"/>
        <v>269.60000000000002</v>
      </c>
      <c r="I4674" s="54" t="str">
        <f>IF(B4674="SEPLAG",VLOOKUP(CONCATENATE("MEDIANA - ",C4674),COTAÇÃO,5,FALSE),VLOOKUP($C4674,DESON!$A:$D,4,))</f>
        <v>59,97</v>
      </c>
      <c r="J4674" s="209">
        <f t="shared" si="263"/>
        <v>242.87</v>
      </c>
    </row>
    <row r="4675" spans="1:10" ht="26.25" customHeight="1">
      <c r="A4675" s="208" t="s">
        <v>245</v>
      </c>
      <c r="B4675" s="241"/>
      <c r="C4675" s="1181">
        <v>101617</v>
      </c>
      <c r="D4675" s="161" t="str">
        <f>IF(B4675="SEPLAG",VLOOKUP(COMPOSIÇÕES!C4675,'MAPA COMPARATIVO'!A:B,2,FALSE),VLOOKUP(C4675,'NAO DESO'!A:B,2,0))</f>
        <v>PREPARO DE FUNDO DE VALA COM LARGURA MAIOR OU IGUAL A 1,5 M E MENOR QUE 2,5 M (ACERTO DO SOLO NATURAL). AF_08/2020</v>
      </c>
      <c r="E4675" s="241" t="str">
        <f>VLOOKUP($C4675,'NAO DESO'!$A:$D,3,)</f>
        <v>M2</v>
      </c>
      <c r="F4675" s="242">
        <v>1</v>
      </c>
      <c r="G4675" s="242" t="str">
        <f>IF(B4675="SEPLAG",VLOOKUP(CONCATENATE("MEDIANA - ",C4675),COTAÇÃO,5,FALSE),VLOOKUP($C4675,'NAO DESO'!$A:$D,4,))</f>
        <v>2,38</v>
      </c>
      <c r="H4675" s="242">
        <f t="shared" si="262"/>
        <v>2.38</v>
      </c>
      <c r="I4675" s="54" t="str">
        <f>IF(B4675="SEPLAG",VLOOKUP(CONCATENATE("MEDIANA - ",C4675),COTAÇÃO,5,FALSE),VLOOKUP($C4675,DESON!$A:$D,4,))</f>
        <v>2,15</v>
      </c>
      <c r="J4675" s="209">
        <f t="shared" si="263"/>
        <v>2.15</v>
      </c>
    </row>
    <row r="4676" spans="1:10" ht="15" customHeight="1">
      <c r="A4676" s="208" t="s">
        <v>245</v>
      </c>
      <c r="B4676" s="241"/>
      <c r="C4676" s="1181">
        <v>96995</v>
      </c>
      <c r="D4676" s="161" t="str">
        <f>IF(B4676="SEPLAG",VLOOKUP(COMPOSIÇÕES!C4676,'MAPA COMPARATIVO'!A:B,2,FALSE),VLOOKUP(C4676,'NAO DESO'!A:B,2,0))</f>
        <v>REATERRO MANUAL APILOADO COM SOQUETE. AF_10/2017</v>
      </c>
      <c r="E4676" s="241" t="str">
        <f>VLOOKUP($C4676,'NAO DESO'!$A:$D,3,)</f>
        <v>M3</v>
      </c>
      <c r="F4676" s="242">
        <v>2.95</v>
      </c>
      <c r="G4676" s="242" t="str">
        <f>IF(B4676="SEPLAG",VLOOKUP(CONCATENATE("MEDIANA - ",C4676),COTAÇÃO,5,FALSE),VLOOKUP($C4676,'NAO DESO'!$A:$D,4,))</f>
        <v>40,36</v>
      </c>
      <c r="H4676" s="242">
        <f t="shared" si="262"/>
        <v>119.06</v>
      </c>
      <c r="I4676" s="54" t="str">
        <f>IF(B4676="SEPLAG",VLOOKUP(CONCATENATE("MEDIANA - ",C4676),COTAÇÃO,5,FALSE),VLOOKUP($C4676,DESON!$A:$D,4,))</f>
        <v>36,36</v>
      </c>
      <c r="J4676" s="209">
        <f t="shared" si="263"/>
        <v>107.26</v>
      </c>
    </row>
    <row r="4677" spans="1:10" ht="26.25" customHeight="1">
      <c r="A4677" s="208" t="s">
        <v>245</v>
      </c>
      <c r="B4677" s="241"/>
      <c r="C4677" s="1181">
        <v>98557</v>
      </c>
      <c r="D4677" s="161" t="str">
        <f>IF(B4677="SEPLAG",VLOOKUP(COMPOSIÇÕES!C4677,'MAPA COMPARATIVO'!A:B,2,FALSE),VLOOKUP(C4677,'NAO DESO'!A:B,2,0))</f>
        <v>IMPERMEABILIZAÇÃO DE SUPERFÍCIE COM EMULSÃO ASFÁLTICA, 2 DEMÃOS AF_06/2018</v>
      </c>
      <c r="E4677" s="241" t="str">
        <f>VLOOKUP($C4677,'NAO DESO'!$A:$D,3,)</f>
        <v>M2</v>
      </c>
      <c r="F4677" s="242">
        <f>F4672</f>
        <v>11.52</v>
      </c>
      <c r="G4677" s="242" t="str">
        <f>IF(B4677="SEPLAG",VLOOKUP(CONCATENATE("MEDIANA - ",C4677),COTAÇÃO,5,FALSE),VLOOKUP($C4677,'NAO DESO'!$A:$D,4,))</f>
        <v>58,82</v>
      </c>
      <c r="H4677" s="242">
        <f t="shared" si="262"/>
        <v>677.6</v>
      </c>
      <c r="I4677" s="54" t="str">
        <f>IF(B4677="SEPLAG",VLOOKUP(CONCATENATE("MEDIANA - ",C4677),COTAÇÃO,5,FALSE),VLOOKUP($C4677,DESON!$A:$D,4,))</f>
        <v>57,84</v>
      </c>
      <c r="J4677" s="209">
        <f t="shared" si="263"/>
        <v>666.31</v>
      </c>
    </row>
    <row r="4678" spans="1:10" ht="26.25" customHeight="1">
      <c r="A4678" s="208" t="s">
        <v>245</v>
      </c>
      <c r="B4678" s="241"/>
      <c r="C4678" s="1181">
        <v>11301</v>
      </c>
      <c r="D4678" s="161" t="str">
        <f>IF(B4678="SEPLAG",VLOOKUP(COMPOSIÇÕES!C4678,'MAPA COMPARATIVO'!A:B,2,FALSE),VLOOKUP(C4678,'NAO DESO'!A:B,2,0))</f>
        <v>TAMPAO FOFO ARTICULADO, CLASSE B125 CARGA MAX 12,5 T, REDONDO, TAMPA 600 MM (COM INSCRICAO EM RELEVO DO TIPO DE REDE)</v>
      </c>
      <c r="E4678" s="241" t="str">
        <f>VLOOKUP($C4678,'NAO DESO'!$A:$D,3,)</f>
        <v xml:space="preserve">UN    </v>
      </c>
      <c r="F4678" s="242">
        <v>1</v>
      </c>
      <c r="G4678" s="242">
        <f>IF(B4678="SEPLAG",VLOOKUP(CONCATENATE("MEDIANA - ",C4678),COTAÇÃO,5,FALSE),VLOOKUP($C4678,'NAO DESO'!$A:$D,4,))</f>
        <v>660.46</v>
      </c>
      <c r="H4678" s="242">
        <f t="shared" si="262"/>
        <v>660.46</v>
      </c>
      <c r="I4678" s="54" t="str">
        <f>IF(B4678="SEPLAG",VLOOKUP(CONCATENATE("MEDIANA - ",C4678),COTAÇÃO,5,FALSE),VLOOKUP($C4678,DESON!$A:$D,4,))</f>
        <v>660,46</v>
      </c>
      <c r="J4678" s="209">
        <f t="shared" si="263"/>
        <v>660.46</v>
      </c>
    </row>
    <row r="4679" spans="1:10" ht="39" customHeight="1">
      <c r="A4679" s="208" t="s">
        <v>245</v>
      </c>
      <c r="B4679" s="241"/>
      <c r="C4679" s="1181">
        <v>92775</v>
      </c>
      <c r="D4679" s="161" t="str">
        <f>IF(B4679="SEPLAG",VLOOKUP(COMPOSIÇÕES!C4679,'MAPA COMPARATIVO'!A:B,2,FALSE),VLOOKUP(C4679,'NAO DESO'!A:B,2,0))</f>
        <v>ARMAÇÃO DE PILAR OU VIGA DE UMA ESTRUTURA CONVENCIONAL DE CONCRETO ARMADO EM UMA EDIFICAÇÃO TÉRREA OU SOBRADO UTILIZANDO AÇO CA-60 DE 5,0 MM - MONTAGEM. AF_12/2015</v>
      </c>
      <c r="E4679" s="241" t="str">
        <f>VLOOKUP($C4679,'NAO DESO'!$A:$D,3,)</f>
        <v>KG</v>
      </c>
      <c r="F4679" s="242">
        <v>1.66</v>
      </c>
      <c r="G4679" s="242" t="str">
        <f>IF(B4679="SEPLAG",VLOOKUP(CONCATENATE("MEDIANA - ",C4679),COTAÇÃO,5,FALSE),VLOOKUP($C4679,'NAO DESO'!$A:$D,4,))</f>
        <v>18,46</v>
      </c>
      <c r="H4679" s="242">
        <f t="shared" si="262"/>
        <v>30.64</v>
      </c>
      <c r="I4679" s="54" t="str">
        <f>IF(B4679="SEPLAG",VLOOKUP(CONCATENATE("MEDIANA - ",C4679),COTAÇÃO,5,FALSE),VLOOKUP($C4679,DESON!$A:$D,4,))</f>
        <v>17,71</v>
      </c>
      <c r="J4679" s="209">
        <f t="shared" si="263"/>
        <v>29.39</v>
      </c>
    </row>
    <row r="4680" spans="1:10" ht="39" customHeight="1">
      <c r="A4680" s="208" t="s">
        <v>245</v>
      </c>
      <c r="B4680" s="241"/>
      <c r="C4680" s="1181">
        <v>92778</v>
      </c>
      <c r="D4680" s="161" t="str">
        <f>IF(B4680="SEPLAG",VLOOKUP(COMPOSIÇÕES!C4680,'MAPA COMPARATIVO'!A:B,2,FALSE),VLOOKUP(C4680,'NAO DESO'!A:B,2,0))</f>
        <v>ARMAÇÃO DE PILAR OU VIGA DE UMA ESTRUTURA CONVENCIONAL DE CONCRETO ARMADO EM UMA EDIFICAÇÃO TÉRREA OU SOBRADO UTILIZANDO AÇO CA-50 DE 10,0 MM - MONTAGEM. AF_12/2015</v>
      </c>
      <c r="E4680" s="241" t="str">
        <f>VLOOKUP($C4680,'NAO DESO'!$A:$D,3,)</f>
        <v>KG</v>
      </c>
      <c r="F4680" s="242">
        <v>8.8800000000000008</v>
      </c>
      <c r="G4680" s="242" t="str">
        <f>IF(B4680="SEPLAG",VLOOKUP(CONCATENATE("MEDIANA - ",C4680),COTAÇÃO,5,FALSE),VLOOKUP($C4680,'NAO DESO'!$A:$D,4,))</f>
        <v>14,78</v>
      </c>
      <c r="H4680" s="242">
        <f t="shared" si="262"/>
        <v>131.24</v>
      </c>
      <c r="I4680" s="54" t="str">
        <f>IF(B4680="SEPLAG",VLOOKUP(CONCATENATE("MEDIANA - ",C4680),COTAÇÃO,5,FALSE),VLOOKUP($C4680,DESON!$A:$D,4,))</f>
        <v>14,50</v>
      </c>
      <c r="J4680" s="209">
        <f t="shared" si="263"/>
        <v>128.76</v>
      </c>
    </row>
    <row r="4681" spans="1:10" ht="39" customHeight="1">
      <c r="A4681" s="208" t="s">
        <v>245</v>
      </c>
      <c r="B4681" s="241"/>
      <c r="C4681" s="1181">
        <v>92423</v>
      </c>
      <c r="D4681" s="161" t="str">
        <f>IF(B4681="SEPLAG",VLOOKUP(COMPOSIÇÕES!C4681,'MAPA COMPARATIVO'!A:B,2,FALSE),VLOOKUP(C4681,'NAO DESO'!A:B,2,0))</f>
        <v>MONTAGEM E DESMONTAGEM DE FÔRMA DE PILARES RETANGULARES E ESTRUTURAS SIMILARES, PÉ-DIREITO SIMPLES, EM CHAPA DE MADEIRA COMPENSADA RESINADA, 6 UTILIZAÇÕES. AF_09/2020</v>
      </c>
      <c r="E4681" s="241" t="str">
        <f>VLOOKUP($C4681,'NAO DESO'!$A:$D,3,)</f>
        <v>M2</v>
      </c>
      <c r="F4681" s="242">
        <v>1.08</v>
      </c>
      <c r="G4681" s="242" t="str">
        <f>IF(B4681="SEPLAG",VLOOKUP(CONCATENATE("MEDIANA - ",C4681),COTAÇÃO,5,FALSE),VLOOKUP($C4681,'NAO DESO'!$A:$D,4,))</f>
        <v>67,90</v>
      </c>
      <c r="H4681" s="242">
        <f t="shared" si="262"/>
        <v>73.33</v>
      </c>
      <c r="I4681" s="54" t="str">
        <f>IF(B4681="SEPLAG",VLOOKUP(CONCATENATE("MEDIANA - ",C4681),COTAÇÃO,5,FALSE),VLOOKUP($C4681,DESON!$A:$D,4,))</f>
        <v>65,30</v>
      </c>
      <c r="J4681" s="209">
        <f t="shared" si="263"/>
        <v>70.52</v>
      </c>
    </row>
    <row r="4682" spans="1:10" ht="15" customHeight="1">
      <c r="A4682" s="208" t="s">
        <v>245</v>
      </c>
      <c r="B4682" s="241"/>
      <c r="C4682" s="1181">
        <v>88309</v>
      </c>
      <c r="D4682" s="161" t="str">
        <f>IF(B4682="SEPLAG",VLOOKUP(COMPOSIÇÕES!C4682,'MAPA COMPARATIVO'!A:B,2,FALSE),VLOOKUP(C4682,'NAO DESO'!A:B,2,0))</f>
        <v>PEDREIRO COM ENCARGOS COMPLEMENTARES</v>
      </c>
      <c r="E4682" s="241" t="str">
        <f>VLOOKUP($C4682,'NAO DESO'!$A:$D,3,)</f>
        <v>H</v>
      </c>
      <c r="F4682" s="242">
        <v>1</v>
      </c>
      <c r="G4682" s="242" t="str">
        <f>IF(B4682="SEPLAG",VLOOKUP(CONCATENATE("MEDIANA - ",C4682),COTAÇÃO,5,FALSE),VLOOKUP($C4682,'NAO DESO'!$A:$D,4,))</f>
        <v>21,10</v>
      </c>
      <c r="H4682" s="242">
        <f t="shared" si="262"/>
        <v>21.1</v>
      </c>
      <c r="I4682" s="54" t="str">
        <f>IF(B4682="SEPLAG",VLOOKUP(CONCATENATE("MEDIANA - ",C4682),COTAÇÃO,5,FALSE),VLOOKUP($C4682,DESON!$A:$D,4,))</f>
        <v>18,86</v>
      </c>
      <c r="J4682" s="209">
        <f t="shared" si="263"/>
        <v>18.86</v>
      </c>
    </row>
    <row r="4683" spans="1:10" ht="15" customHeight="1">
      <c r="A4683" s="208" t="s">
        <v>245</v>
      </c>
      <c r="B4683" s="241"/>
      <c r="C4683" s="1181">
        <v>88316</v>
      </c>
      <c r="D4683" s="161" t="str">
        <f>IF(B4683="SEPLAG",VLOOKUP(COMPOSIÇÕES!C4683,'MAPA COMPARATIVO'!A:B,2,FALSE),VLOOKUP(C4683,'NAO DESO'!A:B,2,0))</f>
        <v>SERVENTE COM ENCARGOS COMPLEMENTARES</v>
      </c>
      <c r="E4683" s="241" t="str">
        <f>VLOOKUP($C4683,'NAO DESO'!$A:$D,3,)</f>
        <v>H</v>
      </c>
      <c r="F4683" s="242">
        <v>1</v>
      </c>
      <c r="G4683" s="242" t="str">
        <f>IF(B4683="SEPLAG",VLOOKUP(CONCATENATE("MEDIANA - ",C4683),COTAÇÃO,5,FALSE),VLOOKUP($C4683,'NAO DESO'!$A:$D,4,))</f>
        <v>16,83</v>
      </c>
      <c r="H4683" s="242">
        <f t="shared" si="262"/>
        <v>16.829999999999998</v>
      </c>
      <c r="I4683" s="54" t="str">
        <f>IF(B4683="SEPLAG",VLOOKUP(CONCATENATE("MEDIANA - ",C4683),COTAÇÃO,5,FALSE),VLOOKUP($C4683,DESON!$A:$D,4,))</f>
        <v>15,16</v>
      </c>
      <c r="J4683" s="209">
        <f t="shared" si="263"/>
        <v>15.16</v>
      </c>
    </row>
    <row r="4684" spans="1:10" ht="15" customHeight="1">
      <c r="A4684" s="210" t="str">
        <f>CONCATENATE("TOTAL DO ITEM NÃO DESON. - ",C4668)</f>
        <v>TOTAL DO ITEM NÃO DESON. - SEPLAG HIDR 35</v>
      </c>
      <c r="B4684" s="430"/>
      <c r="C4684" s="430"/>
      <c r="D4684" s="430"/>
      <c r="E4684" s="430"/>
      <c r="F4684" s="1180"/>
      <c r="G4684" s="1180"/>
      <c r="H4684" s="1182">
        <f>SUM(H4671:H4683)</f>
        <v>2825.3199999999993</v>
      </c>
      <c r="I4684" s="231"/>
      <c r="J4684" s="215"/>
    </row>
    <row r="4685" spans="1:10" ht="15.75" customHeight="1" thickBot="1">
      <c r="A4685" s="216" t="str">
        <f>CONCATENATE("TOTAL DO ITEM DESON. - ",C4668)</f>
        <v>TOTAL DO ITEM DESON. - SEPLAG HIDR 35</v>
      </c>
      <c r="B4685" s="1142"/>
      <c r="C4685" s="1142"/>
      <c r="D4685" s="1142"/>
      <c r="E4685" s="1142"/>
      <c r="F4685" s="1211"/>
      <c r="G4685" s="1211"/>
      <c r="H4685" s="1187"/>
      <c r="I4685" s="260"/>
      <c r="J4685" s="219">
        <f>SUM(J4671:J4683)</f>
        <v>2733.17</v>
      </c>
    </row>
    <row r="4686" spans="1:10" ht="15" customHeight="1" thickBot="1">
      <c r="A4686" s="421"/>
      <c r="B4686" s="1138"/>
      <c r="C4686" s="1138"/>
      <c r="D4686" s="1138"/>
      <c r="E4686" s="1154"/>
      <c r="F4686" s="1196"/>
      <c r="G4686" s="1196"/>
      <c r="H4686" s="1196"/>
      <c r="I4686" s="422"/>
      <c r="J4686" s="422"/>
    </row>
    <row r="4687" spans="1:10" ht="38.25" customHeight="1">
      <c r="A4687" s="473" t="s">
        <v>421</v>
      </c>
      <c r="B4687" s="1234"/>
      <c r="C4687" s="1176" t="s">
        <v>7507</v>
      </c>
      <c r="D4687" s="156" t="s">
        <v>27965</v>
      </c>
      <c r="E4687" s="1176" t="s">
        <v>24</v>
      </c>
      <c r="F4687" s="1177" t="s">
        <v>18</v>
      </c>
      <c r="G4687" s="1178" t="s">
        <v>7015</v>
      </c>
      <c r="H4687" s="1179"/>
      <c r="I4687" s="200" t="s">
        <v>7016</v>
      </c>
      <c r="J4687" s="201"/>
    </row>
    <row r="4688" spans="1:10" ht="15" customHeight="1">
      <c r="A4688" s="257"/>
      <c r="B4688" s="430"/>
      <c r="C4688" s="1155"/>
      <c r="D4688" s="157"/>
      <c r="E4688" s="1155"/>
      <c r="F4688" s="1180"/>
      <c r="G4688" s="1180" t="s">
        <v>19</v>
      </c>
      <c r="H4688" s="1180" t="s">
        <v>20</v>
      </c>
      <c r="I4688" s="204" t="s">
        <v>19</v>
      </c>
      <c r="J4688" s="206" t="s">
        <v>20</v>
      </c>
    </row>
    <row r="4689" spans="1:10" ht="15" customHeight="1">
      <c r="A4689" s="258"/>
      <c r="B4689" s="1155"/>
      <c r="C4689" s="1155"/>
      <c r="D4689" s="157"/>
      <c r="E4689" s="1155"/>
      <c r="F4689" s="1180"/>
      <c r="G4689" s="1180"/>
      <c r="H4689" s="1180"/>
      <c r="I4689" s="238"/>
      <c r="J4689" s="259"/>
    </row>
    <row r="4690" spans="1:10" ht="39" customHeight="1">
      <c r="A4690" s="208" t="s">
        <v>245</v>
      </c>
      <c r="B4690" s="241"/>
      <c r="C4690" s="1181">
        <v>101159</v>
      </c>
      <c r="D4690" s="161" t="str">
        <f>IF(B4690="SEPLAG",VLOOKUP(COMPOSIÇÕES!C4690,'MAPA COMPARATIVO'!A:B,2,FALSE),VLOOKUP(C4690,'NAO DESO'!A:B,2,0))</f>
        <v>ALVENARIA DE VEDAÇÃO DE BLOCOS CERÂMICOS MACIÇOS DE 5X10X20CM (ESPESSURA 10CM) E ARGAMASSA DE ASSENTAMENTO COM PREPARO EM BETONEIRA. AF_05/2020</v>
      </c>
      <c r="E4690" s="241" t="str">
        <f>VLOOKUP($C4690,'NAO DESO'!$A:$D,3,)</f>
        <v>M2</v>
      </c>
      <c r="F4690" s="242">
        <v>4.32</v>
      </c>
      <c r="G4690" s="242" t="str">
        <f>IF(B4690="SEPLAG",VLOOKUP(CONCATENATE("MEDIANA - ",C4690),COTAÇÃO,5,FALSE),VLOOKUP($C4690,'NAO DESO'!$A:$D,4,))</f>
        <v>126,63</v>
      </c>
      <c r="H4690" s="242">
        <f t="shared" ref="H4690:H4702" si="264">TRUNC(F4690*G4690,2)</f>
        <v>547.04</v>
      </c>
      <c r="I4690" s="54" t="str">
        <f>IF(B4690="SEPLAG",VLOOKUP(CONCATENATE("MEDIANA - ",C4690),COTAÇÃO,5,FALSE),VLOOKUP($C4690,DESON!$A:$D,4,))</f>
        <v>120,46</v>
      </c>
      <c r="J4690" s="209">
        <f t="shared" ref="J4690:J4702" si="265">TRUNC(F4690*I4690,2)</f>
        <v>520.38</v>
      </c>
    </row>
    <row r="4691" spans="1:10" ht="64.5" customHeight="1">
      <c r="A4691" s="208" t="s">
        <v>245</v>
      </c>
      <c r="B4691" s="241"/>
      <c r="C4691" s="1181">
        <v>87543</v>
      </c>
      <c r="D4691" s="161" t="str">
        <f>IF(B4691="SEPLAG",VLOOKUP(COMPOSIÇÕES!C4691,'MAPA COMPARATIVO'!A:B,2,FALSE),VLOOKUP(C4691,'NAO DESO'!A:B,2,0))</f>
        <v>MASSA ÚNICA, PARA RECEBIMENTO DE PINTURA OU CERÂMICA, ARGAMASSA INDUSTRIALIZADA, PREPARO MECÂNICO, APLICADO COM EQUIPAMENTO DE MISTURA E PROJEÇÃO DE 1,5 M3/H EM FACES INTERNAS DE PAREDES, ESPESSURA DE 5MM, SEM EXECUÇÃO DE TALISCAS. AF_06/2014</v>
      </c>
      <c r="E4691" s="241" t="str">
        <f>VLOOKUP($C4691,'NAO DESO'!$A:$D,3,)</f>
        <v>M2</v>
      </c>
      <c r="F4691" s="242">
        <v>12.24</v>
      </c>
      <c r="G4691" s="242" t="str">
        <f>IF(B4691="SEPLAG",VLOOKUP(CONCATENATE("MEDIANA - ",C4691),COTAÇÃO,5,FALSE),VLOOKUP($C4691,'NAO DESO'!$A:$D,4,))</f>
        <v>24,40</v>
      </c>
      <c r="H4691" s="242">
        <f t="shared" si="264"/>
        <v>298.64999999999998</v>
      </c>
      <c r="I4691" s="54" t="str">
        <f>IF(B4691="SEPLAG",VLOOKUP(CONCATENATE("MEDIANA - ",C4691),COTAÇÃO,5,FALSE),VLOOKUP($C4691,DESON!$A:$D,4,))</f>
        <v>23,82</v>
      </c>
      <c r="J4691" s="209">
        <f t="shared" si="265"/>
        <v>291.55</v>
      </c>
    </row>
    <row r="4692" spans="1:10" ht="39" customHeight="1">
      <c r="A4692" s="208" t="s">
        <v>245</v>
      </c>
      <c r="B4692" s="241"/>
      <c r="C4692" s="1181">
        <v>94970</v>
      </c>
      <c r="D4692" s="161" t="str">
        <f>IF(B4692="SEPLAG",VLOOKUP(COMPOSIÇÕES!C4692,'MAPA COMPARATIVO'!A:B,2,FALSE),VLOOKUP(C4692,'NAO DESO'!A:B,2,0))</f>
        <v>CONCRETO FCK = 20MPA, TRAÇO 1:2,7:3 (EM MASSA SECA DE CIMENTO/ AREIA MÉDIA/ BRITA 1) - PREPARO MECÂNICO COM BETONEIRA 600 L. AF_05/2021</v>
      </c>
      <c r="E4692" s="241" t="str">
        <f>VLOOKUP($C4692,'NAO DESO'!$A:$D,3,)</f>
        <v>M3</v>
      </c>
      <c r="F4692" s="242">
        <v>0.1</v>
      </c>
      <c r="G4692" s="242" t="str">
        <f>IF(B4692="SEPLAG",VLOOKUP(CONCATENATE("MEDIANA - ",C4692),COTAÇÃO,5,FALSE),VLOOKUP($C4692,'NAO DESO'!$A:$D,4,))</f>
        <v>405,57</v>
      </c>
      <c r="H4692" s="242">
        <f t="shared" si="264"/>
        <v>40.549999999999997</v>
      </c>
      <c r="I4692" s="54" t="str">
        <f>IF(B4692="SEPLAG",VLOOKUP(CONCATENATE("MEDIANA - ",C4692),COTAÇÃO,5,FALSE),VLOOKUP($C4692,DESON!$A:$D,4,))</f>
        <v>400,17</v>
      </c>
      <c r="J4692" s="209">
        <f t="shared" si="265"/>
        <v>40.01</v>
      </c>
    </row>
    <row r="4693" spans="1:10" ht="26.25" customHeight="1">
      <c r="A4693" s="208" t="s">
        <v>245</v>
      </c>
      <c r="B4693" s="241"/>
      <c r="C4693" s="1181">
        <v>93358</v>
      </c>
      <c r="D4693" s="161" t="str">
        <f>IF(B4693="SEPLAG",VLOOKUP(COMPOSIÇÕES!C4693,'MAPA COMPARATIVO'!A:B,2,FALSE),VLOOKUP(C4693,'NAO DESO'!A:B,2,0))</f>
        <v>ESCAVAÇÃO MANUAL DE VALA COM PROFUNDIDADE MENOR OU IGUAL A 1,30 M. AF_02/2021</v>
      </c>
      <c r="E4693" s="241" t="str">
        <f>VLOOKUP($C4693,'NAO DESO'!$A:$D,3,)</f>
        <v>M3</v>
      </c>
      <c r="F4693" s="242">
        <v>4.37</v>
      </c>
      <c r="G4693" s="242" t="str">
        <f>IF(B4693="SEPLAG",VLOOKUP(CONCATENATE("MEDIANA - ",C4693),COTAÇÃO,5,FALSE),VLOOKUP($C4693,'NAO DESO'!$A:$D,4,))</f>
        <v>66,57</v>
      </c>
      <c r="H4693" s="242">
        <f t="shared" si="264"/>
        <v>290.91000000000003</v>
      </c>
      <c r="I4693" s="54" t="str">
        <f>IF(B4693="SEPLAG",VLOOKUP(CONCATENATE("MEDIANA - ",C4693),COTAÇÃO,5,FALSE),VLOOKUP($C4693,DESON!$A:$D,4,))</f>
        <v>59,97</v>
      </c>
      <c r="J4693" s="209">
        <f t="shared" si="265"/>
        <v>262.06</v>
      </c>
    </row>
    <row r="4694" spans="1:10" ht="26.25" customHeight="1">
      <c r="A4694" s="208" t="s">
        <v>245</v>
      </c>
      <c r="B4694" s="241"/>
      <c r="C4694" s="1181">
        <v>101617</v>
      </c>
      <c r="D4694" s="161" t="str">
        <f>IF(B4694="SEPLAG",VLOOKUP(COMPOSIÇÕES!C4694,'MAPA COMPARATIVO'!A:B,2,FALSE),VLOOKUP(C4694,'NAO DESO'!A:B,2,0))</f>
        <v>PREPARO DE FUNDO DE VALA COM LARGURA MAIOR OU IGUAL A 1,5 M E MENOR QUE 2,5 M (ACERTO DO SOLO NATURAL). AF_08/2020</v>
      </c>
      <c r="E4694" s="241" t="str">
        <f>VLOOKUP($C4694,'NAO DESO'!$A:$D,3,)</f>
        <v>M2</v>
      </c>
      <c r="F4694" s="242">
        <v>1</v>
      </c>
      <c r="G4694" s="242" t="str">
        <f>IF(B4694="SEPLAG",VLOOKUP(CONCATENATE("MEDIANA - ",C4694),COTAÇÃO,5,FALSE),VLOOKUP($C4694,'NAO DESO'!$A:$D,4,))</f>
        <v>2,38</v>
      </c>
      <c r="H4694" s="242">
        <f t="shared" si="264"/>
        <v>2.38</v>
      </c>
      <c r="I4694" s="54" t="str">
        <f>IF(B4694="SEPLAG",VLOOKUP(CONCATENATE("MEDIANA - ",C4694),COTAÇÃO,5,FALSE),VLOOKUP($C4694,DESON!$A:$D,4,))</f>
        <v>2,15</v>
      </c>
      <c r="J4694" s="209">
        <f t="shared" si="265"/>
        <v>2.15</v>
      </c>
    </row>
    <row r="4695" spans="1:10" ht="15" customHeight="1">
      <c r="A4695" s="208" t="s">
        <v>245</v>
      </c>
      <c r="B4695" s="241"/>
      <c r="C4695" s="1181">
        <v>96995</v>
      </c>
      <c r="D4695" s="161" t="str">
        <f>IF(B4695="SEPLAG",VLOOKUP(COMPOSIÇÕES!C4695,'MAPA COMPARATIVO'!A:B,2,FALSE),VLOOKUP(C4695,'NAO DESO'!A:B,2,0))</f>
        <v>REATERRO MANUAL APILOADO COM SOQUETE. AF_10/2017</v>
      </c>
      <c r="E4695" s="241" t="str">
        <f>VLOOKUP($C4695,'NAO DESO'!$A:$D,3,)</f>
        <v>M3</v>
      </c>
      <c r="F4695" s="242">
        <v>3.17</v>
      </c>
      <c r="G4695" s="242" t="str">
        <f>IF(B4695="SEPLAG",VLOOKUP(CONCATENATE("MEDIANA - ",C4695),COTAÇÃO,5,FALSE),VLOOKUP($C4695,'NAO DESO'!$A:$D,4,))</f>
        <v>40,36</v>
      </c>
      <c r="H4695" s="242">
        <f t="shared" si="264"/>
        <v>127.94</v>
      </c>
      <c r="I4695" s="54" t="str">
        <f>IF(B4695="SEPLAG",VLOOKUP(CONCATENATE("MEDIANA - ",C4695),COTAÇÃO,5,FALSE),VLOOKUP($C4695,DESON!$A:$D,4,))</f>
        <v>36,36</v>
      </c>
      <c r="J4695" s="209">
        <f t="shared" si="265"/>
        <v>115.26</v>
      </c>
    </row>
    <row r="4696" spans="1:10" ht="26.25" customHeight="1">
      <c r="A4696" s="208" t="s">
        <v>245</v>
      </c>
      <c r="B4696" s="241"/>
      <c r="C4696" s="1181">
        <v>98557</v>
      </c>
      <c r="D4696" s="161" t="str">
        <f>IF(B4696="SEPLAG",VLOOKUP(COMPOSIÇÕES!C4696,'MAPA COMPARATIVO'!A:B,2,FALSE),VLOOKUP(C4696,'NAO DESO'!A:B,2,0))</f>
        <v>IMPERMEABILIZAÇÃO DE SUPERFÍCIE COM EMULSÃO ASFÁLTICA, 2 DEMÃOS AF_06/2018</v>
      </c>
      <c r="E4696" s="241" t="str">
        <f>VLOOKUP($C4696,'NAO DESO'!$A:$D,3,)</f>
        <v>M2</v>
      </c>
      <c r="F4696" s="242">
        <f>F4691</f>
        <v>12.24</v>
      </c>
      <c r="G4696" s="242" t="str">
        <f>IF(B4696="SEPLAG",VLOOKUP(CONCATENATE("MEDIANA - ",C4696),COTAÇÃO,5,FALSE),VLOOKUP($C4696,'NAO DESO'!$A:$D,4,))</f>
        <v>58,82</v>
      </c>
      <c r="H4696" s="242">
        <f t="shared" si="264"/>
        <v>719.95</v>
      </c>
      <c r="I4696" s="54" t="str">
        <f>IF(B4696="SEPLAG",VLOOKUP(CONCATENATE("MEDIANA - ",C4696),COTAÇÃO,5,FALSE),VLOOKUP($C4696,DESON!$A:$D,4,))</f>
        <v>57,84</v>
      </c>
      <c r="J4696" s="209">
        <f t="shared" si="265"/>
        <v>707.96</v>
      </c>
    </row>
    <row r="4697" spans="1:10" ht="26.25" customHeight="1">
      <c r="A4697" s="208" t="s">
        <v>245</v>
      </c>
      <c r="B4697" s="241"/>
      <c r="C4697" s="1181">
        <v>11301</v>
      </c>
      <c r="D4697" s="161" t="str">
        <f>IF(B4697="SEPLAG",VLOOKUP(COMPOSIÇÕES!C4697,'MAPA COMPARATIVO'!A:B,2,FALSE),VLOOKUP(C4697,'NAO DESO'!A:B,2,0))</f>
        <v>TAMPAO FOFO ARTICULADO, CLASSE B125 CARGA MAX 12,5 T, REDONDO, TAMPA 600 MM (COM INSCRICAO EM RELEVO DO TIPO DE REDE)</v>
      </c>
      <c r="E4697" s="241" t="str">
        <f>VLOOKUP($C4697,'NAO DESO'!$A:$D,3,)</f>
        <v xml:space="preserve">UN    </v>
      </c>
      <c r="F4697" s="242">
        <v>1</v>
      </c>
      <c r="G4697" s="242">
        <f>IF(B4697="SEPLAG",VLOOKUP(CONCATENATE("MEDIANA - ",C4697),COTAÇÃO,5,FALSE),VLOOKUP($C4697,'NAO DESO'!$A:$D,4,))</f>
        <v>660.46</v>
      </c>
      <c r="H4697" s="242">
        <f t="shared" si="264"/>
        <v>660.46</v>
      </c>
      <c r="I4697" s="54" t="str">
        <f>IF(B4697="SEPLAG",VLOOKUP(CONCATENATE("MEDIANA - ",C4697),COTAÇÃO,5,FALSE),VLOOKUP($C4697,DESON!$A:$D,4,))</f>
        <v>660,46</v>
      </c>
      <c r="J4697" s="209">
        <f t="shared" si="265"/>
        <v>660.46</v>
      </c>
    </row>
    <row r="4698" spans="1:10" ht="39" customHeight="1">
      <c r="A4698" s="208" t="s">
        <v>245</v>
      </c>
      <c r="B4698" s="241"/>
      <c r="C4698" s="1181">
        <v>92775</v>
      </c>
      <c r="D4698" s="161" t="str">
        <f>IF(B4698="SEPLAG",VLOOKUP(COMPOSIÇÕES!C4698,'MAPA COMPARATIVO'!A:B,2,FALSE),VLOOKUP(C4698,'NAO DESO'!A:B,2,0))</f>
        <v>ARMAÇÃO DE PILAR OU VIGA DE UMA ESTRUTURA CONVENCIONAL DE CONCRETO ARMADO EM UMA EDIFICAÇÃO TÉRREA OU SOBRADO UTILIZANDO AÇO CA-60 DE 5,0 MM - MONTAGEM. AF_12/2015</v>
      </c>
      <c r="E4698" s="241" t="str">
        <f>VLOOKUP($C4698,'NAO DESO'!$A:$D,3,)</f>
        <v>KG</v>
      </c>
      <c r="F4698" s="242">
        <v>1.66</v>
      </c>
      <c r="G4698" s="242" t="str">
        <f>IF(B4698="SEPLAG",VLOOKUP(CONCATENATE("MEDIANA - ",C4698),COTAÇÃO,5,FALSE),VLOOKUP($C4698,'NAO DESO'!$A:$D,4,))</f>
        <v>18,46</v>
      </c>
      <c r="H4698" s="242">
        <f t="shared" si="264"/>
        <v>30.64</v>
      </c>
      <c r="I4698" s="54" t="str">
        <f>IF(B4698="SEPLAG",VLOOKUP(CONCATENATE("MEDIANA - ",C4698),COTAÇÃO,5,FALSE),VLOOKUP($C4698,DESON!$A:$D,4,))</f>
        <v>17,71</v>
      </c>
      <c r="J4698" s="209">
        <f t="shared" si="265"/>
        <v>29.39</v>
      </c>
    </row>
    <row r="4699" spans="1:10" ht="39" customHeight="1">
      <c r="A4699" s="208" t="s">
        <v>245</v>
      </c>
      <c r="B4699" s="241"/>
      <c r="C4699" s="1181">
        <v>92778</v>
      </c>
      <c r="D4699" s="161" t="str">
        <f>IF(B4699="SEPLAG",VLOOKUP(COMPOSIÇÕES!C4699,'MAPA COMPARATIVO'!A:B,2,FALSE),VLOOKUP(C4699,'NAO DESO'!A:B,2,0))</f>
        <v>ARMAÇÃO DE PILAR OU VIGA DE UMA ESTRUTURA CONVENCIONAL DE CONCRETO ARMADO EM UMA EDIFICAÇÃO TÉRREA OU SOBRADO UTILIZANDO AÇO CA-50 DE 10,0 MM - MONTAGEM. AF_12/2015</v>
      </c>
      <c r="E4699" s="241" t="str">
        <f>VLOOKUP($C4699,'NAO DESO'!$A:$D,3,)</f>
        <v>KG</v>
      </c>
      <c r="F4699" s="242">
        <v>8.8800000000000008</v>
      </c>
      <c r="G4699" s="242" t="str">
        <f>IF(B4699="SEPLAG",VLOOKUP(CONCATENATE("MEDIANA - ",C4699),COTAÇÃO,5,FALSE),VLOOKUP($C4699,'NAO DESO'!$A:$D,4,))</f>
        <v>14,78</v>
      </c>
      <c r="H4699" s="242">
        <f t="shared" si="264"/>
        <v>131.24</v>
      </c>
      <c r="I4699" s="54" t="str">
        <f>IF(B4699="SEPLAG",VLOOKUP(CONCATENATE("MEDIANA - ",C4699),COTAÇÃO,5,FALSE),VLOOKUP($C4699,DESON!$A:$D,4,))</f>
        <v>14,50</v>
      </c>
      <c r="J4699" s="209">
        <f t="shared" si="265"/>
        <v>128.76</v>
      </c>
    </row>
    <row r="4700" spans="1:10" ht="39" customHeight="1">
      <c r="A4700" s="208" t="s">
        <v>245</v>
      </c>
      <c r="B4700" s="241"/>
      <c r="C4700" s="1181">
        <v>92423</v>
      </c>
      <c r="D4700" s="161" t="str">
        <f>IF(B4700="SEPLAG",VLOOKUP(COMPOSIÇÕES!C4700,'MAPA COMPARATIVO'!A:B,2,FALSE),VLOOKUP(C4700,'NAO DESO'!A:B,2,0))</f>
        <v>MONTAGEM E DESMONTAGEM DE FÔRMA DE PILARES RETANGULARES E ESTRUTURAS SIMILARES, PÉ-DIREITO SIMPLES, EM CHAPA DE MADEIRA COMPENSADA RESINADA, 6 UTILIZAÇÕES. AF_09/2020</v>
      </c>
      <c r="E4700" s="241" t="str">
        <f>VLOOKUP($C4700,'NAO DESO'!$A:$D,3,)</f>
        <v>M2</v>
      </c>
      <c r="F4700" s="242">
        <v>1.08</v>
      </c>
      <c r="G4700" s="242" t="str">
        <f>IF(B4700="SEPLAG",VLOOKUP(CONCATENATE("MEDIANA - ",C4700),COTAÇÃO,5,FALSE),VLOOKUP($C4700,'NAO DESO'!$A:$D,4,))</f>
        <v>67,90</v>
      </c>
      <c r="H4700" s="242">
        <f t="shared" si="264"/>
        <v>73.33</v>
      </c>
      <c r="I4700" s="54" t="str">
        <f>IF(B4700="SEPLAG",VLOOKUP(CONCATENATE("MEDIANA - ",C4700),COTAÇÃO,5,FALSE),VLOOKUP($C4700,DESON!$A:$D,4,))</f>
        <v>65,30</v>
      </c>
      <c r="J4700" s="209">
        <f t="shared" si="265"/>
        <v>70.52</v>
      </c>
    </row>
    <row r="4701" spans="1:10" ht="15" customHeight="1">
      <c r="A4701" s="208" t="s">
        <v>245</v>
      </c>
      <c r="B4701" s="241"/>
      <c r="C4701" s="1181">
        <v>88309</v>
      </c>
      <c r="D4701" s="161" t="str">
        <f>IF(B4701="SEPLAG",VLOOKUP(COMPOSIÇÕES!C4701,'MAPA COMPARATIVO'!A:B,2,FALSE),VLOOKUP(C4701,'NAO DESO'!A:B,2,0))</f>
        <v>PEDREIRO COM ENCARGOS COMPLEMENTARES</v>
      </c>
      <c r="E4701" s="241" t="str">
        <f>VLOOKUP($C4701,'NAO DESO'!$A:$D,3,)</f>
        <v>H</v>
      </c>
      <c r="F4701" s="242">
        <v>1</v>
      </c>
      <c r="G4701" s="242" t="str">
        <f>IF(B4701="SEPLAG",VLOOKUP(CONCATENATE("MEDIANA - ",C4701),COTAÇÃO,5,FALSE),VLOOKUP($C4701,'NAO DESO'!$A:$D,4,))</f>
        <v>21,10</v>
      </c>
      <c r="H4701" s="242">
        <f t="shared" si="264"/>
        <v>21.1</v>
      </c>
      <c r="I4701" s="54" t="str">
        <f>IF(B4701="SEPLAG",VLOOKUP(CONCATENATE("MEDIANA - ",C4701),COTAÇÃO,5,FALSE),VLOOKUP($C4701,DESON!$A:$D,4,))</f>
        <v>18,86</v>
      </c>
      <c r="J4701" s="209">
        <f t="shared" si="265"/>
        <v>18.86</v>
      </c>
    </row>
    <row r="4702" spans="1:10" ht="15" customHeight="1">
      <c r="A4702" s="208" t="s">
        <v>245</v>
      </c>
      <c r="B4702" s="241"/>
      <c r="C4702" s="1181">
        <v>88316</v>
      </c>
      <c r="D4702" s="161" t="str">
        <f>IF(B4702="SEPLAG",VLOOKUP(COMPOSIÇÕES!C4702,'MAPA COMPARATIVO'!A:B,2,FALSE),VLOOKUP(C4702,'NAO DESO'!A:B,2,0))</f>
        <v>SERVENTE COM ENCARGOS COMPLEMENTARES</v>
      </c>
      <c r="E4702" s="241" t="str">
        <f>VLOOKUP($C4702,'NAO DESO'!$A:$D,3,)</f>
        <v>H</v>
      </c>
      <c r="F4702" s="242">
        <v>1</v>
      </c>
      <c r="G4702" s="242" t="str">
        <f>IF(B4702="SEPLAG",VLOOKUP(CONCATENATE("MEDIANA - ",C4702),COTAÇÃO,5,FALSE),VLOOKUP($C4702,'NAO DESO'!$A:$D,4,))</f>
        <v>16,83</v>
      </c>
      <c r="H4702" s="242">
        <f t="shared" si="264"/>
        <v>16.829999999999998</v>
      </c>
      <c r="I4702" s="54" t="str">
        <f>IF(B4702="SEPLAG",VLOOKUP(CONCATENATE("MEDIANA - ",C4702),COTAÇÃO,5,FALSE),VLOOKUP($C4702,DESON!$A:$D,4,))</f>
        <v>15,16</v>
      </c>
      <c r="J4702" s="209">
        <f t="shared" si="265"/>
        <v>15.16</v>
      </c>
    </row>
    <row r="4703" spans="1:10" ht="15" customHeight="1">
      <c r="A4703" s="210" t="str">
        <f>CONCATENATE("TOTAL DO ITEM NÃO DESON. - ",C4687)</f>
        <v>TOTAL DO ITEM NÃO DESON. - SEPLAG HIDR 36</v>
      </c>
      <c r="B4703" s="430"/>
      <c r="C4703" s="430"/>
      <c r="D4703" s="430"/>
      <c r="E4703" s="430"/>
      <c r="F4703" s="1180"/>
      <c r="G4703" s="1180"/>
      <c r="H4703" s="1182">
        <f>SUM(H4690:H4702)</f>
        <v>2961.02</v>
      </c>
      <c r="I4703" s="231"/>
      <c r="J4703" s="215"/>
    </row>
    <row r="4704" spans="1:10" ht="15.75" customHeight="1" thickBot="1">
      <c r="A4704" s="216" t="str">
        <f>CONCATENATE("TOTAL DO ITEM DESON. - ",C4687)</f>
        <v>TOTAL DO ITEM DESON. - SEPLAG HIDR 36</v>
      </c>
      <c r="B4704" s="1142"/>
      <c r="C4704" s="1142"/>
      <c r="D4704" s="1142"/>
      <c r="E4704" s="1142"/>
      <c r="F4704" s="1211"/>
      <c r="G4704" s="1211"/>
      <c r="H4704" s="1187"/>
      <c r="I4704" s="260"/>
      <c r="J4704" s="219">
        <f>SUM(J4690:J4702)</f>
        <v>2862.5199999999995</v>
      </c>
    </row>
    <row r="4705" spans="1:10" ht="15" customHeight="1" thickBot="1">
      <c r="A4705" s="421"/>
      <c r="B4705" s="1138"/>
      <c r="C4705" s="1138"/>
      <c r="D4705" s="1138"/>
      <c r="E4705" s="1154"/>
      <c r="F4705" s="1196"/>
      <c r="G4705" s="1196"/>
      <c r="H4705" s="1196"/>
      <c r="I4705" s="422"/>
      <c r="J4705" s="422"/>
    </row>
    <row r="4706" spans="1:10" ht="38.25" customHeight="1">
      <c r="A4706" s="473" t="s">
        <v>421</v>
      </c>
      <c r="B4706" s="1234"/>
      <c r="C4706" s="1176" t="s">
        <v>7508</v>
      </c>
      <c r="D4706" s="156" t="s">
        <v>27966</v>
      </c>
      <c r="E4706" s="1176" t="s">
        <v>24</v>
      </c>
      <c r="F4706" s="1177" t="s">
        <v>18</v>
      </c>
      <c r="G4706" s="1178" t="s">
        <v>7015</v>
      </c>
      <c r="H4706" s="1179"/>
      <c r="I4706" s="200" t="s">
        <v>7016</v>
      </c>
      <c r="J4706" s="201"/>
    </row>
    <row r="4707" spans="1:10" ht="15" customHeight="1">
      <c r="A4707" s="257"/>
      <c r="B4707" s="430"/>
      <c r="C4707" s="1155"/>
      <c r="D4707" s="157"/>
      <c r="E4707" s="1155"/>
      <c r="F4707" s="1180"/>
      <c r="G4707" s="1180" t="s">
        <v>19</v>
      </c>
      <c r="H4707" s="1180" t="s">
        <v>20</v>
      </c>
      <c r="I4707" s="204" t="s">
        <v>19</v>
      </c>
      <c r="J4707" s="206" t="s">
        <v>20</v>
      </c>
    </row>
    <row r="4708" spans="1:10" ht="15" customHeight="1">
      <c r="A4708" s="258"/>
      <c r="B4708" s="1155"/>
      <c r="C4708" s="1155"/>
      <c r="D4708" s="157"/>
      <c r="E4708" s="1155"/>
      <c r="F4708" s="1180"/>
      <c r="G4708" s="1180"/>
      <c r="H4708" s="1180"/>
      <c r="I4708" s="238"/>
      <c r="J4708" s="259"/>
    </row>
    <row r="4709" spans="1:10" ht="39" customHeight="1">
      <c r="A4709" s="208" t="s">
        <v>245</v>
      </c>
      <c r="B4709" s="241"/>
      <c r="C4709" s="1181">
        <v>101159</v>
      </c>
      <c r="D4709" s="161" t="str">
        <f>IF(B4709="SEPLAG",VLOOKUP(COMPOSIÇÕES!C4709,'MAPA COMPARATIVO'!A:B,2,FALSE),VLOOKUP(C4709,'NAO DESO'!A:B,2,0))</f>
        <v>ALVENARIA DE VEDAÇÃO DE BLOCOS CERÂMICOS MACIÇOS DE 5X10X20CM (ESPESSURA 10CM) E ARGAMASSA DE ASSENTAMENTO COM PREPARO EM BETONEIRA. AF_05/2020</v>
      </c>
      <c r="E4709" s="241" t="str">
        <f>VLOOKUP($C4709,'NAO DESO'!$A:$D,3,)</f>
        <v>M2</v>
      </c>
      <c r="F4709" s="242">
        <v>4.8600000000000003</v>
      </c>
      <c r="G4709" s="242" t="str">
        <f>IF(B4709="SEPLAG",VLOOKUP(CONCATENATE("MEDIANA - ",C4709),COTAÇÃO,5,FALSE),VLOOKUP($C4709,'NAO DESO'!$A:$D,4,))</f>
        <v>126,63</v>
      </c>
      <c r="H4709" s="242">
        <f t="shared" ref="H4709:H4721" si="266">TRUNC(F4709*G4709,2)</f>
        <v>615.41999999999996</v>
      </c>
      <c r="I4709" s="54" t="str">
        <f>IF(B4709="SEPLAG",VLOOKUP(CONCATENATE("MEDIANA - ",C4709),COTAÇÃO,5,FALSE),VLOOKUP($C4709,DESON!$A:$D,4,))</f>
        <v>120,46</v>
      </c>
      <c r="J4709" s="209">
        <f t="shared" ref="J4709:J4721" si="267">TRUNC(F4709*I4709,2)</f>
        <v>585.42999999999995</v>
      </c>
    </row>
    <row r="4710" spans="1:10" ht="64.5" customHeight="1">
      <c r="A4710" s="208" t="s">
        <v>245</v>
      </c>
      <c r="B4710" s="241"/>
      <c r="C4710" s="1181">
        <v>87543</v>
      </c>
      <c r="D4710" s="161" t="str">
        <f>IF(B4710="SEPLAG",VLOOKUP(COMPOSIÇÕES!C4710,'MAPA COMPARATIVO'!A:B,2,FALSE),VLOOKUP(C4710,'NAO DESO'!A:B,2,0))</f>
        <v>MASSA ÚNICA, PARA RECEBIMENTO DE PINTURA OU CERÂMICA, ARGAMASSA INDUSTRIALIZADA, PREPARO MECÂNICO, APLICADO COM EQUIPAMENTO DE MISTURA E PROJEÇÃO DE 1,5 M3/H EM FACES INTERNAS DE PAREDES, ESPESSURA DE 5MM, SEM EXECUÇÃO DE TALISCAS. AF_06/2014</v>
      </c>
      <c r="E4710" s="241" t="str">
        <f>VLOOKUP($C4710,'NAO DESO'!$A:$D,3,)</f>
        <v>M2</v>
      </c>
      <c r="F4710" s="242">
        <v>13.32</v>
      </c>
      <c r="G4710" s="242" t="str">
        <f>IF(B4710="SEPLAG",VLOOKUP(CONCATENATE("MEDIANA - ",C4710),COTAÇÃO,5,FALSE),VLOOKUP($C4710,'NAO DESO'!$A:$D,4,))</f>
        <v>24,40</v>
      </c>
      <c r="H4710" s="242">
        <f t="shared" si="266"/>
        <v>325</v>
      </c>
      <c r="I4710" s="54" t="str">
        <f>IF(B4710="SEPLAG",VLOOKUP(CONCATENATE("MEDIANA - ",C4710),COTAÇÃO,5,FALSE),VLOOKUP($C4710,DESON!$A:$D,4,))</f>
        <v>23,82</v>
      </c>
      <c r="J4710" s="209">
        <f t="shared" si="267"/>
        <v>317.27999999999997</v>
      </c>
    </row>
    <row r="4711" spans="1:10" ht="39" customHeight="1">
      <c r="A4711" s="208" t="s">
        <v>245</v>
      </c>
      <c r="B4711" s="241"/>
      <c r="C4711" s="1181">
        <v>94970</v>
      </c>
      <c r="D4711" s="161" t="str">
        <f>IF(B4711="SEPLAG",VLOOKUP(COMPOSIÇÕES!C4711,'MAPA COMPARATIVO'!A:B,2,FALSE),VLOOKUP(C4711,'NAO DESO'!A:B,2,0))</f>
        <v>CONCRETO FCK = 20MPA, TRAÇO 1:2,7:3 (EM MASSA SECA DE CIMENTO/ AREIA MÉDIA/ BRITA 1) - PREPARO MECÂNICO COM BETONEIRA 600 L. AF_05/2021</v>
      </c>
      <c r="E4711" s="241" t="str">
        <f>VLOOKUP($C4711,'NAO DESO'!$A:$D,3,)</f>
        <v>M3</v>
      </c>
      <c r="F4711" s="242">
        <v>0.1</v>
      </c>
      <c r="G4711" s="242" t="str">
        <f>IF(B4711="SEPLAG",VLOOKUP(CONCATENATE("MEDIANA - ",C4711),COTAÇÃO,5,FALSE),VLOOKUP($C4711,'NAO DESO'!$A:$D,4,))</f>
        <v>405,57</v>
      </c>
      <c r="H4711" s="242">
        <f t="shared" si="266"/>
        <v>40.549999999999997</v>
      </c>
      <c r="I4711" s="54" t="str">
        <f>IF(B4711="SEPLAG",VLOOKUP(CONCATENATE("MEDIANA - ",C4711),COTAÇÃO,5,FALSE),VLOOKUP($C4711,DESON!$A:$D,4,))</f>
        <v>400,17</v>
      </c>
      <c r="J4711" s="209">
        <f t="shared" si="267"/>
        <v>40.01</v>
      </c>
    </row>
    <row r="4712" spans="1:10" ht="26.25" customHeight="1">
      <c r="A4712" s="208" t="s">
        <v>245</v>
      </c>
      <c r="B4712" s="241"/>
      <c r="C4712" s="1181">
        <v>93358</v>
      </c>
      <c r="D4712" s="161" t="str">
        <f>IF(B4712="SEPLAG",VLOOKUP(COMPOSIÇÕES!C4712,'MAPA COMPARATIVO'!A:B,2,FALSE),VLOOKUP(C4712,'NAO DESO'!A:B,2,0))</f>
        <v>ESCAVAÇÃO MANUAL DE VALA COM PROFUNDIDADE MENOR OU IGUAL A 1,30 M. AF_02/2021</v>
      </c>
      <c r="E4712" s="241" t="str">
        <f>VLOOKUP($C4712,'NAO DESO'!$A:$D,3,)</f>
        <v>M3</v>
      </c>
      <c r="F4712" s="242">
        <v>4.8600000000000003</v>
      </c>
      <c r="G4712" s="242" t="str">
        <f>IF(B4712="SEPLAG",VLOOKUP(CONCATENATE("MEDIANA - ",C4712),COTAÇÃO,5,FALSE),VLOOKUP($C4712,'NAO DESO'!$A:$D,4,))</f>
        <v>66,57</v>
      </c>
      <c r="H4712" s="242">
        <f t="shared" si="266"/>
        <v>323.52999999999997</v>
      </c>
      <c r="I4712" s="54" t="str">
        <f>IF(B4712="SEPLAG",VLOOKUP(CONCATENATE("MEDIANA - ",C4712),COTAÇÃO,5,FALSE),VLOOKUP($C4712,DESON!$A:$D,4,))</f>
        <v>59,97</v>
      </c>
      <c r="J4712" s="209">
        <f t="shared" si="267"/>
        <v>291.45</v>
      </c>
    </row>
    <row r="4713" spans="1:10" ht="26.25" customHeight="1">
      <c r="A4713" s="208" t="s">
        <v>245</v>
      </c>
      <c r="B4713" s="241"/>
      <c r="C4713" s="1181">
        <v>101617</v>
      </c>
      <c r="D4713" s="161" t="str">
        <f>IF(B4713="SEPLAG",VLOOKUP(COMPOSIÇÕES!C4713,'MAPA COMPARATIVO'!A:B,2,FALSE),VLOOKUP(C4713,'NAO DESO'!A:B,2,0))</f>
        <v>PREPARO DE FUNDO DE VALA COM LARGURA MAIOR OU IGUAL A 1,5 M E MENOR QUE 2,5 M (ACERTO DO SOLO NATURAL). AF_08/2020</v>
      </c>
      <c r="E4713" s="241" t="str">
        <f>VLOOKUP($C4713,'NAO DESO'!$A:$D,3,)</f>
        <v>M2</v>
      </c>
      <c r="F4713" s="242">
        <v>1</v>
      </c>
      <c r="G4713" s="242" t="str">
        <f>IF(B4713="SEPLAG",VLOOKUP(CONCATENATE("MEDIANA - ",C4713),COTAÇÃO,5,FALSE),VLOOKUP($C4713,'NAO DESO'!$A:$D,4,))</f>
        <v>2,38</v>
      </c>
      <c r="H4713" s="242">
        <f t="shared" si="266"/>
        <v>2.38</v>
      </c>
      <c r="I4713" s="54" t="str">
        <f>IF(B4713="SEPLAG",VLOOKUP(CONCATENATE("MEDIANA - ",C4713),COTAÇÃO,5,FALSE),VLOOKUP($C4713,DESON!$A:$D,4,))</f>
        <v>2,15</v>
      </c>
      <c r="J4713" s="209">
        <f t="shared" si="267"/>
        <v>2.15</v>
      </c>
    </row>
    <row r="4714" spans="1:10" ht="15" customHeight="1">
      <c r="A4714" s="208" t="s">
        <v>245</v>
      </c>
      <c r="B4714" s="241"/>
      <c r="C4714" s="1181">
        <v>96995</v>
      </c>
      <c r="D4714" s="161" t="str">
        <f>IF(B4714="SEPLAG",VLOOKUP(COMPOSIÇÕES!C4714,'MAPA COMPARATIVO'!A:B,2,FALSE),VLOOKUP(C4714,'NAO DESO'!A:B,2,0))</f>
        <v>REATERRO MANUAL APILOADO COM SOQUETE. AF_10/2017</v>
      </c>
      <c r="E4714" s="241" t="str">
        <f>VLOOKUP($C4714,'NAO DESO'!$A:$D,3,)</f>
        <v>M3</v>
      </c>
      <c r="F4714" s="242">
        <v>3.51</v>
      </c>
      <c r="G4714" s="242" t="str">
        <f>IF(B4714="SEPLAG",VLOOKUP(CONCATENATE("MEDIANA - ",C4714),COTAÇÃO,5,FALSE),VLOOKUP($C4714,'NAO DESO'!$A:$D,4,))</f>
        <v>40,36</v>
      </c>
      <c r="H4714" s="242">
        <f t="shared" si="266"/>
        <v>141.66</v>
      </c>
      <c r="I4714" s="54" t="str">
        <f>IF(B4714="SEPLAG",VLOOKUP(CONCATENATE("MEDIANA - ",C4714),COTAÇÃO,5,FALSE),VLOOKUP($C4714,DESON!$A:$D,4,))</f>
        <v>36,36</v>
      </c>
      <c r="J4714" s="209">
        <f t="shared" si="267"/>
        <v>127.62</v>
      </c>
    </row>
    <row r="4715" spans="1:10" ht="26.25" customHeight="1">
      <c r="A4715" s="208" t="s">
        <v>245</v>
      </c>
      <c r="B4715" s="241"/>
      <c r="C4715" s="1181">
        <v>98557</v>
      </c>
      <c r="D4715" s="161" t="str">
        <f>IF(B4715="SEPLAG",VLOOKUP(COMPOSIÇÕES!C4715,'MAPA COMPARATIVO'!A:B,2,FALSE),VLOOKUP(C4715,'NAO DESO'!A:B,2,0))</f>
        <v>IMPERMEABILIZAÇÃO DE SUPERFÍCIE COM EMULSÃO ASFÁLTICA, 2 DEMÃOS AF_06/2018</v>
      </c>
      <c r="E4715" s="241" t="str">
        <f>VLOOKUP($C4715,'NAO DESO'!$A:$D,3,)</f>
        <v>M2</v>
      </c>
      <c r="F4715" s="242">
        <f>F4710</f>
        <v>13.32</v>
      </c>
      <c r="G4715" s="242" t="str">
        <f>IF(B4715="SEPLAG",VLOOKUP(CONCATENATE("MEDIANA - ",C4715),COTAÇÃO,5,FALSE),VLOOKUP($C4715,'NAO DESO'!$A:$D,4,))</f>
        <v>58,82</v>
      </c>
      <c r="H4715" s="242">
        <f t="shared" si="266"/>
        <v>783.48</v>
      </c>
      <c r="I4715" s="54" t="str">
        <f>IF(B4715="SEPLAG",VLOOKUP(CONCATENATE("MEDIANA - ",C4715),COTAÇÃO,5,FALSE),VLOOKUP($C4715,DESON!$A:$D,4,))</f>
        <v>57,84</v>
      </c>
      <c r="J4715" s="209">
        <f t="shared" si="267"/>
        <v>770.42</v>
      </c>
    </row>
    <row r="4716" spans="1:10" ht="26.25" customHeight="1">
      <c r="A4716" s="208" t="s">
        <v>245</v>
      </c>
      <c r="B4716" s="241"/>
      <c r="C4716" s="1181">
        <v>11301</v>
      </c>
      <c r="D4716" s="161" t="str">
        <f>IF(B4716="SEPLAG",VLOOKUP(COMPOSIÇÕES!C4716,'MAPA COMPARATIVO'!A:B,2,FALSE),VLOOKUP(C4716,'NAO DESO'!A:B,2,0))</f>
        <v>TAMPAO FOFO ARTICULADO, CLASSE B125 CARGA MAX 12,5 T, REDONDO, TAMPA 600 MM (COM INSCRICAO EM RELEVO DO TIPO DE REDE)</v>
      </c>
      <c r="E4716" s="241" t="str">
        <f>VLOOKUP($C4716,'NAO DESO'!$A:$D,3,)</f>
        <v xml:space="preserve">UN    </v>
      </c>
      <c r="F4716" s="242">
        <v>1</v>
      </c>
      <c r="G4716" s="242">
        <f>IF(B4716="SEPLAG",VLOOKUP(CONCATENATE("MEDIANA - ",C4716),COTAÇÃO,5,FALSE),VLOOKUP($C4716,'NAO DESO'!$A:$D,4,))</f>
        <v>660.46</v>
      </c>
      <c r="H4716" s="242">
        <f t="shared" si="266"/>
        <v>660.46</v>
      </c>
      <c r="I4716" s="54" t="str">
        <f>IF(B4716="SEPLAG",VLOOKUP(CONCATENATE("MEDIANA - ",C4716),COTAÇÃO,5,FALSE),VLOOKUP($C4716,DESON!$A:$D,4,))</f>
        <v>660,46</v>
      </c>
      <c r="J4716" s="209">
        <f t="shared" si="267"/>
        <v>660.46</v>
      </c>
    </row>
    <row r="4717" spans="1:10" ht="39" customHeight="1">
      <c r="A4717" s="208" t="s">
        <v>245</v>
      </c>
      <c r="B4717" s="241"/>
      <c r="C4717" s="1181">
        <v>92775</v>
      </c>
      <c r="D4717" s="161" t="str">
        <f>IF(B4717="SEPLAG",VLOOKUP(COMPOSIÇÕES!C4717,'MAPA COMPARATIVO'!A:B,2,FALSE),VLOOKUP(C4717,'NAO DESO'!A:B,2,0))</f>
        <v>ARMAÇÃO DE PILAR OU VIGA DE UMA ESTRUTURA CONVENCIONAL DE CONCRETO ARMADO EM UMA EDIFICAÇÃO TÉRREA OU SOBRADO UTILIZANDO AÇO CA-60 DE 5,0 MM - MONTAGEM. AF_12/2015</v>
      </c>
      <c r="E4717" s="241" t="str">
        <f>VLOOKUP($C4717,'NAO DESO'!$A:$D,3,)</f>
        <v>KG</v>
      </c>
      <c r="F4717" s="242">
        <v>1.66</v>
      </c>
      <c r="G4717" s="242" t="str">
        <f>IF(B4717="SEPLAG",VLOOKUP(CONCATENATE("MEDIANA - ",C4717),COTAÇÃO,5,FALSE),VLOOKUP($C4717,'NAO DESO'!$A:$D,4,))</f>
        <v>18,46</v>
      </c>
      <c r="H4717" s="242">
        <f t="shared" si="266"/>
        <v>30.64</v>
      </c>
      <c r="I4717" s="54" t="str">
        <f>IF(B4717="SEPLAG",VLOOKUP(CONCATENATE("MEDIANA - ",C4717),COTAÇÃO,5,FALSE),VLOOKUP($C4717,DESON!$A:$D,4,))</f>
        <v>17,71</v>
      </c>
      <c r="J4717" s="209">
        <f t="shared" si="267"/>
        <v>29.39</v>
      </c>
    </row>
    <row r="4718" spans="1:10" ht="39" customHeight="1">
      <c r="A4718" s="208" t="s">
        <v>245</v>
      </c>
      <c r="B4718" s="241"/>
      <c r="C4718" s="1181">
        <v>92778</v>
      </c>
      <c r="D4718" s="161" t="str">
        <f>IF(B4718="SEPLAG",VLOOKUP(COMPOSIÇÕES!C4718,'MAPA COMPARATIVO'!A:B,2,FALSE),VLOOKUP(C4718,'NAO DESO'!A:B,2,0))</f>
        <v>ARMAÇÃO DE PILAR OU VIGA DE UMA ESTRUTURA CONVENCIONAL DE CONCRETO ARMADO EM UMA EDIFICAÇÃO TÉRREA OU SOBRADO UTILIZANDO AÇO CA-50 DE 10,0 MM - MONTAGEM. AF_12/2015</v>
      </c>
      <c r="E4718" s="241" t="str">
        <f>VLOOKUP($C4718,'NAO DESO'!$A:$D,3,)</f>
        <v>KG</v>
      </c>
      <c r="F4718" s="242">
        <v>8.8800000000000008</v>
      </c>
      <c r="G4718" s="242" t="str">
        <f>IF(B4718="SEPLAG",VLOOKUP(CONCATENATE("MEDIANA - ",C4718),COTAÇÃO,5,FALSE),VLOOKUP($C4718,'NAO DESO'!$A:$D,4,))</f>
        <v>14,78</v>
      </c>
      <c r="H4718" s="242">
        <f t="shared" si="266"/>
        <v>131.24</v>
      </c>
      <c r="I4718" s="54" t="str">
        <f>IF(B4718="SEPLAG",VLOOKUP(CONCATENATE("MEDIANA - ",C4718),COTAÇÃO,5,FALSE),VLOOKUP($C4718,DESON!$A:$D,4,))</f>
        <v>14,50</v>
      </c>
      <c r="J4718" s="209">
        <f t="shared" si="267"/>
        <v>128.76</v>
      </c>
    </row>
    <row r="4719" spans="1:10" ht="39" customHeight="1">
      <c r="A4719" s="208" t="s">
        <v>245</v>
      </c>
      <c r="B4719" s="241"/>
      <c r="C4719" s="1181">
        <v>92423</v>
      </c>
      <c r="D4719" s="161" t="str">
        <f>IF(B4719="SEPLAG",VLOOKUP(COMPOSIÇÕES!C4719,'MAPA COMPARATIVO'!A:B,2,FALSE),VLOOKUP(C4719,'NAO DESO'!A:B,2,0))</f>
        <v>MONTAGEM E DESMONTAGEM DE FÔRMA DE PILARES RETANGULARES E ESTRUTURAS SIMILARES, PÉ-DIREITO SIMPLES, EM CHAPA DE MADEIRA COMPENSADA RESINADA, 6 UTILIZAÇÕES. AF_09/2020</v>
      </c>
      <c r="E4719" s="241" t="str">
        <f>VLOOKUP($C4719,'NAO DESO'!$A:$D,3,)</f>
        <v>M2</v>
      </c>
      <c r="F4719" s="242">
        <v>1.08</v>
      </c>
      <c r="G4719" s="242" t="str">
        <f>IF(B4719="SEPLAG",VLOOKUP(CONCATENATE("MEDIANA - ",C4719),COTAÇÃO,5,FALSE),VLOOKUP($C4719,'NAO DESO'!$A:$D,4,))</f>
        <v>67,90</v>
      </c>
      <c r="H4719" s="242">
        <f t="shared" si="266"/>
        <v>73.33</v>
      </c>
      <c r="I4719" s="54" t="str">
        <f>IF(B4719="SEPLAG",VLOOKUP(CONCATENATE("MEDIANA - ",C4719),COTAÇÃO,5,FALSE),VLOOKUP($C4719,DESON!$A:$D,4,))</f>
        <v>65,30</v>
      </c>
      <c r="J4719" s="209">
        <f t="shared" si="267"/>
        <v>70.52</v>
      </c>
    </row>
    <row r="4720" spans="1:10" ht="15" customHeight="1">
      <c r="A4720" s="208" t="s">
        <v>245</v>
      </c>
      <c r="B4720" s="241"/>
      <c r="C4720" s="1181">
        <v>88309</v>
      </c>
      <c r="D4720" s="161" t="str">
        <f>IF(B4720="SEPLAG",VLOOKUP(COMPOSIÇÕES!C4720,'MAPA COMPARATIVO'!A:B,2,FALSE),VLOOKUP(C4720,'NAO DESO'!A:B,2,0))</f>
        <v>PEDREIRO COM ENCARGOS COMPLEMENTARES</v>
      </c>
      <c r="E4720" s="241" t="str">
        <f>VLOOKUP($C4720,'NAO DESO'!$A:$D,3,)</f>
        <v>H</v>
      </c>
      <c r="F4720" s="242">
        <v>1</v>
      </c>
      <c r="G4720" s="242" t="str">
        <f>IF(B4720="SEPLAG",VLOOKUP(CONCATENATE("MEDIANA - ",C4720),COTAÇÃO,5,FALSE),VLOOKUP($C4720,'NAO DESO'!$A:$D,4,))</f>
        <v>21,10</v>
      </c>
      <c r="H4720" s="242">
        <f t="shared" si="266"/>
        <v>21.1</v>
      </c>
      <c r="I4720" s="54" t="str">
        <f>IF(B4720="SEPLAG",VLOOKUP(CONCATENATE("MEDIANA - ",C4720),COTAÇÃO,5,FALSE),VLOOKUP($C4720,DESON!$A:$D,4,))</f>
        <v>18,86</v>
      </c>
      <c r="J4720" s="209">
        <f t="shared" si="267"/>
        <v>18.86</v>
      </c>
    </row>
    <row r="4721" spans="1:10" ht="15" customHeight="1">
      <c r="A4721" s="208" t="s">
        <v>245</v>
      </c>
      <c r="B4721" s="241"/>
      <c r="C4721" s="1181">
        <v>88316</v>
      </c>
      <c r="D4721" s="161" t="str">
        <f>IF(B4721="SEPLAG",VLOOKUP(COMPOSIÇÕES!C4721,'MAPA COMPARATIVO'!A:B,2,FALSE),VLOOKUP(C4721,'NAO DESO'!A:B,2,0))</f>
        <v>SERVENTE COM ENCARGOS COMPLEMENTARES</v>
      </c>
      <c r="E4721" s="241" t="str">
        <f>VLOOKUP($C4721,'NAO DESO'!$A:$D,3,)</f>
        <v>H</v>
      </c>
      <c r="F4721" s="242">
        <v>1</v>
      </c>
      <c r="G4721" s="242" t="str">
        <f>IF(B4721="SEPLAG",VLOOKUP(CONCATENATE("MEDIANA - ",C4721),COTAÇÃO,5,FALSE),VLOOKUP($C4721,'NAO DESO'!$A:$D,4,))</f>
        <v>16,83</v>
      </c>
      <c r="H4721" s="242">
        <f t="shared" si="266"/>
        <v>16.829999999999998</v>
      </c>
      <c r="I4721" s="54" t="str">
        <f>IF(B4721="SEPLAG",VLOOKUP(CONCATENATE("MEDIANA - ",C4721),COTAÇÃO,5,FALSE),VLOOKUP($C4721,DESON!$A:$D,4,))</f>
        <v>15,16</v>
      </c>
      <c r="J4721" s="209">
        <f t="shared" si="267"/>
        <v>15.16</v>
      </c>
    </row>
    <row r="4722" spans="1:10" ht="15" customHeight="1">
      <c r="A4722" s="210" t="str">
        <f>CONCATENATE("TOTAL DO ITEM NÃO DESON. - ",C4706)</f>
        <v>TOTAL DO ITEM NÃO DESON. - SEPLAG HIDR 37</v>
      </c>
      <c r="B4722" s="430"/>
      <c r="C4722" s="430"/>
      <c r="D4722" s="430"/>
      <c r="E4722" s="430"/>
      <c r="F4722" s="1180"/>
      <c r="G4722" s="1180"/>
      <c r="H4722" s="1182">
        <f>SUM(H4709:H4721)</f>
        <v>3165.6200000000003</v>
      </c>
      <c r="I4722" s="231"/>
      <c r="J4722" s="215"/>
    </row>
    <row r="4723" spans="1:10" ht="15.75" customHeight="1" thickBot="1">
      <c r="A4723" s="216" t="str">
        <f>CONCATENATE("TOTAL DO ITEM DESON. - ",C4706)</f>
        <v>TOTAL DO ITEM DESON. - SEPLAG HIDR 37</v>
      </c>
      <c r="B4723" s="1142"/>
      <c r="C4723" s="1142"/>
      <c r="D4723" s="1142"/>
      <c r="E4723" s="1142"/>
      <c r="F4723" s="1211"/>
      <c r="G4723" s="1211"/>
      <c r="H4723" s="1187"/>
      <c r="I4723" s="260"/>
      <c r="J4723" s="219">
        <f>SUM(J4709:J4721)</f>
        <v>3057.51</v>
      </c>
    </row>
    <row r="4724" spans="1:10" ht="15" customHeight="1" thickBot="1">
      <c r="A4724" s="421"/>
      <c r="B4724" s="1138"/>
      <c r="C4724" s="1138"/>
      <c r="D4724" s="1138"/>
      <c r="E4724" s="1154"/>
      <c r="F4724" s="1196"/>
      <c r="G4724" s="1196"/>
      <c r="H4724" s="1196"/>
      <c r="I4724" s="422"/>
      <c r="J4724" s="422"/>
    </row>
    <row r="4725" spans="1:10" ht="38.25" customHeight="1">
      <c r="A4725" s="473" t="s">
        <v>421</v>
      </c>
      <c r="B4725" s="1234"/>
      <c r="C4725" s="1176" t="s">
        <v>7510</v>
      </c>
      <c r="D4725" s="156" t="s">
        <v>27967</v>
      </c>
      <c r="E4725" s="1176" t="s">
        <v>24</v>
      </c>
      <c r="F4725" s="1177" t="s">
        <v>18</v>
      </c>
      <c r="G4725" s="1178" t="s">
        <v>7015</v>
      </c>
      <c r="H4725" s="1179"/>
      <c r="I4725" s="200" t="s">
        <v>7016</v>
      </c>
      <c r="J4725" s="201"/>
    </row>
    <row r="4726" spans="1:10" ht="15" customHeight="1">
      <c r="A4726" s="257"/>
      <c r="B4726" s="430"/>
      <c r="C4726" s="1155"/>
      <c r="D4726" s="157"/>
      <c r="E4726" s="1155"/>
      <c r="F4726" s="1180"/>
      <c r="G4726" s="1180" t="s">
        <v>19</v>
      </c>
      <c r="H4726" s="1180" t="s">
        <v>20</v>
      </c>
      <c r="I4726" s="204" t="s">
        <v>19</v>
      </c>
      <c r="J4726" s="206" t="s">
        <v>20</v>
      </c>
    </row>
    <row r="4727" spans="1:10" ht="15" customHeight="1">
      <c r="A4727" s="258"/>
      <c r="B4727" s="1155"/>
      <c r="C4727" s="1155"/>
      <c r="D4727" s="157"/>
      <c r="E4727" s="1155"/>
      <c r="F4727" s="1180"/>
      <c r="G4727" s="1180"/>
      <c r="H4727" s="1180"/>
      <c r="I4727" s="238"/>
      <c r="J4727" s="259"/>
    </row>
    <row r="4728" spans="1:10" ht="39" customHeight="1">
      <c r="A4728" s="208" t="s">
        <v>245</v>
      </c>
      <c r="B4728" s="241"/>
      <c r="C4728" s="1181">
        <v>101159</v>
      </c>
      <c r="D4728" s="161" t="str">
        <f>IF(B4728="SEPLAG",VLOOKUP(COMPOSIÇÕES!C4728,'MAPA COMPARATIVO'!A:B,2,FALSE),VLOOKUP(C4728,'NAO DESO'!A:B,2,0))</f>
        <v>ALVENARIA DE VEDAÇÃO DE BLOCOS CERÂMICOS MACIÇOS DE 5X10X20CM (ESPESSURA 10CM) E ARGAMASSA DE ASSENTAMENTO COM PREPARO EM BETONEIRA. AF_05/2020</v>
      </c>
      <c r="E4728" s="241" t="str">
        <f>VLOOKUP($C4728,'NAO DESO'!$A:$D,3,)</f>
        <v>M2</v>
      </c>
      <c r="F4728" s="242">
        <v>5.76</v>
      </c>
      <c r="G4728" s="242" t="str">
        <f>IF(B4728="SEPLAG",VLOOKUP(CONCATENATE("MEDIANA - ",C4728),COTAÇÃO,5,FALSE),VLOOKUP($C4728,'NAO DESO'!$A:$D,4,))</f>
        <v>126,63</v>
      </c>
      <c r="H4728" s="242">
        <f t="shared" ref="H4728:H4740" si="268">TRUNC(F4728*G4728,2)</f>
        <v>729.38</v>
      </c>
      <c r="I4728" s="54" t="str">
        <f>IF(B4728="SEPLAG",VLOOKUP(CONCATENATE("MEDIANA - ",C4728),COTAÇÃO,5,FALSE),VLOOKUP($C4728,DESON!$A:$D,4,))</f>
        <v>120,46</v>
      </c>
      <c r="J4728" s="209">
        <f t="shared" ref="J4728:J4740" si="269">TRUNC(F4728*I4728,2)</f>
        <v>693.84</v>
      </c>
    </row>
    <row r="4729" spans="1:10" ht="64.5" customHeight="1">
      <c r="A4729" s="208" t="s">
        <v>245</v>
      </c>
      <c r="B4729" s="241"/>
      <c r="C4729" s="1181">
        <v>87543</v>
      </c>
      <c r="D4729" s="161" t="str">
        <f>IF(B4729="SEPLAG",VLOOKUP(COMPOSIÇÕES!C4729,'MAPA COMPARATIVO'!A:B,2,FALSE),VLOOKUP(C4729,'NAO DESO'!A:B,2,0))</f>
        <v>MASSA ÚNICA, PARA RECEBIMENTO DE PINTURA OU CERÂMICA, ARGAMASSA INDUSTRIALIZADA, PREPARO MECÂNICO, APLICADO COM EQUIPAMENTO DE MISTURA E PROJEÇÃO DE 1,5 M3/H EM FACES INTERNAS DE PAREDES, ESPESSURA DE 5MM, SEM EXECUÇÃO DE TALISCAS. AF_06/2014</v>
      </c>
      <c r="E4729" s="241" t="str">
        <f>VLOOKUP($C4729,'NAO DESO'!$A:$D,3,)</f>
        <v>M2</v>
      </c>
      <c r="F4729" s="242">
        <v>15.12</v>
      </c>
      <c r="G4729" s="242" t="str">
        <f>IF(B4729="SEPLAG",VLOOKUP(CONCATENATE("MEDIANA - ",C4729),COTAÇÃO,5,FALSE),VLOOKUP($C4729,'NAO DESO'!$A:$D,4,))</f>
        <v>24,40</v>
      </c>
      <c r="H4729" s="242">
        <f t="shared" si="268"/>
        <v>368.92</v>
      </c>
      <c r="I4729" s="54" t="str">
        <f>IF(B4729="SEPLAG",VLOOKUP(CONCATENATE("MEDIANA - ",C4729),COTAÇÃO,5,FALSE),VLOOKUP($C4729,DESON!$A:$D,4,))</f>
        <v>23,82</v>
      </c>
      <c r="J4729" s="209">
        <f t="shared" si="269"/>
        <v>360.15</v>
      </c>
    </row>
    <row r="4730" spans="1:10" ht="39" customHeight="1">
      <c r="A4730" s="208" t="s">
        <v>245</v>
      </c>
      <c r="B4730" s="241"/>
      <c r="C4730" s="1181">
        <v>94970</v>
      </c>
      <c r="D4730" s="161" t="str">
        <f>IF(B4730="SEPLAG",VLOOKUP(COMPOSIÇÕES!C4730,'MAPA COMPARATIVO'!A:B,2,FALSE),VLOOKUP(C4730,'NAO DESO'!A:B,2,0))</f>
        <v>CONCRETO FCK = 20MPA, TRAÇO 1:2,7:3 (EM MASSA SECA DE CIMENTO/ AREIA MÉDIA/ BRITA 1) - PREPARO MECÂNICO COM BETONEIRA 600 L. AF_05/2021</v>
      </c>
      <c r="E4730" s="241" t="str">
        <f>VLOOKUP($C4730,'NAO DESO'!$A:$D,3,)</f>
        <v>M3</v>
      </c>
      <c r="F4730" s="242">
        <v>0.1</v>
      </c>
      <c r="G4730" s="242" t="str">
        <f>IF(B4730="SEPLAG",VLOOKUP(CONCATENATE("MEDIANA - ",C4730),COTAÇÃO,5,FALSE),VLOOKUP($C4730,'NAO DESO'!$A:$D,4,))</f>
        <v>405,57</v>
      </c>
      <c r="H4730" s="242">
        <f t="shared" si="268"/>
        <v>40.549999999999997</v>
      </c>
      <c r="I4730" s="54" t="str">
        <f>IF(B4730="SEPLAG",VLOOKUP(CONCATENATE("MEDIANA - ",C4730),COTAÇÃO,5,FALSE),VLOOKUP($C4730,DESON!$A:$D,4,))</f>
        <v>400,17</v>
      </c>
      <c r="J4730" s="209">
        <f t="shared" si="269"/>
        <v>40.01</v>
      </c>
    </row>
    <row r="4731" spans="1:10" ht="26.25" customHeight="1">
      <c r="A4731" s="208" t="s">
        <v>245</v>
      </c>
      <c r="B4731" s="241"/>
      <c r="C4731" s="1181">
        <v>93358</v>
      </c>
      <c r="D4731" s="161" t="str">
        <f>IF(B4731="SEPLAG",VLOOKUP(COMPOSIÇÕES!C4731,'MAPA COMPARATIVO'!A:B,2,FALSE),VLOOKUP(C4731,'NAO DESO'!A:B,2,0))</f>
        <v>ESCAVAÇÃO MANUAL DE VALA COM PROFUNDIDADE MENOR OU IGUAL A 1,30 M. AF_02/2021</v>
      </c>
      <c r="E4731" s="241" t="str">
        <f>VLOOKUP($C4731,'NAO DESO'!$A:$D,3,)</f>
        <v>M3</v>
      </c>
      <c r="F4731" s="242">
        <v>5.67</v>
      </c>
      <c r="G4731" s="242" t="str">
        <f>IF(B4731="SEPLAG",VLOOKUP(CONCATENATE("MEDIANA - ",C4731),COTAÇÃO,5,FALSE),VLOOKUP($C4731,'NAO DESO'!$A:$D,4,))</f>
        <v>66,57</v>
      </c>
      <c r="H4731" s="242">
        <f t="shared" si="268"/>
        <v>377.45</v>
      </c>
      <c r="I4731" s="54" t="str">
        <f>IF(B4731="SEPLAG",VLOOKUP(CONCATENATE("MEDIANA - ",C4731),COTAÇÃO,5,FALSE),VLOOKUP($C4731,DESON!$A:$D,4,))</f>
        <v>59,97</v>
      </c>
      <c r="J4731" s="209">
        <f t="shared" si="269"/>
        <v>340.02</v>
      </c>
    </row>
    <row r="4732" spans="1:10" ht="26.25" customHeight="1">
      <c r="A4732" s="208" t="s">
        <v>245</v>
      </c>
      <c r="B4732" s="241"/>
      <c r="C4732" s="1181">
        <v>101617</v>
      </c>
      <c r="D4732" s="161" t="str">
        <f>IF(B4732="SEPLAG",VLOOKUP(COMPOSIÇÕES!C4732,'MAPA COMPARATIVO'!A:B,2,FALSE),VLOOKUP(C4732,'NAO DESO'!A:B,2,0))</f>
        <v>PREPARO DE FUNDO DE VALA COM LARGURA MAIOR OU IGUAL A 1,5 M E MENOR QUE 2,5 M (ACERTO DO SOLO NATURAL). AF_08/2020</v>
      </c>
      <c r="E4732" s="241" t="str">
        <f>VLOOKUP($C4732,'NAO DESO'!$A:$D,3,)</f>
        <v>M2</v>
      </c>
      <c r="F4732" s="242">
        <v>1</v>
      </c>
      <c r="G4732" s="242" t="str">
        <f>IF(B4732="SEPLAG",VLOOKUP(CONCATENATE("MEDIANA - ",C4732),COTAÇÃO,5,FALSE),VLOOKUP($C4732,'NAO DESO'!$A:$D,4,))</f>
        <v>2,38</v>
      </c>
      <c r="H4732" s="242">
        <f t="shared" si="268"/>
        <v>2.38</v>
      </c>
      <c r="I4732" s="54" t="str">
        <f>IF(B4732="SEPLAG",VLOOKUP(CONCATENATE("MEDIANA - ",C4732),COTAÇÃO,5,FALSE),VLOOKUP($C4732,DESON!$A:$D,4,))</f>
        <v>2,15</v>
      </c>
      <c r="J4732" s="209">
        <f t="shared" si="269"/>
        <v>2.15</v>
      </c>
    </row>
    <row r="4733" spans="1:10" ht="15" customHeight="1">
      <c r="A4733" s="208" t="s">
        <v>245</v>
      </c>
      <c r="B4733" s="241"/>
      <c r="C4733" s="1181">
        <v>96995</v>
      </c>
      <c r="D4733" s="161" t="str">
        <f>IF(B4733="SEPLAG",VLOOKUP(COMPOSIÇÕES!C4733,'MAPA COMPARATIVO'!A:B,2,FALSE),VLOOKUP(C4733,'NAO DESO'!A:B,2,0))</f>
        <v>REATERRO MANUAL APILOADO COM SOQUETE. AF_10/2017</v>
      </c>
      <c r="E4733" s="241" t="str">
        <f>VLOOKUP($C4733,'NAO DESO'!$A:$D,3,)</f>
        <v>M3</v>
      </c>
      <c r="F4733" s="242">
        <v>4.07</v>
      </c>
      <c r="G4733" s="242" t="str">
        <f>IF(B4733="SEPLAG",VLOOKUP(CONCATENATE("MEDIANA - ",C4733),COTAÇÃO,5,FALSE),VLOOKUP($C4733,'NAO DESO'!$A:$D,4,))</f>
        <v>40,36</v>
      </c>
      <c r="H4733" s="242">
        <f t="shared" si="268"/>
        <v>164.26</v>
      </c>
      <c r="I4733" s="54" t="str">
        <f>IF(B4733="SEPLAG",VLOOKUP(CONCATENATE("MEDIANA - ",C4733),COTAÇÃO,5,FALSE),VLOOKUP($C4733,DESON!$A:$D,4,))</f>
        <v>36,36</v>
      </c>
      <c r="J4733" s="209">
        <f t="shared" si="269"/>
        <v>147.97999999999999</v>
      </c>
    </row>
    <row r="4734" spans="1:10" ht="26.25" customHeight="1">
      <c r="A4734" s="208" t="s">
        <v>245</v>
      </c>
      <c r="B4734" s="241"/>
      <c r="C4734" s="1181">
        <v>98557</v>
      </c>
      <c r="D4734" s="161" t="str">
        <f>IF(B4734="SEPLAG",VLOOKUP(COMPOSIÇÕES!C4734,'MAPA COMPARATIVO'!A:B,2,FALSE),VLOOKUP(C4734,'NAO DESO'!A:B,2,0))</f>
        <v>IMPERMEABILIZAÇÃO DE SUPERFÍCIE COM EMULSÃO ASFÁLTICA, 2 DEMÃOS AF_06/2018</v>
      </c>
      <c r="E4734" s="241" t="str">
        <f>VLOOKUP($C4734,'NAO DESO'!$A:$D,3,)</f>
        <v>M2</v>
      </c>
      <c r="F4734" s="242">
        <f>F4729</f>
        <v>15.12</v>
      </c>
      <c r="G4734" s="242" t="str">
        <f>IF(B4734="SEPLAG",VLOOKUP(CONCATENATE("MEDIANA - ",C4734),COTAÇÃO,5,FALSE),VLOOKUP($C4734,'NAO DESO'!$A:$D,4,))</f>
        <v>58,82</v>
      </c>
      <c r="H4734" s="242">
        <f t="shared" si="268"/>
        <v>889.35</v>
      </c>
      <c r="I4734" s="54" t="str">
        <f>IF(B4734="SEPLAG",VLOOKUP(CONCATENATE("MEDIANA - ",C4734),COTAÇÃO,5,FALSE),VLOOKUP($C4734,DESON!$A:$D,4,))</f>
        <v>57,84</v>
      </c>
      <c r="J4734" s="209">
        <f t="shared" si="269"/>
        <v>874.54</v>
      </c>
    </row>
    <row r="4735" spans="1:10" ht="26.25" customHeight="1">
      <c r="A4735" s="208" t="s">
        <v>245</v>
      </c>
      <c r="B4735" s="241"/>
      <c r="C4735" s="1181">
        <v>11301</v>
      </c>
      <c r="D4735" s="161" t="str">
        <f>IF(B4735="SEPLAG",VLOOKUP(COMPOSIÇÕES!C4735,'MAPA COMPARATIVO'!A:B,2,FALSE),VLOOKUP(C4735,'NAO DESO'!A:B,2,0))</f>
        <v>TAMPAO FOFO ARTICULADO, CLASSE B125 CARGA MAX 12,5 T, REDONDO, TAMPA 600 MM (COM INSCRICAO EM RELEVO DO TIPO DE REDE)</v>
      </c>
      <c r="E4735" s="241" t="str">
        <f>VLOOKUP($C4735,'NAO DESO'!$A:$D,3,)</f>
        <v xml:space="preserve">UN    </v>
      </c>
      <c r="F4735" s="242">
        <v>1</v>
      </c>
      <c r="G4735" s="242">
        <f>IF(B4735="SEPLAG",VLOOKUP(CONCATENATE("MEDIANA - ",C4735),COTAÇÃO,5,FALSE),VLOOKUP($C4735,'NAO DESO'!$A:$D,4,))</f>
        <v>660.46</v>
      </c>
      <c r="H4735" s="242">
        <f t="shared" si="268"/>
        <v>660.46</v>
      </c>
      <c r="I4735" s="54" t="str">
        <f>IF(B4735="SEPLAG",VLOOKUP(CONCATENATE("MEDIANA - ",C4735),COTAÇÃO,5,FALSE),VLOOKUP($C4735,DESON!$A:$D,4,))</f>
        <v>660,46</v>
      </c>
      <c r="J4735" s="209">
        <f t="shared" si="269"/>
        <v>660.46</v>
      </c>
    </row>
    <row r="4736" spans="1:10" ht="39" customHeight="1">
      <c r="A4736" s="208" t="s">
        <v>245</v>
      </c>
      <c r="B4736" s="241"/>
      <c r="C4736" s="1181">
        <v>92775</v>
      </c>
      <c r="D4736" s="161" t="str">
        <f>IF(B4736="SEPLAG",VLOOKUP(COMPOSIÇÕES!C4736,'MAPA COMPARATIVO'!A:B,2,FALSE),VLOOKUP(C4736,'NAO DESO'!A:B,2,0))</f>
        <v>ARMAÇÃO DE PILAR OU VIGA DE UMA ESTRUTURA CONVENCIONAL DE CONCRETO ARMADO EM UMA EDIFICAÇÃO TÉRREA OU SOBRADO UTILIZANDO AÇO CA-60 DE 5,0 MM - MONTAGEM. AF_12/2015</v>
      </c>
      <c r="E4736" s="241" t="str">
        <f>VLOOKUP($C4736,'NAO DESO'!$A:$D,3,)</f>
        <v>KG</v>
      </c>
      <c r="F4736" s="242">
        <v>1.66</v>
      </c>
      <c r="G4736" s="242" t="str">
        <f>IF(B4736="SEPLAG",VLOOKUP(CONCATENATE("MEDIANA - ",C4736),COTAÇÃO,5,FALSE),VLOOKUP($C4736,'NAO DESO'!$A:$D,4,))</f>
        <v>18,46</v>
      </c>
      <c r="H4736" s="242">
        <f t="shared" si="268"/>
        <v>30.64</v>
      </c>
      <c r="I4736" s="54" t="str">
        <f>IF(B4736="SEPLAG",VLOOKUP(CONCATENATE("MEDIANA - ",C4736),COTAÇÃO,5,FALSE),VLOOKUP($C4736,DESON!$A:$D,4,))</f>
        <v>17,71</v>
      </c>
      <c r="J4736" s="209">
        <f t="shared" si="269"/>
        <v>29.39</v>
      </c>
    </row>
    <row r="4737" spans="1:10" ht="39" customHeight="1">
      <c r="A4737" s="208" t="s">
        <v>245</v>
      </c>
      <c r="B4737" s="241"/>
      <c r="C4737" s="1181">
        <v>92778</v>
      </c>
      <c r="D4737" s="161" t="str">
        <f>IF(B4737="SEPLAG",VLOOKUP(COMPOSIÇÕES!C4737,'MAPA COMPARATIVO'!A:B,2,FALSE),VLOOKUP(C4737,'NAO DESO'!A:B,2,0))</f>
        <v>ARMAÇÃO DE PILAR OU VIGA DE UMA ESTRUTURA CONVENCIONAL DE CONCRETO ARMADO EM UMA EDIFICAÇÃO TÉRREA OU SOBRADO UTILIZANDO AÇO CA-50 DE 10,0 MM - MONTAGEM. AF_12/2015</v>
      </c>
      <c r="E4737" s="241" t="str">
        <f>VLOOKUP($C4737,'NAO DESO'!$A:$D,3,)</f>
        <v>KG</v>
      </c>
      <c r="F4737" s="242">
        <v>8.8800000000000008</v>
      </c>
      <c r="G4737" s="242" t="str">
        <f>IF(B4737="SEPLAG",VLOOKUP(CONCATENATE("MEDIANA - ",C4737),COTAÇÃO,5,FALSE),VLOOKUP($C4737,'NAO DESO'!$A:$D,4,))</f>
        <v>14,78</v>
      </c>
      <c r="H4737" s="242">
        <f t="shared" si="268"/>
        <v>131.24</v>
      </c>
      <c r="I4737" s="54" t="str">
        <f>IF(B4737="SEPLAG",VLOOKUP(CONCATENATE("MEDIANA - ",C4737),COTAÇÃO,5,FALSE),VLOOKUP($C4737,DESON!$A:$D,4,))</f>
        <v>14,50</v>
      </c>
      <c r="J4737" s="209">
        <f t="shared" si="269"/>
        <v>128.76</v>
      </c>
    </row>
    <row r="4738" spans="1:10" ht="39" customHeight="1">
      <c r="A4738" s="208" t="s">
        <v>245</v>
      </c>
      <c r="B4738" s="241"/>
      <c r="C4738" s="1181">
        <v>92423</v>
      </c>
      <c r="D4738" s="161" t="str">
        <f>IF(B4738="SEPLAG",VLOOKUP(COMPOSIÇÕES!C4738,'MAPA COMPARATIVO'!A:B,2,FALSE),VLOOKUP(C4738,'NAO DESO'!A:B,2,0))</f>
        <v>MONTAGEM E DESMONTAGEM DE FÔRMA DE PILARES RETANGULARES E ESTRUTURAS SIMILARES, PÉ-DIREITO SIMPLES, EM CHAPA DE MADEIRA COMPENSADA RESINADA, 6 UTILIZAÇÕES. AF_09/2020</v>
      </c>
      <c r="E4738" s="241" t="str">
        <f>VLOOKUP($C4738,'NAO DESO'!$A:$D,3,)</f>
        <v>M2</v>
      </c>
      <c r="F4738" s="242">
        <v>1.08</v>
      </c>
      <c r="G4738" s="242" t="str">
        <f>IF(B4738="SEPLAG",VLOOKUP(CONCATENATE("MEDIANA - ",C4738),COTAÇÃO,5,FALSE),VLOOKUP($C4738,'NAO DESO'!$A:$D,4,))</f>
        <v>67,90</v>
      </c>
      <c r="H4738" s="242">
        <f t="shared" si="268"/>
        <v>73.33</v>
      </c>
      <c r="I4738" s="54" t="str">
        <f>IF(B4738="SEPLAG",VLOOKUP(CONCATENATE("MEDIANA - ",C4738),COTAÇÃO,5,FALSE),VLOOKUP($C4738,DESON!$A:$D,4,))</f>
        <v>65,30</v>
      </c>
      <c r="J4738" s="209">
        <f t="shared" si="269"/>
        <v>70.52</v>
      </c>
    </row>
    <row r="4739" spans="1:10" ht="15" customHeight="1">
      <c r="A4739" s="208" t="s">
        <v>245</v>
      </c>
      <c r="B4739" s="241"/>
      <c r="C4739" s="1181">
        <v>88309</v>
      </c>
      <c r="D4739" s="161" t="str">
        <f>IF(B4739="SEPLAG",VLOOKUP(COMPOSIÇÕES!C4739,'MAPA COMPARATIVO'!A:B,2,FALSE),VLOOKUP(C4739,'NAO DESO'!A:B,2,0))</f>
        <v>PEDREIRO COM ENCARGOS COMPLEMENTARES</v>
      </c>
      <c r="E4739" s="241" t="str">
        <f>VLOOKUP($C4739,'NAO DESO'!$A:$D,3,)</f>
        <v>H</v>
      </c>
      <c r="F4739" s="242">
        <v>1</v>
      </c>
      <c r="G4739" s="242" t="str">
        <f>IF(B4739="SEPLAG",VLOOKUP(CONCATENATE("MEDIANA - ",C4739),COTAÇÃO,5,FALSE),VLOOKUP($C4739,'NAO DESO'!$A:$D,4,))</f>
        <v>21,10</v>
      </c>
      <c r="H4739" s="242">
        <f t="shared" si="268"/>
        <v>21.1</v>
      </c>
      <c r="I4739" s="54" t="str">
        <f>IF(B4739="SEPLAG",VLOOKUP(CONCATENATE("MEDIANA - ",C4739),COTAÇÃO,5,FALSE),VLOOKUP($C4739,DESON!$A:$D,4,))</f>
        <v>18,86</v>
      </c>
      <c r="J4739" s="209">
        <f t="shared" si="269"/>
        <v>18.86</v>
      </c>
    </row>
    <row r="4740" spans="1:10" ht="15" customHeight="1">
      <c r="A4740" s="208" t="s">
        <v>245</v>
      </c>
      <c r="B4740" s="241"/>
      <c r="C4740" s="1181">
        <v>88316</v>
      </c>
      <c r="D4740" s="161" t="str">
        <f>IF(B4740="SEPLAG",VLOOKUP(COMPOSIÇÕES!C4740,'MAPA COMPARATIVO'!A:B,2,FALSE),VLOOKUP(C4740,'NAO DESO'!A:B,2,0))</f>
        <v>SERVENTE COM ENCARGOS COMPLEMENTARES</v>
      </c>
      <c r="E4740" s="241" t="str">
        <f>VLOOKUP($C4740,'NAO DESO'!$A:$D,3,)</f>
        <v>H</v>
      </c>
      <c r="F4740" s="242">
        <v>1</v>
      </c>
      <c r="G4740" s="242" t="str">
        <f>IF(B4740="SEPLAG",VLOOKUP(CONCATENATE("MEDIANA - ",C4740),COTAÇÃO,5,FALSE),VLOOKUP($C4740,'NAO DESO'!$A:$D,4,))</f>
        <v>16,83</v>
      </c>
      <c r="H4740" s="242">
        <f t="shared" si="268"/>
        <v>16.829999999999998</v>
      </c>
      <c r="I4740" s="54" t="str">
        <f>IF(B4740="SEPLAG",VLOOKUP(CONCATENATE("MEDIANA - ",C4740),COTAÇÃO,5,FALSE),VLOOKUP($C4740,DESON!$A:$D,4,))</f>
        <v>15,16</v>
      </c>
      <c r="J4740" s="209">
        <f t="shared" si="269"/>
        <v>15.16</v>
      </c>
    </row>
    <row r="4741" spans="1:10" ht="15" customHeight="1">
      <c r="A4741" s="210" t="str">
        <f>CONCATENATE("TOTAL DO ITEM NÃO DESON. - ",C4725)</f>
        <v>TOTAL DO ITEM NÃO DESON. - SEPLAG HIDR 38</v>
      </c>
      <c r="B4741" s="430"/>
      <c r="C4741" s="430"/>
      <c r="D4741" s="430"/>
      <c r="E4741" s="430"/>
      <c r="F4741" s="1180"/>
      <c r="G4741" s="1180"/>
      <c r="H4741" s="1182">
        <f>SUM(H4728:H4740)</f>
        <v>3505.89</v>
      </c>
      <c r="I4741" s="231"/>
      <c r="J4741" s="215"/>
    </row>
    <row r="4742" spans="1:10" ht="15.75" customHeight="1" thickBot="1">
      <c r="A4742" s="216" t="str">
        <f>CONCATENATE("TOTAL DO ITEM DESON. - ",C4725)</f>
        <v>TOTAL DO ITEM DESON. - SEPLAG HIDR 38</v>
      </c>
      <c r="B4742" s="1142"/>
      <c r="C4742" s="1142"/>
      <c r="D4742" s="1142"/>
      <c r="E4742" s="1142"/>
      <c r="F4742" s="1211"/>
      <c r="G4742" s="1211"/>
      <c r="H4742" s="1187"/>
      <c r="I4742" s="260"/>
      <c r="J4742" s="219">
        <f>SUM(J4728:J4740)</f>
        <v>3381.84</v>
      </c>
    </row>
    <row r="4743" spans="1:10" ht="15" customHeight="1" thickBot="1">
      <c r="A4743" s="421"/>
      <c r="B4743" s="1138"/>
      <c r="C4743" s="1138"/>
      <c r="D4743" s="1138"/>
      <c r="E4743" s="1154"/>
      <c r="F4743" s="1196"/>
      <c r="G4743" s="1196"/>
      <c r="H4743" s="1196"/>
      <c r="I4743" s="422"/>
      <c r="J4743" s="422"/>
    </row>
    <row r="4744" spans="1:10" ht="38.25" customHeight="1">
      <c r="A4744" s="473" t="s">
        <v>421</v>
      </c>
      <c r="B4744" s="1234"/>
      <c r="C4744" s="1176" t="s">
        <v>7511</v>
      </c>
      <c r="D4744" s="156" t="s">
        <v>27968</v>
      </c>
      <c r="E4744" s="1176" t="s">
        <v>24</v>
      </c>
      <c r="F4744" s="1177" t="s">
        <v>18</v>
      </c>
      <c r="G4744" s="1178" t="s">
        <v>7015</v>
      </c>
      <c r="H4744" s="1179"/>
      <c r="I4744" s="200" t="s">
        <v>7016</v>
      </c>
      <c r="J4744" s="201"/>
    </row>
    <row r="4745" spans="1:10" ht="15" customHeight="1">
      <c r="A4745" s="257"/>
      <c r="B4745" s="430"/>
      <c r="C4745" s="1155"/>
      <c r="D4745" s="157"/>
      <c r="E4745" s="1155"/>
      <c r="F4745" s="1180"/>
      <c r="G4745" s="1180" t="s">
        <v>19</v>
      </c>
      <c r="H4745" s="1180" t="s">
        <v>20</v>
      </c>
      <c r="I4745" s="204" t="s">
        <v>19</v>
      </c>
      <c r="J4745" s="206" t="s">
        <v>20</v>
      </c>
    </row>
    <row r="4746" spans="1:10" ht="15" customHeight="1">
      <c r="A4746" s="258"/>
      <c r="B4746" s="1155"/>
      <c r="C4746" s="1155"/>
      <c r="D4746" s="157"/>
      <c r="E4746" s="1155"/>
      <c r="F4746" s="1180"/>
      <c r="G4746" s="1180"/>
      <c r="H4746" s="1180"/>
      <c r="I4746" s="238"/>
      <c r="J4746" s="259"/>
    </row>
    <row r="4747" spans="1:10" ht="39" customHeight="1">
      <c r="A4747" s="208" t="s">
        <v>245</v>
      </c>
      <c r="B4747" s="241"/>
      <c r="C4747" s="1181">
        <v>101159</v>
      </c>
      <c r="D4747" s="161" t="str">
        <f>IF(B4747="SEPLAG",VLOOKUP(COMPOSIÇÕES!C4747,'MAPA COMPARATIVO'!A:B,2,FALSE),VLOOKUP(C4747,'NAO DESO'!A:B,2,0))</f>
        <v>ALVENARIA DE VEDAÇÃO DE BLOCOS CERÂMICOS MACIÇOS DE 5X10X20CM (ESPESSURA 10CM) E ARGAMASSA DE ASSENTAMENTO COM PREPARO EM BETONEIRA. AF_05/2020</v>
      </c>
      <c r="E4747" s="241" t="str">
        <f>VLOOKUP($C4747,'NAO DESO'!$A:$D,3,)</f>
        <v>M2</v>
      </c>
      <c r="F4747" s="242">
        <v>0.98</v>
      </c>
      <c r="G4747" s="242" t="str">
        <f>IF(B4747="SEPLAG",VLOOKUP(CONCATENATE("MEDIANA - ",C4747),COTAÇÃO,5,FALSE),VLOOKUP($C4747,'NAO DESO'!$A:$D,4,))</f>
        <v>126,63</v>
      </c>
      <c r="H4747" s="242">
        <f t="shared" ref="H4747:H4758" si="270">TRUNC(F4747*G4747,2)</f>
        <v>124.09</v>
      </c>
      <c r="I4747" s="54" t="str">
        <f>IF(B4747="SEPLAG",VLOOKUP(CONCATENATE("MEDIANA - ",C4747),COTAÇÃO,5,FALSE),VLOOKUP($C4747,DESON!$A:$D,4,))</f>
        <v>120,46</v>
      </c>
      <c r="J4747" s="209">
        <f t="shared" ref="J4747:J4758" si="271">TRUNC(F4747*I4747,2)</f>
        <v>118.05</v>
      </c>
    </row>
    <row r="4748" spans="1:10" ht="64.5" customHeight="1">
      <c r="A4748" s="208" t="s">
        <v>245</v>
      </c>
      <c r="B4748" s="241"/>
      <c r="C4748" s="1181">
        <v>87543</v>
      </c>
      <c r="D4748" s="161" t="str">
        <f>IF(B4748="SEPLAG",VLOOKUP(COMPOSIÇÕES!C4748,'MAPA COMPARATIVO'!A:B,2,FALSE),VLOOKUP(C4748,'NAO DESO'!A:B,2,0))</f>
        <v>MASSA ÚNICA, PARA RECEBIMENTO DE PINTURA OU CERÂMICA, ARGAMASSA INDUSTRIALIZADA, PREPARO MECÂNICO, APLICADO COM EQUIPAMENTO DE MISTURA E PROJEÇÃO DE 1,5 M3/H EM FACES INTERNAS DE PAREDES, ESPESSURA DE 5MM, SEM EXECUÇÃO DE TALISCAS. AF_06/2014</v>
      </c>
      <c r="E4748" s="241" t="str">
        <f>VLOOKUP($C4748,'NAO DESO'!$A:$D,3,)</f>
        <v>M2</v>
      </c>
      <c r="F4748" s="242">
        <v>4.76</v>
      </c>
      <c r="G4748" s="242" t="str">
        <f>IF(B4748="SEPLAG",VLOOKUP(CONCATENATE("MEDIANA - ",C4748),COTAÇÃO,5,FALSE),VLOOKUP($C4748,'NAO DESO'!$A:$D,4,))</f>
        <v>24,40</v>
      </c>
      <c r="H4748" s="242">
        <f t="shared" si="270"/>
        <v>116.14</v>
      </c>
      <c r="I4748" s="54" t="str">
        <f>IF(B4748="SEPLAG",VLOOKUP(CONCATENATE("MEDIANA - ",C4748),COTAÇÃO,5,FALSE),VLOOKUP($C4748,DESON!$A:$D,4,))</f>
        <v>23,82</v>
      </c>
      <c r="J4748" s="209">
        <f t="shared" si="271"/>
        <v>113.38</v>
      </c>
    </row>
    <row r="4749" spans="1:10" ht="39" customHeight="1">
      <c r="A4749" s="208" t="s">
        <v>245</v>
      </c>
      <c r="B4749" s="241"/>
      <c r="C4749" s="1181">
        <v>94970</v>
      </c>
      <c r="D4749" s="161" t="str">
        <f>IF(B4749="SEPLAG",VLOOKUP(COMPOSIÇÕES!C4749,'MAPA COMPARATIVO'!A:B,2,FALSE),VLOOKUP(C4749,'NAO DESO'!A:B,2,0))</f>
        <v>CONCRETO FCK = 20MPA, TRAÇO 1:2,7:3 (EM MASSA SECA DE CIMENTO/ AREIA MÉDIA/ BRITA 1) - PREPARO MECÂNICO COM BETONEIRA 600 L. AF_05/2021</v>
      </c>
      <c r="E4749" s="241" t="str">
        <f>VLOOKUP($C4749,'NAO DESO'!$A:$D,3,)</f>
        <v>M3</v>
      </c>
      <c r="F4749" s="242">
        <v>0.13</v>
      </c>
      <c r="G4749" s="242" t="str">
        <f>IF(B4749="SEPLAG",VLOOKUP(CONCATENATE("MEDIANA - ",C4749),COTAÇÃO,5,FALSE),VLOOKUP($C4749,'NAO DESO'!$A:$D,4,))</f>
        <v>405,57</v>
      </c>
      <c r="H4749" s="242">
        <f t="shared" si="270"/>
        <v>52.72</v>
      </c>
      <c r="I4749" s="54" t="str">
        <f>IF(B4749="SEPLAG",VLOOKUP(CONCATENATE("MEDIANA - ",C4749),COTAÇÃO,5,FALSE),VLOOKUP($C4749,DESON!$A:$D,4,))</f>
        <v>400,17</v>
      </c>
      <c r="J4749" s="209">
        <f t="shared" si="271"/>
        <v>52.02</v>
      </c>
    </row>
    <row r="4750" spans="1:10" ht="26.25" customHeight="1">
      <c r="A4750" s="208" t="s">
        <v>245</v>
      </c>
      <c r="B4750" s="241"/>
      <c r="C4750" s="1181">
        <v>93358</v>
      </c>
      <c r="D4750" s="161" t="str">
        <f>IF(B4750="SEPLAG",VLOOKUP(COMPOSIÇÕES!C4750,'MAPA COMPARATIVO'!A:B,2,FALSE),VLOOKUP(C4750,'NAO DESO'!A:B,2,0))</f>
        <v>ESCAVAÇÃO MANUAL DE VALA COM PROFUNDIDADE MENOR OU IGUAL A 1,30 M. AF_02/2021</v>
      </c>
      <c r="E4750" s="241" t="str">
        <f>VLOOKUP($C4750,'NAO DESO'!$A:$D,3,)</f>
        <v>M3</v>
      </c>
      <c r="F4750" s="242">
        <v>1.28</v>
      </c>
      <c r="G4750" s="242" t="str">
        <f>IF(B4750="SEPLAG",VLOOKUP(CONCATENATE("MEDIANA - ",C4750),COTAÇÃO,5,FALSE),VLOOKUP($C4750,'NAO DESO'!$A:$D,4,))</f>
        <v>66,57</v>
      </c>
      <c r="H4750" s="242">
        <f t="shared" si="270"/>
        <v>85.2</v>
      </c>
      <c r="I4750" s="54" t="str">
        <f>IF(B4750="SEPLAG",VLOOKUP(CONCATENATE("MEDIANA - ",C4750),COTAÇÃO,5,FALSE),VLOOKUP($C4750,DESON!$A:$D,4,))</f>
        <v>59,97</v>
      </c>
      <c r="J4750" s="209">
        <f t="shared" si="271"/>
        <v>76.760000000000005</v>
      </c>
    </row>
    <row r="4751" spans="1:10" ht="26.25" customHeight="1">
      <c r="A4751" s="208" t="s">
        <v>245</v>
      </c>
      <c r="B4751" s="241"/>
      <c r="C4751" s="1181">
        <v>101617</v>
      </c>
      <c r="D4751" s="161" t="str">
        <f>IF(B4751="SEPLAG",VLOOKUP(COMPOSIÇÕES!C4751,'MAPA COMPARATIVO'!A:B,2,FALSE),VLOOKUP(C4751,'NAO DESO'!A:B,2,0))</f>
        <v>PREPARO DE FUNDO DE VALA COM LARGURA MAIOR OU IGUAL A 1,5 M E MENOR QUE 2,5 M (ACERTO DO SOLO NATURAL). AF_08/2020</v>
      </c>
      <c r="E4751" s="241" t="str">
        <f>VLOOKUP($C4751,'NAO DESO'!$A:$D,3,)</f>
        <v>M2</v>
      </c>
      <c r="F4751" s="242">
        <v>0.64</v>
      </c>
      <c r="G4751" s="242" t="str">
        <f>IF(B4751="SEPLAG",VLOOKUP(CONCATENATE("MEDIANA - ",C4751),COTAÇÃO,5,FALSE),VLOOKUP($C4751,'NAO DESO'!$A:$D,4,))</f>
        <v>2,38</v>
      </c>
      <c r="H4751" s="242">
        <f t="shared" si="270"/>
        <v>1.52</v>
      </c>
      <c r="I4751" s="54" t="str">
        <f>IF(B4751="SEPLAG",VLOOKUP(CONCATENATE("MEDIANA - ",C4751),COTAÇÃO,5,FALSE),VLOOKUP($C4751,DESON!$A:$D,4,))</f>
        <v>2,15</v>
      </c>
      <c r="J4751" s="209">
        <f t="shared" si="271"/>
        <v>1.37</v>
      </c>
    </row>
    <row r="4752" spans="1:10" ht="15" customHeight="1">
      <c r="A4752" s="208" t="s">
        <v>245</v>
      </c>
      <c r="B4752" s="241"/>
      <c r="C4752" s="1181">
        <v>96995</v>
      </c>
      <c r="D4752" s="161" t="str">
        <f>IF(B4752="SEPLAG",VLOOKUP(COMPOSIÇÕES!C4752,'MAPA COMPARATIVO'!A:B,2,FALSE),VLOOKUP(C4752,'NAO DESO'!A:B,2,0))</f>
        <v>REATERRO MANUAL APILOADO COM SOQUETE. AF_10/2017</v>
      </c>
      <c r="E4752" s="241" t="str">
        <f>VLOOKUP($C4752,'NAO DESO'!$A:$D,3,)</f>
        <v>M3</v>
      </c>
      <c r="F4752" s="242">
        <v>1.06</v>
      </c>
      <c r="G4752" s="242" t="str">
        <f>IF(B4752="SEPLAG",VLOOKUP(CONCATENATE("MEDIANA - ",C4752),COTAÇÃO,5,FALSE),VLOOKUP($C4752,'NAO DESO'!$A:$D,4,))</f>
        <v>40,36</v>
      </c>
      <c r="H4752" s="242">
        <f t="shared" si="270"/>
        <v>42.78</v>
      </c>
      <c r="I4752" s="54" t="str">
        <f>IF(B4752="SEPLAG",VLOOKUP(CONCATENATE("MEDIANA - ",C4752),COTAÇÃO,5,FALSE),VLOOKUP($C4752,DESON!$A:$D,4,))</f>
        <v>36,36</v>
      </c>
      <c r="J4752" s="209">
        <f t="shared" si="271"/>
        <v>38.54</v>
      </c>
    </row>
    <row r="4753" spans="1:10" ht="26.25" customHeight="1">
      <c r="A4753" s="208" t="s">
        <v>245</v>
      </c>
      <c r="B4753" s="241"/>
      <c r="C4753" s="1181">
        <v>98557</v>
      </c>
      <c r="D4753" s="161" t="str">
        <f>IF(B4753="SEPLAG",VLOOKUP(COMPOSIÇÕES!C4753,'MAPA COMPARATIVO'!A:B,2,FALSE),VLOOKUP(C4753,'NAO DESO'!A:B,2,0))</f>
        <v>IMPERMEABILIZAÇÃO DE SUPERFÍCIE COM EMULSÃO ASFÁLTICA, 2 DEMÃOS AF_06/2018</v>
      </c>
      <c r="E4753" s="241" t="str">
        <f>VLOOKUP($C4753,'NAO DESO'!$A:$D,3,)</f>
        <v>M2</v>
      </c>
      <c r="F4753" s="242">
        <f>F4748</f>
        <v>4.76</v>
      </c>
      <c r="G4753" s="242" t="str">
        <f>IF(B4753="SEPLAG",VLOOKUP(CONCATENATE("MEDIANA - ",C4753),COTAÇÃO,5,FALSE),VLOOKUP($C4753,'NAO DESO'!$A:$D,4,))</f>
        <v>58,82</v>
      </c>
      <c r="H4753" s="242">
        <f t="shared" si="270"/>
        <v>279.98</v>
      </c>
      <c r="I4753" s="54" t="str">
        <f>IF(B4753="SEPLAG",VLOOKUP(CONCATENATE("MEDIANA - ",C4753),COTAÇÃO,5,FALSE),VLOOKUP($C4753,DESON!$A:$D,4,))</f>
        <v>57,84</v>
      </c>
      <c r="J4753" s="209">
        <f t="shared" si="271"/>
        <v>275.31</v>
      </c>
    </row>
    <row r="4754" spans="1:10" ht="39" customHeight="1">
      <c r="A4754" s="208" t="s">
        <v>245</v>
      </c>
      <c r="B4754" s="241"/>
      <c r="C4754" s="1181">
        <v>92775</v>
      </c>
      <c r="D4754" s="161" t="str">
        <f>IF(B4754="SEPLAG",VLOOKUP(COMPOSIÇÕES!C4754,'MAPA COMPARATIVO'!A:B,2,FALSE),VLOOKUP(C4754,'NAO DESO'!A:B,2,0))</f>
        <v>ARMAÇÃO DE PILAR OU VIGA DE UMA ESTRUTURA CONVENCIONAL DE CONCRETO ARMADO EM UMA EDIFICAÇÃO TÉRREA OU SOBRADO UTILIZANDO AÇO CA-60 DE 5,0 MM - MONTAGEM. AF_12/2015</v>
      </c>
      <c r="E4754" s="241" t="str">
        <f>VLOOKUP($C4754,'NAO DESO'!$A:$D,3,)</f>
        <v>KG</v>
      </c>
      <c r="F4754" s="242">
        <v>1.29</v>
      </c>
      <c r="G4754" s="242" t="str">
        <f>IF(B4754="SEPLAG",VLOOKUP(CONCATENATE("MEDIANA - ",C4754),COTAÇÃO,5,FALSE),VLOOKUP($C4754,'NAO DESO'!$A:$D,4,))</f>
        <v>18,46</v>
      </c>
      <c r="H4754" s="242">
        <f t="shared" si="270"/>
        <v>23.81</v>
      </c>
      <c r="I4754" s="54" t="str">
        <f>IF(B4754="SEPLAG",VLOOKUP(CONCATENATE("MEDIANA - ",C4754),COTAÇÃO,5,FALSE),VLOOKUP($C4754,DESON!$A:$D,4,))</f>
        <v>17,71</v>
      </c>
      <c r="J4754" s="209">
        <f t="shared" si="271"/>
        <v>22.84</v>
      </c>
    </row>
    <row r="4755" spans="1:10" ht="39" customHeight="1">
      <c r="A4755" s="208" t="s">
        <v>245</v>
      </c>
      <c r="B4755" s="241"/>
      <c r="C4755" s="1181">
        <v>92778</v>
      </c>
      <c r="D4755" s="161" t="str">
        <f>IF(B4755="SEPLAG",VLOOKUP(COMPOSIÇÕES!C4755,'MAPA COMPARATIVO'!A:B,2,FALSE),VLOOKUP(C4755,'NAO DESO'!A:B,2,0))</f>
        <v>ARMAÇÃO DE PILAR OU VIGA DE UMA ESTRUTURA CONVENCIONAL DE CONCRETO ARMADO EM UMA EDIFICAÇÃO TÉRREA OU SOBRADO UTILIZANDO AÇO CA-50 DE 10,0 MM - MONTAGEM. AF_12/2015</v>
      </c>
      <c r="E4755" s="241" t="str">
        <f>VLOOKUP($C4755,'NAO DESO'!$A:$D,3,)</f>
        <v>KG</v>
      </c>
      <c r="F4755" s="242">
        <v>11.42</v>
      </c>
      <c r="G4755" s="242" t="str">
        <f>IF(B4755="SEPLAG",VLOOKUP(CONCATENATE("MEDIANA - ",C4755),COTAÇÃO,5,FALSE),VLOOKUP($C4755,'NAO DESO'!$A:$D,4,))</f>
        <v>14,78</v>
      </c>
      <c r="H4755" s="242">
        <f t="shared" si="270"/>
        <v>168.78</v>
      </c>
      <c r="I4755" s="54" t="str">
        <f>IF(B4755="SEPLAG",VLOOKUP(CONCATENATE("MEDIANA - ",C4755),COTAÇÃO,5,FALSE),VLOOKUP($C4755,DESON!$A:$D,4,))</f>
        <v>14,50</v>
      </c>
      <c r="J4755" s="209">
        <f t="shared" si="271"/>
        <v>165.59</v>
      </c>
    </row>
    <row r="4756" spans="1:10" ht="39" customHeight="1">
      <c r="A4756" s="208" t="s">
        <v>245</v>
      </c>
      <c r="B4756" s="241"/>
      <c r="C4756" s="1181">
        <v>92423</v>
      </c>
      <c r="D4756" s="161" t="str">
        <f>IF(B4756="SEPLAG",VLOOKUP(COMPOSIÇÕES!C4756,'MAPA COMPARATIVO'!A:B,2,FALSE),VLOOKUP(C4756,'NAO DESO'!A:B,2,0))</f>
        <v>MONTAGEM E DESMONTAGEM DE FÔRMA DE PILARES RETANGULARES E ESTRUTURAS SIMILARES, PÉ-DIREITO SIMPLES, EM CHAPA DE MADEIRA COMPENSADA RESINADA, 6 UTILIZAÇÕES. AF_09/2020</v>
      </c>
      <c r="E4756" s="241" t="str">
        <f>VLOOKUP($C4756,'NAO DESO'!$A:$D,3,)</f>
        <v>M2</v>
      </c>
      <c r="F4756" s="242">
        <v>0.84</v>
      </c>
      <c r="G4756" s="242" t="str">
        <f>IF(B4756="SEPLAG",VLOOKUP(CONCATENATE("MEDIANA - ",C4756),COTAÇÃO,5,FALSE),VLOOKUP($C4756,'NAO DESO'!$A:$D,4,))</f>
        <v>67,90</v>
      </c>
      <c r="H4756" s="242">
        <f t="shared" si="270"/>
        <v>57.03</v>
      </c>
      <c r="I4756" s="54" t="str">
        <f>IF(B4756="SEPLAG",VLOOKUP(CONCATENATE("MEDIANA - ",C4756),COTAÇÃO,5,FALSE),VLOOKUP($C4756,DESON!$A:$D,4,))</f>
        <v>65,30</v>
      </c>
      <c r="J4756" s="209">
        <f t="shared" si="271"/>
        <v>54.85</v>
      </c>
    </row>
    <row r="4757" spans="1:10" ht="15" customHeight="1">
      <c r="A4757" s="208" t="s">
        <v>245</v>
      </c>
      <c r="B4757" s="241"/>
      <c r="C4757" s="1181">
        <v>88309</v>
      </c>
      <c r="D4757" s="161" t="str">
        <f>IF(B4757="SEPLAG",VLOOKUP(COMPOSIÇÕES!C4757,'MAPA COMPARATIVO'!A:B,2,FALSE),VLOOKUP(C4757,'NAO DESO'!A:B,2,0))</f>
        <v>PEDREIRO COM ENCARGOS COMPLEMENTARES</v>
      </c>
      <c r="E4757" s="241" t="str">
        <f>VLOOKUP($C4757,'NAO DESO'!$A:$D,3,)</f>
        <v>H</v>
      </c>
      <c r="F4757" s="242">
        <v>1</v>
      </c>
      <c r="G4757" s="242" t="str">
        <f>IF(B4757="SEPLAG",VLOOKUP(CONCATENATE("MEDIANA - ",C4757),COTAÇÃO,5,FALSE),VLOOKUP($C4757,'NAO DESO'!$A:$D,4,))</f>
        <v>21,10</v>
      </c>
      <c r="H4757" s="242">
        <f t="shared" si="270"/>
        <v>21.1</v>
      </c>
      <c r="I4757" s="54" t="str">
        <f>IF(B4757="SEPLAG",VLOOKUP(CONCATENATE("MEDIANA - ",C4757),COTAÇÃO,5,FALSE),VLOOKUP($C4757,DESON!$A:$D,4,))</f>
        <v>18,86</v>
      </c>
      <c r="J4757" s="209">
        <f t="shared" si="271"/>
        <v>18.86</v>
      </c>
    </row>
    <row r="4758" spans="1:10" ht="15" customHeight="1">
      <c r="A4758" s="208" t="s">
        <v>245</v>
      </c>
      <c r="B4758" s="241"/>
      <c r="C4758" s="1181">
        <v>88316</v>
      </c>
      <c r="D4758" s="161" t="str">
        <f>IF(B4758="SEPLAG",VLOOKUP(COMPOSIÇÕES!C4758,'MAPA COMPARATIVO'!A:B,2,FALSE),VLOOKUP(C4758,'NAO DESO'!A:B,2,0))</f>
        <v>SERVENTE COM ENCARGOS COMPLEMENTARES</v>
      </c>
      <c r="E4758" s="241" t="str">
        <f>VLOOKUP($C4758,'NAO DESO'!$A:$D,3,)</f>
        <v>H</v>
      </c>
      <c r="F4758" s="242">
        <v>1</v>
      </c>
      <c r="G4758" s="242" t="str">
        <f>IF(B4758="SEPLAG",VLOOKUP(CONCATENATE("MEDIANA - ",C4758),COTAÇÃO,5,FALSE),VLOOKUP($C4758,'NAO DESO'!$A:$D,4,))</f>
        <v>16,83</v>
      </c>
      <c r="H4758" s="242">
        <f t="shared" si="270"/>
        <v>16.829999999999998</v>
      </c>
      <c r="I4758" s="54" t="str">
        <f>IF(B4758="SEPLAG",VLOOKUP(CONCATENATE("MEDIANA - ",C4758),COTAÇÃO,5,FALSE),VLOOKUP($C4758,DESON!$A:$D,4,))</f>
        <v>15,16</v>
      </c>
      <c r="J4758" s="209">
        <f t="shared" si="271"/>
        <v>15.16</v>
      </c>
    </row>
    <row r="4759" spans="1:10" ht="15" customHeight="1">
      <c r="A4759" s="210" t="str">
        <f>CONCATENATE("TOTAL DO ITEM NÃO DESON. - ",C4744)</f>
        <v>TOTAL DO ITEM NÃO DESON. - SEPLAG HIDR 39</v>
      </c>
      <c r="B4759" s="430"/>
      <c r="C4759" s="430"/>
      <c r="D4759" s="430"/>
      <c r="E4759" s="430"/>
      <c r="F4759" s="1180"/>
      <c r="G4759" s="1180"/>
      <c r="H4759" s="1182">
        <f>SUM(H4747:H4758)</f>
        <v>989.98</v>
      </c>
      <c r="I4759" s="231"/>
      <c r="J4759" s="215"/>
    </row>
    <row r="4760" spans="1:10" ht="15.75" customHeight="1" thickBot="1">
      <c r="A4760" s="216" t="str">
        <f>CONCATENATE("TOTAL DO ITEM DESON. - ",C4744)</f>
        <v>TOTAL DO ITEM DESON. - SEPLAG HIDR 39</v>
      </c>
      <c r="B4760" s="1142"/>
      <c r="C4760" s="1142"/>
      <c r="D4760" s="1142"/>
      <c r="E4760" s="1142"/>
      <c r="F4760" s="1211"/>
      <c r="G4760" s="1211"/>
      <c r="H4760" s="1187"/>
      <c r="I4760" s="260"/>
      <c r="J4760" s="219">
        <f>SUM(J4747:J4758)</f>
        <v>952.73000000000013</v>
      </c>
    </row>
    <row r="4761" spans="1:10" ht="15" customHeight="1" thickBot="1">
      <c r="A4761" s="421"/>
      <c r="B4761" s="1138"/>
      <c r="C4761" s="1138"/>
      <c r="D4761" s="1138"/>
      <c r="E4761" s="1154"/>
      <c r="F4761" s="1196"/>
      <c r="G4761" s="1196"/>
      <c r="H4761" s="1196"/>
      <c r="I4761" s="422"/>
      <c r="J4761" s="422"/>
    </row>
    <row r="4762" spans="1:10" ht="38.25" customHeight="1">
      <c r="A4762" s="473" t="s">
        <v>421</v>
      </c>
      <c r="B4762" s="1234"/>
      <c r="C4762" s="1176" t="s">
        <v>7512</v>
      </c>
      <c r="D4762" s="156" t="s">
        <v>27969</v>
      </c>
      <c r="E4762" s="1176" t="s">
        <v>24</v>
      </c>
      <c r="F4762" s="1177" t="s">
        <v>18</v>
      </c>
      <c r="G4762" s="1178" t="s">
        <v>7015</v>
      </c>
      <c r="H4762" s="1179"/>
      <c r="I4762" s="200" t="s">
        <v>7016</v>
      </c>
      <c r="J4762" s="201"/>
    </row>
    <row r="4763" spans="1:10" ht="15" customHeight="1">
      <c r="A4763" s="257"/>
      <c r="B4763" s="430"/>
      <c r="C4763" s="1155"/>
      <c r="D4763" s="157"/>
      <c r="E4763" s="1155"/>
      <c r="F4763" s="1180"/>
      <c r="G4763" s="1180" t="s">
        <v>19</v>
      </c>
      <c r="H4763" s="1180" t="s">
        <v>20</v>
      </c>
      <c r="I4763" s="204" t="s">
        <v>19</v>
      </c>
      <c r="J4763" s="206" t="s">
        <v>20</v>
      </c>
    </row>
    <row r="4764" spans="1:10" ht="15" customHeight="1">
      <c r="A4764" s="258"/>
      <c r="B4764" s="1155"/>
      <c r="C4764" s="1155"/>
      <c r="D4764" s="157"/>
      <c r="E4764" s="1155"/>
      <c r="F4764" s="1180"/>
      <c r="G4764" s="1180"/>
      <c r="H4764" s="1180"/>
      <c r="I4764" s="238"/>
      <c r="J4764" s="259"/>
    </row>
    <row r="4765" spans="1:10" ht="39" customHeight="1">
      <c r="A4765" s="208" t="s">
        <v>245</v>
      </c>
      <c r="B4765" s="241"/>
      <c r="C4765" s="1181">
        <v>101159</v>
      </c>
      <c r="D4765" s="161" t="str">
        <f>IF(B4765="SEPLAG",VLOOKUP(COMPOSIÇÕES!C4765,'MAPA COMPARATIVO'!A:B,2,FALSE),VLOOKUP(C4765,'NAO DESO'!A:B,2,0))</f>
        <v>ALVENARIA DE VEDAÇÃO DE BLOCOS CERÂMICOS MACIÇOS DE 5X10X20CM (ESPESSURA 10CM) E ARGAMASSA DE ASSENTAMENTO COM PREPARO EM BETONEIRA. AF_05/2020</v>
      </c>
      <c r="E4765" s="241" t="str">
        <f>VLOOKUP($C4765,'NAO DESO'!$A:$D,3,)</f>
        <v>M2</v>
      </c>
      <c r="F4765" s="242">
        <v>1.1200000000000001</v>
      </c>
      <c r="G4765" s="242" t="str">
        <f>IF(B4765="SEPLAG",VLOOKUP(CONCATENATE("MEDIANA - ",C4765),COTAÇÃO,5,FALSE),VLOOKUP($C4765,'NAO DESO'!$A:$D,4,))</f>
        <v>126,63</v>
      </c>
      <c r="H4765" s="242">
        <f t="shared" ref="H4765:H4776" si="272">TRUNC(F4765*G4765,2)</f>
        <v>141.82</v>
      </c>
      <c r="I4765" s="54" t="str">
        <f>IF(B4765="SEPLAG",VLOOKUP(CONCATENATE("MEDIANA - ",C4765),COTAÇÃO,5,FALSE),VLOOKUP($C4765,DESON!$A:$D,4,))</f>
        <v>120,46</v>
      </c>
      <c r="J4765" s="209">
        <f t="shared" ref="J4765:J4776" si="273">TRUNC(F4765*I4765,2)</f>
        <v>134.91</v>
      </c>
    </row>
    <row r="4766" spans="1:10" ht="64.5" customHeight="1">
      <c r="A4766" s="208" t="s">
        <v>245</v>
      </c>
      <c r="B4766" s="241"/>
      <c r="C4766" s="1181">
        <v>87543</v>
      </c>
      <c r="D4766" s="161" t="str">
        <f>IF(B4766="SEPLAG",VLOOKUP(COMPOSIÇÕES!C4766,'MAPA COMPARATIVO'!A:B,2,FALSE),VLOOKUP(C4766,'NAO DESO'!A:B,2,0))</f>
        <v>MASSA ÚNICA, PARA RECEBIMENTO DE PINTURA OU CERÂMICA, ARGAMASSA INDUSTRIALIZADA, PREPARO MECÂNICO, APLICADO COM EQUIPAMENTO DE MISTURA E PROJEÇÃO DE 1,5 M3/H EM FACES INTERNAS DE PAREDES, ESPESSURA DE 5MM, SEM EXECUÇÃO DE TALISCAS. AF_06/2014</v>
      </c>
      <c r="E4766" s="241" t="str">
        <f>VLOOKUP($C4766,'NAO DESO'!$A:$D,3,)</f>
        <v>M2</v>
      </c>
      <c r="F4766" s="242">
        <v>5.04</v>
      </c>
      <c r="G4766" s="242" t="str">
        <f>IF(B4766="SEPLAG",VLOOKUP(CONCATENATE("MEDIANA - ",C4766),COTAÇÃO,5,FALSE),VLOOKUP($C4766,'NAO DESO'!$A:$D,4,))</f>
        <v>24,40</v>
      </c>
      <c r="H4766" s="242">
        <f t="shared" si="272"/>
        <v>122.97</v>
      </c>
      <c r="I4766" s="54" t="str">
        <f>IF(B4766="SEPLAG",VLOOKUP(CONCATENATE("MEDIANA - ",C4766),COTAÇÃO,5,FALSE),VLOOKUP($C4766,DESON!$A:$D,4,))</f>
        <v>23,82</v>
      </c>
      <c r="J4766" s="209">
        <f t="shared" si="273"/>
        <v>120.05</v>
      </c>
    </row>
    <row r="4767" spans="1:10" ht="39" customHeight="1">
      <c r="A4767" s="208" t="s">
        <v>245</v>
      </c>
      <c r="B4767" s="241"/>
      <c r="C4767" s="1181">
        <v>94970</v>
      </c>
      <c r="D4767" s="161" t="str">
        <f>IF(B4767="SEPLAG",VLOOKUP(COMPOSIÇÕES!C4767,'MAPA COMPARATIVO'!A:B,2,FALSE),VLOOKUP(C4767,'NAO DESO'!A:B,2,0))</f>
        <v>CONCRETO FCK = 20MPA, TRAÇO 1:2,7:3 (EM MASSA SECA DE CIMENTO/ AREIA MÉDIA/ BRITA 1) - PREPARO MECÂNICO COM BETONEIRA 600 L. AF_05/2021</v>
      </c>
      <c r="E4767" s="241" t="str">
        <f>VLOOKUP($C4767,'NAO DESO'!$A:$D,3,)</f>
        <v>M3</v>
      </c>
      <c r="F4767" s="242">
        <v>0.13</v>
      </c>
      <c r="G4767" s="242" t="str">
        <f>IF(B4767="SEPLAG",VLOOKUP(CONCATENATE("MEDIANA - ",C4767),COTAÇÃO,5,FALSE),VLOOKUP($C4767,'NAO DESO'!$A:$D,4,))</f>
        <v>405,57</v>
      </c>
      <c r="H4767" s="242">
        <f t="shared" si="272"/>
        <v>52.72</v>
      </c>
      <c r="I4767" s="54" t="str">
        <f>IF(B4767="SEPLAG",VLOOKUP(CONCATENATE("MEDIANA - ",C4767),COTAÇÃO,5,FALSE),VLOOKUP($C4767,DESON!$A:$D,4,))</f>
        <v>400,17</v>
      </c>
      <c r="J4767" s="209">
        <f t="shared" si="273"/>
        <v>52.02</v>
      </c>
    </row>
    <row r="4768" spans="1:10" ht="26.25" customHeight="1">
      <c r="A4768" s="208" t="s">
        <v>245</v>
      </c>
      <c r="B4768" s="241"/>
      <c r="C4768" s="1181">
        <v>93358</v>
      </c>
      <c r="D4768" s="161" t="str">
        <f>IF(B4768="SEPLAG",VLOOKUP(COMPOSIÇÕES!C4768,'MAPA COMPARATIVO'!A:B,2,FALSE),VLOOKUP(C4768,'NAO DESO'!A:B,2,0))</f>
        <v>ESCAVAÇÃO MANUAL DE VALA COM PROFUNDIDADE MENOR OU IGUAL A 1,30 M. AF_02/2021</v>
      </c>
      <c r="E4768" s="241" t="str">
        <f>VLOOKUP($C4768,'NAO DESO'!$A:$D,3,)</f>
        <v>M3</v>
      </c>
      <c r="F4768" s="242">
        <v>1.41</v>
      </c>
      <c r="G4768" s="242" t="str">
        <f>IF(B4768="SEPLAG",VLOOKUP(CONCATENATE("MEDIANA - ",C4768),COTAÇÃO,5,FALSE),VLOOKUP($C4768,'NAO DESO'!$A:$D,4,))</f>
        <v>66,57</v>
      </c>
      <c r="H4768" s="242">
        <f t="shared" si="272"/>
        <v>93.86</v>
      </c>
      <c r="I4768" s="54" t="str">
        <f>IF(B4768="SEPLAG",VLOOKUP(CONCATENATE("MEDIANA - ",C4768),COTAÇÃO,5,FALSE),VLOOKUP($C4768,DESON!$A:$D,4,))</f>
        <v>59,97</v>
      </c>
      <c r="J4768" s="209">
        <f t="shared" si="273"/>
        <v>84.55</v>
      </c>
    </row>
    <row r="4769" spans="1:10" ht="26.25" customHeight="1">
      <c r="A4769" s="208" t="s">
        <v>245</v>
      </c>
      <c r="B4769" s="241"/>
      <c r="C4769" s="1181">
        <v>101617</v>
      </c>
      <c r="D4769" s="161" t="str">
        <f>IF(B4769="SEPLAG",VLOOKUP(COMPOSIÇÕES!C4769,'MAPA COMPARATIVO'!A:B,2,FALSE),VLOOKUP(C4769,'NAO DESO'!A:B,2,0))</f>
        <v>PREPARO DE FUNDO DE VALA COM LARGURA MAIOR OU IGUAL A 1,5 M E MENOR QUE 2,5 M (ACERTO DO SOLO NATURAL). AF_08/2020</v>
      </c>
      <c r="E4769" s="241" t="str">
        <f>VLOOKUP($C4769,'NAO DESO'!$A:$D,3,)</f>
        <v>M2</v>
      </c>
      <c r="F4769" s="242">
        <v>0.64</v>
      </c>
      <c r="G4769" s="242" t="str">
        <f>IF(B4769="SEPLAG",VLOOKUP(CONCATENATE("MEDIANA - ",C4769),COTAÇÃO,5,FALSE),VLOOKUP($C4769,'NAO DESO'!$A:$D,4,))</f>
        <v>2,38</v>
      </c>
      <c r="H4769" s="242">
        <f t="shared" si="272"/>
        <v>1.52</v>
      </c>
      <c r="I4769" s="54" t="str">
        <f>IF(B4769="SEPLAG",VLOOKUP(CONCATENATE("MEDIANA - ",C4769),COTAÇÃO,5,FALSE),VLOOKUP($C4769,DESON!$A:$D,4,))</f>
        <v>2,15</v>
      </c>
      <c r="J4769" s="209">
        <f t="shared" si="273"/>
        <v>1.37</v>
      </c>
    </row>
    <row r="4770" spans="1:10" ht="15" customHeight="1">
      <c r="A4770" s="208" t="s">
        <v>245</v>
      </c>
      <c r="B4770" s="241"/>
      <c r="C4770" s="1181">
        <v>96995</v>
      </c>
      <c r="D4770" s="161" t="str">
        <f>IF(B4770="SEPLAG",VLOOKUP(COMPOSIÇÕES!C4770,'MAPA COMPARATIVO'!A:B,2,FALSE),VLOOKUP(C4770,'NAO DESO'!A:B,2,0))</f>
        <v>REATERRO MANUAL APILOADO COM SOQUETE. AF_10/2017</v>
      </c>
      <c r="E4770" s="241" t="str">
        <f>VLOOKUP($C4770,'NAO DESO'!$A:$D,3,)</f>
        <v>M3</v>
      </c>
      <c r="F4770" s="242">
        <v>1.1499999999999999</v>
      </c>
      <c r="G4770" s="242" t="str">
        <f>IF(B4770="SEPLAG",VLOOKUP(CONCATENATE("MEDIANA - ",C4770),COTAÇÃO,5,FALSE),VLOOKUP($C4770,'NAO DESO'!$A:$D,4,))</f>
        <v>40,36</v>
      </c>
      <c r="H4770" s="242">
        <f t="shared" si="272"/>
        <v>46.41</v>
      </c>
      <c r="I4770" s="54" t="str">
        <f>IF(B4770="SEPLAG",VLOOKUP(CONCATENATE("MEDIANA - ",C4770),COTAÇÃO,5,FALSE),VLOOKUP($C4770,DESON!$A:$D,4,))</f>
        <v>36,36</v>
      </c>
      <c r="J4770" s="209">
        <f t="shared" si="273"/>
        <v>41.81</v>
      </c>
    </row>
    <row r="4771" spans="1:10" ht="26.25" customHeight="1">
      <c r="A4771" s="208" t="s">
        <v>245</v>
      </c>
      <c r="B4771" s="241"/>
      <c r="C4771" s="1181">
        <v>98557</v>
      </c>
      <c r="D4771" s="161" t="str">
        <f>IF(B4771="SEPLAG",VLOOKUP(COMPOSIÇÕES!C4771,'MAPA COMPARATIVO'!A:B,2,FALSE),VLOOKUP(C4771,'NAO DESO'!A:B,2,0))</f>
        <v>IMPERMEABILIZAÇÃO DE SUPERFÍCIE COM EMULSÃO ASFÁLTICA, 2 DEMÃOS AF_06/2018</v>
      </c>
      <c r="E4771" s="241" t="str">
        <f>VLOOKUP($C4771,'NAO DESO'!$A:$D,3,)</f>
        <v>M2</v>
      </c>
      <c r="F4771" s="242">
        <f>F4766</f>
        <v>5.04</v>
      </c>
      <c r="G4771" s="242" t="str">
        <f>IF(B4771="SEPLAG",VLOOKUP(CONCATENATE("MEDIANA - ",C4771),COTAÇÃO,5,FALSE),VLOOKUP($C4771,'NAO DESO'!$A:$D,4,))</f>
        <v>58,82</v>
      </c>
      <c r="H4771" s="242">
        <f t="shared" si="272"/>
        <v>296.45</v>
      </c>
      <c r="I4771" s="54" t="str">
        <f>IF(B4771="SEPLAG",VLOOKUP(CONCATENATE("MEDIANA - ",C4771),COTAÇÃO,5,FALSE),VLOOKUP($C4771,DESON!$A:$D,4,))</f>
        <v>57,84</v>
      </c>
      <c r="J4771" s="209">
        <f t="shared" si="273"/>
        <v>291.51</v>
      </c>
    </row>
    <row r="4772" spans="1:10" ht="39" customHeight="1">
      <c r="A4772" s="208" t="s">
        <v>245</v>
      </c>
      <c r="B4772" s="241"/>
      <c r="C4772" s="1181">
        <v>92775</v>
      </c>
      <c r="D4772" s="161" t="str">
        <f>IF(B4772="SEPLAG",VLOOKUP(COMPOSIÇÕES!C4772,'MAPA COMPARATIVO'!A:B,2,FALSE),VLOOKUP(C4772,'NAO DESO'!A:B,2,0))</f>
        <v>ARMAÇÃO DE PILAR OU VIGA DE UMA ESTRUTURA CONVENCIONAL DE CONCRETO ARMADO EM UMA EDIFICAÇÃO TÉRREA OU SOBRADO UTILIZANDO AÇO CA-60 DE 5,0 MM - MONTAGEM. AF_12/2015</v>
      </c>
      <c r="E4772" s="241" t="str">
        <f>VLOOKUP($C4772,'NAO DESO'!$A:$D,3,)</f>
        <v>KG</v>
      </c>
      <c r="F4772" s="242">
        <v>1.29</v>
      </c>
      <c r="G4772" s="242" t="str">
        <f>IF(B4772="SEPLAG",VLOOKUP(CONCATENATE("MEDIANA - ",C4772),COTAÇÃO,5,FALSE),VLOOKUP($C4772,'NAO DESO'!$A:$D,4,))</f>
        <v>18,46</v>
      </c>
      <c r="H4772" s="242">
        <f t="shared" si="272"/>
        <v>23.81</v>
      </c>
      <c r="I4772" s="54" t="str">
        <f>IF(B4772="SEPLAG",VLOOKUP(CONCATENATE("MEDIANA - ",C4772),COTAÇÃO,5,FALSE),VLOOKUP($C4772,DESON!$A:$D,4,))</f>
        <v>17,71</v>
      </c>
      <c r="J4772" s="209">
        <f t="shared" si="273"/>
        <v>22.84</v>
      </c>
    </row>
    <row r="4773" spans="1:10" ht="39" customHeight="1">
      <c r="A4773" s="208" t="s">
        <v>245</v>
      </c>
      <c r="B4773" s="241"/>
      <c r="C4773" s="1181">
        <v>92778</v>
      </c>
      <c r="D4773" s="161" t="str">
        <f>IF(B4773="SEPLAG",VLOOKUP(COMPOSIÇÕES!C4773,'MAPA COMPARATIVO'!A:B,2,FALSE),VLOOKUP(C4773,'NAO DESO'!A:B,2,0))</f>
        <v>ARMAÇÃO DE PILAR OU VIGA DE UMA ESTRUTURA CONVENCIONAL DE CONCRETO ARMADO EM UMA EDIFICAÇÃO TÉRREA OU SOBRADO UTILIZANDO AÇO CA-50 DE 10,0 MM - MONTAGEM. AF_12/2015</v>
      </c>
      <c r="E4773" s="241" t="str">
        <f>VLOOKUP($C4773,'NAO DESO'!$A:$D,3,)</f>
        <v>KG</v>
      </c>
      <c r="F4773" s="242">
        <v>11.42</v>
      </c>
      <c r="G4773" s="242" t="str">
        <f>IF(B4773="SEPLAG",VLOOKUP(CONCATENATE("MEDIANA - ",C4773),COTAÇÃO,5,FALSE),VLOOKUP($C4773,'NAO DESO'!$A:$D,4,))</f>
        <v>14,78</v>
      </c>
      <c r="H4773" s="242">
        <f t="shared" si="272"/>
        <v>168.78</v>
      </c>
      <c r="I4773" s="54" t="str">
        <f>IF(B4773="SEPLAG",VLOOKUP(CONCATENATE("MEDIANA - ",C4773),COTAÇÃO,5,FALSE),VLOOKUP($C4773,DESON!$A:$D,4,))</f>
        <v>14,50</v>
      </c>
      <c r="J4773" s="209">
        <f t="shared" si="273"/>
        <v>165.59</v>
      </c>
    </row>
    <row r="4774" spans="1:10" ht="39" customHeight="1">
      <c r="A4774" s="208" t="s">
        <v>245</v>
      </c>
      <c r="B4774" s="241"/>
      <c r="C4774" s="1181">
        <v>92423</v>
      </c>
      <c r="D4774" s="161" t="str">
        <f>IF(B4774="SEPLAG",VLOOKUP(COMPOSIÇÕES!C4774,'MAPA COMPARATIVO'!A:B,2,FALSE),VLOOKUP(C4774,'NAO DESO'!A:B,2,0))</f>
        <v>MONTAGEM E DESMONTAGEM DE FÔRMA DE PILARES RETANGULARES E ESTRUTURAS SIMILARES, PÉ-DIREITO SIMPLES, EM CHAPA DE MADEIRA COMPENSADA RESINADA, 6 UTILIZAÇÕES. AF_09/2020</v>
      </c>
      <c r="E4774" s="241" t="str">
        <f>VLOOKUP($C4774,'NAO DESO'!$A:$D,3,)</f>
        <v>M2</v>
      </c>
      <c r="F4774" s="242">
        <v>0.84</v>
      </c>
      <c r="G4774" s="242" t="str">
        <f>IF(B4774="SEPLAG",VLOOKUP(CONCATENATE("MEDIANA - ",C4774),COTAÇÃO,5,FALSE),VLOOKUP($C4774,'NAO DESO'!$A:$D,4,))</f>
        <v>67,90</v>
      </c>
      <c r="H4774" s="242">
        <f t="shared" si="272"/>
        <v>57.03</v>
      </c>
      <c r="I4774" s="54" t="str">
        <f>IF(B4774="SEPLAG",VLOOKUP(CONCATENATE("MEDIANA - ",C4774),COTAÇÃO,5,FALSE),VLOOKUP($C4774,DESON!$A:$D,4,))</f>
        <v>65,30</v>
      </c>
      <c r="J4774" s="209">
        <f t="shared" si="273"/>
        <v>54.85</v>
      </c>
    </row>
    <row r="4775" spans="1:10" ht="15" customHeight="1">
      <c r="A4775" s="208" t="s">
        <v>245</v>
      </c>
      <c r="B4775" s="241"/>
      <c r="C4775" s="1181">
        <v>88309</v>
      </c>
      <c r="D4775" s="161" t="str">
        <f>IF(B4775="SEPLAG",VLOOKUP(COMPOSIÇÕES!C4775,'MAPA COMPARATIVO'!A:B,2,FALSE),VLOOKUP(C4775,'NAO DESO'!A:B,2,0))</f>
        <v>PEDREIRO COM ENCARGOS COMPLEMENTARES</v>
      </c>
      <c r="E4775" s="241" t="str">
        <f>VLOOKUP($C4775,'NAO DESO'!$A:$D,3,)</f>
        <v>H</v>
      </c>
      <c r="F4775" s="242">
        <v>1</v>
      </c>
      <c r="G4775" s="242" t="str">
        <f>IF(B4775="SEPLAG",VLOOKUP(CONCATENATE("MEDIANA - ",C4775),COTAÇÃO,5,FALSE),VLOOKUP($C4775,'NAO DESO'!$A:$D,4,))</f>
        <v>21,10</v>
      </c>
      <c r="H4775" s="242">
        <f t="shared" si="272"/>
        <v>21.1</v>
      </c>
      <c r="I4775" s="54" t="str">
        <f>IF(B4775="SEPLAG",VLOOKUP(CONCATENATE("MEDIANA - ",C4775),COTAÇÃO,5,FALSE),VLOOKUP($C4775,DESON!$A:$D,4,))</f>
        <v>18,86</v>
      </c>
      <c r="J4775" s="209">
        <f t="shared" si="273"/>
        <v>18.86</v>
      </c>
    </row>
    <row r="4776" spans="1:10" ht="15" customHeight="1">
      <c r="A4776" s="208" t="s">
        <v>245</v>
      </c>
      <c r="B4776" s="241"/>
      <c r="C4776" s="1181">
        <v>88316</v>
      </c>
      <c r="D4776" s="161" t="str">
        <f>IF(B4776="SEPLAG",VLOOKUP(COMPOSIÇÕES!C4776,'MAPA COMPARATIVO'!A:B,2,FALSE),VLOOKUP(C4776,'NAO DESO'!A:B,2,0))</f>
        <v>SERVENTE COM ENCARGOS COMPLEMENTARES</v>
      </c>
      <c r="E4776" s="241" t="str">
        <f>VLOOKUP($C4776,'NAO DESO'!$A:$D,3,)</f>
        <v>H</v>
      </c>
      <c r="F4776" s="242">
        <v>1</v>
      </c>
      <c r="G4776" s="242" t="str">
        <f>IF(B4776="SEPLAG",VLOOKUP(CONCATENATE("MEDIANA - ",C4776),COTAÇÃO,5,FALSE),VLOOKUP($C4776,'NAO DESO'!$A:$D,4,))</f>
        <v>16,83</v>
      </c>
      <c r="H4776" s="242">
        <f t="shared" si="272"/>
        <v>16.829999999999998</v>
      </c>
      <c r="I4776" s="54" t="str">
        <f>IF(B4776="SEPLAG",VLOOKUP(CONCATENATE("MEDIANA - ",C4776),COTAÇÃO,5,FALSE),VLOOKUP($C4776,DESON!$A:$D,4,))</f>
        <v>15,16</v>
      </c>
      <c r="J4776" s="209">
        <f t="shared" si="273"/>
        <v>15.16</v>
      </c>
    </row>
    <row r="4777" spans="1:10" ht="15" customHeight="1">
      <c r="A4777" s="210" t="str">
        <f>CONCATENATE("TOTAL DO ITEM NÃO DESON. - ",C4762)</f>
        <v>TOTAL DO ITEM NÃO DESON. - SEPLAG HIDR 40</v>
      </c>
      <c r="B4777" s="430"/>
      <c r="C4777" s="430"/>
      <c r="D4777" s="430"/>
      <c r="E4777" s="430"/>
      <c r="F4777" s="1180"/>
      <c r="G4777" s="1180"/>
      <c r="H4777" s="1182">
        <f>SUM(H4765:H4776)</f>
        <v>1043.2999999999997</v>
      </c>
      <c r="I4777" s="231"/>
      <c r="J4777" s="215"/>
    </row>
    <row r="4778" spans="1:10" ht="15.75" customHeight="1" thickBot="1">
      <c r="A4778" s="216" t="str">
        <f>CONCATENATE("TOTAL DO ITEM DESON. - ",C4762)</f>
        <v>TOTAL DO ITEM DESON. - SEPLAG HIDR 40</v>
      </c>
      <c r="B4778" s="1142"/>
      <c r="C4778" s="1142"/>
      <c r="D4778" s="1142"/>
      <c r="E4778" s="1142"/>
      <c r="F4778" s="1211"/>
      <c r="G4778" s="1211"/>
      <c r="H4778" s="1187"/>
      <c r="I4778" s="260"/>
      <c r="J4778" s="219">
        <f>SUM(J4765:J4776)</f>
        <v>1003.5200000000001</v>
      </c>
    </row>
    <row r="4779" spans="1:10" ht="15" customHeight="1" thickBot="1">
      <c r="A4779" s="421"/>
      <c r="B4779" s="1138"/>
      <c r="C4779" s="1138"/>
      <c r="D4779" s="1138"/>
      <c r="E4779" s="1154"/>
      <c r="F4779" s="1196"/>
      <c r="G4779" s="1196"/>
      <c r="H4779" s="1196"/>
      <c r="I4779" s="422"/>
      <c r="J4779" s="422"/>
    </row>
    <row r="4780" spans="1:10" ht="38.25" customHeight="1">
      <c r="A4780" s="473" t="s">
        <v>421</v>
      </c>
      <c r="B4780" s="1234"/>
      <c r="C4780" s="1176" t="s">
        <v>7513</v>
      </c>
      <c r="D4780" s="156" t="s">
        <v>27970</v>
      </c>
      <c r="E4780" s="1176" t="s">
        <v>24</v>
      </c>
      <c r="F4780" s="1177" t="s">
        <v>18</v>
      </c>
      <c r="G4780" s="1178" t="s">
        <v>7015</v>
      </c>
      <c r="H4780" s="1179"/>
      <c r="I4780" s="200" t="s">
        <v>7016</v>
      </c>
      <c r="J4780" s="201"/>
    </row>
    <row r="4781" spans="1:10" ht="15" customHeight="1">
      <c r="A4781" s="257"/>
      <c r="B4781" s="430"/>
      <c r="C4781" s="1155"/>
      <c r="D4781" s="157"/>
      <c r="E4781" s="1155"/>
      <c r="F4781" s="1180"/>
      <c r="G4781" s="1180" t="s">
        <v>19</v>
      </c>
      <c r="H4781" s="1180" t="s">
        <v>20</v>
      </c>
      <c r="I4781" s="204" t="s">
        <v>19</v>
      </c>
      <c r="J4781" s="206" t="s">
        <v>20</v>
      </c>
    </row>
    <row r="4782" spans="1:10" ht="15" customHeight="1">
      <c r="A4782" s="258"/>
      <c r="B4782" s="1155"/>
      <c r="C4782" s="1155"/>
      <c r="D4782" s="157"/>
      <c r="E4782" s="1155"/>
      <c r="F4782" s="1180"/>
      <c r="G4782" s="1180"/>
      <c r="H4782" s="1180"/>
      <c r="I4782" s="238"/>
      <c r="J4782" s="259"/>
    </row>
    <row r="4783" spans="1:10" ht="39" customHeight="1">
      <c r="A4783" s="208" t="s">
        <v>245</v>
      </c>
      <c r="B4783" s="241"/>
      <c r="C4783" s="1181">
        <v>101159</v>
      </c>
      <c r="D4783" s="161" t="str">
        <f>IF(B4783="SEPLAG",VLOOKUP(COMPOSIÇÕES!C4783,'MAPA COMPARATIVO'!A:B,2,FALSE),VLOOKUP(C4783,'NAO DESO'!A:B,2,0))</f>
        <v>ALVENARIA DE VEDAÇÃO DE BLOCOS CERÂMICOS MACIÇOS DE 5X10X20CM (ESPESSURA 10CM) E ARGAMASSA DE ASSENTAMENTO COM PREPARO EM BETONEIRA. AF_05/2020</v>
      </c>
      <c r="E4783" s="241" t="str">
        <f>VLOOKUP($C4783,'NAO DESO'!$A:$D,3,)</f>
        <v>M2</v>
      </c>
      <c r="F4783" s="242">
        <v>1.26</v>
      </c>
      <c r="G4783" s="242" t="str">
        <f>IF(B4783="SEPLAG",VLOOKUP(CONCATENATE("MEDIANA - ",C4783),COTAÇÃO,5,FALSE),VLOOKUP($C4783,'NAO DESO'!$A:$D,4,))</f>
        <v>126,63</v>
      </c>
      <c r="H4783" s="242">
        <f t="shared" ref="H4783:H4794" si="274">TRUNC(F4783*G4783,2)</f>
        <v>159.55000000000001</v>
      </c>
      <c r="I4783" s="54" t="str">
        <f>IF(B4783="SEPLAG",VLOOKUP(CONCATENATE("MEDIANA - ",C4783),COTAÇÃO,5,FALSE),VLOOKUP($C4783,DESON!$A:$D,4,))</f>
        <v>120,46</v>
      </c>
      <c r="J4783" s="209">
        <f t="shared" ref="J4783:J4794" si="275">TRUNC(F4783*I4783,2)</f>
        <v>151.77000000000001</v>
      </c>
    </row>
    <row r="4784" spans="1:10" ht="64.5" customHeight="1">
      <c r="A4784" s="208" t="s">
        <v>245</v>
      </c>
      <c r="B4784" s="241"/>
      <c r="C4784" s="1181">
        <v>87543</v>
      </c>
      <c r="D4784" s="161" t="str">
        <f>IF(B4784="SEPLAG",VLOOKUP(COMPOSIÇÕES!C4784,'MAPA COMPARATIVO'!A:B,2,FALSE),VLOOKUP(C4784,'NAO DESO'!A:B,2,0))</f>
        <v>MASSA ÚNICA, PARA RECEBIMENTO DE PINTURA OU CERÂMICA, ARGAMASSA INDUSTRIALIZADA, PREPARO MECÂNICO, APLICADO COM EQUIPAMENTO DE MISTURA E PROJEÇÃO DE 1,5 M3/H EM FACES INTERNAS DE PAREDES, ESPESSURA DE 5MM, SEM EXECUÇÃO DE TALISCAS. AF_06/2014</v>
      </c>
      <c r="E4784" s="241" t="str">
        <f>VLOOKUP($C4784,'NAO DESO'!$A:$D,3,)</f>
        <v>M2</v>
      </c>
      <c r="F4784" s="242">
        <v>5.32</v>
      </c>
      <c r="G4784" s="242" t="str">
        <f>IF(B4784="SEPLAG",VLOOKUP(CONCATENATE("MEDIANA - ",C4784),COTAÇÃO,5,FALSE),VLOOKUP($C4784,'NAO DESO'!$A:$D,4,))</f>
        <v>24,40</v>
      </c>
      <c r="H4784" s="242">
        <f t="shared" si="274"/>
        <v>129.80000000000001</v>
      </c>
      <c r="I4784" s="54" t="str">
        <f>IF(B4784="SEPLAG",VLOOKUP(CONCATENATE("MEDIANA - ",C4784),COTAÇÃO,5,FALSE),VLOOKUP($C4784,DESON!$A:$D,4,))</f>
        <v>23,82</v>
      </c>
      <c r="J4784" s="209">
        <f t="shared" si="275"/>
        <v>126.72</v>
      </c>
    </row>
    <row r="4785" spans="1:10" ht="39" customHeight="1">
      <c r="A4785" s="208" t="s">
        <v>245</v>
      </c>
      <c r="B4785" s="241"/>
      <c r="C4785" s="1181">
        <v>94970</v>
      </c>
      <c r="D4785" s="161" t="str">
        <f>IF(B4785="SEPLAG",VLOOKUP(COMPOSIÇÕES!C4785,'MAPA COMPARATIVO'!A:B,2,FALSE),VLOOKUP(C4785,'NAO DESO'!A:B,2,0))</f>
        <v>CONCRETO FCK = 20MPA, TRAÇO 1:2,7:3 (EM MASSA SECA DE CIMENTO/ AREIA MÉDIA/ BRITA 1) - PREPARO MECÂNICO COM BETONEIRA 600 L. AF_05/2021</v>
      </c>
      <c r="E4785" s="241" t="str">
        <f>VLOOKUP($C4785,'NAO DESO'!$A:$D,3,)</f>
        <v>M3</v>
      </c>
      <c r="F4785" s="242">
        <v>0.13</v>
      </c>
      <c r="G4785" s="242" t="str">
        <f>IF(B4785="SEPLAG",VLOOKUP(CONCATENATE("MEDIANA - ",C4785),COTAÇÃO,5,FALSE),VLOOKUP($C4785,'NAO DESO'!$A:$D,4,))</f>
        <v>405,57</v>
      </c>
      <c r="H4785" s="242">
        <f t="shared" si="274"/>
        <v>52.72</v>
      </c>
      <c r="I4785" s="54" t="str">
        <f>IF(B4785="SEPLAG",VLOOKUP(CONCATENATE("MEDIANA - ",C4785),COTAÇÃO,5,FALSE),VLOOKUP($C4785,DESON!$A:$D,4,))</f>
        <v>400,17</v>
      </c>
      <c r="J4785" s="209">
        <f t="shared" si="275"/>
        <v>52.02</v>
      </c>
    </row>
    <row r="4786" spans="1:10" ht="26.25" customHeight="1">
      <c r="A4786" s="208" t="s">
        <v>245</v>
      </c>
      <c r="B4786" s="241"/>
      <c r="C4786" s="1181">
        <v>93358</v>
      </c>
      <c r="D4786" s="161" t="str">
        <f>IF(B4786="SEPLAG",VLOOKUP(COMPOSIÇÕES!C4786,'MAPA COMPARATIVO'!A:B,2,FALSE),VLOOKUP(C4786,'NAO DESO'!A:B,2,0))</f>
        <v>ESCAVAÇÃO MANUAL DE VALA COM PROFUNDIDADE MENOR OU IGUAL A 1,30 M. AF_02/2021</v>
      </c>
      <c r="E4786" s="241" t="str">
        <f>VLOOKUP($C4786,'NAO DESO'!$A:$D,3,)</f>
        <v>M3</v>
      </c>
      <c r="F4786" s="242">
        <v>1.54</v>
      </c>
      <c r="G4786" s="242" t="str">
        <f>IF(B4786="SEPLAG",VLOOKUP(CONCATENATE("MEDIANA - ",C4786),COTAÇÃO,5,FALSE),VLOOKUP($C4786,'NAO DESO'!$A:$D,4,))</f>
        <v>66,57</v>
      </c>
      <c r="H4786" s="242">
        <f t="shared" si="274"/>
        <v>102.51</v>
      </c>
      <c r="I4786" s="54" t="str">
        <f>IF(B4786="SEPLAG",VLOOKUP(CONCATENATE("MEDIANA - ",C4786),COTAÇÃO,5,FALSE),VLOOKUP($C4786,DESON!$A:$D,4,))</f>
        <v>59,97</v>
      </c>
      <c r="J4786" s="209">
        <f t="shared" si="275"/>
        <v>92.35</v>
      </c>
    </row>
    <row r="4787" spans="1:10" ht="26.25" customHeight="1">
      <c r="A4787" s="208" t="s">
        <v>245</v>
      </c>
      <c r="B4787" s="241"/>
      <c r="C4787" s="1181">
        <v>101617</v>
      </c>
      <c r="D4787" s="161" t="str">
        <f>IF(B4787="SEPLAG",VLOOKUP(COMPOSIÇÕES!C4787,'MAPA COMPARATIVO'!A:B,2,FALSE),VLOOKUP(C4787,'NAO DESO'!A:B,2,0))</f>
        <v>PREPARO DE FUNDO DE VALA COM LARGURA MAIOR OU IGUAL A 1,5 M E MENOR QUE 2,5 M (ACERTO DO SOLO NATURAL). AF_08/2020</v>
      </c>
      <c r="E4787" s="241" t="str">
        <f>VLOOKUP($C4787,'NAO DESO'!$A:$D,3,)</f>
        <v>M2</v>
      </c>
      <c r="F4787" s="242">
        <v>0.64</v>
      </c>
      <c r="G4787" s="242" t="str">
        <f>IF(B4787="SEPLAG",VLOOKUP(CONCATENATE("MEDIANA - ",C4787),COTAÇÃO,5,FALSE),VLOOKUP($C4787,'NAO DESO'!$A:$D,4,))</f>
        <v>2,38</v>
      </c>
      <c r="H4787" s="242">
        <f t="shared" si="274"/>
        <v>1.52</v>
      </c>
      <c r="I4787" s="54" t="str">
        <f>IF(B4787="SEPLAG",VLOOKUP(CONCATENATE("MEDIANA - ",C4787),COTAÇÃO,5,FALSE),VLOOKUP($C4787,DESON!$A:$D,4,))</f>
        <v>2,15</v>
      </c>
      <c r="J4787" s="209">
        <f t="shared" si="275"/>
        <v>1.37</v>
      </c>
    </row>
    <row r="4788" spans="1:10" ht="15" customHeight="1">
      <c r="A4788" s="208" t="s">
        <v>245</v>
      </c>
      <c r="B4788" s="241"/>
      <c r="C4788" s="1181">
        <v>96995</v>
      </c>
      <c r="D4788" s="161" t="str">
        <f>IF(B4788="SEPLAG",VLOOKUP(COMPOSIÇÕES!C4788,'MAPA COMPARATIVO'!A:B,2,FALSE),VLOOKUP(C4788,'NAO DESO'!A:B,2,0))</f>
        <v>REATERRO MANUAL APILOADO COM SOQUETE. AF_10/2017</v>
      </c>
      <c r="E4788" s="241" t="str">
        <f>VLOOKUP($C4788,'NAO DESO'!$A:$D,3,)</f>
        <v>M3</v>
      </c>
      <c r="F4788" s="242">
        <v>1.25</v>
      </c>
      <c r="G4788" s="242" t="str">
        <f>IF(B4788="SEPLAG",VLOOKUP(CONCATENATE("MEDIANA - ",C4788),COTAÇÃO,5,FALSE),VLOOKUP($C4788,'NAO DESO'!$A:$D,4,))</f>
        <v>40,36</v>
      </c>
      <c r="H4788" s="242">
        <f t="shared" si="274"/>
        <v>50.45</v>
      </c>
      <c r="I4788" s="54" t="str">
        <f>IF(B4788="SEPLAG",VLOOKUP(CONCATENATE("MEDIANA - ",C4788),COTAÇÃO,5,FALSE),VLOOKUP($C4788,DESON!$A:$D,4,))</f>
        <v>36,36</v>
      </c>
      <c r="J4788" s="209">
        <f t="shared" si="275"/>
        <v>45.45</v>
      </c>
    </row>
    <row r="4789" spans="1:10" ht="26.25" customHeight="1">
      <c r="A4789" s="208" t="s">
        <v>245</v>
      </c>
      <c r="B4789" s="241"/>
      <c r="C4789" s="1181">
        <v>98557</v>
      </c>
      <c r="D4789" s="161" t="str">
        <f>IF(B4789="SEPLAG",VLOOKUP(COMPOSIÇÕES!C4789,'MAPA COMPARATIVO'!A:B,2,FALSE),VLOOKUP(C4789,'NAO DESO'!A:B,2,0))</f>
        <v>IMPERMEABILIZAÇÃO DE SUPERFÍCIE COM EMULSÃO ASFÁLTICA, 2 DEMÃOS AF_06/2018</v>
      </c>
      <c r="E4789" s="241" t="str">
        <f>VLOOKUP($C4789,'NAO DESO'!$A:$D,3,)</f>
        <v>M2</v>
      </c>
      <c r="F4789" s="242">
        <f>F4784</f>
        <v>5.32</v>
      </c>
      <c r="G4789" s="242" t="str">
        <f>IF(B4789="SEPLAG",VLOOKUP(CONCATENATE("MEDIANA - ",C4789),COTAÇÃO,5,FALSE),VLOOKUP($C4789,'NAO DESO'!$A:$D,4,))</f>
        <v>58,82</v>
      </c>
      <c r="H4789" s="242">
        <f t="shared" si="274"/>
        <v>312.92</v>
      </c>
      <c r="I4789" s="54" t="str">
        <f>IF(B4789="SEPLAG",VLOOKUP(CONCATENATE("MEDIANA - ",C4789),COTAÇÃO,5,FALSE),VLOOKUP($C4789,DESON!$A:$D,4,))</f>
        <v>57,84</v>
      </c>
      <c r="J4789" s="209">
        <f t="shared" si="275"/>
        <v>307.7</v>
      </c>
    </row>
    <row r="4790" spans="1:10" ht="39" customHeight="1">
      <c r="A4790" s="208" t="s">
        <v>245</v>
      </c>
      <c r="B4790" s="241"/>
      <c r="C4790" s="1181">
        <v>92775</v>
      </c>
      <c r="D4790" s="161" t="str">
        <f>IF(B4790="SEPLAG",VLOOKUP(COMPOSIÇÕES!C4790,'MAPA COMPARATIVO'!A:B,2,FALSE),VLOOKUP(C4790,'NAO DESO'!A:B,2,0))</f>
        <v>ARMAÇÃO DE PILAR OU VIGA DE UMA ESTRUTURA CONVENCIONAL DE CONCRETO ARMADO EM UMA EDIFICAÇÃO TÉRREA OU SOBRADO UTILIZANDO AÇO CA-60 DE 5,0 MM - MONTAGEM. AF_12/2015</v>
      </c>
      <c r="E4790" s="241" t="str">
        <f>VLOOKUP($C4790,'NAO DESO'!$A:$D,3,)</f>
        <v>KG</v>
      </c>
      <c r="F4790" s="242">
        <v>1.29</v>
      </c>
      <c r="G4790" s="242" t="str">
        <f>IF(B4790="SEPLAG",VLOOKUP(CONCATENATE("MEDIANA - ",C4790),COTAÇÃO,5,FALSE),VLOOKUP($C4790,'NAO DESO'!$A:$D,4,))</f>
        <v>18,46</v>
      </c>
      <c r="H4790" s="242">
        <f t="shared" si="274"/>
        <v>23.81</v>
      </c>
      <c r="I4790" s="54" t="str">
        <f>IF(B4790="SEPLAG",VLOOKUP(CONCATENATE("MEDIANA - ",C4790),COTAÇÃO,5,FALSE),VLOOKUP($C4790,DESON!$A:$D,4,))</f>
        <v>17,71</v>
      </c>
      <c r="J4790" s="209">
        <f t="shared" si="275"/>
        <v>22.84</v>
      </c>
    </row>
    <row r="4791" spans="1:10" ht="39" customHeight="1">
      <c r="A4791" s="208" t="s">
        <v>245</v>
      </c>
      <c r="B4791" s="241"/>
      <c r="C4791" s="1181">
        <v>92778</v>
      </c>
      <c r="D4791" s="161" t="str">
        <f>IF(B4791="SEPLAG",VLOOKUP(COMPOSIÇÕES!C4791,'MAPA COMPARATIVO'!A:B,2,FALSE),VLOOKUP(C4791,'NAO DESO'!A:B,2,0))</f>
        <v>ARMAÇÃO DE PILAR OU VIGA DE UMA ESTRUTURA CONVENCIONAL DE CONCRETO ARMADO EM UMA EDIFICAÇÃO TÉRREA OU SOBRADO UTILIZANDO AÇO CA-50 DE 10,0 MM - MONTAGEM. AF_12/2015</v>
      </c>
      <c r="E4791" s="241" t="str">
        <f>VLOOKUP($C4791,'NAO DESO'!$A:$D,3,)</f>
        <v>KG</v>
      </c>
      <c r="F4791" s="242">
        <v>11.42</v>
      </c>
      <c r="G4791" s="242" t="str">
        <f>IF(B4791="SEPLAG",VLOOKUP(CONCATENATE("MEDIANA - ",C4791),COTAÇÃO,5,FALSE),VLOOKUP($C4791,'NAO DESO'!$A:$D,4,))</f>
        <v>14,78</v>
      </c>
      <c r="H4791" s="242">
        <f t="shared" si="274"/>
        <v>168.78</v>
      </c>
      <c r="I4791" s="54" t="str">
        <f>IF(B4791="SEPLAG",VLOOKUP(CONCATENATE("MEDIANA - ",C4791),COTAÇÃO,5,FALSE),VLOOKUP($C4791,DESON!$A:$D,4,))</f>
        <v>14,50</v>
      </c>
      <c r="J4791" s="209">
        <f t="shared" si="275"/>
        <v>165.59</v>
      </c>
    </row>
    <row r="4792" spans="1:10" ht="39" customHeight="1">
      <c r="A4792" s="208" t="s">
        <v>245</v>
      </c>
      <c r="B4792" s="241"/>
      <c r="C4792" s="1181">
        <v>92423</v>
      </c>
      <c r="D4792" s="161" t="str">
        <f>IF(B4792="SEPLAG",VLOOKUP(COMPOSIÇÕES!C4792,'MAPA COMPARATIVO'!A:B,2,FALSE),VLOOKUP(C4792,'NAO DESO'!A:B,2,0))</f>
        <v>MONTAGEM E DESMONTAGEM DE FÔRMA DE PILARES RETANGULARES E ESTRUTURAS SIMILARES, PÉ-DIREITO SIMPLES, EM CHAPA DE MADEIRA COMPENSADA RESINADA, 6 UTILIZAÇÕES. AF_09/2020</v>
      </c>
      <c r="E4792" s="241" t="str">
        <f>VLOOKUP($C4792,'NAO DESO'!$A:$D,3,)</f>
        <v>M2</v>
      </c>
      <c r="F4792" s="242">
        <v>0.84</v>
      </c>
      <c r="G4792" s="242" t="str">
        <f>IF(B4792="SEPLAG",VLOOKUP(CONCATENATE("MEDIANA - ",C4792),COTAÇÃO,5,FALSE),VLOOKUP($C4792,'NAO DESO'!$A:$D,4,))</f>
        <v>67,90</v>
      </c>
      <c r="H4792" s="242">
        <f t="shared" si="274"/>
        <v>57.03</v>
      </c>
      <c r="I4792" s="54" t="str">
        <f>IF(B4792="SEPLAG",VLOOKUP(CONCATENATE("MEDIANA - ",C4792),COTAÇÃO,5,FALSE),VLOOKUP($C4792,DESON!$A:$D,4,))</f>
        <v>65,30</v>
      </c>
      <c r="J4792" s="209">
        <f t="shared" si="275"/>
        <v>54.85</v>
      </c>
    </row>
    <row r="4793" spans="1:10" ht="15" customHeight="1">
      <c r="A4793" s="208" t="s">
        <v>245</v>
      </c>
      <c r="B4793" s="241"/>
      <c r="C4793" s="1181">
        <v>88309</v>
      </c>
      <c r="D4793" s="161" t="str">
        <f>IF(B4793="SEPLAG",VLOOKUP(COMPOSIÇÕES!C4793,'MAPA COMPARATIVO'!A:B,2,FALSE),VLOOKUP(C4793,'NAO DESO'!A:B,2,0))</f>
        <v>PEDREIRO COM ENCARGOS COMPLEMENTARES</v>
      </c>
      <c r="E4793" s="241" t="str">
        <f>VLOOKUP($C4793,'NAO DESO'!$A:$D,3,)</f>
        <v>H</v>
      </c>
      <c r="F4793" s="242">
        <v>1</v>
      </c>
      <c r="G4793" s="242" t="str">
        <f>IF(B4793="SEPLAG",VLOOKUP(CONCATENATE("MEDIANA - ",C4793),COTAÇÃO,5,FALSE),VLOOKUP($C4793,'NAO DESO'!$A:$D,4,))</f>
        <v>21,10</v>
      </c>
      <c r="H4793" s="242">
        <f t="shared" si="274"/>
        <v>21.1</v>
      </c>
      <c r="I4793" s="54" t="str">
        <f>IF(B4793="SEPLAG",VLOOKUP(CONCATENATE("MEDIANA - ",C4793),COTAÇÃO,5,FALSE),VLOOKUP($C4793,DESON!$A:$D,4,))</f>
        <v>18,86</v>
      </c>
      <c r="J4793" s="209">
        <f t="shared" si="275"/>
        <v>18.86</v>
      </c>
    </row>
    <row r="4794" spans="1:10" ht="15" customHeight="1">
      <c r="A4794" s="208" t="s">
        <v>245</v>
      </c>
      <c r="B4794" s="241"/>
      <c r="C4794" s="1181">
        <v>88316</v>
      </c>
      <c r="D4794" s="161" t="str">
        <f>IF(B4794="SEPLAG",VLOOKUP(COMPOSIÇÕES!C4794,'MAPA COMPARATIVO'!A:B,2,FALSE),VLOOKUP(C4794,'NAO DESO'!A:B,2,0))</f>
        <v>SERVENTE COM ENCARGOS COMPLEMENTARES</v>
      </c>
      <c r="E4794" s="241" t="str">
        <f>VLOOKUP($C4794,'NAO DESO'!$A:$D,3,)</f>
        <v>H</v>
      </c>
      <c r="F4794" s="242">
        <v>1</v>
      </c>
      <c r="G4794" s="242" t="str">
        <f>IF(B4794="SEPLAG",VLOOKUP(CONCATENATE("MEDIANA - ",C4794),COTAÇÃO,5,FALSE),VLOOKUP($C4794,'NAO DESO'!$A:$D,4,))</f>
        <v>16,83</v>
      </c>
      <c r="H4794" s="242">
        <f t="shared" si="274"/>
        <v>16.829999999999998</v>
      </c>
      <c r="I4794" s="54" t="str">
        <f>IF(B4794="SEPLAG",VLOOKUP(CONCATENATE("MEDIANA - ",C4794),COTAÇÃO,5,FALSE),VLOOKUP($C4794,DESON!$A:$D,4,))</f>
        <v>15,16</v>
      </c>
      <c r="J4794" s="209">
        <f t="shared" si="275"/>
        <v>15.16</v>
      </c>
    </row>
    <row r="4795" spans="1:10" ht="15" customHeight="1">
      <c r="A4795" s="210" t="str">
        <f>CONCATENATE("TOTAL DO ITEM NÃO DESON. - ",C4780)</f>
        <v>TOTAL DO ITEM NÃO DESON. - SEPLAG HIDR 41</v>
      </c>
      <c r="B4795" s="430"/>
      <c r="C4795" s="430"/>
      <c r="D4795" s="430"/>
      <c r="E4795" s="430"/>
      <c r="F4795" s="1180"/>
      <c r="G4795" s="1180"/>
      <c r="H4795" s="1182">
        <f>SUM(H4783:H4794)</f>
        <v>1097.0199999999998</v>
      </c>
      <c r="I4795" s="231"/>
      <c r="J4795" s="215"/>
    </row>
    <row r="4796" spans="1:10" ht="15.75" customHeight="1" thickBot="1">
      <c r="A4796" s="216" t="str">
        <f>CONCATENATE("TOTAL DO ITEM DESON. - ",C4780)</f>
        <v>TOTAL DO ITEM DESON. - SEPLAG HIDR 41</v>
      </c>
      <c r="B4796" s="1142"/>
      <c r="C4796" s="1142"/>
      <c r="D4796" s="1142"/>
      <c r="E4796" s="1142"/>
      <c r="F4796" s="1211"/>
      <c r="G4796" s="1211"/>
      <c r="H4796" s="1187"/>
      <c r="I4796" s="260"/>
      <c r="J4796" s="219">
        <f>SUM(J4783:J4794)</f>
        <v>1054.68</v>
      </c>
    </row>
    <row r="4797" spans="1:10" ht="15" customHeight="1" thickBot="1">
      <c r="A4797" s="421"/>
      <c r="B4797" s="1138"/>
      <c r="C4797" s="1138"/>
      <c r="D4797" s="1138"/>
      <c r="E4797" s="1154"/>
      <c r="F4797" s="1196"/>
      <c r="G4797" s="1196"/>
      <c r="H4797" s="1196"/>
      <c r="I4797" s="422"/>
      <c r="J4797" s="422"/>
    </row>
    <row r="4798" spans="1:10" ht="38.25" customHeight="1">
      <c r="A4798" s="473" t="s">
        <v>421</v>
      </c>
      <c r="B4798" s="1234"/>
      <c r="C4798" s="1176" t="s">
        <v>7514</v>
      </c>
      <c r="D4798" s="156" t="s">
        <v>27971</v>
      </c>
      <c r="E4798" s="1176" t="s">
        <v>24</v>
      </c>
      <c r="F4798" s="1177" t="s">
        <v>18</v>
      </c>
      <c r="G4798" s="1178" t="s">
        <v>7015</v>
      </c>
      <c r="H4798" s="1179"/>
      <c r="I4798" s="200" t="s">
        <v>7016</v>
      </c>
      <c r="J4798" s="201"/>
    </row>
    <row r="4799" spans="1:10" ht="15" customHeight="1">
      <c r="A4799" s="257"/>
      <c r="B4799" s="430"/>
      <c r="C4799" s="1155"/>
      <c r="D4799" s="157"/>
      <c r="E4799" s="1155"/>
      <c r="F4799" s="1180"/>
      <c r="G4799" s="1180" t="s">
        <v>19</v>
      </c>
      <c r="H4799" s="1180" t="s">
        <v>20</v>
      </c>
      <c r="I4799" s="204" t="s">
        <v>19</v>
      </c>
      <c r="J4799" s="206" t="s">
        <v>20</v>
      </c>
    </row>
    <row r="4800" spans="1:10" ht="15" customHeight="1">
      <c r="A4800" s="258"/>
      <c r="B4800" s="1155"/>
      <c r="C4800" s="1155"/>
      <c r="D4800" s="157"/>
      <c r="E4800" s="1155"/>
      <c r="F4800" s="1180"/>
      <c r="G4800" s="1180"/>
      <c r="H4800" s="1180"/>
      <c r="I4800" s="238"/>
      <c r="J4800" s="259"/>
    </row>
    <row r="4801" spans="1:10" ht="39" customHeight="1">
      <c r="A4801" s="208" t="s">
        <v>245</v>
      </c>
      <c r="B4801" s="241"/>
      <c r="C4801" s="1181">
        <v>101159</v>
      </c>
      <c r="D4801" s="161" t="str">
        <f>IF(B4801="SEPLAG",VLOOKUP(COMPOSIÇÕES!C4801,'MAPA COMPARATIVO'!A:B,2,FALSE),VLOOKUP(C4801,'NAO DESO'!A:B,2,0))</f>
        <v>ALVENARIA DE VEDAÇÃO DE BLOCOS CERÂMICOS MACIÇOS DE 5X10X20CM (ESPESSURA 10CM) E ARGAMASSA DE ASSENTAMENTO COM PREPARO EM BETONEIRA. AF_05/2020</v>
      </c>
      <c r="E4801" s="241" t="str">
        <f>VLOOKUP($C4801,'NAO DESO'!$A:$D,3,)</f>
        <v>M2</v>
      </c>
      <c r="F4801" s="242">
        <v>1.4</v>
      </c>
      <c r="G4801" s="242" t="str">
        <f>IF(B4801="SEPLAG",VLOOKUP(CONCATENATE("MEDIANA - ",C4801),COTAÇÃO,5,FALSE),VLOOKUP($C4801,'NAO DESO'!$A:$D,4,))</f>
        <v>126,63</v>
      </c>
      <c r="H4801" s="242">
        <f t="shared" ref="H4801:H4812" si="276">TRUNC(F4801*G4801,2)</f>
        <v>177.28</v>
      </c>
      <c r="I4801" s="54" t="str">
        <f>IF(B4801="SEPLAG",VLOOKUP(CONCATENATE("MEDIANA - ",C4801),COTAÇÃO,5,FALSE),VLOOKUP($C4801,DESON!$A:$D,4,))</f>
        <v>120,46</v>
      </c>
      <c r="J4801" s="209">
        <f t="shared" ref="J4801:J4812" si="277">TRUNC(F4801*I4801,2)</f>
        <v>168.64</v>
      </c>
    </row>
    <row r="4802" spans="1:10" ht="64.5" customHeight="1">
      <c r="A4802" s="208" t="s">
        <v>245</v>
      </c>
      <c r="B4802" s="241"/>
      <c r="C4802" s="1181">
        <v>87543</v>
      </c>
      <c r="D4802" s="161" t="str">
        <f>IF(B4802="SEPLAG",VLOOKUP(COMPOSIÇÕES!C4802,'MAPA COMPARATIVO'!A:B,2,FALSE),VLOOKUP(C4802,'NAO DESO'!A:B,2,0))</f>
        <v>MASSA ÚNICA, PARA RECEBIMENTO DE PINTURA OU CERÂMICA, ARGAMASSA INDUSTRIALIZADA, PREPARO MECÂNICO, APLICADO COM EQUIPAMENTO DE MISTURA E PROJEÇÃO DE 1,5 M3/H EM FACES INTERNAS DE PAREDES, ESPESSURA DE 5MM, SEM EXECUÇÃO DE TALISCAS. AF_06/2014</v>
      </c>
      <c r="E4802" s="241" t="str">
        <f>VLOOKUP($C4802,'NAO DESO'!$A:$D,3,)</f>
        <v>M2</v>
      </c>
      <c r="F4802" s="242">
        <v>5.6</v>
      </c>
      <c r="G4802" s="242" t="str">
        <f>IF(B4802="SEPLAG",VLOOKUP(CONCATENATE("MEDIANA - ",C4802),COTAÇÃO,5,FALSE),VLOOKUP($C4802,'NAO DESO'!$A:$D,4,))</f>
        <v>24,40</v>
      </c>
      <c r="H4802" s="242">
        <f t="shared" si="276"/>
        <v>136.63999999999999</v>
      </c>
      <c r="I4802" s="54" t="str">
        <f>IF(B4802="SEPLAG",VLOOKUP(CONCATENATE("MEDIANA - ",C4802),COTAÇÃO,5,FALSE),VLOOKUP($C4802,DESON!$A:$D,4,))</f>
        <v>23,82</v>
      </c>
      <c r="J4802" s="209">
        <f t="shared" si="277"/>
        <v>133.38999999999999</v>
      </c>
    </row>
    <row r="4803" spans="1:10" ht="39" customHeight="1">
      <c r="A4803" s="208" t="s">
        <v>245</v>
      </c>
      <c r="B4803" s="241"/>
      <c r="C4803" s="1181">
        <v>94970</v>
      </c>
      <c r="D4803" s="161" t="str">
        <f>IF(B4803="SEPLAG",VLOOKUP(COMPOSIÇÕES!C4803,'MAPA COMPARATIVO'!A:B,2,FALSE),VLOOKUP(C4803,'NAO DESO'!A:B,2,0))</f>
        <v>CONCRETO FCK = 20MPA, TRAÇO 1:2,7:3 (EM MASSA SECA DE CIMENTO/ AREIA MÉDIA/ BRITA 1) - PREPARO MECÂNICO COM BETONEIRA 600 L. AF_05/2021</v>
      </c>
      <c r="E4803" s="241" t="str">
        <f>VLOOKUP($C4803,'NAO DESO'!$A:$D,3,)</f>
        <v>M3</v>
      </c>
      <c r="F4803" s="242">
        <v>0.13</v>
      </c>
      <c r="G4803" s="242" t="str">
        <f>IF(B4803="SEPLAG",VLOOKUP(CONCATENATE("MEDIANA - ",C4803),COTAÇÃO,5,FALSE),VLOOKUP($C4803,'NAO DESO'!$A:$D,4,))</f>
        <v>405,57</v>
      </c>
      <c r="H4803" s="242">
        <f t="shared" si="276"/>
        <v>52.72</v>
      </c>
      <c r="I4803" s="54" t="str">
        <f>IF(B4803="SEPLAG",VLOOKUP(CONCATENATE("MEDIANA - ",C4803),COTAÇÃO,5,FALSE),VLOOKUP($C4803,DESON!$A:$D,4,))</f>
        <v>400,17</v>
      </c>
      <c r="J4803" s="209">
        <f t="shared" si="277"/>
        <v>52.02</v>
      </c>
    </row>
    <row r="4804" spans="1:10" ht="26.25" customHeight="1">
      <c r="A4804" s="208" t="s">
        <v>245</v>
      </c>
      <c r="B4804" s="241"/>
      <c r="C4804" s="1181">
        <v>93358</v>
      </c>
      <c r="D4804" s="161" t="str">
        <f>IF(B4804="SEPLAG",VLOOKUP(COMPOSIÇÕES!C4804,'MAPA COMPARATIVO'!A:B,2,FALSE),VLOOKUP(C4804,'NAO DESO'!A:B,2,0))</f>
        <v>ESCAVAÇÃO MANUAL DE VALA COM PROFUNDIDADE MENOR OU IGUAL A 1,30 M. AF_02/2021</v>
      </c>
      <c r="E4804" s="241" t="str">
        <f>VLOOKUP($C4804,'NAO DESO'!$A:$D,3,)</f>
        <v>M3</v>
      </c>
      <c r="F4804" s="242">
        <v>1.66</v>
      </c>
      <c r="G4804" s="242" t="str">
        <f>IF(B4804="SEPLAG",VLOOKUP(CONCATENATE("MEDIANA - ",C4804),COTAÇÃO,5,FALSE),VLOOKUP($C4804,'NAO DESO'!$A:$D,4,))</f>
        <v>66,57</v>
      </c>
      <c r="H4804" s="242">
        <f t="shared" si="276"/>
        <v>110.5</v>
      </c>
      <c r="I4804" s="54" t="str">
        <f>IF(B4804="SEPLAG",VLOOKUP(CONCATENATE("MEDIANA - ",C4804),COTAÇÃO,5,FALSE),VLOOKUP($C4804,DESON!$A:$D,4,))</f>
        <v>59,97</v>
      </c>
      <c r="J4804" s="209">
        <f t="shared" si="277"/>
        <v>99.55</v>
      </c>
    </row>
    <row r="4805" spans="1:10" ht="26.25" customHeight="1">
      <c r="A4805" s="208" t="s">
        <v>245</v>
      </c>
      <c r="B4805" s="241"/>
      <c r="C4805" s="1181">
        <v>101617</v>
      </c>
      <c r="D4805" s="161" t="str">
        <f>IF(B4805="SEPLAG",VLOOKUP(COMPOSIÇÕES!C4805,'MAPA COMPARATIVO'!A:B,2,FALSE),VLOOKUP(C4805,'NAO DESO'!A:B,2,0))</f>
        <v>PREPARO DE FUNDO DE VALA COM LARGURA MAIOR OU IGUAL A 1,5 M E MENOR QUE 2,5 M (ACERTO DO SOLO NATURAL). AF_08/2020</v>
      </c>
      <c r="E4805" s="241" t="str">
        <f>VLOOKUP($C4805,'NAO DESO'!$A:$D,3,)</f>
        <v>M2</v>
      </c>
      <c r="F4805" s="242">
        <v>0.64</v>
      </c>
      <c r="G4805" s="242" t="str">
        <f>IF(B4805="SEPLAG",VLOOKUP(CONCATENATE("MEDIANA - ",C4805),COTAÇÃO,5,FALSE),VLOOKUP($C4805,'NAO DESO'!$A:$D,4,))</f>
        <v>2,38</v>
      </c>
      <c r="H4805" s="242">
        <f t="shared" si="276"/>
        <v>1.52</v>
      </c>
      <c r="I4805" s="54" t="str">
        <f>IF(B4805="SEPLAG",VLOOKUP(CONCATENATE("MEDIANA - ",C4805),COTAÇÃO,5,FALSE),VLOOKUP($C4805,DESON!$A:$D,4,))</f>
        <v>2,15</v>
      </c>
      <c r="J4805" s="209">
        <f t="shared" si="277"/>
        <v>1.37</v>
      </c>
    </row>
    <row r="4806" spans="1:10" ht="15" customHeight="1">
      <c r="A4806" s="208" t="s">
        <v>245</v>
      </c>
      <c r="B4806" s="241"/>
      <c r="C4806" s="1181">
        <v>96995</v>
      </c>
      <c r="D4806" s="161" t="str">
        <f>IF(B4806="SEPLAG",VLOOKUP(COMPOSIÇÕES!C4806,'MAPA COMPARATIVO'!A:B,2,FALSE),VLOOKUP(C4806,'NAO DESO'!A:B,2,0))</f>
        <v>REATERRO MANUAL APILOADO COM SOQUETE. AF_10/2017</v>
      </c>
      <c r="E4806" s="241" t="str">
        <f>VLOOKUP($C4806,'NAO DESO'!$A:$D,3,)</f>
        <v>M3</v>
      </c>
      <c r="F4806" s="242">
        <v>1.34</v>
      </c>
      <c r="G4806" s="242" t="str">
        <f>IF(B4806="SEPLAG",VLOOKUP(CONCATENATE("MEDIANA - ",C4806),COTAÇÃO,5,FALSE),VLOOKUP($C4806,'NAO DESO'!$A:$D,4,))</f>
        <v>40,36</v>
      </c>
      <c r="H4806" s="242">
        <f t="shared" si="276"/>
        <v>54.08</v>
      </c>
      <c r="I4806" s="54" t="str">
        <f>IF(B4806="SEPLAG",VLOOKUP(CONCATENATE("MEDIANA - ",C4806),COTAÇÃO,5,FALSE),VLOOKUP($C4806,DESON!$A:$D,4,))</f>
        <v>36,36</v>
      </c>
      <c r="J4806" s="209">
        <f t="shared" si="277"/>
        <v>48.72</v>
      </c>
    </row>
    <row r="4807" spans="1:10" ht="26.25" customHeight="1">
      <c r="A4807" s="208" t="s">
        <v>245</v>
      </c>
      <c r="B4807" s="241"/>
      <c r="C4807" s="1181">
        <v>98557</v>
      </c>
      <c r="D4807" s="161" t="str">
        <f>IF(B4807="SEPLAG",VLOOKUP(COMPOSIÇÕES!C4807,'MAPA COMPARATIVO'!A:B,2,FALSE),VLOOKUP(C4807,'NAO DESO'!A:B,2,0))</f>
        <v>IMPERMEABILIZAÇÃO DE SUPERFÍCIE COM EMULSÃO ASFÁLTICA, 2 DEMÃOS AF_06/2018</v>
      </c>
      <c r="E4807" s="241" t="str">
        <f>VLOOKUP($C4807,'NAO DESO'!$A:$D,3,)</f>
        <v>M2</v>
      </c>
      <c r="F4807" s="242">
        <f>F4802</f>
        <v>5.6</v>
      </c>
      <c r="G4807" s="242" t="str">
        <f>IF(B4807="SEPLAG",VLOOKUP(CONCATENATE("MEDIANA - ",C4807),COTAÇÃO,5,FALSE),VLOOKUP($C4807,'NAO DESO'!$A:$D,4,))</f>
        <v>58,82</v>
      </c>
      <c r="H4807" s="242">
        <f t="shared" si="276"/>
        <v>329.39</v>
      </c>
      <c r="I4807" s="54" t="str">
        <f>IF(B4807="SEPLAG",VLOOKUP(CONCATENATE("MEDIANA - ",C4807),COTAÇÃO,5,FALSE),VLOOKUP($C4807,DESON!$A:$D,4,))</f>
        <v>57,84</v>
      </c>
      <c r="J4807" s="209">
        <f t="shared" si="277"/>
        <v>323.89999999999998</v>
      </c>
    </row>
    <row r="4808" spans="1:10" ht="39" customHeight="1">
      <c r="A4808" s="208" t="s">
        <v>245</v>
      </c>
      <c r="B4808" s="241"/>
      <c r="C4808" s="1181">
        <v>92775</v>
      </c>
      <c r="D4808" s="161" t="str">
        <f>IF(B4808="SEPLAG",VLOOKUP(COMPOSIÇÕES!C4808,'MAPA COMPARATIVO'!A:B,2,FALSE),VLOOKUP(C4808,'NAO DESO'!A:B,2,0))</f>
        <v>ARMAÇÃO DE PILAR OU VIGA DE UMA ESTRUTURA CONVENCIONAL DE CONCRETO ARMADO EM UMA EDIFICAÇÃO TÉRREA OU SOBRADO UTILIZANDO AÇO CA-60 DE 5,0 MM - MONTAGEM. AF_12/2015</v>
      </c>
      <c r="E4808" s="241" t="str">
        <f>VLOOKUP($C4808,'NAO DESO'!$A:$D,3,)</f>
        <v>KG</v>
      </c>
      <c r="F4808" s="242">
        <v>1.29</v>
      </c>
      <c r="G4808" s="242" t="str">
        <f>IF(B4808="SEPLAG",VLOOKUP(CONCATENATE("MEDIANA - ",C4808),COTAÇÃO,5,FALSE),VLOOKUP($C4808,'NAO DESO'!$A:$D,4,))</f>
        <v>18,46</v>
      </c>
      <c r="H4808" s="242">
        <f t="shared" si="276"/>
        <v>23.81</v>
      </c>
      <c r="I4808" s="54" t="str">
        <f>IF(B4808="SEPLAG",VLOOKUP(CONCATENATE("MEDIANA - ",C4808),COTAÇÃO,5,FALSE),VLOOKUP($C4808,DESON!$A:$D,4,))</f>
        <v>17,71</v>
      </c>
      <c r="J4808" s="209">
        <f t="shared" si="277"/>
        <v>22.84</v>
      </c>
    </row>
    <row r="4809" spans="1:10" ht="39" customHeight="1">
      <c r="A4809" s="208" t="s">
        <v>245</v>
      </c>
      <c r="B4809" s="241"/>
      <c r="C4809" s="1181">
        <v>92778</v>
      </c>
      <c r="D4809" s="161" t="str">
        <f>IF(B4809="SEPLAG",VLOOKUP(COMPOSIÇÕES!C4809,'MAPA COMPARATIVO'!A:B,2,FALSE),VLOOKUP(C4809,'NAO DESO'!A:B,2,0))</f>
        <v>ARMAÇÃO DE PILAR OU VIGA DE UMA ESTRUTURA CONVENCIONAL DE CONCRETO ARMADO EM UMA EDIFICAÇÃO TÉRREA OU SOBRADO UTILIZANDO AÇO CA-50 DE 10,0 MM - MONTAGEM. AF_12/2015</v>
      </c>
      <c r="E4809" s="241" t="str">
        <f>VLOOKUP($C4809,'NAO DESO'!$A:$D,3,)</f>
        <v>KG</v>
      </c>
      <c r="F4809" s="242">
        <v>11.42</v>
      </c>
      <c r="G4809" s="242" t="str">
        <f>IF(B4809="SEPLAG",VLOOKUP(CONCATENATE("MEDIANA - ",C4809),COTAÇÃO,5,FALSE),VLOOKUP($C4809,'NAO DESO'!$A:$D,4,))</f>
        <v>14,78</v>
      </c>
      <c r="H4809" s="242">
        <f t="shared" si="276"/>
        <v>168.78</v>
      </c>
      <c r="I4809" s="54" t="str">
        <f>IF(B4809="SEPLAG",VLOOKUP(CONCATENATE("MEDIANA - ",C4809),COTAÇÃO,5,FALSE),VLOOKUP($C4809,DESON!$A:$D,4,))</f>
        <v>14,50</v>
      </c>
      <c r="J4809" s="209">
        <f t="shared" si="277"/>
        <v>165.59</v>
      </c>
    </row>
    <row r="4810" spans="1:10" ht="39" customHeight="1">
      <c r="A4810" s="208" t="s">
        <v>245</v>
      </c>
      <c r="B4810" s="241"/>
      <c r="C4810" s="1181">
        <v>92423</v>
      </c>
      <c r="D4810" s="161" t="str">
        <f>IF(B4810="SEPLAG",VLOOKUP(COMPOSIÇÕES!C4810,'MAPA COMPARATIVO'!A:B,2,FALSE),VLOOKUP(C4810,'NAO DESO'!A:B,2,0))</f>
        <v>MONTAGEM E DESMONTAGEM DE FÔRMA DE PILARES RETANGULARES E ESTRUTURAS SIMILARES, PÉ-DIREITO SIMPLES, EM CHAPA DE MADEIRA COMPENSADA RESINADA, 6 UTILIZAÇÕES. AF_09/2020</v>
      </c>
      <c r="E4810" s="241" t="str">
        <f>VLOOKUP($C4810,'NAO DESO'!$A:$D,3,)</f>
        <v>M2</v>
      </c>
      <c r="F4810" s="242">
        <v>0.84</v>
      </c>
      <c r="G4810" s="242" t="str">
        <f>IF(B4810="SEPLAG",VLOOKUP(CONCATENATE("MEDIANA - ",C4810),COTAÇÃO,5,FALSE),VLOOKUP($C4810,'NAO DESO'!$A:$D,4,))</f>
        <v>67,90</v>
      </c>
      <c r="H4810" s="242">
        <f t="shared" si="276"/>
        <v>57.03</v>
      </c>
      <c r="I4810" s="54" t="str">
        <f>IF(B4810="SEPLAG",VLOOKUP(CONCATENATE("MEDIANA - ",C4810),COTAÇÃO,5,FALSE),VLOOKUP($C4810,DESON!$A:$D,4,))</f>
        <v>65,30</v>
      </c>
      <c r="J4810" s="209">
        <f t="shared" si="277"/>
        <v>54.85</v>
      </c>
    </row>
    <row r="4811" spans="1:10" ht="15" customHeight="1">
      <c r="A4811" s="208" t="s">
        <v>245</v>
      </c>
      <c r="B4811" s="241"/>
      <c r="C4811" s="1181">
        <v>88309</v>
      </c>
      <c r="D4811" s="161" t="str">
        <f>IF(B4811="SEPLAG",VLOOKUP(COMPOSIÇÕES!C4811,'MAPA COMPARATIVO'!A:B,2,FALSE),VLOOKUP(C4811,'NAO DESO'!A:B,2,0))</f>
        <v>PEDREIRO COM ENCARGOS COMPLEMENTARES</v>
      </c>
      <c r="E4811" s="241" t="str">
        <f>VLOOKUP($C4811,'NAO DESO'!$A:$D,3,)</f>
        <v>H</v>
      </c>
      <c r="F4811" s="242">
        <v>1</v>
      </c>
      <c r="G4811" s="242" t="str">
        <f>IF(B4811="SEPLAG",VLOOKUP(CONCATENATE("MEDIANA - ",C4811),COTAÇÃO,5,FALSE),VLOOKUP($C4811,'NAO DESO'!$A:$D,4,))</f>
        <v>21,10</v>
      </c>
      <c r="H4811" s="242">
        <f t="shared" si="276"/>
        <v>21.1</v>
      </c>
      <c r="I4811" s="54" t="str">
        <f>IF(B4811="SEPLAG",VLOOKUP(CONCATENATE("MEDIANA - ",C4811),COTAÇÃO,5,FALSE),VLOOKUP($C4811,DESON!$A:$D,4,))</f>
        <v>18,86</v>
      </c>
      <c r="J4811" s="209">
        <f t="shared" si="277"/>
        <v>18.86</v>
      </c>
    </row>
    <row r="4812" spans="1:10" ht="15" customHeight="1">
      <c r="A4812" s="208" t="s">
        <v>245</v>
      </c>
      <c r="B4812" s="241"/>
      <c r="C4812" s="1181">
        <v>88316</v>
      </c>
      <c r="D4812" s="161" t="str">
        <f>IF(B4812="SEPLAG",VLOOKUP(COMPOSIÇÕES!C4812,'MAPA COMPARATIVO'!A:B,2,FALSE),VLOOKUP(C4812,'NAO DESO'!A:B,2,0))</f>
        <v>SERVENTE COM ENCARGOS COMPLEMENTARES</v>
      </c>
      <c r="E4812" s="241" t="str">
        <f>VLOOKUP($C4812,'NAO DESO'!$A:$D,3,)</f>
        <v>H</v>
      </c>
      <c r="F4812" s="242">
        <v>1</v>
      </c>
      <c r="G4812" s="242" t="str">
        <f>IF(B4812="SEPLAG",VLOOKUP(CONCATENATE("MEDIANA - ",C4812),COTAÇÃO,5,FALSE),VLOOKUP($C4812,'NAO DESO'!$A:$D,4,))</f>
        <v>16,83</v>
      </c>
      <c r="H4812" s="242">
        <f t="shared" si="276"/>
        <v>16.829999999999998</v>
      </c>
      <c r="I4812" s="54" t="str">
        <f>IF(B4812="SEPLAG",VLOOKUP(CONCATENATE("MEDIANA - ",C4812),COTAÇÃO,5,FALSE),VLOOKUP($C4812,DESON!$A:$D,4,))</f>
        <v>15,16</v>
      </c>
      <c r="J4812" s="209">
        <f t="shared" si="277"/>
        <v>15.16</v>
      </c>
    </row>
    <row r="4813" spans="1:10" ht="15" customHeight="1">
      <c r="A4813" s="210" t="str">
        <f>CONCATENATE("TOTAL DO ITEM NÃO DESON. - ",C4798)</f>
        <v>TOTAL DO ITEM NÃO DESON. - SEPLAG HIDR 42</v>
      </c>
      <c r="B4813" s="430"/>
      <c r="C4813" s="430"/>
      <c r="D4813" s="430"/>
      <c r="E4813" s="430"/>
      <c r="F4813" s="1180"/>
      <c r="G4813" s="1180"/>
      <c r="H4813" s="1182">
        <f>SUM(H4801:H4812)</f>
        <v>1149.6799999999998</v>
      </c>
      <c r="I4813" s="231"/>
      <c r="J4813" s="215"/>
    </row>
    <row r="4814" spans="1:10" ht="15.75" customHeight="1" thickBot="1">
      <c r="A4814" s="216" t="str">
        <f>CONCATENATE("TOTAL DO ITEM DESON. - ",C4798)</f>
        <v>TOTAL DO ITEM DESON. - SEPLAG HIDR 42</v>
      </c>
      <c r="B4814" s="1142"/>
      <c r="C4814" s="1142"/>
      <c r="D4814" s="1142"/>
      <c r="E4814" s="1142"/>
      <c r="F4814" s="1211"/>
      <c r="G4814" s="1211"/>
      <c r="H4814" s="1187"/>
      <c r="I4814" s="260"/>
      <c r="J4814" s="219">
        <f>SUM(J4801:J4812)</f>
        <v>1104.8899999999999</v>
      </c>
    </row>
    <row r="4815" spans="1:10" ht="15" customHeight="1" thickBot="1">
      <c r="A4815" s="421"/>
      <c r="B4815" s="1138"/>
      <c r="C4815" s="1138"/>
      <c r="D4815" s="1138"/>
      <c r="E4815" s="1154"/>
      <c r="F4815" s="1196"/>
      <c r="G4815" s="1196"/>
      <c r="H4815" s="1196"/>
      <c r="I4815" s="422"/>
      <c r="J4815" s="422"/>
    </row>
    <row r="4816" spans="1:10" ht="38.25" customHeight="1">
      <c r="A4816" s="473" t="s">
        <v>421</v>
      </c>
      <c r="B4816" s="1234"/>
      <c r="C4816" s="1176" t="s">
        <v>7516</v>
      </c>
      <c r="D4816" s="156" t="s">
        <v>27972</v>
      </c>
      <c r="E4816" s="1176" t="s">
        <v>24</v>
      </c>
      <c r="F4816" s="1177" t="s">
        <v>18</v>
      </c>
      <c r="G4816" s="1178" t="s">
        <v>7015</v>
      </c>
      <c r="H4816" s="1179"/>
      <c r="I4816" s="200" t="s">
        <v>7016</v>
      </c>
      <c r="J4816" s="201"/>
    </row>
    <row r="4817" spans="1:10" ht="15" customHeight="1">
      <c r="A4817" s="257"/>
      <c r="B4817" s="430"/>
      <c r="C4817" s="1155"/>
      <c r="D4817" s="157"/>
      <c r="E4817" s="1155"/>
      <c r="F4817" s="1180"/>
      <c r="G4817" s="1180" t="s">
        <v>19</v>
      </c>
      <c r="H4817" s="1180" t="s">
        <v>20</v>
      </c>
      <c r="I4817" s="204" t="s">
        <v>19</v>
      </c>
      <c r="J4817" s="206" t="s">
        <v>20</v>
      </c>
    </row>
    <row r="4818" spans="1:10" ht="15" customHeight="1">
      <c r="A4818" s="258"/>
      <c r="B4818" s="1155"/>
      <c r="C4818" s="1155"/>
      <c r="D4818" s="157"/>
      <c r="E4818" s="1155"/>
      <c r="F4818" s="1180"/>
      <c r="G4818" s="1180"/>
      <c r="H4818" s="1180"/>
      <c r="I4818" s="238"/>
      <c r="J4818" s="259"/>
    </row>
    <row r="4819" spans="1:10" ht="39" customHeight="1">
      <c r="A4819" s="208" t="s">
        <v>245</v>
      </c>
      <c r="B4819" s="241"/>
      <c r="C4819" s="1181">
        <v>101159</v>
      </c>
      <c r="D4819" s="161" t="str">
        <f>IF(B4819="SEPLAG",VLOOKUP(COMPOSIÇÕES!C4819,'MAPA COMPARATIVO'!A:B,2,FALSE),VLOOKUP(C4819,'NAO DESO'!A:B,2,0))</f>
        <v>ALVENARIA DE VEDAÇÃO DE BLOCOS CERÂMICOS MACIÇOS DE 5X10X20CM (ESPESSURA 10CM) E ARGAMASSA DE ASSENTAMENTO COM PREPARO EM BETONEIRA. AF_05/2020</v>
      </c>
      <c r="E4819" s="241" t="str">
        <f>VLOOKUP($C4819,'NAO DESO'!$A:$D,3,)</f>
        <v>M2</v>
      </c>
      <c r="F4819" s="242">
        <v>1.8</v>
      </c>
      <c r="G4819" s="242" t="str">
        <f>IF(B4819="SEPLAG",VLOOKUP(CONCATENATE("MEDIANA - ",C4819),COTAÇÃO,5,FALSE),VLOOKUP($C4819,'NAO DESO'!$A:$D,4,))</f>
        <v>126,63</v>
      </c>
      <c r="H4819" s="242">
        <f t="shared" ref="H4819:H4830" si="278">TRUNC(F4819*G4819,2)</f>
        <v>227.93</v>
      </c>
      <c r="I4819" s="54" t="str">
        <f>IF(B4819="SEPLAG",VLOOKUP(CONCATENATE("MEDIANA - ",C4819),COTAÇÃO,5,FALSE),VLOOKUP($C4819,DESON!$A:$D,4,))</f>
        <v>120,46</v>
      </c>
      <c r="J4819" s="209">
        <f t="shared" ref="J4819:J4830" si="279">TRUNC(F4819*I4819,2)</f>
        <v>216.82</v>
      </c>
    </row>
    <row r="4820" spans="1:10" ht="64.5" customHeight="1">
      <c r="A4820" s="208" t="s">
        <v>245</v>
      </c>
      <c r="B4820" s="241"/>
      <c r="C4820" s="1181">
        <v>87543</v>
      </c>
      <c r="D4820" s="161" t="str">
        <f>IF(B4820="SEPLAG",VLOOKUP(COMPOSIÇÕES!C4820,'MAPA COMPARATIVO'!A:B,2,FALSE),VLOOKUP(C4820,'NAO DESO'!A:B,2,0))</f>
        <v>MASSA ÚNICA, PARA RECEBIMENTO DE PINTURA OU CERÂMICA, ARGAMASSA INDUSTRIALIZADA, PREPARO MECÂNICO, APLICADO COM EQUIPAMENTO DE MISTURA E PROJEÇÃO DE 1,5 M3/H EM FACES INTERNAS DE PAREDES, ESPESSURA DE 5MM, SEM EXECUÇÃO DE TALISCAS. AF_06/2014</v>
      </c>
      <c r="E4820" s="241" t="str">
        <f>VLOOKUP($C4820,'NAO DESO'!$A:$D,3,)</f>
        <v>M2</v>
      </c>
      <c r="F4820" s="242">
        <v>7.2</v>
      </c>
      <c r="G4820" s="242" t="str">
        <f>IF(B4820="SEPLAG",VLOOKUP(CONCATENATE("MEDIANA - ",C4820),COTAÇÃO,5,FALSE),VLOOKUP($C4820,'NAO DESO'!$A:$D,4,))</f>
        <v>24,40</v>
      </c>
      <c r="H4820" s="242">
        <f t="shared" si="278"/>
        <v>175.68</v>
      </c>
      <c r="I4820" s="54" t="str">
        <f>IF(B4820="SEPLAG",VLOOKUP(CONCATENATE("MEDIANA - ",C4820),COTAÇÃO,5,FALSE),VLOOKUP($C4820,DESON!$A:$D,4,))</f>
        <v>23,82</v>
      </c>
      <c r="J4820" s="209">
        <f t="shared" si="279"/>
        <v>171.5</v>
      </c>
    </row>
    <row r="4821" spans="1:10" ht="39" customHeight="1">
      <c r="A4821" s="208" t="s">
        <v>245</v>
      </c>
      <c r="B4821" s="241"/>
      <c r="C4821" s="1181">
        <v>94970</v>
      </c>
      <c r="D4821" s="161" t="str">
        <f>IF(B4821="SEPLAG",VLOOKUP(COMPOSIÇÕES!C4821,'MAPA COMPARATIVO'!A:B,2,FALSE),VLOOKUP(C4821,'NAO DESO'!A:B,2,0))</f>
        <v>CONCRETO FCK = 20MPA, TRAÇO 1:2,7:3 (EM MASSA SECA DE CIMENTO/ AREIA MÉDIA/ BRITA 1) - PREPARO MECÂNICO COM BETONEIRA 600 L. AF_05/2021</v>
      </c>
      <c r="E4821" s="241" t="str">
        <f>VLOOKUP($C4821,'NAO DESO'!$A:$D,3,)</f>
        <v>M3</v>
      </c>
      <c r="F4821" s="242">
        <v>0.2</v>
      </c>
      <c r="G4821" s="242" t="str">
        <f>IF(B4821="SEPLAG",VLOOKUP(CONCATENATE("MEDIANA - ",C4821),COTAÇÃO,5,FALSE),VLOOKUP($C4821,'NAO DESO'!$A:$D,4,))</f>
        <v>405,57</v>
      </c>
      <c r="H4821" s="242">
        <f t="shared" si="278"/>
        <v>81.11</v>
      </c>
      <c r="I4821" s="54" t="str">
        <f>IF(B4821="SEPLAG",VLOOKUP(CONCATENATE("MEDIANA - ",C4821),COTAÇÃO,5,FALSE),VLOOKUP($C4821,DESON!$A:$D,4,))</f>
        <v>400,17</v>
      </c>
      <c r="J4821" s="209">
        <f t="shared" si="279"/>
        <v>80.03</v>
      </c>
    </row>
    <row r="4822" spans="1:10" ht="26.25" customHeight="1">
      <c r="A4822" s="208" t="s">
        <v>245</v>
      </c>
      <c r="B4822" s="241"/>
      <c r="C4822" s="1181">
        <v>93358</v>
      </c>
      <c r="D4822" s="161" t="str">
        <f>IF(B4822="SEPLAG",VLOOKUP(COMPOSIÇÕES!C4822,'MAPA COMPARATIVO'!A:B,2,FALSE),VLOOKUP(C4822,'NAO DESO'!A:B,2,0))</f>
        <v>ESCAVAÇÃO MANUAL DE VALA COM PROFUNDIDADE MENOR OU IGUAL A 1,30 M. AF_02/2021</v>
      </c>
      <c r="E4822" s="241" t="str">
        <f>VLOOKUP($C4822,'NAO DESO'!$A:$D,3,)</f>
        <v>M3</v>
      </c>
      <c r="F4822" s="242">
        <v>2.11</v>
      </c>
      <c r="G4822" s="242" t="str">
        <f>IF(B4822="SEPLAG",VLOOKUP(CONCATENATE("MEDIANA - ",C4822),COTAÇÃO,5,FALSE),VLOOKUP($C4822,'NAO DESO'!$A:$D,4,))</f>
        <v>66,57</v>
      </c>
      <c r="H4822" s="242">
        <f t="shared" si="278"/>
        <v>140.46</v>
      </c>
      <c r="I4822" s="54" t="str">
        <f>IF(B4822="SEPLAG",VLOOKUP(CONCATENATE("MEDIANA - ",C4822),COTAÇÃO,5,FALSE),VLOOKUP($C4822,DESON!$A:$D,4,))</f>
        <v>59,97</v>
      </c>
      <c r="J4822" s="209">
        <f t="shared" si="279"/>
        <v>126.53</v>
      </c>
    </row>
    <row r="4823" spans="1:10" ht="26.25" customHeight="1">
      <c r="A4823" s="208" t="s">
        <v>245</v>
      </c>
      <c r="B4823" s="241"/>
      <c r="C4823" s="1181">
        <v>101617</v>
      </c>
      <c r="D4823" s="161" t="str">
        <f>IF(B4823="SEPLAG",VLOOKUP(COMPOSIÇÕES!C4823,'MAPA COMPARATIVO'!A:B,2,FALSE),VLOOKUP(C4823,'NAO DESO'!A:B,2,0))</f>
        <v>PREPARO DE FUNDO DE VALA COM LARGURA MAIOR OU IGUAL A 1,5 M E MENOR QUE 2,5 M (ACERTO DO SOLO NATURAL). AF_08/2020</v>
      </c>
      <c r="E4823" s="241" t="str">
        <f>VLOOKUP($C4823,'NAO DESO'!$A:$D,3,)</f>
        <v>M2</v>
      </c>
      <c r="F4823" s="242">
        <v>1</v>
      </c>
      <c r="G4823" s="242" t="str">
        <f>IF(B4823="SEPLAG",VLOOKUP(CONCATENATE("MEDIANA - ",C4823),COTAÇÃO,5,FALSE),VLOOKUP($C4823,'NAO DESO'!$A:$D,4,))</f>
        <v>2,38</v>
      </c>
      <c r="H4823" s="242">
        <f t="shared" si="278"/>
        <v>2.38</v>
      </c>
      <c r="I4823" s="54" t="str">
        <f>IF(B4823="SEPLAG",VLOOKUP(CONCATENATE("MEDIANA - ",C4823),COTAÇÃO,5,FALSE),VLOOKUP($C4823,DESON!$A:$D,4,))</f>
        <v>2,15</v>
      </c>
      <c r="J4823" s="209">
        <f t="shared" si="279"/>
        <v>2.15</v>
      </c>
    </row>
    <row r="4824" spans="1:10" ht="15" customHeight="1">
      <c r="A4824" s="208" t="s">
        <v>245</v>
      </c>
      <c r="B4824" s="241"/>
      <c r="C4824" s="1181">
        <v>96995</v>
      </c>
      <c r="D4824" s="161" t="str">
        <f>IF(B4824="SEPLAG",VLOOKUP(COMPOSIÇÕES!C4824,'MAPA COMPARATIVO'!A:B,2,FALSE),VLOOKUP(C4824,'NAO DESO'!A:B,2,0))</f>
        <v>REATERRO MANUAL APILOADO COM SOQUETE. AF_10/2017</v>
      </c>
      <c r="E4824" s="241" t="str">
        <f>VLOOKUP($C4824,'NAO DESO'!$A:$D,3,)</f>
        <v>M3</v>
      </c>
      <c r="F4824" s="242">
        <v>1.61</v>
      </c>
      <c r="G4824" s="242" t="str">
        <f>IF(B4824="SEPLAG",VLOOKUP(CONCATENATE("MEDIANA - ",C4824),COTAÇÃO,5,FALSE),VLOOKUP($C4824,'NAO DESO'!$A:$D,4,))</f>
        <v>40,36</v>
      </c>
      <c r="H4824" s="242">
        <f t="shared" si="278"/>
        <v>64.97</v>
      </c>
      <c r="I4824" s="54" t="str">
        <f>IF(B4824="SEPLAG",VLOOKUP(CONCATENATE("MEDIANA - ",C4824),COTAÇÃO,5,FALSE),VLOOKUP($C4824,DESON!$A:$D,4,))</f>
        <v>36,36</v>
      </c>
      <c r="J4824" s="209">
        <f t="shared" si="279"/>
        <v>58.53</v>
      </c>
    </row>
    <row r="4825" spans="1:10" ht="26.25" customHeight="1">
      <c r="A4825" s="208" t="s">
        <v>245</v>
      </c>
      <c r="B4825" s="241"/>
      <c r="C4825" s="1181">
        <v>98557</v>
      </c>
      <c r="D4825" s="161" t="str">
        <f>IF(B4825="SEPLAG",VLOOKUP(COMPOSIÇÕES!C4825,'MAPA COMPARATIVO'!A:B,2,FALSE),VLOOKUP(C4825,'NAO DESO'!A:B,2,0))</f>
        <v>IMPERMEABILIZAÇÃO DE SUPERFÍCIE COM EMULSÃO ASFÁLTICA, 2 DEMÃOS AF_06/2018</v>
      </c>
      <c r="E4825" s="241" t="str">
        <f>VLOOKUP($C4825,'NAO DESO'!$A:$D,3,)</f>
        <v>M2</v>
      </c>
      <c r="F4825" s="242">
        <f>F4820</f>
        <v>7.2</v>
      </c>
      <c r="G4825" s="242" t="str">
        <f>IF(B4825="SEPLAG",VLOOKUP(CONCATENATE("MEDIANA - ",C4825),COTAÇÃO,5,FALSE),VLOOKUP($C4825,'NAO DESO'!$A:$D,4,))</f>
        <v>58,82</v>
      </c>
      <c r="H4825" s="242">
        <f t="shared" si="278"/>
        <v>423.5</v>
      </c>
      <c r="I4825" s="54" t="str">
        <f>IF(B4825="SEPLAG",VLOOKUP(CONCATENATE("MEDIANA - ",C4825),COTAÇÃO,5,FALSE),VLOOKUP($C4825,DESON!$A:$D,4,))</f>
        <v>57,84</v>
      </c>
      <c r="J4825" s="209">
        <f t="shared" si="279"/>
        <v>416.44</v>
      </c>
    </row>
    <row r="4826" spans="1:10" ht="39" customHeight="1">
      <c r="A4826" s="208" t="s">
        <v>245</v>
      </c>
      <c r="B4826" s="241"/>
      <c r="C4826" s="1181">
        <v>92775</v>
      </c>
      <c r="D4826" s="161" t="str">
        <f>IF(B4826="SEPLAG",VLOOKUP(COMPOSIÇÕES!C4826,'MAPA COMPARATIVO'!A:B,2,FALSE),VLOOKUP(C4826,'NAO DESO'!A:B,2,0))</f>
        <v>ARMAÇÃO DE PILAR OU VIGA DE UMA ESTRUTURA CONVENCIONAL DE CONCRETO ARMADO EM UMA EDIFICAÇÃO TÉRREA OU SOBRADO UTILIZANDO AÇO CA-60 DE 5,0 MM - MONTAGEM. AF_12/2015</v>
      </c>
      <c r="E4826" s="241" t="str">
        <f>VLOOKUP($C4826,'NAO DESO'!$A:$D,3,)</f>
        <v>KG</v>
      </c>
      <c r="F4826" s="242">
        <v>1.66</v>
      </c>
      <c r="G4826" s="242" t="str">
        <f>IF(B4826="SEPLAG",VLOOKUP(CONCATENATE("MEDIANA - ",C4826),COTAÇÃO,5,FALSE),VLOOKUP($C4826,'NAO DESO'!$A:$D,4,))</f>
        <v>18,46</v>
      </c>
      <c r="H4826" s="242">
        <f t="shared" si="278"/>
        <v>30.64</v>
      </c>
      <c r="I4826" s="54" t="str">
        <f>IF(B4826="SEPLAG",VLOOKUP(CONCATENATE("MEDIANA - ",C4826),COTAÇÃO,5,FALSE),VLOOKUP($C4826,DESON!$A:$D,4,))</f>
        <v>17,71</v>
      </c>
      <c r="J4826" s="209">
        <f t="shared" si="279"/>
        <v>29.39</v>
      </c>
    </row>
    <row r="4827" spans="1:10" ht="39" customHeight="1">
      <c r="A4827" s="208" t="s">
        <v>245</v>
      </c>
      <c r="B4827" s="241"/>
      <c r="C4827" s="1181">
        <v>92778</v>
      </c>
      <c r="D4827" s="161" t="str">
        <f>IF(B4827="SEPLAG",VLOOKUP(COMPOSIÇÕES!C4827,'MAPA COMPARATIVO'!A:B,2,FALSE),VLOOKUP(C4827,'NAO DESO'!A:B,2,0))</f>
        <v>ARMAÇÃO DE PILAR OU VIGA DE UMA ESTRUTURA CONVENCIONAL DE CONCRETO ARMADO EM UMA EDIFICAÇÃO TÉRREA OU SOBRADO UTILIZANDO AÇO CA-50 DE 10,0 MM - MONTAGEM. AF_12/2015</v>
      </c>
      <c r="E4827" s="241" t="str">
        <f>VLOOKUP($C4827,'NAO DESO'!$A:$D,3,)</f>
        <v>KG</v>
      </c>
      <c r="F4827" s="242">
        <v>16.149999999999999</v>
      </c>
      <c r="G4827" s="242" t="str">
        <f>IF(B4827="SEPLAG",VLOOKUP(CONCATENATE("MEDIANA - ",C4827),COTAÇÃO,5,FALSE),VLOOKUP($C4827,'NAO DESO'!$A:$D,4,))</f>
        <v>14,78</v>
      </c>
      <c r="H4827" s="242">
        <f t="shared" si="278"/>
        <v>238.69</v>
      </c>
      <c r="I4827" s="54" t="str">
        <f>IF(B4827="SEPLAG",VLOOKUP(CONCATENATE("MEDIANA - ",C4827),COTAÇÃO,5,FALSE),VLOOKUP($C4827,DESON!$A:$D,4,))</f>
        <v>14,50</v>
      </c>
      <c r="J4827" s="209">
        <f t="shared" si="279"/>
        <v>234.17</v>
      </c>
    </row>
    <row r="4828" spans="1:10" ht="39" customHeight="1">
      <c r="A4828" s="208" t="s">
        <v>245</v>
      </c>
      <c r="B4828" s="241"/>
      <c r="C4828" s="1181">
        <v>92423</v>
      </c>
      <c r="D4828" s="161" t="str">
        <f>IF(B4828="SEPLAG",VLOOKUP(COMPOSIÇÕES!C4828,'MAPA COMPARATIVO'!A:B,2,FALSE),VLOOKUP(C4828,'NAO DESO'!A:B,2,0))</f>
        <v>MONTAGEM E DESMONTAGEM DE FÔRMA DE PILARES RETANGULARES E ESTRUTURAS SIMILARES, PÉ-DIREITO SIMPLES, EM CHAPA DE MADEIRA COMPENSADA RESINADA, 6 UTILIZAÇÕES. AF_09/2020</v>
      </c>
      <c r="E4828" s="241" t="str">
        <f>VLOOKUP($C4828,'NAO DESO'!$A:$D,3,)</f>
        <v>M2</v>
      </c>
      <c r="F4828" s="242">
        <v>1.08</v>
      </c>
      <c r="G4828" s="242" t="str">
        <f>IF(B4828="SEPLAG",VLOOKUP(CONCATENATE("MEDIANA - ",C4828),COTAÇÃO,5,FALSE),VLOOKUP($C4828,'NAO DESO'!$A:$D,4,))</f>
        <v>67,90</v>
      </c>
      <c r="H4828" s="242">
        <f t="shared" si="278"/>
        <v>73.33</v>
      </c>
      <c r="I4828" s="54" t="str">
        <f>IF(B4828="SEPLAG",VLOOKUP(CONCATENATE("MEDIANA - ",C4828),COTAÇÃO,5,FALSE),VLOOKUP($C4828,DESON!$A:$D,4,))</f>
        <v>65,30</v>
      </c>
      <c r="J4828" s="209">
        <f t="shared" si="279"/>
        <v>70.52</v>
      </c>
    </row>
    <row r="4829" spans="1:10" ht="15" customHeight="1">
      <c r="A4829" s="208" t="s">
        <v>245</v>
      </c>
      <c r="B4829" s="241"/>
      <c r="C4829" s="1181">
        <v>88309</v>
      </c>
      <c r="D4829" s="161" t="str">
        <f>IF(B4829="SEPLAG",VLOOKUP(COMPOSIÇÕES!C4829,'MAPA COMPARATIVO'!A:B,2,FALSE),VLOOKUP(C4829,'NAO DESO'!A:B,2,0))</f>
        <v>PEDREIRO COM ENCARGOS COMPLEMENTARES</v>
      </c>
      <c r="E4829" s="241" t="str">
        <f>VLOOKUP($C4829,'NAO DESO'!$A:$D,3,)</f>
        <v>H</v>
      </c>
      <c r="F4829" s="242">
        <v>1</v>
      </c>
      <c r="G4829" s="242" t="str">
        <f>IF(B4829="SEPLAG",VLOOKUP(CONCATENATE("MEDIANA - ",C4829),COTAÇÃO,5,FALSE),VLOOKUP($C4829,'NAO DESO'!$A:$D,4,))</f>
        <v>21,10</v>
      </c>
      <c r="H4829" s="242">
        <f t="shared" si="278"/>
        <v>21.1</v>
      </c>
      <c r="I4829" s="54" t="str">
        <f>IF(B4829="SEPLAG",VLOOKUP(CONCATENATE("MEDIANA - ",C4829),COTAÇÃO,5,FALSE),VLOOKUP($C4829,DESON!$A:$D,4,))</f>
        <v>18,86</v>
      </c>
      <c r="J4829" s="209">
        <f t="shared" si="279"/>
        <v>18.86</v>
      </c>
    </row>
    <row r="4830" spans="1:10" ht="15" customHeight="1">
      <c r="A4830" s="208" t="s">
        <v>245</v>
      </c>
      <c r="B4830" s="241"/>
      <c r="C4830" s="1181">
        <v>88316</v>
      </c>
      <c r="D4830" s="161" t="str">
        <f>IF(B4830="SEPLAG",VLOOKUP(COMPOSIÇÕES!C4830,'MAPA COMPARATIVO'!A:B,2,FALSE),VLOOKUP(C4830,'NAO DESO'!A:B,2,0))</f>
        <v>SERVENTE COM ENCARGOS COMPLEMENTARES</v>
      </c>
      <c r="E4830" s="241" t="str">
        <f>VLOOKUP($C4830,'NAO DESO'!$A:$D,3,)</f>
        <v>H</v>
      </c>
      <c r="F4830" s="242">
        <v>1</v>
      </c>
      <c r="G4830" s="242" t="str">
        <f>IF(B4830="SEPLAG",VLOOKUP(CONCATENATE("MEDIANA - ",C4830),COTAÇÃO,5,FALSE),VLOOKUP($C4830,'NAO DESO'!$A:$D,4,))</f>
        <v>16,83</v>
      </c>
      <c r="H4830" s="242">
        <f t="shared" si="278"/>
        <v>16.829999999999998</v>
      </c>
      <c r="I4830" s="54" t="str">
        <f>IF(B4830="SEPLAG",VLOOKUP(CONCATENATE("MEDIANA - ",C4830),COTAÇÃO,5,FALSE),VLOOKUP($C4830,DESON!$A:$D,4,))</f>
        <v>15,16</v>
      </c>
      <c r="J4830" s="209">
        <f t="shared" si="279"/>
        <v>15.16</v>
      </c>
    </row>
    <row r="4831" spans="1:10" ht="15" customHeight="1">
      <c r="A4831" s="210" t="str">
        <f>CONCATENATE("TOTAL DO ITEM NÃO DESON. - ",C4816)</f>
        <v>TOTAL DO ITEM NÃO DESON. - SEPLAG HIDR 43</v>
      </c>
      <c r="B4831" s="430"/>
      <c r="C4831" s="430"/>
      <c r="D4831" s="430"/>
      <c r="E4831" s="430"/>
      <c r="F4831" s="1180"/>
      <c r="G4831" s="1180"/>
      <c r="H4831" s="1182">
        <f>SUM(H4819:H4830)</f>
        <v>1496.6200000000001</v>
      </c>
      <c r="I4831" s="231"/>
      <c r="J4831" s="215"/>
    </row>
    <row r="4832" spans="1:10" ht="15.75" customHeight="1" thickBot="1">
      <c r="A4832" s="216" t="str">
        <f>CONCATENATE("TOTAL DO ITEM DESON. - ",C4816)</f>
        <v>TOTAL DO ITEM DESON. - SEPLAG HIDR 43</v>
      </c>
      <c r="B4832" s="1142"/>
      <c r="C4832" s="1142"/>
      <c r="D4832" s="1142"/>
      <c r="E4832" s="1142"/>
      <c r="F4832" s="1211"/>
      <c r="G4832" s="1211"/>
      <c r="H4832" s="1187"/>
      <c r="I4832" s="260"/>
      <c r="J4832" s="219">
        <f>SUM(J4819:J4830)</f>
        <v>1440.1000000000001</v>
      </c>
    </row>
    <row r="4833" spans="1:10" ht="15" customHeight="1" thickBot="1">
      <c r="A4833" s="421"/>
      <c r="B4833" s="1138"/>
      <c r="C4833" s="1138"/>
      <c r="D4833" s="1138"/>
      <c r="E4833" s="1154"/>
      <c r="F4833" s="1196"/>
      <c r="G4833" s="1196"/>
      <c r="H4833" s="1196"/>
      <c r="I4833" s="422"/>
      <c r="J4833" s="422"/>
    </row>
    <row r="4834" spans="1:10" ht="38.25" customHeight="1">
      <c r="A4834" s="473" t="s">
        <v>421</v>
      </c>
      <c r="B4834" s="1234"/>
      <c r="C4834" s="1176" t="s">
        <v>7517</v>
      </c>
      <c r="D4834" s="156" t="s">
        <v>27973</v>
      </c>
      <c r="E4834" s="1176" t="s">
        <v>24</v>
      </c>
      <c r="F4834" s="1177" t="s">
        <v>18</v>
      </c>
      <c r="G4834" s="1178" t="s">
        <v>7015</v>
      </c>
      <c r="H4834" s="1179"/>
      <c r="I4834" s="200" t="s">
        <v>7016</v>
      </c>
      <c r="J4834" s="201"/>
    </row>
    <row r="4835" spans="1:10" ht="15" customHeight="1">
      <c r="A4835" s="257"/>
      <c r="B4835" s="430"/>
      <c r="C4835" s="1155"/>
      <c r="D4835" s="157"/>
      <c r="E4835" s="1155"/>
      <c r="F4835" s="1180"/>
      <c r="G4835" s="1180" t="s">
        <v>19</v>
      </c>
      <c r="H4835" s="1180" t="s">
        <v>20</v>
      </c>
      <c r="I4835" s="204" t="s">
        <v>19</v>
      </c>
      <c r="J4835" s="206" t="s">
        <v>20</v>
      </c>
    </row>
    <row r="4836" spans="1:10" ht="15" customHeight="1">
      <c r="A4836" s="258"/>
      <c r="B4836" s="1155"/>
      <c r="C4836" s="1155"/>
      <c r="D4836" s="157"/>
      <c r="E4836" s="1155"/>
      <c r="F4836" s="1180"/>
      <c r="G4836" s="1180"/>
      <c r="H4836" s="1180"/>
      <c r="I4836" s="238"/>
      <c r="J4836" s="259"/>
    </row>
    <row r="4837" spans="1:10" ht="39" customHeight="1">
      <c r="A4837" s="208" t="s">
        <v>245</v>
      </c>
      <c r="B4837" s="241"/>
      <c r="C4837" s="1181">
        <v>101159</v>
      </c>
      <c r="D4837" s="161" t="str">
        <f>IF(B4837="SEPLAG",VLOOKUP(COMPOSIÇÕES!C4837,'MAPA COMPARATIVO'!A:B,2,FALSE),VLOOKUP(C4837,'NAO DESO'!A:B,2,0))</f>
        <v>ALVENARIA DE VEDAÇÃO DE BLOCOS CERÂMICOS MACIÇOS DE 5X10X20CM (ESPESSURA 10CM) E ARGAMASSA DE ASSENTAMENTO COM PREPARO EM BETONEIRA. AF_05/2020</v>
      </c>
      <c r="E4837" s="241" t="str">
        <f>VLOOKUP($C4837,'NAO DESO'!$A:$D,3,)</f>
        <v>M2</v>
      </c>
      <c r="F4837" s="242">
        <v>2.16</v>
      </c>
      <c r="G4837" s="242" t="str">
        <f>IF(B4837="SEPLAG",VLOOKUP(CONCATENATE("MEDIANA - ",C4837),COTAÇÃO,5,FALSE),VLOOKUP($C4837,'NAO DESO'!$A:$D,4,))</f>
        <v>126,63</v>
      </c>
      <c r="H4837" s="242">
        <f t="shared" ref="H4837:H4848" si="280">TRUNC(F4837*G4837,2)</f>
        <v>273.52</v>
      </c>
      <c r="I4837" s="54" t="str">
        <f>IF(B4837="SEPLAG",VLOOKUP(CONCATENATE("MEDIANA - ",C4837),COTAÇÃO,5,FALSE),VLOOKUP($C4837,DESON!$A:$D,4,))</f>
        <v>120,46</v>
      </c>
      <c r="J4837" s="209">
        <f t="shared" ref="J4837:J4848" si="281">TRUNC(F4837*I4837,2)</f>
        <v>260.19</v>
      </c>
    </row>
    <row r="4838" spans="1:10" ht="64.5" customHeight="1">
      <c r="A4838" s="208" t="s">
        <v>245</v>
      </c>
      <c r="B4838" s="241"/>
      <c r="C4838" s="1181">
        <v>87543</v>
      </c>
      <c r="D4838" s="161" t="str">
        <f>IF(B4838="SEPLAG",VLOOKUP(COMPOSIÇÕES!C4838,'MAPA COMPARATIVO'!A:B,2,FALSE),VLOOKUP(C4838,'NAO DESO'!A:B,2,0))</f>
        <v>MASSA ÚNICA, PARA RECEBIMENTO DE PINTURA OU CERÂMICA, ARGAMASSA INDUSTRIALIZADA, PREPARO MECÂNICO, APLICADO COM EQUIPAMENTO DE MISTURA E PROJEÇÃO DE 1,5 M3/H EM FACES INTERNAS DE PAREDES, ESPESSURA DE 5MM, SEM EXECUÇÃO DE TALISCAS. AF_06/2014</v>
      </c>
      <c r="E4838" s="241" t="str">
        <f>VLOOKUP($C4838,'NAO DESO'!$A:$D,3,)</f>
        <v>M2</v>
      </c>
      <c r="F4838" s="242">
        <v>7.92</v>
      </c>
      <c r="G4838" s="242" t="str">
        <f>IF(B4838="SEPLAG",VLOOKUP(CONCATENATE("MEDIANA - ",C4838),COTAÇÃO,5,FALSE),VLOOKUP($C4838,'NAO DESO'!$A:$D,4,))</f>
        <v>24,40</v>
      </c>
      <c r="H4838" s="242">
        <f t="shared" si="280"/>
        <v>193.24</v>
      </c>
      <c r="I4838" s="54" t="str">
        <f>IF(B4838="SEPLAG",VLOOKUP(CONCATENATE("MEDIANA - ",C4838),COTAÇÃO,5,FALSE),VLOOKUP($C4838,DESON!$A:$D,4,))</f>
        <v>23,82</v>
      </c>
      <c r="J4838" s="209">
        <f t="shared" si="281"/>
        <v>188.65</v>
      </c>
    </row>
    <row r="4839" spans="1:10" ht="39" customHeight="1">
      <c r="A4839" s="208" t="s">
        <v>245</v>
      </c>
      <c r="B4839" s="241"/>
      <c r="C4839" s="1181">
        <v>94970</v>
      </c>
      <c r="D4839" s="161" t="str">
        <f>IF(B4839="SEPLAG",VLOOKUP(COMPOSIÇÕES!C4839,'MAPA COMPARATIVO'!A:B,2,FALSE),VLOOKUP(C4839,'NAO DESO'!A:B,2,0))</f>
        <v>CONCRETO FCK = 20MPA, TRAÇO 1:2,7:3 (EM MASSA SECA DE CIMENTO/ AREIA MÉDIA/ BRITA 1) - PREPARO MECÂNICO COM BETONEIRA 600 L. AF_05/2021</v>
      </c>
      <c r="E4839" s="241" t="str">
        <f>VLOOKUP($C4839,'NAO DESO'!$A:$D,3,)</f>
        <v>M3</v>
      </c>
      <c r="F4839" s="242">
        <v>0.2</v>
      </c>
      <c r="G4839" s="242" t="str">
        <f>IF(B4839="SEPLAG",VLOOKUP(CONCATENATE("MEDIANA - ",C4839),COTAÇÃO,5,FALSE),VLOOKUP($C4839,'NAO DESO'!$A:$D,4,))</f>
        <v>405,57</v>
      </c>
      <c r="H4839" s="242">
        <f t="shared" si="280"/>
        <v>81.11</v>
      </c>
      <c r="I4839" s="54" t="str">
        <f>IF(B4839="SEPLAG",VLOOKUP(CONCATENATE("MEDIANA - ",C4839),COTAÇÃO,5,FALSE),VLOOKUP($C4839,DESON!$A:$D,4,))</f>
        <v>400,17</v>
      </c>
      <c r="J4839" s="209">
        <f t="shared" si="281"/>
        <v>80.03</v>
      </c>
    </row>
    <row r="4840" spans="1:10" ht="26.25" customHeight="1">
      <c r="A4840" s="208" t="s">
        <v>245</v>
      </c>
      <c r="B4840" s="241"/>
      <c r="C4840" s="1181">
        <v>93358</v>
      </c>
      <c r="D4840" s="161" t="str">
        <f>IF(B4840="SEPLAG",VLOOKUP(COMPOSIÇÕES!C4840,'MAPA COMPARATIVO'!A:B,2,FALSE),VLOOKUP(C4840,'NAO DESO'!A:B,2,0))</f>
        <v>ESCAVAÇÃO MANUAL DE VALA COM PROFUNDIDADE MENOR OU IGUAL A 1,30 M. AF_02/2021</v>
      </c>
      <c r="E4840" s="241" t="str">
        <f>VLOOKUP($C4840,'NAO DESO'!$A:$D,3,)</f>
        <v>M3</v>
      </c>
      <c r="F4840" s="242">
        <v>2.4300000000000002</v>
      </c>
      <c r="G4840" s="242" t="str">
        <f>IF(B4840="SEPLAG",VLOOKUP(CONCATENATE("MEDIANA - ",C4840),COTAÇÃO,5,FALSE),VLOOKUP($C4840,'NAO DESO'!$A:$D,4,))</f>
        <v>66,57</v>
      </c>
      <c r="H4840" s="242">
        <f t="shared" si="280"/>
        <v>161.76</v>
      </c>
      <c r="I4840" s="54" t="str">
        <f>IF(B4840="SEPLAG",VLOOKUP(CONCATENATE("MEDIANA - ",C4840),COTAÇÃO,5,FALSE),VLOOKUP($C4840,DESON!$A:$D,4,))</f>
        <v>59,97</v>
      </c>
      <c r="J4840" s="209">
        <f t="shared" si="281"/>
        <v>145.72</v>
      </c>
    </row>
    <row r="4841" spans="1:10" ht="26.25" customHeight="1">
      <c r="A4841" s="208" t="s">
        <v>245</v>
      </c>
      <c r="B4841" s="241"/>
      <c r="C4841" s="1181">
        <v>101617</v>
      </c>
      <c r="D4841" s="161" t="str">
        <f>IF(B4841="SEPLAG",VLOOKUP(COMPOSIÇÕES!C4841,'MAPA COMPARATIVO'!A:B,2,FALSE),VLOOKUP(C4841,'NAO DESO'!A:B,2,0))</f>
        <v>PREPARO DE FUNDO DE VALA COM LARGURA MAIOR OU IGUAL A 1,5 M E MENOR QUE 2,5 M (ACERTO DO SOLO NATURAL). AF_08/2020</v>
      </c>
      <c r="E4841" s="241" t="str">
        <f>VLOOKUP($C4841,'NAO DESO'!$A:$D,3,)</f>
        <v>M2</v>
      </c>
      <c r="F4841" s="242">
        <v>1</v>
      </c>
      <c r="G4841" s="242" t="str">
        <f>IF(B4841="SEPLAG",VLOOKUP(CONCATENATE("MEDIANA - ",C4841),COTAÇÃO,5,FALSE),VLOOKUP($C4841,'NAO DESO'!$A:$D,4,))</f>
        <v>2,38</v>
      </c>
      <c r="H4841" s="242">
        <f t="shared" si="280"/>
        <v>2.38</v>
      </c>
      <c r="I4841" s="54" t="str">
        <f>IF(B4841="SEPLAG",VLOOKUP(CONCATENATE("MEDIANA - ",C4841),COTAÇÃO,5,FALSE),VLOOKUP($C4841,DESON!$A:$D,4,))</f>
        <v>2,15</v>
      </c>
      <c r="J4841" s="209">
        <f t="shared" si="281"/>
        <v>2.15</v>
      </c>
    </row>
    <row r="4842" spans="1:10" ht="15" customHeight="1">
      <c r="A4842" s="208" t="s">
        <v>245</v>
      </c>
      <c r="B4842" s="241"/>
      <c r="C4842" s="1181">
        <v>96995</v>
      </c>
      <c r="D4842" s="161" t="str">
        <f>IF(B4842="SEPLAG",VLOOKUP(COMPOSIÇÕES!C4842,'MAPA COMPARATIVO'!A:B,2,FALSE),VLOOKUP(C4842,'NAO DESO'!A:B,2,0))</f>
        <v>REATERRO MANUAL APILOADO COM SOQUETE. AF_10/2017</v>
      </c>
      <c r="E4842" s="241" t="str">
        <f>VLOOKUP($C4842,'NAO DESO'!$A:$D,3,)</f>
        <v>M3</v>
      </c>
      <c r="F4842" s="242">
        <v>1.83</v>
      </c>
      <c r="G4842" s="242" t="str">
        <f>IF(B4842="SEPLAG",VLOOKUP(CONCATENATE("MEDIANA - ",C4842),COTAÇÃO,5,FALSE),VLOOKUP($C4842,'NAO DESO'!$A:$D,4,))</f>
        <v>40,36</v>
      </c>
      <c r="H4842" s="242">
        <f t="shared" si="280"/>
        <v>73.849999999999994</v>
      </c>
      <c r="I4842" s="54" t="str">
        <f>IF(B4842="SEPLAG",VLOOKUP(CONCATENATE("MEDIANA - ",C4842),COTAÇÃO,5,FALSE),VLOOKUP($C4842,DESON!$A:$D,4,))</f>
        <v>36,36</v>
      </c>
      <c r="J4842" s="209">
        <f t="shared" si="281"/>
        <v>66.53</v>
      </c>
    </row>
    <row r="4843" spans="1:10" ht="26.25" customHeight="1">
      <c r="A4843" s="208" t="s">
        <v>245</v>
      </c>
      <c r="B4843" s="241"/>
      <c r="C4843" s="1181">
        <v>98557</v>
      </c>
      <c r="D4843" s="161" t="str">
        <f>IF(B4843="SEPLAG",VLOOKUP(COMPOSIÇÕES!C4843,'MAPA COMPARATIVO'!A:B,2,FALSE),VLOOKUP(C4843,'NAO DESO'!A:B,2,0))</f>
        <v>IMPERMEABILIZAÇÃO DE SUPERFÍCIE COM EMULSÃO ASFÁLTICA, 2 DEMÃOS AF_06/2018</v>
      </c>
      <c r="E4843" s="241" t="str">
        <f>VLOOKUP($C4843,'NAO DESO'!$A:$D,3,)</f>
        <v>M2</v>
      </c>
      <c r="F4843" s="242">
        <f>F4838</f>
        <v>7.92</v>
      </c>
      <c r="G4843" s="242" t="str">
        <f>IF(B4843="SEPLAG",VLOOKUP(CONCATENATE("MEDIANA - ",C4843),COTAÇÃO,5,FALSE),VLOOKUP($C4843,'NAO DESO'!$A:$D,4,))</f>
        <v>58,82</v>
      </c>
      <c r="H4843" s="242">
        <f t="shared" si="280"/>
        <v>465.85</v>
      </c>
      <c r="I4843" s="54" t="str">
        <f>IF(B4843="SEPLAG",VLOOKUP(CONCATENATE("MEDIANA - ",C4843),COTAÇÃO,5,FALSE),VLOOKUP($C4843,DESON!$A:$D,4,))</f>
        <v>57,84</v>
      </c>
      <c r="J4843" s="209">
        <f t="shared" si="281"/>
        <v>458.09</v>
      </c>
    </row>
    <row r="4844" spans="1:10" ht="39" customHeight="1">
      <c r="A4844" s="208" t="s">
        <v>245</v>
      </c>
      <c r="B4844" s="241"/>
      <c r="C4844" s="1181">
        <v>92775</v>
      </c>
      <c r="D4844" s="161" t="str">
        <f>IF(B4844="SEPLAG",VLOOKUP(COMPOSIÇÕES!C4844,'MAPA COMPARATIVO'!A:B,2,FALSE),VLOOKUP(C4844,'NAO DESO'!A:B,2,0))</f>
        <v>ARMAÇÃO DE PILAR OU VIGA DE UMA ESTRUTURA CONVENCIONAL DE CONCRETO ARMADO EM UMA EDIFICAÇÃO TÉRREA OU SOBRADO UTILIZANDO AÇO CA-60 DE 5,0 MM - MONTAGEM. AF_12/2015</v>
      </c>
      <c r="E4844" s="241" t="str">
        <f>VLOOKUP($C4844,'NAO DESO'!$A:$D,3,)</f>
        <v>KG</v>
      </c>
      <c r="F4844" s="242">
        <v>1.66</v>
      </c>
      <c r="G4844" s="242" t="str">
        <f>IF(B4844="SEPLAG",VLOOKUP(CONCATENATE("MEDIANA - ",C4844),COTAÇÃO,5,FALSE),VLOOKUP($C4844,'NAO DESO'!$A:$D,4,))</f>
        <v>18,46</v>
      </c>
      <c r="H4844" s="242">
        <f t="shared" si="280"/>
        <v>30.64</v>
      </c>
      <c r="I4844" s="54" t="str">
        <f>IF(B4844="SEPLAG",VLOOKUP(CONCATENATE("MEDIANA - ",C4844),COTAÇÃO,5,FALSE),VLOOKUP($C4844,DESON!$A:$D,4,))</f>
        <v>17,71</v>
      </c>
      <c r="J4844" s="209">
        <f t="shared" si="281"/>
        <v>29.39</v>
      </c>
    </row>
    <row r="4845" spans="1:10" ht="39" customHeight="1">
      <c r="A4845" s="208" t="s">
        <v>245</v>
      </c>
      <c r="B4845" s="241"/>
      <c r="C4845" s="1181">
        <v>92778</v>
      </c>
      <c r="D4845" s="161" t="str">
        <f>IF(B4845="SEPLAG",VLOOKUP(COMPOSIÇÕES!C4845,'MAPA COMPARATIVO'!A:B,2,FALSE),VLOOKUP(C4845,'NAO DESO'!A:B,2,0))</f>
        <v>ARMAÇÃO DE PILAR OU VIGA DE UMA ESTRUTURA CONVENCIONAL DE CONCRETO ARMADO EM UMA EDIFICAÇÃO TÉRREA OU SOBRADO UTILIZANDO AÇO CA-50 DE 10,0 MM - MONTAGEM. AF_12/2015</v>
      </c>
      <c r="E4845" s="241" t="str">
        <f>VLOOKUP($C4845,'NAO DESO'!$A:$D,3,)</f>
        <v>KG</v>
      </c>
      <c r="F4845" s="242">
        <v>16.149999999999999</v>
      </c>
      <c r="G4845" s="242" t="str">
        <f>IF(B4845="SEPLAG",VLOOKUP(CONCATENATE("MEDIANA - ",C4845),COTAÇÃO,5,FALSE),VLOOKUP($C4845,'NAO DESO'!$A:$D,4,))</f>
        <v>14,78</v>
      </c>
      <c r="H4845" s="242">
        <f t="shared" si="280"/>
        <v>238.69</v>
      </c>
      <c r="I4845" s="54" t="str">
        <f>IF(B4845="SEPLAG",VLOOKUP(CONCATENATE("MEDIANA - ",C4845),COTAÇÃO,5,FALSE),VLOOKUP($C4845,DESON!$A:$D,4,))</f>
        <v>14,50</v>
      </c>
      <c r="J4845" s="209">
        <f t="shared" si="281"/>
        <v>234.17</v>
      </c>
    </row>
    <row r="4846" spans="1:10" ht="39" customHeight="1">
      <c r="A4846" s="208" t="s">
        <v>245</v>
      </c>
      <c r="B4846" s="241"/>
      <c r="C4846" s="1181">
        <v>92423</v>
      </c>
      <c r="D4846" s="161" t="str">
        <f>IF(B4846="SEPLAG",VLOOKUP(COMPOSIÇÕES!C4846,'MAPA COMPARATIVO'!A:B,2,FALSE),VLOOKUP(C4846,'NAO DESO'!A:B,2,0))</f>
        <v>MONTAGEM E DESMONTAGEM DE FÔRMA DE PILARES RETANGULARES E ESTRUTURAS SIMILARES, PÉ-DIREITO SIMPLES, EM CHAPA DE MADEIRA COMPENSADA RESINADA, 6 UTILIZAÇÕES. AF_09/2020</v>
      </c>
      <c r="E4846" s="241" t="str">
        <f>VLOOKUP($C4846,'NAO DESO'!$A:$D,3,)</f>
        <v>M2</v>
      </c>
      <c r="F4846" s="242">
        <v>1.08</v>
      </c>
      <c r="G4846" s="242" t="str">
        <f>IF(B4846="SEPLAG",VLOOKUP(CONCATENATE("MEDIANA - ",C4846),COTAÇÃO,5,FALSE),VLOOKUP($C4846,'NAO DESO'!$A:$D,4,))</f>
        <v>67,90</v>
      </c>
      <c r="H4846" s="242">
        <f t="shared" si="280"/>
        <v>73.33</v>
      </c>
      <c r="I4846" s="54" t="str">
        <f>IF(B4846="SEPLAG",VLOOKUP(CONCATENATE("MEDIANA - ",C4846),COTAÇÃO,5,FALSE),VLOOKUP($C4846,DESON!$A:$D,4,))</f>
        <v>65,30</v>
      </c>
      <c r="J4846" s="209">
        <f t="shared" si="281"/>
        <v>70.52</v>
      </c>
    </row>
    <row r="4847" spans="1:10" ht="15" customHeight="1">
      <c r="A4847" s="208" t="s">
        <v>245</v>
      </c>
      <c r="B4847" s="241"/>
      <c r="C4847" s="1181">
        <v>88309</v>
      </c>
      <c r="D4847" s="161" t="str">
        <f>IF(B4847="SEPLAG",VLOOKUP(COMPOSIÇÕES!C4847,'MAPA COMPARATIVO'!A:B,2,FALSE),VLOOKUP(C4847,'NAO DESO'!A:B,2,0))</f>
        <v>PEDREIRO COM ENCARGOS COMPLEMENTARES</v>
      </c>
      <c r="E4847" s="241" t="str">
        <f>VLOOKUP($C4847,'NAO DESO'!$A:$D,3,)</f>
        <v>H</v>
      </c>
      <c r="F4847" s="242">
        <v>1</v>
      </c>
      <c r="G4847" s="242" t="str">
        <f>IF(B4847="SEPLAG",VLOOKUP(CONCATENATE("MEDIANA - ",C4847),COTAÇÃO,5,FALSE),VLOOKUP($C4847,'NAO DESO'!$A:$D,4,))</f>
        <v>21,10</v>
      </c>
      <c r="H4847" s="242">
        <f t="shared" si="280"/>
        <v>21.1</v>
      </c>
      <c r="I4847" s="54" t="str">
        <f>IF(B4847="SEPLAG",VLOOKUP(CONCATENATE("MEDIANA - ",C4847),COTAÇÃO,5,FALSE),VLOOKUP($C4847,DESON!$A:$D,4,))</f>
        <v>18,86</v>
      </c>
      <c r="J4847" s="209">
        <f t="shared" si="281"/>
        <v>18.86</v>
      </c>
    </row>
    <row r="4848" spans="1:10" ht="15" customHeight="1">
      <c r="A4848" s="208" t="s">
        <v>245</v>
      </c>
      <c r="B4848" s="241"/>
      <c r="C4848" s="1181">
        <v>88316</v>
      </c>
      <c r="D4848" s="161" t="str">
        <f>IF(B4848="SEPLAG",VLOOKUP(COMPOSIÇÕES!C4848,'MAPA COMPARATIVO'!A:B,2,FALSE),VLOOKUP(C4848,'NAO DESO'!A:B,2,0))</f>
        <v>SERVENTE COM ENCARGOS COMPLEMENTARES</v>
      </c>
      <c r="E4848" s="241" t="str">
        <f>VLOOKUP($C4848,'NAO DESO'!$A:$D,3,)</f>
        <v>H</v>
      </c>
      <c r="F4848" s="242">
        <v>1</v>
      </c>
      <c r="G4848" s="242" t="str">
        <f>IF(B4848="SEPLAG",VLOOKUP(CONCATENATE("MEDIANA - ",C4848),COTAÇÃO,5,FALSE),VLOOKUP($C4848,'NAO DESO'!$A:$D,4,))</f>
        <v>16,83</v>
      </c>
      <c r="H4848" s="242">
        <f t="shared" si="280"/>
        <v>16.829999999999998</v>
      </c>
      <c r="I4848" s="54" t="str">
        <f>IF(B4848="SEPLAG",VLOOKUP(CONCATENATE("MEDIANA - ",C4848),COTAÇÃO,5,FALSE),VLOOKUP($C4848,DESON!$A:$D,4,))</f>
        <v>15,16</v>
      </c>
      <c r="J4848" s="209">
        <f t="shared" si="281"/>
        <v>15.16</v>
      </c>
    </row>
    <row r="4849" spans="1:10" ht="15" customHeight="1">
      <c r="A4849" s="210" t="str">
        <f>CONCATENATE("TOTAL DO ITEM NÃO DESON. - ",C4834)</f>
        <v>TOTAL DO ITEM NÃO DESON. - SEPLAG HIDR 44</v>
      </c>
      <c r="B4849" s="430"/>
      <c r="C4849" s="430"/>
      <c r="D4849" s="430"/>
      <c r="E4849" s="430"/>
      <c r="F4849" s="1180"/>
      <c r="G4849" s="1180"/>
      <c r="H4849" s="1182">
        <f>SUM(H4837:H4848)</f>
        <v>1632.3</v>
      </c>
      <c r="I4849" s="231"/>
      <c r="J4849" s="215"/>
    </row>
    <row r="4850" spans="1:10" ht="15.75" customHeight="1" thickBot="1">
      <c r="A4850" s="216" t="str">
        <f>CONCATENATE("TOTAL DO ITEM DESON. - ",C4834)</f>
        <v>TOTAL DO ITEM DESON. - SEPLAG HIDR 44</v>
      </c>
      <c r="B4850" s="1142"/>
      <c r="C4850" s="1142"/>
      <c r="D4850" s="1142"/>
      <c r="E4850" s="1142"/>
      <c r="F4850" s="1211"/>
      <c r="G4850" s="1211"/>
      <c r="H4850" s="1187"/>
      <c r="I4850" s="260"/>
      <c r="J4850" s="219">
        <f>SUM(J4837:J4848)</f>
        <v>1569.46</v>
      </c>
    </row>
    <row r="4851" spans="1:10" ht="15" customHeight="1" thickBot="1">
      <c r="A4851" s="421"/>
      <c r="B4851" s="1138"/>
      <c r="C4851" s="1138"/>
      <c r="D4851" s="1138"/>
      <c r="E4851" s="1154"/>
      <c r="F4851" s="1196"/>
      <c r="G4851" s="1196"/>
      <c r="H4851" s="1196"/>
      <c r="I4851" s="422"/>
      <c r="J4851" s="422"/>
    </row>
    <row r="4852" spans="1:10" ht="38.25" customHeight="1">
      <c r="A4852" s="473" t="s">
        <v>421</v>
      </c>
      <c r="B4852" s="1234"/>
      <c r="C4852" s="1176" t="s">
        <v>7560</v>
      </c>
      <c r="D4852" s="156" t="s">
        <v>27974</v>
      </c>
      <c r="E4852" s="1176" t="s">
        <v>24</v>
      </c>
      <c r="F4852" s="1177" t="s">
        <v>18</v>
      </c>
      <c r="G4852" s="1178" t="s">
        <v>7015</v>
      </c>
      <c r="H4852" s="1179"/>
      <c r="I4852" s="200" t="s">
        <v>7016</v>
      </c>
      <c r="J4852" s="201"/>
    </row>
    <row r="4853" spans="1:10" ht="15" customHeight="1">
      <c r="A4853" s="257"/>
      <c r="B4853" s="430"/>
      <c r="C4853" s="1155"/>
      <c r="D4853" s="157"/>
      <c r="E4853" s="1155"/>
      <c r="F4853" s="1180"/>
      <c r="G4853" s="1180" t="s">
        <v>19</v>
      </c>
      <c r="H4853" s="1180" t="s">
        <v>20</v>
      </c>
      <c r="I4853" s="204" t="s">
        <v>19</v>
      </c>
      <c r="J4853" s="206" t="s">
        <v>20</v>
      </c>
    </row>
    <row r="4854" spans="1:10" ht="15" customHeight="1">
      <c r="A4854" s="258"/>
      <c r="B4854" s="1155"/>
      <c r="C4854" s="1155"/>
      <c r="D4854" s="157"/>
      <c r="E4854" s="1155"/>
      <c r="F4854" s="1180"/>
      <c r="G4854" s="1180"/>
      <c r="H4854" s="1180"/>
      <c r="I4854" s="238"/>
      <c r="J4854" s="259"/>
    </row>
    <row r="4855" spans="1:10" ht="39" customHeight="1">
      <c r="A4855" s="208" t="s">
        <v>245</v>
      </c>
      <c r="B4855" s="241"/>
      <c r="C4855" s="1181">
        <v>101159</v>
      </c>
      <c r="D4855" s="161" t="str">
        <f>IF(B4855="SEPLAG",VLOOKUP(COMPOSIÇÕES!C4855,'MAPA COMPARATIVO'!A:B,2,FALSE),VLOOKUP(C4855,'NAO DESO'!A:B,2,0))</f>
        <v>ALVENARIA DE VEDAÇÃO DE BLOCOS CERÂMICOS MACIÇOS DE 5X10X20CM (ESPESSURA 10CM) E ARGAMASSA DE ASSENTAMENTO COM PREPARO EM BETONEIRA. AF_05/2020</v>
      </c>
      <c r="E4855" s="241" t="str">
        <f>VLOOKUP($C4855,'NAO DESO'!$A:$D,3,)</f>
        <v>M2</v>
      </c>
      <c r="F4855" s="242">
        <v>2.88</v>
      </c>
      <c r="G4855" s="242" t="str">
        <f>IF(B4855="SEPLAG",VLOOKUP(CONCATENATE("MEDIANA - ",C4855),COTAÇÃO,5,FALSE),VLOOKUP($C4855,'NAO DESO'!$A:$D,4,))</f>
        <v>126,63</v>
      </c>
      <c r="H4855" s="242">
        <f t="shared" ref="H4855:H4866" si="282">TRUNC(F4855*G4855,2)</f>
        <v>364.69</v>
      </c>
      <c r="I4855" s="54" t="str">
        <f>IF(B4855="SEPLAG",VLOOKUP(CONCATENATE("MEDIANA - ",C4855),COTAÇÃO,5,FALSE),VLOOKUP($C4855,DESON!$A:$D,4,))</f>
        <v>120,46</v>
      </c>
      <c r="J4855" s="209">
        <f t="shared" ref="J4855:J4866" si="283">TRUNC(F4855*I4855,2)</f>
        <v>346.92</v>
      </c>
    </row>
    <row r="4856" spans="1:10" ht="64.5" customHeight="1">
      <c r="A4856" s="208" t="s">
        <v>245</v>
      </c>
      <c r="B4856" s="241"/>
      <c r="C4856" s="1181">
        <v>87543</v>
      </c>
      <c r="D4856" s="161" t="str">
        <f>IF(B4856="SEPLAG",VLOOKUP(COMPOSIÇÕES!C4856,'MAPA COMPARATIVO'!A:B,2,FALSE),VLOOKUP(C4856,'NAO DESO'!A:B,2,0))</f>
        <v>MASSA ÚNICA, PARA RECEBIMENTO DE PINTURA OU CERÂMICA, ARGAMASSA INDUSTRIALIZADA, PREPARO MECÂNICO, APLICADO COM EQUIPAMENTO DE MISTURA E PROJEÇÃO DE 1,5 M3/H EM FACES INTERNAS DE PAREDES, ESPESSURA DE 5MM, SEM EXECUÇÃO DE TALISCAS. AF_06/2014</v>
      </c>
      <c r="E4856" s="241" t="str">
        <f>VLOOKUP($C4856,'NAO DESO'!$A:$D,3,)</f>
        <v>M2</v>
      </c>
      <c r="F4856" s="242">
        <v>9.36</v>
      </c>
      <c r="G4856" s="242" t="str">
        <f>IF(B4856="SEPLAG",VLOOKUP(CONCATENATE("MEDIANA - ",C4856),COTAÇÃO,5,FALSE),VLOOKUP($C4856,'NAO DESO'!$A:$D,4,))</f>
        <v>24,40</v>
      </c>
      <c r="H4856" s="242">
        <f t="shared" si="282"/>
        <v>228.38</v>
      </c>
      <c r="I4856" s="54" t="str">
        <f>IF(B4856="SEPLAG",VLOOKUP(CONCATENATE("MEDIANA - ",C4856),COTAÇÃO,5,FALSE),VLOOKUP($C4856,DESON!$A:$D,4,))</f>
        <v>23,82</v>
      </c>
      <c r="J4856" s="209">
        <f t="shared" si="283"/>
        <v>222.95</v>
      </c>
    </row>
    <row r="4857" spans="1:10" ht="39" customHeight="1">
      <c r="A4857" s="208" t="s">
        <v>245</v>
      </c>
      <c r="B4857" s="241"/>
      <c r="C4857" s="1181">
        <v>94970</v>
      </c>
      <c r="D4857" s="161" t="str">
        <f>IF(B4857="SEPLAG",VLOOKUP(COMPOSIÇÕES!C4857,'MAPA COMPARATIVO'!A:B,2,FALSE),VLOOKUP(C4857,'NAO DESO'!A:B,2,0))</f>
        <v>CONCRETO FCK = 20MPA, TRAÇO 1:2,7:3 (EM MASSA SECA DE CIMENTO/ AREIA MÉDIA/ BRITA 1) - PREPARO MECÂNICO COM BETONEIRA 600 L. AF_05/2021</v>
      </c>
      <c r="E4857" s="241" t="str">
        <f>VLOOKUP($C4857,'NAO DESO'!$A:$D,3,)</f>
        <v>M3</v>
      </c>
      <c r="F4857" s="242">
        <v>0.2</v>
      </c>
      <c r="G4857" s="242" t="str">
        <f>IF(B4857="SEPLAG",VLOOKUP(CONCATENATE("MEDIANA - ",C4857),COTAÇÃO,5,FALSE),VLOOKUP($C4857,'NAO DESO'!$A:$D,4,))</f>
        <v>405,57</v>
      </c>
      <c r="H4857" s="242">
        <f t="shared" si="282"/>
        <v>81.11</v>
      </c>
      <c r="I4857" s="54" t="str">
        <f>IF(B4857="SEPLAG",VLOOKUP(CONCATENATE("MEDIANA - ",C4857),COTAÇÃO,5,FALSE),VLOOKUP($C4857,DESON!$A:$D,4,))</f>
        <v>400,17</v>
      </c>
      <c r="J4857" s="209">
        <f t="shared" si="283"/>
        <v>80.03</v>
      </c>
    </row>
    <row r="4858" spans="1:10" ht="26.25" customHeight="1">
      <c r="A4858" s="208" t="s">
        <v>245</v>
      </c>
      <c r="B4858" s="241"/>
      <c r="C4858" s="1181">
        <v>93358</v>
      </c>
      <c r="D4858" s="161" t="str">
        <f>IF(B4858="SEPLAG",VLOOKUP(COMPOSIÇÕES!C4858,'MAPA COMPARATIVO'!A:B,2,FALSE),VLOOKUP(C4858,'NAO DESO'!A:B,2,0))</f>
        <v>ESCAVAÇÃO MANUAL DE VALA COM PROFUNDIDADE MENOR OU IGUAL A 1,30 M. AF_02/2021</v>
      </c>
      <c r="E4858" s="241" t="str">
        <f>VLOOKUP($C4858,'NAO DESO'!$A:$D,3,)</f>
        <v>M3</v>
      </c>
      <c r="F4858" s="242">
        <v>3.08</v>
      </c>
      <c r="G4858" s="242" t="str">
        <f>IF(B4858="SEPLAG",VLOOKUP(CONCATENATE("MEDIANA - ",C4858),COTAÇÃO,5,FALSE),VLOOKUP($C4858,'NAO DESO'!$A:$D,4,))</f>
        <v>66,57</v>
      </c>
      <c r="H4858" s="242">
        <f t="shared" si="282"/>
        <v>205.03</v>
      </c>
      <c r="I4858" s="54" t="str">
        <f>IF(B4858="SEPLAG",VLOOKUP(CONCATENATE("MEDIANA - ",C4858),COTAÇÃO,5,FALSE),VLOOKUP($C4858,DESON!$A:$D,4,))</f>
        <v>59,97</v>
      </c>
      <c r="J4858" s="209">
        <f t="shared" si="283"/>
        <v>184.7</v>
      </c>
    </row>
    <row r="4859" spans="1:10" ht="26.25" customHeight="1">
      <c r="A4859" s="208" t="s">
        <v>245</v>
      </c>
      <c r="B4859" s="241"/>
      <c r="C4859" s="1181">
        <v>101617</v>
      </c>
      <c r="D4859" s="161" t="str">
        <f>IF(B4859="SEPLAG",VLOOKUP(COMPOSIÇÕES!C4859,'MAPA COMPARATIVO'!A:B,2,FALSE),VLOOKUP(C4859,'NAO DESO'!A:B,2,0))</f>
        <v>PREPARO DE FUNDO DE VALA COM LARGURA MAIOR OU IGUAL A 1,5 M E MENOR QUE 2,5 M (ACERTO DO SOLO NATURAL). AF_08/2020</v>
      </c>
      <c r="E4859" s="241" t="str">
        <f>VLOOKUP($C4859,'NAO DESO'!$A:$D,3,)</f>
        <v>M2</v>
      </c>
      <c r="F4859" s="242">
        <v>1</v>
      </c>
      <c r="G4859" s="242" t="str">
        <f>IF(B4859="SEPLAG",VLOOKUP(CONCATENATE("MEDIANA - ",C4859),COTAÇÃO,5,FALSE),VLOOKUP($C4859,'NAO DESO'!$A:$D,4,))</f>
        <v>2,38</v>
      </c>
      <c r="H4859" s="242">
        <f t="shared" si="282"/>
        <v>2.38</v>
      </c>
      <c r="I4859" s="54" t="str">
        <f>IF(B4859="SEPLAG",VLOOKUP(CONCATENATE("MEDIANA - ",C4859),COTAÇÃO,5,FALSE),VLOOKUP($C4859,DESON!$A:$D,4,))</f>
        <v>2,15</v>
      </c>
      <c r="J4859" s="209">
        <f t="shared" si="283"/>
        <v>2.15</v>
      </c>
    </row>
    <row r="4860" spans="1:10" ht="15" customHeight="1">
      <c r="A4860" s="208" t="s">
        <v>245</v>
      </c>
      <c r="B4860" s="241"/>
      <c r="C4860" s="1181">
        <v>96995</v>
      </c>
      <c r="D4860" s="161" t="str">
        <f>IF(B4860="SEPLAG",VLOOKUP(COMPOSIÇÕES!C4860,'MAPA COMPARATIVO'!A:B,2,FALSE),VLOOKUP(C4860,'NAO DESO'!A:B,2,0))</f>
        <v>REATERRO MANUAL APILOADO COM SOQUETE. AF_10/2017</v>
      </c>
      <c r="E4860" s="241" t="str">
        <f>VLOOKUP($C4860,'NAO DESO'!$A:$D,3,)</f>
        <v>M3</v>
      </c>
      <c r="F4860" s="242">
        <v>2.2799999999999998</v>
      </c>
      <c r="G4860" s="242" t="str">
        <f>IF(B4860="SEPLAG",VLOOKUP(CONCATENATE("MEDIANA - ",C4860),COTAÇÃO,5,FALSE),VLOOKUP($C4860,'NAO DESO'!$A:$D,4,))</f>
        <v>40,36</v>
      </c>
      <c r="H4860" s="242">
        <f t="shared" si="282"/>
        <v>92.02</v>
      </c>
      <c r="I4860" s="54" t="str">
        <f>IF(B4860="SEPLAG",VLOOKUP(CONCATENATE("MEDIANA - ",C4860),COTAÇÃO,5,FALSE),VLOOKUP($C4860,DESON!$A:$D,4,))</f>
        <v>36,36</v>
      </c>
      <c r="J4860" s="209">
        <f t="shared" si="283"/>
        <v>82.9</v>
      </c>
    </row>
    <row r="4861" spans="1:10" ht="26.25" customHeight="1">
      <c r="A4861" s="208" t="s">
        <v>245</v>
      </c>
      <c r="B4861" s="241"/>
      <c r="C4861" s="1181">
        <v>98557</v>
      </c>
      <c r="D4861" s="161" t="str">
        <f>IF(B4861="SEPLAG",VLOOKUP(COMPOSIÇÕES!C4861,'MAPA COMPARATIVO'!A:B,2,FALSE),VLOOKUP(C4861,'NAO DESO'!A:B,2,0))</f>
        <v>IMPERMEABILIZAÇÃO DE SUPERFÍCIE COM EMULSÃO ASFÁLTICA, 2 DEMÃOS AF_06/2018</v>
      </c>
      <c r="E4861" s="241" t="str">
        <f>VLOOKUP($C4861,'NAO DESO'!$A:$D,3,)</f>
        <v>M2</v>
      </c>
      <c r="F4861" s="242">
        <f>F4856</f>
        <v>9.36</v>
      </c>
      <c r="G4861" s="242" t="str">
        <f>IF(B4861="SEPLAG",VLOOKUP(CONCATENATE("MEDIANA - ",C4861),COTAÇÃO,5,FALSE),VLOOKUP($C4861,'NAO DESO'!$A:$D,4,))</f>
        <v>58,82</v>
      </c>
      <c r="H4861" s="242">
        <f t="shared" si="282"/>
        <v>550.54999999999995</v>
      </c>
      <c r="I4861" s="54" t="str">
        <f>IF(B4861="SEPLAG",VLOOKUP(CONCATENATE("MEDIANA - ",C4861),COTAÇÃO,5,FALSE),VLOOKUP($C4861,DESON!$A:$D,4,))</f>
        <v>57,84</v>
      </c>
      <c r="J4861" s="209">
        <f t="shared" si="283"/>
        <v>541.38</v>
      </c>
    </row>
    <row r="4862" spans="1:10" ht="39" customHeight="1">
      <c r="A4862" s="208" t="s">
        <v>245</v>
      </c>
      <c r="B4862" s="241"/>
      <c r="C4862" s="1181">
        <v>92775</v>
      </c>
      <c r="D4862" s="161" t="str">
        <f>IF(B4862="SEPLAG",VLOOKUP(COMPOSIÇÕES!C4862,'MAPA COMPARATIVO'!A:B,2,FALSE),VLOOKUP(C4862,'NAO DESO'!A:B,2,0))</f>
        <v>ARMAÇÃO DE PILAR OU VIGA DE UMA ESTRUTURA CONVENCIONAL DE CONCRETO ARMADO EM UMA EDIFICAÇÃO TÉRREA OU SOBRADO UTILIZANDO AÇO CA-60 DE 5,0 MM - MONTAGEM. AF_12/2015</v>
      </c>
      <c r="E4862" s="241" t="str">
        <f>VLOOKUP($C4862,'NAO DESO'!$A:$D,3,)</f>
        <v>KG</v>
      </c>
      <c r="F4862" s="242">
        <v>1.66</v>
      </c>
      <c r="G4862" s="242" t="str">
        <f>IF(B4862="SEPLAG",VLOOKUP(CONCATENATE("MEDIANA - ",C4862),COTAÇÃO,5,FALSE),VLOOKUP($C4862,'NAO DESO'!$A:$D,4,))</f>
        <v>18,46</v>
      </c>
      <c r="H4862" s="242">
        <f t="shared" si="282"/>
        <v>30.64</v>
      </c>
      <c r="I4862" s="54" t="str">
        <f>IF(B4862="SEPLAG",VLOOKUP(CONCATENATE("MEDIANA - ",C4862),COTAÇÃO,5,FALSE),VLOOKUP($C4862,DESON!$A:$D,4,))</f>
        <v>17,71</v>
      </c>
      <c r="J4862" s="209">
        <f t="shared" si="283"/>
        <v>29.39</v>
      </c>
    </row>
    <row r="4863" spans="1:10" ht="39" customHeight="1">
      <c r="A4863" s="208" t="s">
        <v>245</v>
      </c>
      <c r="B4863" s="241"/>
      <c r="C4863" s="1181">
        <v>92778</v>
      </c>
      <c r="D4863" s="161" t="str">
        <f>IF(B4863="SEPLAG",VLOOKUP(COMPOSIÇÕES!C4863,'MAPA COMPARATIVO'!A:B,2,FALSE),VLOOKUP(C4863,'NAO DESO'!A:B,2,0))</f>
        <v>ARMAÇÃO DE PILAR OU VIGA DE UMA ESTRUTURA CONVENCIONAL DE CONCRETO ARMADO EM UMA EDIFICAÇÃO TÉRREA OU SOBRADO UTILIZANDO AÇO CA-50 DE 10,0 MM - MONTAGEM. AF_12/2015</v>
      </c>
      <c r="E4863" s="241" t="str">
        <f>VLOOKUP($C4863,'NAO DESO'!$A:$D,3,)</f>
        <v>KG</v>
      </c>
      <c r="F4863" s="242">
        <v>16.149999999999999</v>
      </c>
      <c r="G4863" s="242" t="str">
        <f>IF(B4863="SEPLAG",VLOOKUP(CONCATENATE("MEDIANA - ",C4863),COTAÇÃO,5,FALSE),VLOOKUP($C4863,'NAO DESO'!$A:$D,4,))</f>
        <v>14,78</v>
      </c>
      <c r="H4863" s="242">
        <f t="shared" si="282"/>
        <v>238.69</v>
      </c>
      <c r="I4863" s="54" t="str">
        <f>IF(B4863="SEPLAG",VLOOKUP(CONCATENATE("MEDIANA - ",C4863),COTAÇÃO,5,FALSE),VLOOKUP($C4863,DESON!$A:$D,4,))</f>
        <v>14,50</v>
      </c>
      <c r="J4863" s="209">
        <f t="shared" si="283"/>
        <v>234.17</v>
      </c>
    </row>
    <row r="4864" spans="1:10" ht="39" customHeight="1">
      <c r="A4864" s="208" t="s">
        <v>245</v>
      </c>
      <c r="B4864" s="241"/>
      <c r="C4864" s="1181">
        <v>92423</v>
      </c>
      <c r="D4864" s="161" t="str">
        <f>IF(B4864="SEPLAG",VLOOKUP(COMPOSIÇÕES!C4864,'MAPA COMPARATIVO'!A:B,2,FALSE),VLOOKUP(C4864,'NAO DESO'!A:B,2,0))</f>
        <v>MONTAGEM E DESMONTAGEM DE FÔRMA DE PILARES RETANGULARES E ESTRUTURAS SIMILARES, PÉ-DIREITO SIMPLES, EM CHAPA DE MADEIRA COMPENSADA RESINADA, 6 UTILIZAÇÕES. AF_09/2020</v>
      </c>
      <c r="E4864" s="241" t="str">
        <f>VLOOKUP($C4864,'NAO DESO'!$A:$D,3,)</f>
        <v>M2</v>
      </c>
      <c r="F4864" s="242">
        <v>1.08</v>
      </c>
      <c r="G4864" s="242" t="str">
        <f>IF(B4864="SEPLAG",VLOOKUP(CONCATENATE("MEDIANA - ",C4864),COTAÇÃO,5,FALSE),VLOOKUP($C4864,'NAO DESO'!$A:$D,4,))</f>
        <v>67,90</v>
      </c>
      <c r="H4864" s="242">
        <f t="shared" si="282"/>
        <v>73.33</v>
      </c>
      <c r="I4864" s="54" t="str">
        <f>IF(B4864="SEPLAG",VLOOKUP(CONCATENATE("MEDIANA - ",C4864),COTAÇÃO,5,FALSE),VLOOKUP($C4864,DESON!$A:$D,4,))</f>
        <v>65,30</v>
      </c>
      <c r="J4864" s="209">
        <f t="shared" si="283"/>
        <v>70.52</v>
      </c>
    </row>
    <row r="4865" spans="1:10" ht="15" customHeight="1">
      <c r="A4865" s="208" t="s">
        <v>245</v>
      </c>
      <c r="B4865" s="241"/>
      <c r="C4865" s="1181">
        <v>88309</v>
      </c>
      <c r="D4865" s="161" t="str">
        <f>IF(B4865="SEPLAG",VLOOKUP(COMPOSIÇÕES!C4865,'MAPA COMPARATIVO'!A:B,2,FALSE),VLOOKUP(C4865,'NAO DESO'!A:B,2,0))</f>
        <v>PEDREIRO COM ENCARGOS COMPLEMENTARES</v>
      </c>
      <c r="E4865" s="241" t="str">
        <f>VLOOKUP($C4865,'NAO DESO'!$A:$D,3,)</f>
        <v>H</v>
      </c>
      <c r="F4865" s="242">
        <v>1</v>
      </c>
      <c r="G4865" s="242" t="str">
        <f>IF(B4865="SEPLAG",VLOOKUP(CONCATENATE("MEDIANA - ",C4865),COTAÇÃO,5,FALSE),VLOOKUP($C4865,'NAO DESO'!$A:$D,4,))</f>
        <v>21,10</v>
      </c>
      <c r="H4865" s="242">
        <f t="shared" si="282"/>
        <v>21.1</v>
      </c>
      <c r="I4865" s="54" t="str">
        <f>IF(B4865="SEPLAG",VLOOKUP(CONCATENATE("MEDIANA - ",C4865),COTAÇÃO,5,FALSE),VLOOKUP($C4865,DESON!$A:$D,4,))</f>
        <v>18,86</v>
      </c>
      <c r="J4865" s="209">
        <f t="shared" si="283"/>
        <v>18.86</v>
      </c>
    </row>
    <row r="4866" spans="1:10" ht="15" customHeight="1">
      <c r="A4866" s="208" t="s">
        <v>245</v>
      </c>
      <c r="B4866" s="241"/>
      <c r="C4866" s="1181">
        <v>88316</v>
      </c>
      <c r="D4866" s="161" t="str">
        <f>IF(B4866="SEPLAG",VLOOKUP(COMPOSIÇÕES!C4866,'MAPA COMPARATIVO'!A:B,2,FALSE),VLOOKUP(C4866,'NAO DESO'!A:B,2,0))</f>
        <v>SERVENTE COM ENCARGOS COMPLEMENTARES</v>
      </c>
      <c r="E4866" s="241" t="str">
        <f>VLOOKUP($C4866,'NAO DESO'!$A:$D,3,)</f>
        <v>H</v>
      </c>
      <c r="F4866" s="242">
        <v>1</v>
      </c>
      <c r="G4866" s="242" t="str">
        <f>IF(B4866="SEPLAG",VLOOKUP(CONCATENATE("MEDIANA - ",C4866),COTAÇÃO,5,FALSE),VLOOKUP($C4866,'NAO DESO'!$A:$D,4,))</f>
        <v>16,83</v>
      </c>
      <c r="H4866" s="242">
        <f t="shared" si="282"/>
        <v>16.829999999999998</v>
      </c>
      <c r="I4866" s="54" t="str">
        <f>IF(B4866="SEPLAG",VLOOKUP(CONCATENATE("MEDIANA - ",C4866),COTAÇÃO,5,FALSE),VLOOKUP($C4866,DESON!$A:$D,4,))</f>
        <v>15,16</v>
      </c>
      <c r="J4866" s="209">
        <f t="shared" si="283"/>
        <v>15.16</v>
      </c>
    </row>
    <row r="4867" spans="1:10" ht="15" customHeight="1">
      <c r="A4867" s="210" t="str">
        <f>CONCATENATE("TOTAL DO ITEM NÃO DESON. - ",C4852)</f>
        <v>TOTAL DO ITEM NÃO DESON. - SEPLAG HIDR 45</v>
      </c>
      <c r="B4867" s="430"/>
      <c r="C4867" s="430"/>
      <c r="D4867" s="430"/>
      <c r="E4867" s="430"/>
      <c r="F4867" s="1180"/>
      <c r="G4867" s="1180"/>
      <c r="H4867" s="1182">
        <f>SUM(H4855:H4866)</f>
        <v>1904.7499999999998</v>
      </c>
      <c r="I4867" s="231"/>
      <c r="J4867" s="215"/>
    </row>
    <row r="4868" spans="1:10" ht="15.75" customHeight="1" thickBot="1">
      <c r="A4868" s="216" t="str">
        <f>CONCATENATE("TOTAL DO ITEM DESON. - ",C4852)</f>
        <v>TOTAL DO ITEM DESON. - SEPLAG HIDR 45</v>
      </c>
      <c r="B4868" s="1142"/>
      <c r="C4868" s="1142"/>
      <c r="D4868" s="1142"/>
      <c r="E4868" s="1142"/>
      <c r="F4868" s="1211"/>
      <c r="G4868" s="1211"/>
      <c r="H4868" s="1187"/>
      <c r="I4868" s="260"/>
      <c r="J4868" s="219">
        <f>SUM(J4855:J4866)</f>
        <v>1829.1299999999999</v>
      </c>
    </row>
    <row r="4869" spans="1:10" ht="15" customHeight="1" thickBot="1">
      <c r="A4869" s="421"/>
      <c r="B4869" s="1138"/>
      <c r="C4869" s="1138"/>
      <c r="D4869" s="1138"/>
      <c r="E4869" s="1154"/>
      <c r="F4869" s="1196"/>
      <c r="G4869" s="1196"/>
      <c r="H4869" s="1196"/>
      <c r="I4869" s="422"/>
      <c r="J4869" s="422"/>
    </row>
    <row r="4870" spans="1:10" ht="38.25" customHeight="1">
      <c r="A4870" s="473" t="s">
        <v>421</v>
      </c>
      <c r="B4870" s="1234"/>
      <c r="C4870" s="1176" t="s">
        <v>7561</v>
      </c>
      <c r="D4870" s="156" t="s">
        <v>27975</v>
      </c>
      <c r="E4870" s="1176" t="s">
        <v>24</v>
      </c>
      <c r="F4870" s="1177" t="s">
        <v>18</v>
      </c>
      <c r="G4870" s="1178" t="s">
        <v>7015</v>
      </c>
      <c r="H4870" s="1179"/>
      <c r="I4870" s="200" t="s">
        <v>7016</v>
      </c>
      <c r="J4870" s="201"/>
    </row>
    <row r="4871" spans="1:10" ht="15" customHeight="1">
      <c r="A4871" s="257"/>
      <c r="B4871" s="430"/>
      <c r="C4871" s="1155"/>
      <c r="D4871" s="157"/>
      <c r="E4871" s="1155"/>
      <c r="F4871" s="1180"/>
      <c r="G4871" s="1180" t="s">
        <v>19</v>
      </c>
      <c r="H4871" s="1180" t="s">
        <v>20</v>
      </c>
      <c r="I4871" s="204" t="s">
        <v>19</v>
      </c>
      <c r="J4871" s="206" t="s">
        <v>20</v>
      </c>
    </row>
    <row r="4872" spans="1:10" ht="15" customHeight="1">
      <c r="A4872" s="258"/>
      <c r="B4872" s="1155"/>
      <c r="C4872" s="1155"/>
      <c r="D4872" s="157"/>
      <c r="E4872" s="1155"/>
      <c r="F4872" s="1180"/>
      <c r="G4872" s="1180"/>
      <c r="H4872" s="1180"/>
      <c r="I4872" s="238"/>
      <c r="J4872" s="259"/>
    </row>
    <row r="4873" spans="1:10" ht="39" customHeight="1">
      <c r="A4873" s="208" t="s">
        <v>245</v>
      </c>
      <c r="B4873" s="241"/>
      <c r="C4873" s="1181">
        <v>101159</v>
      </c>
      <c r="D4873" s="161" t="str">
        <f>IF(B4873="SEPLAG",VLOOKUP(COMPOSIÇÕES!C4873,'MAPA COMPARATIVO'!A:B,2,FALSE),VLOOKUP(C4873,'NAO DESO'!A:B,2,0))</f>
        <v>ALVENARIA DE VEDAÇÃO DE BLOCOS CERÂMICOS MACIÇOS DE 5X10X20CM (ESPESSURA 10CM) E ARGAMASSA DE ASSENTAMENTO COM PREPARO EM BETONEIRA. AF_05/2020</v>
      </c>
      <c r="E4873" s="241" t="str">
        <f>VLOOKUP($C4873,'NAO DESO'!$A:$D,3,)</f>
        <v>M2</v>
      </c>
      <c r="F4873" s="242">
        <v>1.26</v>
      </c>
      <c r="G4873" s="242" t="str">
        <f>IF(B4873="SEPLAG",VLOOKUP(CONCATENATE("MEDIANA - ",C4873),COTAÇÃO,5,FALSE),VLOOKUP($C4873,'NAO DESO'!$A:$D,4,))</f>
        <v>126,63</v>
      </c>
      <c r="H4873" s="242">
        <f t="shared" ref="H4873:H4885" si="284">TRUNC(F4873*G4873,2)</f>
        <v>159.55000000000001</v>
      </c>
      <c r="I4873" s="54" t="str">
        <f>IF(B4873="SEPLAG",VLOOKUP(CONCATENATE("MEDIANA - ",C4873),COTAÇÃO,5,FALSE),VLOOKUP($C4873,DESON!$A:$D,4,))</f>
        <v>120,46</v>
      </c>
      <c r="J4873" s="209">
        <f t="shared" ref="J4873:J4885" si="285">TRUNC(F4873*I4873,2)</f>
        <v>151.77000000000001</v>
      </c>
    </row>
    <row r="4874" spans="1:10" ht="64.5" customHeight="1">
      <c r="A4874" s="208" t="s">
        <v>245</v>
      </c>
      <c r="B4874" s="241"/>
      <c r="C4874" s="1181">
        <v>87543</v>
      </c>
      <c r="D4874" s="161" t="str">
        <f>IF(B4874="SEPLAG",VLOOKUP(COMPOSIÇÕES!C4874,'MAPA COMPARATIVO'!A:B,2,FALSE),VLOOKUP(C4874,'NAO DESO'!A:B,2,0))</f>
        <v>MASSA ÚNICA, PARA RECEBIMENTO DE PINTURA OU CERÂMICA, ARGAMASSA INDUSTRIALIZADA, PREPARO MECÂNICO, APLICADO COM EQUIPAMENTO DE MISTURA E PROJEÇÃO DE 1,5 M3/H EM FACES INTERNAS DE PAREDES, ESPESSURA DE 5MM, SEM EXECUÇÃO DE TALISCAS. AF_06/2014</v>
      </c>
      <c r="E4874" s="241" t="str">
        <f>VLOOKUP($C4874,'NAO DESO'!$A:$D,3,)</f>
        <v>M2</v>
      </c>
      <c r="F4874" s="242">
        <v>5.32</v>
      </c>
      <c r="G4874" s="242" t="str">
        <f>IF(B4874="SEPLAG",VLOOKUP(CONCATENATE("MEDIANA - ",C4874),COTAÇÃO,5,FALSE),VLOOKUP($C4874,'NAO DESO'!$A:$D,4,))</f>
        <v>24,40</v>
      </c>
      <c r="H4874" s="242">
        <f t="shared" si="284"/>
        <v>129.80000000000001</v>
      </c>
      <c r="I4874" s="54" t="str">
        <f>IF(B4874="SEPLAG",VLOOKUP(CONCATENATE("MEDIANA - ",C4874),COTAÇÃO,5,FALSE),VLOOKUP($C4874,DESON!$A:$D,4,))</f>
        <v>23,82</v>
      </c>
      <c r="J4874" s="209">
        <f t="shared" si="285"/>
        <v>126.72</v>
      </c>
    </row>
    <row r="4875" spans="1:10" ht="39" customHeight="1">
      <c r="A4875" s="208" t="s">
        <v>245</v>
      </c>
      <c r="B4875" s="241"/>
      <c r="C4875" s="1181">
        <v>94970</v>
      </c>
      <c r="D4875" s="161" t="str">
        <f>IF(B4875="SEPLAG",VLOOKUP(COMPOSIÇÕES!C4875,'MAPA COMPARATIVO'!A:B,2,FALSE),VLOOKUP(C4875,'NAO DESO'!A:B,2,0))</f>
        <v>CONCRETO FCK = 20MPA, TRAÇO 1:2,7:3 (EM MASSA SECA DE CIMENTO/ AREIA MÉDIA/ BRITA 1) - PREPARO MECÂNICO COM BETONEIRA 600 L. AF_05/2021</v>
      </c>
      <c r="E4875" s="241" t="str">
        <f>VLOOKUP($C4875,'NAO DESO'!$A:$D,3,)</f>
        <v>M3</v>
      </c>
      <c r="F4875" s="242">
        <v>0.2</v>
      </c>
      <c r="G4875" s="242" t="str">
        <f>IF(B4875="SEPLAG",VLOOKUP(CONCATENATE("MEDIANA - ",C4875),COTAÇÃO,5,FALSE),VLOOKUP($C4875,'NAO DESO'!$A:$D,4,))</f>
        <v>405,57</v>
      </c>
      <c r="H4875" s="242">
        <f t="shared" si="284"/>
        <v>81.11</v>
      </c>
      <c r="I4875" s="54" t="str">
        <f>IF(B4875="SEPLAG",VLOOKUP(CONCATENATE("MEDIANA - ",C4875),COTAÇÃO,5,FALSE),VLOOKUP($C4875,DESON!$A:$D,4,))</f>
        <v>400,17</v>
      </c>
      <c r="J4875" s="209">
        <f t="shared" si="285"/>
        <v>80.03</v>
      </c>
    </row>
    <row r="4876" spans="1:10" ht="26.25" customHeight="1">
      <c r="A4876" s="208" t="s">
        <v>245</v>
      </c>
      <c r="B4876" s="241"/>
      <c r="C4876" s="1181">
        <v>93358</v>
      </c>
      <c r="D4876" s="161" t="str">
        <f>IF(B4876="SEPLAG",VLOOKUP(COMPOSIÇÕES!C4876,'MAPA COMPARATIVO'!A:B,2,FALSE),VLOOKUP(C4876,'NAO DESO'!A:B,2,0))</f>
        <v>ESCAVAÇÃO MANUAL DE VALA COM PROFUNDIDADE MENOR OU IGUAL A 1,30 M. AF_02/2021</v>
      </c>
      <c r="E4876" s="241" t="str">
        <f>VLOOKUP($C4876,'NAO DESO'!$A:$D,3,)</f>
        <v>M3</v>
      </c>
      <c r="F4876" s="242">
        <v>1.54</v>
      </c>
      <c r="G4876" s="242" t="str">
        <f>IF(B4876="SEPLAG",VLOOKUP(CONCATENATE("MEDIANA - ",C4876),COTAÇÃO,5,FALSE),VLOOKUP($C4876,'NAO DESO'!$A:$D,4,))</f>
        <v>66,57</v>
      </c>
      <c r="H4876" s="242">
        <f t="shared" si="284"/>
        <v>102.51</v>
      </c>
      <c r="I4876" s="54" t="str">
        <f>IF(B4876="SEPLAG",VLOOKUP(CONCATENATE("MEDIANA - ",C4876),COTAÇÃO,5,FALSE),VLOOKUP($C4876,DESON!$A:$D,4,))</f>
        <v>59,97</v>
      </c>
      <c r="J4876" s="209">
        <f t="shared" si="285"/>
        <v>92.35</v>
      </c>
    </row>
    <row r="4877" spans="1:10" ht="26.25" customHeight="1">
      <c r="A4877" s="208" t="s">
        <v>245</v>
      </c>
      <c r="B4877" s="241"/>
      <c r="C4877" s="1181">
        <v>101617</v>
      </c>
      <c r="D4877" s="161" t="str">
        <f>IF(B4877="SEPLAG",VLOOKUP(COMPOSIÇÕES!C4877,'MAPA COMPARATIVO'!A:B,2,FALSE),VLOOKUP(C4877,'NAO DESO'!A:B,2,0))</f>
        <v>PREPARO DE FUNDO DE VALA COM LARGURA MAIOR OU IGUAL A 1,5 M E MENOR QUE 2,5 M (ACERTO DO SOLO NATURAL). AF_08/2020</v>
      </c>
      <c r="E4877" s="241" t="str">
        <f>VLOOKUP($C4877,'NAO DESO'!$A:$D,3,)</f>
        <v>M2</v>
      </c>
      <c r="F4877" s="242">
        <v>0.64</v>
      </c>
      <c r="G4877" s="242" t="str">
        <f>IF(B4877="SEPLAG",VLOOKUP(CONCATENATE("MEDIANA - ",C4877),COTAÇÃO,5,FALSE),VLOOKUP($C4877,'NAO DESO'!$A:$D,4,))</f>
        <v>2,38</v>
      </c>
      <c r="H4877" s="242">
        <f t="shared" si="284"/>
        <v>1.52</v>
      </c>
      <c r="I4877" s="54" t="str">
        <f>IF(B4877="SEPLAG",VLOOKUP(CONCATENATE("MEDIANA - ",C4877),COTAÇÃO,5,FALSE),VLOOKUP($C4877,DESON!$A:$D,4,))</f>
        <v>2,15</v>
      </c>
      <c r="J4877" s="209">
        <f t="shared" si="285"/>
        <v>1.37</v>
      </c>
    </row>
    <row r="4878" spans="1:10" ht="15" customHeight="1">
      <c r="A4878" s="208" t="s">
        <v>245</v>
      </c>
      <c r="B4878" s="241"/>
      <c r="C4878" s="1181">
        <v>96995</v>
      </c>
      <c r="D4878" s="161" t="str">
        <f>IF(B4878="SEPLAG",VLOOKUP(COMPOSIÇÕES!C4878,'MAPA COMPARATIVO'!A:B,2,FALSE),VLOOKUP(C4878,'NAO DESO'!A:B,2,0))</f>
        <v>REATERRO MANUAL APILOADO COM SOQUETE. AF_10/2017</v>
      </c>
      <c r="E4878" s="241" t="str">
        <f>VLOOKUP($C4878,'NAO DESO'!$A:$D,3,)</f>
        <v>M3</v>
      </c>
      <c r="F4878" s="242">
        <v>1.25</v>
      </c>
      <c r="G4878" s="242" t="str">
        <f>IF(B4878="SEPLAG",VLOOKUP(CONCATENATE("MEDIANA - ",C4878),COTAÇÃO,5,FALSE),VLOOKUP($C4878,'NAO DESO'!$A:$D,4,))</f>
        <v>40,36</v>
      </c>
      <c r="H4878" s="242">
        <f t="shared" si="284"/>
        <v>50.45</v>
      </c>
      <c r="I4878" s="54" t="str">
        <f>IF(B4878="SEPLAG",VLOOKUP(CONCATENATE("MEDIANA - ",C4878),COTAÇÃO,5,FALSE),VLOOKUP($C4878,DESON!$A:$D,4,))</f>
        <v>36,36</v>
      </c>
      <c r="J4878" s="209">
        <f t="shared" si="285"/>
        <v>45.45</v>
      </c>
    </row>
    <row r="4879" spans="1:10" ht="26.25" customHeight="1">
      <c r="A4879" s="208" t="s">
        <v>245</v>
      </c>
      <c r="B4879" s="241"/>
      <c r="C4879" s="1181">
        <v>98557</v>
      </c>
      <c r="D4879" s="161" t="str">
        <f>IF(B4879="SEPLAG",VLOOKUP(COMPOSIÇÕES!C4879,'MAPA COMPARATIVO'!A:B,2,FALSE),VLOOKUP(C4879,'NAO DESO'!A:B,2,0))</f>
        <v>IMPERMEABILIZAÇÃO DE SUPERFÍCIE COM EMULSÃO ASFÁLTICA, 2 DEMÃOS AF_06/2018</v>
      </c>
      <c r="E4879" s="241" t="str">
        <f>VLOOKUP($C4879,'NAO DESO'!$A:$D,3,)</f>
        <v>M2</v>
      </c>
      <c r="F4879" s="242">
        <f>F4874</f>
        <v>5.32</v>
      </c>
      <c r="G4879" s="242" t="str">
        <f>IF(B4879="SEPLAG",VLOOKUP(CONCATENATE("MEDIANA - ",C4879),COTAÇÃO,5,FALSE),VLOOKUP($C4879,'NAO DESO'!$A:$D,4,))</f>
        <v>58,82</v>
      </c>
      <c r="H4879" s="242">
        <f t="shared" si="284"/>
        <v>312.92</v>
      </c>
      <c r="I4879" s="54" t="str">
        <f>IF(B4879="SEPLAG",VLOOKUP(CONCATENATE("MEDIANA - ",C4879),COTAÇÃO,5,FALSE),VLOOKUP($C4879,DESON!$A:$D,4,))</f>
        <v>57,84</v>
      </c>
      <c r="J4879" s="209">
        <f t="shared" si="285"/>
        <v>307.7</v>
      </c>
    </row>
    <row r="4880" spans="1:10" ht="26.25" customHeight="1">
      <c r="A4880" s="208" t="s">
        <v>245</v>
      </c>
      <c r="B4880" s="241"/>
      <c r="C4880" s="1181">
        <v>11301</v>
      </c>
      <c r="D4880" s="161" t="str">
        <f>IF(B4880="SEPLAG",VLOOKUP(COMPOSIÇÕES!C4880,'MAPA COMPARATIVO'!A:B,2,FALSE),VLOOKUP(C4880,'NAO DESO'!A:B,2,0))</f>
        <v>TAMPAO FOFO ARTICULADO, CLASSE B125 CARGA MAX 12,5 T, REDONDO, TAMPA 600 MM (COM INSCRICAO EM RELEVO DO TIPO DE REDE)</v>
      </c>
      <c r="E4880" s="241" t="str">
        <f>VLOOKUP($C4880,'NAO DESO'!$A:$D,3,)</f>
        <v xml:space="preserve">UN    </v>
      </c>
      <c r="F4880" s="242">
        <v>1</v>
      </c>
      <c r="G4880" s="242">
        <f>IF(B4880="SEPLAG",VLOOKUP(CONCATENATE("MEDIANA - ",C4880),COTAÇÃO,5,FALSE),VLOOKUP($C4880,'NAO DESO'!$A:$D,4,))</f>
        <v>660.46</v>
      </c>
      <c r="H4880" s="242">
        <f t="shared" si="284"/>
        <v>660.46</v>
      </c>
      <c r="I4880" s="54" t="str">
        <f>IF(B4880="SEPLAG",VLOOKUP(CONCATENATE("MEDIANA - ",C4880),COTAÇÃO,5,FALSE),VLOOKUP($C4880,DESON!$A:$D,4,))</f>
        <v>660,46</v>
      </c>
      <c r="J4880" s="209">
        <f t="shared" si="285"/>
        <v>660.46</v>
      </c>
    </row>
    <row r="4881" spans="1:10" ht="39" customHeight="1">
      <c r="A4881" s="208" t="s">
        <v>245</v>
      </c>
      <c r="B4881" s="241"/>
      <c r="C4881" s="1181">
        <v>92775</v>
      </c>
      <c r="D4881" s="161" t="str">
        <f>IF(B4881="SEPLAG",VLOOKUP(COMPOSIÇÕES!C4881,'MAPA COMPARATIVO'!A:B,2,FALSE),VLOOKUP(C4881,'NAO DESO'!A:B,2,0))</f>
        <v>ARMAÇÃO DE PILAR OU VIGA DE UMA ESTRUTURA CONVENCIONAL DE CONCRETO ARMADO EM UMA EDIFICAÇÃO TÉRREA OU SOBRADO UTILIZANDO AÇO CA-60 DE 5,0 MM - MONTAGEM. AF_12/2015</v>
      </c>
      <c r="E4881" s="241" t="str">
        <f>VLOOKUP($C4881,'NAO DESO'!$A:$D,3,)</f>
        <v>KG</v>
      </c>
      <c r="F4881" s="242">
        <v>1.29</v>
      </c>
      <c r="G4881" s="242" t="str">
        <f>IF(B4881="SEPLAG",VLOOKUP(CONCATENATE("MEDIANA - ",C4881),COTAÇÃO,5,FALSE),VLOOKUP($C4881,'NAO DESO'!$A:$D,4,))</f>
        <v>18,46</v>
      </c>
      <c r="H4881" s="242">
        <f t="shared" si="284"/>
        <v>23.81</v>
      </c>
      <c r="I4881" s="54" t="str">
        <f>IF(B4881="SEPLAG",VLOOKUP(CONCATENATE("MEDIANA - ",C4881),COTAÇÃO,5,FALSE),VLOOKUP($C4881,DESON!$A:$D,4,))</f>
        <v>17,71</v>
      </c>
      <c r="J4881" s="209">
        <f t="shared" si="285"/>
        <v>22.84</v>
      </c>
    </row>
    <row r="4882" spans="1:10" ht="39" customHeight="1">
      <c r="A4882" s="208" t="s">
        <v>245</v>
      </c>
      <c r="B4882" s="241"/>
      <c r="C4882" s="1181">
        <v>92778</v>
      </c>
      <c r="D4882" s="161" t="str">
        <f>IF(B4882="SEPLAG",VLOOKUP(COMPOSIÇÕES!C4882,'MAPA COMPARATIVO'!A:B,2,FALSE),VLOOKUP(C4882,'NAO DESO'!A:B,2,0))</f>
        <v>ARMAÇÃO DE PILAR OU VIGA DE UMA ESTRUTURA CONVENCIONAL DE CONCRETO ARMADO EM UMA EDIFICAÇÃO TÉRREA OU SOBRADO UTILIZANDO AÇO CA-50 DE 10,0 MM - MONTAGEM. AF_12/2015</v>
      </c>
      <c r="E4882" s="241" t="str">
        <f>VLOOKUP($C4882,'NAO DESO'!$A:$D,3,)</f>
        <v>KG</v>
      </c>
      <c r="F4882" s="242">
        <v>11.42</v>
      </c>
      <c r="G4882" s="242" t="str">
        <f>IF(B4882="SEPLAG",VLOOKUP(CONCATENATE("MEDIANA - ",C4882),COTAÇÃO,5,FALSE),VLOOKUP($C4882,'NAO DESO'!$A:$D,4,))</f>
        <v>14,78</v>
      </c>
      <c r="H4882" s="242">
        <f t="shared" si="284"/>
        <v>168.78</v>
      </c>
      <c r="I4882" s="54" t="str">
        <f>IF(B4882="SEPLAG",VLOOKUP(CONCATENATE("MEDIANA - ",C4882),COTAÇÃO,5,FALSE),VLOOKUP($C4882,DESON!$A:$D,4,))</f>
        <v>14,50</v>
      </c>
      <c r="J4882" s="209">
        <f t="shared" si="285"/>
        <v>165.59</v>
      </c>
    </row>
    <row r="4883" spans="1:10" ht="39" customHeight="1">
      <c r="A4883" s="208" t="s">
        <v>245</v>
      </c>
      <c r="B4883" s="241"/>
      <c r="C4883" s="1181">
        <v>92423</v>
      </c>
      <c r="D4883" s="161" t="str">
        <f>IF(B4883="SEPLAG",VLOOKUP(COMPOSIÇÕES!C4883,'MAPA COMPARATIVO'!A:B,2,FALSE),VLOOKUP(C4883,'NAO DESO'!A:B,2,0))</f>
        <v>MONTAGEM E DESMONTAGEM DE FÔRMA DE PILARES RETANGULARES E ESTRUTURAS SIMILARES, PÉ-DIREITO SIMPLES, EM CHAPA DE MADEIRA COMPENSADA RESINADA, 6 UTILIZAÇÕES. AF_09/2020</v>
      </c>
      <c r="E4883" s="241" t="str">
        <f>VLOOKUP($C4883,'NAO DESO'!$A:$D,3,)</f>
        <v>M2</v>
      </c>
      <c r="F4883" s="242">
        <v>0.84</v>
      </c>
      <c r="G4883" s="242" t="str">
        <f>IF(B4883="SEPLAG",VLOOKUP(CONCATENATE("MEDIANA - ",C4883),COTAÇÃO,5,FALSE),VLOOKUP($C4883,'NAO DESO'!$A:$D,4,))</f>
        <v>67,90</v>
      </c>
      <c r="H4883" s="242">
        <f t="shared" si="284"/>
        <v>57.03</v>
      </c>
      <c r="I4883" s="54" t="str">
        <f>IF(B4883="SEPLAG",VLOOKUP(CONCATENATE("MEDIANA - ",C4883),COTAÇÃO,5,FALSE),VLOOKUP($C4883,DESON!$A:$D,4,))</f>
        <v>65,30</v>
      </c>
      <c r="J4883" s="209">
        <f t="shared" si="285"/>
        <v>54.85</v>
      </c>
    </row>
    <row r="4884" spans="1:10" ht="15" customHeight="1">
      <c r="A4884" s="208" t="s">
        <v>245</v>
      </c>
      <c r="B4884" s="241"/>
      <c r="C4884" s="1181">
        <v>88309</v>
      </c>
      <c r="D4884" s="161" t="str">
        <f>IF(B4884="SEPLAG",VLOOKUP(COMPOSIÇÕES!C4884,'MAPA COMPARATIVO'!A:B,2,FALSE),VLOOKUP(C4884,'NAO DESO'!A:B,2,0))</f>
        <v>PEDREIRO COM ENCARGOS COMPLEMENTARES</v>
      </c>
      <c r="E4884" s="241" t="str">
        <f>VLOOKUP($C4884,'NAO DESO'!$A:$D,3,)</f>
        <v>H</v>
      </c>
      <c r="F4884" s="242">
        <v>1</v>
      </c>
      <c r="G4884" s="242" t="str">
        <f>IF(B4884="SEPLAG",VLOOKUP(CONCATENATE("MEDIANA - ",C4884),COTAÇÃO,5,FALSE),VLOOKUP($C4884,'NAO DESO'!$A:$D,4,))</f>
        <v>21,10</v>
      </c>
      <c r="H4884" s="242">
        <f t="shared" si="284"/>
        <v>21.1</v>
      </c>
      <c r="I4884" s="54" t="str">
        <f>IF(B4884="SEPLAG",VLOOKUP(CONCATENATE("MEDIANA - ",C4884),COTAÇÃO,5,FALSE),VLOOKUP($C4884,DESON!$A:$D,4,))</f>
        <v>18,86</v>
      </c>
      <c r="J4884" s="209">
        <f t="shared" si="285"/>
        <v>18.86</v>
      </c>
    </row>
    <row r="4885" spans="1:10" ht="15" customHeight="1">
      <c r="A4885" s="208" t="s">
        <v>245</v>
      </c>
      <c r="B4885" s="241"/>
      <c r="C4885" s="1181">
        <v>88316</v>
      </c>
      <c r="D4885" s="161" t="str">
        <f>IF(B4885="SEPLAG",VLOOKUP(COMPOSIÇÕES!C4885,'MAPA COMPARATIVO'!A:B,2,FALSE),VLOOKUP(C4885,'NAO DESO'!A:B,2,0))</f>
        <v>SERVENTE COM ENCARGOS COMPLEMENTARES</v>
      </c>
      <c r="E4885" s="241" t="str">
        <f>VLOOKUP($C4885,'NAO DESO'!$A:$D,3,)</f>
        <v>H</v>
      </c>
      <c r="F4885" s="242">
        <v>1</v>
      </c>
      <c r="G4885" s="242" t="str">
        <f>IF(B4885="SEPLAG",VLOOKUP(CONCATENATE("MEDIANA - ",C4885),COTAÇÃO,5,FALSE),VLOOKUP($C4885,'NAO DESO'!$A:$D,4,))</f>
        <v>16,83</v>
      </c>
      <c r="H4885" s="242">
        <f t="shared" si="284"/>
        <v>16.829999999999998</v>
      </c>
      <c r="I4885" s="54" t="str">
        <f>IF(B4885="SEPLAG",VLOOKUP(CONCATENATE("MEDIANA - ",C4885),COTAÇÃO,5,FALSE),VLOOKUP($C4885,DESON!$A:$D,4,))</f>
        <v>15,16</v>
      </c>
      <c r="J4885" s="209">
        <f t="shared" si="285"/>
        <v>15.16</v>
      </c>
    </row>
    <row r="4886" spans="1:10" ht="15" customHeight="1">
      <c r="A4886" s="210" t="str">
        <f>CONCATENATE("TOTAL DO ITEM NÃO DESON. - ",C4870)</f>
        <v>TOTAL DO ITEM NÃO DESON. - SEPLAG HIDR 46</v>
      </c>
      <c r="B4886" s="430"/>
      <c r="C4886" s="430"/>
      <c r="D4886" s="430"/>
      <c r="E4886" s="430"/>
      <c r="F4886" s="1180"/>
      <c r="G4886" s="1180"/>
      <c r="H4886" s="1182">
        <f>SUM(H4873:H4885)</f>
        <v>1785.87</v>
      </c>
      <c r="I4886" s="231"/>
      <c r="J4886" s="215"/>
    </row>
    <row r="4887" spans="1:10" ht="15.75" customHeight="1" thickBot="1">
      <c r="A4887" s="216" t="str">
        <f>CONCATENATE("TOTAL DO ITEM DESON. - ",C4870)</f>
        <v>TOTAL DO ITEM DESON. - SEPLAG HIDR 46</v>
      </c>
      <c r="B4887" s="1142"/>
      <c r="C4887" s="1142"/>
      <c r="D4887" s="1142"/>
      <c r="E4887" s="1142"/>
      <c r="F4887" s="1211"/>
      <c r="G4887" s="1211"/>
      <c r="H4887" s="1187"/>
      <c r="I4887" s="260"/>
      <c r="J4887" s="219">
        <f>SUM(J4873:J4885)</f>
        <v>1743.1499999999996</v>
      </c>
    </row>
    <row r="4888" spans="1:10" ht="15" customHeight="1" thickBot="1">
      <c r="A4888" s="421"/>
      <c r="B4888" s="1138"/>
      <c r="C4888" s="1138"/>
      <c r="D4888" s="1138"/>
      <c r="E4888" s="1154"/>
      <c r="F4888" s="1196"/>
      <c r="G4888" s="1196"/>
      <c r="H4888" s="1196"/>
      <c r="I4888" s="422"/>
      <c r="J4888" s="422"/>
    </row>
    <row r="4889" spans="1:10" ht="38.25" customHeight="1">
      <c r="A4889" s="473" t="s">
        <v>421</v>
      </c>
      <c r="B4889" s="1234"/>
      <c r="C4889" s="1176" t="s">
        <v>7562</v>
      </c>
      <c r="D4889" s="156" t="s">
        <v>27976</v>
      </c>
      <c r="E4889" s="1176" t="s">
        <v>24</v>
      </c>
      <c r="F4889" s="1177" t="s">
        <v>18</v>
      </c>
      <c r="G4889" s="1178" t="s">
        <v>7015</v>
      </c>
      <c r="H4889" s="1179"/>
      <c r="I4889" s="200" t="s">
        <v>7016</v>
      </c>
      <c r="J4889" s="201"/>
    </row>
    <row r="4890" spans="1:10" ht="15" customHeight="1">
      <c r="A4890" s="257"/>
      <c r="B4890" s="430"/>
      <c r="C4890" s="1155"/>
      <c r="D4890" s="157"/>
      <c r="E4890" s="1155"/>
      <c r="F4890" s="1180"/>
      <c r="G4890" s="1180" t="s">
        <v>19</v>
      </c>
      <c r="H4890" s="1180" t="s">
        <v>20</v>
      </c>
      <c r="I4890" s="204" t="s">
        <v>19</v>
      </c>
      <c r="J4890" s="206" t="s">
        <v>20</v>
      </c>
    </row>
    <row r="4891" spans="1:10" ht="15" customHeight="1">
      <c r="A4891" s="258"/>
      <c r="B4891" s="1155"/>
      <c r="C4891" s="1155"/>
      <c r="D4891" s="157"/>
      <c r="E4891" s="1155"/>
      <c r="F4891" s="1180"/>
      <c r="G4891" s="1180"/>
      <c r="H4891" s="1180"/>
      <c r="I4891" s="238"/>
      <c r="J4891" s="259"/>
    </row>
    <row r="4892" spans="1:10" ht="39" customHeight="1">
      <c r="A4892" s="208" t="s">
        <v>245</v>
      </c>
      <c r="B4892" s="241"/>
      <c r="C4892" s="1181">
        <v>101159</v>
      </c>
      <c r="D4892" s="161" t="str">
        <f>IF(B4892="SEPLAG",VLOOKUP(COMPOSIÇÕES!C4892,'MAPA COMPARATIVO'!A:B,2,FALSE),VLOOKUP(C4892,'NAO DESO'!A:B,2,0))</f>
        <v>ALVENARIA DE VEDAÇÃO DE BLOCOS CERÂMICOS MACIÇOS DE 5X10X20CM (ESPESSURA 10CM) E ARGAMASSA DE ASSENTAMENTO COM PREPARO EM BETONEIRA. AF_05/2020</v>
      </c>
      <c r="E4892" s="241" t="str">
        <f>VLOOKUP($C4892,'NAO DESO'!$A:$D,3,)</f>
        <v>M2</v>
      </c>
      <c r="F4892" s="242">
        <v>2.16</v>
      </c>
      <c r="G4892" s="242" t="str">
        <f>IF(B4892="SEPLAG",VLOOKUP(CONCATENATE("MEDIANA - ",C4892),COTAÇÃO,5,FALSE),VLOOKUP($C4892,'NAO DESO'!$A:$D,4,))</f>
        <v>126,63</v>
      </c>
      <c r="H4892" s="242">
        <f t="shared" ref="H4892:H4904" si="286">TRUNC(F4892*G4892,2)</f>
        <v>273.52</v>
      </c>
      <c r="I4892" s="54" t="str">
        <f>IF(B4892="SEPLAG",VLOOKUP(CONCATENATE("MEDIANA - ",C4892),COTAÇÃO,5,FALSE),VLOOKUP($C4892,DESON!$A:$D,4,))</f>
        <v>120,46</v>
      </c>
      <c r="J4892" s="209">
        <f t="shared" ref="J4892:J4904" si="287">TRUNC(F4892*I4892,2)</f>
        <v>260.19</v>
      </c>
    </row>
    <row r="4893" spans="1:10" ht="64.5" customHeight="1">
      <c r="A4893" s="208" t="s">
        <v>245</v>
      </c>
      <c r="B4893" s="241"/>
      <c r="C4893" s="1181">
        <v>87543</v>
      </c>
      <c r="D4893" s="161" t="str">
        <f>IF(B4893="SEPLAG",VLOOKUP(COMPOSIÇÕES!C4893,'MAPA COMPARATIVO'!A:B,2,FALSE),VLOOKUP(C4893,'NAO DESO'!A:B,2,0))</f>
        <v>MASSA ÚNICA, PARA RECEBIMENTO DE PINTURA OU CERÂMICA, ARGAMASSA INDUSTRIALIZADA, PREPARO MECÂNICO, APLICADO COM EQUIPAMENTO DE MISTURA E PROJEÇÃO DE 1,5 M3/H EM FACES INTERNAS DE PAREDES, ESPESSURA DE 5MM, SEM EXECUÇÃO DE TALISCAS. AF_06/2014</v>
      </c>
      <c r="E4893" s="241" t="str">
        <f>VLOOKUP($C4893,'NAO DESO'!$A:$D,3,)</f>
        <v>M2</v>
      </c>
      <c r="F4893" s="242">
        <v>7.92</v>
      </c>
      <c r="G4893" s="242" t="str">
        <f>IF(B4893="SEPLAG",VLOOKUP(CONCATENATE("MEDIANA - ",C4893),COTAÇÃO,5,FALSE),VLOOKUP($C4893,'NAO DESO'!$A:$D,4,))</f>
        <v>24,40</v>
      </c>
      <c r="H4893" s="242">
        <f t="shared" si="286"/>
        <v>193.24</v>
      </c>
      <c r="I4893" s="54" t="str">
        <f>IF(B4893="SEPLAG",VLOOKUP(CONCATENATE("MEDIANA - ",C4893),COTAÇÃO,5,FALSE),VLOOKUP($C4893,DESON!$A:$D,4,))</f>
        <v>23,82</v>
      </c>
      <c r="J4893" s="209">
        <f t="shared" si="287"/>
        <v>188.65</v>
      </c>
    </row>
    <row r="4894" spans="1:10" ht="39" customHeight="1">
      <c r="A4894" s="208" t="s">
        <v>245</v>
      </c>
      <c r="B4894" s="241"/>
      <c r="C4894" s="1181">
        <v>94970</v>
      </c>
      <c r="D4894" s="161" t="str">
        <f>IF(B4894="SEPLAG",VLOOKUP(COMPOSIÇÕES!C4894,'MAPA COMPARATIVO'!A:B,2,FALSE),VLOOKUP(C4894,'NAO DESO'!A:B,2,0))</f>
        <v>CONCRETO FCK = 20MPA, TRAÇO 1:2,7:3 (EM MASSA SECA DE CIMENTO/ AREIA MÉDIA/ BRITA 1) - PREPARO MECÂNICO COM BETONEIRA 600 L. AF_05/2021</v>
      </c>
      <c r="E4894" s="241" t="str">
        <f>VLOOKUP($C4894,'NAO DESO'!$A:$D,3,)</f>
        <v>M3</v>
      </c>
      <c r="F4894" s="242">
        <v>0.2</v>
      </c>
      <c r="G4894" s="242" t="str">
        <f>IF(B4894="SEPLAG",VLOOKUP(CONCATENATE("MEDIANA - ",C4894),COTAÇÃO,5,FALSE),VLOOKUP($C4894,'NAO DESO'!$A:$D,4,))</f>
        <v>405,57</v>
      </c>
      <c r="H4894" s="242">
        <f t="shared" si="286"/>
        <v>81.11</v>
      </c>
      <c r="I4894" s="54" t="str">
        <f>IF(B4894="SEPLAG",VLOOKUP(CONCATENATE("MEDIANA - ",C4894),COTAÇÃO,5,FALSE),VLOOKUP($C4894,DESON!$A:$D,4,))</f>
        <v>400,17</v>
      </c>
      <c r="J4894" s="209">
        <f t="shared" si="287"/>
        <v>80.03</v>
      </c>
    </row>
    <row r="4895" spans="1:10" ht="26.25" customHeight="1">
      <c r="A4895" s="208" t="s">
        <v>245</v>
      </c>
      <c r="B4895" s="241"/>
      <c r="C4895" s="1181">
        <v>93358</v>
      </c>
      <c r="D4895" s="161" t="str">
        <f>IF(B4895="SEPLAG",VLOOKUP(COMPOSIÇÕES!C4895,'MAPA COMPARATIVO'!A:B,2,FALSE),VLOOKUP(C4895,'NAO DESO'!A:B,2,0))</f>
        <v>ESCAVAÇÃO MANUAL DE VALA COM PROFUNDIDADE MENOR OU IGUAL A 1,30 M. AF_02/2021</v>
      </c>
      <c r="E4895" s="241" t="str">
        <f>VLOOKUP($C4895,'NAO DESO'!$A:$D,3,)</f>
        <v>M3</v>
      </c>
      <c r="F4895" s="242">
        <v>2.4300000000000002</v>
      </c>
      <c r="G4895" s="242" t="str">
        <f>IF(B4895="SEPLAG",VLOOKUP(CONCATENATE("MEDIANA - ",C4895),COTAÇÃO,5,FALSE),VLOOKUP($C4895,'NAO DESO'!$A:$D,4,))</f>
        <v>66,57</v>
      </c>
      <c r="H4895" s="242">
        <f t="shared" si="286"/>
        <v>161.76</v>
      </c>
      <c r="I4895" s="54" t="str">
        <f>IF(B4895="SEPLAG",VLOOKUP(CONCATENATE("MEDIANA - ",C4895),COTAÇÃO,5,FALSE),VLOOKUP($C4895,DESON!$A:$D,4,))</f>
        <v>59,97</v>
      </c>
      <c r="J4895" s="209">
        <f t="shared" si="287"/>
        <v>145.72</v>
      </c>
    </row>
    <row r="4896" spans="1:10" ht="26.25" customHeight="1">
      <c r="A4896" s="208" t="s">
        <v>245</v>
      </c>
      <c r="B4896" s="241"/>
      <c r="C4896" s="1181">
        <v>101617</v>
      </c>
      <c r="D4896" s="161" t="str">
        <f>IF(B4896="SEPLAG",VLOOKUP(COMPOSIÇÕES!C4896,'MAPA COMPARATIVO'!A:B,2,FALSE),VLOOKUP(C4896,'NAO DESO'!A:B,2,0))</f>
        <v>PREPARO DE FUNDO DE VALA COM LARGURA MAIOR OU IGUAL A 1,5 M E MENOR QUE 2,5 M (ACERTO DO SOLO NATURAL). AF_08/2020</v>
      </c>
      <c r="E4896" s="241" t="str">
        <f>VLOOKUP($C4896,'NAO DESO'!$A:$D,3,)</f>
        <v>M2</v>
      </c>
      <c r="F4896" s="242">
        <v>1</v>
      </c>
      <c r="G4896" s="242" t="str">
        <f>IF(B4896="SEPLAG",VLOOKUP(CONCATENATE("MEDIANA - ",C4896),COTAÇÃO,5,FALSE),VLOOKUP($C4896,'NAO DESO'!$A:$D,4,))</f>
        <v>2,38</v>
      </c>
      <c r="H4896" s="242">
        <f t="shared" si="286"/>
        <v>2.38</v>
      </c>
      <c r="I4896" s="54" t="str">
        <f>IF(B4896="SEPLAG",VLOOKUP(CONCATENATE("MEDIANA - ",C4896),COTAÇÃO,5,FALSE),VLOOKUP($C4896,DESON!$A:$D,4,))</f>
        <v>2,15</v>
      </c>
      <c r="J4896" s="209">
        <f t="shared" si="287"/>
        <v>2.15</v>
      </c>
    </row>
    <row r="4897" spans="1:10" ht="15" customHeight="1">
      <c r="A4897" s="208" t="s">
        <v>245</v>
      </c>
      <c r="B4897" s="241"/>
      <c r="C4897" s="1181">
        <v>96995</v>
      </c>
      <c r="D4897" s="161" t="str">
        <f>IF(B4897="SEPLAG",VLOOKUP(COMPOSIÇÕES!C4897,'MAPA COMPARATIVO'!A:B,2,FALSE),VLOOKUP(C4897,'NAO DESO'!A:B,2,0))</f>
        <v>REATERRO MANUAL APILOADO COM SOQUETE. AF_10/2017</v>
      </c>
      <c r="E4897" s="241" t="str">
        <f>VLOOKUP($C4897,'NAO DESO'!$A:$D,3,)</f>
        <v>M3</v>
      </c>
      <c r="F4897" s="242">
        <v>1.83</v>
      </c>
      <c r="G4897" s="242" t="str">
        <f>IF(B4897="SEPLAG",VLOOKUP(CONCATENATE("MEDIANA - ",C4897),COTAÇÃO,5,FALSE),VLOOKUP($C4897,'NAO DESO'!$A:$D,4,))</f>
        <v>40,36</v>
      </c>
      <c r="H4897" s="242">
        <f t="shared" si="286"/>
        <v>73.849999999999994</v>
      </c>
      <c r="I4897" s="54" t="str">
        <f>IF(B4897="SEPLAG",VLOOKUP(CONCATENATE("MEDIANA - ",C4897),COTAÇÃO,5,FALSE),VLOOKUP($C4897,DESON!$A:$D,4,))</f>
        <v>36,36</v>
      </c>
      <c r="J4897" s="209">
        <f t="shared" si="287"/>
        <v>66.53</v>
      </c>
    </row>
    <row r="4898" spans="1:10" ht="26.25" customHeight="1">
      <c r="A4898" s="208" t="s">
        <v>245</v>
      </c>
      <c r="B4898" s="241"/>
      <c r="C4898" s="1181">
        <v>98557</v>
      </c>
      <c r="D4898" s="161" t="str">
        <f>IF(B4898="SEPLAG",VLOOKUP(COMPOSIÇÕES!C4898,'MAPA COMPARATIVO'!A:B,2,FALSE),VLOOKUP(C4898,'NAO DESO'!A:B,2,0))</f>
        <v>IMPERMEABILIZAÇÃO DE SUPERFÍCIE COM EMULSÃO ASFÁLTICA, 2 DEMÃOS AF_06/2018</v>
      </c>
      <c r="E4898" s="241" t="str">
        <f>VLOOKUP($C4898,'NAO DESO'!$A:$D,3,)</f>
        <v>M2</v>
      </c>
      <c r="F4898" s="242">
        <f>F4893</f>
        <v>7.92</v>
      </c>
      <c r="G4898" s="242" t="str">
        <f>IF(B4898="SEPLAG",VLOOKUP(CONCATENATE("MEDIANA - ",C4898),COTAÇÃO,5,FALSE),VLOOKUP($C4898,'NAO DESO'!$A:$D,4,))</f>
        <v>58,82</v>
      </c>
      <c r="H4898" s="242">
        <f t="shared" si="286"/>
        <v>465.85</v>
      </c>
      <c r="I4898" s="54" t="str">
        <f>IF(B4898="SEPLAG",VLOOKUP(CONCATENATE("MEDIANA - ",C4898),COTAÇÃO,5,FALSE),VLOOKUP($C4898,DESON!$A:$D,4,))</f>
        <v>57,84</v>
      </c>
      <c r="J4898" s="209">
        <f t="shared" si="287"/>
        <v>458.09</v>
      </c>
    </row>
    <row r="4899" spans="1:10" ht="26.25" customHeight="1">
      <c r="A4899" s="208" t="s">
        <v>245</v>
      </c>
      <c r="B4899" s="241"/>
      <c r="C4899" s="1181">
        <v>11301</v>
      </c>
      <c r="D4899" s="161" t="str">
        <f>IF(B4899="SEPLAG",VLOOKUP(COMPOSIÇÕES!C4899,'MAPA COMPARATIVO'!A:B,2,FALSE),VLOOKUP(C4899,'NAO DESO'!A:B,2,0))</f>
        <v>TAMPAO FOFO ARTICULADO, CLASSE B125 CARGA MAX 12,5 T, REDONDO, TAMPA 600 MM (COM INSCRICAO EM RELEVO DO TIPO DE REDE)</v>
      </c>
      <c r="E4899" s="241" t="str">
        <f>VLOOKUP($C4899,'NAO DESO'!$A:$D,3,)</f>
        <v xml:space="preserve">UN    </v>
      </c>
      <c r="F4899" s="242">
        <v>1</v>
      </c>
      <c r="G4899" s="242">
        <f>IF(B4899="SEPLAG",VLOOKUP(CONCATENATE("MEDIANA - ",C4899),COTAÇÃO,5,FALSE),VLOOKUP($C4899,'NAO DESO'!$A:$D,4,))</f>
        <v>660.46</v>
      </c>
      <c r="H4899" s="242">
        <f t="shared" si="286"/>
        <v>660.46</v>
      </c>
      <c r="I4899" s="54" t="str">
        <f>IF(B4899="SEPLAG",VLOOKUP(CONCATENATE("MEDIANA - ",C4899),COTAÇÃO,5,FALSE),VLOOKUP($C4899,DESON!$A:$D,4,))</f>
        <v>660,46</v>
      </c>
      <c r="J4899" s="209">
        <f t="shared" si="287"/>
        <v>660.46</v>
      </c>
    </row>
    <row r="4900" spans="1:10" ht="39" customHeight="1">
      <c r="A4900" s="208" t="s">
        <v>245</v>
      </c>
      <c r="B4900" s="241"/>
      <c r="C4900" s="1181">
        <v>92775</v>
      </c>
      <c r="D4900" s="161" t="str">
        <f>IF(B4900="SEPLAG",VLOOKUP(COMPOSIÇÕES!C4900,'MAPA COMPARATIVO'!A:B,2,FALSE),VLOOKUP(C4900,'NAO DESO'!A:B,2,0))</f>
        <v>ARMAÇÃO DE PILAR OU VIGA DE UMA ESTRUTURA CONVENCIONAL DE CONCRETO ARMADO EM UMA EDIFICAÇÃO TÉRREA OU SOBRADO UTILIZANDO AÇO CA-60 DE 5,0 MM - MONTAGEM. AF_12/2015</v>
      </c>
      <c r="E4900" s="241" t="str">
        <f>VLOOKUP($C4900,'NAO DESO'!$A:$D,3,)</f>
        <v>KG</v>
      </c>
      <c r="F4900" s="242">
        <v>1.66</v>
      </c>
      <c r="G4900" s="242" t="str">
        <f>IF(B4900="SEPLAG",VLOOKUP(CONCATENATE("MEDIANA - ",C4900),COTAÇÃO,5,FALSE),VLOOKUP($C4900,'NAO DESO'!$A:$D,4,))</f>
        <v>18,46</v>
      </c>
      <c r="H4900" s="242">
        <f t="shared" si="286"/>
        <v>30.64</v>
      </c>
      <c r="I4900" s="54" t="str">
        <f>IF(B4900="SEPLAG",VLOOKUP(CONCATENATE("MEDIANA - ",C4900),COTAÇÃO,5,FALSE),VLOOKUP($C4900,DESON!$A:$D,4,))</f>
        <v>17,71</v>
      </c>
      <c r="J4900" s="209">
        <f t="shared" si="287"/>
        <v>29.39</v>
      </c>
    </row>
    <row r="4901" spans="1:10" ht="39" customHeight="1">
      <c r="A4901" s="208" t="s">
        <v>245</v>
      </c>
      <c r="B4901" s="241"/>
      <c r="C4901" s="1181">
        <v>92778</v>
      </c>
      <c r="D4901" s="161" t="str">
        <f>IF(B4901="SEPLAG",VLOOKUP(COMPOSIÇÕES!C4901,'MAPA COMPARATIVO'!A:B,2,FALSE),VLOOKUP(C4901,'NAO DESO'!A:B,2,0))</f>
        <v>ARMAÇÃO DE PILAR OU VIGA DE UMA ESTRUTURA CONVENCIONAL DE CONCRETO ARMADO EM UMA EDIFICAÇÃO TÉRREA OU SOBRADO UTILIZANDO AÇO CA-50 DE 10,0 MM - MONTAGEM. AF_12/2015</v>
      </c>
      <c r="E4901" s="241" t="str">
        <f>VLOOKUP($C4901,'NAO DESO'!$A:$D,3,)</f>
        <v>KG</v>
      </c>
      <c r="F4901" s="242">
        <v>16.149999999999999</v>
      </c>
      <c r="G4901" s="242" t="str">
        <f>IF(B4901="SEPLAG",VLOOKUP(CONCATENATE("MEDIANA - ",C4901),COTAÇÃO,5,FALSE),VLOOKUP($C4901,'NAO DESO'!$A:$D,4,))</f>
        <v>14,78</v>
      </c>
      <c r="H4901" s="242">
        <f t="shared" si="286"/>
        <v>238.69</v>
      </c>
      <c r="I4901" s="54" t="str">
        <f>IF(B4901="SEPLAG",VLOOKUP(CONCATENATE("MEDIANA - ",C4901),COTAÇÃO,5,FALSE),VLOOKUP($C4901,DESON!$A:$D,4,))</f>
        <v>14,50</v>
      </c>
      <c r="J4901" s="209">
        <f t="shared" si="287"/>
        <v>234.17</v>
      </c>
    </row>
    <row r="4902" spans="1:10" ht="39" customHeight="1">
      <c r="A4902" s="208" t="s">
        <v>245</v>
      </c>
      <c r="B4902" s="241"/>
      <c r="C4902" s="1181">
        <v>92423</v>
      </c>
      <c r="D4902" s="161" t="str">
        <f>IF(B4902="SEPLAG",VLOOKUP(COMPOSIÇÕES!C4902,'MAPA COMPARATIVO'!A:B,2,FALSE),VLOOKUP(C4902,'NAO DESO'!A:B,2,0))</f>
        <v>MONTAGEM E DESMONTAGEM DE FÔRMA DE PILARES RETANGULARES E ESTRUTURAS SIMILARES, PÉ-DIREITO SIMPLES, EM CHAPA DE MADEIRA COMPENSADA RESINADA, 6 UTILIZAÇÕES. AF_09/2020</v>
      </c>
      <c r="E4902" s="241" t="str">
        <f>VLOOKUP($C4902,'NAO DESO'!$A:$D,3,)</f>
        <v>M2</v>
      </c>
      <c r="F4902" s="242">
        <v>1.08</v>
      </c>
      <c r="G4902" s="242" t="str">
        <f>IF(B4902="SEPLAG",VLOOKUP(CONCATENATE("MEDIANA - ",C4902),COTAÇÃO,5,FALSE),VLOOKUP($C4902,'NAO DESO'!$A:$D,4,))</f>
        <v>67,90</v>
      </c>
      <c r="H4902" s="242">
        <f t="shared" si="286"/>
        <v>73.33</v>
      </c>
      <c r="I4902" s="54" t="str">
        <f>IF(B4902="SEPLAG",VLOOKUP(CONCATENATE("MEDIANA - ",C4902),COTAÇÃO,5,FALSE),VLOOKUP($C4902,DESON!$A:$D,4,))</f>
        <v>65,30</v>
      </c>
      <c r="J4902" s="209">
        <f t="shared" si="287"/>
        <v>70.52</v>
      </c>
    </row>
    <row r="4903" spans="1:10" ht="15" customHeight="1">
      <c r="A4903" s="208" t="s">
        <v>245</v>
      </c>
      <c r="B4903" s="241"/>
      <c r="C4903" s="1181">
        <v>88309</v>
      </c>
      <c r="D4903" s="161" t="str">
        <f>IF(B4903="SEPLAG",VLOOKUP(COMPOSIÇÕES!C4903,'MAPA COMPARATIVO'!A:B,2,FALSE),VLOOKUP(C4903,'NAO DESO'!A:B,2,0))</f>
        <v>PEDREIRO COM ENCARGOS COMPLEMENTARES</v>
      </c>
      <c r="E4903" s="241" t="str">
        <f>VLOOKUP($C4903,'NAO DESO'!$A:$D,3,)</f>
        <v>H</v>
      </c>
      <c r="F4903" s="242">
        <v>1</v>
      </c>
      <c r="G4903" s="242" t="str">
        <f>IF(B4903="SEPLAG",VLOOKUP(CONCATENATE("MEDIANA - ",C4903),COTAÇÃO,5,FALSE),VLOOKUP($C4903,'NAO DESO'!$A:$D,4,))</f>
        <v>21,10</v>
      </c>
      <c r="H4903" s="242">
        <f t="shared" si="286"/>
        <v>21.1</v>
      </c>
      <c r="I4903" s="54" t="str">
        <f>IF(B4903="SEPLAG",VLOOKUP(CONCATENATE("MEDIANA - ",C4903),COTAÇÃO,5,FALSE),VLOOKUP($C4903,DESON!$A:$D,4,))</f>
        <v>18,86</v>
      </c>
      <c r="J4903" s="209">
        <f t="shared" si="287"/>
        <v>18.86</v>
      </c>
    </row>
    <row r="4904" spans="1:10" ht="15" customHeight="1">
      <c r="A4904" s="208" t="s">
        <v>245</v>
      </c>
      <c r="B4904" s="241"/>
      <c r="C4904" s="1181">
        <v>88316</v>
      </c>
      <c r="D4904" s="161" t="str">
        <f>IF(B4904="SEPLAG",VLOOKUP(COMPOSIÇÕES!C4904,'MAPA COMPARATIVO'!A:B,2,FALSE),VLOOKUP(C4904,'NAO DESO'!A:B,2,0))</f>
        <v>SERVENTE COM ENCARGOS COMPLEMENTARES</v>
      </c>
      <c r="E4904" s="241" t="str">
        <f>VLOOKUP($C4904,'NAO DESO'!$A:$D,3,)</f>
        <v>H</v>
      </c>
      <c r="F4904" s="242">
        <v>1</v>
      </c>
      <c r="G4904" s="242" t="str">
        <f>IF(B4904="SEPLAG",VLOOKUP(CONCATENATE("MEDIANA - ",C4904),COTAÇÃO,5,FALSE),VLOOKUP($C4904,'NAO DESO'!$A:$D,4,))</f>
        <v>16,83</v>
      </c>
      <c r="H4904" s="242">
        <f t="shared" si="286"/>
        <v>16.829999999999998</v>
      </c>
      <c r="I4904" s="54" t="str">
        <f>IF(B4904="SEPLAG",VLOOKUP(CONCATENATE("MEDIANA - ",C4904),COTAÇÃO,5,FALSE),VLOOKUP($C4904,DESON!$A:$D,4,))</f>
        <v>15,16</v>
      </c>
      <c r="J4904" s="209">
        <f t="shared" si="287"/>
        <v>15.16</v>
      </c>
    </row>
    <row r="4905" spans="1:10" ht="15" customHeight="1">
      <c r="A4905" s="210" t="str">
        <f>CONCATENATE("TOTAL DO ITEM NÃO DESON. - ",C4889)</f>
        <v>TOTAL DO ITEM NÃO DESON. - SEPLAG HIDR 47</v>
      </c>
      <c r="B4905" s="430"/>
      <c r="C4905" s="430"/>
      <c r="D4905" s="430"/>
      <c r="E4905" s="430"/>
      <c r="F4905" s="1180"/>
      <c r="G4905" s="1180"/>
      <c r="H4905" s="1182">
        <f>SUM(H4892:H4904)</f>
        <v>2292.7599999999998</v>
      </c>
      <c r="I4905" s="231"/>
      <c r="J4905" s="215"/>
    </row>
    <row r="4906" spans="1:10" ht="15.75" customHeight="1" thickBot="1">
      <c r="A4906" s="216" t="str">
        <f>CONCATENATE("TOTAL DO ITEM DESON. - ",C4889)</f>
        <v>TOTAL DO ITEM DESON. - SEPLAG HIDR 47</v>
      </c>
      <c r="B4906" s="1142"/>
      <c r="C4906" s="1142"/>
      <c r="D4906" s="1142"/>
      <c r="E4906" s="1142"/>
      <c r="F4906" s="1211"/>
      <c r="G4906" s="1211"/>
      <c r="H4906" s="1187"/>
      <c r="I4906" s="260"/>
      <c r="J4906" s="219">
        <f>SUM(J4892:J4904)</f>
        <v>2229.92</v>
      </c>
    </row>
    <row r="4907" spans="1:10" ht="15" customHeight="1" thickBot="1">
      <c r="A4907" s="421"/>
      <c r="B4907" s="1138"/>
      <c r="C4907" s="1138"/>
      <c r="D4907" s="1138"/>
      <c r="E4907" s="1154"/>
      <c r="F4907" s="1196"/>
      <c r="G4907" s="1196"/>
      <c r="H4907" s="1196"/>
      <c r="I4907" s="422"/>
      <c r="J4907" s="422"/>
    </row>
    <row r="4908" spans="1:10" ht="38.25" customHeight="1">
      <c r="A4908" s="473" t="s">
        <v>421</v>
      </c>
      <c r="B4908" s="1234"/>
      <c r="C4908" s="1176" t="s">
        <v>7563</v>
      </c>
      <c r="D4908" s="156" t="s">
        <v>27977</v>
      </c>
      <c r="E4908" s="1176" t="s">
        <v>24</v>
      </c>
      <c r="F4908" s="1177" t="s">
        <v>18</v>
      </c>
      <c r="G4908" s="1178" t="s">
        <v>7015</v>
      </c>
      <c r="H4908" s="1179"/>
      <c r="I4908" s="200" t="s">
        <v>7016</v>
      </c>
      <c r="J4908" s="201"/>
    </row>
    <row r="4909" spans="1:10" ht="15" customHeight="1">
      <c r="A4909" s="257"/>
      <c r="B4909" s="430"/>
      <c r="C4909" s="1155"/>
      <c r="D4909" s="157"/>
      <c r="E4909" s="1155"/>
      <c r="F4909" s="1180"/>
      <c r="G4909" s="1180" t="s">
        <v>19</v>
      </c>
      <c r="H4909" s="1180" t="s">
        <v>20</v>
      </c>
      <c r="I4909" s="204" t="s">
        <v>19</v>
      </c>
      <c r="J4909" s="206" t="s">
        <v>20</v>
      </c>
    </row>
    <row r="4910" spans="1:10" ht="15" customHeight="1">
      <c r="A4910" s="258"/>
      <c r="B4910" s="1155"/>
      <c r="C4910" s="1155"/>
      <c r="D4910" s="157"/>
      <c r="E4910" s="1155"/>
      <c r="F4910" s="1180"/>
      <c r="G4910" s="1180"/>
      <c r="H4910" s="1180"/>
      <c r="I4910" s="238"/>
      <c r="J4910" s="259"/>
    </row>
    <row r="4911" spans="1:10" ht="39" customHeight="1">
      <c r="A4911" s="208" t="s">
        <v>245</v>
      </c>
      <c r="B4911" s="241"/>
      <c r="C4911" s="1181">
        <v>101159</v>
      </c>
      <c r="D4911" s="161" t="str">
        <f>IF(B4911="SEPLAG",VLOOKUP(COMPOSIÇÕES!C4911,'MAPA COMPARATIVO'!A:B,2,FALSE),VLOOKUP(C4911,'NAO DESO'!A:B,2,0))</f>
        <v>ALVENARIA DE VEDAÇÃO DE BLOCOS CERÂMICOS MACIÇOS DE 5X10X20CM (ESPESSURA 10CM) E ARGAMASSA DE ASSENTAMENTO COM PREPARO EM BETONEIRA. AF_05/2020</v>
      </c>
      <c r="E4911" s="241" t="str">
        <f>VLOOKUP($C4911,'NAO DESO'!$A:$D,3,)</f>
        <v>M2</v>
      </c>
      <c r="F4911" s="242">
        <v>2.16</v>
      </c>
      <c r="G4911" s="242" t="str">
        <f>IF(B4911="SEPLAG",VLOOKUP(CONCATENATE("MEDIANA - ",C4911),COTAÇÃO,5,FALSE),VLOOKUP($C4911,'NAO DESO'!$A:$D,4,))</f>
        <v>126,63</v>
      </c>
      <c r="H4911" s="242">
        <f t="shared" ref="H4911:H4923" si="288">TRUNC(F4911*G4911,2)</f>
        <v>273.52</v>
      </c>
      <c r="I4911" s="54" t="str">
        <f>IF(B4911="SEPLAG",VLOOKUP(CONCATENATE("MEDIANA - ",C4911),COTAÇÃO,5,FALSE),VLOOKUP($C4911,DESON!$A:$D,4,))</f>
        <v>120,46</v>
      </c>
      <c r="J4911" s="209">
        <f t="shared" ref="J4911:J4923" si="289">TRUNC(F4911*I4911,2)</f>
        <v>260.19</v>
      </c>
    </row>
    <row r="4912" spans="1:10" ht="64.5" customHeight="1">
      <c r="A4912" s="208" t="s">
        <v>245</v>
      </c>
      <c r="B4912" s="241"/>
      <c r="C4912" s="1181">
        <v>87543</v>
      </c>
      <c r="D4912" s="161" t="str">
        <f>IF(B4912="SEPLAG",VLOOKUP(COMPOSIÇÕES!C4912,'MAPA COMPARATIVO'!A:B,2,FALSE),VLOOKUP(C4912,'NAO DESO'!A:B,2,0))</f>
        <v>MASSA ÚNICA, PARA RECEBIMENTO DE PINTURA OU CERÂMICA, ARGAMASSA INDUSTRIALIZADA, PREPARO MECÂNICO, APLICADO COM EQUIPAMENTO DE MISTURA E PROJEÇÃO DE 1,5 M3/H EM FACES INTERNAS DE PAREDES, ESPESSURA DE 5MM, SEM EXECUÇÃO DE TALISCAS. AF_06/2014</v>
      </c>
      <c r="E4912" s="241" t="str">
        <f>VLOOKUP($C4912,'NAO DESO'!$A:$D,3,)</f>
        <v>M2</v>
      </c>
      <c r="F4912" s="242">
        <v>7.92</v>
      </c>
      <c r="G4912" s="242" t="str">
        <f>IF(B4912="SEPLAG",VLOOKUP(CONCATENATE("MEDIANA - ",C4912),COTAÇÃO,5,FALSE),VLOOKUP($C4912,'NAO DESO'!$A:$D,4,))</f>
        <v>24,40</v>
      </c>
      <c r="H4912" s="242">
        <f t="shared" si="288"/>
        <v>193.24</v>
      </c>
      <c r="I4912" s="54" t="str">
        <f>IF(B4912="SEPLAG",VLOOKUP(CONCATENATE("MEDIANA - ",C4912),COTAÇÃO,5,FALSE),VLOOKUP($C4912,DESON!$A:$D,4,))</f>
        <v>23,82</v>
      </c>
      <c r="J4912" s="209">
        <f t="shared" si="289"/>
        <v>188.65</v>
      </c>
    </row>
    <row r="4913" spans="1:10" ht="39" customHeight="1">
      <c r="A4913" s="208" t="s">
        <v>245</v>
      </c>
      <c r="B4913" s="241"/>
      <c r="C4913" s="1181">
        <v>94970</v>
      </c>
      <c r="D4913" s="161" t="str">
        <f>IF(B4913="SEPLAG",VLOOKUP(COMPOSIÇÕES!C4913,'MAPA COMPARATIVO'!A:B,2,FALSE),VLOOKUP(C4913,'NAO DESO'!A:B,2,0))</f>
        <v>CONCRETO FCK = 20MPA, TRAÇO 1:2,7:3 (EM MASSA SECA DE CIMENTO/ AREIA MÉDIA/ BRITA 1) - PREPARO MECÂNICO COM BETONEIRA 600 L. AF_05/2021</v>
      </c>
      <c r="E4913" s="241" t="str">
        <f>VLOOKUP($C4913,'NAO DESO'!$A:$D,3,)</f>
        <v>M3</v>
      </c>
      <c r="F4913" s="242">
        <v>0.2</v>
      </c>
      <c r="G4913" s="242" t="str">
        <f>IF(B4913="SEPLAG",VLOOKUP(CONCATENATE("MEDIANA - ",C4913),COTAÇÃO,5,FALSE),VLOOKUP($C4913,'NAO DESO'!$A:$D,4,))</f>
        <v>405,57</v>
      </c>
      <c r="H4913" s="242">
        <f t="shared" si="288"/>
        <v>81.11</v>
      </c>
      <c r="I4913" s="54" t="str">
        <f>IF(B4913="SEPLAG",VLOOKUP(CONCATENATE("MEDIANA - ",C4913),COTAÇÃO,5,FALSE),VLOOKUP($C4913,DESON!$A:$D,4,))</f>
        <v>400,17</v>
      </c>
      <c r="J4913" s="209">
        <f t="shared" si="289"/>
        <v>80.03</v>
      </c>
    </row>
    <row r="4914" spans="1:10" ht="26.25" customHeight="1">
      <c r="A4914" s="208" t="s">
        <v>245</v>
      </c>
      <c r="B4914" s="241"/>
      <c r="C4914" s="1181">
        <v>93358</v>
      </c>
      <c r="D4914" s="161" t="str">
        <f>IF(B4914="SEPLAG",VLOOKUP(COMPOSIÇÕES!C4914,'MAPA COMPARATIVO'!A:B,2,FALSE),VLOOKUP(C4914,'NAO DESO'!A:B,2,0))</f>
        <v>ESCAVAÇÃO MANUAL DE VALA COM PROFUNDIDADE MENOR OU IGUAL A 1,30 M. AF_02/2021</v>
      </c>
      <c r="E4914" s="241" t="str">
        <f>VLOOKUP($C4914,'NAO DESO'!$A:$D,3,)</f>
        <v>M3</v>
      </c>
      <c r="F4914" s="242">
        <v>2.4300000000000002</v>
      </c>
      <c r="G4914" s="242" t="str">
        <f>IF(B4914="SEPLAG",VLOOKUP(CONCATENATE("MEDIANA - ",C4914),COTAÇÃO,5,FALSE),VLOOKUP($C4914,'NAO DESO'!$A:$D,4,))</f>
        <v>66,57</v>
      </c>
      <c r="H4914" s="242">
        <f t="shared" si="288"/>
        <v>161.76</v>
      </c>
      <c r="I4914" s="54" t="str">
        <f>IF(B4914="SEPLAG",VLOOKUP(CONCATENATE("MEDIANA - ",C4914),COTAÇÃO,5,FALSE),VLOOKUP($C4914,DESON!$A:$D,4,))</f>
        <v>59,97</v>
      </c>
      <c r="J4914" s="209">
        <f t="shared" si="289"/>
        <v>145.72</v>
      </c>
    </row>
    <row r="4915" spans="1:10" ht="26.25" customHeight="1">
      <c r="A4915" s="208" t="s">
        <v>245</v>
      </c>
      <c r="B4915" s="241"/>
      <c r="C4915" s="1181">
        <v>101617</v>
      </c>
      <c r="D4915" s="161" t="str">
        <f>IF(B4915="SEPLAG",VLOOKUP(COMPOSIÇÕES!C4915,'MAPA COMPARATIVO'!A:B,2,FALSE),VLOOKUP(C4915,'NAO DESO'!A:B,2,0))</f>
        <v>PREPARO DE FUNDO DE VALA COM LARGURA MAIOR OU IGUAL A 1,5 M E MENOR QUE 2,5 M (ACERTO DO SOLO NATURAL). AF_08/2020</v>
      </c>
      <c r="E4915" s="241" t="str">
        <f>VLOOKUP($C4915,'NAO DESO'!$A:$D,3,)</f>
        <v>M2</v>
      </c>
      <c r="F4915" s="242">
        <v>1</v>
      </c>
      <c r="G4915" s="242" t="str">
        <f>IF(B4915="SEPLAG",VLOOKUP(CONCATENATE("MEDIANA - ",C4915),COTAÇÃO,5,FALSE),VLOOKUP($C4915,'NAO DESO'!$A:$D,4,))</f>
        <v>2,38</v>
      </c>
      <c r="H4915" s="242">
        <f t="shared" si="288"/>
        <v>2.38</v>
      </c>
      <c r="I4915" s="54" t="str">
        <f>IF(B4915="SEPLAG",VLOOKUP(CONCATENATE("MEDIANA - ",C4915),COTAÇÃO,5,FALSE),VLOOKUP($C4915,DESON!$A:$D,4,))</f>
        <v>2,15</v>
      </c>
      <c r="J4915" s="209">
        <f t="shared" si="289"/>
        <v>2.15</v>
      </c>
    </row>
    <row r="4916" spans="1:10" ht="15" customHeight="1">
      <c r="A4916" s="208" t="s">
        <v>245</v>
      </c>
      <c r="B4916" s="241"/>
      <c r="C4916" s="1181">
        <v>96995</v>
      </c>
      <c r="D4916" s="161" t="str">
        <f>IF(B4916="SEPLAG",VLOOKUP(COMPOSIÇÕES!C4916,'MAPA COMPARATIVO'!A:B,2,FALSE),VLOOKUP(C4916,'NAO DESO'!A:B,2,0))</f>
        <v>REATERRO MANUAL APILOADO COM SOQUETE. AF_10/2017</v>
      </c>
      <c r="E4916" s="241" t="str">
        <f>VLOOKUP($C4916,'NAO DESO'!$A:$D,3,)</f>
        <v>M3</v>
      </c>
      <c r="F4916" s="242">
        <v>1.83</v>
      </c>
      <c r="G4916" s="242" t="str">
        <f>IF(B4916="SEPLAG",VLOOKUP(CONCATENATE("MEDIANA - ",C4916),COTAÇÃO,5,FALSE),VLOOKUP($C4916,'NAO DESO'!$A:$D,4,))</f>
        <v>40,36</v>
      </c>
      <c r="H4916" s="242">
        <f t="shared" si="288"/>
        <v>73.849999999999994</v>
      </c>
      <c r="I4916" s="54" t="str">
        <f>IF(B4916="SEPLAG",VLOOKUP(CONCATENATE("MEDIANA - ",C4916),COTAÇÃO,5,FALSE),VLOOKUP($C4916,DESON!$A:$D,4,))</f>
        <v>36,36</v>
      </c>
      <c r="J4916" s="209">
        <f t="shared" si="289"/>
        <v>66.53</v>
      </c>
    </row>
    <row r="4917" spans="1:10" ht="26.25" customHeight="1">
      <c r="A4917" s="208" t="s">
        <v>245</v>
      </c>
      <c r="B4917" s="241"/>
      <c r="C4917" s="1181">
        <v>98557</v>
      </c>
      <c r="D4917" s="161" t="str">
        <f>IF(B4917="SEPLAG",VLOOKUP(COMPOSIÇÕES!C4917,'MAPA COMPARATIVO'!A:B,2,FALSE),VLOOKUP(C4917,'NAO DESO'!A:B,2,0))</f>
        <v>IMPERMEABILIZAÇÃO DE SUPERFÍCIE COM EMULSÃO ASFÁLTICA, 2 DEMÃOS AF_06/2018</v>
      </c>
      <c r="E4917" s="241" t="str">
        <f>VLOOKUP($C4917,'NAO DESO'!$A:$D,3,)</f>
        <v>M2</v>
      </c>
      <c r="F4917" s="242">
        <f>F4912</f>
        <v>7.92</v>
      </c>
      <c r="G4917" s="242" t="str">
        <f>IF(B4917="SEPLAG",VLOOKUP(CONCATENATE("MEDIANA - ",C4917),COTAÇÃO,5,FALSE),VLOOKUP($C4917,'NAO DESO'!$A:$D,4,))</f>
        <v>58,82</v>
      </c>
      <c r="H4917" s="242">
        <f t="shared" si="288"/>
        <v>465.85</v>
      </c>
      <c r="I4917" s="54" t="str">
        <f>IF(B4917="SEPLAG",VLOOKUP(CONCATENATE("MEDIANA - ",C4917),COTAÇÃO,5,FALSE),VLOOKUP($C4917,DESON!$A:$D,4,))</f>
        <v>57,84</v>
      </c>
      <c r="J4917" s="209">
        <f t="shared" si="289"/>
        <v>458.09</v>
      </c>
    </row>
    <row r="4918" spans="1:10" ht="26.25" customHeight="1">
      <c r="A4918" s="208" t="s">
        <v>245</v>
      </c>
      <c r="B4918" s="241"/>
      <c r="C4918" s="1181">
        <v>11301</v>
      </c>
      <c r="D4918" s="161" t="str">
        <f>IF(B4918="SEPLAG",VLOOKUP(COMPOSIÇÕES!C4918,'MAPA COMPARATIVO'!A:B,2,FALSE),VLOOKUP(C4918,'NAO DESO'!A:B,2,0))</f>
        <v>TAMPAO FOFO ARTICULADO, CLASSE B125 CARGA MAX 12,5 T, REDONDO, TAMPA 600 MM (COM INSCRICAO EM RELEVO DO TIPO DE REDE)</v>
      </c>
      <c r="E4918" s="241" t="str">
        <f>VLOOKUP($C4918,'NAO DESO'!$A:$D,3,)</f>
        <v xml:space="preserve">UN    </v>
      </c>
      <c r="F4918" s="242">
        <v>1</v>
      </c>
      <c r="G4918" s="242">
        <f>IF(B4918="SEPLAG",VLOOKUP(CONCATENATE("MEDIANA - ",C4918),COTAÇÃO,5,FALSE),VLOOKUP($C4918,'NAO DESO'!$A:$D,4,))</f>
        <v>660.46</v>
      </c>
      <c r="H4918" s="242">
        <f t="shared" si="288"/>
        <v>660.46</v>
      </c>
      <c r="I4918" s="54" t="str">
        <f>IF(B4918="SEPLAG",VLOOKUP(CONCATENATE("MEDIANA - ",C4918),COTAÇÃO,5,FALSE),VLOOKUP($C4918,DESON!$A:$D,4,))</f>
        <v>660,46</v>
      </c>
      <c r="J4918" s="209">
        <f t="shared" si="289"/>
        <v>660.46</v>
      </c>
    </row>
    <row r="4919" spans="1:10" ht="39" customHeight="1">
      <c r="A4919" s="208" t="s">
        <v>245</v>
      </c>
      <c r="B4919" s="241"/>
      <c r="C4919" s="1181">
        <v>92775</v>
      </c>
      <c r="D4919" s="161" t="str">
        <f>IF(B4919="SEPLAG",VLOOKUP(COMPOSIÇÕES!C4919,'MAPA COMPARATIVO'!A:B,2,FALSE),VLOOKUP(C4919,'NAO DESO'!A:B,2,0))</f>
        <v>ARMAÇÃO DE PILAR OU VIGA DE UMA ESTRUTURA CONVENCIONAL DE CONCRETO ARMADO EM UMA EDIFICAÇÃO TÉRREA OU SOBRADO UTILIZANDO AÇO CA-60 DE 5,0 MM - MONTAGEM. AF_12/2015</v>
      </c>
      <c r="E4919" s="241" t="str">
        <f>VLOOKUP($C4919,'NAO DESO'!$A:$D,3,)</f>
        <v>KG</v>
      </c>
      <c r="F4919" s="242">
        <v>1.66</v>
      </c>
      <c r="G4919" s="242" t="str">
        <f>IF(B4919="SEPLAG",VLOOKUP(CONCATENATE("MEDIANA - ",C4919),COTAÇÃO,5,FALSE),VLOOKUP($C4919,'NAO DESO'!$A:$D,4,))</f>
        <v>18,46</v>
      </c>
      <c r="H4919" s="242">
        <f t="shared" si="288"/>
        <v>30.64</v>
      </c>
      <c r="I4919" s="54" t="str">
        <f>IF(B4919="SEPLAG",VLOOKUP(CONCATENATE("MEDIANA - ",C4919),COTAÇÃO,5,FALSE),VLOOKUP($C4919,DESON!$A:$D,4,))</f>
        <v>17,71</v>
      </c>
      <c r="J4919" s="209">
        <f t="shared" si="289"/>
        <v>29.39</v>
      </c>
    </row>
    <row r="4920" spans="1:10" ht="39" customHeight="1">
      <c r="A4920" s="208" t="s">
        <v>245</v>
      </c>
      <c r="B4920" s="241"/>
      <c r="C4920" s="1181">
        <v>92778</v>
      </c>
      <c r="D4920" s="161" t="str">
        <f>IF(B4920="SEPLAG",VLOOKUP(COMPOSIÇÕES!C4920,'MAPA COMPARATIVO'!A:B,2,FALSE),VLOOKUP(C4920,'NAO DESO'!A:B,2,0))</f>
        <v>ARMAÇÃO DE PILAR OU VIGA DE UMA ESTRUTURA CONVENCIONAL DE CONCRETO ARMADO EM UMA EDIFICAÇÃO TÉRREA OU SOBRADO UTILIZANDO AÇO CA-50 DE 10,0 MM - MONTAGEM. AF_12/2015</v>
      </c>
      <c r="E4920" s="241" t="str">
        <f>VLOOKUP($C4920,'NAO DESO'!$A:$D,3,)</f>
        <v>KG</v>
      </c>
      <c r="F4920" s="242">
        <v>16.149999999999999</v>
      </c>
      <c r="G4920" s="242" t="str">
        <f>IF(B4920="SEPLAG",VLOOKUP(CONCATENATE("MEDIANA - ",C4920),COTAÇÃO,5,FALSE),VLOOKUP($C4920,'NAO DESO'!$A:$D,4,))</f>
        <v>14,78</v>
      </c>
      <c r="H4920" s="242">
        <f t="shared" si="288"/>
        <v>238.69</v>
      </c>
      <c r="I4920" s="54" t="str">
        <f>IF(B4920="SEPLAG",VLOOKUP(CONCATENATE("MEDIANA - ",C4920),COTAÇÃO,5,FALSE),VLOOKUP($C4920,DESON!$A:$D,4,))</f>
        <v>14,50</v>
      </c>
      <c r="J4920" s="209">
        <f t="shared" si="289"/>
        <v>234.17</v>
      </c>
    </row>
    <row r="4921" spans="1:10" ht="39" customHeight="1">
      <c r="A4921" s="208" t="s">
        <v>245</v>
      </c>
      <c r="B4921" s="241"/>
      <c r="C4921" s="1181">
        <v>92423</v>
      </c>
      <c r="D4921" s="161" t="str">
        <f>IF(B4921="SEPLAG",VLOOKUP(COMPOSIÇÕES!C4921,'MAPA COMPARATIVO'!A:B,2,FALSE),VLOOKUP(C4921,'NAO DESO'!A:B,2,0))</f>
        <v>MONTAGEM E DESMONTAGEM DE FÔRMA DE PILARES RETANGULARES E ESTRUTURAS SIMILARES, PÉ-DIREITO SIMPLES, EM CHAPA DE MADEIRA COMPENSADA RESINADA, 6 UTILIZAÇÕES. AF_09/2020</v>
      </c>
      <c r="E4921" s="241" t="str">
        <f>VLOOKUP($C4921,'NAO DESO'!$A:$D,3,)</f>
        <v>M2</v>
      </c>
      <c r="F4921" s="242">
        <v>1.08</v>
      </c>
      <c r="G4921" s="242" t="str">
        <f>IF(B4921="SEPLAG",VLOOKUP(CONCATENATE("MEDIANA - ",C4921),COTAÇÃO,5,FALSE),VLOOKUP($C4921,'NAO DESO'!$A:$D,4,))</f>
        <v>67,90</v>
      </c>
      <c r="H4921" s="242">
        <f t="shared" si="288"/>
        <v>73.33</v>
      </c>
      <c r="I4921" s="54" t="str">
        <f>IF(B4921="SEPLAG",VLOOKUP(CONCATENATE("MEDIANA - ",C4921),COTAÇÃO,5,FALSE),VLOOKUP($C4921,DESON!$A:$D,4,))</f>
        <v>65,30</v>
      </c>
      <c r="J4921" s="209">
        <f t="shared" si="289"/>
        <v>70.52</v>
      </c>
    </row>
    <row r="4922" spans="1:10" ht="15" customHeight="1">
      <c r="A4922" s="208" t="s">
        <v>245</v>
      </c>
      <c r="B4922" s="241"/>
      <c r="C4922" s="1181">
        <v>88309</v>
      </c>
      <c r="D4922" s="161" t="str">
        <f>IF(B4922="SEPLAG",VLOOKUP(COMPOSIÇÕES!C4922,'MAPA COMPARATIVO'!A:B,2,FALSE),VLOOKUP(C4922,'NAO DESO'!A:B,2,0))</f>
        <v>PEDREIRO COM ENCARGOS COMPLEMENTARES</v>
      </c>
      <c r="E4922" s="241" t="str">
        <f>VLOOKUP($C4922,'NAO DESO'!$A:$D,3,)</f>
        <v>H</v>
      </c>
      <c r="F4922" s="242">
        <v>1</v>
      </c>
      <c r="G4922" s="242" t="str">
        <f>IF(B4922="SEPLAG",VLOOKUP(CONCATENATE("MEDIANA - ",C4922),COTAÇÃO,5,FALSE),VLOOKUP($C4922,'NAO DESO'!$A:$D,4,))</f>
        <v>21,10</v>
      </c>
      <c r="H4922" s="242">
        <f t="shared" si="288"/>
        <v>21.1</v>
      </c>
      <c r="I4922" s="54" t="str">
        <f>IF(B4922="SEPLAG",VLOOKUP(CONCATENATE("MEDIANA - ",C4922),COTAÇÃO,5,FALSE),VLOOKUP($C4922,DESON!$A:$D,4,))</f>
        <v>18,86</v>
      </c>
      <c r="J4922" s="209">
        <f t="shared" si="289"/>
        <v>18.86</v>
      </c>
    </row>
    <row r="4923" spans="1:10" ht="15" customHeight="1">
      <c r="A4923" s="208" t="s">
        <v>245</v>
      </c>
      <c r="B4923" s="241"/>
      <c r="C4923" s="1181">
        <v>88316</v>
      </c>
      <c r="D4923" s="161" t="str">
        <f>IF(B4923="SEPLAG",VLOOKUP(COMPOSIÇÕES!C4923,'MAPA COMPARATIVO'!A:B,2,FALSE),VLOOKUP(C4923,'NAO DESO'!A:B,2,0))</f>
        <v>SERVENTE COM ENCARGOS COMPLEMENTARES</v>
      </c>
      <c r="E4923" s="241" t="str">
        <f>VLOOKUP($C4923,'NAO DESO'!$A:$D,3,)</f>
        <v>H</v>
      </c>
      <c r="F4923" s="242">
        <v>1</v>
      </c>
      <c r="G4923" s="242" t="str">
        <f>IF(B4923="SEPLAG",VLOOKUP(CONCATENATE("MEDIANA - ",C4923),COTAÇÃO,5,FALSE),VLOOKUP($C4923,'NAO DESO'!$A:$D,4,))</f>
        <v>16,83</v>
      </c>
      <c r="H4923" s="242">
        <f t="shared" si="288"/>
        <v>16.829999999999998</v>
      </c>
      <c r="I4923" s="54" t="str">
        <f>IF(B4923="SEPLAG",VLOOKUP(CONCATENATE("MEDIANA - ",C4923),COTAÇÃO,5,FALSE),VLOOKUP($C4923,DESON!$A:$D,4,))</f>
        <v>15,16</v>
      </c>
      <c r="J4923" s="209">
        <f t="shared" si="289"/>
        <v>15.16</v>
      </c>
    </row>
    <row r="4924" spans="1:10" ht="15" customHeight="1">
      <c r="A4924" s="210" t="str">
        <f>CONCATENATE("TOTAL DO ITEM NÃO DESON. - ",C4908)</f>
        <v>TOTAL DO ITEM NÃO DESON. - SEPLAG HIDR 48</v>
      </c>
      <c r="B4924" s="430"/>
      <c r="C4924" s="430"/>
      <c r="D4924" s="430"/>
      <c r="E4924" s="430"/>
      <c r="F4924" s="1180"/>
      <c r="G4924" s="1180"/>
      <c r="H4924" s="1182">
        <f>SUM(H4911:H4923)</f>
        <v>2292.7599999999998</v>
      </c>
      <c r="I4924" s="231"/>
      <c r="J4924" s="215"/>
    </row>
    <row r="4925" spans="1:10" ht="15.75" customHeight="1" thickBot="1">
      <c r="A4925" s="216" t="str">
        <f>CONCATENATE("TOTAL DO ITEM DESON. - ",C4908)</f>
        <v>TOTAL DO ITEM DESON. - SEPLAG HIDR 48</v>
      </c>
      <c r="B4925" s="1142"/>
      <c r="C4925" s="1142"/>
      <c r="D4925" s="1142"/>
      <c r="E4925" s="1142"/>
      <c r="F4925" s="1211"/>
      <c r="G4925" s="1211"/>
      <c r="H4925" s="1187"/>
      <c r="I4925" s="260"/>
      <c r="J4925" s="219">
        <f>SUM(J4911:J4923)</f>
        <v>2229.92</v>
      </c>
    </row>
    <row r="4926" spans="1:10" ht="15" customHeight="1" thickBot="1">
      <c r="A4926" s="421"/>
      <c r="B4926" s="1138"/>
      <c r="C4926" s="1138"/>
      <c r="D4926" s="1138"/>
      <c r="E4926" s="1154"/>
      <c r="F4926" s="1196"/>
      <c r="G4926" s="1196"/>
      <c r="H4926" s="1196"/>
      <c r="I4926" s="422"/>
      <c r="J4926" s="422"/>
    </row>
    <row r="4927" spans="1:10" ht="25.5" customHeight="1">
      <c r="A4927" s="256"/>
      <c r="B4927" s="1152"/>
      <c r="C4927" s="1176" t="s">
        <v>7564</v>
      </c>
      <c r="D4927" s="156" t="s">
        <v>7565</v>
      </c>
      <c r="E4927" s="1176" t="s">
        <v>24</v>
      </c>
      <c r="F4927" s="1177" t="s">
        <v>18</v>
      </c>
      <c r="G4927" s="1178" t="s">
        <v>7015</v>
      </c>
      <c r="H4927" s="1179"/>
      <c r="I4927" s="200" t="s">
        <v>7016</v>
      </c>
      <c r="J4927" s="201"/>
    </row>
    <row r="4928" spans="1:10" ht="15" customHeight="1">
      <c r="A4928" s="257"/>
      <c r="B4928" s="430"/>
      <c r="C4928" s="1155"/>
      <c r="D4928" s="157"/>
      <c r="E4928" s="1155"/>
      <c r="F4928" s="1180"/>
      <c r="G4928" s="1180" t="s">
        <v>19</v>
      </c>
      <c r="H4928" s="1180" t="s">
        <v>20</v>
      </c>
      <c r="I4928" s="204" t="s">
        <v>19</v>
      </c>
      <c r="J4928" s="206" t="s">
        <v>20</v>
      </c>
    </row>
    <row r="4929" spans="1:10" ht="15" customHeight="1">
      <c r="A4929" s="258"/>
      <c r="B4929" s="1155"/>
      <c r="C4929" s="1155"/>
      <c r="D4929" s="157"/>
      <c r="E4929" s="1155"/>
      <c r="F4929" s="1180"/>
      <c r="G4929" s="1180"/>
      <c r="H4929" s="1180"/>
      <c r="I4929" s="238"/>
      <c r="J4929" s="259"/>
    </row>
    <row r="4930" spans="1:10" ht="15" customHeight="1">
      <c r="A4930" s="208" t="s">
        <v>245</v>
      </c>
      <c r="B4930" s="241"/>
      <c r="C4930" s="1181">
        <v>1933</v>
      </c>
      <c r="D4930" s="161" t="str">
        <f>IF(B4930="SEPLAG",VLOOKUP(COMPOSIÇÕES!C4930,'MAPA COMPARATIVO'!A:B,2,FALSE),VLOOKUP(C4930,'NAO DESO'!A:B,2,0))</f>
        <v>CURVA PVC CURTA 90 GRAUS, DN 40 MM, PARA ESGOTO PREDIAL</v>
      </c>
      <c r="E4930" s="241" t="str">
        <f>VLOOKUP($C4930,'NAO DESO'!$A:$D,3,)</f>
        <v xml:space="preserve">UN    </v>
      </c>
      <c r="F4930" s="1186" t="s">
        <v>7045</v>
      </c>
      <c r="G4930" s="242">
        <f>IF(B4930="SEPLAG",VLOOKUP(CONCATENATE("MEDIANA - ",C4930),COTAÇÃO,5,FALSE),VLOOKUP($C4930,'NAO DESO'!$A:$D,4,))</f>
        <v>5.35</v>
      </c>
      <c r="H4930" s="242">
        <f>TRUNC(F4930*G4930,2)</f>
        <v>5.35</v>
      </c>
      <c r="I4930" s="54" t="str">
        <f>IF(B4930="SEPLAG",VLOOKUP(CONCATENATE("MEDIANA - ",C4930),COTAÇÃO,5,FALSE),VLOOKUP($C4930,DESON!$A:$D,4,))</f>
        <v>5,35</v>
      </c>
      <c r="J4930" s="209">
        <f>TRUNC(F4930*I4930,2)</f>
        <v>5.35</v>
      </c>
    </row>
    <row r="4931" spans="1:10" ht="26.25" customHeight="1">
      <c r="A4931" s="208" t="s">
        <v>245</v>
      </c>
      <c r="B4931" s="241"/>
      <c r="C4931" s="1181">
        <v>20078</v>
      </c>
      <c r="D4931" s="161" t="str">
        <f>IF(B4931="SEPLAG",VLOOKUP(COMPOSIÇÕES!C4931,'MAPA COMPARATIVO'!A:B,2,FALSE),VLOOKUP(C4931,'NAO DESO'!A:B,2,0))</f>
        <v>PASTA LUBRIFICANTE PARA TUBOS E CONEXOES COM JUNTA ELASTICA, EMBALAGEM DE *400* GR (USO EM PVC, ACO, POLIETILENO E OUTROS)</v>
      </c>
      <c r="E4931" s="241" t="str">
        <f>VLOOKUP($C4931,'NAO DESO'!$A:$D,3,)</f>
        <v xml:space="preserve">UN    </v>
      </c>
      <c r="F4931" s="1186" t="s">
        <v>7309</v>
      </c>
      <c r="G4931" s="242">
        <f>IF(B4931="SEPLAG",VLOOKUP(CONCATENATE("MEDIANA - ",C4931),COTAÇÃO,5,FALSE),VLOOKUP($C4931,'NAO DESO'!$A:$D,4,))</f>
        <v>31.75</v>
      </c>
      <c r="H4931" s="242">
        <f>TRUNC(F4931*G4931,2)</f>
        <v>0.95</v>
      </c>
      <c r="I4931" s="54" t="str">
        <f>IF(B4931="SEPLAG",VLOOKUP(CONCATENATE("MEDIANA - ",C4931),COTAÇÃO,5,FALSE),VLOOKUP($C4931,DESON!$A:$D,4,))</f>
        <v>31,75</v>
      </c>
      <c r="J4931" s="209">
        <f>TRUNC(F4931*I4931,2)</f>
        <v>0.95</v>
      </c>
    </row>
    <row r="4932" spans="1:10" ht="26.25" customHeight="1">
      <c r="A4932" s="208" t="s">
        <v>245</v>
      </c>
      <c r="B4932" s="241"/>
      <c r="C4932" s="1181">
        <v>88248</v>
      </c>
      <c r="D4932" s="161" t="str">
        <f>IF(B4932="SEPLAG",VLOOKUP(COMPOSIÇÕES!C4932,'MAPA COMPARATIVO'!A:B,2,FALSE),VLOOKUP(C4932,'NAO DESO'!A:B,2,0))</f>
        <v>AUXILIAR DE ENCANADOR OU BOMBEIRO HIDRÁULICO COM ENCARGOS COMPLEMENTARES</v>
      </c>
      <c r="E4932" s="241" t="str">
        <f>VLOOKUP($C4932,'NAO DESO'!$A:$D,3,)</f>
        <v>H</v>
      </c>
      <c r="F4932" s="1186" t="s">
        <v>7310</v>
      </c>
      <c r="G4932" s="242" t="str">
        <f>IF(B4932="SEPLAG",VLOOKUP(CONCATENATE("MEDIANA - ",C4932),COTAÇÃO,5,FALSE),VLOOKUP($C4932,'NAO DESO'!$A:$D,4,))</f>
        <v>17,33</v>
      </c>
      <c r="H4932" s="242">
        <f>TRUNC(F4932*G4932,2)</f>
        <v>1.21</v>
      </c>
      <c r="I4932" s="54" t="str">
        <f>IF(B4932="SEPLAG",VLOOKUP(CONCATENATE("MEDIANA - ",C4932),COTAÇÃO,5,FALSE),VLOOKUP($C4932,DESON!$A:$D,4,))</f>
        <v>15,54</v>
      </c>
      <c r="J4932" s="209">
        <f>TRUNC(F4932*I4932,2)</f>
        <v>1.08</v>
      </c>
    </row>
    <row r="4933" spans="1:10" ht="26.25" customHeight="1">
      <c r="A4933" s="208" t="s">
        <v>245</v>
      </c>
      <c r="B4933" s="241"/>
      <c r="C4933" s="1181">
        <v>88267</v>
      </c>
      <c r="D4933" s="161" t="str">
        <f>IF(B4933="SEPLAG",VLOOKUP(COMPOSIÇÕES!C4933,'MAPA COMPARATIVO'!A:B,2,FALSE),VLOOKUP(C4933,'NAO DESO'!A:B,2,0))</f>
        <v>ENCANADOR OU BOMBEIRO HIDRÁULICO COM ENCARGOS COMPLEMENTARES</v>
      </c>
      <c r="E4933" s="241" t="str">
        <f>VLOOKUP($C4933,'NAO DESO'!$A:$D,3,)</f>
        <v>H</v>
      </c>
      <c r="F4933" s="1186" t="s">
        <v>7310</v>
      </c>
      <c r="G4933" s="242" t="str">
        <f>IF(B4933="SEPLAG",VLOOKUP(CONCATENATE("MEDIANA - ",C4933),COTAÇÃO,5,FALSE),VLOOKUP($C4933,'NAO DESO'!$A:$D,4,))</f>
        <v>21,03</v>
      </c>
      <c r="H4933" s="242">
        <f>TRUNC(F4933*G4933,2)</f>
        <v>1.47</v>
      </c>
      <c r="I4933" s="54" t="str">
        <f>IF(B4933="SEPLAG",VLOOKUP(CONCATENATE("MEDIANA - ",C4933),COTAÇÃO,5,FALSE),VLOOKUP($C4933,DESON!$A:$D,4,))</f>
        <v>18,72</v>
      </c>
      <c r="J4933" s="209">
        <f>TRUNC(F4933*I4933,2)</f>
        <v>1.31</v>
      </c>
    </row>
    <row r="4934" spans="1:10" ht="15" customHeight="1">
      <c r="A4934" s="210" t="str">
        <f>CONCATENATE("TOTAL DO ITEM NÃO DESON. - ",C4927)</f>
        <v>TOTAL DO ITEM NÃO DESON. - SEPLAG HIDR 49</v>
      </c>
      <c r="B4934" s="430"/>
      <c r="C4934" s="430"/>
      <c r="D4934" s="430"/>
      <c r="E4934" s="430"/>
      <c r="F4934" s="1180"/>
      <c r="G4934" s="1180"/>
      <c r="H4934" s="1182">
        <f>SUM(H4930:H4933)</f>
        <v>8.98</v>
      </c>
      <c r="I4934" s="231"/>
      <c r="J4934" s="215"/>
    </row>
    <row r="4935" spans="1:10" ht="15.75" customHeight="1" thickBot="1">
      <c r="A4935" s="216" t="str">
        <f>CONCATENATE("TOTAL DO ITEM DESON. - ",C4927)</f>
        <v>TOTAL DO ITEM DESON. - SEPLAG HIDR 49</v>
      </c>
      <c r="B4935" s="1142"/>
      <c r="C4935" s="1142"/>
      <c r="D4935" s="1142"/>
      <c r="E4935" s="1142"/>
      <c r="F4935" s="1211"/>
      <c r="G4935" s="1211"/>
      <c r="H4935" s="1187"/>
      <c r="I4935" s="260"/>
      <c r="J4935" s="219">
        <f>SUM(J4930:J4933)</f>
        <v>8.69</v>
      </c>
    </row>
    <row r="4936" spans="1:10" ht="15" customHeight="1" thickBot="1">
      <c r="A4936" s="421"/>
      <c r="B4936" s="1138"/>
      <c r="C4936" s="1138"/>
      <c r="D4936" s="1138"/>
      <c r="E4936" s="1154"/>
      <c r="F4936" s="1196"/>
      <c r="G4936" s="1196"/>
      <c r="H4936" s="1196"/>
      <c r="I4936" s="422"/>
      <c r="J4936" s="422"/>
    </row>
    <row r="4937" spans="1:10" ht="38.25" customHeight="1">
      <c r="A4937" s="256"/>
      <c r="B4937" s="1152"/>
      <c r="C4937" s="1176" t="s">
        <v>13012</v>
      </c>
      <c r="D4937" s="156" t="s">
        <v>7730</v>
      </c>
      <c r="E4937" s="1176" t="s">
        <v>24</v>
      </c>
      <c r="F4937" s="1177" t="s">
        <v>18</v>
      </c>
      <c r="G4937" s="1178" t="s">
        <v>7015</v>
      </c>
      <c r="H4937" s="1179"/>
      <c r="I4937" s="200" t="s">
        <v>7016</v>
      </c>
      <c r="J4937" s="201"/>
    </row>
    <row r="4938" spans="1:10" ht="15" customHeight="1">
      <c r="A4938" s="257"/>
      <c r="B4938" s="430"/>
      <c r="C4938" s="1155"/>
      <c r="D4938" s="157"/>
      <c r="E4938" s="1155"/>
      <c r="F4938" s="1180"/>
      <c r="G4938" s="1180" t="s">
        <v>19</v>
      </c>
      <c r="H4938" s="1180" t="s">
        <v>20</v>
      </c>
      <c r="I4938" s="204" t="s">
        <v>19</v>
      </c>
      <c r="J4938" s="206" t="s">
        <v>20</v>
      </c>
    </row>
    <row r="4939" spans="1:10" ht="15" customHeight="1">
      <c r="A4939" s="258"/>
      <c r="B4939" s="1155"/>
      <c r="C4939" s="1155"/>
      <c r="D4939" s="157"/>
      <c r="E4939" s="1155"/>
      <c r="F4939" s="1180"/>
      <c r="G4939" s="1180"/>
      <c r="H4939" s="1180"/>
      <c r="I4939" s="238"/>
      <c r="J4939" s="259"/>
    </row>
    <row r="4940" spans="1:10" ht="15" customHeight="1">
      <c r="A4940" s="208" t="s">
        <v>245</v>
      </c>
      <c r="B4940" s="241"/>
      <c r="C4940" s="1181">
        <v>20043</v>
      </c>
      <c r="D4940" s="161" t="str">
        <f>IF(B4940="SEPLAG",VLOOKUP(COMPOSIÇÕES!C4940,'MAPA COMPARATIVO'!A:B,2,FALSE),VLOOKUP(C4940,'NAO DESO'!A:B,2,0))</f>
        <v>REDUCAO EXCENTRICA PVC P/ ESG PREDIAL DN 100 X 50MM</v>
      </c>
      <c r="E4940" s="241" t="str">
        <f>VLOOKUP($C4940,'NAO DESO'!$A:$D,3,)</f>
        <v xml:space="preserve">UN    </v>
      </c>
      <c r="F4940" s="242">
        <v>1</v>
      </c>
      <c r="G4940" s="242">
        <f>IF(B4940="SEPLAG",VLOOKUP(CONCATENATE("MEDIANA - ",C4940),COTAÇÃO,5,FALSE),VLOOKUP($C4940,'NAO DESO'!$A:$D,4,))</f>
        <v>9.2100000000000009</v>
      </c>
      <c r="H4940" s="242">
        <f>TRUNC(F4940*G4940,2)</f>
        <v>9.2100000000000009</v>
      </c>
      <c r="I4940" s="54" t="str">
        <f>IF(B4940="SEPLAG",VLOOKUP(CONCATENATE("MEDIANA - ",C4940),COTAÇÃO,5,FALSE),VLOOKUP($C4940,DESON!$A:$D,4,))</f>
        <v>9,21</v>
      </c>
      <c r="J4940" s="209">
        <f>TRUNC(F4940*I4940,2)</f>
        <v>9.2100000000000009</v>
      </c>
    </row>
    <row r="4941" spans="1:10" ht="15" customHeight="1">
      <c r="A4941" s="208" t="s">
        <v>245</v>
      </c>
      <c r="B4941" s="241"/>
      <c r="C4941" s="1181">
        <v>122</v>
      </c>
      <c r="D4941" s="161" t="str">
        <f>IF(B4941="SEPLAG",VLOOKUP(COMPOSIÇÕES!C4941,'MAPA COMPARATIVO'!A:B,2,FALSE),VLOOKUP(C4941,'NAO DESO'!A:B,2,0))</f>
        <v>ADESIVO PLASTICO PARA PVC, FRASCO COM *850* GR</v>
      </c>
      <c r="E4941" s="241" t="str">
        <f>VLOOKUP($C4941,'NAO DESO'!$A:$D,3,)</f>
        <v xml:space="preserve">UN    </v>
      </c>
      <c r="F4941" s="242">
        <v>1.9E-2</v>
      </c>
      <c r="G4941" s="242">
        <f>IF(B4941="SEPLAG",VLOOKUP(CONCATENATE("MEDIANA - ",C4941),COTAÇÃO,5,FALSE),VLOOKUP($C4941,'NAO DESO'!$A:$D,4,))</f>
        <v>76.94</v>
      </c>
      <c r="H4941" s="242">
        <f>TRUNC(F4941*G4941,2)</f>
        <v>1.46</v>
      </c>
      <c r="I4941" s="54" t="str">
        <f>IF(B4941="SEPLAG",VLOOKUP(CONCATENATE("MEDIANA - ",C4941),COTAÇÃO,5,FALSE),VLOOKUP($C4941,DESON!$A:$D,4,))</f>
        <v>76,94</v>
      </c>
      <c r="J4941" s="209">
        <f>TRUNC(F4941*I4941,2)</f>
        <v>1.46</v>
      </c>
    </row>
    <row r="4942" spans="1:10" ht="15" customHeight="1">
      <c r="A4942" s="208" t="s">
        <v>245</v>
      </c>
      <c r="B4942" s="241"/>
      <c r="C4942" s="1181">
        <v>20083</v>
      </c>
      <c r="D4942" s="161" t="str">
        <f>IF(B4942="SEPLAG",VLOOKUP(COMPOSIÇÕES!C4942,'MAPA COMPARATIVO'!A:B,2,FALSE),VLOOKUP(C4942,'NAO DESO'!A:B,2,0))</f>
        <v>SOLUCAO PREPARADORA / LIMPADORA PARA PVC, FRASCO COM 1000 CM3</v>
      </c>
      <c r="E4942" s="241" t="str">
        <f>VLOOKUP($C4942,'NAO DESO'!$A:$D,3,)</f>
        <v xml:space="preserve">UN    </v>
      </c>
      <c r="F4942" s="242">
        <v>2.1999999999999999E-2</v>
      </c>
      <c r="G4942" s="242">
        <f>IF(B4942="SEPLAG",VLOOKUP(CONCATENATE("MEDIANA - ",C4942),COTAÇÃO,5,FALSE),VLOOKUP($C4942,'NAO DESO'!$A:$D,4,))</f>
        <v>87.17</v>
      </c>
      <c r="H4942" s="242">
        <f>TRUNC(F4942*G4942,2)</f>
        <v>1.91</v>
      </c>
      <c r="I4942" s="54" t="str">
        <f>IF(B4942="SEPLAG",VLOOKUP(CONCATENATE("MEDIANA - ",C4942),COTAÇÃO,5,FALSE),VLOOKUP($C4942,DESON!$A:$D,4,))</f>
        <v>87,17</v>
      </c>
      <c r="J4942" s="209">
        <f>TRUNC(F4942*I4942,2)</f>
        <v>1.91</v>
      </c>
    </row>
    <row r="4943" spans="1:10" ht="26.25" customHeight="1">
      <c r="A4943" s="208" t="s">
        <v>245</v>
      </c>
      <c r="B4943" s="241"/>
      <c r="C4943" s="1181">
        <v>88248</v>
      </c>
      <c r="D4943" s="161" t="str">
        <f>IF(B4943="SEPLAG",VLOOKUP(COMPOSIÇÕES!C4943,'MAPA COMPARATIVO'!A:B,2,FALSE),VLOOKUP(C4943,'NAO DESO'!A:B,2,0))</f>
        <v>AUXILIAR DE ENCANADOR OU BOMBEIRO HIDRÁULICO COM ENCARGOS COMPLEMENTARES</v>
      </c>
      <c r="E4943" s="241" t="str">
        <f>VLOOKUP($C4943,'NAO DESO'!$A:$D,3,)</f>
        <v>H</v>
      </c>
      <c r="F4943" s="242">
        <v>2.4E-2</v>
      </c>
      <c r="G4943" s="242" t="str">
        <f>IF(B4943="SEPLAG",VLOOKUP(CONCATENATE("MEDIANA - ",C4943),COTAÇÃO,5,FALSE),VLOOKUP($C4943,'NAO DESO'!$A:$D,4,))</f>
        <v>17,33</v>
      </c>
      <c r="H4943" s="242">
        <f>TRUNC(F4943*G4943,2)</f>
        <v>0.41</v>
      </c>
      <c r="I4943" s="54" t="str">
        <f>IF(B4943="SEPLAG",VLOOKUP(CONCATENATE("MEDIANA - ",C4943),COTAÇÃO,5,FALSE),VLOOKUP($C4943,DESON!$A:$D,4,))</f>
        <v>15,54</v>
      </c>
      <c r="J4943" s="209">
        <f>TRUNC(F4943*I4943,2)</f>
        <v>0.37</v>
      </c>
    </row>
    <row r="4944" spans="1:10" ht="26.25" customHeight="1">
      <c r="A4944" s="208" t="s">
        <v>245</v>
      </c>
      <c r="B4944" s="241"/>
      <c r="C4944" s="1181">
        <v>88267</v>
      </c>
      <c r="D4944" s="161" t="str">
        <f>IF(B4944="SEPLAG",VLOOKUP(COMPOSIÇÕES!C4944,'MAPA COMPARATIVO'!A:B,2,FALSE),VLOOKUP(C4944,'NAO DESO'!A:B,2,0))</f>
        <v>ENCANADOR OU BOMBEIRO HIDRÁULICO COM ENCARGOS COMPLEMENTARES</v>
      </c>
      <c r="E4944" s="241" t="str">
        <f>VLOOKUP($C4944,'NAO DESO'!$A:$D,3,)</f>
        <v>H</v>
      </c>
      <c r="F4944" s="242">
        <v>7.0000000000000007E-2</v>
      </c>
      <c r="G4944" s="242" t="str">
        <f>IF(B4944="SEPLAG",VLOOKUP(CONCATENATE("MEDIANA - ",C4944),COTAÇÃO,5,FALSE),VLOOKUP($C4944,'NAO DESO'!$A:$D,4,))</f>
        <v>21,03</v>
      </c>
      <c r="H4944" s="242">
        <f>TRUNC(F4944*G4944,2)</f>
        <v>1.47</v>
      </c>
      <c r="I4944" s="54" t="str">
        <f>IF(B4944="SEPLAG",VLOOKUP(CONCATENATE("MEDIANA - ",C4944),COTAÇÃO,5,FALSE),VLOOKUP($C4944,DESON!$A:$D,4,))</f>
        <v>18,72</v>
      </c>
      <c r="J4944" s="209">
        <f>TRUNC(F4944*I4944,2)</f>
        <v>1.31</v>
      </c>
    </row>
    <row r="4945" spans="1:10" ht="15" customHeight="1">
      <c r="A4945" s="210" t="str">
        <f>CONCATENATE("TOTAL DO ITEM NÃO DESON. - ",C4937)</f>
        <v>TOTAL DO ITEM NÃO DESON. - SEPLAG HIDR 50</v>
      </c>
      <c r="B4945" s="430"/>
      <c r="C4945" s="430"/>
      <c r="D4945" s="430"/>
      <c r="E4945" s="430"/>
      <c r="F4945" s="1180"/>
      <c r="G4945" s="1180"/>
      <c r="H4945" s="1182">
        <f>SUM(H4940:H4944)</f>
        <v>14.460000000000003</v>
      </c>
      <c r="I4945" s="231"/>
      <c r="J4945" s="215"/>
    </row>
    <row r="4946" spans="1:10" ht="15.75" customHeight="1" thickBot="1">
      <c r="A4946" s="216" t="str">
        <f>CONCATENATE("TOTAL DO ITEM DESON. - ",C4937)</f>
        <v>TOTAL DO ITEM DESON. - SEPLAG HIDR 50</v>
      </c>
      <c r="B4946" s="1142"/>
      <c r="C4946" s="1142"/>
      <c r="D4946" s="1142"/>
      <c r="E4946" s="1142"/>
      <c r="F4946" s="1211"/>
      <c r="G4946" s="1211"/>
      <c r="H4946" s="1187"/>
      <c r="I4946" s="260"/>
      <c r="J4946" s="219">
        <f>SUM(J4940:J4944)</f>
        <v>14.260000000000002</v>
      </c>
    </row>
    <row r="4947" spans="1:10" ht="15" customHeight="1" thickBot="1">
      <c r="A4947" s="421"/>
      <c r="B4947" s="1138"/>
      <c r="C4947" s="1138"/>
      <c r="D4947" s="1138"/>
      <c r="E4947" s="1154"/>
      <c r="F4947" s="1196"/>
      <c r="G4947" s="1196"/>
      <c r="H4947" s="1196"/>
      <c r="I4947" s="422"/>
      <c r="J4947" s="422"/>
    </row>
    <row r="4948" spans="1:10" ht="25.5" customHeight="1">
      <c r="A4948" s="256"/>
      <c r="B4948" s="1152"/>
      <c r="C4948" s="1176" t="s">
        <v>13013</v>
      </c>
      <c r="D4948" s="156" t="s">
        <v>13016</v>
      </c>
      <c r="E4948" s="1176" t="s">
        <v>24</v>
      </c>
      <c r="F4948" s="1177" t="s">
        <v>18</v>
      </c>
      <c r="G4948" s="1178" t="s">
        <v>7015</v>
      </c>
      <c r="H4948" s="1179"/>
      <c r="I4948" s="200" t="s">
        <v>7016</v>
      </c>
      <c r="J4948" s="201"/>
    </row>
    <row r="4949" spans="1:10" ht="15" customHeight="1">
      <c r="A4949" s="257"/>
      <c r="B4949" s="430"/>
      <c r="C4949" s="1155"/>
      <c r="D4949" s="157"/>
      <c r="E4949" s="1155"/>
      <c r="F4949" s="1180"/>
      <c r="G4949" s="1180" t="s">
        <v>19</v>
      </c>
      <c r="H4949" s="1180" t="s">
        <v>20</v>
      </c>
      <c r="I4949" s="204" t="s">
        <v>19</v>
      </c>
      <c r="J4949" s="206" t="s">
        <v>20</v>
      </c>
    </row>
    <row r="4950" spans="1:10" ht="38.25" customHeight="1">
      <c r="A4950" s="258"/>
      <c r="B4950" s="1155"/>
      <c r="C4950" s="241" t="s">
        <v>200</v>
      </c>
      <c r="D4950" s="1132" t="s">
        <v>13014</v>
      </c>
      <c r="E4950" s="1155"/>
      <c r="F4950" s="1180"/>
      <c r="G4950" s="1180"/>
      <c r="H4950" s="1180"/>
      <c r="I4950" s="238"/>
      <c r="J4950" s="259"/>
    </row>
    <row r="4951" spans="1:10" ht="15" customHeight="1">
      <c r="A4951" s="208" t="s">
        <v>245</v>
      </c>
      <c r="B4951" s="241"/>
      <c r="C4951" s="1181">
        <v>88309</v>
      </c>
      <c r="D4951" s="161" t="str">
        <f>IF(B4951="SEPLAG",VLOOKUP(COMPOSIÇÕES!C4951,'MAPA COMPARATIVO'!A:B,2,FALSE),VLOOKUP(C4951,'NAO DESO'!A:B,2,0))</f>
        <v>PEDREIRO COM ENCARGOS COMPLEMENTARES</v>
      </c>
      <c r="E4951" s="241" t="str">
        <f>VLOOKUP($C4951,'NAO DESO'!$A:$D,3,)</f>
        <v>H</v>
      </c>
      <c r="F4951" s="242">
        <v>1</v>
      </c>
      <c r="G4951" s="242" t="str">
        <f>IF(B4951="SEPLAG",VLOOKUP(CONCATENATE("MEDIANA - ",C4951),COTAÇÃO,5,FALSE),VLOOKUP($C4951,'NAO DESO'!$A:$D,4,))</f>
        <v>21,10</v>
      </c>
      <c r="H4951" s="242">
        <f>TRUNC(F4951*G4951,2)</f>
        <v>21.1</v>
      </c>
      <c r="I4951" s="54" t="str">
        <f>IF(B4951="SEPLAG",VLOOKUP(CONCATENATE("MEDIANA - ",C4951),COTAÇÃO,5,FALSE),VLOOKUP($C4951,DESON!$A:$D,4,))</f>
        <v>18,86</v>
      </c>
      <c r="J4951" s="209">
        <f>TRUNC(F4951*I4951,2)</f>
        <v>18.86</v>
      </c>
    </row>
    <row r="4952" spans="1:10" ht="15" customHeight="1">
      <c r="A4952" s="208" t="s">
        <v>245</v>
      </c>
      <c r="B4952" s="241"/>
      <c r="C4952" s="1181">
        <v>88316</v>
      </c>
      <c r="D4952" s="161" t="str">
        <f>IF(B4952="SEPLAG",VLOOKUP(COMPOSIÇÕES!C4952,'MAPA COMPARATIVO'!A:B,2,FALSE),VLOOKUP(C4952,'NAO DESO'!A:B,2,0))</f>
        <v>SERVENTE COM ENCARGOS COMPLEMENTARES</v>
      </c>
      <c r="E4952" s="241" t="str">
        <f>VLOOKUP($C4952,'NAO DESO'!$A:$D,3,)</f>
        <v>H</v>
      </c>
      <c r="F4952" s="242">
        <v>0.06</v>
      </c>
      <c r="G4952" s="242" t="str">
        <f>IF(B4952="SEPLAG",VLOOKUP(CONCATENATE("MEDIANA - ",C4952),COTAÇÃO,5,FALSE),VLOOKUP($C4952,'NAO DESO'!$A:$D,4,))</f>
        <v>16,83</v>
      </c>
      <c r="H4952" s="242">
        <f>TRUNC(F4952*G4952,2)</f>
        <v>1</v>
      </c>
      <c r="I4952" s="54" t="str">
        <f>IF(B4952="SEPLAG",VLOOKUP(CONCATENATE("MEDIANA - ",C4952),COTAÇÃO,5,FALSE),VLOOKUP($C4952,DESON!$A:$D,4,))</f>
        <v>15,16</v>
      </c>
      <c r="J4952" s="209">
        <f>TRUNC(F4952*I4952,2)</f>
        <v>0.9</v>
      </c>
    </row>
    <row r="4953" spans="1:10" ht="26.25" customHeight="1">
      <c r="A4953" s="208" t="s">
        <v>39</v>
      </c>
      <c r="B4953" s="241" t="s">
        <v>14504</v>
      </c>
      <c r="C4953" s="1181" t="s">
        <v>14449</v>
      </c>
      <c r="D4953" s="161" t="str">
        <f>IF(B4953="SEPLAG",VLOOKUP(COMPOSIÇÕES!C4953,'MAPA COMPARATIVO'!A:B,2,FALSE),VLOOKUP(C4953,'NAO DESO'!A:B,2,0))</f>
        <v>GRELHA HEMISFÉRICA DE FERRO FUNDIDO PARA ÁGUAS PLUVIAIS (DIÂMETRO DA SEÇÃO: 4")</v>
      </c>
      <c r="E4953" s="241" t="s">
        <v>427</v>
      </c>
      <c r="F4953" s="242">
        <v>1</v>
      </c>
      <c r="G4953" s="242">
        <f>IF(B4953="SEPLAG",VLOOKUP(CONCATENATE("MEDIANA - ",C4953),COTAÇÃO,5,FALSE),VLOOKUP($C4953,'NAO DESO'!$A:$D,4,))</f>
        <v>43.730000000000004</v>
      </c>
      <c r="H4953" s="242">
        <f>TRUNC(F4953*G4953,2)</f>
        <v>43.73</v>
      </c>
      <c r="I4953" s="54">
        <f>IF(B4953="SEPLAG",VLOOKUP(CONCATENATE("MEDIANA - ",C4953),COTAÇÃO,5,FALSE),VLOOKUP($C4953,DESON!$A:$D,4,))</f>
        <v>43.730000000000004</v>
      </c>
      <c r="J4953" s="209">
        <f>TRUNC(F4953*I4953,2)</f>
        <v>43.73</v>
      </c>
    </row>
    <row r="4954" spans="1:10" ht="15" customHeight="1">
      <c r="A4954" s="210" t="str">
        <f>CONCATENATE("TOTAL DO ITEM NÃO DESON. - ",C4948)</f>
        <v>TOTAL DO ITEM NÃO DESON. - SEPLAG HIDR 51</v>
      </c>
      <c r="B4954" s="430"/>
      <c r="C4954" s="430"/>
      <c r="D4954" s="430"/>
      <c r="E4954" s="430"/>
      <c r="F4954" s="1180"/>
      <c r="G4954" s="1180"/>
      <c r="H4954" s="1182">
        <f>SUM(H4951:H4953)</f>
        <v>65.83</v>
      </c>
      <c r="I4954" s="231"/>
      <c r="J4954" s="215"/>
    </row>
    <row r="4955" spans="1:10" ht="15.75" customHeight="1" thickBot="1">
      <c r="A4955" s="216" t="str">
        <f>CONCATENATE("TOTAL DO ITEM DESON. - ",C4948)</f>
        <v>TOTAL DO ITEM DESON. - SEPLAG HIDR 51</v>
      </c>
      <c r="B4955" s="1142"/>
      <c r="C4955" s="1142"/>
      <c r="D4955" s="1142"/>
      <c r="E4955" s="1142"/>
      <c r="F4955" s="1211"/>
      <c r="G4955" s="1211"/>
      <c r="H4955" s="1187"/>
      <c r="I4955" s="260"/>
      <c r="J4955" s="219">
        <f>SUM(J4951:J4953)</f>
        <v>63.489999999999995</v>
      </c>
    </row>
    <row r="4956" spans="1:10" ht="15" customHeight="1" thickBot="1">
      <c r="A4956" s="421"/>
      <c r="B4956" s="1138"/>
      <c r="C4956" s="1138"/>
      <c r="D4956" s="1138"/>
      <c r="E4956" s="1154"/>
      <c r="F4956" s="1196"/>
      <c r="G4956" s="1196"/>
      <c r="H4956" s="1196"/>
      <c r="I4956" s="422"/>
      <c r="J4956" s="422"/>
    </row>
    <row r="4957" spans="1:10" ht="25.5" customHeight="1">
      <c r="A4957" s="256"/>
      <c r="B4957" s="1152"/>
      <c r="C4957" s="1176" t="s">
        <v>13015</v>
      </c>
      <c r="D4957" s="156" t="s">
        <v>13027</v>
      </c>
      <c r="E4957" s="1176" t="s">
        <v>24</v>
      </c>
      <c r="F4957" s="1177" t="s">
        <v>18</v>
      </c>
      <c r="G4957" s="1178" t="s">
        <v>7015</v>
      </c>
      <c r="H4957" s="1179"/>
      <c r="I4957" s="200" t="s">
        <v>7016</v>
      </c>
      <c r="J4957" s="201"/>
    </row>
    <row r="4958" spans="1:10" ht="15" customHeight="1">
      <c r="A4958" s="257"/>
      <c r="B4958" s="430"/>
      <c r="C4958" s="1155"/>
      <c r="D4958" s="157"/>
      <c r="E4958" s="1155"/>
      <c r="F4958" s="1180"/>
      <c r="G4958" s="1180" t="s">
        <v>19</v>
      </c>
      <c r="H4958" s="1180" t="s">
        <v>20</v>
      </c>
      <c r="I4958" s="204" t="s">
        <v>19</v>
      </c>
      <c r="J4958" s="206" t="s">
        <v>20</v>
      </c>
    </row>
    <row r="4959" spans="1:10" ht="38.25" customHeight="1">
      <c r="A4959" s="258"/>
      <c r="B4959" s="1155"/>
      <c r="C4959" s="241" t="s">
        <v>180</v>
      </c>
      <c r="D4959" s="1132" t="s">
        <v>13019</v>
      </c>
      <c r="E4959" s="1155"/>
      <c r="F4959" s="1180"/>
      <c r="G4959" s="1180"/>
      <c r="H4959" s="1180"/>
      <c r="I4959" s="238"/>
      <c r="J4959" s="259"/>
    </row>
    <row r="4960" spans="1:10" ht="15" customHeight="1">
      <c r="A4960" s="208" t="s">
        <v>245</v>
      </c>
      <c r="B4960" s="241"/>
      <c r="C4960" s="1181">
        <v>88246</v>
      </c>
      <c r="D4960" s="161" t="str">
        <f>IF(B4960="SEPLAG",VLOOKUP(COMPOSIÇÕES!C4960,'MAPA COMPARATIVO'!A:B,2,FALSE),VLOOKUP(C4960,'NAO DESO'!A:B,2,0))</f>
        <v>ASSENTADOR DE TUBOS COM ENCARGOS COMPLEMENTARES</v>
      </c>
      <c r="E4960" s="241" t="str">
        <f>VLOOKUP($C4960,'NAO DESO'!$A:$D,3,)</f>
        <v>H</v>
      </c>
      <c r="F4960" s="242">
        <v>0.10299999999999999</v>
      </c>
      <c r="G4960" s="242" t="str">
        <f>IF(B4960="SEPLAG",VLOOKUP(CONCATENATE("MEDIANA - ",C4960),COTAÇÃO,5,FALSE),VLOOKUP($C4960,'NAO DESO'!$A:$D,4,))</f>
        <v>17,83</v>
      </c>
      <c r="H4960" s="242">
        <f>TRUNC(F4960*G4960,2)</f>
        <v>1.83</v>
      </c>
      <c r="I4960" s="54" t="str">
        <f>IF(B4960="SEPLAG",VLOOKUP(CONCATENATE("MEDIANA - ",C4960),COTAÇÃO,5,FALSE),VLOOKUP($C4960,DESON!$A:$D,4,))</f>
        <v>15,89</v>
      </c>
      <c r="J4960" s="209">
        <f>TRUNC(F4960*I4960,2)</f>
        <v>1.63</v>
      </c>
    </row>
    <row r="4961" spans="1:10" ht="15" customHeight="1">
      <c r="A4961" s="208" t="s">
        <v>245</v>
      </c>
      <c r="B4961" s="241"/>
      <c r="C4961" s="1181">
        <v>88316</v>
      </c>
      <c r="D4961" s="161" t="str">
        <f>IF(B4961="SEPLAG",VLOOKUP(COMPOSIÇÕES!C4961,'MAPA COMPARATIVO'!A:B,2,FALSE),VLOOKUP(C4961,'NAO DESO'!A:B,2,0))</f>
        <v>SERVENTE COM ENCARGOS COMPLEMENTARES</v>
      </c>
      <c r="E4961" s="241" t="str">
        <f>VLOOKUP($C4961,'NAO DESO'!$A:$D,3,)</f>
        <v>H</v>
      </c>
      <c r="F4961" s="242">
        <v>0.10299999999999999</v>
      </c>
      <c r="G4961" s="242" t="str">
        <f>IF(B4961="SEPLAG",VLOOKUP(CONCATENATE("MEDIANA - ",C4961),COTAÇÃO,5,FALSE),VLOOKUP($C4961,'NAO DESO'!$A:$D,4,))</f>
        <v>16,83</v>
      </c>
      <c r="H4961" s="242">
        <f>TRUNC(F4961*G4961,2)</f>
        <v>1.73</v>
      </c>
      <c r="I4961" s="54" t="str">
        <f>IF(B4961="SEPLAG",VLOOKUP(CONCATENATE("MEDIANA - ",C4961),COTAÇÃO,5,FALSE),VLOOKUP($C4961,DESON!$A:$D,4,))</f>
        <v>15,16</v>
      </c>
      <c r="J4961" s="209">
        <f>TRUNC(F4961*I4961,2)</f>
        <v>1.56</v>
      </c>
    </row>
    <row r="4962" spans="1:10" ht="26.25" customHeight="1">
      <c r="A4962" s="208" t="s">
        <v>39</v>
      </c>
      <c r="B4962" s="241"/>
      <c r="C4962" s="1181">
        <v>20078</v>
      </c>
      <c r="D4962" s="161" t="str">
        <f>IF(B4962="SEPLAG",VLOOKUP(COMPOSIÇÕES!C4962,'MAPA COMPARATIVO'!A:B,2,FALSE),VLOOKUP(C4962,'NAO DESO'!A:B,2,0))</f>
        <v>PASTA LUBRIFICANTE PARA TUBOS E CONEXOES COM JUNTA ELASTICA, EMBALAGEM DE *400* GR (USO EM PVC, ACO, POLIETILENO E OUTROS)</v>
      </c>
      <c r="E4962" s="241" t="str">
        <f>VLOOKUP($C4962,'NAO DESO'!$A:$D,3,)</f>
        <v xml:space="preserve">UN    </v>
      </c>
      <c r="F4962" s="242">
        <v>1.67E-2</v>
      </c>
      <c r="G4962" s="242">
        <f>IF(B4962="SEPLAG",VLOOKUP(CONCATENATE("MEDIANA - ",C4962),COTAÇÃO,5,FALSE),VLOOKUP($C4962,'NAO DESO'!$A:$D,4,))</f>
        <v>31.75</v>
      </c>
      <c r="H4962" s="242">
        <f>TRUNC(F4962*G4962,2)</f>
        <v>0.53</v>
      </c>
      <c r="I4962" s="54" t="str">
        <f>IF(B4962="SEPLAG",VLOOKUP(CONCATENATE("MEDIANA - ",C4962),COTAÇÃO,5,FALSE),VLOOKUP($C4962,DESON!$A:$D,4,))</f>
        <v>31,75</v>
      </c>
      <c r="J4962" s="209">
        <f>TRUNC(F4962*I4962,2)</f>
        <v>0.53</v>
      </c>
    </row>
    <row r="4963" spans="1:10" ht="15" customHeight="1">
      <c r="A4963" s="208" t="s">
        <v>39</v>
      </c>
      <c r="B4963" s="241"/>
      <c r="C4963" s="1181">
        <v>41930</v>
      </c>
      <c r="D4963" s="161" t="str">
        <f>IF(B4963="SEPLAG",VLOOKUP(COMPOSIÇÕES!C4963,'MAPA COMPARATIVO'!A:B,2,FALSE),VLOOKUP(C4963,'NAO DESO'!A:B,2,0))</f>
        <v>TUBO COLETOR DE ESGOTO PVC, JEI, DN 200 MM (NBR 7362)</v>
      </c>
      <c r="E4963" s="241" t="str">
        <f>VLOOKUP($C4963,'NAO DESO'!$A:$D,3,)</f>
        <v xml:space="preserve">M     </v>
      </c>
      <c r="F4963" s="242">
        <v>1.05</v>
      </c>
      <c r="G4963" s="242">
        <f>IF(B4963="SEPLAG",VLOOKUP(CONCATENATE("MEDIANA - ",C4963),COTAÇÃO,5,FALSE),VLOOKUP($C4963,'NAO DESO'!$A:$D,4,))</f>
        <v>127.67</v>
      </c>
      <c r="H4963" s="242">
        <f>TRUNC(F4963*G4963,2)</f>
        <v>134.05000000000001</v>
      </c>
      <c r="I4963" s="54" t="str">
        <f>IF(B4963="SEPLAG",VLOOKUP(CONCATENATE("MEDIANA - ",C4963),COTAÇÃO,5,FALSE),VLOOKUP($C4963,DESON!$A:$D,4,))</f>
        <v>127,67</v>
      </c>
      <c r="J4963" s="209">
        <f>TRUNC(F4963*I4963,2)</f>
        <v>134.05000000000001</v>
      </c>
    </row>
    <row r="4964" spans="1:10" ht="15" customHeight="1">
      <c r="A4964" s="210" t="str">
        <f>CONCATENATE("TOTAL DO ITEM NÃO DESON. - ",C4957)</f>
        <v>TOTAL DO ITEM NÃO DESON. - SEPLAG HIDR 52</v>
      </c>
      <c r="B4964" s="430"/>
      <c r="C4964" s="430"/>
      <c r="D4964" s="430"/>
      <c r="E4964" s="430"/>
      <c r="F4964" s="1180"/>
      <c r="G4964" s="1180"/>
      <c r="H4964" s="1182">
        <f>SUM(H4960:H4963)</f>
        <v>138.14000000000001</v>
      </c>
      <c r="I4964" s="231"/>
      <c r="J4964" s="215"/>
    </row>
    <row r="4965" spans="1:10" ht="15.75" customHeight="1" thickBot="1">
      <c r="A4965" s="216" t="str">
        <f>CONCATENATE("TOTAL DO ITEM DESON. - ",C4957)</f>
        <v>TOTAL DO ITEM DESON. - SEPLAG HIDR 52</v>
      </c>
      <c r="B4965" s="1142"/>
      <c r="C4965" s="1142"/>
      <c r="D4965" s="1142"/>
      <c r="E4965" s="1142"/>
      <c r="F4965" s="1211"/>
      <c r="G4965" s="1211"/>
      <c r="H4965" s="1187"/>
      <c r="I4965" s="260"/>
      <c r="J4965" s="219">
        <f>SUM(J4960:J4963)</f>
        <v>137.77000000000001</v>
      </c>
    </row>
    <row r="4966" spans="1:10" ht="15" customHeight="1">
      <c r="A4966" s="474"/>
      <c r="B4966" s="1158"/>
      <c r="C4966" s="1158"/>
      <c r="D4966" s="1158"/>
      <c r="E4966" s="1158"/>
      <c r="F4966" s="1235"/>
      <c r="G4966" s="1235"/>
      <c r="H4966" s="1236"/>
      <c r="I4966" s="458"/>
      <c r="J4966" s="475"/>
    </row>
    <row r="4967" spans="1:10" ht="15" customHeight="1" thickBot="1">
      <c r="A4967" s="454"/>
      <c r="B4967" s="1149"/>
      <c r="C4967" s="1149"/>
      <c r="D4967" s="1149"/>
      <c r="E4967" s="1205"/>
      <c r="F4967" s="1207"/>
      <c r="G4967" s="1207"/>
      <c r="H4967" s="1207"/>
      <c r="I4967" s="455"/>
      <c r="J4967" s="455"/>
    </row>
    <row r="4968" spans="1:10" ht="25.5" customHeight="1">
      <c r="A4968" s="256"/>
      <c r="B4968" s="1152"/>
      <c r="C4968" s="1176" t="s">
        <v>13017</v>
      </c>
      <c r="D4968" s="156" t="s">
        <v>13021</v>
      </c>
      <c r="E4968" s="1176" t="s">
        <v>24</v>
      </c>
      <c r="F4968" s="1177" t="s">
        <v>18</v>
      </c>
      <c r="G4968" s="1178" t="s">
        <v>7015</v>
      </c>
      <c r="H4968" s="1179"/>
      <c r="I4968" s="200" t="s">
        <v>7016</v>
      </c>
      <c r="J4968" s="201"/>
    </row>
    <row r="4969" spans="1:10" ht="15" customHeight="1">
      <c r="A4969" s="257"/>
      <c r="B4969" s="430"/>
      <c r="C4969" s="1155"/>
      <c r="D4969" s="157"/>
      <c r="E4969" s="1155"/>
      <c r="F4969" s="1180"/>
      <c r="G4969" s="1180" t="s">
        <v>19</v>
      </c>
      <c r="H4969" s="1180" t="s">
        <v>20</v>
      </c>
      <c r="I4969" s="204" t="s">
        <v>19</v>
      </c>
      <c r="J4969" s="206" t="s">
        <v>20</v>
      </c>
    </row>
    <row r="4970" spans="1:10" ht="38.25" customHeight="1">
      <c r="A4970" s="258"/>
      <c r="B4970" s="1155"/>
      <c r="C4970" s="241" t="s">
        <v>180</v>
      </c>
      <c r="D4970" s="1132" t="s">
        <v>13020</v>
      </c>
      <c r="E4970" s="1155"/>
      <c r="F4970" s="1180"/>
      <c r="G4970" s="1180"/>
      <c r="H4970" s="1180"/>
      <c r="I4970" s="238"/>
      <c r="J4970" s="259"/>
    </row>
    <row r="4971" spans="1:10" ht="15" customHeight="1">
      <c r="A4971" s="208" t="s">
        <v>245</v>
      </c>
      <c r="B4971" s="241"/>
      <c r="C4971" s="1181">
        <v>88246</v>
      </c>
      <c r="D4971" s="161" t="str">
        <f>IF(B4971="SEPLAG",VLOOKUP(COMPOSIÇÕES!C4971,'MAPA COMPARATIVO'!A:B,2,FALSE),VLOOKUP(C4971,'NAO DESO'!A:B,2,0))</f>
        <v>ASSENTADOR DE TUBOS COM ENCARGOS COMPLEMENTARES</v>
      </c>
      <c r="E4971" s="241" t="str">
        <f>VLOOKUP($C4971,'NAO DESO'!$A:$D,3,)</f>
        <v>H</v>
      </c>
      <c r="F4971" s="242">
        <v>3.49E-2</v>
      </c>
      <c r="G4971" s="242" t="str">
        <f>IF(B4971="SEPLAG",VLOOKUP(CONCATENATE("MEDIANA - ",C4971),COTAÇÃO,5,FALSE),VLOOKUP($C4971,'NAO DESO'!$A:$D,4,))</f>
        <v>17,83</v>
      </c>
      <c r="H4971" s="242">
        <f>TRUNC(F4971*G4971,2)</f>
        <v>0.62</v>
      </c>
      <c r="I4971" s="54" t="str">
        <f>IF(B4971="SEPLAG",VLOOKUP(CONCATENATE("MEDIANA - ",C4971),COTAÇÃO,5,FALSE),VLOOKUP($C4971,DESON!$A:$D,4,))</f>
        <v>15,89</v>
      </c>
      <c r="J4971" s="209">
        <f>TRUNC(F4971*I4971,2)</f>
        <v>0.55000000000000004</v>
      </c>
    </row>
    <row r="4972" spans="1:10" ht="15" customHeight="1">
      <c r="A4972" s="208" t="s">
        <v>245</v>
      </c>
      <c r="B4972" s="241"/>
      <c r="C4972" s="1181">
        <v>88316</v>
      </c>
      <c r="D4972" s="161" t="str">
        <f>IF(B4972="SEPLAG",VLOOKUP(COMPOSIÇÕES!C4972,'MAPA COMPARATIVO'!A:B,2,FALSE),VLOOKUP(C4972,'NAO DESO'!A:B,2,0))</f>
        <v>SERVENTE COM ENCARGOS COMPLEMENTARES</v>
      </c>
      <c r="E4972" s="241" t="str">
        <f>VLOOKUP($C4972,'NAO DESO'!$A:$D,3,)</f>
        <v>H</v>
      </c>
      <c r="F4972" s="242">
        <v>3.49E-2</v>
      </c>
      <c r="G4972" s="242" t="str">
        <f>IF(B4972="SEPLAG",VLOOKUP(CONCATENATE("MEDIANA - ",C4972),COTAÇÃO,5,FALSE),VLOOKUP($C4972,'NAO DESO'!$A:$D,4,))</f>
        <v>16,83</v>
      </c>
      <c r="H4972" s="242">
        <f>TRUNC(F4972*G4972,2)</f>
        <v>0.57999999999999996</v>
      </c>
      <c r="I4972" s="54" t="str">
        <f>IF(B4972="SEPLAG",VLOOKUP(CONCATENATE("MEDIANA - ",C4972),COTAÇÃO,5,FALSE),VLOOKUP($C4972,DESON!$A:$D,4,))</f>
        <v>15,16</v>
      </c>
      <c r="J4972" s="209">
        <f>TRUNC(F4972*I4972,2)</f>
        <v>0.52</v>
      </c>
    </row>
    <row r="4973" spans="1:10" ht="26.25" customHeight="1">
      <c r="A4973" s="208" t="s">
        <v>39</v>
      </c>
      <c r="B4973" s="241"/>
      <c r="C4973" s="1181">
        <v>20078</v>
      </c>
      <c r="D4973" s="161" t="str">
        <f>IF(B4973="SEPLAG",VLOOKUP(COMPOSIÇÕES!C4973,'MAPA COMPARATIVO'!A:B,2,FALSE),VLOOKUP(C4973,'NAO DESO'!A:B,2,0))</f>
        <v>PASTA LUBRIFICANTE PARA TUBOS E CONEXOES COM JUNTA ELASTICA, EMBALAGEM DE *400* GR (USO EM PVC, ACO, POLIETILENO E OUTROS)</v>
      </c>
      <c r="E4973" s="241" t="str">
        <f>VLOOKUP($C4973,'NAO DESO'!$A:$D,3,)</f>
        <v xml:space="preserve">UN    </v>
      </c>
      <c r="F4973" s="242">
        <v>4.1700000000000001E-2</v>
      </c>
      <c r="G4973" s="242">
        <f>IF(B4973="SEPLAG",VLOOKUP(CONCATENATE("MEDIANA - ",C4973),COTAÇÃO,5,FALSE),VLOOKUP($C4973,'NAO DESO'!$A:$D,4,))</f>
        <v>31.75</v>
      </c>
      <c r="H4973" s="242">
        <f>TRUNC(F4973*G4973,2)</f>
        <v>1.32</v>
      </c>
      <c r="I4973" s="54" t="str">
        <f>IF(B4973="SEPLAG",VLOOKUP(CONCATENATE("MEDIANA - ",C4973),COTAÇÃO,5,FALSE),VLOOKUP($C4973,DESON!$A:$D,4,))</f>
        <v>31,75</v>
      </c>
      <c r="J4973" s="209">
        <f>TRUNC(F4973*I4973,2)</f>
        <v>1.32</v>
      </c>
    </row>
    <row r="4974" spans="1:10" ht="26.25" customHeight="1">
      <c r="A4974" s="208" t="s">
        <v>39</v>
      </c>
      <c r="B4974" s="241"/>
      <c r="C4974" s="1181">
        <v>41780</v>
      </c>
      <c r="D4974" s="161" t="str">
        <f>IF(B4974="SEPLAG",VLOOKUP(COMPOSIÇÕES!C4974,'MAPA COMPARATIVO'!A:B,2,FALSE),VLOOKUP(C4974,'NAO DESO'!A:B,2,0))</f>
        <v>TUBO CORRUGADO PEAD, PAREDE DUPLA, INTERNA LISA, JEI, DN/DI 300 MM, PARA SANEAMENTO (DRENAGEM/ESGOTO)</v>
      </c>
      <c r="E4974" s="241" t="str">
        <f>VLOOKUP($C4974,'NAO DESO'!$A:$D,3,)</f>
        <v xml:space="preserve">M     </v>
      </c>
      <c r="F4974" s="242">
        <v>1.05</v>
      </c>
      <c r="G4974" s="242">
        <f>IF(B4974="SEPLAG",VLOOKUP(CONCATENATE("MEDIANA - ",C4974),COTAÇÃO,5,FALSE),VLOOKUP($C4974,'NAO DESO'!$A:$D,4,))</f>
        <v>290.81</v>
      </c>
      <c r="H4974" s="242">
        <f>TRUNC(F4974*G4974,2)</f>
        <v>305.35000000000002</v>
      </c>
      <c r="I4974" s="54" t="str">
        <f>IF(B4974="SEPLAG",VLOOKUP(CONCATENATE("MEDIANA - ",C4974),COTAÇÃO,5,FALSE),VLOOKUP($C4974,DESON!$A:$D,4,))</f>
        <v>290,81</v>
      </c>
      <c r="J4974" s="209">
        <f>TRUNC(F4974*I4974,2)</f>
        <v>305.35000000000002</v>
      </c>
    </row>
    <row r="4975" spans="1:10" ht="15" customHeight="1">
      <c r="A4975" s="210" t="str">
        <f>CONCATENATE("TOTAL DO ITEM NÃO DESON. - ",C4968)</f>
        <v>TOTAL DO ITEM NÃO DESON. - SEPLAG HIDR 53</v>
      </c>
      <c r="B4975" s="430"/>
      <c r="C4975" s="430"/>
      <c r="D4975" s="430"/>
      <c r="E4975" s="430"/>
      <c r="F4975" s="1180"/>
      <c r="G4975" s="1180"/>
      <c r="H4975" s="1182">
        <f>SUM(H4971:H4974)</f>
        <v>307.87</v>
      </c>
      <c r="I4975" s="231"/>
      <c r="J4975" s="215"/>
    </row>
    <row r="4976" spans="1:10" ht="15.75" customHeight="1" thickBot="1">
      <c r="A4976" s="216" t="str">
        <f>CONCATENATE("TOTAL DO ITEM DESON. - ",C4968)</f>
        <v>TOTAL DO ITEM DESON. - SEPLAG HIDR 53</v>
      </c>
      <c r="B4976" s="1142"/>
      <c r="C4976" s="1142"/>
      <c r="D4976" s="1142"/>
      <c r="E4976" s="1142"/>
      <c r="F4976" s="1211"/>
      <c r="G4976" s="1211"/>
      <c r="H4976" s="1187"/>
      <c r="I4976" s="260"/>
      <c r="J4976" s="219">
        <f>SUM(J4971:J4974)</f>
        <v>307.74</v>
      </c>
    </row>
    <row r="4977" spans="1:10" ht="15" customHeight="1" thickBot="1">
      <c r="A4977" s="421"/>
      <c r="B4977" s="1138"/>
      <c r="C4977" s="1138"/>
      <c r="D4977" s="1138"/>
      <c r="E4977" s="1154"/>
      <c r="F4977" s="1196"/>
      <c r="G4977" s="1196"/>
      <c r="H4977" s="1196"/>
      <c r="I4977" s="422"/>
      <c r="J4977" s="422"/>
    </row>
    <row r="4978" spans="1:10" ht="25.5" customHeight="1">
      <c r="A4978" s="256"/>
      <c r="B4978" s="1152"/>
      <c r="C4978" s="1176" t="s">
        <v>13018</v>
      </c>
      <c r="D4978" s="156" t="s">
        <v>13023</v>
      </c>
      <c r="E4978" s="1176" t="s">
        <v>24</v>
      </c>
      <c r="F4978" s="1177" t="s">
        <v>18</v>
      </c>
      <c r="G4978" s="1178" t="s">
        <v>7015</v>
      </c>
      <c r="H4978" s="1179"/>
      <c r="I4978" s="200" t="s">
        <v>7016</v>
      </c>
      <c r="J4978" s="201"/>
    </row>
    <row r="4979" spans="1:10" ht="15" customHeight="1">
      <c r="A4979" s="257"/>
      <c r="B4979" s="430"/>
      <c r="C4979" s="1155"/>
      <c r="D4979" s="157"/>
      <c r="E4979" s="1155"/>
      <c r="F4979" s="1180"/>
      <c r="G4979" s="1180" t="s">
        <v>19</v>
      </c>
      <c r="H4979" s="1180" t="s">
        <v>20</v>
      </c>
      <c r="I4979" s="204" t="s">
        <v>19</v>
      </c>
      <c r="J4979" s="206" t="s">
        <v>20</v>
      </c>
    </row>
    <row r="4980" spans="1:10" ht="51" customHeight="1">
      <c r="A4980" s="258"/>
      <c r="B4980" s="1155"/>
      <c r="C4980" s="241" t="s">
        <v>200</v>
      </c>
      <c r="D4980" s="1132" t="s">
        <v>13022</v>
      </c>
      <c r="E4980" s="1155"/>
      <c r="F4980" s="1180"/>
      <c r="G4980" s="1180"/>
      <c r="H4980" s="1180"/>
      <c r="I4980" s="238"/>
      <c r="J4980" s="259"/>
    </row>
    <row r="4981" spans="1:10" ht="15" customHeight="1">
      <c r="A4981" s="208" t="s">
        <v>245</v>
      </c>
      <c r="B4981" s="241"/>
      <c r="C4981" s="1181">
        <v>88309</v>
      </c>
      <c r="D4981" s="161" t="str">
        <f>IF(B4981="SEPLAG",VLOOKUP(COMPOSIÇÕES!C4981,'MAPA COMPARATIVO'!A:B,2,FALSE),VLOOKUP(C4981,'NAO DESO'!A:B,2,0))</f>
        <v>PEDREIRO COM ENCARGOS COMPLEMENTARES</v>
      </c>
      <c r="E4981" s="241" t="str">
        <f>VLOOKUP($C4981,'NAO DESO'!$A:$D,3,)</f>
        <v>H</v>
      </c>
      <c r="F4981" s="242">
        <v>0.20952380000000001</v>
      </c>
      <c r="G4981" s="242" t="str">
        <f>IF(B4981="SEPLAG",VLOOKUP(CONCATENATE("MEDIANA - ",C4981),COTAÇÃO,5,FALSE),VLOOKUP($C4981,'NAO DESO'!$A:$D,4,))</f>
        <v>21,10</v>
      </c>
      <c r="H4981" s="242">
        <f t="shared" ref="H4981:H4986" si="290">TRUNC(F4981*G4981,2)</f>
        <v>4.42</v>
      </c>
      <c r="I4981" s="54" t="str">
        <f>IF(B4981="SEPLAG",VLOOKUP(CONCATENATE("MEDIANA - ",C4981),COTAÇÃO,5,FALSE),VLOOKUP($C4981,DESON!$A:$D,4,))</f>
        <v>18,86</v>
      </c>
      <c r="J4981" s="209">
        <f t="shared" ref="J4981:J4986" si="291">TRUNC(F4981*I4981,2)</f>
        <v>3.95</v>
      </c>
    </row>
    <row r="4982" spans="1:10" ht="15" customHeight="1">
      <c r="A4982" s="208" t="s">
        <v>245</v>
      </c>
      <c r="B4982" s="241"/>
      <c r="C4982" s="1181">
        <v>88316</v>
      </c>
      <c r="D4982" s="161" t="str">
        <f>IF(B4982="SEPLAG",VLOOKUP(COMPOSIÇÕES!C4982,'MAPA COMPARATIVO'!A:B,2,FALSE),VLOOKUP(C4982,'NAO DESO'!A:B,2,0))</f>
        <v>SERVENTE COM ENCARGOS COMPLEMENTARES</v>
      </c>
      <c r="E4982" s="241" t="str">
        <f>VLOOKUP($C4982,'NAO DESO'!$A:$D,3,)</f>
        <v>H</v>
      </c>
      <c r="F4982" s="242">
        <v>0.41904760000000002</v>
      </c>
      <c r="G4982" s="242" t="str">
        <f>IF(B4982="SEPLAG",VLOOKUP(CONCATENATE("MEDIANA - ",C4982),COTAÇÃO,5,FALSE),VLOOKUP($C4982,'NAO DESO'!$A:$D,4,))</f>
        <v>16,83</v>
      </c>
      <c r="H4982" s="242">
        <f t="shared" si="290"/>
        <v>7.05</v>
      </c>
      <c r="I4982" s="54" t="str">
        <f>IF(B4982="SEPLAG",VLOOKUP(CONCATENATE("MEDIANA - ",C4982),COTAÇÃO,5,FALSE),VLOOKUP($C4982,DESON!$A:$D,4,))</f>
        <v>15,16</v>
      </c>
      <c r="J4982" s="209">
        <f t="shared" si="291"/>
        <v>6.35</v>
      </c>
    </row>
    <row r="4983" spans="1:10" ht="26.25" customHeight="1">
      <c r="A4983" s="208" t="s">
        <v>39</v>
      </c>
      <c r="B4983" s="241"/>
      <c r="C4983" s="1181">
        <v>91530</v>
      </c>
      <c r="D4983" s="161" t="str">
        <f>IF(B4983="SEPLAG",VLOOKUP(COMPOSIÇÕES!C4983,'MAPA COMPARATIVO'!A:B,2,FALSE),VLOOKUP(C4983,'NAO DESO'!A:B,2,0))</f>
        <v>COMPACTADOR DE SOLOS DE PERCUSSÃO (SOQUETE) COM MOTOR A GASOLINA 4 TEMPOS, POTÊNCIA 4 CV - JUROS. AF_08/2015</v>
      </c>
      <c r="E4983" s="241" t="str">
        <f>VLOOKUP($C4983,'NAO DESO'!$A:$D,3,)</f>
        <v>H</v>
      </c>
      <c r="F4983" s="242">
        <v>0.41904760000000002</v>
      </c>
      <c r="G4983" s="242" t="str">
        <f>IF(B4983="SEPLAG",VLOOKUP(CONCATENATE("MEDIANA - ",C4983),COTAÇÃO,5,FALSE),VLOOKUP($C4983,'NAO DESO'!$A:$D,4,))</f>
        <v>0,10</v>
      </c>
      <c r="H4983" s="242">
        <f t="shared" si="290"/>
        <v>0.04</v>
      </c>
      <c r="I4983" s="54" t="str">
        <f>IF(B4983="SEPLAG",VLOOKUP(CONCATENATE("MEDIANA - ",C4983),COTAÇÃO,5,FALSE),VLOOKUP($C4983,DESON!$A:$D,4,))</f>
        <v>0,10</v>
      </c>
      <c r="J4983" s="209">
        <f t="shared" si="291"/>
        <v>0.04</v>
      </c>
    </row>
    <row r="4984" spans="1:10" ht="26.25" customHeight="1">
      <c r="A4984" s="208" t="s">
        <v>39</v>
      </c>
      <c r="B4984" s="241"/>
      <c r="C4984" s="1181">
        <v>93358</v>
      </c>
      <c r="D4984" s="161" t="str">
        <f>IF(B4984="SEPLAG",VLOOKUP(COMPOSIÇÕES!C4984,'MAPA COMPARATIVO'!A:B,2,FALSE),VLOOKUP(C4984,'NAO DESO'!A:B,2,0))</f>
        <v>ESCAVAÇÃO MANUAL DE VALA COM PROFUNDIDADE MENOR OU IGUAL A 1,30 M. AF_02/2021</v>
      </c>
      <c r="E4984" s="241" t="str">
        <f>VLOOKUP($C4984,'NAO DESO'!$A:$D,3,)</f>
        <v>M3</v>
      </c>
      <c r="F4984" s="242">
        <v>0.1188</v>
      </c>
      <c r="G4984" s="242" t="str">
        <f>IF(B4984="SEPLAG",VLOOKUP(CONCATENATE("MEDIANA - ",C4984),COTAÇÃO,5,FALSE),VLOOKUP($C4984,'NAO DESO'!$A:$D,4,))</f>
        <v>66,57</v>
      </c>
      <c r="H4984" s="242">
        <f t="shared" si="290"/>
        <v>7.9</v>
      </c>
      <c r="I4984" s="54" t="str">
        <f>IF(B4984="SEPLAG",VLOOKUP(CONCATENATE("MEDIANA - ",C4984),COTAÇÃO,5,FALSE),VLOOKUP($C4984,DESON!$A:$D,4,))</f>
        <v>59,97</v>
      </c>
      <c r="J4984" s="209">
        <f t="shared" si="291"/>
        <v>7.12</v>
      </c>
    </row>
    <row r="4985" spans="1:10" ht="26.25" customHeight="1">
      <c r="A4985" s="208" t="s">
        <v>39</v>
      </c>
      <c r="B4985" s="241"/>
      <c r="C4985" s="1181">
        <v>10541</v>
      </c>
      <c r="D4985" s="161" t="str">
        <f>IF(B4985="SEPLAG",VLOOKUP(COMPOSIÇÕES!C4985,'MAPA COMPARATIVO'!A:B,2,FALSE),VLOOKUP(C4985,'NAO DESO'!A:B,2,0))</f>
        <v>CALHA/CANALETA DE CONCRETO SIMPLES, TIPO MEIA CANA, DIAMETRO DE 30 CM, PARA AGUA PLUVIAL</v>
      </c>
      <c r="E4985" s="241" t="str">
        <f>VLOOKUP($C4985,'NAO DESO'!$A:$D,3,)</f>
        <v xml:space="preserve">M     </v>
      </c>
      <c r="F4985" s="242">
        <v>1</v>
      </c>
      <c r="G4985" s="242">
        <f>IF(B4985="SEPLAG",VLOOKUP(CONCATENATE("MEDIANA - ",C4985),COTAÇÃO,5,FALSE),VLOOKUP($C4985,'NAO DESO'!$A:$D,4,))</f>
        <v>20.8</v>
      </c>
      <c r="H4985" s="242">
        <f t="shared" si="290"/>
        <v>20.8</v>
      </c>
      <c r="I4985" s="54" t="str">
        <f>IF(B4985="SEPLAG",VLOOKUP(CONCATENATE("MEDIANA - ",C4985),COTAÇÃO,5,FALSE),VLOOKUP($C4985,DESON!$A:$D,4,))</f>
        <v>20,80</v>
      </c>
      <c r="J4985" s="209">
        <f t="shared" si="291"/>
        <v>20.8</v>
      </c>
    </row>
    <row r="4986" spans="1:10" ht="26.25" customHeight="1">
      <c r="A4986" s="208" t="s">
        <v>39</v>
      </c>
      <c r="B4986" s="241"/>
      <c r="C4986" s="1181">
        <v>87299</v>
      </c>
      <c r="D4986" s="161" t="str">
        <f>IF(B4986="SEPLAG",VLOOKUP(COMPOSIÇÕES!C4986,'MAPA COMPARATIVO'!A:B,2,FALSE),VLOOKUP(C4986,'NAO DESO'!A:B,2,0))</f>
        <v>ARGAMASSA TRAÇO 1:3 (EM VOLUME DE CIMENTO E AREIA MÉDIA ÚMIDA) PARA CONTRAPISO, PREPARO MECÂNICO COM BETONEIRA 600 L. AF_08/2019</v>
      </c>
      <c r="E4986" s="241" t="str">
        <f>VLOOKUP($C4986,'NAO DESO'!$A:$D,3,)</f>
        <v>M3</v>
      </c>
      <c r="F4986" s="242">
        <v>3.5629999999999999E-4</v>
      </c>
      <c r="G4986" s="242" t="str">
        <f>IF(B4986="SEPLAG",VLOOKUP(CONCATENATE("MEDIANA - ",C4986),COTAÇÃO,5,FALSE),VLOOKUP($C4986,'NAO DESO'!$A:$D,4,))</f>
        <v>374,60</v>
      </c>
      <c r="H4986" s="242">
        <f t="shared" si="290"/>
        <v>0.13</v>
      </c>
      <c r="I4986" s="54" t="str">
        <f>IF(B4986="SEPLAG",VLOOKUP(CONCATENATE("MEDIANA - ",C4986),COTAÇÃO,5,FALSE),VLOOKUP($C4986,DESON!$A:$D,4,))</f>
        <v>368,07</v>
      </c>
      <c r="J4986" s="209">
        <f t="shared" si="291"/>
        <v>0.13</v>
      </c>
    </row>
    <row r="4987" spans="1:10" ht="15" customHeight="1">
      <c r="A4987" s="210" t="str">
        <f>CONCATENATE("TOTAL DO ITEM NÃO DESON. - ",C4978)</f>
        <v>TOTAL DO ITEM NÃO DESON. - SEPLAG HIDR 54</v>
      </c>
      <c r="B4987" s="430"/>
      <c r="C4987" s="430"/>
      <c r="D4987" s="430"/>
      <c r="E4987" s="430"/>
      <c r="F4987" s="1180"/>
      <c r="G4987" s="1180"/>
      <c r="H4987" s="1182">
        <f>SUM(H4981:H4986)</f>
        <v>40.339999999999996</v>
      </c>
      <c r="I4987" s="231"/>
      <c r="J4987" s="215"/>
    </row>
    <row r="4988" spans="1:10" ht="15.75" customHeight="1" thickBot="1">
      <c r="A4988" s="216" t="str">
        <f>CONCATENATE("TOTAL DO ITEM DESON. - ",C4978)</f>
        <v>TOTAL DO ITEM DESON. - SEPLAG HIDR 54</v>
      </c>
      <c r="B4988" s="1142"/>
      <c r="C4988" s="1142"/>
      <c r="D4988" s="1142"/>
      <c r="E4988" s="1142"/>
      <c r="F4988" s="1211"/>
      <c r="G4988" s="1211"/>
      <c r="H4988" s="1187"/>
      <c r="I4988" s="260"/>
      <c r="J4988" s="219">
        <f>SUM(J4981:J4986)</f>
        <v>38.390000000000008</v>
      </c>
    </row>
    <row r="4989" spans="1:10" ht="15" customHeight="1" thickBot="1">
      <c r="A4989" s="421"/>
      <c r="B4989" s="1138"/>
      <c r="C4989" s="1138"/>
      <c r="D4989" s="1138"/>
      <c r="E4989" s="1154"/>
      <c r="F4989" s="1196"/>
      <c r="G4989" s="1196"/>
      <c r="H4989" s="1196"/>
      <c r="I4989" s="422"/>
      <c r="J4989" s="422"/>
    </row>
    <row r="4990" spans="1:10" ht="25.5" customHeight="1">
      <c r="A4990" s="256"/>
      <c r="B4990" s="1152"/>
      <c r="C4990" s="1176" t="s">
        <v>13028</v>
      </c>
      <c r="D4990" s="156" t="s">
        <v>13024</v>
      </c>
      <c r="E4990" s="1176" t="s">
        <v>24</v>
      </c>
      <c r="F4990" s="1177" t="s">
        <v>18</v>
      </c>
      <c r="G4990" s="1178" t="s">
        <v>7015</v>
      </c>
      <c r="H4990" s="1179"/>
      <c r="I4990" s="200" t="s">
        <v>7016</v>
      </c>
      <c r="J4990" s="201"/>
    </row>
    <row r="4991" spans="1:10" ht="15" customHeight="1">
      <c r="A4991" s="257"/>
      <c r="B4991" s="430"/>
      <c r="C4991" s="1155"/>
      <c r="D4991" s="157"/>
      <c r="E4991" s="1155"/>
      <c r="F4991" s="1180"/>
      <c r="G4991" s="1180" t="s">
        <v>19</v>
      </c>
      <c r="H4991" s="1180" t="s">
        <v>20</v>
      </c>
      <c r="I4991" s="204" t="s">
        <v>19</v>
      </c>
      <c r="J4991" s="206" t="s">
        <v>20</v>
      </c>
    </row>
    <row r="4992" spans="1:10" ht="25.5" customHeight="1">
      <c r="A4992" s="258"/>
      <c r="B4992" s="1155"/>
      <c r="C4992" s="241" t="s">
        <v>13025</v>
      </c>
      <c r="D4992" s="1132" t="s">
        <v>13026</v>
      </c>
      <c r="E4992" s="1155"/>
      <c r="F4992" s="1180"/>
      <c r="G4992" s="1180"/>
      <c r="H4992" s="1180"/>
      <c r="I4992" s="238"/>
      <c r="J4992" s="259"/>
    </row>
    <row r="4993" spans="1:10" ht="15" customHeight="1">
      <c r="A4993" s="208" t="s">
        <v>245</v>
      </c>
      <c r="B4993" s="241"/>
      <c r="C4993" s="1181">
        <v>88309</v>
      </c>
      <c r="D4993" s="161" t="str">
        <f>IF(B4993="SEPLAG",VLOOKUP(COMPOSIÇÕES!C4993,'MAPA COMPARATIVO'!A:B,2,FALSE),VLOOKUP(C4993,'NAO DESO'!A:B,2,0))</f>
        <v>PEDREIRO COM ENCARGOS COMPLEMENTARES</v>
      </c>
      <c r="E4993" s="241" t="str">
        <f>VLOOKUP($C4993,'NAO DESO'!$A:$D,3,)</f>
        <v>H</v>
      </c>
      <c r="F4993" s="242">
        <v>0.61899999999999999</v>
      </c>
      <c r="G4993" s="242" t="str">
        <f>IF(B4993="SEPLAG",VLOOKUP(CONCATENATE("MEDIANA - ",C4993),COTAÇÃO,5,FALSE),VLOOKUP($C4993,'NAO DESO'!$A:$D,4,))</f>
        <v>21,10</v>
      </c>
      <c r="H4993" s="242">
        <f>TRUNC(F4993*G4993,2)</f>
        <v>13.06</v>
      </c>
      <c r="I4993" s="54" t="str">
        <f>IF(B4993="SEPLAG",VLOOKUP(CONCATENATE("MEDIANA - ",C4993),COTAÇÃO,5,FALSE),VLOOKUP($C4993,DESON!$A:$D,4,))</f>
        <v>18,86</v>
      </c>
      <c r="J4993" s="209">
        <f>TRUNC(F4993*I4993,2)</f>
        <v>11.67</v>
      </c>
    </row>
    <row r="4994" spans="1:10" ht="15" customHeight="1">
      <c r="A4994" s="208" t="s">
        <v>245</v>
      </c>
      <c r="B4994" s="241"/>
      <c r="C4994" s="1181">
        <v>88316</v>
      </c>
      <c r="D4994" s="161" t="str">
        <f>IF(B4994="SEPLAG",VLOOKUP(COMPOSIÇÕES!C4994,'MAPA COMPARATIVO'!A:B,2,FALSE),VLOOKUP(C4994,'NAO DESO'!A:B,2,0))</f>
        <v>SERVENTE COM ENCARGOS COMPLEMENTARES</v>
      </c>
      <c r="E4994" s="241" t="str">
        <f>VLOOKUP($C4994,'NAO DESO'!$A:$D,3,)</f>
        <v>H</v>
      </c>
      <c r="F4994" s="242">
        <v>7.0110000000000001</v>
      </c>
      <c r="G4994" s="242" t="str">
        <f>IF(B4994="SEPLAG",VLOOKUP(CONCATENATE("MEDIANA - ",C4994),COTAÇÃO,5,FALSE),VLOOKUP($C4994,'NAO DESO'!$A:$D,4,))</f>
        <v>16,83</v>
      </c>
      <c r="H4994" s="242">
        <f>TRUNC(F4994*G4994,2)</f>
        <v>117.99</v>
      </c>
      <c r="I4994" s="54" t="str">
        <f>IF(B4994="SEPLAG",VLOOKUP(CONCATENATE("MEDIANA - ",C4994),COTAÇÃO,5,FALSE),VLOOKUP($C4994,DESON!$A:$D,4,))</f>
        <v>15,16</v>
      </c>
      <c r="J4994" s="209">
        <f>TRUNC(F4994*I4994,2)</f>
        <v>106.28</v>
      </c>
    </row>
    <row r="4995" spans="1:10" ht="26.25" customHeight="1">
      <c r="A4995" s="208" t="s">
        <v>39</v>
      </c>
      <c r="B4995" s="241"/>
      <c r="C4995" s="1181">
        <v>367</v>
      </c>
      <c r="D4995" s="161" t="str">
        <f>IF(B4995="SEPLAG",VLOOKUP(COMPOSIÇÕES!C4995,'MAPA COMPARATIVO'!A:B,2,FALSE),VLOOKUP(C4995,'NAO DESO'!A:B,2,0))</f>
        <v>AREIA GROSSA - POSTO JAZIDA/FORNECEDOR (RETIRADO NA JAZIDA, SEM TRANSPORTE)</v>
      </c>
      <c r="E4995" s="241" t="str">
        <f>VLOOKUP($C4995,'NAO DESO'!$A:$D,3,)</f>
        <v xml:space="preserve">M3    </v>
      </c>
      <c r="F4995" s="242">
        <v>1.3</v>
      </c>
      <c r="G4995" s="242">
        <f>IF(B4995="SEPLAG",VLOOKUP(CONCATENATE("MEDIANA - ",C4995),COTAÇÃO,5,FALSE),VLOOKUP($C4995,'NAO DESO'!$A:$D,4,))</f>
        <v>84.59</v>
      </c>
      <c r="H4995" s="242">
        <f>TRUNC(F4995*G4995,2)</f>
        <v>109.96</v>
      </c>
      <c r="I4995" s="54" t="str">
        <f>IF(B4995="SEPLAG",VLOOKUP(CONCATENATE("MEDIANA - ",C4995),COTAÇÃO,5,FALSE),VLOOKUP($C4995,DESON!$A:$D,4,))</f>
        <v>84,59</v>
      </c>
      <c r="J4995" s="209">
        <f>TRUNC(F4995*I4995,2)</f>
        <v>109.96</v>
      </c>
    </row>
    <row r="4996" spans="1:10" ht="15" customHeight="1">
      <c r="A4996" s="210" t="str">
        <f>CONCATENATE("TOTAL DO ITEM NÃO DESON. - ",C4990)</f>
        <v>TOTAL DO ITEM NÃO DESON. - SEPLAG HIDR 55</v>
      </c>
      <c r="B4996" s="430"/>
      <c r="C4996" s="430"/>
      <c r="D4996" s="430"/>
      <c r="E4996" s="430"/>
      <c r="F4996" s="1180"/>
      <c r="G4996" s="1180"/>
      <c r="H4996" s="1182">
        <f>SUM(H4993:H4995)</f>
        <v>241.01</v>
      </c>
      <c r="I4996" s="231"/>
      <c r="J4996" s="215"/>
    </row>
    <row r="4997" spans="1:10" ht="15.75" customHeight="1" thickBot="1">
      <c r="A4997" s="216" t="str">
        <f>CONCATENATE("TOTAL DO ITEM DESON. - ",C4990)</f>
        <v>TOTAL DO ITEM DESON. - SEPLAG HIDR 55</v>
      </c>
      <c r="B4997" s="1142"/>
      <c r="C4997" s="1142"/>
      <c r="D4997" s="1142"/>
      <c r="E4997" s="1142"/>
      <c r="F4997" s="1211"/>
      <c r="G4997" s="1211"/>
      <c r="H4997" s="1187"/>
      <c r="I4997" s="260"/>
      <c r="J4997" s="219">
        <f>SUM(J4993:J4995)</f>
        <v>227.91</v>
      </c>
    </row>
    <row r="4998" spans="1:10" ht="15" customHeight="1" thickBot="1">
      <c r="A4998" s="421"/>
      <c r="B4998" s="1138"/>
      <c r="C4998" s="1138"/>
      <c r="D4998" s="1138"/>
      <c r="E4998" s="1154"/>
      <c r="F4998" s="1196"/>
      <c r="G4998" s="1196"/>
      <c r="H4998" s="1196"/>
      <c r="I4998" s="422"/>
      <c r="J4998" s="422"/>
    </row>
    <row r="4999" spans="1:10" ht="15" customHeight="1">
      <c r="A4999" s="256"/>
      <c r="B4999" s="1152"/>
      <c r="C4999" s="1176" t="s">
        <v>13032</v>
      </c>
      <c r="D4999" s="156" t="s">
        <v>13029</v>
      </c>
      <c r="E4999" s="1176" t="s">
        <v>24</v>
      </c>
      <c r="F4999" s="1177" t="s">
        <v>18</v>
      </c>
      <c r="G4999" s="1178" t="s">
        <v>7015</v>
      </c>
      <c r="H4999" s="1179"/>
      <c r="I4999" s="200" t="s">
        <v>7016</v>
      </c>
      <c r="J4999" s="201"/>
    </row>
    <row r="5000" spans="1:10" ht="15" customHeight="1">
      <c r="A5000" s="257"/>
      <c r="B5000" s="430"/>
      <c r="C5000" s="1155"/>
      <c r="D5000" s="157"/>
      <c r="E5000" s="1155"/>
      <c r="F5000" s="1180"/>
      <c r="G5000" s="1180" t="s">
        <v>19</v>
      </c>
      <c r="H5000" s="1180" t="s">
        <v>20</v>
      </c>
      <c r="I5000" s="204" t="s">
        <v>19</v>
      </c>
      <c r="J5000" s="206" t="s">
        <v>20</v>
      </c>
    </row>
    <row r="5001" spans="1:10" ht="25.5" customHeight="1">
      <c r="A5001" s="258"/>
      <c r="B5001" s="1155"/>
      <c r="C5001" s="241" t="s">
        <v>13025</v>
      </c>
      <c r="D5001" s="1132" t="s">
        <v>13026</v>
      </c>
      <c r="E5001" s="1155"/>
      <c r="F5001" s="1180"/>
      <c r="G5001" s="1180"/>
      <c r="H5001" s="1180"/>
      <c r="I5001" s="238"/>
      <c r="J5001" s="259"/>
    </row>
    <row r="5002" spans="1:10" ht="15" customHeight="1">
      <c r="A5002" s="208" t="s">
        <v>245</v>
      </c>
      <c r="B5002" s="241"/>
      <c r="C5002" s="1181">
        <v>88316</v>
      </c>
      <c r="D5002" s="161" t="str">
        <f>IF(B5002="SEPLAG",VLOOKUP(COMPOSIÇÕES!C5002,'MAPA COMPARATIVO'!A:B,2,FALSE),VLOOKUP(C5002,'NAO DESO'!A:B,2,0))</f>
        <v>SERVENTE COM ENCARGOS COMPLEMENTARES</v>
      </c>
      <c r="E5002" s="241" t="str">
        <f>VLOOKUP($C5002,'NAO DESO'!$A:$D,3,)</f>
        <v>H</v>
      </c>
      <c r="F5002" s="242">
        <v>2</v>
      </c>
      <c r="G5002" s="242" t="str">
        <f>IF(B5002="SEPLAG",VLOOKUP(CONCATENATE("MEDIANA - ",C5002),COTAÇÃO,5,FALSE),VLOOKUP($C5002,'NAO DESO'!$A:$D,4,))</f>
        <v>16,83</v>
      </c>
      <c r="H5002" s="242">
        <f>TRUNC(F5002*G5002,2)</f>
        <v>33.659999999999997</v>
      </c>
      <c r="I5002" s="54" t="str">
        <f>IF(B5002="SEPLAG",VLOOKUP(CONCATENATE("MEDIANA - ",C5002),COTAÇÃO,5,FALSE),VLOOKUP($C5002,DESON!$A:$D,4,))</f>
        <v>15,16</v>
      </c>
      <c r="J5002" s="209">
        <f>TRUNC(F5002*I5002,2)</f>
        <v>30.32</v>
      </c>
    </row>
    <row r="5003" spans="1:10" ht="15" customHeight="1">
      <c r="A5003" s="210" t="str">
        <f>CONCATENATE("TOTAL DO ITEM NÃO DESON. - ",C4999)</f>
        <v>TOTAL DO ITEM NÃO DESON. - SEPLAG HIDR 56</v>
      </c>
      <c r="B5003" s="430"/>
      <c r="C5003" s="430"/>
      <c r="D5003" s="430"/>
      <c r="E5003" s="430"/>
      <c r="F5003" s="1180"/>
      <c r="G5003" s="1180"/>
      <c r="H5003" s="1182">
        <f>SUM(H5002:H5002)</f>
        <v>33.659999999999997</v>
      </c>
      <c r="I5003" s="231"/>
      <c r="J5003" s="215"/>
    </row>
    <row r="5004" spans="1:10" ht="15.75" customHeight="1" thickBot="1">
      <c r="A5004" s="216" t="str">
        <f>CONCATENATE("TOTAL DO ITEM DESON. - ",C4999)</f>
        <v>TOTAL DO ITEM DESON. - SEPLAG HIDR 56</v>
      </c>
      <c r="B5004" s="1142"/>
      <c r="C5004" s="1142"/>
      <c r="D5004" s="1142"/>
      <c r="E5004" s="1142"/>
      <c r="F5004" s="1211"/>
      <c r="G5004" s="1211"/>
      <c r="H5004" s="1187"/>
      <c r="I5004" s="260"/>
      <c r="J5004" s="219">
        <f>SUM(J5002:J5002)</f>
        <v>30.32</v>
      </c>
    </row>
    <row r="5005" spans="1:10" ht="15" customHeight="1" thickBot="1">
      <c r="A5005" s="421"/>
      <c r="B5005" s="1138"/>
      <c r="C5005" s="1138"/>
      <c r="D5005" s="1138"/>
      <c r="E5005" s="1154"/>
      <c r="F5005" s="1196"/>
      <c r="G5005" s="1196"/>
      <c r="H5005" s="1196"/>
      <c r="I5005" s="422"/>
      <c r="J5005" s="422"/>
    </row>
    <row r="5006" spans="1:10" ht="25.5" customHeight="1">
      <c r="A5006" s="256"/>
      <c r="B5006" s="1152"/>
      <c r="C5006" s="1176" t="s">
        <v>13033</v>
      </c>
      <c r="D5006" s="156" t="s">
        <v>13030</v>
      </c>
      <c r="E5006" s="1176" t="s">
        <v>24</v>
      </c>
      <c r="F5006" s="1177" t="s">
        <v>18</v>
      </c>
      <c r="G5006" s="1178" t="s">
        <v>7015</v>
      </c>
      <c r="H5006" s="1179"/>
      <c r="I5006" s="200" t="s">
        <v>7016</v>
      </c>
      <c r="J5006" s="201"/>
    </row>
    <row r="5007" spans="1:10" ht="15" customHeight="1">
      <c r="A5007" s="257"/>
      <c r="B5007" s="430"/>
      <c r="C5007" s="1155"/>
      <c r="D5007" s="157"/>
      <c r="E5007" s="1155"/>
      <c r="F5007" s="1180"/>
      <c r="G5007" s="1180" t="s">
        <v>19</v>
      </c>
      <c r="H5007" s="1180" t="s">
        <v>20</v>
      </c>
      <c r="I5007" s="204" t="s">
        <v>19</v>
      </c>
      <c r="J5007" s="206" t="s">
        <v>20</v>
      </c>
    </row>
    <row r="5008" spans="1:10" ht="15" customHeight="1">
      <c r="A5008" s="258"/>
      <c r="B5008" s="1155"/>
      <c r="C5008" s="241" t="s">
        <v>180</v>
      </c>
      <c r="D5008" s="1132" t="s">
        <v>13031</v>
      </c>
      <c r="E5008" s="1155"/>
      <c r="F5008" s="1180"/>
      <c r="G5008" s="1180"/>
      <c r="H5008" s="1180"/>
      <c r="I5008" s="238"/>
      <c r="J5008" s="259"/>
    </row>
    <row r="5009" spans="1:10" ht="15" customHeight="1">
      <c r="A5009" s="208" t="s">
        <v>245</v>
      </c>
      <c r="B5009" s="241"/>
      <c r="C5009" s="1181">
        <v>88316</v>
      </c>
      <c r="D5009" s="161" t="str">
        <f>IF(B5009="SEPLAG",VLOOKUP(COMPOSIÇÕES!C5009,'MAPA COMPARATIVO'!A:B,2,FALSE),VLOOKUP(C5009,'NAO DESO'!A:B,2,0))</f>
        <v>SERVENTE COM ENCARGOS COMPLEMENTARES</v>
      </c>
      <c r="E5009" s="241" t="str">
        <f>VLOOKUP($C5009,'NAO DESO'!$A:$D,3,)</f>
        <v>H</v>
      </c>
      <c r="F5009" s="242">
        <v>3</v>
      </c>
      <c r="G5009" s="242" t="str">
        <f>IF(B5009="SEPLAG",VLOOKUP(CONCATENATE("MEDIANA - ",C5009),COTAÇÃO,5,FALSE),VLOOKUP($C5009,'NAO DESO'!$A:$D,4,))</f>
        <v>16,83</v>
      </c>
      <c r="H5009" s="242">
        <f>TRUNC(F5009*G5009,2)</f>
        <v>50.49</v>
      </c>
      <c r="I5009" s="54" t="str">
        <f>IF(B5009="SEPLAG",VLOOKUP(CONCATENATE("MEDIANA - ",C5009),COTAÇÃO,5,FALSE),VLOOKUP($C5009,DESON!$A:$D,4,))</f>
        <v>15,16</v>
      </c>
      <c r="J5009" s="209">
        <f>TRUNC(F5009*I5009,2)</f>
        <v>45.48</v>
      </c>
    </row>
    <row r="5010" spans="1:10" ht="15" customHeight="1">
      <c r="A5010" s="210" t="str">
        <f>CONCATENATE("TOTAL DO ITEM NÃO DESON. - ",C5006)</f>
        <v>TOTAL DO ITEM NÃO DESON. - SEPLAG HIDR 57</v>
      </c>
      <c r="B5010" s="430"/>
      <c r="C5010" s="430"/>
      <c r="D5010" s="430"/>
      <c r="E5010" s="430"/>
      <c r="F5010" s="1180"/>
      <c r="G5010" s="1180"/>
      <c r="H5010" s="1182">
        <f>SUM(H5009:H5009)</f>
        <v>50.49</v>
      </c>
      <c r="I5010" s="231"/>
      <c r="J5010" s="215"/>
    </row>
    <row r="5011" spans="1:10" ht="15.75" customHeight="1" thickBot="1">
      <c r="A5011" s="216" t="str">
        <f>CONCATENATE("TOTAL DO ITEM DESON. - ",C5006)</f>
        <v>TOTAL DO ITEM DESON. - SEPLAG HIDR 57</v>
      </c>
      <c r="B5011" s="1142"/>
      <c r="C5011" s="1142"/>
      <c r="D5011" s="1142"/>
      <c r="E5011" s="1142"/>
      <c r="F5011" s="1211"/>
      <c r="G5011" s="1211"/>
      <c r="H5011" s="1187"/>
      <c r="I5011" s="260"/>
      <c r="J5011" s="219">
        <f>SUM(J5009:J5009)</f>
        <v>45.48</v>
      </c>
    </row>
    <row r="5012" spans="1:10" ht="15" customHeight="1" thickBot="1">
      <c r="A5012" s="421"/>
      <c r="B5012" s="1138"/>
      <c r="C5012" s="1138"/>
      <c r="D5012" s="1138"/>
      <c r="E5012" s="1154"/>
      <c r="F5012" s="1196"/>
      <c r="G5012" s="1196"/>
      <c r="H5012" s="1196"/>
      <c r="I5012" s="422"/>
      <c r="J5012" s="422"/>
    </row>
    <row r="5013" spans="1:10" ht="38.25" customHeight="1">
      <c r="A5013" s="256"/>
      <c r="B5013" s="1152"/>
      <c r="C5013" s="1176" t="s">
        <v>13034</v>
      </c>
      <c r="D5013" s="156" t="s">
        <v>13035</v>
      </c>
      <c r="E5013" s="1176" t="s">
        <v>24</v>
      </c>
      <c r="F5013" s="1177" t="s">
        <v>18</v>
      </c>
      <c r="G5013" s="1178" t="s">
        <v>7015</v>
      </c>
      <c r="H5013" s="1179"/>
      <c r="I5013" s="200" t="s">
        <v>7016</v>
      </c>
      <c r="J5013" s="201"/>
    </row>
    <row r="5014" spans="1:10" ht="15" customHeight="1">
      <c r="A5014" s="257"/>
      <c r="B5014" s="430"/>
      <c r="C5014" s="1155"/>
      <c r="D5014" s="157"/>
      <c r="E5014" s="1155"/>
      <c r="F5014" s="1180"/>
      <c r="G5014" s="1180" t="s">
        <v>19</v>
      </c>
      <c r="H5014" s="1180" t="s">
        <v>20</v>
      </c>
      <c r="I5014" s="204" t="s">
        <v>19</v>
      </c>
      <c r="J5014" s="206" t="s">
        <v>20</v>
      </c>
    </row>
    <row r="5015" spans="1:10" ht="38.25" customHeight="1">
      <c r="A5015" s="258"/>
      <c r="B5015" s="1155"/>
      <c r="C5015" s="241" t="s">
        <v>180</v>
      </c>
      <c r="D5015" s="1132" t="s">
        <v>13036</v>
      </c>
      <c r="E5015" s="1155"/>
      <c r="F5015" s="1180"/>
      <c r="G5015" s="1180"/>
      <c r="H5015" s="1180"/>
      <c r="I5015" s="238"/>
      <c r="J5015" s="259"/>
    </row>
    <row r="5016" spans="1:10" ht="51.75" customHeight="1">
      <c r="A5016" s="208" t="s">
        <v>245</v>
      </c>
      <c r="B5016" s="241"/>
      <c r="C5016" s="1181">
        <v>87335</v>
      </c>
      <c r="D5016" s="161" t="str">
        <f>IF(B5016="SEPLAG",VLOOKUP(COMPOSIÇÕES!C5016,'MAPA COMPARATIVO'!A:B,2,FALSE),VLOOKUP(C5016,'NAO DESO'!A:B,2,0))</f>
        <v>ARGAMASSA TRAÇO 1:2:8 (EM VOLUME DE CIMENTO, CAL E AREIA MÉDIA ÚMIDA) PARA EMBOÇO/MASSA ÚNICA/ASSENTAMENTO DE ALVENARIA DE VEDAÇÃO, PREPARO MECÂNICO COM MISTURADOR DE EIXO HORIZONTAL DE 300 KG. AF_08/2019</v>
      </c>
      <c r="E5016" s="241" t="str">
        <f>VLOOKUP($C5016,'NAO DESO'!$A:$D,3,)</f>
        <v>M3</v>
      </c>
      <c r="F5016" s="242">
        <v>2.1999999999999999E-2</v>
      </c>
      <c r="G5016" s="242" t="str">
        <f>IF(B5016="SEPLAG",VLOOKUP(CONCATENATE("MEDIANA - ",C5016),COTAÇÃO,5,FALSE),VLOOKUP($C5016,'NAO DESO'!$A:$D,4,))</f>
        <v>446,76</v>
      </c>
      <c r="H5016" s="242">
        <f>TRUNC(F5016*G5016,2)</f>
        <v>9.82</v>
      </c>
      <c r="I5016" s="54" t="str">
        <f>IF(B5016="SEPLAG",VLOOKUP(CONCATENATE("MEDIANA - ",C5016),COTAÇÃO,5,FALSE),VLOOKUP($C5016,DESON!$A:$D,4,))</f>
        <v>438,93</v>
      </c>
      <c r="J5016" s="209">
        <f>TRUNC(F5016*I5016,2)</f>
        <v>9.65</v>
      </c>
    </row>
    <row r="5017" spans="1:10" ht="15" customHeight="1">
      <c r="A5017" s="208" t="s">
        <v>245</v>
      </c>
      <c r="B5017" s="241"/>
      <c r="C5017" s="1181">
        <v>88309</v>
      </c>
      <c r="D5017" s="161" t="str">
        <f>IF(B5017="SEPLAG",VLOOKUP(COMPOSIÇÕES!C5017,'MAPA COMPARATIVO'!A:B,2,FALSE),VLOOKUP(C5017,'NAO DESO'!A:B,2,0))</f>
        <v>PEDREIRO COM ENCARGOS COMPLEMENTARES</v>
      </c>
      <c r="E5017" s="241" t="str">
        <f>VLOOKUP($C5017,'NAO DESO'!$A:$D,3,)</f>
        <v>H</v>
      </c>
      <c r="F5017" s="242">
        <v>1.6</v>
      </c>
      <c r="G5017" s="242" t="str">
        <f>IF(B5017="SEPLAG",VLOOKUP(CONCATENATE("MEDIANA - ",C5017),COTAÇÃO,5,FALSE),VLOOKUP($C5017,'NAO DESO'!$A:$D,4,))</f>
        <v>21,10</v>
      </c>
      <c r="H5017" s="242">
        <f>TRUNC(F5017*G5017,2)</f>
        <v>33.76</v>
      </c>
      <c r="I5017" s="54" t="str">
        <f>IF(B5017="SEPLAG",VLOOKUP(CONCATENATE("MEDIANA - ",C5017),COTAÇÃO,5,FALSE),VLOOKUP($C5017,DESON!$A:$D,4,))</f>
        <v>18,86</v>
      </c>
      <c r="J5017" s="209">
        <f>TRUNC(F5017*I5017,2)</f>
        <v>30.17</v>
      </c>
    </row>
    <row r="5018" spans="1:10" ht="15" customHeight="1">
      <c r="A5018" s="208" t="s">
        <v>39</v>
      </c>
      <c r="B5018" s="241"/>
      <c r="C5018" s="1181">
        <v>88316</v>
      </c>
      <c r="D5018" s="161" t="str">
        <f>IF(B5018="SEPLAG",VLOOKUP(COMPOSIÇÕES!C5018,'MAPA COMPARATIVO'!A:B,2,FALSE),VLOOKUP(C5018,'NAO DESO'!A:B,2,0))</f>
        <v>SERVENTE COM ENCARGOS COMPLEMENTARES</v>
      </c>
      <c r="E5018" s="241" t="str">
        <f>VLOOKUP($C5018,'NAO DESO'!$A:$D,3,)</f>
        <v>H</v>
      </c>
      <c r="F5018" s="242">
        <v>1.7</v>
      </c>
      <c r="G5018" s="242" t="str">
        <f>IF(B5018="SEPLAG",VLOOKUP(CONCATENATE("MEDIANA - ",C5018),COTAÇÃO,5,FALSE),VLOOKUP($C5018,'NAO DESO'!$A:$D,4,))</f>
        <v>16,83</v>
      </c>
      <c r="H5018" s="242">
        <f>TRUNC(F5018*G5018,2)</f>
        <v>28.61</v>
      </c>
      <c r="I5018" s="54" t="str">
        <f>IF(B5018="SEPLAG",VLOOKUP(CONCATENATE("MEDIANA - ",C5018),COTAÇÃO,5,FALSE),VLOOKUP($C5018,DESON!$A:$D,4,))</f>
        <v>15,16</v>
      </c>
      <c r="J5018" s="209">
        <f>TRUNC(F5018*I5018,2)</f>
        <v>25.77</v>
      </c>
    </row>
    <row r="5019" spans="1:10" ht="15" customHeight="1">
      <c r="A5019" s="208" t="s">
        <v>39</v>
      </c>
      <c r="B5019" s="241"/>
      <c r="C5019" s="1181">
        <v>7258</v>
      </c>
      <c r="D5019" s="161" t="str">
        <f>IF(B5019="SEPLAG",VLOOKUP(COMPOSIÇÕES!C5019,'MAPA COMPARATIVO'!A:B,2,FALSE),VLOOKUP(C5019,'NAO DESO'!A:B,2,0))</f>
        <v>TIJOLO CERAMICO MACICO COMUM *5 X 10 X 20* CM (L X A X C)</v>
      </c>
      <c r="E5019" s="241" t="str">
        <f>VLOOKUP($C5019,'NAO DESO'!$A:$D,3,)</f>
        <v xml:space="preserve">UN    </v>
      </c>
      <c r="F5019" s="242">
        <v>160</v>
      </c>
      <c r="G5019" s="242">
        <f>IF(B5019="SEPLAG",VLOOKUP(CONCATENATE("MEDIANA - ",C5019),COTAÇÃO,5,FALSE),VLOOKUP($C5019,'NAO DESO'!$A:$D,4,))</f>
        <v>0.77</v>
      </c>
      <c r="H5019" s="242">
        <f>TRUNC(F5019*G5019,2)</f>
        <v>123.2</v>
      </c>
      <c r="I5019" s="54" t="str">
        <f>IF(B5019="SEPLAG",VLOOKUP(CONCATENATE("MEDIANA - ",C5019),COTAÇÃO,5,FALSE),VLOOKUP($C5019,DESON!$A:$D,4,))</f>
        <v>0,77</v>
      </c>
      <c r="J5019" s="209">
        <f>TRUNC(F5019*I5019,2)</f>
        <v>123.2</v>
      </c>
    </row>
    <row r="5020" spans="1:10" ht="15" customHeight="1">
      <c r="A5020" s="210" t="str">
        <f>CONCATENATE("TOTAL DO ITEM NÃO DESON. - ",C5013)</f>
        <v>TOTAL DO ITEM NÃO DESON. - SEPLAG HIDR 58</v>
      </c>
      <c r="B5020" s="430"/>
      <c r="C5020" s="430"/>
      <c r="D5020" s="430"/>
      <c r="E5020" s="430"/>
      <c r="F5020" s="1180"/>
      <c r="G5020" s="1180"/>
      <c r="H5020" s="1182">
        <f>SUM(H5016:H5019)</f>
        <v>195.39</v>
      </c>
      <c r="I5020" s="231"/>
      <c r="J5020" s="215"/>
    </row>
    <row r="5021" spans="1:10" ht="15.75" customHeight="1" thickBot="1">
      <c r="A5021" s="216" t="str">
        <f>CONCATENATE("TOTAL DO ITEM DESON. - ",C5013)</f>
        <v>TOTAL DO ITEM DESON. - SEPLAG HIDR 58</v>
      </c>
      <c r="B5021" s="1142"/>
      <c r="C5021" s="1142"/>
      <c r="D5021" s="1142"/>
      <c r="E5021" s="1142"/>
      <c r="F5021" s="1211"/>
      <c r="G5021" s="1211"/>
      <c r="H5021" s="1187"/>
      <c r="I5021" s="260"/>
      <c r="J5021" s="219">
        <f>SUM(J5016:J5019)</f>
        <v>188.79000000000002</v>
      </c>
    </row>
    <row r="5022" spans="1:10" ht="15" customHeight="1" thickBot="1">
      <c r="A5022" s="421"/>
      <c r="B5022" s="1138"/>
      <c r="C5022" s="1138"/>
      <c r="D5022" s="1138"/>
      <c r="E5022" s="1154"/>
      <c r="F5022" s="1196"/>
      <c r="G5022" s="1196"/>
      <c r="H5022" s="1196"/>
      <c r="I5022" s="422"/>
      <c r="J5022" s="422"/>
    </row>
    <row r="5023" spans="1:10" ht="25.5" customHeight="1">
      <c r="A5023" s="256"/>
      <c r="B5023" s="1152"/>
      <c r="C5023" s="1176" t="s">
        <v>13037</v>
      </c>
      <c r="D5023" s="156" t="s">
        <v>13038</v>
      </c>
      <c r="E5023" s="1176" t="s">
        <v>24</v>
      </c>
      <c r="F5023" s="1177" t="s">
        <v>18</v>
      </c>
      <c r="G5023" s="1178" t="s">
        <v>7015</v>
      </c>
      <c r="H5023" s="1179"/>
      <c r="I5023" s="200" t="s">
        <v>7016</v>
      </c>
      <c r="J5023" s="201"/>
    </row>
    <row r="5024" spans="1:10" ht="15" customHeight="1">
      <c r="A5024" s="257"/>
      <c r="B5024" s="430"/>
      <c r="C5024" s="1155"/>
      <c r="D5024" s="157"/>
      <c r="E5024" s="1155"/>
      <c r="F5024" s="1180"/>
      <c r="G5024" s="1180" t="s">
        <v>19</v>
      </c>
      <c r="H5024" s="1180" t="s">
        <v>20</v>
      </c>
      <c r="I5024" s="204" t="s">
        <v>19</v>
      </c>
      <c r="J5024" s="206" t="s">
        <v>20</v>
      </c>
    </row>
    <row r="5025" spans="1:10" ht="15" customHeight="1">
      <c r="A5025" s="258"/>
      <c r="B5025" s="1155"/>
      <c r="C5025" s="241" t="s">
        <v>13039</v>
      </c>
      <c r="D5025" s="1132" t="s">
        <v>13040</v>
      </c>
      <c r="E5025" s="1155"/>
      <c r="F5025" s="1180"/>
      <c r="G5025" s="1180"/>
      <c r="H5025" s="1180"/>
      <c r="I5025" s="238"/>
      <c r="J5025" s="259"/>
    </row>
    <row r="5026" spans="1:10" ht="15" customHeight="1">
      <c r="A5026" s="208" t="s">
        <v>245</v>
      </c>
      <c r="B5026" s="241"/>
      <c r="C5026" s="1181">
        <v>88316</v>
      </c>
      <c r="D5026" s="161" t="str">
        <f>IF(B5026="SEPLAG",VLOOKUP(COMPOSIÇÕES!C5026,'MAPA COMPARATIVO'!A:B,2,FALSE),VLOOKUP(C5026,'NAO DESO'!A:B,2,0))</f>
        <v>SERVENTE COM ENCARGOS COMPLEMENTARES</v>
      </c>
      <c r="E5026" s="241" t="str">
        <f>VLOOKUP($C5026,'NAO DESO'!$A:$D,3,)</f>
        <v>H</v>
      </c>
      <c r="F5026" s="242">
        <v>0.28899999999999998</v>
      </c>
      <c r="G5026" s="242" t="str">
        <f>IF(B5026="SEPLAG",VLOOKUP(CONCATENATE("MEDIANA - ",C5026),COTAÇÃO,5,FALSE),VLOOKUP($C5026,'NAO DESO'!$A:$D,4,))</f>
        <v>16,83</v>
      </c>
      <c r="H5026" s="242">
        <f t="shared" ref="H5026:H5031" si="292">TRUNC(F5026*G5026,2)</f>
        <v>4.8600000000000003</v>
      </c>
      <c r="I5026" s="54" t="str">
        <f>IF(B5026="SEPLAG",VLOOKUP(CONCATENATE("MEDIANA - ",C5026),COTAÇÃO,5,FALSE),VLOOKUP($C5026,DESON!$A:$D,4,))</f>
        <v>15,16</v>
      </c>
      <c r="J5026" s="209">
        <f t="shared" ref="J5026:J5031" si="293">TRUNC(F5026*I5026,2)</f>
        <v>4.38</v>
      </c>
    </row>
    <row r="5027" spans="1:10" ht="15" customHeight="1">
      <c r="A5027" s="208" t="s">
        <v>245</v>
      </c>
      <c r="B5027" s="241"/>
      <c r="C5027" s="1181">
        <v>88309</v>
      </c>
      <c r="D5027" s="161" t="str">
        <f>IF(B5027="SEPLAG",VLOOKUP(COMPOSIÇÕES!C5027,'MAPA COMPARATIVO'!A:B,2,FALSE),VLOOKUP(C5027,'NAO DESO'!A:B,2,0))</f>
        <v>PEDREIRO COM ENCARGOS COMPLEMENTARES</v>
      </c>
      <c r="E5027" s="241" t="str">
        <f>VLOOKUP($C5027,'NAO DESO'!$A:$D,3,)</f>
        <v>H</v>
      </c>
      <c r="F5027" s="242">
        <v>0.77300000000000002</v>
      </c>
      <c r="G5027" s="242" t="str">
        <f>IF(B5027="SEPLAG",VLOOKUP(CONCATENATE("MEDIANA - ",C5027),COTAÇÃO,5,FALSE),VLOOKUP($C5027,'NAO DESO'!$A:$D,4,))</f>
        <v>21,10</v>
      </c>
      <c r="H5027" s="242">
        <f t="shared" si="292"/>
        <v>16.309999999999999</v>
      </c>
      <c r="I5027" s="54" t="str">
        <f>IF(B5027="SEPLAG",VLOOKUP(CONCATENATE("MEDIANA - ",C5027),COTAÇÃO,5,FALSE),VLOOKUP($C5027,DESON!$A:$D,4,))</f>
        <v>18,86</v>
      </c>
      <c r="J5027" s="209">
        <f t="shared" si="293"/>
        <v>14.57</v>
      </c>
    </row>
    <row r="5028" spans="1:10" ht="15" customHeight="1">
      <c r="A5028" s="208" t="s">
        <v>39</v>
      </c>
      <c r="B5028" s="241"/>
      <c r="C5028" s="1181">
        <v>1379</v>
      </c>
      <c r="D5028" s="161" t="str">
        <f>IF(B5028="SEPLAG",VLOOKUP(COMPOSIÇÕES!C5028,'MAPA COMPARATIVO'!A:B,2,FALSE),VLOOKUP(C5028,'NAO DESO'!A:B,2,0))</f>
        <v>CIMENTO PORTLAND COMPOSTO CP II-32</v>
      </c>
      <c r="E5028" s="241" t="str">
        <f>VLOOKUP($C5028,'NAO DESO'!$A:$D,3,)</f>
        <v xml:space="preserve">KG    </v>
      </c>
      <c r="F5028" s="242">
        <v>2.16</v>
      </c>
      <c r="G5028" s="242">
        <f>IF(B5028="SEPLAG",VLOOKUP(CONCATENATE("MEDIANA - ",C5028),COTAÇÃO,5,FALSE),VLOOKUP($C5028,'NAO DESO'!$A:$D,4,))</f>
        <v>0.72</v>
      </c>
      <c r="H5028" s="242">
        <f t="shared" si="292"/>
        <v>1.55</v>
      </c>
      <c r="I5028" s="54" t="str">
        <f>IF(B5028="SEPLAG",VLOOKUP(CONCATENATE("MEDIANA - ",C5028),COTAÇÃO,5,FALSE),VLOOKUP($C5028,DESON!$A:$D,4,))</f>
        <v>0,72</v>
      </c>
      <c r="J5028" s="209">
        <f t="shared" si="293"/>
        <v>1.55</v>
      </c>
    </row>
    <row r="5029" spans="1:10" ht="26.25" customHeight="1">
      <c r="A5029" s="208" t="s">
        <v>39</v>
      </c>
      <c r="B5029" s="241"/>
      <c r="C5029" s="1181">
        <v>370</v>
      </c>
      <c r="D5029" s="161" t="str">
        <f>IF(B5029="SEPLAG",VLOOKUP(COMPOSIÇÕES!C5029,'MAPA COMPARATIVO'!A:B,2,FALSE),VLOOKUP(C5029,'NAO DESO'!A:B,2,0))</f>
        <v>AREIA MEDIA - POSTO JAZIDA/FORNECEDOR (RETIRADO NA JAZIDA, SEM TRANSPORTE)</v>
      </c>
      <c r="E5029" s="241" t="str">
        <f>VLOOKUP($C5029,'NAO DESO'!$A:$D,3,)</f>
        <v xml:space="preserve">M3    </v>
      </c>
      <c r="F5029" s="242">
        <v>6.0000000000000001E-3</v>
      </c>
      <c r="G5029" s="242">
        <f>IF(B5029="SEPLAG",VLOOKUP(CONCATENATE("MEDIANA - ",C5029),COTAÇÃO,5,FALSE),VLOOKUP($C5029,'NAO DESO'!$A:$D,4,))</f>
        <v>83.5</v>
      </c>
      <c r="H5029" s="242">
        <f t="shared" si="292"/>
        <v>0.5</v>
      </c>
      <c r="I5029" s="54" t="str">
        <f>IF(B5029="SEPLAG",VLOOKUP(CONCATENATE("MEDIANA - ",C5029),COTAÇÃO,5,FALSE),VLOOKUP($C5029,DESON!$A:$D,4,))</f>
        <v>83,50</v>
      </c>
      <c r="J5029" s="209">
        <f t="shared" si="293"/>
        <v>0.5</v>
      </c>
    </row>
    <row r="5030" spans="1:10" ht="51.75" customHeight="1">
      <c r="A5030" s="208" t="s">
        <v>39</v>
      </c>
      <c r="B5030" s="241"/>
      <c r="C5030" s="1181">
        <v>87335</v>
      </c>
      <c r="D5030" s="161" t="str">
        <f>IF(B5030="SEPLAG",VLOOKUP(COMPOSIÇÕES!C5030,'MAPA COMPARATIVO'!A:B,2,FALSE),VLOOKUP(C5030,'NAO DESO'!A:B,2,0))</f>
        <v>ARGAMASSA TRAÇO 1:2:8 (EM VOLUME DE CIMENTO, CAL E AREIA MÉDIA ÚMIDA) PARA EMBOÇO/MASSA ÚNICA/ASSENTAMENTO DE ALVENARIA DE VEDAÇÃO, PREPARO MECÂNICO COM MISTURADOR DE EIXO HORIZONTAL DE 300 KG. AF_08/2019</v>
      </c>
      <c r="E5030" s="241" t="str">
        <f>VLOOKUP($C5030,'NAO DESO'!$A:$D,3,)</f>
        <v>M3</v>
      </c>
      <c r="F5030" s="242">
        <v>5</v>
      </c>
      <c r="G5030" s="242" t="str">
        <f>IF(B5030="SEPLAG",VLOOKUP(CONCATENATE("MEDIANA - ",C5030),COTAÇÃO,5,FALSE),VLOOKUP($C5030,'NAO DESO'!$A:$D,4,))</f>
        <v>446,76</v>
      </c>
      <c r="H5030" s="242">
        <f t="shared" si="292"/>
        <v>2233.8000000000002</v>
      </c>
      <c r="I5030" s="54" t="str">
        <f>IF(B5030="SEPLAG",VLOOKUP(CONCATENATE("MEDIANA - ",C5030),COTAÇÃO,5,FALSE),VLOOKUP($C5030,DESON!$A:$D,4,))</f>
        <v>438,93</v>
      </c>
      <c r="J5030" s="209">
        <f t="shared" si="293"/>
        <v>2194.65</v>
      </c>
    </row>
    <row r="5031" spans="1:10" ht="15" customHeight="1">
      <c r="A5031" s="208" t="s">
        <v>245</v>
      </c>
      <c r="B5031" s="241"/>
      <c r="C5031" s="1181">
        <v>37553</v>
      </c>
      <c r="D5031" s="161" t="str">
        <f>IF(B5031="SEPLAG",VLOOKUP(COMPOSIÇÕES!C5031,'MAPA COMPARATIVO'!A:B,2,FALSE),VLOOKUP(C5031,'NAO DESO'!A:B,2,0))</f>
        <v>ARGAMASSA INDUSTRIALIZADA PARA CHAPISCO COLANTE</v>
      </c>
      <c r="E5031" s="241" t="str">
        <f>VLOOKUP($C5031,'NAO DESO'!$A:$D,3,)</f>
        <v xml:space="preserve">KG    </v>
      </c>
      <c r="F5031" s="242">
        <v>34</v>
      </c>
      <c r="G5031" s="242">
        <f>IF(B5031="SEPLAG",VLOOKUP(CONCATENATE("MEDIANA - ",C5031),COTAÇÃO,5,FALSE),VLOOKUP($C5031,'NAO DESO'!$A:$D,4,))</f>
        <v>1.67</v>
      </c>
      <c r="H5031" s="242">
        <f t="shared" si="292"/>
        <v>56.78</v>
      </c>
      <c r="I5031" s="54" t="str">
        <f>IF(B5031="SEPLAG",VLOOKUP(CONCATENATE("MEDIANA - ",C5031),COTAÇÃO,5,FALSE),VLOOKUP($C5031,DESON!$A:$D,4,))</f>
        <v>1,67</v>
      </c>
      <c r="J5031" s="209">
        <f t="shared" si="293"/>
        <v>56.78</v>
      </c>
    </row>
    <row r="5032" spans="1:10" ht="15" customHeight="1">
      <c r="A5032" s="210" t="str">
        <f>CONCATENATE("TOTAL DO ITEM NÃO DESON. - ",C5023)</f>
        <v>TOTAL DO ITEM NÃO DESON. - SEPLAG HIDR 59</v>
      </c>
      <c r="B5032" s="430"/>
      <c r="C5032" s="430"/>
      <c r="D5032" s="430"/>
      <c r="E5032" s="430"/>
      <c r="F5032" s="1180"/>
      <c r="G5032" s="1180"/>
      <c r="H5032" s="1182">
        <f>SUM(H5026:H5031)</f>
        <v>2313.8000000000002</v>
      </c>
      <c r="I5032" s="231"/>
      <c r="J5032" s="215"/>
    </row>
    <row r="5033" spans="1:10" ht="15.75" customHeight="1" thickBot="1">
      <c r="A5033" s="216" t="str">
        <f>CONCATENATE("TOTAL DO ITEM DESON. - ",C5023)</f>
        <v>TOTAL DO ITEM DESON. - SEPLAG HIDR 59</v>
      </c>
      <c r="B5033" s="1142"/>
      <c r="C5033" s="1142"/>
      <c r="D5033" s="1142"/>
      <c r="E5033" s="1142"/>
      <c r="F5033" s="1211"/>
      <c r="G5033" s="1211"/>
      <c r="H5033" s="1187"/>
      <c r="I5033" s="260"/>
      <c r="J5033" s="219">
        <f>SUM(J5026:J5031)</f>
        <v>2272.4300000000003</v>
      </c>
    </row>
    <row r="5034" spans="1:10" ht="15" customHeight="1" thickBot="1">
      <c r="A5034" s="421"/>
      <c r="B5034" s="1138"/>
      <c r="C5034" s="1138"/>
      <c r="D5034" s="1138"/>
      <c r="E5034" s="1154"/>
      <c r="F5034" s="1196"/>
      <c r="G5034" s="1196"/>
      <c r="H5034" s="1196"/>
      <c r="I5034" s="422"/>
      <c r="J5034" s="422"/>
    </row>
    <row r="5035" spans="1:10" ht="15" customHeight="1">
      <c r="A5035" s="256"/>
      <c r="B5035" s="1152"/>
      <c r="C5035" s="1176" t="s">
        <v>13041</v>
      </c>
      <c r="D5035" s="156" t="s">
        <v>13042</v>
      </c>
      <c r="E5035" s="1176" t="s">
        <v>24</v>
      </c>
      <c r="F5035" s="1177" t="s">
        <v>18</v>
      </c>
      <c r="G5035" s="1178" t="s">
        <v>7015</v>
      </c>
      <c r="H5035" s="1179"/>
      <c r="I5035" s="200" t="s">
        <v>7016</v>
      </c>
      <c r="J5035" s="201"/>
    </row>
    <row r="5036" spans="1:10" ht="15" customHeight="1">
      <c r="A5036" s="257"/>
      <c r="B5036" s="430"/>
      <c r="C5036" s="1155"/>
      <c r="D5036" s="157"/>
      <c r="E5036" s="1155"/>
      <c r="F5036" s="1180"/>
      <c r="G5036" s="1180" t="s">
        <v>19</v>
      </c>
      <c r="H5036" s="1180" t="s">
        <v>20</v>
      </c>
      <c r="I5036" s="204" t="s">
        <v>19</v>
      </c>
      <c r="J5036" s="206" t="s">
        <v>20</v>
      </c>
    </row>
    <row r="5037" spans="1:10" ht="15" customHeight="1">
      <c r="A5037" s="258"/>
      <c r="B5037" s="1155"/>
      <c r="C5037" s="241" t="s">
        <v>13044</v>
      </c>
      <c r="D5037" s="1132" t="s">
        <v>13043</v>
      </c>
      <c r="E5037" s="1155"/>
      <c r="F5037" s="1180"/>
      <c r="G5037" s="1180"/>
      <c r="H5037" s="1180"/>
      <c r="I5037" s="238"/>
      <c r="J5037" s="259"/>
    </row>
    <row r="5038" spans="1:10" ht="15" customHeight="1">
      <c r="A5038" s="208" t="s">
        <v>245</v>
      </c>
      <c r="B5038" s="241"/>
      <c r="C5038" s="1181">
        <v>88316</v>
      </c>
      <c r="D5038" s="161" t="str">
        <f>IF(B5038="SEPLAG",VLOOKUP(COMPOSIÇÕES!C5038,'MAPA COMPARATIVO'!A:B,2,FALSE),VLOOKUP(C5038,'NAO DESO'!A:B,2,0))</f>
        <v>SERVENTE COM ENCARGOS COMPLEMENTARES</v>
      </c>
      <c r="E5038" s="241" t="str">
        <f>VLOOKUP($C5038,'NAO DESO'!$A:$D,3,)</f>
        <v>H</v>
      </c>
      <c r="F5038" s="242">
        <v>3.2989999999999999</v>
      </c>
      <c r="G5038" s="242" t="str">
        <f>IF(B5038="SEPLAG",VLOOKUP(CONCATENATE("MEDIANA - ",C5038),COTAÇÃO,5,FALSE),VLOOKUP($C5038,'NAO DESO'!$A:$D,4,))</f>
        <v>16,83</v>
      </c>
      <c r="H5038" s="242">
        <f>TRUNC(F5038*G5038,2)</f>
        <v>55.52</v>
      </c>
      <c r="I5038" s="54" t="str">
        <f>IF(B5038="SEPLAG",VLOOKUP(CONCATENATE("MEDIANA - ",C5038),COTAÇÃO,5,FALSE),VLOOKUP($C5038,DESON!$A:$D,4,))</f>
        <v>15,16</v>
      </c>
      <c r="J5038" s="209">
        <f>TRUNC(F5038*I5038,2)</f>
        <v>50.01</v>
      </c>
    </row>
    <row r="5039" spans="1:10" ht="15" customHeight="1">
      <c r="A5039" s="210" t="str">
        <f>CONCATENATE("TOTAL DO ITEM NÃO DESON. - ",C5035)</f>
        <v>TOTAL DO ITEM NÃO DESON. - SEPLAG HIDR 60</v>
      </c>
      <c r="B5039" s="430"/>
      <c r="C5039" s="430"/>
      <c r="D5039" s="430"/>
      <c r="E5039" s="430"/>
      <c r="F5039" s="1180"/>
      <c r="G5039" s="1180"/>
      <c r="H5039" s="1182">
        <f>SUM(H5038:H5038)</f>
        <v>55.52</v>
      </c>
      <c r="I5039" s="231"/>
      <c r="J5039" s="215"/>
    </row>
    <row r="5040" spans="1:10" ht="15.75" customHeight="1" thickBot="1">
      <c r="A5040" s="216" t="str">
        <f>CONCATENATE("TOTAL DO ITEM DESON. - ",C5035)</f>
        <v>TOTAL DO ITEM DESON. - SEPLAG HIDR 60</v>
      </c>
      <c r="B5040" s="1142"/>
      <c r="C5040" s="1142"/>
      <c r="D5040" s="1142"/>
      <c r="E5040" s="1142"/>
      <c r="F5040" s="1211"/>
      <c r="G5040" s="1211"/>
      <c r="H5040" s="1187"/>
      <c r="I5040" s="260"/>
      <c r="J5040" s="219">
        <f>SUM(J5038:J5038)</f>
        <v>50.01</v>
      </c>
    </row>
    <row r="5041" spans="1:10" ht="15" customHeight="1" thickBot="1">
      <c r="A5041" s="421"/>
      <c r="B5041" s="1138"/>
      <c r="C5041" s="1138"/>
      <c r="D5041" s="1138"/>
      <c r="E5041" s="1154"/>
      <c r="F5041" s="1196"/>
      <c r="G5041" s="1196"/>
      <c r="H5041" s="1196"/>
      <c r="I5041" s="422"/>
      <c r="J5041" s="422"/>
    </row>
    <row r="5042" spans="1:10" ht="15" customHeight="1">
      <c r="A5042" s="256"/>
      <c r="B5042" s="1152"/>
      <c r="C5042" s="1176" t="s">
        <v>13046</v>
      </c>
      <c r="D5042" s="156" t="s">
        <v>13066</v>
      </c>
      <c r="E5042" s="1176" t="s">
        <v>24</v>
      </c>
      <c r="F5042" s="1177" t="s">
        <v>18</v>
      </c>
      <c r="G5042" s="1178" t="s">
        <v>7015</v>
      </c>
      <c r="H5042" s="1179"/>
      <c r="I5042" s="200" t="s">
        <v>7016</v>
      </c>
      <c r="J5042" s="201"/>
    </row>
    <row r="5043" spans="1:10" ht="15" customHeight="1">
      <c r="A5043" s="257"/>
      <c r="B5043" s="430"/>
      <c r="C5043" s="1155"/>
      <c r="D5043" s="157"/>
      <c r="E5043" s="1155"/>
      <c r="F5043" s="1180"/>
      <c r="G5043" s="1180" t="s">
        <v>19</v>
      </c>
      <c r="H5043" s="1180" t="s">
        <v>20</v>
      </c>
      <c r="I5043" s="204" t="s">
        <v>19</v>
      </c>
      <c r="J5043" s="206" t="s">
        <v>20</v>
      </c>
    </row>
    <row r="5044" spans="1:10" ht="25.5" customHeight="1">
      <c r="A5044" s="258"/>
      <c r="B5044" s="1155"/>
      <c r="C5044" s="241" t="s">
        <v>13047</v>
      </c>
      <c r="D5044" s="1132" t="s">
        <v>13045</v>
      </c>
      <c r="E5044" s="1155"/>
      <c r="F5044" s="1180"/>
      <c r="G5044" s="1180"/>
      <c r="H5044" s="1180"/>
      <c r="I5044" s="238"/>
      <c r="J5044" s="259"/>
    </row>
    <row r="5045" spans="1:10" ht="15" customHeight="1">
      <c r="A5045" s="208" t="s">
        <v>245</v>
      </c>
      <c r="B5045" s="241"/>
      <c r="C5045" s="1181">
        <v>88316</v>
      </c>
      <c r="D5045" s="161" t="str">
        <f>IF(B5045="SEPLAG",VLOOKUP(COMPOSIÇÕES!C5045,'MAPA COMPARATIVO'!A:B,2,FALSE),VLOOKUP(C5045,'NAO DESO'!A:B,2,0))</f>
        <v>SERVENTE COM ENCARGOS COMPLEMENTARES</v>
      </c>
      <c r="E5045" s="241" t="str">
        <f>VLOOKUP($C5045,'NAO DESO'!$A:$D,3,)</f>
        <v>H</v>
      </c>
      <c r="F5045" s="242">
        <v>0.46</v>
      </c>
      <c r="G5045" s="242" t="str">
        <f>IF(B5045="SEPLAG",VLOOKUP(CONCATENATE("MEDIANA - ",C5045),COTAÇÃO,5,FALSE),VLOOKUP($C5045,'NAO DESO'!$A:$D,4,))</f>
        <v>16,83</v>
      </c>
      <c r="H5045" s="242">
        <f>TRUNC(F5045*G5045,2)</f>
        <v>7.74</v>
      </c>
      <c r="I5045" s="54" t="str">
        <f>IF(B5045="SEPLAG",VLOOKUP(CONCATENATE("MEDIANA - ",C5045),COTAÇÃO,5,FALSE),VLOOKUP($C5045,DESON!$A:$D,4,))</f>
        <v>15,16</v>
      </c>
      <c r="J5045" s="209">
        <f>TRUNC(F5045*I5045,2)</f>
        <v>6.97</v>
      </c>
    </row>
    <row r="5046" spans="1:10" ht="15" customHeight="1">
      <c r="A5046" s="208" t="s">
        <v>245</v>
      </c>
      <c r="B5046" s="241"/>
      <c r="C5046" s="1181">
        <v>88309</v>
      </c>
      <c r="D5046" s="161" t="str">
        <f>IF(B5046="SEPLAG",VLOOKUP(COMPOSIÇÕES!C5046,'MAPA COMPARATIVO'!A:B,2,FALSE),VLOOKUP(C5046,'NAO DESO'!A:B,2,0))</f>
        <v>PEDREIRO COM ENCARGOS COMPLEMENTARES</v>
      </c>
      <c r="E5046" s="241" t="str">
        <f>VLOOKUP($C5046,'NAO DESO'!$A:$D,3,)</f>
        <v>H</v>
      </c>
      <c r="F5046" s="242">
        <v>0.23</v>
      </c>
      <c r="G5046" s="242" t="str">
        <f>IF(B5046="SEPLAG",VLOOKUP(CONCATENATE("MEDIANA - ",C5046),COTAÇÃO,5,FALSE),VLOOKUP($C5046,'NAO DESO'!$A:$D,4,))</f>
        <v>21,10</v>
      </c>
      <c r="H5046" s="242">
        <f>TRUNC(F5046*G5046,2)</f>
        <v>4.8499999999999996</v>
      </c>
      <c r="I5046" s="54" t="str">
        <f>IF(B5046="SEPLAG",VLOOKUP(CONCATENATE("MEDIANA - ",C5046),COTAÇÃO,5,FALSE),VLOOKUP($C5046,DESON!$A:$D,4,))</f>
        <v>18,86</v>
      </c>
      <c r="J5046" s="209">
        <f>TRUNC(F5046*I5046,2)</f>
        <v>4.33</v>
      </c>
    </row>
    <row r="5047" spans="1:10" ht="26.25" customHeight="1">
      <c r="A5047" s="208" t="s">
        <v>39</v>
      </c>
      <c r="B5047" s="241"/>
      <c r="C5047" s="1181">
        <v>370</v>
      </c>
      <c r="D5047" s="161" t="str">
        <f>IF(B5047="SEPLAG",VLOOKUP(COMPOSIÇÕES!C5047,'MAPA COMPARATIVO'!A:B,2,FALSE),VLOOKUP(C5047,'NAO DESO'!A:B,2,0))</f>
        <v>AREIA MEDIA - POSTO JAZIDA/FORNECEDOR (RETIRADO NA JAZIDA, SEM TRANSPORTE)</v>
      </c>
      <c r="E5047" s="241" t="str">
        <f>VLOOKUP($C5047,'NAO DESO'!$A:$D,3,)</f>
        <v xml:space="preserve">M3    </v>
      </c>
      <c r="F5047" s="242">
        <v>5.5E-2</v>
      </c>
      <c r="G5047" s="242">
        <f>IF(B5047="SEPLAG",VLOOKUP(CONCATENATE("MEDIANA - ",C5047),COTAÇÃO,5,FALSE),VLOOKUP($C5047,'NAO DESO'!$A:$D,4,))</f>
        <v>83.5</v>
      </c>
      <c r="H5047" s="242">
        <f>TRUNC(F5047*G5047,2)</f>
        <v>4.59</v>
      </c>
      <c r="I5047" s="54" t="str">
        <f>IF(B5047="SEPLAG",VLOOKUP(CONCATENATE("MEDIANA - ",C5047),COTAÇÃO,5,FALSE),VLOOKUP($C5047,DESON!$A:$D,4,))</f>
        <v>83,50</v>
      </c>
      <c r="J5047" s="209">
        <f>TRUNC(F5047*I5047,2)</f>
        <v>4.59</v>
      </c>
    </row>
    <row r="5048" spans="1:10" ht="39" customHeight="1">
      <c r="A5048" s="208" t="s">
        <v>39</v>
      </c>
      <c r="B5048" s="241"/>
      <c r="C5048" s="1181">
        <v>91276</v>
      </c>
      <c r="D5048" s="161" t="str">
        <f>IF(B5048="SEPLAG",VLOOKUP(COMPOSIÇÕES!C5048,'MAPA COMPARATIVO'!A:B,2,FALSE),VLOOKUP(C5048,'NAO DESO'!A:B,2,0))</f>
        <v>PLACA VIBRATÓRIA REVERSÍVEL COM MOTOR 4 TEMPOS A GASOLINA, FORÇA CENTRÍFUGA DE 25 KN (2500 KGF), POTÊNCIA 5,5 CV - MATERIAIS NA OPERAÇÃO. AF_08/2015</v>
      </c>
      <c r="E5048" s="241" t="str">
        <f>VLOOKUP($C5048,'NAO DESO'!$A:$D,3,)</f>
        <v>H</v>
      </c>
      <c r="F5048" s="242">
        <v>2.5000000000000001E-2</v>
      </c>
      <c r="G5048" s="242" t="str">
        <f>IF(B5048="SEPLAG",VLOOKUP(CONCATENATE("MEDIANA - ",C5048),COTAÇÃO,5,FALSE),VLOOKUP($C5048,'NAO DESO'!$A:$D,4,))</f>
        <v>9,24</v>
      </c>
      <c r="H5048" s="242">
        <f>TRUNC(F5048*G5048,2)</f>
        <v>0.23</v>
      </c>
      <c r="I5048" s="54" t="str">
        <f>IF(B5048="SEPLAG",VLOOKUP(CONCATENATE("MEDIANA - ",C5048),COTAÇÃO,5,FALSE),VLOOKUP($C5048,DESON!$A:$D,4,))</f>
        <v>9,24</v>
      </c>
      <c r="J5048" s="209">
        <f>TRUNC(F5048*I5048,2)</f>
        <v>0.23</v>
      </c>
    </row>
    <row r="5049" spans="1:10" ht="15" customHeight="1">
      <c r="A5049" s="208" t="s">
        <v>39</v>
      </c>
      <c r="B5049" s="241" t="s">
        <v>14504</v>
      </c>
      <c r="C5049" s="1181" t="s">
        <v>14494</v>
      </c>
      <c r="D5049" s="161" t="str">
        <f>IF(B5049="SEPLAG",VLOOKUP(COMPOSIÇÕES!C5049,'MAPA COMPARATIVO'!A:B,2,FALSE),VLOOKUP(C5049,'NAO DESO'!A:B,2,0))</f>
        <v>PISO TATIL DIRECIONAL INTERNO CINZA (EM PORCELANATO) 25X25</v>
      </c>
      <c r="E5049" s="241" t="s">
        <v>207</v>
      </c>
      <c r="F5049" s="242">
        <v>1.0249999999999999</v>
      </c>
      <c r="G5049" s="242">
        <f>IF(B5049="SEPLAG",VLOOKUP(CONCATENATE("MEDIANA - ",C5049),COTAÇÃO,5,FALSE),VLOOKUP($C5049,'NAO DESO'!$A:$D,4,))</f>
        <v>39.83</v>
      </c>
      <c r="H5049" s="242">
        <f>TRUNC(F5049*G5049,2)</f>
        <v>40.82</v>
      </c>
      <c r="I5049" s="54">
        <f>IF(B5049="SEPLAG",VLOOKUP(CONCATENATE("MEDIANA - ",C5049),COTAÇÃO,5,FALSE),VLOOKUP($C5049,DESON!$A:$D,4,))</f>
        <v>39.83</v>
      </c>
      <c r="J5049" s="209">
        <f>TRUNC(F5049*I5049,2)</f>
        <v>40.82</v>
      </c>
    </row>
    <row r="5050" spans="1:10" ht="15" customHeight="1">
      <c r="A5050" s="210" t="str">
        <f>CONCATENATE("TOTAL DO ITEM NÃO DESON. - ",C5042)</f>
        <v>TOTAL DO ITEM NÃO DESON. - SEPLAG HIDR 61</v>
      </c>
      <c r="B5050" s="430"/>
      <c r="C5050" s="430"/>
      <c r="D5050" s="430"/>
      <c r="E5050" s="430"/>
      <c r="F5050" s="1180"/>
      <c r="G5050" s="1180"/>
      <c r="H5050" s="1182">
        <f>SUM(H5045:H5049)</f>
        <v>58.230000000000004</v>
      </c>
      <c r="I5050" s="231"/>
      <c r="J5050" s="215"/>
    </row>
    <row r="5051" spans="1:10" ht="15.75" customHeight="1" thickBot="1">
      <c r="A5051" s="216" t="str">
        <f>CONCATENATE("TOTAL DO ITEM DESON. - ",C5042)</f>
        <v>TOTAL DO ITEM DESON. - SEPLAG HIDR 61</v>
      </c>
      <c r="B5051" s="1142"/>
      <c r="C5051" s="1142"/>
      <c r="D5051" s="1142"/>
      <c r="E5051" s="1142"/>
      <c r="F5051" s="1211"/>
      <c r="G5051" s="1211"/>
      <c r="H5051" s="1187"/>
      <c r="I5051" s="260"/>
      <c r="J5051" s="219">
        <f>SUM(J5045:J5049)</f>
        <v>56.94</v>
      </c>
    </row>
    <row r="5052" spans="1:10" ht="15" customHeight="1" thickBot="1">
      <c r="A5052" s="421"/>
      <c r="B5052" s="1138"/>
      <c r="C5052" s="1138"/>
      <c r="D5052" s="1138"/>
      <c r="E5052" s="1154"/>
      <c r="F5052" s="1196"/>
      <c r="G5052" s="1196"/>
      <c r="H5052" s="1196"/>
      <c r="I5052" s="422"/>
      <c r="J5052" s="422"/>
    </row>
    <row r="5053" spans="1:10" ht="25.5" customHeight="1">
      <c r="A5053" s="256"/>
      <c r="B5053" s="1152"/>
      <c r="C5053" s="1176" t="s">
        <v>13048</v>
      </c>
      <c r="D5053" s="156" t="s">
        <v>13056</v>
      </c>
      <c r="E5053" s="1176" t="s">
        <v>24</v>
      </c>
      <c r="F5053" s="1177" t="s">
        <v>18</v>
      </c>
      <c r="G5053" s="1178" t="s">
        <v>7015</v>
      </c>
      <c r="H5053" s="1179"/>
      <c r="I5053" s="200" t="s">
        <v>7016</v>
      </c>
      <c r="J5053" s="201"/>
    </row>
    <row r="5054" spans="1:10" ht="15" customHeight="1">
      <c r="A5054" s="257"/>
      <c r="B5054" s="430"/>
      <c r="C5054" s="1155"/>
      <c r="D5054" s="157"/>
      <c r="E5054" s="1155"/>
      <c r="F5054" s="1180"/>
      <c r="G5054" s="1180" t="s">
        <v>19</v>
      </c>
      <c r="H5054" s="1180" t="s">
        <v>20</v>
      </c>
      <c r="I5054" s="204" t="s">
        <v>19</v>
      </c>
      <c r="J5054" s="206" t="s">
        <v>20</v>
      </c>
    </row>
    <row r="5055" spans="1:10" ht="38.25" customHeight="1">
      <c r="A5055" s="258"/>
      <c r="B5055" s="1155"/>
      <c r="C5055" s="241" t="s">
        <v>180</v>
      </c>
      <c r="D5055" s="1132" t="s">
        <v>13049</v>
      </c>
      <c r="E5055" s="1155"/>
      <c r="F5055" s="1180"/>
      <c r="G5055" s="1180"/>
      <c r="H5055" s="1180"/>
      <c r="I5055" s="238"/>
      <c r="J5055" s="259"/>
    </row>
    <row r="5056" spans="1:10" ht="26.25" customHeight="1">
      <c r="A5056" s="208" t="s">
        <v>245</v>
      </c>
      <c r="B5056" s="241"/>
      <c r="C5056" s="1181">
        <v>88248</v>
      </c>
      <c r="D5056" s="161" t="str">
        <f>IF(B5056="SEPLAG",VLOOKUP(COMPOSIÇÕES!C5056,'MAPA COMPARATIVO'!A:B,2,FALSE),VLOOKUP(C5056,'NAO DESO'!A:B,2,0))</f>
        <v>AUXILIAR DE ENCANADOR OU BOMBEIRO HIDRÁULICO COM ENCARGOS COMPLEMENTARES</v>
      </c>
      <c r="E5056" s="241" t="str">
        <f>VLOOKUP($C5056,'NAO DESO'!$A:$D,3,)</f>
        <v>H</v>
      </c>
      <c r="F5056" s="242">
        <v>0.33979999999999999</v>
      </c>
      <c r="G5056" s="242" t="str">
        <f>IF(B5056="SEPLAG",VLOOKUP(CONCATENATE("MEDIANA - ",C5056),COTAÇÃO,5,FALSE),VLOOKUP($C5056,'NAO DESO'!$A:$D,4,))</f>
        <v>17,33</v>
      </c>
      <c r="H5056" s="242">
        <f>TRUNC(F5056*G5056,2)</f>
        <v>5.88</v>
      </c>
      <c r="I5056" s="54" t="str">
        <f>IF(B5056="SEPLAG",VLOOKUP(CONCATENATE("MEDIANA - ",C5056),COTAÇÃO,5,FALSE),VLOOKUP($C5056,DESON!$A:$D,4,))</f>
        <v>15,54</v>
      </c>
      <c r="J5056" s="209">
        <f>TRUNC(F5056*I5056,2)</f>
        <v>5.28</v>
      </c>
    </row>
    <row r="5057" spans="1:10" ht="26.25" customHeight="1">
      <c r="A5057" s="208" t="s">
        <v>245</v>
      </c>
      <c r="B5057" s="241"/>
      <c r="C5057" s="1181">
        <v>88267</v>
      </c>
      <c r="D5057" s="161" t="str">
        <f>IF(B5057="SEPLAG",VLOOKUP(COMPOSIÇÕES!C5057,'MAPA COMPARATIVO'!A:B,2,FALSE),VLOOKUP(C5057,'NAO DESO'!A:B,2,0))</f>
        <v>ENCANADOR OU BOMBEIRO HIDRÁULICO COM ENCARGOS COMPLEMENTARES</v>
      </c>
      <c r="E5057" s="241" t="str">
        <f>VLOOKUP($C5057,'NAO DESO'!$A:$D,3,)</f>
        <v>H</v>
      </c>
      <c r="F5057" s="242">
        <v>0.33979999999999999</v>
      </c>
      <c r="G5057" s="242" t="str">
        <f>IF(B5057="SEPLAG",VLOOKUP(CONCATENATE("MEDIANA - ",C5057),COTAÇÃO,5,FALSE),VLOOKUP($C5057,'NAO DESO'!$A:$D,4,))</f>
        <v>21,03</v>
      </c>
      <c r="H5057" s="242">
        <f>TRUNC(F5057*G5057,2)</f>
        <v>7.14</v>
      </c>
      <c r="I5057" s="54" t="str">
        <f>IF(B5057="SEPLAG",VLOOKUP(CONCATENATE("MEDIANA - ",C5057),COTAÇÃO,5,FALSE),VLOOKUP($C5057,DESON!$A:$D,4,))</f>
        <v>18,72</v>
      </c>
      <c r="J5057" s="209">
        <f>TRUNC(F5057*I5057,2)</f>
        <v>6.36</v>
      </c>
    </row>
    <row r="5058" spans="1:10" ht="15" customHeight="1">
      <c r="A5058" s="208" t="s">
        <v>39</v>
      </c>
      <c r="B5058" s="241"/>
      <c r="C5058" s="1181">
        <v>3148</v>
      </c>
      <c r="D5058" s="161" t="str">
        <f>IF(B5058="SEPLAG",VLOOKUP(COMPOSIÇÕES!C5058,'MAPA COMPARATIVO'!A:B,2,FALSE),VLOOKUP(C5058,'NAO DESO'!A:B,2,0))</f>
        <v>FITA VEDA ROSCA EM ROLOS DE 18 MM X 50 M (L X C)</v>
      </c>
      <c r="E5058" s="241" t="str">
        <f>VLOOKUP($C5058,'NAO DESO'!$A:$D,3,)</f>
        <v xml:space="preserve">UN    </v>
      </c>
      <c r="F5058" s="242">
        <v>2.4E-2</v>
      </c>
      <c r="G5058" s="242">
        <f>IF(B5058="SEPLAG",VLOOKUP(CONCATENATE("MEDIANA - ",C5058),COTAÇÃO,5,FALSE),VLOOKUP($C5058,'NAO DESO'!$A:$D,4,))</f>
        <v>18.440000000000001</v>
      </c>
      <c r="H5058" s="242">
        <f>TRUNC(F5058*G5058,2)</f>
        <v>0.44</v>
      </c>
      <c r="I5058" s="54" t="str">
        <f>IF(B5058="SEPLAG",VLOOKUP(CONCATENATE("MEDIANA - ",C5058),COTAÇÃO,5,FALSE),VLOOKUP($C5058,DESON!$A:$D,4,))</f>
        <v>18,44</v>
      </c>
      <c r="J5058" s="209">
        <f>TRUNC(F5058*I5058,2)</f>
        <v>0.44</v>
      </c>
    </row>
    <row r="5059" spans="1:10" ht="15" customHeight="1">
      <c r="A5059" s="208" t="s">
        <v>39</v>
      </c>
      <c r="B5059" s="241"/>
      <c r="C5059" s="1181">
        <v>6028</v>
      </c>
      <c r="D5059" s="161" t="str">
        <f>IF(B5059="SEPLAG",VLOOKUP(COMPOSIÇÕES!C5059,'MAPA COMPARATIVO'!A:B,2,FALSE),VLOOKUP(C5059,'NAO DESO'!A:B,2,0))</f>
        <v>REGISTRO GAVETA BRUTO EM LATAO FORJADO, BITOLA 2 " (REF 1509)</v>
      </c>
      <c r="E5059" s="241" t="str">
        <f>VLOOKUP($C5059,'NAO DESO'!$A:$D,3,)</f>
        <v xml:space="preserve">UN    </v>
      </c>
      <c r="F5059" s="242">
        <v>1</v>
      </c>
      <c r="G5059" s="242">
        <f>IF(B5059="SEPLAG",VLOOKUP(CONCATENATE("MEDIANA - ",C5059),COTAÇÃO,5,FALSE),VLOOKUP($C5059,'NAO DESO'!$A:$D,4,))</f>
        <v>102.96</v>
      </c>
      <c r="H5059" s="242">
        <f>TRUNC(F5059*G5059,2)</f>
        <v>102.96</v>
      </c>
      <c r="I5059" s="54" t="str">
        <f>IF(B5059="SEPLAG",VLOOKUP(CONCATENATE("MEDIANA - ",C5059),COTAÇÃO,5,FALSE),VLOOKUP($C5059,DESON!$A:$D,4,))</f>
        <v>102,96</v>
      </c>
      <c r="J5059" s="209">
        <f>TRUNC(F5059*I5059,2)</f>
        <v>102.96</v>
      </c>
    </row>
    <row r="5060" spans="1:10" ht="15" customHeight="1">
      <c r="A5060" s="210" t="str">
        <f>CONCATENATE("TOTAL DO ITEM NÃO DESON. - ",C5053)</f>
        <v>TOTAL DO ITEM NÃO DESON. - SEPLAG HIDR 62</v>
      </c>
      <c r="B5060" s="430"/>
      <c r="C5060" s="430"/>
      <c r="D5060" s="430"/>
      <c r="E5060" s="430"/>
      <c r="F5060" s="1180"/>
      <c r="G5060" s="1180"/>
      <c r="H5060" s="1182">
        <f>SUM(H5056:H5059)</f>
        <v>116.41999999999999</v>
      </c>
      <c r="I5060" s="231"/>
      <c r="J5060" s="215"/>
    </row>
    <row r="5061" spans="1:10" ht="15.75" customHeight="1" thickBot="1">
      <c r="A5061" s="216" t="str">
        <f>CONCATENATE("TOTAL DO ITEM DESON. - ",C5053)</f>
        <v>TOTAL DO ITEM DESON. - SEPLAG HIDR 62</v>
      </c>
      <c r="B5061" s="1142"/>
      <c r="C5061" s="1142"/>
      <c r="D5061" s="1142"/>
      <c r="E5061" s="1142"/>
      <c r="F5061" s="1211"/>
      <c r="G5061" s="1211"/>
      <c r="H5061" s="1187"/>
      <c r="I5061" s="260"/>
      <c r="J5061" s="219">
        <f>SUM(J5056:J5059)</f>
        <v>115.03999999999999</v>
      </c>
    </row>
    <row r="5062" spans="1:10" ht="15" customHeight="1" thickBot="1">
      <c r="A5062" s="421"/>
      <c r="B5062" s="1138"/>
      <c r="C5062" s="1138"/>
      <c r="D5062" s="1138"/>
      <c r="E5062" s="1154"/>
      <c r="F5062" s="1196"/>
      <c r="G5062" s="1196"/>
      <c r="H5062" s="1196"/>
      <c r="I5062" s="422"/>
      <c r="J5062" s="422"/>
    </row>
    <row r="5063" spans="1:10" ht="25.5" customHeight="1">
      <c r="A5063" s="256"/>
      <c r="B5063" s="1152"/>
      <c r="C5063" s="1176" t="s">
        <v>13050</v>
      </c>
      <c r="D5063" s="156" t="s">
        <v>13073</v>
      </c>
      <c r="E5063" s="1176" t="s">
        <v>24</v>
      </c>
      <c r="F5063" s="1177" t="s">
        <v>18</v>
      </c>
      <c r="G5063" s="1178" t="s">
        <v>7015</v>
      </c>
      <c r="H5063" s="1179"/>
      <c r="I5063" s="200" t="s">
        <v>7016</v>
      </c>
      <c r="J5063" s="201"/>
    </row>
    <row r="5064" spans="1:10" ht="15" customHeight="1">
      <c r="A5064" s="257"/>
      <c r="B5064" s="430"/>
      <c r="C5064" s="1155"/>
      <c r="D5064" s="157"/>
      <c r="E5064" s="1155"/>
      <c r="F5064" s="1180"/>
      <c r="G5064" s="1180" t="s">
        <v>19</v>
      </c>
      <c r="H5064" s="1180" t="s">
        <v>20</v>
      </c>
      <c r="I5064" s="204" t="s">
        <v>19</v>
      </c>
      <c r="J5064" s="206" t="s">
        <v>20</v>
      </c>
    </row>
    <row r="5065" spans="1:10" ht="38.25" customHeight="1">
      <c r="A5065" s="258"/>
      <c r="B5065" s="1155"/>
      <c r="C5065" s="241" t="s">
        <v>180</v>
      </c>
      <c r="D5065" s="1132" t="s">
        <v>13051</v>
      </c>
      <c r="E5065" s="1155"/>
      <c r="F5065" s="1180"/>
      <c r="G5065" s="1180"/>
      <c r="H5065" s="1180"/>
      <c r="I5065" s="238"/>
      <c r="J5065" s="259"/>
    </row>
    <row r="5066" spans="1:10" ht="26.25" customHeight="1">
      <c r="A5066" s="208" t="s">
        <v>245</v>
      </c>
      <c r="B5066" s="241"/>
      <c r="C5066" s="1181">
        <v>88248</v>
      </c>
      <c r="D5066" s="161" t="str">
        <f>IF(B5066="SEPLAG",VLOOKUP(COMPOSIÇÕES!C5066,'MAPA COMPARATIVO'!A:B,2,FALSE),VLOOKUP(C5066,'NAO DESO'!A:B,2,0))</f>
        <v>AUXILIAR DE ENCANADOR OU BOMBEIRO HIDRÁULICO COM ENCARGOS COMPLEMENTARES</v>
      </c>
      <c r="E5066" s="241" t="str">
        <f>VLOOKUP($C5066,'NAO DESO'!$A:$D,3,)</f>
        <v>H</v>
      </c>
      <c r="F5066" s="242">
        <v>0.96699999999999997</v>
      </c>
      <c r="G5066" s="242" t="str">
        <f>IF(B5066="SEPLAG",VLOOKUP(CONCATENATE("MEDIANA - ",C5066),COTAÇÃO,5,FALSE),VLOOKUP($C5066,'NAO DESO'!$A:$D,4,))</f>
        <v>17,33</v>
      </c>
      <c r="H5066" s="242">
        <f>TRUNC(F5066*G5066,2)</f>
        <v>16.75</v>
      </c>
      <c r="I5066" s="54" t="str">
        <f>IF(B5066="SEPLAG",VLOOKUP(CONCATENATE("MEDIANA - ",C5066),COTAÇÃO,5,FALSE),VLOOKUP($C5066,DESON!$A:$D,4,))</f>
        <v>15,54</v>
      </c>
      <c r="J5066" s="209">
        <f>TRUNC(F5066*I5066,2)</f>
        <v>15.02</v>
      </c>
    </row>
    <row r="5067" spans="1:10" ht="26.25" customHeight="1">
      <c r="A5067" s="208" t="s">
        <v>245</v>
      </c>
      <c r="B5067" s="241"/>
      <c r="C5067" s="1181">
        <v>88267</v>
      </c>
      <c r="D5067" s="161" t="str">
        <f>IF(B5067="SEPLAG",VLOOKUP(COMPOSIÇÕES!C5067,'MAPA COMPARATIVO'!A:B,2,FALSE),VLOOKUP(C5067,'NAO DESO'!A:B,2,0))</f>
        <v>ENCANADOR OU BOMBEIRO HIDRÁULICO COM ENCARGOS COMPLEMENTARES</v>
      </c>
      <c r="E5067" s="241" t="str">
        <f>VLOOKUP($C5067,'NAO DESO'!$A:$D,3,)</f>
        <v>H</v>
      </c>
      <c r="F5067" s="242">
        <v>0.96699999999999997</v>
      </c>
      <c r="G5067" s="242" t="str">
        <f>IF(B5067="SEPLAG",VLOOKUP(CONCATENATE("MEDIANA - ",C5067),COTAÇÃO,5,FALSE),VLOOKUP($C5067,'NAO DESO'!$A:$D,4,))</f>
        <v>21,03</v>
      </c>
      <c r="H5067" s="242">
        <f>TRUNC(F5067*G5067,2)</f>
        <v>20.329999999999998</v>
      </c>
      <c r="I5067" s="54" t="str">
        <f>IF(B5067="SEPLAG",VLOOKUP(CONCATENATE("MEDIANA - ",C5067),COTAÇÃO,5,FALSE),VLOOKUP($C5067,DESON!$A:$D,4,))</f>
        <v>18,72</v>
      </c>
      <c r="J5067" s="209">
        <f>TRUNC(F5067*I5067,2)</f>
        <v>18.100000000000001</v>
      </c>
    </row>
    <row r="5068" spans="1:10" ht="15" customHeight="1">
      <c r="A5068" s="208" t="s">
        <v>39</v>
      </c>
      <c r="B5068" s="241"/>
      <c r="C5068" s="1181">
        <v>3148</v>
      </c>
      <c r="D5068" s="161" t="str">
        <f>IF(B5068="SEPLAG",VLOOKUP(COMPOSIÇÕES!C5068,'MAPA COMPARATIVO'!A:B,2,FALSE),VLOOKUP(C5068,'NAO DESO'!A:B,2,0))</f>
        <v>FITA VEDA ROSCA EM ROLOS DE 18 MM X 50 M (L X C)</v>
      </c>
      <c r="E5068" s="241" t="str">
        <f>VLOOKUP($C5068,'NAO DESO'!$A:$D,3,)</f>
        <v xml:space="preserve">UN    </v>
      </c>
      <c r="F5068" s="242">
        <v>2.4E-2</v>
      </c>
      <c r="G5068" s="242">
        <f>IF(B5068="SEPLAG",VLOOKUP(CONCATENATE("MEDIANA - ",C5068),COTAÇÃO,5,FALSE),VLOOKUP($C5068,'NAO DESO'!$A:$D,4,))</f>
        <v>18.440000000000001</v>
      </c>
      <c r="H5068" s="242">
        <f>TRUNC(F5068*G5068,2)</f>
        <v>0.44</v>
      </c>
      <c r="I5068" s="54" t="str">
        <f>IF(B5068="SEPLAG",VLOOKUP(CONCATENATE("MEDIANA - ",C5068),COTAÇÃO,5,FALSE),VLOOKUP($C5068,DESON!$A:$D,4,))</f>
        <v>18,44</v>
      </c>
      <c r="J5068" s="209">
        <f>TRUNC(F5068*I5068,2)</f>
        <v>0.44</v>
      </c>
    </row>
    <row r="5069" spans="1:10" ht="15" customHeight="1">
      <c r="A5069" s="208" t="s">
        <v>39</v>
      </c>
      <c r="B5069" s="241"/>
      <c r="C5069" s="1181">
        <v>3471</v>
      </c>
      <c r="D5069" s="161" t="str">
        <f>IF(B5069="SEPLAG",VLOOKUP(COMPOSIÇÕES!C5069,'MAPA COMPARATIVO'!A:B,2,FALSE),VLOOKUP(C5069,'NAO DESO'!A:B,2,0))</f>
        <v>COTOVELO 90 GRAUS DE FERRO GALVANIZADO, COM ROSCA BSP, DE 2"</v>
      </c>
      <c r="E5069" s="241" t="str">
        <f>VLOOKUP($C5069,'NAO DESO'!$A:$D,3,)</f>
        <v xml:space="preserve">UN    </v>
      </c>
      <c r="F5069" s="242">
        <v>1</v>
      </c>
      <c r="G5069" s="242">
        <f>IF(B5069="SEPLAG",VLOOKUP(CONCATENATE("MEDIANA - ",C5069),COTAÇÃO,5,FALSE),VLOOKUP($C5069,'NAO DESO'!$A:$D,4,))</f>
        <v>39.340000000000003</v>
      </c>
      <c r="H5069" s="242">
        <f>TRUNC(F5069*G5069,2)</f>
        <v>39.340000000000003</v>
      </c>
      <c r="I5069" s="54" t="str">
        <f>IF(B5069="SEPLAG",VLOOKUP(CONCATENATE("MEDIANA - ",C5069),COTAÇÃO,5,FALSE),VLOOKUP($C5069,DESON!$A:$D,4,))</f>
        <v>39,34</v>
      </c>
      <c r="J5069" s="209">
        <f>TRUNC(F5069*I5069,2)</f>
        <v>39.340000000000003</v>
      </c>
    </row>
    <row r="5070" spans="1:10" ht="15" customHeight="1">
      <c r="A5070" s="208" t="s">
        <v>39</v>
      </c>
      <c r="B5070" s="241"/>
      <c r="C5070" s="1181">
        <v>7307</v>
      </c>
      <c r="D5070" s="161" t="str">
        <f>IF(B5070="SEPLAG",VLOOKUP(COMPOSIÇÕES!C5070,'MAPA COMPARATIVO'!A:B,2,FALSE),VLOOKUP(C5070,'NAO DESO'!A:B,2,0))</f>
        <v>FUNDO ANTICORROSIVO PARA METAIS FERROSOS (ZARCAO)</v>
      </c>
      <c r="E5070" s="241" t="str">
        <f>VLOOKUP($C5070,'NAO DESO'!$A:$D,3,)</f>
        <v xml:space="preserve">L     </v>
      </c>
      <c r="F5070" s="242">
        <v>6.0000000000000001E-3</v>
      </c>
      <c r="G5070" s="242">
        <f>IF(B5070="SEPLAG",VLOOKUP(CONCATENATE("MEDIANA - ",C5070),COTAÇÃO,5,FALSE),VLOOKUP($C5070,'NAO DESO'!$A:$D,4,))</f>
        <v>31.43</v>
      </c>
      <c r="H5070" s="242">
        <f>TRUNC(F5070*G5070,2)</f>
        <v>0.18</v>
      </c>
      <c r="I5070" s="54" t="str">
        <f>IF(B5070="SEPLAG",VLOOKUP(CONCATENATE("MEDIANA - ",C5070),COTAÇÃO,5,FALSE),VLOOKUP($C5070,DESON!$A:$D,4,))</f>
        <v>31,43</v>
      </c>
      <c r="J5070" s="209">
        <f>TRUNC(F5070*I5070,2)</f>
        <v>0.18</v>
      </c>
    </row>
    <row r="5071" spans="1:10" ht="15" customHeight="1">
      <c r="A5071" s="210" t="str">
        <f>CONCATENATE("TOTAL DO ITEM NÃO DESON. - ",C5063)</f>
        <v>TOTAL DO ITEM NÃO DESON. - SEPLAG HIDR 63</v>
      </c>
      <c r="B5071" s="430"/>
      <c r="C5071" s="430"/>
      <c r="D5071" s="430"/>
      <c r="E5071" s="430"/>
      <c r="F5071" s="1180"/>
      <c r="G5071" s="1180"/>
      <c r="H5071" s="1182">
        <f>SUM(H5066:H5070)</f>
        <v>77.040000000000006</v>
      </c>
      <c r="I5071" s="231"/>
      <c r="J5071" s="215"/>
    </row>
    <row r="5072" spans="1:10" ht="15.75" customHeight="1" thickBot="1">
      <c r="A5072" s="216" t="str">
        <f>CONCATENATE("TOTAL DO ITEM DESON. - ",C5063)</f>
        <v>TOTAL DO ITEM DESON. - SEPLAG HIDR 63</v>
      </c>
      <c r="B5072" s="1142"/>
      <c r="C5072" s="1142"/>
      <c r="D5072" s="1142"/>
      <c r="E5072" s="1142"/>
      <c r="F5072" s="1211"/>
      <c r="G5072" s="1211"/>
      <c r="H5072" s="1187"/>
      <c r="I5072" s="260"/>
      <c r="J5072" s="219">
        <f>SUM(J5066:J5070)</f>
        <v>73.080000000000013</v>
      </c>
    </row>
    <row r="5073" spans="1:10" ht="15" customHeight="1" thickBot="1">
      <c r="A5073" s="421"/>
      <c r="B5073" s="1138"/>
      <c r="C5073" s="1138"/>
      <c r="D5073" s="1138"/>
      <c r="E5073" s="1154"/>
      <c r="F5073" s="1196"/>
      <c r="G5073" s="1196"/>
      <c r="H5073" s="1196"/>
      <c r="I5073" s="422"/>
      <c r="J5073" s="422"/>
    </row>
    <row r="5074" spans="1:10" ht="15" customHeight="1">
      <c r="A5074" s="256"/>
      <c r="B5074" s="1152"/>
      <c r="C5074" s="1176" t="s">
        <v>13054</v>
      </c>
      <c r="D5074" s="156" t="s">
        <v>13055</v>
      </c>
      <c r="E5074" s="1176" t="s">
        <v>24</v>
      </c>
      <c r="F5074" s="1177" t="s">
        <v>18</v>
      </c>
      <c r="G5074" s="1178" t="s">
        <v>7015</v>
      </c>
      <c r="H5074" s="1179"/>
      <c r="I5074" s="200" t="s">
        <v>7016</v>
      </c>
      <c r="J5074" s="201"/>
    </row>
    <row r="5075" spans="1:10" ht="15" customHeight="1">
      <c r="A5075" s="257"/>
      <c r="B5075" s="430"/>
      <c r="C5075" s="1155"/>
      <c r="D5075" s="157"/>
      <c r="E5075" s="1155"/>
      <c r="F5075" s="1180"/>
      <c r="G5075" s="1180" t="s">
        <v>19</v>
      </c>
      <c r="H5075" s="1180" t="s">
        <v>20</v>
      </c>
      <c r="I5075" s="204" t="s">
        <v>19</v>
      </c>
      <c r="J5075" s="206" t="s">
        <v>20</v>
      </c>
    </row>
    <row r="5076" spans="1:10" ht="15" customHeight="1">
      <c r="A5076" s="258"/>
      <c r="B5076" s="1155"/>
      <c r="C5076" s="241" t="s">
        <v>13052</v>
      </c>
      <c r="D5076" s="1132" t="s">
        <v>13053</v>
      </c>
      <c r="E5076" s="1155"/>
      <c r="F5076" s="1180"/>
      <c r="G5076" s="1180"/>
      <c r="H5076" s="1180"/>
      <c r="I5076" s="238"/>
      <c r="J5076" s="259"/>
    </row>
    <row r="5077" spans="1:10" ht="15" customHeight="1">
      <c r="A5077" s="208" t="s">
        <v>245</v>
      </c>
      <c r="B5077" s="241"/>
      <c r="C5077" s="1181">
        <v>88316</v>
      </c>
      <c r="D5077" s="161" t="str">
        <f>IF(B5077="SEPLAG",VLOOKUP(COMPOSIÇÕES!C5077,'MAPA COMPARATIVO'!A:B,2,FALSE),VLOOKUP(C5077,'NAO DESO'!A:B,2,0))</f>
        <v>SERVENTE COM ENCARGOS COMPLEMENTARES</v>
      </c>
      <c r="E5077" s="241" t="str">
        <f>VLOOKUP($C5077,'NAO DESO'!$A:$D,3,)</f>
        <v>H</v>
      </c>
      <c r="F5077" s="242">
        <v>0.96699999999999997</v>
      </c>
      <c r="G5077" s="242" t="str">
        <f>IF(B5077="SEPLAG",VLOOKUP(CONCATENATE("MEDIANA - ",C5077),COTAÇÃO,5,FALSE),VLOOKUP($C5077,'NAO DESO'!$A:$D,4,))</f>
        <v>16,83</v>
      </c>
      <c r="H5077" s="242">
        <f>TRUNC(F5077*G5077,2)</f>
        <v>16.27</v>
      </c>
      <c r="I5077" s="54" t="str">
        <f>IF(B5077="SEPLAG",VLOOKUP(CONCATENATE("MEDIANA - ",C5077),COTAÇÃO,5,FALSE),VLOOKUP($C5077,DESON!$A:$D,4,))</f>
        <v>15,16</v>
      </c>
      <c r="J5077" s="209">
        <f>TRUNC(F5077*I5077,2)</f>
        <v>14.65</v>
      </c>
    </row>
    <row r="5078" spans="1:10" ht="26.25" customHeight="1">
      <c r="A5078" s="208" t="s">
        <v>245</v>
      </c>
      <c r="B5078" s="241"/>
      <c r="C5078" s="1181">
        <v>88267</v>
      </c>
      <c r="D5078" s="161" t="str">
        <f>IF(B5078="SEPLAG",VLOOKUP(COMPOSIÇÕES!C5078,'MAPA COMPARATIVO'!A:B,2,FALSE),VLOOKUP(C5078,'NAO DESO'!A:B,2,0))</f>
        <v>ENCANADOR OU BOMBEIRO HIDRÁULICO COM ENCARGOS COMPLEMENTARES</v>
      </c>
      <c r="E5078" s="241" t="str">
        <f>VLOOKUP($C5078,'NAO DESO'!$A:$D,3,)</f>
        <v>H</v>
      </c>
      <c r="F5078" s="242">
        <v>0.96699999999999997</v>
      </c>
      <c r="G5078" s="242" t="str">
        <f>IF(B5078="SEPLAG",VLOOKUP(CONCATENATE("MEDIANA - ",C5078),COTAÇÃO,5,FALSE),VLOOKUP($C5078,'NAO DESO'!$A:$D,4,))</f>
        <v>21,03</v>
      </c>
      <c r="H5078" s="242">
        <f>TRUNC(F5078*G5078,2)</f>
        <v>20.329999999999998</v>
      </c>
      <c r="I5078" s="54" t="str">
        <f>IF(B5078="SEPLAG",VLOOKUP(CONCATENATE("MEDIANA - ",C5078),COTAÇÃO,5,FALSE),VLOOKUP($C5078,DESON!$A:$D,4,))</f>
        <v>18,72</v>
      </c>
      <c r="J5078" s="209">
        <f>TRUNC(F5078*I5078,2)</f>
        <v>18.100000000000001</v>
      </c>
    </row>
    <row r="5079" spans="1:10" ht="15" customHeight="1">
      <c r="A5079" s="208" t="s">
        <v>39</v>
      </c>
      <c r="B5079" s="241"/>
      <c r="C5079" s="1181">
        <v>3148</v>
      </c>
      <c r="D5079" s="161" t="str">
        <f>IF(B5079="SEPLAG",VLOOKUP(COMPOSIÇÕES!C5079,'MAPA COMPARATIVO'!A:B,2,FALSE),VLOOKUP(C5079,'NAO DESO'!A:B,2,0))</f>
        <v>FITA VEDA ROSCA EM ROLOS DE 18 MM X 50 M (L X C)</v>
      </c>
      <c r="E5079" s="241" t="str">
        <f>VLOOKUP($C5079,'NAO DESO'!$A:$D,3,)</f>
        <v xml:space="preserve">UN    </v>
      </c>
      <c r="F5079" s="242">
        <v>3.45</v>
      </c>
      <c r="G5079" s="242">
        <f>IF(B5079="SEPLAG",VLOOKUP(CONCATENATE("MEDIANA - ",C5079),COTAÇÃO,5,FALSE),VLOOKUP($C5079,'NAO DESO'!$A:$D,4,))</f>
        <v>18.440000000000001</v>
      </c>
      <c r="H5079" s="242">
        <f>TRUNC(F5079*G5079,2)</f>
        <v>63.61</v>
      </c>
      <c r="I5079" s="54" t="str">
        <f>IF(B5079="SEPLAG",VLOOKUP(CONCATENATE("MEDIANA - ",C5079),COTAÇÃO,5,FALSE),VLOOKUP($C5079,DESON!$A:$D,4,))</f>
        <v>18,44</v>
      </c>
      <c r="J5079" s="209">
        <f>TRUNC(F5079*I5079,2)</f>
        <v>63.61</v>
      </c>
    </row>
    <row r="5080" spans="1:10" ht="15" customHeight="1">
      <c r="A5080" s="208" t="s">
        <v>39</v>
      </c>
      <c r="B5080" s="241"/>
      <c r="C5080" s="1181">
        <v>4213</v>
      </c>
      <c r="D5080" s="161" t="str">
        <f>IF(B5080="SEPLAG",VLOOKUP(COMPOSIÇÕES!C5080,'MAPA COMPARATIVO'!A:B,2,FALSE),VLOOKUP(C5080,'NAO DESO'!A:B,2,0))</f>
        <v>NIPEL PVC, ROSCAVEL, 2",  AGUA FRIA PREDIAL</v>
      </c>
      <c r="E5080" s="241" t="str">
        <f>VLOOKUP($C5080,'NAO DESO'!$A:$D,3,)</f>
        <v xml:space="preserve">UN    </v>
      </c>
      <c r="F5080" s="242">
        <v>1</v>
      </c>
      <c r="G5080" s="242">
        <f>IF(B5080="SEPLAG",VLOOKUP(CONCATENATE("MEDIANA - ",C5080),COTAÇÃO,5,FALSE),VLOOKUP($C5080,'NAO DESO'!$A:$D,4,))</f>
        <v>14.03</v>
      </c>
      <c r="H5080" s="242">
        <f>TRUNC(F5080*G5080,2)</f>
        <v>14.03</v>
      </c>
      <c r="I5080" s="54" t="str">
        <f>IF(B5080="SEPLAG",VLOOKUP(CONCATENATE("MEDIANA - ",C5080),COTAÇÃO,5,FALSE),VLOOKUP($C5080,DESON!$A:$D,4,))</f>
        <v>14,03</v>
      </c>
      <c r="J5080" s="209">
        <f>TRUNC(F5080*I5080,2)</f>
        <v>14.03</v>
      </c>
    </row>
    <row r="5081" spans="1:10" ht="15" customHeight="1">
      <c r="A5081" s="210" t="str">
        <f>CONCATENATE("TOTAL DO ITEM NÃO DESON. - ",C5074)</f>
        <v>TOTAL DO ITEM NÃO DESON. - SEPLAG HIDR 64</v>
      </c>
      <c r="B5081" s="430"/>
      <c r="C5081" s="430"/>
      <c r="D5081" s="430"/>
      <c r="E5081" s="430"/>
      <c r="F5081" s="1180"/>
      <c r="G5081" s="1180"/>
      <c r="H5081" s="1182">
        <f>SUM(H5077:H5080)</f>
        <v>114.24</v>
      </c>
      <c r="I5081" s="231"/>
      <c r="J5081" s="215"/>
    </row>
    <row r="5082" spans="1:10" ht="15.75" customHeight="1" thickBot="1">
      <c r="A5082" s="216" t="str">
        <f>CONCATENATE("TOTAL DO ITEM DESON. - ",C5074)</f>
        <v>TOTAL DO ITEM DESON. - SEPLAG HIDR 64</v>
      </c>
      <c r="B5082" s="1142"/>
      <c r="C5082" s="1142"/>
      <c r="D5082" s="1142"/>
      <c r="E5082" s="1142"/>
      <c r="F5082" s="1211"/>
      <c r="G5082" s="1211"/>
      <c r="H5082" s="1187"/>
      <c r="I5082" s="260"/>
      <c r="J5082" s="219">
        <f>SUM(J5077:J5080)</f>
        <v>110.39</v>
      </c>
    </row>
    <row r="5083" spans="1:10" ht="15" customHeight="1" thickBot="1">
      <c r="A5083" s="421"/>
      <c r="B5083" s="1138"/>
      <c r="C5083" s="1138"/>
      <c r="D5083" s="1138"/>
      <c r="E5083" s="1154"/>
      <c r="F5083" s="1196"/>
      <c r="G5083" s="1196"/>
      <c r="H5083" s="1196"/>
      <c r="I5083" s="422"/>
      <c r="J5083" s="462"/>
    </row>
    <row r="5084" spans="1:10" ht="15" customHeight="1">
      <c r="A5084" s="256"/>
      <c r="B5084" s="1152"/>
      <c r="C5084" s="1176" t="s">
        <v>13057</v>
      </c>
      <c r="D5084" s="156" t="s">
        <v>13067</v>
      </c>
      <c r="E5084" s="1176" t="s">
        <v>24</v>
      </c>
      <c r="F5084" s="1177" t="s">
        <v>18</v>
      </c>
      <c r="G5084" s="1178" t="s">
        <v>7015</v>
      </c>
      <c r="H5084" s="1179"/>
      <c r="I5084" s="200" t="s">
        <v>7016</v>
      </c>
      <c r="J5084" s="201"/>
    </row>
    <row r="5085" spans="1:10" ht="15" customHeight="1">
      <c r="A5085" s="257"/>
      <c r="B5085" s="430"/>
      <c r="C5085" s="1155"/>
      <c r="D5085" s="157"/>
      <c r="E5085" s="1155"/>
      <c r="F5085" s="1180"/>
      <c r="G5085" s="1180" t="s">
        <v>19</v>
      </c>
      <c r="H5085" s="1180" t="s">
        <v>20</v>
      </c>
      <c r="I5085" s="204" t="s">
        <v>19</v>
      </c>
      <c r="J5085" s="206" t="s">
        <v>20</v>
      </c>
    </row>
    <row r="5086" spans="1:10" ht="15" customHeight="1">
      <c r="A5086" s="258"/>
      <c r="B5086" s="1155"/>
      <c r="C5086" s="241" t="s">
        <v>13058</v>
      </c>
      <c r="D5086" s="1132" t="s">
        <v>13053</v>
      </c>
      <c r="E5086" s="1155"/>
      <c r="F5086" s="1180"/>
      <c r="G5086" s="1180"/>
      <c r="H5086" s="1180"/>
      <c r="I5086" s="238"/>
      <c r="J5086" s="259"/>
    </row>
    <row r="5087" spans="1:10" ht="26.25" customHeight="1">
      <c r="A5087" s="208" t="s">
        <v>39</v>
      </c>
      <c r="B5087" s="241" t="s">
        <v>14504</v>
      </c>
      <c r="C5087" s="1181" t="s">
        <v>14450</v>
      </c>
      <c r="D5087" s="161" t="str">
        <f>IF(B5087="SEPLAG",VLOOKUP(COMPOSIÇÕES!C5087,'MAPA COMPARATIVO'!A:B,2,FALSE),VLOOKUP(C5087,'NAO DESO'!A:B,2,0))</f>
        <v>LUVA DE REDUÇÃO EM PEAD DE ALTA DENSIDADE PE100-DIÂMETRO = 90X63 MM</v>
      </c>
      <c r="E5087" s="241" t="s">
        <v>24</v>
      </c>
      <c r="F5087" s="242">
        <v>1</v>
      </c>
      <c r="G5087" s="242">
        <f>IF(B5087="SEPLAG",VLOOKUP(CONCATENATE("MEDIANA - ",C5087),COTAÇÃO,5,FALSE),VLOOKUP($C5087,'NAO DESO'!$A:$D,4,))</f>
        <v>107.88</v>
      </c>
      <c r="H5087" s="242">
        <f>TRUNC(F5087*G5087,2)</f>
        <v>107.88</v>
      </c>
      <c r="I5087" s="54">
        <f>IF(B5087="SEPLAG",VLOOKUP(CONCATENATE("MEDIANA - ",C5087),COTAÇÃO,5,FALSE),VLOOKUP($C5087,DESON!$A:$D,4,))</f>
        <v>107.88</v>
      </c>
      <c r="J5087" s="209">
        <f>TRUNC(F5087*I5087,2)</f>
        <v>107.88</v>
      </c>
    </row>
    <row r="5088" spans="1:10" ht="15" customHeight="1">
      <c r="A5088" s="208" t="s">
        <v>245</v>
      </c>
      <c r="B5088" s="241"/>
      <c r="C5088" s="1181">
        <v>88316</v>
      </c>
      <c r="D5088" s="161" t="str">
        <f>IF(B5088="SEPLAG",VLOOKUP(COMPOSIÇÕES!C5088,'MAPA COMPARATIVO'!A:B,2,FALSE),VLOOKUP(C5088,'NAO DESO'!A:B,2,0))</f>
        <v>SERVENTE COM ENCARGOS COMPLEMENTARES</v>
      </c>
      <c r="E5088" s="241" t="str">
        <f>VLOOKUP($C5088,'NAO DESO'!$A:$D,3,)</f>
        <v>H</v>
      </c>
      <c r="F5088" s="242">
        <v>0.15</v>
      </c>
      <c r="G5088" s="242" t="str">
        <f>IF(B5088="SEPLAG",VLOOKUP(CONCATENATE("MEDIANA - ",C5088),COTAÇÃO,5,FALSE),VLOOKUP($C5088,'NAO DESO'!$A:$D,4,))</f>
        <v>16,83</v>
      </c>
      <c r="H5088" s="242">
        <f>TRUNC(F5088*G5088,2)</f>
        <v>2.52</v>
      </c>
      <c r="I5088" s="54" t="str">
        <f>IF(B5088="SEPLAG",VLOOKUP(CONCATENATE("MEDIANA - ",C5088),COTAÇÃO,5,FALSE),VLOOKUP($C5088,DESON!$A:$D,4,))</f>
        <v>15,16</v>
      </c>
      <c r="J5088" s="209">
        <f>TRUNC(F5088*I5088,2)</f>
        <v>2.27</v>
      </c>
    </row>
    <row r="5089" spans="1:10" ht="26.25" customHeight="1">
      <c r="A5089" s="208" t="s">
        <v>245</v>
      </c>
      <c r="B5089" s="241"/>
      <c r="C5089" s="1181">
        <v>88267</v>
      </c>
      <c r="D5089" s="161" t="str">
        <f>IF(B5089="SEPLAG",VLOOKUP(COMPOSIÇÕES!C5089,'MAPA COMPARATIVO'!A:B,2,FALSE),VLOOKUP(C5089,'NAO DESO'!A:B,2,0))</f>
        <v>ENCANADOR OU BOMBEIRO HIDRÁULICO COM ENCARGOS COMPLEMENTARES</v>
      </c>
      <c r="E5089" s="241" t="str">
        <f>VLOOKUP($C5089,'NAO DESO'!$A:$D,3,)</f>
        <v>H</v>
      </c>
      <c r="F5089" s="242">
        <v>0.15</v>
      </c>
      <c r="G5089" s="242" t="str">
        <f>IF(B5089="SEPLAG",VLOOKUP(CONCATENATE("MEDIANA - ",C5089),COTAÇÃO,5,FALSE),VLOOKUP($C5089,'NAO DESO'!$A:$D,4,))</f>
        <v>21,03</v>
      </c>
      <c r="H5089" s="242">
        <f>TRUNC(F5089*G5089,2)</f>
        <v>3.15</v>
      </c>
      <c r="I5089" s="54" t="str">
        <f>IF(B5089="SEPLAG",VLOOKUP(CONCATENATE("MEDIANA - ",C5089),COTAÇÃO,5,FALSE),VLOOKUP($C5089,DESON!$A:$D,4,))</f>
        <v>18,72</v>
      </c>
      <c r="J5089" s="209">
        <f>TRUNC(F5089*I5089,2)</f>
        <v>2.8</v>
      </c>
    </row>
    <row r="5090" spans="1:10" ht="15" customHeight="1">
      <c r="A5090" s="210" t="str">
        <f>CONCATENATE("TOTAL DO ITEM NÃO DESON. - ",C5084)</f>
        <v>TOTAL DO ITEM NÃO DESON. - SEPLAG HIDR 65</v>
      </c>
      <c r="B5090" s="430"/>
      <c r="C5090" s="430"/>
      <c r="D5090" s="430"/>
      <c r="E5090" s="430"/>
      <c r="F5090" s="1180"/>
      <c r="G5090" s="1180"/>
      <c r="H5090" s="1182">
        <f>SUM(H5087:H5089)</f>
        <v>113.55</v>
      </c>
      <c r="I5090" s="231"/>
      <c r="J5090" s="215"/>
    </row>
    <row r="5091" spans="1:10" ht="15.75" customHeight="1" thickBot="1">
      <c r="A5091" s="216" t="str">
        <f>CONCATENATE("TOTAL DO ITEM DESON. - ",C5084)</f>
        <v>TOTAL DO ITEM DESON. - SEPLAG HIDR 65</v>
      </c>
      <c r="B5091" s="1142"/>
      <c r="C5091" s="1142"/>
      <c r="D5091" s="1142"/>
      <c r="E5091" s="1142"/>
      <c r="F5091" s="1211"/>
      <c r="G5091" s="1211"/>
      <c r="H5091" s="1187"/>
      <c r="I5091" s="260"/>
      <c r="J5091" s="219">
        <f>SUM(J5087:J5089)</f>
        <v>112.94999999999999</v>
      </c>
    </row>
    <row r="5092" spans="1:10" ht="15" customHeight="1" thickBot="1">
      <c r="A5092" s="421"/>
      <c r="B5092" s="1138"/>
      <c r="C5092" s="1138"/>
      <c r="D5092" s="1138"/>
      <c r="E5092" s="1154"/>
      <c r="F5092" s="1196"/>
      <c r="G5092" s="1196"/>
      <c r="H5092" s="1196"/>
      <c r="I5092" s="422"/>
      <c r="J5092" s="422"/>
    </row>
    <row r="5093" spans="1:10" ht="25.5" customHeight="1">
      <c r="A5093" s="256"/>
      <c r="B5093" s="1152"/>
      <c r="C5093" s="1176" t="s">
        <v>13060</v>
      </c>
      <c r="D5093" s="156" t="s">
        <v>13061</v>
      </c>
      <c r="E5093" s="1176" t="s">
        <v>250</v>
      </c>
      <c r="F5093" s="1177" t="s">
        <v>18</v>
      </c>
      <c r="G5093" s="1178" t="s">
        <v>7015</v>
      </c>
      <c r="H5093" s="1179"/>
      <c r="I5093" s="200" t="s">
        <v>7016</v>
      </c>
      <c r="J5093" s="201"/>
    </row>
    <row r="5094" spans="1:10" ht="15" customHeight="1">
      <c r="A5094" s="257"/>
      <c r="B5094" s="430"/>
      <c r="C5094" s="1155"/>
      <c r="D5094" s="157"/>
      <c r="E5094" s="1155"/>
      <c r="F5094" s="1180"/>
      <c r="G5094" s="1180" t="s">
        <v>19</v>
      </c>
      <c r="H5094" s="1180" t="s">
        <v>20</v>
      </c>
      <c r="I5094" s="204" t="s">
        <v>19</v>
      </c>
      <c r="J5094" s="206" t="s">
        <v>20</v>
      </c>
    </row>
    <row r="5095" spans="1:10" ht="15" customHeight="1">
      <c r="A5095" s="258"/>
      <c r="B5095" s="1155"/>
      <c r="C5095" s="241" t="s">
        <v>13052</v>
      </c>
      <c r="D5095" s="1132" t="s">
        <v>13062</v>
      </c>
      <c r="E5095" s="1155"/>
      <c r="F5095" s="1180"/>
      <c r="G5095" s="1180"/>
      <c r="H5095" s="1180"/>
      <c r="I5095" s="238"/>
      <c r="J5095" s="259"/>
    </row>
    <row r="5096" spans="1:10" ht="15" customHeight="1">
      <c r="A5096" s="208" t="s">
        <v>245</v>
      </c>
      <c r="B5096" s="241"/>
      <c r="C5096" s="1181">
        <v>88316</v>
      </c>
      <c r="D5096" s="161" t="str">
        <f>IF(B5096="SEPLAG",VLOOKUP(COMPOSIÇÕES!C5096,'MAPA COMPARATIVO'!A:B,2,FALSE),VLOOKUP(C5096,'NAO DESO'!A:B,2,0))</f>
        <v>SERVENTE COM ENCARGOS COMPLEMENTARES</v>
      </c>
      <c r="E5096" s="241" t="str">
        <f>VLOOKUP($C5096,'NAO DESO'!$A:$D,3,)</f>
        <v>H</v>
      </c>
      <c r="F5096" s="242">
        <v>0.96699999999999997</v>
      </c>
      <c r="G5096" s="242" t="str">
        <f>IF(B5096="SEPLAG",VLOOKUP(CONCATENATE("MEDIANA - ",C5096),COTAÇÃO,5,FALSE),VLOOKUP($C5096,'NAO DESO'!$A:$D,4,))</f>
        <v>16,83</v>
      </c>
      <c r="H5096" s="242">
        <f>TRUNC(F5096*G5096,2)</f>
        <v>16.27</v>
      </c>
      <c r="I5096" s="54" t="str">
        <f>IF(B5096="SEPLAG",VLOOKUP(CONCATENATE("MEDIANA - ",C5096),COTAÇÃO,5,FALSE),VLOOKUP($C5096,DESON!$A:$D,4,))</f>
        <v>15,16</v>
      </c>
      <c r="J5096" s="209">
        <f>TRUNC(F5096*I5096,2)</f>
        <v>14.65</v>
      </c>
    </row>
    <row r="5097" spans="1:10" ht="26.25" customHeight="1">
      <c r="A5097" s="208" t="s">
        <v>245</v>
      </c>
      <c r="B5097" s="241"/>
      <c r="C5097" s="1181">
        <v>88267</v>
      </c>
      <c r="D5097" s="161" t="str">
        <f>IF(B5097="SEPLAG",VLOOKUP(COMPOSIÇÕES!C5097,'MAPA COMPARATIVO'!A:B,2,FALSE),VLOOKUP(C5097,'NAO DESO'!A:B,2,0))</f>
        <v>ENCANADOR OU BOMBEIRO HIDRÁULICO COM ENCARGOS COMPLEMENTARES</v>
      </c>
      <c r="E5097" s="241" t="str">
        <f>VLOOKUP($C5097,'NAO DESO'!$A:$D,3,)</f>
        <v>H</v>
      </c>
      <c r="F5097" s="242">
        <v>0.96699999999999997</v>
      </c>
      <c r="G5097" s="242" t="str">
        <f>IF(B5097="SEPLAG",VLOOKUP(CONCATENATE("MEDIANA - ",C5097),COTAÇÃO,5,FALSE),VLOOKUP($C5097,'NAO DESO'!$A:$D,4,))</f>
        <v>21,03</v>
      </c>
      <c r="H5097" s="242">
        <f>TRUNC(F5097*G5097,2)</f>
        <v>20.329999999999998</v>
      </c>
      <c r="I5097" s="54" t="str">
        <f>IF(B5097="SEPLAG",VLOOKUP(CONCATENATE("MEDIANA - ",C5097),COTAÇÃO,5,FALSE),VLOOKUP($C5097,DESON!$A:$D,4,))</f>
        <v>18,72</v>
      </c>
      <c r="J5097" s="209">
        <f>TRUNC(F5097*I5097,2)</f>
        <v>18.100000000000001</v>
      </c>
    </row>
    <row r="5098" spans="1:10" ht="15" customHeight="1">
      <c r="A5098" s="210" t="str">
        <f>CONCATENATE("TOTAL DO ITEM NÃO DESON. - ",C5093)</f>
        <v>TOTAL DO ITEM NÃO DESON. - SEPLAG HIDR 66</v>
      </c>
      <c r="B5098" s="430"/>
      <c r="C5098" s="430"/>
      <c r="D5098" s="430"/>
      <c r="E5098" s="430"/>
      <c r="F5098" s="1180"/>
      <c r="G5098" s="1180"/>
      <c r="H5098" s="1182">
        <f>SUM(H5096:H5097)</f>
        <v>36.599999999999994</v>
      </c>
      <c r="I5098" s="231"/>
      <c r="J5098" s="215"/>
    </row>
    <row r="5099" spans="1:10" ht="15.75" customHeight="1" thickBot="1">
      <c r="A5099" s="216" t="str">
        <f>CONCATENATE("TOTAL DO ITEM DESON. - ",C5093)</f>
        <v>TOTAL DO ITEM DESON. - SEPLAG HIDR 66</v>
      </c>
      <c r="B5099" s="1142"/>
      <c r="C5099" s="1142"/>
      <c r="D5099" s="1142"/>
      <c r="E5099" s="1142"/>
      <c r="F5099" s="1211"/>
      <c r="G5099" s="1211"/>
      <c r="H5099" s="1187"/>
      <c r="I5099" s="260"/>
      <c r="J5099" s="219">
        <f>SUM(J5096:J5097)</f>
        <v>32.75</v>
      </c>
    </row>
    <row r="5100" spans="1:10" ht="15" customHeight="1" thickBot="1">
      <c r="A5100" s="421"/>
      <c r="B5100" s="1138"/>
      <c r="C5100" s="1138"/>
      <c r="D5100" s="1138"/>
      <c r="E5100" s="1154"/>
      <c r="F5100" s="1196"/>
      <c r="G5100" s="1196"/>
      <c r="H5100" s="1196"/>
      <c r="I5100" s="422"/>
      <c r="J5100" s="422"/>
    </row>
    <row r="5101" spans="1:10" ht="25.5" customHeight="1">
      <c r="A5101" s="256"/>
      <c r="B5101" s="1152"/>
      <c r="C5101" s="1176" t="s">
        <v>13063</v>
      </c>
      <c r="D5101" s="156" t="s">
        <v>13064</v>
      </c>
      <c r="E5101" s="1176" t="s">
        <v>24</v>
      </c>
      <c r="F5101" s="1177" t="s">
        <v>18</v>
      </c>
      <c r="G5101" s="1178" t="s">
        <v>7015</v>
      </c>
      <c r="H5101" s="1179"/>
      <c r="I5101" s="200" t="s">
        <v>7016</v>
      </c>
      <c r="J5101" s="201"/>
    </row>
    <row r="5102" spans="1:10" ht="15" customHeight="1">
      <c r="A5102" s="257"/>
      <c r="B5102" s="430"/>
      <c r="C5102" s="1155"/>
      <c r="D5102" s="157"/>
      <c r="E5102" s="1155"/>
      <c r="F5102" s="1180"/>
      <c r="G5102" s="1180" t="s">
        <v>19</v>
      </c>
      <c r="H5102" s="1180" t="s">
        <v>20</v>
      </c>
      <c r="I5102" s="204" t="s">
        <v>19</v>
      </c>
      <c r="J5102" s="206" t="s">
        <v>20</v>
      </c>
    </row>
    <row r="5103" spans="1:10" ht="15" customHeight="1">
      <c r="A5103" s="258"/>
      <c r="B5103" s="1155"/>
      <c r="C5103" s="241" t="s">
        <v>13052</v>
      </c>
      <c r="D5103" s="1132" t="s">
        <v>13062</v>
      </c>
      <c r="E5103" s="1155"/>
      <c r="F5103" s="1180"/>
      <c r="G5103" s="1180"/>
      <c r="H5103" s="1180"/>
      <c r="I5103" s="238"/>
      <c r="J5103" s="259"/>
    </row>
    <row r="5104" spans="1:10" ht="15" customHeight="1">
      <c r="A5104" s="208" t="s">
        <v>245</v>
      </c>
      <c r="B5104" s="241"/>
      <c r="C5104" s="1181">
        <v>88316</v>
      </c>
      <c r="D5104" s="161" t="str">
        <f>IF(B5104="SEPLAG",VLOOKUP(COMPOSIÇÕES!C5104,'MAPA COMPARATIVO'!A:B,2,FALSE),VLOOKUP(C5104,'NAO DESO'!A:B,2,0))</f>
        <v>SERVENTE COM ENCARGOS COMPLEMENTARES</v>
      </c>
      <c r="E5104" s="241" t="str">
        <f>VLOOKUP($C5104,'NAO DESO'!$A:$D,3,)</f>
        <v>H</v>
      </c>
      <c r="F5104" s="242">
        <v>0.96699999999999997</v>
      </c>
      <c r="G5104" s="242" t="str">
        <f>IF(B5104="SEPLAG",VLOOKUP(CONCATENATE("MEDIANA - ",C5104),COTAÇÃO,5,FALSE),VLOOKUP($C5104,'NAO DESO'!$A:$D,4,))</f>
        <v>16,83</v>
      </c>
      <c r="H5104" s="242">
        <f>TRUNC(F5104*G5104,2)</f>
        <v>16.27</v>
      </c>
      <c r="I5104" s="54" t="str">
        <f>IF(B5104="SEPLAG",VLOOKUP(CONCATENATE("MEDIANA - ",C5104),COTAÇÃO,5,FALSE),VLOOKUP($C5104,DESON!$A:$D,4,))</f>
        <v>15,16</v>
      </c>
      <c r="J5104" s="209">
        <f>TRUNC(F5104*I5104,2)</f>
        <v>14.65</v>
      </c>
    </row>
    <row r="5105" spans="1:10" ht="26.25" customHeight="1">
      <c r="A5105" s="208" t="s">
        <v>245</v>
      </c>
      <c r="B5105" s="241"/>
      <c r="C5105" s="1181">
        <v>88267</v>
      </c>
      <c r="D5105" s="161" t="str">
        <f>IF(B5105="SEPLAG",VLOOKUP(COMPOSIÇÕES!C5105,'MAPA COMPARATIVO'!A:B,2,FALSE),VLOOKUP(C5105,'NAO DESO'!A:B,2,0))</f>
        <v>ENCANADOR OU BOMBEIRO HIDRÁULICO COM ENCARGOS COMPLEMENTARES</v>
      </c>
      <c r="E5105" s="241" t="str">
        <f>VLOOKUP($C5105,'NAO DESO'!$A:$D,3,)</f>
        <v>H</v>
      </c>
      <c r="F5105" s="242">
        <v>0.96699999999999997</v>
      </c>
      <c r="G5105" s="242" t="str">
        <f>IF(B5105="SEPLAG",VLOOKUP(CONCATENATE("MEDIANA - ",C5105),COTAÇÃO,5,FALSE),VLOOKUP($C5105,'NAO DESO'!$A:$D,4,))</f>
        <v>21,03</v>
      </c>
      <c r="H5105" s="242">
        <f>TRUNC(F5105*G5105,2)</f>
        <v>20.329999999999998</v>
      </c>
      <c r="I5105" s="54" t="str">
        <f>IF(B5105="SEPLAG",VLOOKUP(CONCATENATE("MEDIANA - ",C5105),COTAÇÃO,5,FALSE),VLOOKUP($C5105,DESON!$A:$D,4,))</f>
        <v>18,72</v>
      </c>
      <c r="J5105" s="209">
        <f>TRUNC(F5105*I5105,2)</f>
        <v>18.100000000000001</v>
      </c>
    </row>
    <row r="5106" spans="1:10" ht="15" customHeight="1">
      <c r="A5106" s="210" t="str">
        <f>CONCATENATE("TOTAL DO ITEM NÃO DESON. - ",C5101)</f>
        <v>TOTAL DO ITEM NÃO DESON. - SEPLAG HIDR 67</v>
      </c>
      <c r="B5106" s="430"/>
      <c r="C5106" s="430"/>
      <c r="D5106" s="430"/>
      <c r="E5106" s="430"/>
      <c r="F5106" s="1180"/>
      <c r="G5106" s="1180"/>
      <c r="H5106" s="1182">
        <f>SUM(H5104:H5105)</f>
        <v>36.599999999999994</v>
      </c>
      <c r="I5106" s="231"/>
      <c r="J5106" s="215"/>
    </row>
    <row r="5107" spans="1:10" ht="15.75" customHeight="1" thickBot="1">
      <c r="A5107" s="216" t="str">
        <f>CONCATENATE("TOTAL DO ITEM DESON. - ",C5101)</f>
        <v>TOTAL DO ITEM DESON. - SEPLAG HIDR 67</v>
      </c>
      <c r="B5107" s="1142"/>
      <c r="C5107" s="1142"/>
      <c r="D5107" s="1142"/>
      <c r="E5107" s="1142"/>
      <c r="F5107" s="1211"/>
      <c r="G5107" s="1211"/>
      <c r="H5107" s="1187"/>
      <c r="I5107" s="260"/>
      <c r="J5107" s="219">
        <f>SUM(J5104:J5105)</f>
        <v>32.75</v>
      </c>
    </row>
    <row r="5108" spans="1:10" ht="15" customHeight="1" thickBot="1">
      <c r="A5108" s="421"/>
      <c r="B5108" s="1138"/>
      <c r="C5108" s="1138"/>
      <c r="D5108" s="1138"/>
      <c r="E5108" s="1154"/>
      <c r="F5108" s="1196"/>
      <c r="G5108" s="1196"/>
      <c r="H5108" s="1196"/>
      <c r="I5108" s="422"/>
      <c r="J5108" s="422"/>
    </row>
    <row r="5109" spans="1:10" ht="15" customHeight="1">
      <c r="A5109" s="256"/>
      <c r="B5109" s="1152"/>
      <c r="C5109" s="1176" t="s">
        <v>13068</v>
      </c>
      <c r="D5109" s="156" t="s">
        <v>13070</v>
      </c>
      <c r="E5109" s="1176" t="s">
        <v>24</v>
      </c>
      <c r="F5109" s="1177" t="s">
        <v>18</v>
      </c>
      <c r="G5109" s="1178" t="s">
        <v>7015</v>
      </c>
      <c r="H5109" s="1179"/>
      <c r="I5109" s="200" t="s">
        <v>7016</v>
      </c>
      <c r="J5109" s="201"/>
    </row>
    <row r="5110" spans="1:10" ht="15" customHeight="1">
      <c r="A5110" s="257"/>
      <c r="B5110" s="430"/>
      <c r="C5110" s="1155"/>
      <c r="D5110" s="157"/>
      <c r="E5110" s="1155"/>
      <c r="F5110" s="1180"/>
      <c r="G5110" s="1180" t="s">
        <v>19</v>
      </c>
      <c r="H5110" s="1180" t="s">
        <v>20</v>
      </c>
      <c r="I5110" s="204" t="s">
        <v>19</v>
      </c>
      <c r="J5110" s="206" t="s">
        <v>20</v>
      </c>
    </row>
    <row r="5111" spans="1:10" ht="15" customHeight="1">
      <c r="A5111" s="258"/>
      <c r="B5111" s="1155"/>
      <c r="C5111" s="241" t="s">
        <v>13052</v>
      </c>
      <c r="D5111" s="1132" t="s">
        <v>13069</v>
      </c>
      <c r="E5111" s="1155"/>
      <c r="F5111" s="1180"/>
      <c r="G5111" s="1180"/>
      <c r="H5111" s="1180"/>
      <c r="I5111" s="238"/>
      <c r="J5111" s="259"/>
    </row>
    <row r="5112" spans="1:10" ht="15" customHeight="1">
      <c r="A5112" s="208" t="s">
        <v>245</v>
      </c>
      <c r="B5112" s="241"/>
      <c r="C5112" s="1181">
        <v>88316</v>
      </c>
      <c r="D5112" s="161" t="str">
        <f>IF(B5112="SEPLAG",VLOOKUP(COMPOSIÇÕES!C5112,'MAPA COMPARATIVO'!A:B,2,FALSE),VLOOKUP(C5112,'NAO DESO'!A:B,2,0))</f>
        <v>SERVENTE COM ENCARGOS COMPLEMENTARES</v>
      </c>
      <c r="E5112" s="241" t="str">
        <f>VLOOKUP($C5112,'NAO DESO'!$A:$D,3,)</f>
        <v>H</v>
      </c>
      <c r="F5112" s="242">
        <v>0.45</v>
      </c>
      <c r="G5112" s="242" t="str">
        <f>IF(B5112="SEPLAG",VLOOKUP(CONCATENATE("MEDIANA - ",C5112),COTAÇÃO,5,FALSE),VLOOKUP($C5112,'NAO DESO'!$A:$D,4,))</f>
        <v>16,83</v>
      </c>
      <c r="H5112" s="242">
        <f>TRUNC(F5112*G5112,2)</f>
        <v>7.57</v>
      </c>
      <c r="I5112" s="54" t="str">
        <f>IF(B5112="SEPLAG",VLOOKUP(CONCATENATE("MEDIANA - ",C5112),COTAÇÃO,5,FALSE),VLOOKUP($C5112,DESON!$A:$D,4,))</f>
        <v>15,16</v>
      </c>
      <c r="J5112" s="209">
        <f>TRUNC(F5112*I5112,2)</f>
        <v>6.82</v>
      </c>
    </row>
    <row r="5113" spans="1:10" ht="26.25" customHeight="1">
      <c r="A5113" s="208" t="s">
        <v>245</v>
      </c>
      <c r="B5113" s="241"/>
      <c r="C5113" s="1181">
        <v>88267</v>
      </c>
      <c r="D5113" s="161" t="str">
        <f>IF(B5113="SEPLAG",VLOOKUP(COMPOSIÇÕES!C5113,'MAPA COMPARATIVO'!A:B,2,FALSE),VLOOKUP(C5113,'NAO DESO'!A:B,2,0))</f>
        <v>ENCANADOR OU BOMBEIRO HIDRÁULICO COM ENCARGOS COMPLEMENTARES</v>
      </c>
      <c r="E5113" s="241" t="str">
        <f>VLOOKUP($C5113,'NAO DESO'!$A:$D,3,)</f>
        <v>H</v>
      </c>
      <c r="F5113" s="242">
        <v>0.23</v>
      </c>
      <c r="G5113" s="242" t="str">
        <f>IF(B5113="SEPLAG",VLOOKUP(CONCATENATE("MEDIANA - ",C5113),COTAÇÃO,5,FALSE),VLOOKUP($C5113,'NAO DESO'!$A:$D,4,))</f>
        <v>21,03</v>
      </c>
      <c r="H5113" s="242">
        <f>TRUNC(F5113*G5113,2)</f>
        <v>4.83</v>
      </c>
      <c r="I5113" s="54" t="str">
        <f>IF(B5113="SEPLAG",VLOOKUP(CONCATENATE("MEDIANA - ",C5113),COTAÇÃO,5,FALSE),VLOOKUP($C5113,DESON!$A:$D,4,))</f>
        <v>18,72</v>
      </c>
      <c r="J5113" s="209">
        <f>TRUNC(F5113*I5113,2)</f>
        <v>4.3</v>
      </c>
    </row>
    <row r="5114" spans="1:10" ht="15" customHeight="1">
      <c r="A5114" s="208" t="s">
        <v>39</v>
      </c>
      <c r="B5114" s="241"/>
      <c r="C5114" s="1181">
        <v>122</v>
      </c>
      <c r="D5114" s="161" t="str">
        <f>IF(B5114="SEPLAG",VLOOKUP(COMPOSIÇÕES!C5114,'MAPA COMPARATIVO'!A:B,2,FALSE),VLOOKUP(C5114,'NAO DESO'!A:B,2,0))</f>
        <v>ADESIVO PLASTICO PARA PVC, FRASCO COM *850* GR</v>
      </c>
      <c r="E5114" s="241" t="str">
        <f>VLOOKUP($C5114,'NAO DESO'!$A:$D,3,)</f>
        <v xml:space="preserve">UN    </v>
      </c>
      <c r="F5114" s="242">
        <v>0.05</v>
      </c>
      <c r="G5114" s="242">
        <f>IF(B5114="SEPLAG",VLOOKUP(CONCATENATE("MEDIANA - ",C5114),COTAÇÃO,5,FALSE),VLOOKUP($C5114,'NAO DESO'!$A:$D,4,))</f>
        <v>76.94</v>
      </c>
      <c r="H5114" s="242">
        <f>TRUNC(F5114*G5114,2)</f>
        <v>3.84</v>
      </c>
      <c r="I5114" s="54" t="str">
        <f>IF(B5114="SEPLAG",VLOOKUP(CONCATENATE("MEDIANA - ",C5114),COTAÇÃO,5,FALSE),VLOOKUP($C5114,DESON!$A:$D,4,))</f>
        <v>76,94</v>
      </c>
      <c r="J5114" s="209">
        <f>TRUNC(F5114*I5114,2)</f>
        <v>3.84</v>
      </c>
    </row>
    <row r="5115" spans="1:10" ht="15" customHeight="1">
      <c r="A5115" s="208" t="s">
        <v>39</v>
      </c>
      <c r="B5115" s="241"/>
      <c r="C5115" s="1181">
        <v>20083</v>
      </c>
      <c r="D5115" s="161" t="str">
        <f>IF(B5115="SEPLAG",VLOOKUP(COMPOSIÇÕES!C5115,'MAPA COMPARATIVO'!A:B,2,FALSE),VLOOKUP(C5115,'NAO DESO'!A:B,2,0))</f>
        <v>SOLUCAO PREPARADORA / LIMPADORA PARA PVC, FRASCO COM 1000 CM3</v>
      </c>
      <c r="E5115" s="241" t="str">
        <f>VLOOKUP($C5115,'NAO DESO'!$A:$D,3,)</f>
        <v xml:space="preserve">UN    </v>
      </c>
      <c r="F5115" s="242">
        <v>0.08</v>
      </c>
      <c r="G5115" s="242">
        <f>IF(B5115="SEPLAG",VLOOKUP(CONCATENATE("MEDIANA - ",C5115),COTAÇÃO,5,FALSE),VLOOKUP($C5115,'NAO DESO'!$A:$D,4,))</f>
        <v>87.17</v>
      </c>
      <c r="H5115" s="242">
        <f>TRUNC(F5115*G5115,2)</f>
        <v>6.97</v>
      </c>
      <c r="I5115" s="54" t="str">
        <f>IF(B5115="SEPLAG",VLOOKUP(CONCATENATE("MEDIANA - ",C5115),COTAÇÃO,5,FALSE),VLOOKUP($C5115,DESON!$A:$D,4,))</f>
        <v>87,17</v>
      </c>
      <c r="J5115" s="209">
        <f>TRUNC(F5115*I5115,2)</f>
        <v>6.97</v>
      </c>
    </row>
    <row r="5116" spans="1:10" ht="26.25" customHeight="1">
      <c r="A5116" s="208" t="s">
        <v>39</v>
      </c>
      <c r="B5116" s="241"/>
      <c r="C5116" s="1181">
        <v>1858</v>
      </c>
      <c r="D5116" s="161" t="str">
        <f>IF(B5116="SEPLAG",VLOOKUP(COMPOSIÇÕES!C5116,'MAPA COMPARATIVO'!A:B,2,FALSE),VLOOKUP(C5116,'NAO DESO'!A:B,2,0))</f>
        <v>CURVA LONGA PVC, PB, JE, 45 GRAUS, DN 100 MM, PARA REDE COLETORA ESGOTO (NBR 10569)</v>
      </c>
      <c r="E5116" s="241" t="str">
        <f>VLOOKUP($C5116,'NAO DESO'!$A:$D,3,)</f>
        <v xml:space="preserve">UN    </v>
      </c>
      <c r="F5116" s="242">
        <v>0.45</v>
      </c>
      <c r="G5116" s="242">
        <f>IF(B5116="SEPLAG",VLOOKUP(CONCATENATE("MEDIANA - ",C5116),COTAÇÃO,5,FALSE),VLOOKUP($C5116,'NAO DESO'!$A:$D,4,))</f>
        <v>44.26</v>
      </c>
      <c r="H5116" s="242">
        <f>TRUNC(F5116*G5116,2)</f>
        <v>19.91</v>
      </c>
      <c r="I5116" s="54" t="str">
        <f>IF(B5116="SEPLAG",VLOOKUP(CONCATENATE("MEDIANA - ",C5116),COTAÇÃO,5,FALSE),VLOOKUP($C5116,DESON!$A:$D,4,))</f>
        <v>44,26</v>
      </c>
      <c r="J5116" s="209">
        <f>TRUNC(F5116*I5116,2)</f>
        <v>19.91</v>
      </c>
    </row>
    <row r="5117" spans="1:10" ht="15" customHeight="1">
      <c r="A5117" s="210" t="str">
        <f>CONCATENATE("TOTAL DO ITEM NÃO DESON. - ",C5109)</f>
        <v>TOTAL DO ITEM NÃO DESON. - SEPLAG HIDR 68</v>
      </c>
      <c r="B5117" s="430"/>
      <c r="C5117" s="430"/>
      <c r="D5117" s="430"/>
      <c r="E5117" s="430"/>
      <c r="F5117" s="1180"/>
      <c r="G5117" s="1180"/>
      <c r="H5117" s="1182">
        <f>SUM(H5112:H5116)</f>
        <v>43.120000000000005</v>
      </c>
      <c r="I5117" s="231"/>
      <c r="J5117" s="215"/>
    </row>
    <row r="5118" spans="1:10" ht="15.75" customHeight="1" thickBot="1">
      <c r="A5118" s="216" t="str">
        <f>CONCATENATE("TOTAL DO ITEM DESON. - ",C5109)</f>
        <v>TOTAL DO ITEM DESON. - SEPLAG HIDR 68</v>
      </c>
      <c r="B5118" s="1142"/>
      <c r="C5118" s="1142"/>
      <c r="D5118" s="1142"/>
      <c r="E5118" s="1142"/>
      <c r="F5118" s="1211"/>
      <c r="G5118" s="1211"/>
      <c r="H5118" s="1187"/>
      <c r="I5118" s="260"/>
      <c r="J5118" s="219">
        <f>SUM(J5112:J5116)</f>
        <v>41.84</v>
      </c>
    </row>
    <row r="5119" spans="1:10" ht="15" customHeight="1" thickBot="1">
      <c r="A5119" s="421"/>
      <c r="B5119" s="1138"/>
      <c r="C5119" s="1138"/>
      <c r="D5119" s="1138"/>
      <c r="E5119" s="1154"/>
      <c r="F5119" s="1196"/>
      <c r="G5119" s="1196"/>
      <c r="H5119" s="1196"/>
      <c r="I5119" s="422"/>
      <c r="J5119" s="422"/>
    </row>
    <row r="5120" spans="1:10" ht="38.25" customHeight="1">
      <c r="A5120" s="256"/>
      <c r="B5120" s="1152"/>
      <c r="C5120" s="1176" t="s">
        <v>13072</v>
      </c>
      <c r="D5120" s="156" t="s">
        <v>27978</v>
      </c>
      <c r="E5120" s="1176" t="s">
        <v>24</v>
      </c>
      <c r="F5120" s="1177" t="s">
        <v>18</v>
      </c>
      <c r="G5120" s="1178" t="s">
        <v>7015</v>
      </c>
      <c r="H5120" s="1179"/>
      <c r="I5120" s="200" t="s">
        <v>7016</v>
      </c>
      <c r="J5120" s="201"/>
    </row>
    <row r="5121" spans="1:10" ht="15" customHeight="1">
      <c r="A5121" s="257"/>
      <c r="B5121" s="430"/>
      <c r="C5121" s="1155"/>
      <c r="D5121" s="157"/>
      <c r="E5121" s="1155"/>
      <c r="F5121" s="1180"/>
      <c r="G5121" s="1180" t="s">
        <v>19</v>
      </c>
      <c r="H5121" s="1180" t="s">
        <v>20</v>
      </c>
      <c r="I5121" s="204" t="s">
        <v>19</v>
      </c>
      <c r="J5121" s="206" t="s">
        <v>20</v>
      </c>
    </row>
    <row r="5122" spans="1:10" ht="15" customHeight="1">
      <c r="A5122" s="258"/>
      <c r="B5122" s="1155"/>
      <c r="C5122" s="1155"/>
      <c r="D5122" s="157"/>
      <c r="E5122" s="1155"/>
      <c r="F5122" s="1180"/>
      <c r="G5122" s="1180"/>
      <c r="H5122" s="1180"/>
      <c r="I5122" s="238"/>
      <c r="J5122" s="259"/>
    </row>
    <row r="5123" spans="1:10" ht="39" customHeight="1">
      <c r="A5123" s="208" t="s">
        <v>245</v>
      </c>
      <c r="B5123" s="241"/>
      <c r="C5123" s="1181">
        <v>101159</v>
      </c>
      <c r="D5123" s="161" t="str">
        <f>IF(B5123="SEPLAG",VLOOKUP(COMPOSIÇÕES!C5123,'MAPA COMPARATIVO'!A:B,2,FALSE),VLOOKUP(C5123,'NAO DESO'!A:B,2,0))</f>
        <v>ALVENARIA DE VEDAÇÃO DE BLOCOS CERÂMICOS MACIÇOS DE 5X10X20CM (ESPESSURA 10CM) E ARGAMASSA DE ASSENTAMENTO COM PREPARO EM BETONEIRA. AF_05/2020</v>
      </c>
      <c r="E5123" s="241" t="str">
        <f>VLOOKUP($C5123,'NAO DESO'!$A:$D,3,)</f>
        <v>M2</v>
      </c>
      <c r="F5123" s="242">
        <v>0.84</v>
      </c>
      <c r="G5123" s="242" t="str">
        <f>IF(B5123="SEPLAG",VLOOKUP(CONCATENATE("MEDIANA - ",C5123),COTAÇÃO,5,FALSE),VLOOKUP($C5123,'NAO DESO'!$A:$D,4,))</f>
        <v>126,63</v>
      </c>
      <c r="H5123" s="242">
        <f t="shared" ref="H5123:H5135" si="294">TRUNC(F5123*G5123,2)</f>
        <v>106.36</v>
      </c>
      <c r="I5123" s="54" t="str">
        <f>IF(B5123="SEPLAG",VLOOKUP(CONCATENATE("MEDIANA - ",C5123),COTAÇÃO,5,FALSE),VLOOKUP($C5123,DESON!$A:$D,4,))</f>
        <v>120,46</v>
      </c>
      <c r="J5123" s="209">
        <f t="shared" ref="J5123:J5135" si="295">TRUNC(F5123*I5123,2)</f>
        <v>101.18</v>
      </c>
    </row>
    <row r="5124" spans="1:10" ht="64.5" customHeight="1">
      <c r="A5124" s="208" t="s">
        <v>245</v>
      </c>
      <c r="B5124" s="241"/>
      <c r="C5124" s="1181">
        <v>87543</v>
      </c>
      <c r="D5124" s="161" t="str">
        <f>IF(B5124="SEPLAG",VLOOKUP(COMPOSIÇÕES!C5124,'MAPA COMPARATIVO'!A:B,2,FALSE),VLOOKUP(C5124,'NAO DESO'!A:B,2,0))</f>
        <v>MASSA ÚNICA, PARA RECEBIMENTO DE PINTURA OU CERÂMICA, ARGAMASSA INDUSTRIALIZADA, PREPARO MECÂNICO, APLICADO COM EQUIPAMENTO DE MISTURA E PROJEÇÃO DE 1,5 M3/H EM FACES INTERNAS DE PAREDES, ESPESSURA DE 5MM, SEM EXECUÇÃO DE TALISCAS. AF_06/2014</v>
      </c>
      <c r="E5124" s="241" t="str">
        <f>VLOOKUP($C5124,'NAO DESO'!$A:$D,3,)</f>
        <v>M2</v>
      </c>
      <c r="F5124" s="242">
        <v>4.4800000000000004</v>
      </c>
      <c r="G5124" s="242" t="str">
        <f>IF(B5124="SEPLAG",VLOOKUP(CONCATENATE("MEDIANA - ",C5124),COTAÇÃO,5,FALSE),VLOOKUP($C5124,'NAO DESO'!$A:$D,4,))</f>
        <v>24,40</v>
      </c>
      <c r="H5124" s="242">
        <f t="shared" si="294"/>
        <v>109.31</v>
      </c>
      <c r="I5124" s="54" t="str">
        <f>IF(B5124="SEPLAG",VLOOKUP(CONCATENATE("MEDIANA - ",C5124),COTAÇÃO,5,FALSE),VLOOKUP($C5124,DESON!$A:$D,4,))</f>
        <v>23,82</v>
      </c>
      <c r="J5124" s="209">
        <f t="shared" si="295"/>
        <v>106.71</v>
      </c>
    </row>
    <row r="5125" spans="1:10" ht="39" customHeight="1">
      <c r="A5125" s="208" t="s">
        <v>245</v>
      </c>
      <c r="B5125" s="241"/>
      <c r="C5125" s="1181">
        <v>94970</v>
      </c>
      <c r="D5125" s="161" t="str">
        <f>IF(B5125="SEPLAG",VLOOKUP(COMPOSIÇÕES!C5125,'MAPA COMPARATIVO'!A:B,2,FALSE),VLOOKUP(C5125,'NAO DESO'!A:B,2,0))</f>
        <v>CONCRETO FCK = 20MPA, TRAÇO 1:2,7:3 (EM MASSA SECA DE CIMENTO/ AREIA MÉDIA/ BRITA 1) - PREPARO MECÂNICO COM BETONEIRA 600 L. AF_05/2021</v>
      </c>
      <c r="E5125" s="241" t="str">
        <f>VLOOKUP($C5125,'NAO DESO'!$A:$D,3,)</f>
        <v>M3</v>
      </c>
      <c r="F5125" s="242">
        <v>0.06</v>
      </c>
      <c r="G5125" s="242" t="str">
        <f>IF(B5125="SEPLAG",VLOOKUP(CONCATENATE("MEDIANA - ",C5125),COTAÇÃO,5,FALSE),VLOOKUP($C5125,'NAO DESO'!$A:$D,4,))</f>
        <v>405,57</v>
      </c>
      <c r="H5125" s="242">
        <f t="shared" si="294"/>
        <v>24.33</v>
      </c>
      <c r="I5125" s="54" t="str">
        <f>IF(B5125="SEPLAG",VLOOKUP(CONCATENATE("MEDIANA - ",C5125),COTAÇÃO,5,FALSE),VLOOKUP($C5125,DESON!$A:$D,4,))</f>
        <v>400,17</v>
      </c>
      <c r="J5125" s="209">
        <f t="shared" si="295"/>
        <v>24.01</v>
      </c>
    </row>
    <row r="5126" spans="1:10" ht="26.25" customHeight="1">
      <c r="A5126" s="208" t="s">
        <v>245</v>
      </c>
      <c r="B5126" s="241"/>
      <c r="C5126" s="1181">
        <v>93358</v>
      </c>
      <c r="D5126" s="161" t="str">
        <f>IF(B5126="SEPLAG",VLOOKUP(COMPOSIÇÕES!C5126,'MAPA COMPARATIVO'!A:B,2,FALSE),VLOOKUP(C5126,'NAO DESO'!A:B,2,0))</f>
        <v>ESCAVAÇÃO MANUAL DE VALA COM PROFUNDIDADE MENOR OU IGUAL A 1,30 M. AF_02/2021</v>
      </c>
      <c r="E5126" s="241" t="str">
        <f>VLOOKUP($C5126,'NAO DESO'!$A:$D,3,)</f>
        <v>M3</v>
      </c>
      <c r="F5126" s="242">
        <v>1.1499999999999999</v>
      </c>
      <c r="G5126" s="242" t="str">
        <f>IF(B5126="SEPLAG",VLOOKUP(CONCATENATE("MEDIANA - ",C5126),COTAÇÃO,5,FALSE),VLOOKUP($C5126,'NAO DESO'!$A:$D,4,))</f>
        <v>66,57</v>
      </c>
      <c r="H5126" s="242">
        <f t="shared" si="294"/>
        <v>76.55</v>
      </c>
      <c r="I5126" s="54" t="str">
        <f>IF(B5126="SEPLAG",VLOOKUP(CONCATENATE("MEDIANA - ",C5126),COTAÇÃO,5,FALSE),VLOOKUP($C5126,DESON!$A:$D,4,))</f>
        <v>59,97</v>
      </c>
      <c r="J5126" s="209">
        <f t="shared" si="295"/>
        <v>68.959999999999994</v>
      </c>
    </row>
    <row r="5127" spans="1:10" ht="26.25" customHeight="1">
      <c r="A5127" s="208" t="s">
        <v>245</v>
      </c>
      <c r="B5127" s="241"/>
      <c r="C5127" s="1181">
        <v>101617</v>
      </c>
      <c r="D5127" s="161" t="str">
        <f>IF(B5127="SEPLAG",VLOOKUP(COMPOSIÇÕES!C5127,'MAPA COMPARATIVO'!A:B,2,FALSE),VLOOKUP(C5127,'NAO DESO'!A:B,2,0))</f>
        <v>PREPARO DE FUNDO DE VALA COM LARGURA MAIOR OU IGUAL A 1,5 M E MENOR QUE 2,5 M (ACERTO DO SOLO NATURAL). AF_08/2020</v>
      </c>
      <c r="E5127" s="241" t="str">
        <f>VLOOKUP($C5127,'NAO DESO'!$A:$D,3,)</f>
        <v>M2</v>
      </c>
      <c r="F5127" s="242">
        <v>0.64</v>
      </c>
      <c r="G5127" s="242" t="str">
        <f>IF(B5127="SEPLAG",VLOOKUP(CONCATENATE("MEDIANA - ",C5127),COTAÇÃO,5,FALSE),VLOOKUP($C5127,'NAO DESO'!$A:$D,4,))</f>
        <v>2,38</v>
      </c>
      <c r="H5127" s="242">
        <f t="shared" si="294"/>
        <v>1.52</v>
      </c>
      <c r="I5127" s="54" t="str">
        <f>IF(B5127="SEPLAG",VLOOKUP(CONCATENATE("MEDIANA - ",C5127),COTAÇÃO,5,FALSE),VLOOKUP($C5127,DESON!$A:$D,4,))</f>
        <v>2,15</v>
      </c>
      <c r="J5127" s="209">
        <f t="shared" si="295"/>
        <v>1.37</v>
      </c>
    </row>
    <row r="5128" spans="1:10" ht="15" customHeight="1">
      <c r="A5128" s="208" t="s">
        <v>245</v>
      </c>
      <c r="B5128" s="241"/>
      <c r="C5128" s="1181">
        <v>96995</v>
      </c>
      <c r="D5128" s="161" t="str">
        <f>IF(B5128="SEPLAG",VLOOKUP(COMPOSIÇÕES!C5128,'MAPA COMPARATIVO'!A:B,2,FALSE),VLOOKUP(C5128,'NAO DESO'!A:B,2,0))</f>
        <v>REATERRO MANUAL APILOADO COM SOQUETE. AF_10/2017</v>
      </c>
      <c r="E5128" s="241" t="str">
        <f>VLOOKUP($C5128,'NAO DESO'!$A:$D,3,)</f>
        <v>M3</v>
      </c>
      <c r="F5128" s="242">
        <v>0.96</v>
      </c>
      <c r="G5128" s="242" t="str">
        <f>IF(B5128="SEPLAG",VLOOKUP(CONCATENATE("MEDIANA - ",C5128),COTAÇÃO,5,FALSE),VLOOKUP($C5128,'NAO DESO'!$A:$D,4,))</f>
        <v>40,36</v>
      </c>
      <c r="H5128" s="242">
        <f t="shared" si="294"/>
        <v>38.74</v>
      </c>
      <c r="I5128" s="54" t="str">
        <f>IF(B5128="SEPLAG",VLOOKUP(CONCATENATE("MEDIANA - ",C5128),COTAÇÃO,5,FALSE),VLOOKUP($C5128,DESON!$A:$D,4,))</f>
        <v>36,36</v>
      </c>
      <c r="J5128" s="209">
        <f t="shared" si="295"/>
        <v>34.9</v>
      </c>
    </row>
    <row r="5129" spans="1:10" ht="26.25" customHeight="1">
      <c r="A5129" s="208" t="s">
        <v>245</v>
      </c>
      <c r="B5129" s="241"/>
      <c r="C5129" s="1181">
        <v>98557</v>
      </c>
      <c r="D5129" s="161" t="str">
        <f>IF(B5129="SEPLAG",VLOOKUP(COMPOSIÇÕES!C5129,'MAPA COMPARATIVO'!A:B,2,FALSE),VLOOKUP(C5129,'NAO DESO'!A:B,2,0))</f>
        <v>IMPERMEABILIZAÇÃO DE SUPERFÍCIE COM EMULSÃO ASFÁLTICA, 2 DEMÃOS AF_06/2018</v>
      </c>
      <c r="E5129" s="241" t="str">
        <f>VLOOKUP($C5129,'NAO DESO'!$A:$D,3,)</f>
        <v>M2</v>
      </c>
      <c r="F5129" s="242">
        <f>F5124</f>
        <v>4.4800000000000004</v>
      </c>
      <c r="G5129" s="242" t="str">
        <f>IF(B5129="SEPLAG",VLOOKUP(CONCATENATE("MEDIANA - ",C5129),COTAÇÃO,5,FALSE),VLOOKUP($C5129,'NAO DESO'!$A:$D,4,))</f>
        <v>58,82</v>
      </c>
      <c r="H5129" s="242">
        <f t="shared" si="294"/>
        <v>263.51</v>
      </c>
      <c r="I5129" s="54" t="str">
        <f>IF(B5129="SEPLAG",VLOOKUP(CONCATENATE("MEDIANA - ",C5129),COTAÇÃO,5,FALSE),VLOOKUP($C5129,DESON!$A:$D,4,))</f>
        <v>57,84</v>
      </c>
      <c r="J5129" s="209">
        <f t="shared" si="295"/>
        <v>259.12</v>
      </c>
    </row>
    <row r="5130" spans="1:10" ht="26.25" customHeight="1">
      <c r="A5130" s="208" t="s">
        <v>245</v>
      </c>
      <c r="B5130" s="241"/>
      <c r="C5130" s="1181">
        <v>11301</v>
      </c>
      <c r="D5130" s="161" t="str">
        <f>IF(B5130="SEPLAG",VLOOKUP(COMPOSIÇÕES!C5130,'MAPA COMPARATIVO'!A:B,2,FALSE),VLOOKUP(C5130,'NAO DESO'!A:B,2,0))</f>
        <v>TAMPAO FOFO ARTICULADO, CLASSE B125 CARGA MAX 12,5 T, REDONDO, TAMPA 600 MM (COM INSCRICAO EM RELEVO DO TIPO DE REDE)</v>
      </c>
      <c r="E5130" s="241" t="str">
        <f>VLOOKUP($C5130,'NAO DESO'!$A:$D,3,)</f>
        <v xml:space="preserve">UN    </v>
      </c>
      <c r="F5130" s="242">
        <v>1</v>
      </c>
      <c r="G5130" s="242">
        <f>IF(B5130="SEPLAG",VLOOKUP(CONCATENATE("MEDIANA - ",C5130),COTAÇÃO,5,FALSE),VLOOKUP($C5130,'NAO DESO'!$A:$D,4,))</f>
        <v>660.46</v>
      </c>
      <c r="H5130" s="242">
        <f t="shared" si="294"/>
        <v>660.46</v>
      </c>
      <c r="I5130" s="54" t="str">
        <f>IF(B5130="SEPLAG",VLOOKUP(CONCATENATE("MEDIANA - ",C5130),COTAÇÃO,5,FALSE),VLOOKUP($C5130,DESON!$A:$D,4,))</f>
        <v>660,46</v>
      </c>
      <c r="J5130" s="209">
        <f t="shared" si="295"/>
        <v>660.46</v>
      </c>
    </row>
    <row r="5131" spans="1:10" ht="39" customHeight="1">
      <c r="A5131" s="208" t="s">
        <v>245</v>
      </c>
      <c r="B5131" s="241"/>
      <c r="C5131" s="1181">
        <v>92775</v>
      </c>
      <c r="D5131" s="161" t="str">
        <f>IF(B5131="SEPLAG",VLOOKUP(COMPOSIÇÕES!C5131,'MAPA COMPARATIVO'!A:B,2,FALSE),VLOOKUP(C5131,'NAO DESO'!A:B,2,0))</f>
        <v>ARMAÇÃO DE PILAR OU VIGA DE UMA ESTRUTURA CONVENCIONAL DE CONCRETO ARMADO EM UMA EDIFICAÇÃO TÉRREA OU SOBRADO UTILIZANDO AÇO CA-60 DE 5,0 MM - MONTAGEM. AF_12/2015</v>
      </c>
      <c r="E5131" s="241" t="str">
        <f>VLOOKUP($C5131,'NAO DESO'!$A:$D,3,)</f>
        <v>KG</v>
      </c>
      <c r="F5131" s="242">
        <v>1.29</v>
      </c>
      <c r="G5131" s="242" t="str">
        <f>IF(B5131="SEPLAG",VLOOKUP(CONCATENATE("MEDIANA - ",C5131),COTAÇÃO,5,FALSE),VLOOKUP($C5131,'NAO DESO'!$A:$D,4,))</f>
        <v>18,46</v>
      </c>
      <c r="H5131" s="242">
        <f t="shared" si="294"/>
        <v>23.81</v>
      </c>
      <c r="I5131" s="54" t="str">
        <f>IF(B5131="SEPLAG",VLOOKUP(CONCATENATE("MEDIANA - ",C5131),COTAÇÃO,5,FALSE),VLOOKUP($C5131,DESON!$A:$D,4,))</f>
        <v>17,71</v>
      </c>
      <c r="J5131" s="209">
        <f t="shared" si="295"/>
        <v>22.84</v>
      </c>
    </row>
    <row r="5132" spans="1:10" ht="39" customHeight="1">
      <c r="A5132" s="208" t="s">
        <v>245</v>
      </c>
      <c r="B5132" s="241"/>
      <c r="C5132" s="1181">
        <v>92778</v>
      </c>
      <c r="D5132" s="161" t="str">
        <f>IF(B5132="SEPLAG",VLOOKUP(COMPOSIÇÕES!C5132,'MAPA COMPARATIVO'!A:B,2,FALSE),VLOOKUP(C5132,'NAO DESO'!A:B,2,0))</f>
        <v>ARMAÇÃO DE PILAR OU VIGA DE UMA ESTRUTURA CONVENCIONAL DE CONCRETO ARMADO EM UMA EDIFICAÇÃO TÉRREA OU SOBRADO UTILIZANDO AÇO CA-50 DE 10,0 MM - MONTAGEM. AF_12/2015</v>
      </c>
      <c r="E5132" s="241" t="str">
        <f>VLOOKUP($C5132,'NAO DESO'!$A:$D,3,)</f>
        <v>KG</v>
      </c>
      <c r="F5132" s="242">
        <v>6.91</v>
      </c>
      <c r="G5132" s="242" t="str">
        <f>IF(B5132="SEPLAG",VLOOKUP(CONCATENATE("MEDIANA - ",C5132),COTAÇÃO,5,FALSE),VLOOKUP($C5132,'NAO DESO'!$A:$D,4,))</f>
        <v>14,78</v>
      </c>
      <c r="H5132" s="242">
        <f t="shared" si="294"/>
        <v>102.12</v>
      </c>
      <c r="I5132" s="54" t="str">
        <f>IF(B5132="SEPLAG",VLOOKUP(CONCATENATE("MEDIANA - ",C5132),COTAÇÃO,5,FALSE),VLOOKUP($C5132,DESON!$A:$D,4,))</f>
        <v>14,50</v>
      </c>
      <c r="J5132" s="209">
        <f t="shared" si="295"/>
        <v>100.19</v>
      </c>
    </row>
    <row r="5133" spans="1:10" ht="39" customHeight="1">
      <c r="A5133" s="208" t="s">
        <v>245</v>
      </c>
      <c r="B5133" s="241"/>
      <c r="C5133" s="1181">
        <v>92423</v>
      </c>
      <c r="D5133" s="161" t="str">
        <f>IF(B5133="SEPLAG",VLOOKUP(COMPOSIÇÕES!C5133,'MAPA COMPARATIVO'!A:B,2,FALSE),VLOOKUP(C5133,'NAO DESO'!A:B,2,0))</f>
        <v>MONTAGEM E DESMONTAGEM DE FÔRMA DE PILARES RETANGULARES E ESTRUTURAS SIMILARES, PÉ-DIREITO SIMPLES, EM CHAPA DE MADEIRA COMPENSADA RESINADA, 6 UTILIZAÇÕES. AF_09/2020</v>
      </c>
      <c r="E5133" s="241" t="str">
        <f>VLOOKUP($C5133,'NAO DESO'!$A:$D,3,)</f>
        <v>M2</v>
      </c>
      <c r="F5133" s="242">
        <v>0.84</v>
      </c>
      <c r="G5133" s="242" t="str">
        <f>IF(B5133="SEPLAG",VLOOKUP(CONCATENATE("MEDIANA - ",C5133),COTAÇÃO,5,FALSE),VLOOKUP($C5133,'NAO DESO'!$A:$D,4,))</f>
        <v>67,90</v>
      </c>
      <c r="H5133" s="242">
        <f t="shared" si="294"/>
        <v>57.03</v>
      </c>
      <c r="I5133" s="54" t="str">
        <f>IF(B5133="SEPLAG",VLOOKUP(CONCATENATE("MEDIANA - ",C5133),COTAÇÃO,5,FALSE),VLOOKUP($C5133,DESON!$A:$D,4,))</f>
        <v>65,30</v>
      </c>
      <c r="J5133" s="209">
        <f t="shared" si="295"/>
        <v>54.85</v>
      </c>
    </row>
    <row r="5134" spans="1:10" ht="15" customHeight="1">
      <c r="A5134" s="208" t="s">
        <v>245</v>
      </c>
      <c r="B5134" s="241"/>
      <c r="C5134" s="1181">
        <v>88309</v>
      </c>
      <c r="D5134" s="161" t="str">
        <f>IF(B5134="SEPLAG",VLOOKUP(COMPOSIÇÕES!C5134,'MAPA COMPARATIVO'!A:B,2,FALSE),VLOOKUP(C5134,'NAO DESO'!A:B,2,0))</f>
        <v>PEDREIRO COM ENCARGOS COMPLEMENTARES</v>
      </c>
      <c r="E5134" s="241" t="str">
        <f>VLOOKUP($C5134,'NAO DESO'!$A:$D,3,)</f>
        <v>H</v>
      </c>
      <c r="F5134" s="242">
        <v>1</v>
      </c>
      <c r="G5134" s="242" t="str">
        <f>IF(B5134="SEPLAG",VLOOKUP(CONCATENATE("MEDIANA - ",C5134),COTAÇÃO,5,FALSE),VLOOKUP($C5134,'NAO DESO'!$A:$D,4,))</f>
        <v>21,10</v>
      </c>
      <c r="H5134" s="242">
        <f t="shared" si="294"/>
        <v>21.1</v>
      </c>
      <c r="I5134" s="54" t="str">
        <f>IF(B5134="SEPLAG",VLOOKUP(CONCATENATE("MEDIANA - ",C5134),COTAÇÃO,5,FALSE),VLOOKUP($C5134,DESON!$A:$D,4,))</f>
        <v>18,86</v>
      </c>
      <c r="J5134" s="209">
        <f t="shared" si="295"/>
        <v>18.86</v>
      </c>
    </row>
    <row r="5135" spans="1:10" ht="15" customHeight="1">
      <c r="A5135" s="208" t="s">
        <v>245</v>
      </c>
      <c r="B5135" s="241"/>
      <c r="C5135" s="1181">
        <v>88316</v>
      </c>
      <c r="D5135" s="161" t="str">
        <f>IF(B5135="SEPLAG",VLOOKUP(COMPOSIÇÕES!C5135,'MAPA COMPARATIVO'!A:B,2,FALSE),VLOOKUP(C5135,'NAO DESO'!A:B,2,0))</f>
        <v>SERVENTE COM ENCARGOS COMPLEMENTARES</v>
      </c>
      <c r="E5135" s="241" t="str">
        <f>VLOOKUP($C5135,'NAO DESO'!$A:$D,3,)</f>
        <v>H</v>
      </c>
      <c r="F5135" s="242">
        <v>1</v>
      </c>
      <c r="G5135" s="242" t="str">
        <f>IF(B5135="SEPLAG",VLOOKUP(CONCATENATE("MEDIANA - ",C5135),COTAÇÃO,5,FALSE),VLOOKUP($C5135,'NAO DESO'!$A:$D,4,))</f>
        <v>16,83</v>
      </c>
      <c r="H5135" s="242">
        <f t="shared" si="294"/>
        <v>16.829999999999998</v>
      </c>
      <c r="I5135" s="54" t="str">
        <f>IF(B5135="SEPLAG",VLOOKUP(CONCATENATE("MEDIANA - ",C5135),COTAÇÃO,5,FALSE),VLOOKUP($C5135,DESON!$A:$D,4,))</f>
        <v>15,16</v>
      </c>
      <c r="J5135" s="209">
        <f t="shared" si="295"/>
        <v>15.16</v>
      </c>
    </row>
    <row r="5136" spans="1:10" ht="15" customHeight="1">
      <c r="A5136" s="210" t="str">
        <f>CONCATENATE("TOTAL DO ITEM NÃO DESON. - ",C5120)</f>
        <v>TOTAL DO ITEM NÃO DESON. - SEPLAG HIDR 69</v>
      </c>
      <c r="B5136" s="430"/>
      <c r="C5136" s="430"/>
      <c r="D5136" s="430"/>
      <c r="E5136" s="430"/>
      <c r="F5136" s="1180"/>
      <c r="G5136" s="1180"/>
      <c r="H5136" s="1182">
        <f>SUM(H5123:H5135)</f>
        <v>1501.6699999999998</v>
      </c>
      <c r="I5136" s="231"/>
      <c r="J5136" s="215"/>
    </row>
    <row r="5137" spans="1:10" ht="15.75" customHeight="1" thickBot="1">
      <c r="A5137" s="216" t="str">
        <f>CONCATENATE("TOTAL DO ITEM DESON. - ",C5120)</f>
        <v>TOTAL DO ITEM DESON. - SEPLAG HIDR 69</v>
      </c>
      <c r="B5137" s="1142"/>
      <c r="C5137" s="1142"/>
      <c r="D5137" s="1142"/>
      <c r="E5137" s="1142"/>
      <c r="F5137" s="1211"/>
      <c r="G5137" s="1211"/>
      <c r="H5137" s="1187"/>
      <c r="I5137" s="260"/>
      <c r="J5137" s="219">
        <f>SUM(J5123:J5135)</f>
        <v>1468.61</v>
      </c>
    </row>
    <row r="5138" spans="1:10" ht="15" customHeight="1" thickBot="1">
      <c r="A5138" s="421"/>
      <c r="B5138" s="1138"/>
      <c r="C5138" s="1138"/>
      <c r="D5138" s="1138"/>
      <c r="E5138" s="1154"/>
      <c r="F5138" s="1196"/>
      <c r="G5138" s="1196"/>
      <c r="H5138" s="1196"/>
      <c r="I5138" s="422"/>
      <c r="J5138" s="422"/>
    </row>
    <row r="5139" spans="1:10" ht="25.5" customHeight="1">
      <c r="A5139" s="256"/>
      <c r="B5139" s="1152"/>
      <c r="C5139" s="1176" t="s">
        <v>13103</v>
      </c>
      <c r="D5139" s="156" t="s">
        <v>13101</v>
      </c>
      <c r="E5139" s="1176" t="s">
        <v>40</v>
      </c>
      <c r="F5139" s="1177" t="s">
        <v>18</v>
      </c>
      <c r="G5139" s="1178" t="s">
        <v>7015</v>
      </c>
      <c r="H5139" s="1179"/>
      <c r="I5139" s="200" t="s">
        <v>7016</v>
      </c>
      <c r="J5139" s="201"/>
    </row>
    <row r="5140" spans="1:10" ht="15" customHeight="1">
      <c r="A5140" s="257"/>
      <c r="B5140" s="430"/>
      <c r="C5140" s="1155"/>
      <c r="D5140" s="157"/>
      <c r="E5140" s="1155"/>
      <c r="F5140" s="1180"/>
      <c r="G5140" s="1180" t="s">
        <v>19</v>
      </c>
      <c r="H5140" s="1180" t="s">
        <v>20</v>
      </c>
      <c r="I5140" s="204" t="s">
        <v>19</v>
      </c>
      <c r="J5140" s="206" t="s">
        <v>20</v>
      </c>
    </row>
    <row r="5141" spans="1:10" ht="25.5" customHeight="1">
      <c r="A5141" s="258"/>
      <c r="B5141" s="1155"/>
      <c r="C5141" s="241" t="s">
        <v>180</v>
      </c>
      <c r="D5141" s="1132" t="s">
        <v>13102</v>
      </c>
      <c r="E5141" s="1155"/>
      <c r="F5141" s="1180"/>
      <c r="G5141" s="1180"/>
      <c r="H5141" s="1180"/>
      <c r="I5141" s="238"/>
      <c r="J5141" s="259"/>
    </row>
    <row r="5142" spans="1:10" ht="26.25" customHeight="1">
      <c r="A5142" s="208" t="s">
        <v>245</v>
      </c>
      <c r="B5142" s="241"/>
      <c r="C5142" s="1181">
        <v>88267</v>
      </c>
      <c r="D5142" s="161" t="str">
        <f>IF(B5142="SEPLAG",VLOOKUP(COMPOSIÇÕES!C5142,'MAPA COMPARATIVO'!A:B,2,FALSE),VLOOKUP(C5142,'NAO DESO'!A:B,2,0))</f>
        <v>ENCANADOR OU BOMBEIRO HIDRÁULICO COM ENCARGOS COMPLEMENTARES</v>
      </c>
      <c r="E5142" s="241" t="str">
        <f>VLOOKUP($C5142,'NAO DESO'!$A:$D,3,)</f>
        <v>H</v>
      </c>
      <c r="F5142" s="242">
        <v>0.39100000000000001</v>
      </c>
      <c r="G5142" s="242" t="str">
        <f>IF(B5142="SEPLAG",VLOOKUP(CONCATENATE("MEDIANA - ",C5142),COTAÇÃO,5,FALSE),VLOOKUP($C5142,'NAO DESO'!$A:$D,4,))</f>
        <v>21,03</v>
      </c>
      <c r="H5142" s="242">
        <f>TRUNC(F5142*G5142,2)</f>
        <v>8.2200000000000006</v>
      </c>
      <c r="I5142" s="54" t="str">
        <f>IF(B5142="SEPLAG",VLOOKUP(CONCATENATE("MEDIANA - ",C5142),COTAÇÃO,5,FALSE),VLOOKUP($C5142,DESON!$A:$D,4,))</f>
        <v>18,72</v>
      </c>
      <c r="J5142" s="209">
        <f>TRUNC(F5142*I5142,2)</f>
        <v>7.31</v>
      </c>
    </row>
    <row r="5143" spans="1:10" ht="26.25" customHeight="1">
      <c r="A5143" s="208" t="s">
        <v>245</v>
      </c>
      <c r="B5143" s="241"/>
      <c r="C5143" s="1181">
        <v>88248</v>
      </c>
      <c r="D5143" s="161" t="str">
        <f>IF(B5143="SEPLAG",VLOOKUP(COMPOSIÇÕES!C5143,'MAPA COMPARATIVO'!A:B,2,FALSE),VLOOKUP(C5143,'NAO DESO'!A:B,2,0))</f>
        <v>AUXILIAR DE ENCANADOR OU BOMBEIRO HIDRÁULICO COM ENCARGOS COMPLEMENTARES</v>
      </c>
      <c r="E5143" s="241" t="str">
        <f>VLOOKUP($C5143,'NAO DESO'!$A:$D,3,)</f>
        <v>H</v>
      </c>
      <c r="F5143" s="242">
        <v>5.5E-2</v>
      </c>
      <c r="G5143" s="242" t="str">
        <f>IF(B5143="SEPLAG",VLOOKUP(CONCATENATE("MEDIANA - ",C5143),COTAÇÃO,5,FALSE),VLOOKUP($C5143,'NAO DESO'!$A:$D,4,))</f>
        <v>17,33</v>
      </c>
      <c r="H5143" s="242">
        <f>TRUNC(F5143*G5143,2)</f>
        <v>0.95</v>
      </c>
      <c r="I5143" s="54" t="str">
        <f>IF(B5143="SEPLAG",VLOOKUP(CONCATENATE("MEDIANA - ",C5143),COTAÇÃO,5,FALSE),VLOOKUP($C5143,DESON!$A:$D,4,))</f>
        <v>15,54</v>
      </c>
      <c r="J5143" s="209">
        <f>TRUNC(F5143*I5143,2)</f>
        <v>0.85</v>
      </c>
    </row>
    <row r="5144" spans="1:10" ht="26.25" customHeight="1">
      <c r="A5144" s="208" t="s">
        <v>39</v>
      </c>
      <c r="B5144" s="241"/>
      <c r="C5144" s="1181">
        <v>87410</v>
      </c>
      <c r="D5144" s="161" t="str">
        <f>IF(B5144="SEPLAG",VLOOKUP(COMPOSIÇÕES!C5144,'MAPA COMPARATIVO'!A:B,2,FALSE),VLOOKUP(C5144,'NAO DESO'!A:B,2,0))</f>
        <v>ARGAMASSA À BASE DE GESSO, MISTURA E PROJEÇÃO DE 1,5 M³/H DE ARGAMASSA. AF_08/2019</v>
      </c>
      <c r="E5144" s="241" t="str">
        <f>VLOOKUP($C5144,'NAO DESO'!$A:$D,3,)</f>
        <v>M3</v>
      </c>
      <c r="F5144" s="242">
        <v>3.0000000000000001E-3</v>
      </c>
      <c r="G5144" s="242" t="str">
        <f>IF(B5144="SEPLAG",VLOOKUP(CONCATENATE("MEDIANA - ",C5144),COTAÇÃO,5,FALSE),VLOOKUP($C5144,'NAO DESO'!$A:$D,4,))</f>
        <v>854,55</v>
      </c>
      <c r="H5144" s="242">
        <f>TRUNC(F5144*G5144,2)</f>
        <v>2.56</v>
      </c>
      <c r="I5144" s="54" t="str">
        <f>IF(B5144="SEPLAG",VLOOKUP(CONCATENATE("MEDIANA - ",C5144),COTAÇÃO,5,FALSE),VLOOKUP($C5144,DESON!$A:$D,4,))</f>
        <v>845,21</v>
      </c>
      <c r="J5144" s="209">
        <f>TRUNC(F5144*I5144,2)</f>
        <v>2.5299999999999998</v>
      </c>
    </row>
    <row r="5145" spans="1:10" ht="15" customHeight="1">
      <c r="A5145" s="210" t="str">
        <f>CONCATENATE("TOTAL DO ITEM NÃO DESON. - ",C5139)</f>
        <v>TOTAL DO ITEM NÃO DESON. - SEPLAG HIDR 70</v>
      </c>
      <c r="B5145" s="430"/>
      <c r="C5145" s="430"/>
      <c r="D5145" s="430"/>
      <c r="E5145" s="430"/>
      <c r="F5145" s="1180"/>
      <c r="G5145" s="1180"/>
      <c r="H5145" s="1182">
        <f>SUM(H5142:H5144)</f>
        <v>11.73</v>
      </c>
      <c r="I5145" s="231"/>
      <c r="J5145" s="215"/>
    </row>
    <row r="5146" spans="1:10" ht="15.75" customHeight="1" thickBot="1">
      <c r="A5146" s="216" t="str">
        <f>CONCATENATE("TOTAL DO ITEM DESON. - ",C5139)</f>
        <v>TOTAL DO ITEM DESON. - SEPLAG HIDR 70</v>
      </c>
      <c r="B5146" s="1142"/>
      <c r="C5146" s="1142"/>
      <c r="D5146" s="1142"/>
      <c r="E5146" s="1142"/>
      <c r="F5146" s="1211"/>
      <c r="G5146" s="1211"/>
      <c r="H5146" s="1187"/>
      <c r="I5146" s="260"/>
      <c r="J5146" s="219">
        <f>SUM(J5142:J5144)</f>
        <v>10.69</v>
      </c>
    </row>
    <row r="5147" spans="1:10" ht="15" customHeight="1" thickBot="1">
      <c r="A5147" s="476"/>
      <c r="B5147" s="1159"/>
      <c r="C5147" s="1159"/>
      <c r="D5147" s="1159"/>
      <c r="E5147" s="1237"/>
      <c r="F5147" s="1238"/>
      <c r="G5147" s="1238"/>
      <c r="H5147" s="1238"/>
      <c r="I5147" s="477"/>
      <c r="J5147" s="477"/>
    </row>
    <row r="5148" spans="1:10" ht="25.5" customHeight="1">
      <c r="A5148" s="256"/>
      <c r="B5148" s="1152"/>
      <c r="C5148" s="1176" t="s">
        <v>14513</v>
      </c>
      <c r="D5148" s="156" t="s">
        <v>13105</v>
      </c>
      <c r="E5148" s="1176" t="s">
        <v>24</v>
      </c>
      <c r="F5148" s="1177" t="s">
        <v>18</v>
      </c>
      <c r="G5148" s="1178" t="s">
        <v>7015</v>
      </c>
      <c r="H5148" s="1179"/>
      <c r="I5148" s="200" t="s">
        <v>7016</v>
      </c>
      <c r="J5148" s="201"/>
    </row>
    <row r="5149" spans="1:10" ht="15" customHeight="1">
      <c r="A5149" s="257"/>
      <c r="B5149" s="430"/>
      <c r="C5149" s="1155"/>
      <c r="D5149" s="157"/>
      <c r="E5149" s="1155"/>
      <c r="F5149" s="1180"/>
      <c r="G5149" s="1180" t="s">
        <v>19</v>
      </c>
      <c r="H5149" s="1180" t="s">
        <v>20</v>
      </c>
      <c r="I5149" s="204" t="s">
        <v>19</v>
      </c>
      <c r="J5149" s="206" t="s">
        <v>20</v>
      </c>
    </row>
    <row r="5150" spans="1:10" ht="15" customHeight="1">
      <c r="A5150" s="258"/>
      <c r="B5150" s="1155"/>
      <c r="C5150" s="241" t="s">
        <v>13052</v>
      </c>
      <c r="D5150" s="1132" t="s">
        <v>13104</v>
      </c>
      <c r="E5150" s="1155"/>
      <c r="F5150" s="1180"/>
      <c r="G5150" s="1180"/>
      <c r="H5150" s="1180"/>
      <c r="I5150" s="238"/>
      <c r="J5150" s="259"/>
    </row>
    <row r="5151" spans="1:10" ht="26.25" customHeight="1">
      <c r="A5151" s="208" t="s">
        <v>245</v>
      </c>
      <c r="B5151" s="241"/>
      <c r="C5151" s="1181">
        <v>88267</v>
      </c>
      <c r="D5151" s="161" t="str">
        <f>IF(B5151="SEPLAG",VLOOKUP(COMPOSIÇÕES!C5151,'MAPA COMPARATIVO'!A:B,2,FALSE),VLOOKUP(C5151,'NAO DESO'!A:B,2,0))</f>
        <v>ENCANADOR OU BOMBEIRO HIDRÁULICO COM ENCARGOS COMPLEMENTARES</v>
      </c>
      <c r="E5151" s="241" t="str">
        <f>VLOOKUP($C5151,'NAO DESO'!$A:$D,3,)</f>
        <v>H</v>
      </c>
      <c r="F5151" s="242">
        <v>0.18</v>
      </c>
      <c r="G5151" s="242" t="str">
        <f>IF(B5151="SEPLAG",VLOOKUP(CONCATENATE("MEDIANA - ",C5151),COTAÇÃO,5,FALSE),VLOOKUP($C5151,'NAO DESO'!$A:$D,4,))</f>
        <v>21,03</v>
      </c>
      <c r="H5151" s="242">
        <f>TRUNC(F5151*G5151,2)</f>
        <v>3.78</v>
      </c>
      <c r="I5151" s="54" t="str">
        <f>IF(B5151="SEPLAG",VLOOKUP(CONCATENATE("MEDIANA - ",C5151),COTAÇÃO,5,FALSE),VLOOKUP($C5151,DESON!$A:$D,4,))</f>
        <v>18,72</v>
      </c>
      <c r="J5151" s="209">
        <f>TRUNC(F5151*I5151,2)</f>
        <v>3.36</v>
      </c>
    </row>
    <row r="5152" spans="1:10" ht="15" customHeight="1">
      <c r="A5152" s="208" t="s">
        <v>245</v>
      </c>
      <c r="B5152" s="241"/>
      <c r="C5152" s="1181">
        <v>88316</v>
      </c>
      <c r="D5152" s="161" t="str">
        <f>IF(B5152="SEPLAG",VLOOKUP(COMPOSIÇÕES!C5152,'MAPA COMPARATIVO'!A:B,2,FALSE),VLOOKUP(C5152,'NAO DESO'!A:B,2,0))</f>
        <v>SERVENTE COM ENCARGOS COMPLEMENTARES</v>
      </c>
      <c r="E5152" s="241" t="str">
        <f>VLOOKUP($C5152,'NAO DESO'!$A:$D,3,)</f>
        <v>H</v>
      </c>
      <c r="F5152" s="242">
        <v>0.18</v>
      </c>
      <c r="G5152" s="242" t="str">
        <f>IF(B5152="SEPLAG",VLOOKUP(CONCATENATE("MEDIANA - ",C5152),COTAÇÃO,5,FALSE),VLOOKUP($C5152,'NAO DESO'!$A:$D,4,))</f>
        <v>16,83</v>
      </c>
      <c r="H5152" s="242">
        <f>TRUNC(F5152*G5152,2)</f>
        <v>3.02</v>
      </c>
      <c r="I5152" s="54" t="str">
        <f>IF(B5152="SEPLAG",VLOOKUP(CONCATENATE("MEDIANA - ",C5152),COTAÇÃO,5,FALSE),VLOOKUP($C5152,DESON!$A:$D,4,))</f>
        <v>15,16</v>
      </c>
      <c r="J5152" s="209">
        <f>TRUNC(F5152*I5152,2)</f>
        <v>2.72</v>
      </c>
    </row>
    <row r="5153" spans="1:10" ht="15" customHeight="1">
      <c r="A5153" s="208" t="s">
        <v>39</v>
      </c>
      <c r="B5153" s="241"/>
      <c r="C5153" s="1181">
        <v>20083</v>
      </c>
      <c r="D5153" s="161" t="str">
        <f>IF(B5153="SEPLAG",VLOOKUP(COMPOSIÇÕES!C5153,'MAPA COMPARATIVO'!A:B,2,FALSE),VLOOKUP(C5153,'NAO DESO'!A:B,2,0))</f>
        <v>SOLUCAO PREPARADORA / LIMPADORA PARA PVC, FRASCO COM 1000 CM3</v>
      </c>
      <c r="E5153" s="241" t="str">
        <f>VLOOKUP($C5153,'NAO DESO'!$A:$D,3,)</f>
        <v xml:space="preserve">UN    </v>
      </c>
      <c r="F5153" s="242">
        <v>0.01</v>
      </c>
      <c r="G5153" s="242">
        <f>IF(B5153="SEPLAG",VLOOKUP(CONCATENATE("MEDIANA - ",C5153),COTAÇÃO,5,FALSE),VLOOKUP($C5153,'NAO DESO'!$A:$D,4,))</f>
        <v>87.17</v>
      </c>
      <c r="H5153" s="242">
        <f>TRUNC(F5153*G5153,2)</f>
        <v>0.87</v>
      </c>
      <c r="I5153" s="54" t="str">
        <f>IF(B5153="SEPLAG",VLOOKUP(CONCATENATE("MEDIANA - ",C5153),COTAÇÃO,5,FALSE),VLOOKUP($C5153,DESON!$A:$D,4,))</f>
        <v>87,17</v>
      </c>
      <c r="J5153" s="209">
        <f>TRUNC(F5153*I5153,2)</f>
        <v>0.87</v>
      </c>
    </row>
    <row r="5154" spans="1:10" ht="15" customHeight="1">
      <c r="A5154" s="208" t="s">
        <v>39</v>
      </c>
      <c r="B5154" s="241"/>
      <c r="C5154" s="1181">
        <v>122</v>
      </c>
      <c r="D5154" s="161" t="str">
        <f>IF(B5154="SEPLAG",VLOOKUP(COMPOSIÇÕES!C5154,'MAPA COMPARATIVO'!A:B,2,FALSE),VLOOKUP(C5154,'NAO DESO'!A:B,2,0))</f>
        <v>ADESIVO PLASTICO PARA PVC, FRASCO COM *850* GR</v>
      </c>
      <c r="E5154" s="241" t="str">
        <f>VLOOKUP($C5154,'NAO DESO'!$A:$D,3,)</f>
        <v xml:space="preserve">UN    </v>
      </c>
      <c r="F5154" s="242">
        <v>6.0000000000000001E-3</v>
      </c>
      <c r="G5154" s="242">
        <f>IF(B5154="SEPLAG",VLOOKUP(CONCATENATE("MEDIANA - ",C5154),COTAÇÃO,5,FALSE),VLOOKUP($C5154,'NAO DESO'!$A:$D,4,))</f>
        <v>76.94</v>
      </c>
      <c r="H5154" s="242">
        <f>TRUNC(F5154*G5154,2)</f>
        <v>0.46</v>
      </c>
      <c r="I5154" s="54" t="str">
        <f>IF(B5154="SEPLAG",VLOOKUP(CONCATENATE("MEDIANA - ",C5154),COTAÇÃO,5,FALSE),VLOOKUP($C5154,DESON!$A:$D,4,))</f>
        <v>76,94</v>
      </c>
      <c r="J5154" s="209">
        <f>TRUNC(F5154*I5154,2)</f>
        <v>0.46</v>
      </c>
    </row>
    <row r="5155" spans="1:10" ht="26.25" customHeight="1">
      <c r="A5155" s="208" t="s">
        <v>39</v>
      </c>
      <c r="B5155" s="241"/>
      <c r="C5155" s="1181">
        <v>3538</v>
      </c>
      <c r="D5155" s="161" t="str">
        <f>IF(B5155="SEPLAG",VLOOKUP(COMPOSIÇÕES!C5155,'MAPA COMPARATIVO'!A:B,2,FALSE),VLOOKUP(C5155,'NAO DESO'!A:B,2,0))</f>
        <v>JOELHO DE REDUCAO, PVC SOLDAVEL, 90 GRAUS,  32 MM X 25 MM, PARA AGUA FRIA PREDIAL</v>
      </c>
      <c r="E5155" s="241" t="str">
        <f>VLOOKUP($C5155,'NAO DESO'!$A:$D,3,)</f>
        <v xml:space="preserve">UN    </v>
      </c>
      <c r="F5155" s="242">
        <v>1</v>
      </c>
      <c r="G5155" s="242">
        <f>IF(B5155="SEPLAG",VLOOKUP(CONCATENATE("MEDIANA - ",C5155),COTAÇÃO,5,FALSE),VLOOKUP($C5155,'NAO DESO'!$A:$D,4,))</f>
        <v>4.2300000000000004</v>
      </c>
      <c r="H5155" s="242">
        <f>TRUNC(F5155*G5155,2)</f>
        <v>4.2300000000000004</v>
      </c>
      <c r="I5155" s="54" t="str">
        <f>IF(B5155="SEPLAG",VLOOKUP(CONCATENATE("MEDIANA - ",C5155),COTAÇÃO,5,FALSE),VLOOKUP($C5155,DESON!$A:$D,4,))</f>
        <v>4,23</v>
      </c>
      <c r="J5155" s="209">
        <f>TRUNC(F5155*I5155,2)</f>
        <v>4.2300000000000004</v>
      </c>
    </row>
    <row r="5156" spans="1:10" ht="15" customHeight="1">
      <c r="A5156" s="210" t="str">
        <f>CONCATENATE("TOTAL DO ITEM NÃO DESON. - ",C5148)</f>
        <v>TOTAL DO ITEM NÃO DESON. - SEPLAG HIDR 71</v>
      </c>
      <c r="B5156" s="430"/>
      <c r="C5156" s="430"/>
      <c r="D5156" s="430"/>
      <c r="E5156" s="430"/>
      <c r="F5156" s="1180"/>
      <c r="G5156" s="1180"/>
      <c r="H5156" s="1182">
        <f>SUM(H5151:H5155)</f>
        <v>12.360000000000001</v>
      </c>
      <c r="I5156" s="231"/>
      <c r="J5156" s="215"/>
    </row>
    <row r="5157" spans="1:10" ht="15.75" customHeight="1" thickBot="1">
      <c r="A5157" s="216" t="str">
        <f>CONCATENATE("TOTAL DO ITEM DESON. - ",C5148)</f>
        <v>TOTAL DO ITEM DESON. - SEPLAG HIDR 71</v>
      </c>
      <c r="B5157" s="1142"/>
      <c r="C5157" s="1142"/>
      <c r="D5157" s="1142"/>
      <c r="E5157" s="1142"/>
      <c r="F5157" s="1211"/>
      <c r="G5157" s="1211"/>
      <c r="H5157" s="1187"/>
      <c r="I5157" s="260"/>
      <c r="J5157" s="219">
        <f>SUM(J5151:J5155)</f>
        <v>11.64</v>
      </c>
    </row>
    <row r="5158" spans="1:10" ht="15" customHeight="1" thickBot="1">
      <c r="A5158" s="457"/>
      <c r="B5158" s="1150"/>
      <c r="C5158" s="1150"/>
      <c r="D5158" s="1150"/>
      <c r="E5158" s="1223"/>
      <c r="F5158" s="1224"/>
      <c r="G5158" s="1224"/>
      <c r="H5158" s="1224"/>
      <c r="I5158" s="459"/>
      <c r="J5158" s="458"/>
    </row>
    <row r="5159" spans="1:10" ht="15.75" customHeight="1" thickBot="1">
      <c r="A5159" s="413" t="s">
        <v>7509</v>
      </c>
      <c r="B5159" s="1130"/>
      <c r="C5159" s="1130"/>
      <c r="D5159" s="1130"/>
      <c r="E5159" s="1130"/>
      <c r="F5159" s="1173"/>
      <c r="G5159" s="1173"/>
      <c r="H5159" s="1173"/>
      <c r="I5159" s="414"/>
      <c r="J5159" s="415"/>
    </row>
    <row r="5160" spans="1:10" ht="15" customHeight="1" thickBot="1">
      <c r="A5160" s="478"/>
      <c r="B5160" s="1160"/>
      <c r="C5160" s="1160"/>
      <c r="D5160" s="1160"/>
      <c r="E5160" s="1239"/>
      <c r="F5160" s="1240"/>
      <c r="G5160" s="1240"/>
      <c r="H5160" s="1240"/>
      <c r="I5160" s="479"/>
      <c r="J5160" s="479"/>
    </row>
    <row r="5161" spans="1:10" ht="15" customHeight="1">
      <c r="A5161" s="256"/>
      <c r="B5161" s="1152"/>
      <c r="C5161" s="1176" t="s">
        <v>7534</v>
      </c>
      <c r="D5161" s="156" t="s">
        <v>13182</v>
      </c>
      <c r="E5161" s="1176" t="s">
        <v>24</v>
      </c>
      <c r="F5161" s="1177" t="s">
        <v>18</v>
      </c>
      <c r="G5161" s="1178" t="s">
        <v>7015</v>
      </c>
      <c r="H5161" s="1179"/>
      <c r="I5161" s="200" t="s">
        <v>7016</v>
      </c>
      <c r="J5161" s="201"/>
    </row>
    <row r="5162" spans="1:10" ht="15" customHeight="1">
      <c r="A5162" s="257"/>
      <c r="B5162" s="430"/>
      <c r="C5162" s="1155"/>
      <c r="D5162" s="157"/>
      <c r="E5162" s="1155"/>
      <c r="F5162" s="1180"/>
      <c r="G5162" s="1180" t="s">
        <v>19</v>
      </c>
      <c r="H5162" s="1180" t="s">
        <v>20</v>
      </c>
      <c r="I5162" s="204" t="s">
        <v>19</v>
      </c>
      <c r="J5162" s="206" t="s">
        <v>20</v>
      </c>
    </row>
    <row r="5163" spans="1:10" ht="15" customHeight="1">
      <c r="A5163" s="258"/>
      <c r="B5163" s="1155"/>
      <c r="C5163" s="1155"/>
      <c r="D5163" s="157"/>
      <c r="E5163" s="1155"/>
      <c r="F5163" s="1180"/>
      <c r="G5163" s="1180"/>
      <c r="H5163" s="1180"/>
      <c r="I5163" s="238"/>
      <c r="J5163" s="259"/>
    </row>
    <row r="5164" spans="1:10" ht="15" customHeight="1">
      <c r="A5164" s="208" t="s">
        <v>39</v>
      </c>
      <c r="B5164" s="241" t="s">
        <v>14504</v>
      </c>
      <c r="C5164" s="241" t="s">
        <v>14489</v>
      </c>
      <c r="D5164" s="161" t="str">
        <f>IF(B5164="SEPLAG",VLOOKUP(COMPOSIÇÕES!C5164,'MAPA COMPARATIVO'!A:B,2,FALSE),VLOOKUP(C5164,'NAO DESO'!A:B,2,0))</f>
        <v>MAPA TÁTIL C/ PEDESTAL EM AÇO(40X60).</v>
      </c>
      <c r="E5164" s="241" t="s">
        <v>24</v>
      </c>
      <c r="F5164" s="242">
        <v>1</v>
      </c>
      <c r="G5164" s="242">
        <f>IF(B5164="SEPLAG",VLOOKUP(CONCATENATE("MEDIANA - ",C5164),COTAÇÃO,5,FALSE),VLOOKUP($C5164,'NAO DESO'!$A:$D,4,))</f>
        <v>1440</v>
      </c>
      <c r="H5164" s="242">
        <f>TRUNC(F5164*G5164,2)</f>
        <v>1440</v>
      </c>
      <c r="I5164" s="54">
        <f>IF(B5164="SEPLAG",VLOOKUP(CONCATENATE("MEDIANA - ",C5164),COTAÇÃO,5,FALSE),VLOOKUP($C5164,DESON!$A:$D,4,))</f>
        <v>1440</v>
      </c>
      <c r="J5164" s="209">
        <f>TRUNC(F5164*I5164,2)</f>
        <v>1440</v>
      </c>
    </row>
    <row r="5165" spans="1:10" ht="15" customHeight="1">
      <c r="A5165" s="208" t="s">
        <v>245</v>
      </c>
      <c r="B5165" s="241"/>
      <c r="C5165" s="1181">
        <v>88309</v>
      </c>
      <c r="D5165" s="161" t="str">
        <f>IF(B5165="SEPLAG",VLOOKUP(COMPOSIÇÕES!C5165,'MAPA COMPARATIVO'!A:B,2,FALSE),VLOOKUP(C5165,'NAO DESO'!A:B,2,0))</f>
        <v>PEDREIRO COM ENCARGOS COMPLEMENTARES</v>
      </c>
      <c r="E5165" s="241" t="str">
        <f>VLOOKUP($C5165,'NAO DESO'!$A:$D,3,)</f>
        <v>H</v>
      </c>
      <c r="F5165" s="242">
        <v>1</v>
      </c>
      <c r="G5165" s="242" t="str">
        <f>IF(B5165="SEPLAG",VLOOKUP(CONCATENATE("MEDIANA - ",C5165),COTAÇÃO,5,FALSE),VLOOKUP($C5165,'NAO DESO'!$A:$D,4,))</f>
        <v>21,10</v>
      </c>
      <c r="H5165" s="242">
        <f>TRUNC(F5165*G5165,2)</f>
        <v>21.1</v>
      </c>
      <c r="I5165" s="54" t="str">
        <f>IF(B5165="SEPLAG",VLOOKUP(CONCATENATE("MEDIANA - ",C5165),COTAÇÃO,5,FALSE),VLOOKUP($C5165,DESON!$A:$D,4,))</f>
        <v>18,86</v>
      </c>
      <c r="J5165" s="209">
        <f>TRUNC(F5165*I5165,2)</f>
        <v>18.86</v>
      </c>
    </row>
    <row r="5166" spans="1:10" ht="15" customHeight="1">
      <c r="A5166" s="208" t="s">
        <v>245</v>
      </c>
      <c r="B5166" s="241"/>
      <c r="C5166" s="1181">
        <v>88316</v>
      </c>
      <c r="D5166" s="161" t="str">
        <f>IF(B5166="SEPLAG",VLOOKUP(COMPOSIÇÕES!C5166,'MAPA COMPARATIVO'!A:B,2,FALSE),VLOOKUP(C5166,'NAO DESO'!A:B,2,0))</f>
        <v>SERVENTE COM ENCARGOS COMPLEMENTARES</v>
      </c>
      <c r="E5166" s="241" t="str">
        <f>VLOOKUP($C5166,'NAO DESO'!$A:$D,3,)</f>
        <v>H</v>
      </c>
      <c r="F5166" s="242">
        <v>1</v>
      </c>
      <c r="G5166" s="242" t="str">
        <f>IF(B5166="SEPLAG",VLOOKUP(CONCATENATE("MEDIANA - ",C5166),COTAÇÃO,5,FALSE),VLOOKUP($C5166,'NAO DESO'!$A:$D,4,))</f>
        <v>16,83</v>
      </c>
      <c r="H5166" s="242">
        <f>TRUNC(F5166*G5166,2)</f>
        <v>16.829999999999998</v>
      </c>
      <c r="I5166" s="54" t="str">
        <f>IF(B5166="SEPLAG",VLOOKUP(CONCATENATE("MEDIANA - ",C5166),COTAÇÃO,5,FALSE),VLOOKUP($C5166,DESON!$A:$D,4,))</f>
        <v>15,16</v>
      </c>
      <c r="J5166" s="209">
        <f>TRUNC(F5166*I5166,2)</f>
        <v>15.16</v>
      </c>
    </row>
    <row r="5167" spans="1:10" ht="15" customHeight="1">
      <c r="A5167" s="210" t="str">
        <f>CONCATENATE("TOTAL DO ITEM NÃO DESON. - ",C5161)</f>
        <v>TOTAL DO ITEM NÃO DESON. - SEPLAG ACESS 01</v>
      </c>
      <c r="B5167" s="430"/>
      <c r="C5167" s="430"/>
      <c r="D5167" s="430"/>
      <c r="E5167" s="430"/>
      <c r="F5167" s="1180"/>
      <c r="G5167" s="1180"/>
      <c r="H5167" s="1182">
        <f>SUM(H5164:H5166)</f>
        <v>1477.9299999999998</v>
      </c>
      <c r="I5167" s="231"/>
      <c r="J5167" s="215"/>
    </row>
    <row r="5168" spans="1:10" ht="15.75" customHeight="1" thickBot="1">
      <c r="A5168" s="216" t="str">
        <f>CONCATENATE("TOTAL DO ITEM DESON. - ",C5161)</f>
        <v>TOTAL DO ITEM DESON. - SEPLAG ACESS 01</v>
      </c>
      <c r="B5168" s="1142"/>
      <c r="C5168" s="1142"/>
      <c r="D5168" s="1142"/>
      <c r="E5168" s="1142"/>
      <c r="F5168" s="1211"/>
      <c r="G5168" s="1211"/>
      <c r="H5168" s="1187"/>
      <c r="I5168" s="260"/>
      <c r="J5168" s="219">
        <f>SUM(J5164:J5166)</f>
        <v>1474.02</v>
      </c>
    </row>
    <row r="5169" spans="1:10" ht="15" customHeight="1" thickBot="1">
      <c r="A5169" s="421"/>
      <c r="B5169" s="1138"/>
      <c r="C5169" s="1138"/>
      <c r="D5169" s="1138"/>
      <c r="E5169" s="1154"/>
      <c r="F5169" s="1196"/>
      <c r="G5169" s="1196"/>
      <c r="H5169" s="1196"/>
      <c r="I5169" s="422"/>
      <c r="J5169" s="422"/>
    </row>
    <row r="5170" spans="1:10" ht="25.5" customHeight="1">
      <c r="A5170" s="256"/>
      <c r="B5170" s="1152"/>
      <c r="C5170" s="1176" t="s">
        <v>7535</v>
      </c>
      <c r="D5170" s="156" t="s">
        <v>7731</v>
      </c>
      <c r="E5170" s="1176" t="s">
        <v>24</v>
      </c>
      <c r="F5170" s="1177" t="s">
        <v>18</v>
      </c>
      <c r="G5170" s="1178" t="s">
        <v>7015</v>
      </c>
      <c r="H5170" s="1179"/>
      <c r="I5170" s="200" t="s">
        <v>7016</v>
      </c>
      <c r="J5170" s="201"/>
    </row>
    <row r="5171" spans="1:10" ht="15" customHeight="1">
      <c r="A5171" s="257"/>
      <c r="B5171" s="430"/>
      <c r="C5171" s="1155"/>
      <c r="D5171" s="157"/>
      <c r="E5171" s="1155"/>
      <c r="F5171" s="1180"/>
      <c r="G5171" s="1180" t="s">
        <v>19</v>
      </c>
      <c r="H5171" s="1180" t="s">
        <v>20</v>
      </c>
      <c r="I5171" s="204" t="s">
        <v>19</v>
      </c>
      <c r="J5171" s="206" t="s">
        <v>20</v>
      </c>
    </row>
    <row r="5172" spans="1:10" ht="15" customHeight="1">
      <c r="A5172" s="258"/>
      <c r="B5172" s="1155"/>
      <c r="C5172" s="1155"/>
      <c r="D5172" s="157"/>
      <c r="E5172" s="1155"/>
      <c r="F5172" s="1180"/>
      <c r="G5172" s="1180"/>
      <c r="H5172" s="1180"/>
      <c r="I5172" s="238"/>
      <c r="J5172" s="259"/>
    </row>
    <row r="5173" spans="1:10" ht="26.25" customHeight="1">
      <c r="A5173" s="208" t="s">
        <v>39</v>
      </c>
      <c r="B5173" s="241" t="s">
        <v>14504</v>
      </c>
      <c r="C5173" s="241" t="s">
        <v>14490</v>
      </c>
      <c r="D5173" s="161" t="str">
        <f>IF(B5173="SEPLAG",VLOOKUP(COMPOSIÇÕES!C5173,'MAPA COMPARATIVO'!A:B,2,FALSE),VLOOKUP(C5173,'NAO DESO'!A:B,2,0))</f>
        <v>PLACA TÁTIL ACRÍLICO EM ALTO RELEVO PARA SINALIZAÇÃO DE PORTAS DIVERSAS 20X8</v>
      </c>
      <c r="E5173" s="241" t="s">
        <v>24</v>
      </c>
      <c r="F5173" s="242">
        <v>1</v>
      </c>
      <c r="G5173" s="242">
        <f>IF(B5173="SEPLAG",VLOOKUP(CONCATENATE("MEDIANA - ",C5173),COTAÇÃO,5,FALSE),VLOOKUP($C5173,'NAO DESO'!$A:$D,4,))</f>
        <v>62.9</v>
      </c>
      <c r="H5173" s="242">
        <f>TRUNC(F5173*G5173,2)</f>
        <v>62.9</v>
      </c>
      <c r="I5173" s="54">
        <f>IF(B5173="SEPLAG",VLOOKUP(CONCATENATE("MEDIANA - ",C5173),COTAÇÃO,5,FALSE),VLOOKUP($C5173,DESON!$A:$D,4,))</f>
        <v>62.9</v>
      </c>
      <c r="J5173" s="209">
        <f>TRUNC(F5173*I5173,2)</f>
        <v>62.9</v>
      </c>
    </row>
    <row r="5174" spans="1:10" ht="15" customHeight="1">
      <c r="A5174" s="208" t="s">
        <v>245</v>
      </c>
      <c r="B5174" s="241" t="s">
        <v>14504</v>
      </c>
      <c r="C5174" s="1181" t="s">
        <v>14496</v>
      </c>
      <c r="D5174" s="161" t="str">
        <f>IF(B5174="SEPLAG",VLOOKUP(COMPOSIÇÕES!C5174,'MAPA COMPARATIVO'!A:B,2,FALSE),VLOOKUP(C5174,'NAO DESO'!A:B,2,0))</f>
        <v>FITA DUPLA FACE 24MM 3M</v>
      </c>
      <c r="E5174" s="241" t="s">
        <v>24</v>
      </c>
      <c r="F5174" s="242">
        <f>0.4/20</f>
        <v>0.02</v>
      </c>
      <c r="G5174" s="242">
        <f>IF(B5174="SEPLAG",VLOOKUP(CONCATENATE("MEDIANA - ",C5174),COTAÇÃO,5,FALSE),VLOOKUP($C5174,'NAO DESO'!$A:$D,4,))</f>
        <v>23.47</v>
      </c>
      <c r="H5174" s="242">
        <f>TRUNC(F5174*G5174,2)</f>
        <v>0.46</v>
      </c>
      <c r="I5174" s="54">
        <f>IF(B5174="SEPLAG",VLOOKUP(CONCATENATE("MEDIANA - ",C5174),COTAÇÃO,5,FALSE),VLOOKUP($C5174,DESON!$A:$D,4,))</f>
        <v>23.47</v>
      </c>
      <c r="J5174" s="209">
        <f>TRUNC(F5174*I5174,2)</f>
        <v>0.46</v>
      </c>
    </row>
    <row r="5175" spans="1:10" ht="15" customHeight="1">
      <c r="A5175" s="208" t="s">
        <v>245</v>
      </c>
      <c r="B5175" s="241"/>
      <c r="C5175" s="1181">
        <v>88316</v>
      </c>
      <c r="D5175" s="161" t="str">
        <f>IF(B5175="SEPLAG",VLOOKUP(COMPOSIÇÕES!C5175,'MAPA COMPARATIVO'!A:B,2,FALSE),VLOOKUP(C5175,'NAO DESO'!A:B,2,0))</f>
        <v>SERVENTE COM ENCARGOS COMPLEMENTARES</v>
      </c>
      <c r="E5175" s="241" t="str">
        <f>VLOOKUP($C5175,'NAO DESO'!$A:$D,3,)</f>
        <v>H</v>
      </c>
      <c r="F5175" s="242">
        <v>0.08</v>
      </c>
      <c r="G5175" s="242" t="str">
        <f>IF(B5175="SEPLAG",VLOOKUP(CONCATENATE("MEDIANA - ",C5175),COTAÇÃO,5,FALSE),VLOOKUP($C5175,'NAO DESO'!$A:$D,4,))</f>
        <v>16,83</v>
      </c>
      <c r="H5175" s="242">
        <f>TRUNC(F5175*G5175,2)</f>
        <v>1.34</v>
      </c>
      <c r="I5175" s="54" t="str">
        <f>IF(B5175="SEPLAG",VLOOKUP(CONCATENATE("MEDIANA - ",C5175),COTAÇÃO,5,FALSE),VLOOKUP($C5175,DESON!$A:$D,4,))</f>
        <v>15,16</v>
      </c>
      <c r="J5175" s="209">
        <f>TRUNC(F5175*I5175,2)</f>
        <v>1.21</v>
      </c>
    </row>
    <row r="5176" spans="1:10" ht="15" customHeight="1">
      <c r="A5176" s="210" t="str">
        <f>CONCATENATE("TOTAL DO ITEM NÃO DESON. - ",C5170)</f>
        <v>TOTAL DO ITEM NÃO DESON. - SEPLAG ACESS 02</v>
      </c>
      <c r="B5176" s="430"/>
      <c r="C5176" s="430"/>
      <c r="D5176" s="430"/>
      <c r="E5176" s="430"/>
      <c r="F5176" s="1180"/>
      <c r="G5176" s="1180"/>
      <c r="H5176" s="1182">
        <f>SUM(H5173:H5175)</f>
        <v>64.7</v>
      </c>
      <c r="I5176" s="231"/>
      <c r="J5176" s="215"/>
    </row>
    <row r="5177" spans="1:10" ht="15.75" customHeight="1" thickBot="1">
      <c r="A5177" s="216" t="str">
        <f>CONCATENATE("TOTAL DO ITEM DESON. - ",C5170)</f>
        <v>TOTAL DO ITEM DESON. - SEPLAG ACESS 02</v>
      </c>
      <c r="B5177" s="1142"/>
      <c r="C5177" s="1142"/>
      <c r="D5177" s="1142"/>
      <c r="E5177" s="1142"/>
      <c r="F5177" s="1211"/>
      <c r="G5177" s="1211"/>
      <c r="H5177" s="1187"/>
      <c r="I5177" s="260"/>
      <c r="J5177" s="219">
        <f>SUM(J5173:J5175)</f>
        <v>64.569999999999993</v>
      </c>
    </row>
    <row r="5178" spans="1:10" ht="15" customHeight="1" thickBot="1">
      <c r="A5178" s="421"/>
      <c r="B5178" s="1138"/>
      <c r="C5178" s="1138"/>
      <c r="D5178" s="1138"/>
      <c r="E5178" s="1154"/>
      <c r="F5178" s="1196"/>
      <c r="G5178" s="1196"/>
      <c r="H5178" s="1196"/>
      <c r="I5178" s="422"/>
      <c r="J5178" s="422"/>
    </row>
    <row r="5179" spans="1:10" ht="25.5" customHeight="1">
      <c r="A5179" s="256"/>
      <c r="B5179" s="1152"/>
      <c r="C5179" s="1176" t="s">
        <v>7536</v>
      </c>
      <c r="D5179" s="156" t="s">
        <v>7732</v>
      </c>
      <c r="E5179" s="1176" t="s">
        <v>24</v>
      </c>
      <c r="F5179" s="1177" t="s">
        <v>18</v>
      </c>
      <c r="G5179" s="1178" t="s">
        <v>7015</v>
      </c>
      <c r="H5179" s="1179"/>
      <c r="I5179" s="200" t="s">
        <v>7016</v>
      </c>
      <c r="J5179" s="201"/>
    </row>
    <row r="5180" spans="1:10" ht="15" customHeight="1">
      <c r="A5180" s="257"/>
      <c r="B5180" s="430"/>
      <c r="C5180" s="1155"/>
      <c r="D5180" s="157"/>
      <c r="E5180" s="1155"/>
      <c r="F5180" s="1180"/>
      <c r="G5180" s="1180" t="s">
        <v>19</v>
      </c>
      <c r="H5180" s="1180" t="s">
        <v>20</v>
      </c>
      <c r="I5180" s="204" t="s">
        <v>19</v>
      </c>
      <c r="J5180" s="206" t="s">
        <v>20</v>
      </c>
    </row>
    <row r="5181" spans="1:10" ht="15" customHeight="1">
      <c r="A5181" s="258"/>
      <c r="B5181" s="1155"/>
      <c r="C5181" s="1155"/>
      <c r="D5181" s="157"/>
      <c r="E5181" s="1155"/>
      <c r="F5181" s="1180"/>
      <c r="G5181" s="1180"/>
      <c r="H5181" s="1180"/>
      <c r="I5181" s="238"/>
      <c r="J5181" s="259"/>
    </row>
    <row r="5182" spans="1:10" ht="39" customHeight="1">
      <c r="A5182" s="208" t="s">
        <v>39</v>
      </c>
      <c r="B5182" s="241" t="s">
        <v>14504</v>
      </c>
      <c r="C5182" s="241" t="s">
        <v>14491</v>
      </c>
      <c r="D5182" s="161" t="str">
        <f>IF(B5182="SEPLAG",VLOOKUP(COMPOSIÇÕES!C5182,'MAPA COMPARATIVO'!A:B,2,FALSE),VLOOKUP(C5182,'NAO DESO'!A:B,2,0))</f>
        <v>PLACA PARA ACESSO A PORTADORES DE DEFICIÊNCIA VISUAL COM A IDENTIFICAÇÃO DO RESPECTIVO AMBIENTE, IMPLANTADA NA PORTA DO BANHEIRO)(5X15)</v>
      </c>
      <c r="E5182" s="241" t="s">
        <v>24</v>
      </c>
      <c r="F5182" s="242">
        <v>1</v>
      </c>
      <c r="G5182" s="242">
        <f>IF(B5182="SEPLAG",VLOOKUP(CONCATENATE("MEDIANA - ",C5182),COTAÇÃO,5,FALSE),VLOOKUP($C5182,'NAO DESO'!$A:$D,4,))</f>
        <v>38.908999999999999</v>
      </c>
      <c r="H5182" s="242">
        <f>TRUNC(F5182*G5182,2)</f>
        <v>38.9</v>
      </c>
      <c r="I5182" s="54">
        <f>IF(B5182="SEPLAG",VLOOKUP(CONCATENATE("MEDIANA - ",C5182),COTAÇÃO,5,FALSE),VLOOKUP($C5182,DESON!$A:$D,4,))</f>
        <v>38.908999999999999</v>
      </c>
      <c r="J5182" s="209">
        <f>TRUNC(F5182*I5182,2)</f>
        <v>38.9</v>
      </c>
    </row>
    <row r="5183" spans="1:10" ht="15" customHeight="1">
      <c r="A5183" s="208" t="s">
        <v>245</v>
      </c>
      <c r="B5183" s="241" t="s">
        <v>14504</v>
      </c>
      <c r="C5183" s="1181" t="s">
        <v>14496</v>
      </c>
      <c r="D5183" s="161" t="str">
        <f>IF(B5183="SEPLAG",VLOOKUP(COMPOSIÇÕES!C5183,'MAPA COMPARATIVO'!A:B,2,FALSE),VLOOKUP(C5183,'NAO DESO'!A:B,2,0))</f>
        <v>FITA DUPLA FACE 24MM 3M</v>
      </c>
      <c r="E5183" s="241" t="s">
        <v>24</v>
      </c>
      <c r="F5183" s="242">
        <f>0.3/2</f>
        <v>0.15</v>
      </c>
      <c r="G5183" s="242">
        <f>IF(B5183="SEPLAG",VLOOKUP(CONCATENATE("MEDIANA - ",C5183),COTAÇÃO,5,FALSE),VLOOKUP($C5183,'NAO DESO'!$A:$D,4,))</f>
        <v>23.47</v>
      </c>
      <c r="H5183" s="242">
        <f>TRUNC(F5183*G5183,2)</f>
        <v>3.52</v>
      </c>
      <c r="I5183" s="54">
        <f>IF(B5183="SEPLAG",VLOOKUP(CONCATENATE("MEDIANA - ",C5183),COTAÇÃO,5,FALSE),VLOOKUP($C5183,DESON!$A:$D,4,))</f>
        <v>23.47</v>
      </c>
      <c r="J5183" s="209">
        <f>TRUNC(F5183*I5183,2)</f>
        <v>3.52</v>
      </c>
    </row>
    <row r="5184" spans="1:10" ht="15" customHeight="1">
      <c r="A5184" s="208" t="s">
        <v>245</v>
      </c>
      <c r="B5184" s="241"/>
      <c r="C5184" s="1181">
        <v>88316</v>
      </c>
      <c r="D5184" s="161" t="str">
        <f>IF(B5184="SEPLAG",VLOOKUP(COMPOSIÇÕES!C5184,'MAPA COMPARATIVO'!A:B,2,FALSE),VLOOKUP(C5184,'NAO DESO'!A:B,2,0))</f>
        <v>SERVENTE COM ENCARGOS COMPLEMENTARES</v>
      </c>
      <c r="E5184" s="241" t="str">
        <f>VLOOKUP($C5184,'NAO DESO'!$A:$D,3,)</f>
        <v>H</v>
      </c>
      <c r="F5184" s="242">
        <v>0.1</v>
      </c>
      <c r="G5184" s="242" t="str">
        <f>IF(B5184="SEPLAG",VLOOKUP(CONCATENATE("MEDIANA - ",C5184),COTAÇÃO,5,FALSE),VLOOKUP($C5184,'NAO DESO'!$A:$D,4,))</f>
        <v>16,83</v>
      </c>
      <c r="H5184" s="242">
        <f>TRUNC(F5184*G5184,2)</f>
        <v>1.68</v>
      </c>
      <c r="I5184" s="54" t="str">
        <f>IF(B5184="SEPLAG",VLOOKUP(CONCATENATE("MEDIANA - ",C5184),COTAÇÃO,5,FALSE),VLOOKUP($C5184,DESON!$A:$D,4,))</f>
        <v>15,16</v>
      </c>
      <c r="J5184" s="209">
        <f>TRUNC(F5184*I5184,2)</f>
        <v>1.51</v>
      </c>
    </row>
    <row r="5185" spans="1:10" ht="15" customHeight="1">
      <c r="A5185" s="210" t="str">
        <f>CONCATENATE("TOTAL DO ITEM NÃO DESON. - ",C5179)</f>
        <v>TOTAL DO ITEM NÃO DESON. - SEPLAG ACESS 03</v>
      </c>
      <c r="B5185" s="430"/>
      <c r="C5185" s="430"/>
      <c r="D5185" s="430"/>
      <c r="E5185" s="430"/>
      <c r="F5185" s="1180"/>
      <c r="G5185" s="1180"/>
      <c r="H5185" s="1182">
        <f>SUM(H5182:H5184)</f>
        <v>44.1</v>
      </c>
      <c r="I5185" s="231"/>
      <c r="J5185" s="215"/>
    </row>
    <row r="5186" spans="1:10" ht="15.75" customHeight="1" thickBot="1">
      <c r="A5186" s="216" t="str">
        <f>CONCATENATE("TOTAL DO ITEM DESON. - ",C5179)</f>
        <v>TOTAL DO ITEM DESON. - SEPLAG ACESS 03</v>
      </c>
      <c r="B5186" s="1147"/>
      <c r="C5186" s="1147"/>
      <c r="D5186" s="1147"/>
      <c r="E5186" s="1218"/>
      <c r="F5186" s="1219"/>
      <c r="G5186" s="1219"/>
      <c r="H5186" s="1219"/>
      <c r="I5186" s="260"/>
      <c r="J5186" s="219">
        <f>SUM(J5182:J5184)</f>
        <v>43.93</v>
      </c>
    </row>
    <row r="5187" spans="1:10" ht="15" customHeight="1" thickBot="1">
      <c r="A5187" s="421"/>
      <c r="B5187" s="1138"/>
      <c r="C5187" s="1138"/>
      <c r="D5187" s="1138"/>
      <c r="E5187" s="1154"/>
      <c r="F5187" s="1196"/>
      <c r="G5187" s="1196"/>
      <c r="H5187" s="1196"/>
      <c r="I5187" s="422"/>
      <c r="J5187" s="422"/>
    </row>
    <row r="5188" spans="1:10" ht="25.5" customHeight="1">
      <c r="A5188" s="256"/>
      <c r="B5188" s="1152"/>
      <c r="C5188" s="1176" t="s">
        <v>7537</v>
      </c>
      <c r="D5188" s="156" t="s">
        <v>7733</v>
      </c>
      <c r="E5188" s="1176" t="s">
        <v>24</v>
      </c>
      <c r="F5188" s="1177" t="s">
        <v>18</v>
      </c>
      <c r="G5188" s="1178" t="s">
        <v>7015</v>
      </c>
      <c r="H5188" s="1179"/>
      <c r="I5188" s="200" t="s">
        <v>7016</v>
      </c>
      <c r="J5188" s="201"/>
    </row>
    <row r="5189" spans="1:10" ht="15" customHeight="1">
      <c r="A5189" s="257"/>
      <c r="B5189" s="430"/>
      <c r="C5189" s="1155"/>
      <c r="D5189" s="157"/>
      <c r="E5189" s="1155"/>
      <c r="F5189" s="1180"/>
      <c r="G5189" s="1180" t="s">
        <v>19</v>
      </c>
      <c r="H5189" s="1180" t="s">
        <v>20</v>
      </c>
      <c r="I5189" s="204" t="s">
        <v>19</v>
      </c>
      <c r="J5189" s="206" t="s">
        <v>20</v>
      </c>
    </row>
    <row r="5190" spans="1:10" ht="15" customHeight="1">
      <c r="A5190" s="258"/>
      <c r="B5190" s="1155"/>
      <c r="C5190" s="1155"/>
      <c r="D5190" s="157"/>
      <c r="E5190" s="1155"/>
      <c r="F5190" s="1180"/>
      <c r="G5190" s="1180"/>
      <c r="H5190" s="1180"/>
      <c r="I5190" s="238"/>
      <c r="J5190" s="259"/>
    </row>
    <row r="5191" spans="1:10" ht="15" customHeight="1">
      <c r="A5191" s="208" t="s">
        <v>39</v>
      </c>
      <c r="B5191" s="241" t="s">
        <v>14504</v>
      </c>
      <c r="C5191" s="241" t="s">
        <v>14492</v>
      </c>
      <c r="D5191" s="161" t="str">
        <f>IF(B5191="SEPLAG",VLOOKUP(COMPOSIÇÕES!C5191,'MAPA COMPARATIVO'!A:B,2,FALSE),VLOOKUP(C5191,'NAO DESO'!A:B,2,0))</f>
        <v>SINALIZAÇÃO DE DEGRAUS EM COR CONTRATASTE COM O PISO</v>
      </c>
      <c r="E5191" s="241" t="s">
        <v>24</v>
      </c>
      <c r="F5191" s="242">
        <v>1</v>
      </c>
      <c r="G5191" s="242">
        <f>IF(B5191="SEPLAG",VLOOKUP(CONCATENATE("MEDIANA - ",C5191),COTAÇÃO,5,FALSE),VLOOKUP($C5191,'NAO DESO'!$A:$D,4,))</f>
        <v>6.2990000000000004</v>
      </c>
      <c r="H5191" s="242">
        <f>TRUNC(F5191*G5191,2)</f>
        <v>6.29</v>
      </c>
      <c r="I5191" s="54">
        <f>IF(B5191="SEPLAG",VLOOKUP(CONCATENATE("MEDIANA - ",C5191),COTAÇÃO,5,FALSE),VLOOKUP($C5191,DESON!$A:$D,4,))</f>
        <v>6.2990000000000004</v>
      </c>
      <c r="J5191" s="209">
        <f>TRUNC(F5191*I5191,2)</f>
        <v>6.29</v>
      </c>
    </row>
    <row r="5192" spans="1:10" ht="15" customHeight="1">
      <c r="A5192" s="208" t="s">
        <v>245</v>
      </c>
      <c r="B5192" s="241"/>
      <c r="C5192" s="1181">
        <v>88316</v>
      </c>
      <c r="D5192" s="161" t="str">
        <f>IF(B5192="SEPLAG",VLOOKUP(COMPOSIÇÕES!C5192,'MAPA COMPARATIVO'!A:B,2,FALSE),VLOOKUP(C5192,'NAO DESO'!A:B,2,0))</f>
        <v>SERVENTE COM ENCARGOS COMPLEMENTARES</v>
      </c>
      <c r="E5192" s="241" t="str">
        <f>VLOOKUP($C5192,'NAO DESO'!$A:$D,3,)</f>
        <v>H</v>
      </c>
      <c r="F5192" s="242">
        <v>0.08</v>
      </c>
      <c r="G5192" s="242" t="str">
        <f>IF(B5192="SEPLAG",VLOOKUP(CONCATENATE("MEDIANA - ",C5192),COTAÇÃO,5,FALSE),VLOOKUP($C5192,'NAO DESO'!$A:$D,4,))</f>
        <v>16,83</v>
      </c>
      <c r="H5192" s="242">
        <f>TRUNC(F5192*G5192,2)</f>
        <v>1.34</v>
      </c>
      <c r="I5192" s="54" t="str">
        <f>IF(B5192="SEPLAG",VLOOKUP(CONCATENATE("MEDIANA - ",C5192),COTAÇÃO,5,FALSE),VLOOKUP($C5192,DESON!$A:$D,4,))</f>
        <v>15,16</v>
      </c>
      <c r="J5192" s="209">
        <f>TRUNC(F5192*I5192,2)</f>
        <v>1.21</v>
      </c>
    </row>
    <row r="5193" spans="1:10" ht="15" customHeight="1">
      <c r="A5193" s="210" t="str">
        <f>CONCATENATE("TOTAL DO ITEM NÃO DESON. - ",C5188)</f>
        <v>TOTAL DO ITEM NÃO DESON. - SEPLAG ACESS 04</v>
      </c>
      <c r="B5193" s="430"/>
      <c r="C5193" s="430"/>
      <c r="D5193" s="430"/>
      <c r="E5193" s="430"/>
      <c r="F5193" s="1180"/>
      <c r="G5193" s="1180"/>
      <c r="H5193" s="1182">
        <f>SUM(H5191:H5192)</f>
        <v>7.63</v>
      </c>
      <c r="I5193" s="231"/>
      <c r="J5193" s="215"/>
    </row>
    <row r="5194" spans="1:10" ht="15.75" customHeight="1" thickBot="1">
      <c r="A5194" s="216" t="str">
        <f>CONCATENATE("TOTAL DO ITEM DESON. - ",C5188)</f>
        <v>TOTAL DO ITEM DESON. - SEPLAG ACESS 04</v>
      </c>
      <c r="B5194" s="1142"/>
      <c r="C5194" s="1142"/>
      <c r="D5194" s="1142"/>
      <c r="E5194" s="1142"/>
      <c r="F5194" s="1211"/>
      <c r="G5194" s="1211"/>
      <c r="H5194" s="1187"/>
      <c r="I5194" s="260"/>
      <c r="J5194" s="219">
        <f>SUM(J5191:J5192)</f>
        <v>7.5</v>
      </c>
    </row>
    <row r="5195" spans="1:10" ht="15" customHeight="1" thickBot="1">
      <c r="A5195" s="421"/>
      <c r="B5195" s="1138"/>
      <c r="C5195" s="1138"/>
      <c r="D5195" s="1138"/>
      <c r="E5195" s="1154"/>
      <c r="F5195" s="1196"/>
      <c r="G5195" s="1196"/>
      <c r="H5195" s="1196"/>
      <c r="I5195" s="422"/>
      <c r="J5195" s="422"/>
    </row>
    <row r="5196" spans="1:10" ht="25.5" customHeight="1">
      <c r="A5196" s="256"/>
      <c r="B5196" s="1152"/>
      <c r="C5196" s="1176" t="s">
        <v>7539</v>
      </c>
      <c r="D5196" s="156" t="s">
        <v>7734</v>
      </c>
      <c r="E5196" s="1176" t="s">
        <v>24</v>
      </c>
      <c r="F5196" s="1177" t="s">
        <v>18</v>
      </c>
      <c r="G5196" s="1178" t="s">
        <v>7015</v>
      </c>
      <c r="H5196" s="1179"/>
      <c r="I5196" s="200" t="s">
        <v>7016</v>
      </c>
      <c r="J5196" s="201"/>
    </row>
    <row r="5197" spans="1:10" ht="15" customHeight="1">
      <c r="A5197" s="257"/>
      <c r="B5197" s="430"/>
      <c r="C5197" s="1155"/>
      <c r="D5197" s="157"/>
      <c r="E5197" s="1155"/>
      <c r="F5197" s="1180"/>
      <c r="G5197" s="1180" t="s">
        <v>19</v>
      </c>
      <c r="H5197" s="1180" t="s">
        <v>20</v>
      </c>
      <c r="I5197" s="204" t="s">
        <v>19</v>
      </c>
      <c r="J5197" s="206" t="s">
        <v>20</v>
      </c>
    </row>
    <row r="5198" spans="1:10" ht="15" customHeight="1">
      <c r="A5198" s="258"/>
      <c r="B5198" s="1155"/>
      <c r="C5198" s="1155"/>
      <c r="D5198" s="157"/>
      <c r="E5198" s="1155"/>
      <c r="F5198" s="1180"/>
      <c r="G5198" s="1180"/>
      <c r="H5198" s="1180"/>
      <c r="I5198" s="238"/>
      <c r="J5198" s="259"/>
    </row>
    <row r="5199" spans="1:10" ht="15" customHeight="1">
      <c r="A5199" s="208" t="s">
        <v>39</v>
      </c>
      <c r="B5199" s="241" t="s">
        <v>14504</v>
      </c>
      <c r="C5199" s="241" t="s">
        <v>14493</v>
      </c>
      <c r="D5199" s="161" t="str">
        <f>IF(B5199="SEPLAG",VLOOKUP(COMPOSIÇÕES!C5199,'MAPA COMPARATIVO'!A:B,2,FALSE),VLOOKUP(C5199,'NAO DESO'!A:B,2,0))</f>
        <v>PLACA TATIL PARA CORRIMÃO ACRILICO 10X3</v>
      </c>
      <c r="E5199" s="241" t="s">
        <v>24</v>
      </c>
      <c r="F5199" s="242">
        <v>1</v>
      </c>
      <c r="G5199" s="242">
        <f>IF(B5199="SEPLAG",VLOOKUP(CONCATENATE("MEDIANA - ",C5199),COTAÇÃO,5,FALSE),VLOOKUP($C5199,'NAO DESO'!$A:$D,4,))</f>
        <v>10.7</v>
      </c>
      <c r="H5199" s="242">
        <f>TRUNC(F5199*G5199,2)</f>
        <v>10.7</v>
      </c>
      <c r="I5199" s="54">
        <f>IF(B5199="SEPLAG",VLOOKUP(CONCATENATE("MEDIANA - ",C5199),COTAÇÃO,5,FALSE),VLOOKUP($C5199,DESON!$A:$D,4,))</f>
        <v>10.7</v>
      </c>
      <c r="J5199" s="209">
        <f>TRUNC(F5199*I5199,2)</f>
        <v>10.7</v>
      </c>
    </row>
    <row r="5200" spans="1:10" ht="15" customHeight="1">
      <c r="A5200" s="208" t="s">
        <v>245</v>
      </c>
      <c r="B5200" s="241" t="s">
        <v>14504</v>
      </c>
      <c r="C5200" s="241" t="s">
        <v>14496</v>
      </c>
      <c r="D5200" s="161" t="str">
        <f>IF(B5200="SEPLAG",VLOOKUP(COMPOSIÇÕES!C5200,'MAPA COMPARATIVO'!A:B,2,FALSE),VLOOKUP(C5200,'NAO DESO'!A:B,2,0))</f>
        <v>FITA DUPLA FACE 24MM 3M</v>
      </c>
      <c r="E5200" s="241" t="s">
        <v>24</v>
      </c>
      <c r="F5200" s="242">
        <f>0.2/2</f>
        <v>0.1</v>
      </c>
      <c r="G5200" s="242">
        <f>IF(B5200="SEPLAG",VLOOKUP(CONCATENATE("MEDIANA - ",C5200),COTAÇÃO,5,FALSE),VLOOKUP($C5200,'NAO DESO'!$A:$D,4,))</f>
        <v>23.47</v>
      </c>
      <c r="H5200" s="242">
        <f>TRUNC(F5200*G5200,2)</f>
        <v>2.34</v>
      </c>
      <c r="I5200" s="54">
        <f>IF(B5200="SEPLAG",VLOOKUP(CONCATENATE("MEDIANA - ",C5200),COTAÇÃO,5,FALSE),VLOOKUP($C5200,DESON!$A:$D,4,))</f>
        <v>23.47</v>
      </c>
      <c r="J5200" s="209">
        <f>TRUNC(F5200*I5200,2)</f>
        <v>2.34</v>
      </c>
    </row>
    <row r="5201" spans="1:10" ht="15" customHeight="1">
      <c r="A5201" s="208" t="s">
        <v>245</v>
      </c>
      <c r="B5201" s="241"/>
      <c r="C5201" s="1181">
        <v>88316</v>
      </c>
      <c r="D5201" s="161" t="str">
        <f>IF(B5201="SEPLAG",VLOOKUP(COMPOSIÇÕES!C5201,'MAPA COMPARATIVO'!A:B,2,FALSE),VLOOKUP(C5201,'NAO DESO'!A:B,2,0))</f>
        <v>SERVENTE COM ENCARGOS COMPLEMENTARES</v>
      </c>
      <c r="E5201" s="241" t="str">
        <f>VLOOKUP($C5201,'NAO DESO'!$A:$D,3,)</f>
        <v>H</v>
      </c>
      <c r="F5201" s="242">
        <v>0.08</v>
      </c>
      <c r="G5201" s="242" t="str">
        <f>IF(B5201="SEPLAG",VLOOKUP(CONCATENATE("MEDIANA - ",C5201),COTAÇÃO,5,FALSE),VLOOKUP($C5201,'NAO DESO'!$A:$D,4,))</f>
        <v>16,83</v>
      </c>
      <c r="H5201" s="242">
        <f>TRUNC(F5201*G5201,2)</f>
        <v>1.34</v>
      </c>
      <c r="I5201" s="54" t="str">
        <f>IF(B5201="SEPLAG",VLOOKUP(CONCATENATE("MEDIANA - ",C5201),COTAÇÃO,5,FALSE),VLOOKUP($C5201,DESON!$A:$D,4,))</f>
        <v>15,16</v>
      </c>
      <c r="J5201" s="209">
        <f>TRUNC(F5201*I5201,2)</f>
        <v>1.21</v>
      </c>
    </row>
    <row r="5202" spans="1:10" ht="15" customHeight="1">
      <c r="A5202" s="210" t="str">
        <f>CONCATENATE("TOTAL DO ITEM NÃO DESON. - ",C5196)</f>
        <v>TOTAL DO ITEM NÃO DESON. - SEPLAG ACESS 05</v>
      </c>
      <c r="B5202" s="430"/>
      <c r="C5202" s="430"/>
      <c r="D5202" s="430"/>
      <c r="E5202" s="430"/>
      <c r="F5202" s="1180"/>
      <c r="G5202" s="1180"/>
      <c r="H5202" s="1182">
        <f>SUM(H5199:H5201)</f>
        <v>14.379999999999999</v>
      </c>
      <c r="I5202" s="231"/>
      <c r="J5202" s="215"/>
    </row>
    <row r="5203" spans="1:10" ht="15.75" customHeight="1" thickBot="1">
      <c r="A5203" s="216" t="str">
        <f>CONCATENATE("TOTAL DO ITEM DESON. - ",C5196)</f>
        <v>TOTAL DO ITEM DESON. - SEPLAG ACESS 05</v>
      </c>
      <c r="B5203" s="1142"/>
      <c r="C5203" s="1142"/>
      <c r="D5203" s="1142"/>
      <c r="E5203" s="1142"/>
      <c r="F5203" s="1211"/>
      <c r="G5203" s="1211"/>
      <c r="H5203" s="1187"/>
      <c r="I5203" s="260"/>
      <c r="J5203" s="219">
        <f>SUM(J5199:J5201)</f>
        <v>14.25</v>
      </c>
    </row>
    <row r="5204" spans="1:10" ht="15" customHeight="1" thickBot="1">
      <c r="A5204" s="421"/>
      <c r="B5204" s="1138"/>
      <c r="C5204" s="1138"/>
      <c r="D5204" s="1138"/>
      <c r="E5204" s="1154"/>
      <c r="F5204" s="1196"/>
      <c r="G5204" s="1196"/>
      <c r="H5204" s="1196"/>
      <c r="I5204" s="422"/>
      <c r="J5204" s="422"/>
    </row>
    <row r="5205" spans="1:10" ht="25.5" customHeight="1">
      <c r="A5205" s="256"/>
      <c r="B5205" s="1152"/>
      <c r="C5205" s="1176" t="s">
        <v>7540</v>
      </c>
      <c r="D5205" s="156" t="s">
        <v>7735</v>
      </c>
      <c r="E5205" s="1176" t="s">
        <v>24</v>
      </c>
      <c r="F5205" s="1177" t="s">
        <v>18</v>
      </c>
      <c r="G5205" s="1178" t="s">
        <v>7015</v>
      </c>
      <c r="H5205" s="1179"/>
      <c r="I5205" s="200" t="s">
        <v>7016</v>
      </c>
      <c r="J5205" s="201"/>
    </row>
    <row r="5206" spans="1:10" ht="15" customHeight="1">
      <c r="A5206" s="257"/>
      <c r="B5206" s="430"/>
      <c r="C5206" s="1155"/>
      <c r="D5206" s="157"/>
      <c r="E5206" s="1155"/>
      <c r="F5206" s="1180"/>
      <c r="G5206" s="1180" t="s">
        <v>19</v>
      </c>
      <c r="H5206" s="1180" t="s">
        <v>20</v>
      </c>
      <c r="I5206" s="204" t="s">
        <v>19</v>
      </c>
      <c r="J5206" s="206" t="s">
        <v>20</v>
      </c>
    </row>
    <row r="5207" spans="1:10" ht="15" customHeight="1">
      <c r="A5207" s="258"/>
      <c r="B5207" s="1155"/>
      <c r="C5207" s="1155"/>
      <c r="D5207" s="157"/>
      <c r="E5207" s="1155"/>
      <c r="F5207" s="1180"/>
      <c r="G5207" s="1180"/>
      <c r="H5207" s="1180"/>
      <c r="I5207" s="238"/>
      <c r="J5207" s="259"/>
    </row>
    <row r="5208" spans="1:10" ht="15" customHeight="1">
      <c r="A5208" s="208" t="s">
        <v>39</v>
      </c>
      <c r="B5208" s="241" t="s">
        <v>14504</v>
      </c>
      <c r="C5208" s="241" t="s">
        <v>14494</v>
      </c>
      <c r="D5208" s="161" t="str">
        <f>IF(B5208="SEPLAG",VLOOKUP(COMPOSIÇÕES!C5208,'MAPA COMPARATIVO'!A:B,2,FALSE),VLOOKUP(C5208,'NAO DESO'!A:B,2,0))</f>
        <v>PISO TATIL DIRECIONAL INTERNO CINZA (EM PORCELANATO) 25X25</v>
      </c>
      <c r="E5208" s="241" t="s">
        <v>24</v>
      </c>
      <c r="F5208" s="242">
        <v>1</v>
      </c>
      <c r="G5208" s="242">
        <f>IF(B5208="SEPLAG",VLOOKUP(CONCATENATE("MEDIANA - ",C5208),COTAÇÃO,5,FALSE),VLOOKUP($C5208,'NAO DESO'!$A:$D,4,))</f>
        <v>39.83</v>
      </c>
      <c r="H5208" s="242">
        <f>TRUNC(F5208*G5208,2)</f>
        <v>39.83</v>
      </c>
      <c r="I5208" s="54">
        <f>IF(B5208="SEPLAG",VLOOKUP(CONCATENATE("MEDIANA - ",C5208),COTAÇÃO,5,FALSE),VLOOKUP($C5208,DESON!$A:$D,4,))</f>
        <v>39.83</v>
      </c>
      <c r="J5208" s="209">
        <f>TRUNC(F5208*I5208,2)</f>
        <v>39.83</v>
      </c>
    </row>
    <row r="5209" spans="1:10" ht="15" customHeight="1">
      <c r="A5209" s="208" t="s">
        <v>245</v>
      </c>
      <c r="B5209" s="241"/>
      <c r="C5209" s="1181">
        <v>88316</v>
      </c>
      <c r="D5209" s="161" t="str">
        <f>IF(B5209="SEPLAG",VLOOKUP(COMPOSIÇÕES!C5209,'MAPA COMPARATIVO'!A:B,2,FALSE),VLOOKUP(C5209,'NAO DESO'!A:B,2,0))</f>
        <v>SERVENTE COM ENCARGOS COMPLEMENTARES</v>
      </c>
      <c r="E5209" s="241" t="str">
        <f>VLOOKUP($C5209,'NAO DESO'!$A:$D,3,)</f>
        <v>H</v>
      </c>
      <c r="F5209" s="242">
        <f>1.2/16</f>
        <v>7.4999999999999997E-2</v>
      </c>
      <c r="G5209" s="242" t="str">
        <f>IF(B5209="SEPLAG",VLOOKUP(CONCATENATE("MEDIANA - ",C5209),COTAÇÃO,5,FALSE),VLOOKUP($C5209,'NAO DESO'!$A:$D,4,))</f>
        <v>16,83</v>
      </c>
      <c r="H5209" s="242">
        <f>TRUNC(F5209*G5209,2)</f>
        <v>1.26</v>
      </c>
      <c r="I5209" s="54" t="str">
        <f>IF(B5209="SEPLAG",VLOOKUP(CONCATENATE("MEDIANA - ",C5209),COTAÇÃO,5,FALSE),VLOOKUP($C5209,DESON!$A:$D,4,))</f>
        <v>15,16</v>
      </c>
      <c r="J5209" s="209">
        <f>TRUNC(F5209*I5209,2)</f>
        <v>1.1299999999999999</v>
      </c>
    </row>
    <row r="5210" spans="1:10" ht="15" customHeight="1">
      <c r="A5210" s="208" t="s">
        <v>245</v>
      </c>
      <c r="B5210" s="241"/>
      <c r="C5210" s="1181">
        <v>88256</v>
      </c>
      <c r="D5210" s="161" t="str">
        <f>IF(B5210="SEPLAG",VLOOKUP(COMPOSIÇÕES!C5210,'MAPA COMPARATIVO'!A:B,2,FALSE),VLOOKUP(C5210,'NAO DESO'!A:B,2,0))</f>
        <v>AZULEJISTA OU LADRILHISTA COM ENCARGOS COMPLEMENTARES</v>
      </c>
      <c r="E5210" s="241" t="str">
        <f>VLOOKUP($C5210,'NAO DESO'!$A:$D,3,)</f>
        <v>H</v>
      </c>
      <c r="F5210" s="242">
        <f>0.5/16</f>
        <v>3.125E-2</v>
      </c>
      <c r="G5210" s="242" t="str">
        <f>IF(B5210="SEPLAG",VLOOKUP(CONCATENATE("MEDIANA - ",C5210),COTAÇÃO,5,FALSE),VLOOKUP($C5210,'NAO DESO'!$A:$D,4,))</f>
        <v>21,02</v>
      </c>
      <c r="H5210" s="242">
        <f>TRUNC(F5210*G5210,2)</f>
        <v>0.65</v>
      </c>
      <c r="I5210" s="54" t="str">
        <f>IF(B5210="SEPLAG",VLOOKUP(CONCATENATE("MEDIANA - ",C5210),COTAÇÃO,5,FALSE),VLOOKUP($C5210,DESON!$A:$D,4,))</f>
        <v>18,79</v>
      </c>
      <c r="J5210" s="209">
        <f>TRUNC(F5210*I5210,2)</f>
        <v>0.57999999999999996</v>
      </c>
    </row>
    <row r="5211" spans="1:10" ht="15" customHeight="1">
      <c r="A5211" s="208" t="s">
        <v>245</v>
      </c>
      <c r="B5211" s="241"/>
      <c r="C5211" s="1181">
        <v>34357</v>
      </c>
      <c r="D5211" s="161" t="str">
        <f>IF(B5211="SEPLAG",VLOOKUP(COMPOSIÇÕES!C5211,'MAPA COMPARATIVO'!A:B,2,FALSE),VLOOKUP(C5211,'NAO DESO'!A:B,2,0))</f>
        <v>REJUNTE CIMENTICIO, QUALQUER COR</v>
      </c>
      <c r="E5211" s="241" t="str">
        <f>VLOOKUP($C5211,'NAO DESO'!$A:$D,3,)</f>
        <v xml:space="preserve">KG    </v>
      </c>
      <c r="F5211" s="242">
        <f>0.52/16</f>
        <v>3.2500000000000001E-2</v>
      </c>
      <c r="G5211" s="242">
        <f>IF(B5211="SEPLAG",VLOOKUP(CONCATENATE("MEDIANA - ",C5211),COTAÇÃO,5,FALSE),VLOOKUP($C5211,'NAO DESO'!$A:$D,4,))</f>
        <v>4.8099999999999996</v>
      </c>
      <c r="H5211" s="242">
        <f>TRUNC(F5211*G5211,2)</f>
        <v>0.15</v>
      </c>
      <c r="I5211" s="54" t="str">
        <f>IF(B5211="SEPLAG",VLOOKUP(CONCATENATE("MEDIANA - ",C5211),COTAÇÃO,5,FALSE),VLOOKUP($C5211,DESON!$A:$D,4,))</f>
        <v>4,81</v>
      </c>
      <c r="J5211" s="209">
        <f>TRUNC(F5211*I5211,2)</f>
        <v>0.15</v>
      </c>
    </row>
    <row r="5212" spans="1:10" ht="15" customHeight="1">
      <c r="A5212" s="208" t="s">
        <v>245</v>
      </c>
      <c r="B5212" s="241"/>
      <c r="C5212" s="1181">
        <v>1381</v>
      </c>
      <c r="D5212" s="161" t="str">
        <f>IF(B5212="SEPLAG",VLOOKUP(COMPOSIÇÕES!C5212,'MAPA COMPARATIVO'!A:B,2,FALSE),VLOOKUP(C5212,'NAO DESO'!A:B,2,0))</f>
        <v>ARGAMASSA COLANTE AC I PARA CERAMICAS</v>
      </c>
      <c r="E5212" s="241" t="str">
        <f>VLOOKUP($C5212,'NAO DESO'!$A:$D,3,)</f>
        <v xml:space="preserve">KG    </v>
      </c>
      <c r="F5212" s="242">
        <f>4/16</f>
        <v>0.25</v>
      </c>
      <c r="G5212" s="242">
        <f>IF(B5212="SEPLAG",VLOOKUP(CONCATENATE("MEDIANA - ",C5212),COTAÇÃO,5,FALSE),VLOOKUP($C5212,'NAO DESO'!$A:$D,4,))</f>
        <v>0.82</v>
      </c>
      <c r="H5212" s="242">
        <f>TRUNC(F5212*G5212,2)</f>
        <v>0.2</v>
      </c>
      <c r="I5212" s="54" t="str">
        <f>IF(B5212="SEPLAG",VLOOKUP(CONCATENATE("MEDIANA - ",C5212),COTAÇÃO,5,FALSE),VLOOKUP($C5212,DESON!$A:$D,4,))</f>
        <v>0,82</v>
      </c>
      <c r="J5212" s="209">
        <f>TRUNC(F5212*I5212,2)</f>
        <v>0.2</v>
      </c>
    </row>
    <row r="5213" spans="1:10" ht="15" customHeight="1">
      <c r="A5213" s="210" t="str">
        <f>CONCATENATE("TOTAL DO ITEM NÃO DESON. - ",C5205)</f>
        <v>TOTAL DO ITEM NÃO DESON. - SEPLAG ACESS 06</v>
      </c>
      <c r="B5213" s="430"/>
      <c r="C5213" s="430"/>
      <c r="D5213" s="430"/>
      <c r="E5213" s="430"/>
      <c r="F5213" s="1180"/>
      <c r="G5213" s="1180"/>
      <c r="H5213" s="1182">
        <f>SUM(H5208:H5212)</f>
        <v>42.089999999999996</v>
      </c>
      <c r="I5213" s="231"/>
      <c r="J5213" s="215"/>
    </row>
    <row r="5214" spans="1:10" ht="15.75" customHeight="1" thickBot="1">
      <c r="A5214" s="216" t="str">
        <f>CONCATENATE("TOTAL DO ITEM DESON. - ",C5205)</f>
        <v>TOTAL DO ITEM DESON. - SEPLAG ACESS 06</v>
      </c>
      <c r="B5214" s="1142"/>
      <c r="C5214" s="1142"/>
      <c r="D5214" s="1142"/>
      <c r="E5214" s="1142"/>
      <c r="F5214" s="1211"/>
      <c r="G5214" s="1211"/>
      <c r="H5214" s="1187"/>
      <c r="I5214" s="260"/>
      <c r="J5214" s="219">
        <f>SUM(J5208:J5212)</f>
        <v>41.89</v>
      </c>
    </row>
    <row r="5215" spans="1:10" ht="15" customHeight="1" thickBot="1">
      <c r="A5215" s="421"/>
      <c r="B5215" s="1138"/>
      <c r="C5215" s="1138"/>
      <c r="D5215" s="1138"/>
      <c r="E5215" s="1154"/>
      <c r="F5215" s="1196"/>
      <c r="G5215" s="1196"/>
      <c r="H5215" s="1196"/>
      <c r="I5215" s="422"/>
      <c r="J5215" s="422"/>
    </row>
    <row r="5216" spans="1:10" ht="25.5" customHeight="1">
      <c r="A5216" s="256"/>
      <c r="B5216" s="1152"/>
      <c r="C5216" s="1176" t="s">
        <v>7541</v>
      </c>
      <c r="D5216" s="156" t="s">
        <v>7736</v>
      </c>
      <c r="E5216" s="1176" t="s">
        <v>24</v>
      </c>
      <c r="F5216" s="1177" t="s">
        <v>18</v>
      </c>
      <c r="G5216" s="1178" t="s">
        <v>7015</v>
      </c>
      <c r="H5216" s="1179"/>
      <c r="I5216" s="200" t="s">
        <v>7016</v>
      </c>
      <c r="J5216" s="201"/>
    </row>
    <row r="5217" spans="1:10" ht="15" customHeight="1">
      <c r="A5217" s="257"/>
      <c r="B5217" s="430"/>
      <c r="C5217" s="1155"/>
      <c r="D5217" s="157"/>
      <c r="E5217" s="1155"/>
      <c r="F5217" s="1180"/>
      <c r="G5217" s="1180" t="s">
        <v>19</v>
      </c>
      <c r="H5217" s="1180" t="s">
        <v>20</v>
      </c>
      <c r="I5217" s="204" t="s">
        <v>19</v>
      </c>
      <c r="J5217" s="206" t="s">
        <v>20</v>
      </c>
    </row>
    <row r="5218" spans="1:10" ht="15" customHeight="1">
      <c r="A5218" s="258"/>
      <c r="B5218" s="1155"/>
      <c r="C5218" s="1155"/>
      <c r="D5218" s="157"/>
      <c r="E5218" s="1155"/>
      <c r="F5218" s="1180"/>
      <c r="G5218" s="1180"/>
      <c r="H5218" s="1180"/>
      <c r="I5218" s="238"/>
      <c r="J5218" s="259"/>
    </row>
    <row r="5219" spans="1:10" ht="15" customHeight="1">
      <c r="A5219" s="208" t="s">
        <v>39</v>
      </c>
      <c r="B5219" s="241" t="s">
        <v>14504</v>
      </c>
      <c r="C5219" s="241" t="s">
        <v>14495</v>
      </c>
      <c r="D5219" s="161" t="str">
        <f>IF(B5219="SEPLAG",VLOOKUP(COMPOSIÇÕES!C5219,'MAPA COMPARATIVO'!A:B,2,FALSE),VLOOKUP(C5219,'NAO DESO'!A:B,2,0))</f>
        <v xml:space="preserve">PISO TATIL ALERTA INTERNO CINZA (EM PORCELANATO) 25X25. </v>
      </c>
      <c r="E5219" s="241" t="s">
        <v>24</v>
      </c>
      <c r="F5219" s="242">
        <v>1</v>
      </c>
      <c r="G5219" s="242">
        <f>IF(B5219="SEPLAG",VLOOKUP(CONCATENATE("MEDIANA - ",C5219),COTAÇÃO,5,FALSE),VLOOKUP($C5219,'NAO DESO'!$A:$D,4,))</f>
        <v>39.83</v>
      </c>
      <c r="H5219" s="242">
        <f>TRUNC(F5219*G5219,2)</f>
        <v>39.83</v>
      </c>
      <c r="I5219" s="54">
        <f>IF(B5219="SEPLAG",VLOOKUP(CONCATENATE("MEDIANA - ",C5219),COTAÇÃO,5,FALSE),VLOOKUP($C5219,DESON!$A:$D,4,))</f>
        <v>39.83</v>
      </c>
      <c r="J5219" s="209">
        <f>TRUNC(F5219*I5219,2)</f>
        <v>39.83</v>
      </c>
    </row>
    <row r="5220" spans="1:10" ht="15" customHeight="1">
      <c r="A5220" s="208" t="s">
        <v>245</v>
      </c>
      <c r="B5220" s="241"/>
      <c r="C5220" s="1181">
        <v>88316</v>
      </c>
      <c r="D5220" s="161" t="str">
        <f>IF(B5220="SEPLAG",VLOOKUP(COMPOSIÇÕES!C5220,'MAPA COMPARATIVO'!A:B,2,FALSE),VLOOKUP(C5220,'NAO DESO'!A:B,2,0))</f>
        <v>SERVENTE COM ENCARGOS COMPLEMENTARES</v>
      </c>
      <c r="E5220" s="241" t="str">
        <f>VLOOKUP($C5220,'NAO DESO'!$A:$D,3,)</f>
        <v>H</v>
      </c>
      <c r="F5220" s="242">
        <f>1.2/16</f>
        <v>7.4999999999999997E-2</v>
      </c>
      <c r="G5220" s="242" t="str">
        <f>IF(B5220="SEPLAG",VLOOKUP(CONCATENATE("MEDIANA - ",C5220),COTAÇÃO,5,FALSE),VLOOKUP($C5220,'NAO DESO'!$A:$D,4,))</f>
        <v>16,83</v>
      </c>
      <c r="H5220" s="242">
        <f>TRUNC(F5220*G5220,2)</f>
        <v>1.26</v>
      </c>
      <c r="I5220" s="54" t="str">
        <f>IF(B5220="SEPLAG",VLOOKUP(CONCATENATE("MEDIANA - ",C5220),COTAÇÃO,5,FALSE),VLOOKUP($C5220,DESON!$A:$D,4,))</f>
        <v>15,16</v>
      </c>
      <c r="J5220" s="209">
        <f>TRUNC(F5220*I5220,2)</f>
        <v>1.1299999999999999</v>
      </c>
    </row>
    <row r="5221" spans="1:10" ht="15" customHeight="1">
      <c r="A5221" s="208" t="s">
        <v>245</v>
      </c>
      <c r="B5221" s="241"/>
      <c r="C5221" s="1181">
        <v>88256</v>
      </c>
      <c r="D5221" s="161" t="str">
        <f>IF(B5221="SEPLAG",VLOOKUP(COMPOSIÇÕES!C5221,'MAPA COMPARATIVO'!A:B,2,FALSE),VLOOKUP(C5221,'NAO DESO'!A:B,2,0))</f>
        <v>AZULEJISTA OU LADRILHISTA COM ENCARGOS COMPLEMENTARES</v>
      </c>
      <c r="E5221" s="241" t="str">
        <f>VLOOKUP($C5221,'NAO DESO'!$A:$D,3,)</f>
        <v>H</v>
      </c>
      <c r="F5221" s="242">
        <f>0.5/16</f>
        <v>3.125E-2</v>
      </c>
      <c r="G5221" s="242" t="str">
        <f>IF(B5221="SEPLAG",VLOOKUP(CONCATENATE("MEDIANA - ",C5221),COTAÇÃO,5,FALSE),VLOOKUP($C5221,'NAO DESO'!$A:$D,4,))</f>
        <v>21,02</v>
      </c>
      <c r="H5221" s="242">
        <f>TRUNC(F5221*G5221,2)</f>
        <v>0.65</v>
      </c>
      <c r="I5221" s="54" t="str">
        <f>IF(B5221="SEPLAG",VLOOKUP(CONCATENATE("MEDIANA - ",C5221),COTAÇÃO,5,FALSE),VLOOKUP($C5221,DESON!$A:$D,4,))</f>
        <v>18,79</v>
      </c>
      <c r="J5221" s="209">
        <f>TRUNC(F5221*I5221,2)</f>
        <v>0.57999999999999996</v>
      </c>
    </row>
    <row r="5222" spans="1:10" ht="15" customHeight="1">
      <c r="A5222" s="208"/>
      <c r="B5222" s="241"/>
      <c r="C5222" s="1181">
        <v>34357</v>
      </c>
      <c r="D5222" s="161" t="str">
        <f>IF(B5222="SEPLAG",VLOOKUP(COMPOSIÇÕES!C5222,'MAPA COMPARATIVO'!A:B,2,FALSE),VLOOKUP(C5222,'NAO DESO'!A:B,2,0))</f>
        <v>REJUNTE CIMENTICIO, QUALQUER COR</v>
      </c>
      <c r="E5222" s="241" t="str">
        <f>VLOOKUP($C5222,'NAO DESO'!$A:$D,3,)</f>
        <v xml:space="preserve">KG    </v>
      </c>
      <c r="F5222" s="242">
        <f>0.52/16</f>
        <v>3.2500000000000001E-2</v>
      </c>
      <c r="G5222" s="242">
        <f>IF(B5222="SEPLAG",VLOOKUP(CONCATENATE("MEDIANA - ",C5222),COTAÇÃO,5,FALSE),VLOOKUP($C5222,'NAO DESO'!$A:$D,4,))</f>
        <v>4.8099999999999996</v>
      </c>
      <c r="H5222" s="242">
        <f>TRUNC(F5222*G5222,2)</f>
        <v>0.15</v>
      </c>
      <c r="I5222" s="54" t="str">
        <f>IF(B5222="SEPLAG",VLOOKUP(CONCATENATE("MEDIANA - ",C5222),COTAÇÃO,5,FALSE),VLOOKUP($C5222,DESON!$A:$D,4,))</f>
        <v>4,81</v>
      </c>
      <c r="J5222" s="209">
        <f>TRUNC(F5222*I5222,2)</f>
        <v>0.15</v>
      </c>
    </row>
    <row r="5223" spans="1:10" ht="15" customHeight="1">
      <c r="A5223" s="208"/>
      <c r="B5223" s="241"/>
      <c r="C5223" s="1181">
        <v>1381</v>
      </c>
      <c r="D5223" s="161" t="str">
        <f>IF(B5223="SEPLAG",VLOOKUP(COMPOSIÇÕES!C5223,'MAPA COMPARATIVO'!A:B,2,FALSE),VLOOKUP(C5223,'NAO DESO'!A:B,2,0))</f>
        <v>ARGAMASSA COLANTE AC I PARA CERAMICAS</v>
      </c>
      <c r="E5223" s="241" t="str">
        <f>VLOOKUP($C5223,'NAO DESO'!$A:$D,3,)</f>
        <v xml:space="preserve">KG    </v>
      </c>
      <c r="F5223" s="242">
        <f>4/16</f>
        <v>0.25</v>
      </c>
      <c r="G5223" s="242">
        <f>IF(B5223="SEPLAG",VLOOKUP(CONCATENATE("MEDIANA - ",C5223),COTAÇÃO,5,FALSE),VLOOKUP($C5223,'NAO DESO'!$A:$D,4,))</f>
        <v>0.82</v>
      </c>
      <c r="H5223" s="242">
        <f>TRUNC(F5223*G5223,2)</f>
        <v>0.2</v>
      </c>
      <c r="I5223" s="54" t="str">
        <f>IF(B5223="SEPLAG",VLOOKUP(CONCATENATE("MEDIANA - ",C5223),COTAÇÃO,5,FALSE),VLOOKUP($C5223,DESON!$A:$D,4,))</f>
        <v>0,82</v>
      </c>
      <c r="J5223" s="209">
        <f>TRUNC(F5223*I5223,2)</f>
        <v>0.2</v>
      </c>
    </row>
    <row r="5224" spans="1:10" ht="15" customHeight="1">
      <c r="A5224" s="210" t="str">
        <f>CONCATENATE("TOTAL DO ITEM NÃO DESON. - ",C5216)</f>
        <v>TOTAL DO ITEM NÃO DESON. - SEPLAG ACESS 07</v>
      </c>
      <c r="B5224" s="430"/>
      <c r="C5224" s="430"/>
      <c r="D5224" s="430"/>
      <c r="E5224" s="430"/>
      <c r="F5224" s="1180"/>
      <c r="G5224" s="1180"/>
      <c r="H5224" s="1182">
        <f>SUM(H5219:H5223)</f>
        <v>42.089999999999996</v>
      </c>
      <c r="I5224" s="231"/>
      <c r="J5224" s="215"/>
    </row>
    <row r="5225" spans="1:10" ht="15.75" customHeight="1" thickBot="1">
      <c r="A5225" s="216" t="str">
        <f>CONCATENATE("TOTAL DO ITEM DESON. - ",C5216)</f>
        <v>TOTAL DO ITEM DESON. - SEPLAG ACESS 07</v>
      </c>
      <c r="B5225" s="1142"/>
      <c r="C5225" s="1142"/>
      <c r="D5225" s="1142"/>
      <c r="E5225" s="1142"/>
      <c r="F5225" s="1211"/>
      <c r="G5225" s="1211"/>
      <c r="H5225" s="1187"/>
      <c r="I5225" s="260"/>
      <c r="J5225" s="219">
        <f>SUM(J5219:J5223)</f>
        <v>41.89</v>
      </c>
    </row>
    <row r="5226" spans="1:10" ht="15" customHeight="1" thickBot="1">
      <c r="A5226" s="421"/>
      <c r="B5226" s="1138"/>
      <c r="C5226" s="1138"/>
      <c r="D5226" s="1138"/>
      <c r="E5226" s="1154"/>
      <c r="F5226" s="1196"/>
      <c r="G5226" s="1196"/>
      <c r="H5226" s="1196"/>
      <c r="I5226" s="422"/>
      <c r="J5226" s="422"/>
    </row>
    <row r="5227" spans="1:10" ht="15" customHeight="1">
      <c r="A5227" s="256"/>
      <c r="B5227" s="1152"/>
      <c r="C5227" s="1176" t="s">
        <v>13211</v>
      </c>
      <c r="D5227" s="156" t="s">
        <v>13212</v>
      </c>
      <c r="E5227" s="1176" t="s">
        <v>24</v>
      </c>
      <c r="F5227" s="1177" t="s">
        <v>18</v>
      </c>
      <c r="G5227" s="1178" t="s">
        <v>7015</v>
      </c>
      <c r="H5227" s="1179"/>
      <c r="I5227" s="200" t="s">
        <v>7016</v>
      </c>
      <c r="J5227" s="201"/>
    </row>
    <row r="5228" spans="1:10" ht="15" customHeight="1">
      <c r="A5228" s="257"/>
      <c r="B5228" s="430"/>
      <c r="C5228" s="1155"/>
      <c r="D5228" s="157"/>
      <c r="E5228" s="1155"/>
      <c r="F5228" s="1180"/>
      <c r="G5228" s="1180" t="s">
        <v>19</v>
      </c>
      <c r="H5228" s="1180" t="s">
        <v>20</v>
      </c>
      <c r="I5228" s="204" t="s">
        <v>19</v>
      </c>
      <c r="J5228" s="206" t="s">
        <v>20</v>
      </c>
    </row>
    <row r="5229" spans="1:10" ht="15" customHeight="1">
      <c r="A5229" s="258"/>
      <c r="B5229" s="1155"/>
      <c r="C5229" s="1155"/>
      <c r="D5229" s="157"/>
      <c r="E5229" s="1155"/>
      <c r="F5229" s="1180"/>
      <c r="G5229" s="1180"/>
      <c r="H5229" s="1180"/>
      <c r="I5229" s="238"/>
      <c r="J5229" s="259"/>
    </row>
    <row r="5230" spans="1:10" ht="15" customHeight="1">
      <c r="A5230" s="208" t="s">
        <v>39</v>
      </c>
      <c r="B5230" s="241" t="s">
        <v>14504</v>
      </c>
      <c r="C5230" s="241" t="s">
        <v>14497</v>
      </c>
      <c r="D5230" s="161" t="str">
        <f>IF(B5230="SEPLAG",VLOOKUP(COMPOSIÇÕES!C5230,'MAPA COMPARATIVO'!A:B,2,FALSE),VLOOKUP(C5230,'NAO DESO'!A:B,2,0))</f>
        <v>ADESIVO DE ESPAÇO RESERVADO PARA CADEIRANTE (1,2x0,8)</v>
      </c>
      <c r="E5230" s="241" t="s">
        <v>24</v>
      </c>
      <c r="F5230" s="242">
        <v>1</v>
      </c>
      <c r="G5230" s="242">
        <f>IF(B5230="SEPLAG",VLOOKUP(CONCATENATE("MEDIANA - ",C5230),COTAÇÃO,5,FALSE),VLOOKUP($C5230,'NAO DESO'!$A:$D,4,))</f>
        <v>230.63800000000001</v>
      </c>
      <c r="H5230" s="242">
        <f>TRUNC(F5230*G5230,2)</f>
        <v>230.63</v>
      </c>
      <c r="I5230" s="54">
        <f>IF(B5230="SEPLAG",VLOOKUP(CONCATENATE("MEDIANA - ",C5230),COTAÇÃO,5,FALSE),VLOOKUP($C5230,DESON!$A:$D,4,))</f>
        <v>230.63800000000001</v>
      </c>
      <c r="J5230" s="209">
        <f>TRUNC(F5230*I5230,2)</f>
        <v>230.63</v>
      </c>
    </row>
    <row r="5231" spans="1:10" ht="15" customHeight="1">
      <c r="A5231" s="208" t="s">
        <v>245</v>
      </c>
      <c r="B5231" s="241"/>
      <c r="C5231" s="1181">
        <v>88316</v>
      </c>
      <c r="D5231" s="161" t="str">
        <f>IF(B5231="SEPLAG",VLOOKUP(COMPOSIÇÕES!C5231,'MAPA COMPARATIVO'!A:B,2,FALSE),VLOOKUP(C5231,'NAO DESO'!A:B,2,0))</f>
        <v>SERVENTE COM ENCARGOS COMPLEMENTARES</v>
      </c>
      <c r="E5231" s="241" t="str">
        <f>VLOOKUP($C5231,'NAO DESO'!$A:$D,3,)</f>
        <v>H</v>
      </c>
      <c r="F5231" s="242">
        <f>1.2/16</f>
        <v>7.4999999999999997E-2</v>
      </c>
      <c r="G5231" s="242" t="str">
        <f>IF(B5231="SEPLAG",VLOOKUP(CONCATENATE("MEDIANA - ",C5231),COTAÇÃO,5,FALSE),VLOOKUP($C5231,'NAO DESO'!$A:$D,4,))</f>
        <v>16,83</v>
      </c>
      <c r="H5231" s="242">
        <f>TRUNC(F5231*G5231,2)</f>
        <v>1.26</v>
      </c>
      <c r="I5231" s="54" t="str">
        <f>IF(B5231="SEPLAG",VLOOKUP(CONCATENATE("MEDIANA - ",C5231),COTAÇÃO,5,FALSE),VLOOKUP($C5231,DESON!$A:$D,4,))</f>
        <v>15,16</v>
      </c>
      <c r="J5231" s="209">
        <f>TRUNC(F5231*I5231,2)</f>
        <v>1.1299999999999999</v>
      </c>
    </row>
    <row r="5232" spans="1:10" ht="15" customHeight="1">
      <c r="A5232" s="210" t="str">
        <f>CONCATENATE("TOTAL DO ITEM NÃO DESON. - ",C5227)</f>
        <v>TOTAL DO ITEM NÃO DESON. - SEPLAG ACESS 08</v>
      </c>
      <c r="B5232" s="430"/>
      <c r="C5232" s="430"/>
      <c r="D5232" s="430"/>
      <c r="E5232" s="430"/>
      <c r="F5232" s="1180"/>
      <c r="G5232" s="1180"/>
      <c r="H5232" s="1182">
        <f>SUM(H5230:H5231)</f>
        <v>231.89</v>
      </c>
      <c r="I5232" s="231"/>
      <c r="J5232" s="215"/>
    </row>
    <row r="5233" spans="1:10" ht="15.75" customHeight="1" thickBot="1">
      <c r="A5233" s="216" t="str">
        <f>CONCATENATE("TOTAL DO ITEM DESON. - ",C5227)</f>
        <v>TOTAL DO ITEM DESON. - SEPLAG ACESS 08</v>
      </c>
      <c r="B5233" s="1142"/>
      <c r="C5233" s="1142"/>
      <c r="D5233" s="1142"/>
      <c r="E5233" s="1142"/>
      <c r="F5233" s="1211"/>
      <c r="G5233" s="1211"/>
      <c r="H5233" s="1187"/>
      <c r="I5233" s="260"/>
      <c r="J5233" s="219">
        <f>SUM(J5230:J5231)</f>
        <v>231.76</v>
      </c>
    </row>
    <row r="5234" spans="1:10" ht="15" customHeight="1">
      <c r="A5234" s="457"/>
      <c r="B5234" s="1150"/>
      <c r="C5234" s="1150"/>
      <c r="D5234" s="1150"/>
      <c r="E5234" s="1223"/>
      <c r="F5234" s="1224"/>
      <c r="G5234" s="1224"/>
      <c r="H5234" s="1224"/>
      <c r="I5234" s="459"/>
      <c r="J5234" s="458"/>
    </row>
    <row r="5235" spans="1:10" ht="15" customHeight="1">
      <c r="A5235" s="299"/>
      <c r="B5235" s="161"/>
      <c r="C5235" s="161"/>
      <c r="D5235" s="161"/>
      <c r="E5235" s="247"/>
      <c r="F5235" s="248"/>
      <c r="G5235" s="248"/>
      <c r="H5235" s="248"/>
      <c r="I5235" s="214"/>
      <c r="J5235" s="231"/>
    </row>
  </sheetData>
  <sheetProtection password="CA35" sheet="1" formatCells="0" formatColumns="0" formatRows="0" insertColumns="0" insertRows="0" insertHyperlinks="0" deleteColumns="0" deleteRows="0" sort="0" autoFilter="0" pivotTables="0"/>
  <mergeCells count="2">
    <mergeCell ref="A1:J1"/>
    <mergeCell ref="A2:J2"/>
  </mergeCells>
  <printOptions horizontalCentered="1"/>
  <pageMargins left="0.23622047244094491" right="0.43307086614173229" top="1.0236220472440944" bottom="1.5748031496062993" header="0.31496062992125984" footer="0.31496062992125984"/>
  <pageSetup paperSize="9" scale="60"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25" manualBreakCount="25">
    <brk id="55" max="9" man="1"/>
    <brk id="120" max="9" man="1"/>
    <brk id="172" max="9" man="1"/>
    <brk id="233" max="9" man="1"/>
    <brk id="295" max="9" man="1"/>
    <brk id="349" max="9" man="1"/>
    <brk id="407" max="9" man="1"/>
    <brk id="530" max="9" man="1"/>
    <brk id="601" max="9" man="1"/>
    <brk id="653" max="9" man="1"/>
    <brk id="1263" max="9" man="1"/>
    <brk id="1353" max="9" man="1"/>
    <brk id="1443" max="9" man="1"/>
    <brk id="1533" max="9" man="1"/>
    <brk id="1623" max="9" man="1"/>
    <brk id="1702" max="9" man="1"/>
    <brk id="1907" max="9" man="1"/>
    <brk id="2050" max="9" man="1"/>
    <brk id="2104" max="9" man="1"/>
    <brk id="2234" max="9" man="1"/>
    <brk id="2245" max="9" man="1"/>
    <brk id="2480" max="9" man="1"/>
    <brk id="2566" max="9" man="1"/>
    <brk id="3055" max="9" man="1"/>
    <brk id="3129" max="9" man="1"/>
  </rowBreaks>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17</vt:i4>
      </vt:variant>
    </vt:vector>
  </HeadingPairs>
  <TitlesOfParts>
    <vt:vector size="31" baseType="lpstr">
      <vt:lpstr>MEM CAL</vt:lpstr>
      <vt:lpstr>PLANILHA</vt:lpstr>
      <vt:lpstr>RESUMO</vt:lpstr>
      <vt:lpstr>CURVA ABC</vt:lpstr>
      <vt:lpstr>QCI</vt:lpstr>
      <vt:lpstr>MED CRON</vt:lpstr>
      <vt:lpstr>CRONOGRAMA</vt:lpstr>
      <vt:lpstr>BDI</vt:lpstr>
      <vt:lpstr>COMPOSIÇÕES</vt:lpstr>
      <vt:lpstr>PAISAGISMO</vt:lpstr>
      <vt:lpstr>MAPA COMPARATIVO</vt:lpstr>
      <vt:lpstr>NAO DESO</vt:lpstr>
      <vt:lpstr>DESON</vt:lpstr>
      <vt:lpstr>DESCRIÇÃO X VALORES</vt:lpstr>
      <vt:lpstr>BDI!Area_de_impressao</vt:lpstr>
      <vt:lpstr>COMPOSIÇÕES!Area_de_impressao</vt:lpstr>
      <vt:lpstr>CRONOGRAMA!Area_de_impressao</vt:lpstr>
      <vt:lpstr>'MAPA COMPARATIVO'!Area_de_impressao</vt:lpstr>
      <vt:lpstr>'MED CRON'!Area_de_impressao</vt:lpstr>
      <vt:lpstr>'MEM CAL'!Area_de_impressao</vt:lpstr>
      <vt:lpstr>PAISAGISMO!Area_de_impressao</vt:lpstr>
      <vt:lpstr>PLANILHA!Area_de_impressao</vt:lpstr>
      <vt:lpstr>QCI!Area_de_impressao</vt:lpstr>
      <vt:lpstr>RESUMO!Area_de_impressao</vt:lpstr>
      <vt:lpstr>BASE01</vt:lpstr>
      <vt:lpstr>BASE02</vt:lpstr>
      <vt:lpstr>COMPOSIÇÃO</vt:lpstr>
      <vt:lpstr>COTAÇÃO</vt:lpstr>
      <vt:lpstr>MEMÓRIA</vt:lpstr>
      <vt:lpstr>PLANILHA</vt:lpstr>
      <vt:lpstr>UNIDADE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Caio Fernandes Mendes</dc:creator>
  <cp:lastModifiedBy>Caio Fernandes Mendes Silva</cp:lastModifiedBy>
  <cp:lastPrinted>2022-06-27T18:18:30Z</cp:lastPrinted>
  <dcterms:created xsi:type="dcterms:W3CDTF">2021-08-03T19:20:21Z</dcterms:created>
  <dcterms:modified xsi:type="dcterms:W3CDTF">2022-06-27T18:42:02Z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